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2.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autoCompressPictures="0"/>
  <mc:AlternateContent xmlns:mc="http://schemas.openxmlformats.org/markup-compatibility/2006">
    <mc:Choice Requires="x15">
      <x15ac:absPath xmlns:x15ac="http://schemas.microsoft.com/office/spreadsheetml/2010/11/ac" url="C:\Users\Mailcon\Documents\Mailcon\GOINFRA\Orçamentos\2021\CASE - Itumbiara\Orçamento Enviado\"/>
    </mc:Choice>
  </mc:AlternateContent>
  <xr:revisionPtr revIDLastSave="0" documentId="13_ncr:1_{D1BB7C39-DE7D-4D69-9AFD-3DB96E560D82}" xr6:coauthVersionLast="46" xr6:coauthVersionMax="46" xr10:uidLastSave="{00000000-0000-0000-0000-000000000000}"/>
  <bookViews>
    <workbookView xWindow="-120" yWindow="-120" windowWidth="20730" windowHeight="11310" tabRatio="929" xr2:uid="{00000000-000D-0000-FFFF-FFFF00000000}"/>
  </bookViews>
  <sheets>
    <sheet name="RESUMO" sheetId="46" r:id="rId1"/>
    <sheet name="UNID_ADMINISTRATIVA" sheetId="35" r:id="rId2"/>
    <sheet name="VISITA_ÍNTIMA" sheetId="41" r:id="rId3"/>
    <sheet name="UNID_CONTROLE" sheetId="32" r:id="rId4"/>
    <sheet name="COB_VISITANTES" sheetId="33" r:id="rId5"/>
    <sheet name="GUARITA" sheetId="40" r:id="rId6"/>
    <sheet name="CASA_MOTOR_BOMBA" sheetId="44" r:id="rId7"/>
    <sheet name="QUADRA" sheetId="37" r:id="rId8"/>
    <sheet name="PROTEGIDA_COMPARTILHADA" sheetId="34" r:id="rId9"/>
    <sheet name="PASSARELA" sheetId="43" r:id="rId10"/>
    <sheet name="UNID_SERVIÇOS" sheetId="36" r:id="rId11"/>
    <sheet name="CASA_GRUPO_GERADOR" sheetId="42" r:id="rId12"/>
    <sheet name="VESTIÁRIO" sheetId="39" r:id="rId13"/>
    <sheet name="GALPÃO" sheetId="38" r:id="rId14"/>
    <sheet name="COMPOS" sheetId="31" state="hidden" r:id="rId15"/>
    <sheet name="SINAPI_NOV2020_NDES" sheetId="19" state="hidden" r:id="rId16"/>
    <sheet name="IMPLANTAÇÃO" sheetId="1" r:id="rId17"/>
    <sheet name="CRONOGRAMA " sheetId="50" r:id="rId18"/>
    <sheet name="BDI" sheetId="49" r:id="rId19"/>
    <sheet name="DEMOSTRATIVO DE PREÇOS" sheetId="51" r:id="rId20"/>
  </sheets>
  <externalReferences>
    <externalReference r:id="rId21"/>
    <externalReference r:id="rId22"/>
    <externalReference r:id="rId23"/>
    <externalReference r:id="rId24"/>
  </externalReferences>
  <definedNames>
    <definedName name="__shared_1_0_0" localSheetId="0">"[.A1]*[.G1]"</definedName>
    <definedName name="__shared_1_0_0">"[.H1]*[.A1]"</definedName>
    <definedName name="__shared_1_1_0">"[.A1]*[.G1]"</definedName>
    <definedName name="__shared_1_10_0">"[.A1]*[.G1]"</definedName>
    <definedName name="__shared_1_11_0">"[.A1]*[.G1]"</definedName>
    <definedName name="__shared_1_12_0">"[.A1]*[.G1]"</definedName>
    <definedName name="__shared_1_13_0">"[.A1]*[.G1]"</definedName>
    <definedName name="__shared_1_14_0">"[.A1]*[.G1]"</definedName>
    <definedName name="__shared_1_15_0">"[.A1]*[.G1]"</definedName>
    <definedName name="__shared_1_16_0">"[.A1]*[.G1]"</definedName>
    <definedName name="__shared_1_17_0">"[.A1]*[.G1]"</definedName>
    <definedName name="__shared_1_18_0">"[.A1]*[.G1]"</definedName>
    <definedName name="__shared_1_19_0">"[.A1]*[.G1]"</definedName>
    <definedName name="__shared_1_2_0">"[.A1]*[.G1]"</definedName>
    <definedName name="__shared_1_20_0">"[.A1]*[.G1]"</definedName>
    <definedName name="__shared_1_21_0">"[.A1]*[.G1]"</definedName>
    <definedName name="__shared_1_22_0">"[.A1]*[.G1]"</definedName>
    <definedName name="__shared_1_23_0">"[.A1]*[.G1]"</definedName>
    <definedName name="__shared_1_24_0">"[.A1]*[.G1]"</definedName>
    <definedName name="__shared_1_25_0">"[.A1]*[.G1]"</definedName>
    <definedName name="__shared_1_26_0">"[.A1]*[.G1]"</definedName>
    <definedName name="__shared_1_27_0">"[.A1]*[.G1]"</definedName>
    <definedName name="__shared_1_28_0">"[.A1]*[.G1]"</definedName>
    <definedName name="__shared_1_29_0">"[.A1]*[.G1]"</definedName>
    <definedName name="__shared_1_3_0">"[.A1]*[.G1]"</definedName>
    <definedName name="__shared_1_30_0">"[.A1]*[.G1]"</definedName>
    <definedName name="__shared_1_31_0">"[.A1]*[.G1]"</definedName>
    <definedName name="__shared_1_32_0">"[.A1]*[.G1]"</definedName>
    <definedName name="__shared_1_33_0">"[.A1]*[.G1]"</definedName>
    <definedName name="__shared_1_34_0">"[.A1]*[.G1]"</definedName>
    <definedName name="__shared_1_35_0">"[.A1]*[.G1]"</definedName>
    <definedName name="__shared_1_36_0">"[.A1]*[.G1]"</definedName>
    <definedName name="__shared_1_37_0">"[.A1]*[.G1]"</definedName>
    <definedName name="__shared_1_38_0">"[.A1]*[.G1]"</definedName>
    <definedName name="__shared_1_39_0">"[.A1]*[.G1]"</definedName>
    <definedName name="__shared_1_4_0">"[.A1]*[.G1]"</definedName>
    <definedName name="__shared_1_40_0">"[.A1]+[.B1]"</definedName>
    <definedName name="__shared_1_41_0">"[.A1]*[.G1]"</definedName>
    <definedName name="__shared_1_42_0">"[.A1]*[.G1]"</definedName>
    <definedName name="__shared_1_43_0">"[.A1]*[.G1]"</definedName>
    <definedName name="__shared_1_44_0">"[.A1]*[.G1]"</definedName>
    <definedName name="__shared_1_45_0">"[.A1]*[.G1]"</definedName>
    <definedName name="__shared_1_46_0">"[.A1]*[.G1]"</definedName>
    <definedName name="__shared_1_47_0">"[.A1]*[.G1]"</definedName>
    <definedName name="__shared_1_48_0">"[.A1]*[.G1]"</definedName>
    <definedName name="__shared_1_49_0">"[.A1]*[.G1]"</definedName>
    <definedName name="__shared_1_5_0">"[.A1]*[.G1]"</definedName>
    <definedName name="__shared_1_50_0">"[.A1]*[.G1]"</definedName>
    <definedName name="__shared_1_51_0">"[.A1]+[.B1]"</definedName>
    <definedName name="__shared_1_52_0">"[.A1]+[.B1]"</definedName>
    <definedName name="__shared_1_53_0">"[.A1]*[.G1]"</definedName>
    <definedName name="__shared_1_54_0">"[.A1]+[.B1]"</definedName>
    <definedName name="__shared_1_55_0">"[.A1]*[.G1]"</definedName>
    <definedName name="__shared_1_56_0">"[.A1]+[.B1]"</definedName>
    <definedName name="__shared_1_57_0">"[.A1]*[.G1]"</definedName>
    <definedName name="__shared_1_58_0">"[.A1]+[.B1]"</definedName>
    <definedName name="__shared_1_59_0">"[.A1]*[.G1]"</definedName>
    <definedName name="__shared_1_6_0">"[.A1]*[.G1]"</definedName>
    <definedName name="__shared_1_60_0">"[.A1]+[.B1]"</definedName>
    <definedName name="__shared_1_61_0">"[.A1]*[.G1]"</definedName>
    <definedName name="__shared_1_62_0">"[.A1]+[.B1]"</definedName>
    <definedName name="__shared_1_63_0">"[.A1]*[.G1]"</definedName>
    <definedName name="__shared_1_64_0">"[.A1]+[.B1]"</definedName>
    <definedName name="__shared_1_65_0">"[.A1]*[.G1]"</definedName>
    <definedName name="__shared_1_66_0">"[.A1]+[.B1]"</definedName>
    <definedName name="__shared_1_67_0">"[.A1]*[.G1]"</definedName>
    <definedName name="__shared_1_68_0">"[.A1]+[.B1]"</definedName>
    <definedName name="__shared_1_69_0">"[.A1]*[.G1]"</definedName>
    <definedName name="__shared_1_7_0">"[.A1]*[.G1]"</definedName>
    <definedName name="__shared_1_70_0">"[.A1]*[.G1]"</definedName>
    <definedName name="__shared_1_71_0">"[.A1]+[.B1]"</definedName>
    <definedName name="__shared_1_72_0">"[.A1]+[.B1]"</definedName>
    <definedName name="__shared_1_73_0">"[.A1]*[.G1]"</definedName>
    <definedName name="__shared_1_74_0">"[.A1]*[.G1]"</definedName>
    <definedName name="__shared_1_75_0">"[.A1]+[.B1]"</definedName>
    <definedName name="__shared_1_76_0">"[.A1]*[.G1]"</definedName>
    <definedName name="__shared_1_77_0">"[.A1]+[.B1]"</definedName>
    <definedName name="__shared_1_78_0">"[.A1]*[.G1]"</definedName>
    <definedName name="__shared_1_79_0">"[.A1]+[.B1]"</definedName>
    <definedName name="__shared_1_8_0">"[.A1]*[.G1]"</definedName>
    <definedName name="__shared_1_80_0">"[.A1]*[.G1]"</definedName>
    <definedName name="__shared_1_81_0">"[.A1]+[.B1]"</definedName>
    <definedName name="__shared_1_82_0">"[.A1]*[.G1]"</definedName>
    <definedName name="__shared_1_9_0">"[.A1]*[.G1]"</definedName>
    <definedName name="__shared_10_0_0" localSheetId="0">"[.A1]*[.G1]"</definedName>
    <definedName name="__shared_10_0_0">"[.G1]*[.A1]"</definedName>
    <definedName name="__shared_10_1_0" localSheetId="0">"[.A1]*[.G1]"</definedName>
    <definedName name="__shared_10_1_0">"[.H1]*[.A1]"</definedName>
    <definedName name="__shared_10_2_0" localSheetId="0">"[.A1]*[.G1]"</definedName>
    <definedName name="__shared_10_2_0">"[.A1]*[.B1]"</definedName>
    <definedName name="__shared_10_3_0" localSheetId="0">"[.A1]*[.G1]"</definedName>
    <definedName name="__shared_10_3_0">"[.B1]*[.D1]*[.A1]"</definedName>
    <definedName name="__shared_10_4_0" localSheetId="0">"[.A1]*[.G1]"</definedName>
    <definedName name="__shared_10_4_0">"[.A1]*[.B1]"</definedName>
    <definedName name="__shared_10_5_0" localSheetId="0">"[.A1]*[.G1]"</definedName>
    <definedName name="__shared_10_5_0">"[.B1]*[.D1]*[.A1]"</definedName>
    <definedName name="__shared_10_6_0">"[.A1]*[.G1]"</definedName>
    <definedName name="__shared_10_8_0">"[.A1]*[.B1]"</definedName>
    <definedName name="__shared_10_9_0">"[.B1]*[.D1]*[.A1]"</definedName>
    <definedName name="__shared_101_0_0">"[.A1]*[.C1]"</definedName>
    <definedName name="__shared_101_1_0">"[.A1]*[.B1]"</definedName>
    <definedName name="__shared_11_0_0">"[.A1]*[.G1]"</definedName>
    <definedName name="__shared_11_1_0">"[.A1]+[.B1]"</definedName>
    <definedName name="__shared_11_2_0">"[.A1]*[.G1]"</definedName>
    <definedName name="__shared_11_3_0">"[.A1]*[.G1]"</definedName>
    <definedName name="__shared_11_4_0">"[.A1]+[.B1]"</definedName>
    <definedName name="__shared_11_5_0">"[.A1]*[.G1]"</definedName>
    <definedName name="__shared_11_6_0">"[.A1]*[.G1]"</definedName>
    <definedName name="__shared_11_7_0">"[.A1]*[.G1]"</definedName>
    <definedName name="__shared_12_0_0">"[.A1]*[.G1]"</definedName>
    <definedName name="__shared_12_1_0">"[.A1]*[.G1]"</definedName>
    <definedName name="__shared_12_10_0">"[.A1]*[.G1]"</definedName>
    <definedName name="__shared_12_2_0">"[.A1]+[.B1]"</definedName>
    <definedName name="__shared_12_3_0">"[.A1]*[.G1]"</definedName>
    <definedName name="__shared_12_4_0">"[.A1]*[.G1]"</definedName>
    <definedName name="__shared_12_5_0">"[.A1]*[.G1]"</definedName>
    <definedName name="__shared_12_6_0">"[.A1]*[.G1]"</definedName>
    <definedName name="__shared_12_7_0">"[.A1]+[.B1]"</definedName>
    <definedName name="__shared_12_8_0">"[.A1]*[.G1]"</definedName>
    <definedName name="__shared_12_9_0">"[.A1]*[.G1]"</definedName>
    <definedName name="__shared_126_0_0">"[.A1]*[.B1]"</definedName>
    <definedName name="__shared_13_0_0" localSheetId="0">"[.A1]*[.G1]"</definedName>
    <definedName name="__shared_13_0_0">"[.H1]*[.A1]"</definedName>
    <definedName name="__shared_13_1_0">"[.A1]+[.B1]"</definedName>
    <definedName name="__shared_13_2_0">"[.A1]*[.G1]"</definedName>
    <definedName name="__shared_13_3_0">"[.A1]*[.G1]"</definedName>
    <definedName name="__shared_13_4_0">"[.A1]+[.B1]"</definedName>
    <definedName name="__shared_13_5_0">"[.A1]*[.G1]"</definedName>
    <definedName name="__shared_13_6_0">"[.A1]*[.K9]"</definedName>
    <definedName name="__shared_13_7_0">"[.A1]*[.G1]"</definedName>
    <definedName name="__shared_14_0_0">"[.A1]*[.G1]"</definedName>
    <definedName name="__shared_14_1_0">"[.A1]*[.G1]"</definedName>
    <definedName name="__shared_14_2_0">"[.A1]+[.B1]"</definedName>
    <definedName name="__shared_14_3_0">"[.A1]*[.G1]"</definedName>
    <definedName name="__shared_14_4_0">"[.A1]*[.G1]"</definedName>
    <definedName name="__shared_14_5_0">"[.A1]*[.G1]"</definedName>
    <definedName name="__shared_14_6_0">"[.A1]*[.G1]"</definedName>
    <definedName name="__shared_14_7_0">"[.A1]*[.G1]"</definedName>
    <definedName name="__shared_14_8_0">"[.A1]*[.G1]"</definedName>
    <definedName name="__shared_143_0_0">"[.G1]*[.A1]"</definedName>
    <definedName name="__shared_143_1_0">"[.H1]*[.A1]"</definedName>
    <definedName name="__shared_15_0_0">"[.A1]*[.G1]"</definedName>
    <definedName name="__shared_15_1_0">"[.A1]*[.G1]"</definedName>
    <definedName name="__shared_15_2_0">"[.A1]+[.B1]"</definedName>
    <definedName name="__shared_15_3_0">"[.A1]*[.G1]"</definedName>
    <definedName name="__shared_15_4_0">"[.A1]*[.G1]"</definedName>
    <definedName name="__shared_15_5_0">"[.A1]*[.G1]"</definedName>
    <definedName name="__shared_15_6_0">"[.A1]*[.G1]"</definedName>
    <definedName name="__shared_15_7_0">"[.A1]*[.G1]"</definedName>
    <definedName name="__shared_155_0_0">"[.A1]*[.B1]"</definedName>
    <definedName name="__shared_156_0_0">"[.A1]*[.B1]"</definedName>
    <definedName name="__shared_16_0_0" localSheetId="0">"[.A1]+[.B1]"</definedName>
    <definedName name="__shared_16_0_0">"[.H1]*[.A1]"</definedName>
    <definedName name="__shared_16_1_0">"[.A1]*[.G1]"</definedName>
    <definedName name="__shared_16_2_0">"[.A1]*[.G1]"</definedName>
    <definedName name="__shared_16_3_0">"[.A1]*[.G1]"</definedName>
    <definedName name="__shared_16_4_0">"[.A1]*[.G1]"</definedName>
    <definedName name="__shared_164_0_0">"[.A1]*[.B1]"</definedName>
    <definedName name="__shared_165_0_0">"[.A1]*[.B1]"</definedName>
    <definedName name="__shared_166_0_0">"[.A1]*[.C1]"</definedName>
    <definedName name="__shared_166_1_0">"[.A1]*[.B1]"</definedName>
    <definedName name="__shared_167_0_0">"[.A1]*[.C1]"</definedName>
    <definedName name="__shared_168_0_0">"[.A1]*[.C1]"</definedName>
    <definedName name="__shared_169_0_0">"[.A1]*[.C1]"</definedName>
    <definedName name="__shared_17_0_0" localSheetId="0">"[.A1]+[.B1]"</definedName>
    <definedName name="__shared_17_0_0">"[.A1]*[.H1]"</definedName>
    <definedName name="__shared_17_1_0" localSheetId="0">"[.A1]*[.G1]"</definedName>
    <definedName name="__shared_17_1_0">"[.H1]*[.A1]"</definedName>
    <definedName name="__shared_17_2_0">"[.A1]*[.G1]"</definedName>
    <definedName name="__shared_17_3_0">"[.A1]*[.G1]"</definedName>
    <definedName name="__shared_170_0_0">"[.A1]*[.C1]"</definedName>
    <definedName name="__shared_171_0_0">"[.A1]*[.C1]"</definedName>
    <definedName name="__shared_172_0_0">"[.A1]*[.C1]"</definedName>
    <definedName name="__shared_173_0_0">"[.A1]*[.C1]"</definedName>
    <definedName name="__shared_174_0_0">"[.A1]*[.C1]"</definedName>
    <definedName name="__shared_175_0_0">"[.A1]*[.C1]"</definedName>
    <definedName name="__shared_176_0_0">"[.A1]*[.C1]"</definedName>
    <definedName name="__shared_177_0_0">"[.A1]*[.C1]"</definedName>
    <definedName name="__shared_177_1_0">"[.A1]*[.B1]"</definedName>
    <definedName name="__shared_178_0_0">"[.A1]*[.C1]"</definedName>
    <definedName name="__shared_178_1_0">"[.A1]*[.B1]"</definedName>
    <definedName name="__shared_179_0_0">"[.A1]*[.C1]"</definedName>
    <definedName name="__shared_179_1_0">"[.A1]*[.B1]"</definedName>
    <definedName name="__shared_18_0_0">"[.H1]*[.A1]"</definedName>
    <definedName name="__shared_180_0_0">"[.A1]*[.C1]"</definedName>
    <definedName name="__shared_181_0_0">"[.A1]*[.C1]"</definedName>
    <definedName name="__shared_182_0_0">"[.A1]*[.C1]"</definedName>
    <definedName name="__shared_183_0_0">"[.A1]*[.C1]"</definedName>
    <definedName name="__shared_184_0_0">"[.A1]*[.C1]"</definedName>
    <definedName name="__shared_185_0_0">"[.A1]*[.C1]"</definedName>
    <definedName name="__shared_186_0_0">"[.A1]*[.C1]"</definedName>
    <definedName name="__shared_187_0_0">"[.A1]*[.C1]"</definedName>
    <definedName name="__shared_188_0_0">"[.A1]*[.C1]"</definedName>
    <definedName name="__shared_188_1_0">"[.A1]*[.B1]"</definedName>
    <definedName name="__shared_189_0_0">"[.A1]*[.B1]"</definedName>
    <definedName name="__shared_19_0_0">"[.A1]+[.B1]"</definedName>
    <definedName name="__shared_19_1_0">"[.A1]+[.B1]"</definedName>
    <definedName name="__shared_19_10_0">"[.A1]+[.B1]"</definedName>
    <definedName name="__shared_19_11_0">"[.A1]+[.B1]"</definedName>
    <definedName name="__shared_19_12_0">"[.A1]+[.B1]"</definedName>
    <definedName name="__shared_19_13_0">"[.A1]+[.B1]"</definedName>
    <definedName name="__shared_19_14_0">"[.A1]+[.B1]"</definedName>
    <definedName name="__shared_19_15_0">"[.A1]+[.B1]"</definedName>
    <definedName name="__shared_19_16_0">"[.A1]+[.B1]"</definedName>
    <definedName name="__shared_19_17_0">"[.A1]+[.B1]"</definedName>
    <definedName name="__shared_19_18_0">"[.A1]+[.B1]"</definedName>
    <definedName name="__shared_19_19_0">"[.A1]+[.B1]"</definedName>
    <definedName name="__shared_19_2_0">"[.A1]+[.B1]"</definedName>
    <definedName name="__shared_19_20_0">"[.A1]+[.B1]"</definedName>
    <definedName name="__shared_19_21_0">"[.A1]+[.B1]"</definedName>
    <definedName name="__shared_19_22_0">"[.A1]+[.B1]"</definedName>
    <definedName name="__shared_19_23_0">"[.A1]+[.B1]"</definedName>
    <definedName name="__shared_19_24_0">"[.A1]+[.B1]"</definedName>
    <definedName name="__shared_19_25_0">"[.A1]+[.B1]"</definedName>
    <definedName name="__shared_19_26_0">"[.A1]+[.B1]"</definedName>
    <definedName name="__shared_19_27_0">"[.A1]+[.B1]"</definedName>
    <definedName name="__shared_19_28_0">"[.A1]+[.B1]"</definedName>
    <definedName name="__shared_19_29_0">"[.A1]+[.B1]"</definedName>
    <definedName name="__shared_19_3_0">"[.A1]+[.B1]"</definedName>
    <definedName name="__shared_19_30_0">"[.A1]+[.B1]"</definedName>
    <definedName name="__shared_19_31_0">"[.A1]+[.B1]"</definedName>
    <definedName name="__shared_19_32_0">"[.A1]+[.B1]"</definedName>
    <definedName name="__shared_19_33_0">"[.A1]+[.B1]"</definedName>
    <definedName name="__shared_19_34_0">"[.A1]+[.B1]"</definedName>
    <definedName name="__shared_19_35_0">"[.A1]+[.B1]"</definedName>
    <definedName name="__shared_19_36_0">"[.A1]+[.B1]"</definedName>
    <definedName name="__shared_19_37_0">"[.A1]+[.B1]"</definedName>
    <definedName name="__shared_19_38_0">"[.A1]+[.B1]"</definedName>
    <definedName name="__shared_19_39_0">"[.A1]+[.B1]"</definedName>
    <definedName name="__shared_19_4_0">"[.A1]+[.B1]"</definedName>
    <definedName name="__shared_19_40_0">"[.A1]+[.B1]"</definedName>
    <definedName name="__shared_19_41_0">"[.A1]+[.B1]"</definedName>
    <definedName name="__shared_19_42_0">"[.A1]+[.B1]"</definedName>
    <definedName name="__shared_19_43_0">"[.A1]+[.B1]"</definedName>
    <definedName name="__shared_19_44_0">"[.A1]+[.B1]"</definedName>
    <definedName name="__shared_19_45_0">"[.A1]+[.B1]"</definedName>
    <definedName name="__shared_19_46_0">"[.A1]+[.B1]"</definedName>
    <definedName name="__shared_19_47_0">"[.A1]+[.B1]"</definedName>
    <definedName name="__shared_19_48_0">"[.A1]+[.B1]"</definedName>
    <definedName name="__shared_19_49_0">"[.A1]+[.B1]"</definedName>
    <definedName name="__shared_19_5_0">"[.A1]+[.B1]"</definedName>
    <definedName name="__shared_19_50_0">"[.A1]+[.B1]"</definedName>
    <definedName name="__shared_19_51_0">"[.A1]+[.B1]"</definedName>
    <definedName name="__shared_19_52_0">"[.A1]+[.B1]"</definedName>
    <definedName name="__shared_19_6_0">"[.A1]+[.B1]"</definedName>
    <definedName name="__shared_19_7_0">"[.A1]+[.B1]"</definedName>
    <definedName name="__shared_19_8_0">"[.A1]+[.B1]"</definedName>
    <definedName name="__shared_19_9_0">"[.A1]+[.B1]"</definedName>
    <definedName name="__shared_190_0_0">"[.A1]*[.B1]"</definedName>
    <definedName name="__shared_191_0_0">"[.A1]*[.B1]"</definedName>
    <definedName name="__shared_192_0_0">"[.A1]*[.B1]"</definedName>
    <definedName name="__shared_193_0_0">"[.A1]*[.B1]"</definedName>
    <definedName name="__shared_194_0_0">"[.A1]*[.B1]"</definedName>
    <definedName name="__shared_195_0_0">"[.A1]*[.B1]"</definedName>
    <definedName name="__shared_196_0_0">"[.A1]*[.B1]"</definedName>
    <definedName name="__shared_197_0_0">"[.A1]*[.B1]"</definedName>
    <definedName name="__shared_198_0_0">"[.A1]*[.B1]"</definedName>
    <definedName name="__shared_199_0_0">"[.A1]*[.B1]"</definedName>
    <definedName name="__shared_2_0_0">"[.A1]*[.G1]"</definedName>
    <definedName name="__shared_2_1_0">"[.A1]*[.G1]"</definedName>
    <definedName name="__shared_2_10_0">"[.A1]*[.G1]"</definedName>
    <definedName name="__shared_2_11_0">"[.A1]*[.G1]"</definedName>
    <definedName name="__shared_2_12_0">"[.A1]*[.G1]"</definedName>
    <definedName name="__shared_2_13_0">"[.A1]*[.G1]"</definedName>
    <definedName name="__shared_2_14_0">"[.A1]*[.G1]"</definedName>
    <definedName name="__shared_2_15_0">"[.A1]*[.G1]"</definedName>
    <definedName name="__shared_2_16_0">"[.A1]*[.G1]"</definedName>
    <definedName name="__shared_2_17_0">"[.A1]*[.G1]"</definedName>
    <definedName name="__shared_2_18_0">"[.A1]*[.G1]"</definedName>
    <definedName name="__shared_2_19_0">"[.A1]*[.G1]"</definedName>
    <definedName name="__shared_2_2_0">"[.A1]*[.G1]"</definedName>
    <definedName name="__shared_2_20_0">"[.A1]*[.G1]"</definedName>
    <definedName name="__shared_2_21_0">"[.A1]*[.G1]"</definedName>
    <definedName name="__shared_2_22_0">"[.A1]*[.G1]"</definedName>
    <definedName name="__shared_2_23_0">"[.A1]*[.G1]"</definedName>
    <definedName name="__shared_2_24_0">"[.A1]*[.G1]"</definedName>
    <definedName name="__shared_2_25_0">"[.A1]*[.G1]"</definedName>
    <definedName name="__shared_2_26_0">"[.A1]*[.G1]"</definedName>
    <definedName name="__shared_2_27_0">"[.A1]*[.G1]"</definedName>
    <definedName name="__shared_2_28_0">"[.A1]*[.G1]"</definedName>
    <definedName name="__shared_2_29_0">"[.A1]*[.G1]"</definedName>
    <definedName name="__shared_2_3_0">"[.A1]*[.G1]"</definedName>
    <definedName name="__shared_2_30_0">"[.A1]*[.G1]"</definedName>
    <definedName name="__shared_2_31_0">"[.A1]*[.G1]"</definedName>
    <definedName name="__shared_2_32_0">"[.A1]*[.G1]"</definedName>
    <definedName name="__shared_2_33_0">"[.A1]*[.G1]"</definedName>
    <definedName name="__shared_2_34_0">"[.A1]+[.B1]"</definedName>
    <definedName name="__shared_2_35_0">"[.A1]*[.G1]"</definedName>
    <definedName name="__shared_2_36_0">"[.A1]*[.G1]"</definedName>
    <definedName name="__shared_2_37_0">"[.A1]*[.G1]"</definedName>
    <definedName name="__shared_2_38_0">"[.A1]*[.G1]"</definedName>
    <definedName name="__shared_2_39_0">"[.A1]*[.G1]"</definedName>
    <definedName name="__shared_2_4_0">"[.A1]*[.G1]"</definedName>
    <definedName name="__shared_2_40_0">"[.A1]*[.G1]"</definedName>
    <definedName name="__shared_2_41_0">"[.A1]*[.G1]"</definedName>
    <definedName name="__shared_2_42_0">"[.A1]*[.G1]"</definedName>
    <definedName name="__shared_2_43_0">"[.A1]*[.G1]"</definedName>
    <definedName name="__shared_2_44_0">"[.A1]+[.B1]"</definedName>
    <definedName name="__shared_2_45_0">"[.A1]*[.G1]"</definedName>
    <definedName name="__shared_2_46_0">"[.A1]*[.G1]"</definedName>
    <definedName name="__shared_2_47_0">"[.A1]+[.B1]"</definedName>
    <definedName name="__shared_2_48_0">"[.A1]+[.B1]"</definedName>
    <definedName name="__shared_2_49_0">"[.A1]*[.G1]"</definedName>
    <definedName name="__shared_2_5_0">"[.A1]*[.G1]"</definedName>
    <definedName name="__shared_2_50_0">"[.A1]+[.B1]"</definedName>
    <definedName name="__shared_2_51_0">"[.A1]*[.G1]"</definedName>
    <definedName name="__shared_2_52_0">"[.A1]+[.B1]"</definedName>
    <definedName name="__shared_2_53_0">"[.A1]*[.G1]"</definedName>
    <definedName name="__shared_2_54_0">"[.A1]*[.G1]"</definedName>
    <definedName name="__shared_2_55_0">"[.A1]+[.B1]"</definedName>
    <definedName name="__shared_2_56_0">"[.A1]+[.B1]"</definedName>
    <definedName name="__shared_2_57_0">"[.A1]+[.B1]"</definedName>
    <definedName name="__shared_2_58_0">"[.A1]*[.G1]"</definedName>
    <definedName name="__shared_2_6_0">"[.A1]*[.G1]"</definedName>
    <definedName name="__shared_2_7_0">"[.A1]*[.G1]"</definedName>
    <definedName name="__shared_2_8_0">"[.A1]*[.G1]"</definedName>
    <definedName name="__shared_2_9_0">"[.A1]*[.G1]"</definedName>
    <definedName name="__shared_20_0_0">"[.A1]+[.B1]"</definedName>
    <definedName name="__shared_20_1_0">"[.A1]+[.B1]"</definedName>
    <definedName name="__shared_20_10_0">"[.A1]+[.B1]"</definedName>
    <definedName name="__shared_20_11_0">"[.A1]+[.B1]"</definedName>
    <definedName name="__shared_20_12_0">"[.A1]+[.B1]"</definedName>
    <definedName name="__shared_20_13_0">"[.A1]+[.B1]"</definedName>
    <definedName name="__shared_20_14_0">"[.A1]+[.B1]"</definedName>
    <definedName name="__shared_20_15_0">"[.A1]+[.B1]"</definedName>
    <definedName name="__shared_20_16_0">"[.A1]+[.B1]"</definedName>
    <definedName name="__shared_20_17_0">"[.A1]+[.B1]"</definedName>
    <definedName name="__shared_20_18_0">"[.A1]+[.B1]"</definedName>
    <definedName name="__shared_20_19_0">"[.A1]+[.B1]"</definedName>
    <definedName name="__shared_20_2_0">"[.A1]+[.B1]"</definedName>
    <definedName name="__shared_20_20_0">"[.A1]+[.B1]"</definedName>
    <definedName name="__shared_20_21_0">"[.A1]+[.B1]"</definedName>
    <definedName name="__shared_20_22_0">"[.A1]+[.B1]"</definedName>
    <definedName name="__shared_20_23_0">"[.A1]+[.B1]"</definedName>
    <definedName name="__shared_20_24_0">"[.A1]+[.B1]"</definedName>
    <definedName name="__shared_20_25_0">"[.A1]+[.B1]"</definedName>
    <definedName name="__shared_20_26_0">"[.A1]+[.B1]"</definedName>
    <definedName name="__shared_20_27_0">"[.A1]+[.B1]"</definedName>
    <definedName name="__shared_20_28_0">"[.A1]+[.B1]"</definedName>
    <definedName name="__shared_20_29_0">"[.A1]+[.B1]"</definedName>
    <definedName name="__shared_20_3_0">"[.A1]+[.B1]"</definedName>
    <definedName name="__shared_20_30_0">"[.A1]+[.B1]"</definedName>
    <definedName name="__shared_20_31_0">"[.A1]+[.B1]"</definedName>
    <definedName name="__shared_20_32_0">"[.A1]+[.B1]"</definedName>
    <definedName name="__shared_20_33_0">"[.A1]+[.B1]"</definedName>
    <definedName name="__shared_20_34_0">"[.A1]+[.B1]"</definedName>
    <definedName name="__shared_20_35_0">"[.A1]+[.B1]"</definedName>
    <definedName name="__shared_20_36_0">"[.A1]+[.B1]"</definedName>
    <definedName name="__shared_20_37_0">"[.A1]+[.B1]"</definedName>
    <definedName name="__shared_20_38_0">"[.A1]+[.B1]"</definedName>
    <definedName name="__shared_20_39_0">"[.A1]+[.B1]"</definedName>
    <definedName name="__shared_20_4_0">"[.A1]+[.B1]"</definedName>
    <definedName name="__shared_20_40_0">"[.A1]+[.B1]"</definedName>
    <definedName name="__shared_20_41_0">"[.A1]+[.B1]"</definedName>
    <definedName name="__shared_20_42_0">"[.A1]+[.B1]"</definedName>
    <definedName name="__shared_20_43_0">"[.A1]+[.B1]"</definedName>
    <definedName name="__shared_20_44_0">"[.A1]+[.B1]"</definedName>
    <definedName name="__shared_20_45_0">"[.A1]+[.B1]"</definedName>
    <definedName name="__shared_20_46_0">"[.A1]+[.B1]"</definedName>
    <definedName name="__shared_20_47_0">"[.A1]+[.B1]"</definedName>
    <definedName name="__shared_20_48_0">"[.A1]+[.B1]"</definedName>
    <definedName name="__shared_20_49_0">"[.A1]+[.B1]"</definedName>
    <definedName name="__shared_20_5_0">"[.A1]+[.B1]"</definedName>
    <definedName name="__shared_20_50_0">"[.A1]+[.B1]"</definedName>
    <definedName name="__shared_20_51_0">"[.A1]+[.B1]"</definedName>
    <definedName name="__shared_20_52_0">"[.A1]+[.B1]"</definedName>
    <definedName name="__shared_20_6_0">"[.A1]+[.B1]"</definedName>
    <definedName name="__shared_20_7_0">"[.A1]+[.B1]"</definedName>
    <definedName name="__shared_20_8_0">"[.A1]+[.B1]"</definedName>
    <definedName name="__shared_20_9_0">"[.A1]+[.B1]"</definedName>
    <definedName name="__shared_200_0_0">"[.A1]*[.B1]"</definedName>
    <definedName name="__shared_201_0_0">"[.A1]*[.B1]"</definedName>
    <definedName name="__shared_202_0_0">"[.A1]*[.B1]"</definedName>
    <definedName name="__shared_203_0_0">"[.A1]*[.B1]"</definedName>
    <definedName name="__shared_204_0_0">"[.A1]*[.B1]"</definedName>
    <definedName name="__shared_205_0_0">"[.A1]*[.B1]"</definedName>
    <definedName name="__shared_206_0_0">"[.A1]*[.B1]"</definedName>
    <definedName name="__shared_207_0_0">"[.A1]*[.B1]"</definedName>
    <definedName name="__shared_208_0_0">"[.A1]*[.B1]"</definedName>
    <definedName name="__shared_209_0_0">"[.A1]*[.B1]"</definedName>
    <definedName name="__shared_210_0_0">"[.A1]*[.B1]"</definedName>
    <definedName name="__shared_211_0_0">"[.A1]*[.B1]"</definedName>
    <definedName name="__shared_212_0_0">"[.A1]*[.B1]"</definedName>
    <definedName name="__shared_213_0_0">"[.A1]*[.B1]"</definedName>
    <definedName name="__shared_214_0_0">"[.A1]*[.B1]"</definedName>
    <definedName name="__shared_215_0_0">"[.A1]*[.B1]"</definedName>
    <definedName name="__shared_216_0_0">"[.A1]*[.B1]"</definedName>
    <definedName name="__shared_217_0_0">"[.A1]*[.B1]"</definedName>
    <definedName name="__shared_218_0_0">"[.A1]*[.B1]"</definedName>
    <definedName name="__shared_219_0_0">"[.A1]*[.B1]"</definedName>
    <definedName name="__shared_220_0_0">"[.A1]*[.B1]"</definedName>
    <definedName name="__shared_221_0_0">"[.A1]*[.B1]"</definedName>
    <definedName name="__shared_222_0_0">"[.A1]*[.B1]"</definedName>
    <definedName name="__shared_223_0_0">"[.A1]*[.B1]"</definedName>
    <definedName name="__shared_224_0_0">"[.A1]*[.B1]"</definedName>
    <definedName name="__shared_227_0_0">"[.A1]*[.C1]"</definedName>
    <definedName name="__shared_228_0_0">"[.A1]*[.C1]"</definedName>
    <definedName name="__shared_229_0_0">"[.A1]*[.C1]"</definedName>
    <definedName name="__shared_229_1_0">"[.A1]*[.B1]"</definedName>
    <definedName name="__shared_230_0_0">"[.A1]*[.C1]"</definedName>
    <definedName name="__shared_230_1_0">"[.A1]*[.B1]"</definedName>
    <definedName name="__shared_231_0_0">"[.A1]*[.C1]"</definedName>
    <definedName name="__shared_231_1_0">"[.A1]*[.B1]"</definedName>
    <definedName name="__shared_232_0_0">"[.A1]*[.C1]"</definedName>
    <definedName name="__shared_232_1_0">"[.A1]*[.B1]"</definedName>
    <definedName name="__shared_233_0_0">"[.A1]*[.C1]"</definedName>
    <definedName name="__shared_233_1_0">"[.A1]*[.B1]"</definedName>
    <definedName name="__shared_234_0_0">"[.A1]*[.C1]"</definedName>
    <definedName name="__shared_234_1_0">"[.A1]*[.B1]"</definedName>
    <definedName name="__shared_235_0_0">"[.A1]*[.C1]"</definedName>
    <definedName name="__shared_236_0_0">"[.A1]*[.C1]"</definedName>
    <definedName name="__shared_237_0_0">"[.A1]*[.C1]"</definedName>
    <definedName name="__shared_237_1_0">"[.A1]*[.B1]"</definedName>
    <definedName name="__shared_239_0_0">"[.A1]*[.C1]"</definedName>
    <definedName name="__shared_239_1_0">"[.A1]*[.B1]"</definedName>
    <definedName name="__shared_240_0_0">"[.A1]*[.B1]"</definedName>
    <definedName name="__shared_241_0_0">"[.A1]*[.C1]"</definedName>
    <definedName name="__shared_241_1_0">"[.A1]*[.B1]"</definedName>
    <definedName name="__shared_242_0_0">"[.A1]*[.C1]"</definedName>
    <definedName name="__shared_242_1_0">"[.A1]*[.B1]"</definedName>
    <definedName name="__shared_243_0_0">"[.A1]*[.C1]"</definedName>
    <definedName name="__shared_243_1_0">"[.A1]*[.B1]"</definedName>
    <definedName name="__shared_244_0_0">"[.A1]*[.B1]"</definedName>
    <definedName name="__shared_245_0_0">"[.A1]*[.C1]"</definedName>
    <definedName name="__shared_245_1_0">"[.A1]*[.B1]"</definedName>
    <definedName name="__shared_246_0_0">"[.A1]*[.C1]"</definedName>
    <definedName name="__shared_246_1_0">"[.A1]*[.B1]"</definedName>
    <definedName name="__shared_247_0_0">"[.A1]*[.C1]"</definedName>
    <definedName name="__shared_247_1_0">"[.A1]*[.B1]"</definedName>
    <definedName name="__shared_248_0_0">"[.A1]*[.C1]"</definedName>
    <definedName name="__shared_248_1_0">"[.A1]*[.B1]"</definedName>
    <definedName name="__shared_249_0_0">"[.A1]*[.B1]"</definedName>
    <definedName name="__shared_250_0_0">"[.A1]*[.C1]"</definedName>
    <definedName name="__shared_250_1_0">"[.A1]*[.B1]"</definedName>
    <definedName name="__shared_251_0_0">"[.A1]*[.C1]"</definedName>
    <definedName name="__shared_251_1_0">"[.A1]*[.B1]"</definedName>
    <definedName name="__shared_252_0_0">"[.A1]*[.C1]"</definedName>
    <definedName name="__shared_252_1_0">"[.A1]*[.B1]"</definedName>
    <definedName name="__shared_253_0_0">"[.A1]*[.B1]"</definedName>
    <definedName name="__shared_254_0_0">"[.A1]*[.B1]"</definedName>
    <definedName name="__shared_255_0_0">"[.A1]*[.B1]"</definedName>
    <definedName name="__shared_256_0_0">"[.A1]*[.C1]"</definedName>
    <definedName name="__shared_256_1_0">"[.A1]*[.B1]"</definedName>
    <definedName name="__shared_257_0_0">"[.A1]*[.B1]"</definedName>
    <definedName name="__shared_258_0_0">"[.A1]*[.B1]"</definedName>
    <definedName name="__shared_259_0_0">"[.A1]*[.C1]"</definedName>
    <definedName name="__shared_259_1_0">"[.A1]*[.B1]"</definedName>
    <definedName name="__shared_260_0_0">"[.A1]*[.C1]"</definedName>
    <definedName name="__shared_261_0_0">"[.A1]*[.C1]"</definedName>
    <definedName name="__shared_262_0_0">"[.A1]*[.B1]"</definedName>
    <definedName name="__shared_263_0_0">"[.A1]*[.B1]"</definedName>
    <definedName name="__shared_265_0_0">"[.A1]*[.C1]"</definedName>
    <definedName name="__shared_265_1_0">"[.A1]*[.B1]"</definedName>
    <definedName name="__shared_266_0_0">"[.A1]*[.C1]"</definedName>
    <definedName name="__shared_266_1_0">"[.A1]*[.B1]"</definedName>
    <definedName name="__shared_267_0_0">"[.A1]*[.C1]"</definedName>
    <definedName name="__shared_268_0_0">"[.A1]*[.B1]"</definedName>
    <definedName name="__shared_269_0_0">"[.A1]*[.C1]"</definedName>
    <definedName name="__shared_269_1_0">"[.A1]*[.B1]"</definedName>
    <definedName name="__shared_270_0_0">"[.A1]*[.C1]"</definedName>
    <definedName name="__shared_270_1_0">"[.A1]*[.B1]"</definedName>
    <definedName name="__shared_271_0_0">"[.A1]*[.C1]"</definedName>
    <definedName name="__shared_271_1_0">"[.A1]*[.B1]"</definedName>
    <definedName name="__shared_272_0_0">"[.A1]*[.C1]"</definedName>
    <definedName name="__shared_272_1_0">"[.A1]*[.B1]"</definedName>
    <definedName name="__shared_273_0_0">"[.A1]*[.C1]"</definedName>
    <definedName name="__shared_273_1_0">"[.A1]*[.B1]"</definedName>
    <definedName name="__shared_274_0_0">"[.A1]*[.C1]"</definedName>
    <definedName name="__shared_274_1_0">"[.A1]*[.B1]"</definedName>
    <definedName name="__shared_275_0_0">"[.A1]*[.C1]"</definedName>
    <definedName name="__shared_276_0_0">"[.A1]*[.C1]"</definedName>
    <definedName name="__shared_3_0_0">"[.A1]+[.P1]+[.Q1]"</definedName>
    <definedName name="__shared_3_1_0">"[.A1]*[.AA1]"</definedName>
    <definedName name="__shared_3_10_0">"[.A1]*[.G1]"</definedName>
    <definedName name="__shared_3_11_0">"[.A1]+[.P1]+[.Q1]"</definedName>
    <definedName name="__shared_3_12_0">"[.A1]*[.AA1]"</definedName>
    <definedName name="__shared_3_13_0">"[.A1]+[.P1]+[.Q1]"</definedName>
    <definedName name="__shared_3_14_0">"[.A1]*[.AA1]"</definedName>
    <definedName name="__shared_3_2_0">"[.A1]*[.G1]"</definedName>
    <definedName name="__shared_3_3_0">"[.A1]+[.P1]+[.Q1]"</definedName>
    <definedName name="__shared_3_4_0">"[.A1]*[.AA1]"</definedName>
    <definedName name="__shared_3_5_0">"[.A1]*[.G1]"</definedName>
    <definedName name="__shared_3_6_0">"[.A1]*[.G1]"</definedName>
    <definedName name="__shared_3_7_0">"[.A1]+[.P1]+[.Q1]"</definedName>
    <definedName name="__shared_3_8_0">"[.A1]*[.AA1]"</definedName>
    <definedName name="__shared_3_9_0">"[.A1]*[.G1]"</definedName>
    <definedName name="__shared_30_0_0">"[.A1]*[.G1]"</definedName>
    <definedName name="__shared_4_0_0">"[.H1]*[.A1]"</definedName>
    <definedName name="__shared_43_0_0">"[.A1]*[.C1]"</definedName>
    <definedName name="__shared_43_1_0">"[.A1]*[.B1]"</definedName>
    <definedName name="__shared_44_0_0">"[.H1]*[.A1]"</definedName>
    <definedName name="__shared_48_0_0">"[.A1]*[.B1]"</definedName>
    <definedName name="__shared_49_0_0">"[.A1]*[.B1]"</definedName>
    <definedName name="__shared_5_0_0" localSheetId="0">"[.A1]*[.G1]"</definedName>
    <definedName name="__shared_5_0_0">"[.H1]*[.A1]"</definedName>
    <definedName name="__shared_5_1_0">"[.A1]*[.G1]"</definedName>
    <definedName name="__shared_5_2_0">"[.A1]*[.G1]"</definedName>
    <definedName name="__shared_50_0_0">"[.A1]*[.B1]"</definedName>
    <definedName name="__shared_52_0_0">"[.A1]*[.B1]"</definedName>
    <definedName name="__shared_53_0_0">"[.A1]*[.B1]"</definedName>
    <definedName name="__shared_54_0_0">"[.A1]*[.B1]"</definedName>
    <definedName name="__shared_55_0_0">"[.A1]*[.B1]"</definedName>
    <definedName name="__shared_6_0_0" localSheetId="0">"[.A1]*[.G1]"</definedName>
    <definedName name="__shared_6_0_0">"[.H1]*[.A1]"</definedName>
    <definedName name="__shared_6_1_0">"[.A1]*[.G1]"</definedName>
    <definedName name="__shared_6_2_0">"[.A1]+[.B1]"</definedName>
    <definedName name="__shared_6_3_0">"[.A1]*[.G1]"</definedName>
    <definedName name="__shared_6_4_0">"[.A1]*[.G1]"</definedName>
    <definedName name="__shared_6_5_0">"[.A1]*[.G1]"</definedName>
    <definedName name="__shared_6_6_0">"[.A1]*[.G1]"</definedName>
    <definedName name="__shared_60_0_0">"[.H1]*[.A1]"</definedName>
    <definedName name="__shared_61_0_0">"[.H1]*[.A1]"</definedName>
    <definedName name="__shared_63_0_0">"[.H1]*[.A1]"</definedName>
    <definedName name="__shared_67_0_0">"[.A1]*[.C1]"</definedName>
    <definedName name="__shared_67_1_0">"[.A1]*[.B1]"</definedName>
    <definedName name="__shared_67_2_0">"[.A1]*[.B1]"</definedName>
    <definedName name="__shared_68_0_0">"[.A1]*[.C1]"</definedName>
    <definedName name="__shared_68_1_0">"[.A1]*[.B1]"</definedName>
    <definedName name="__shared_68_2_0">"[.A1]*[.B1]"</definedName>
    <definedName name="__shared_69_0_0">"[.A1]*[.B1]"</definedName>
    <definedName name="__shared_69_1_0">"[.A1]*[.B1]"</definedName>
    <definedName name="__shared_7_0_0" localSheetId="0">"[.A1]*[.G1]"</definedName>
    <definedName name="__shared_7_0_0">"[.H1]*[.A1]"</definedName>
    <definedName name="__shared_70_0_0">"[.A1]*[.B1]"</definedName>
    <definedName name="__shared_70_1_0">"[.A1]*[.B1]"</definedName>
    <definedName name="__shared_71_0_0">"[.A1]*[.B1]"</definedName>
    <definedName name="__shared_71_1_0">"[.A1]*[.B1]"</definedName>
    <definedName name="__shared_72_0_0">"[.A1]*[.B1]"</definedName>
    <definedName name="__shared_72_1_0">"[.A1]*[.B1]"</definedName>
    <definedName name="__shared_73_0_0">"[.A1]*[.B1]"</definedName>
    <definedName name="__shared_73_1_0">"[.A1]*[.B1]"</definedName>
    <definedName name="__shared_74_0_0">"[.H1]*[.A1]"</definedName>
    <definedName name="__shared_75_0_0">"[.A1]*[.C1]"</definedName>
    <definedName name="__shared_75_1_0">"[.A1]*[.B1]"</definedName>
    <definedName name="__shared_75_2_0">"[.A1]*[.B1]"</definedName>
    <definedName name="__shared_76_0_0">"[.H1]*[.A1]"</definedName>
    <definedName name="__shared_77_0_0">"[.H1]*[.A1]"</definedName>
    <definedName name="__shared_79_0_0">"[.A1]*[.B1]"</definedName>
    <definedName name="__shared_8_0_0" localSheetId="0">"[.A1]*[.G1]"</definedName>
    <definedName name="__shared_8_0_0">"[.H1]*[.A1]"</definedName>
    <definedName name="__shared_8_1_0">"[.A1]*[.G1]"</definedName>
    <definedName name="__shared_8_2_0">"[.A1]*[.G1]"</definedName>
    <definedName name="__shared_8_3_0">"[.A1]*[.G1]"</definedName>
    <definedName name="__shared_8_4_0">"[.A1]*[.G1]"</definedName>
    <definedName name="__shared_8_5_0">"[.A1]*[.G1]"</definedName>
    <definedName name="__shared_8_6_0">"[.A1]*[.G1]"</definedName>
    <definedName name="__shared_8_7_0">"[.A1]*[.G1]"</definedName>
    <definedName name="__shared_81_0_0">"[.A1]*[.B1]"</definedName>
    <definedName name="__shared_81_1_0">"[.A1]*[.B1]"</definedName>
    <definedName name="__shared_82_0_0">"[.H1]*[.A1]"</definedName>
    <definedName name="__shared_83_0_0">"[.H1]*[.A1]"</definedName>
    <definedName name="__shared_85_0_0">"[.H1]*[.A1]"</definedName>
    <definedName name="__shared_86_0_0">"[.H1]*[.A1]"</definedName>
    <definedName name="__shared_87_0_0">"[.H1]*[.A1]"</definedName>
    <definedName name="__shared_88_0_0">"[.H1]*[.A1]"</definedName>
    <definedName name="__shared_89_0_0">"[.H1]*[.A1]"</definedName>
    <definedName name="__shared_9_0_0" localSheetId="0">"[.A1]*[.G1]"</definedName>
    <definedName name="__shared_9_0_0">"[.H1]*[.A1]"</definedName>
    <definedName name="__shared_9_1_0">"[.A1]*[.G1]"</definedName>
    <definedName name="__shared_9_2_0">"[.A1]*[.G1]"</definedName>
    <definedName name="__shared_9_3_0">"[.A1]*[.G1]"</definedName>
    <definedName name="__shared_9_4_0">"[.A1]*[.G1]"</definedName>
    <definedName name="__shared_9_5_0">"[.A1]*[.G1]"</definedName>
    <definedName name="__shared_9_6_0">"[.A1]*[.G1]"</definedName>
    <definedName name="__shared_9_7_0">"[.A1]*[.G1]"</definedName>
    <definedName name="__shared_90_0_0">"[.H1]*[.A1]"</definedName>
    <definedName name="__shared_95_0_0">"[.A1]*[.C1]"</definedName>
    <definedName name="__shared_95_1_0">"[.A1]*[.B1]"</definedName>
    <definedName name="__shared_95_2_0">"[.A1]*[.B1]"</definedName>
    <definedName name="__shared_95_3_0">"[.A1]*[.B1]"</definedName>
    <definedName name="__shared_95_4_0">"[.A1]*[.B1]"</definedName>
    <definedName name="__shared_96_0_0">"[.A1]*[.B1]"</definedName>
    <definedName name="_BD2" localSheetId="17">!#REF!</definedName>
    <definedName name="_BD2">!#REF!</definedName>
    <definedName name="_BD2_4" localSheetId="17">!#REF!</definedName>
    <definedName name="_BD2_4">!#REF!</definedName>
    <definedName name="_BD2_4_5" localSheetId="17">!#REF!</definedName>
    <definedName name="_BD2_4_5">!#REF!</definedName>
    <definedName name="_BD2_4_5_4" localSheetId="17">!#REF!</definedName>
    <definedName name="_BD2_4_5_4">!#REF!</definedName>
    <definedName name="_BD2_5" localSheetId="17">!#REF!</definedName>
    <definedName name="_BD2_5">!#REF!</definedName>
    <definedName name="_BD2_5_4" localSheetId="17">!#REF!</definedName>
    <definedName name="_BD2_5_4">!#REF!</definedName>
    <definedName name="_xlnm._FilterDatabase" localSheetId="11" hidden="1">CASA_GRUPO_GERADOR!$A$12:$J$125</definedName>
    <definedName name="_xlnm._FilterDatabase" localSheetId="6" hidden="1">CASA_MOTOR_BOMBA!$A$12:$J$92</definedName>
    <definedName name="_xlnm._FilterDatabase" localSheetId="4" hidden="1">COB_VISITANTES!$A$12:$J$54</definedName>
    <definedName name="_xlnm._FilterDatabase" localSheetId="14" hidden="1">COMPOS!$A$4:$G$408</definedName>
    <definedName name="_xlnm._FilterDatabase" localSheetId="17" hidden="1">'CRONOGRAMA '!$A$13:$R$615</definedName>
    <definedName name="_xlnm._FilterDatabase" localSheetId="13" hidden="1">GALPÃO!$A$12:$J$141</definedName>
    <definedName name="_xlnm._FilterDatabase" localSheetId="5" hidden="1">GUARITA!$A$12:$J$162</definedName>
    <definedName name="_xlnm._FilterDatabase" localSheetId="16" hidden="1">IMPLANTAÇÃO!$A$12:$J$201</definedName>
    <definedName name="_xlnm._FilterDatabase" localSheetId="9" hidden="1">PASSARELA!$A$12:$J$51</definedName>
    <definedName name="_xlnm._FilterDatabase" localSheetId="8" hidden="1">PROTEGIDA_COMPARTILHADA!$A$12:$J$248</definedName>
    <definedName name="_xlnm._FilterDatabase" localSheetId="7" hidden="1">QUADRA!$A$12:$J$92</definedName>
    <definedName name="_xlnm._FilterDatabase" localSheetId="15" hidden="1">SINAPI_NOV2020_NDES!$A$7:$H$6790</definedName>
    <definedName name="_xlnm._FilterDatabase" localSheetId="1" hidden="1">UNID_ADMINISTRATIVA!$A$12:$J$212</definedName>
    <definedName name="_xlnm._FilterDatabase" localSheetId="3" hidden="1">UNID_CONTROLE!$A$12:$J$166</definedName>
    <definedName name="_xlnm._FilterDatabase" localSheetId="10" hidden="1">UNID_SERVIÇOS!$A$12:$J$232</definedName>
    <definedName name="_xlnm._FilterDatabase" localSheetId="12" hidden="1">VESTIÁRIO!$A$12:$J$111</definedName>
    <definedName name="_xlnm._FilterDatabase" localSheetId="2" hidden="1">VISITA_ÍNTIMA!$A$12:$J$154</definedName>
    <definedName name="_xlnm.Print_Area" localSheetId="18">BDI!$A$1:$M$62</definedName>
    <definedName name="_xlnm.Print_Area" localSheetId="11">CASA_GRUPO_GERADOR!$A$1:$J$129</definedName>
    <definedName name="_xlnm.Print_Area" localSheetId="6">CASA_MOTOR_BOMBA!$A$1:$J$95</definedName>
    <definedName name="_xlnm.Print_Area" localSheetId="4">COB_VISITANTES!$A$1:$J$54</definedName>
    <definedName name="_xlnm.Print_Area" localSheetId="14">COMPOS!$A$1:$B$327</definedName>
    <definedName name="_xlnm.Print_Area" localSheetId="13">GALPÃO!$A$1:$J$141</definedName>
    <definedName name="_xlnm.Print_Area" localSheetId="5">GUARITA!$A$1:$J$165</definedName>
    <definedName name="_xlnm.Print_Area" localSheetId="16">IMPLANTAÇÃO!$A$1:$J$204</definedName>
    <definedName name="_xlnm.Print_Area" localSheetId="9">PASSARELA!$A$1:$J$51</definedName>
    <definedName name="_xlnm.Print_Area" localSheetId="8">PROTEGIDA_COMPARTILHADA!$A$1:$J$248</definedName>
    <definedName name="_xlnm.Print_Area" localSheetId="7">QUADRA!$A$1:$J$92</definedName>
    <definedName name="_xlnm.Print_Area" localSheetId="3">UNID_CONTROLE!$A$1:$J$166</definedName>
    <definedName name="_xlnm.Print_Area" localSheetId="10">UNID_SERVIÇOS!$A$1:$J$199</definedName>
    <definedName name="_xlnm.Print_Area" localSheetId="12">VESTIÁRIO!$A$1:$J$111</definedName>
    <definedName name="_xlnm.Print_Area" localSheetId="2">VISITA_ÍNTIMA!$A$1:$J$158</definedName>
    <definedName name="bloco" localSheetId="17">!#REF!</definedName>
    <definedName name="bloco">!#REF!</definedName>
    <definedName name="dia3estac" localSheetId="17">!#REF!</definedName>
    <definedName name="dia3estac">!#REF!</definedName>
    <definedName name="diaestaca" localSheetId="17">!#REF!</definedName>
    <definedName name="diaestaca">!#REF!</definedName>
    <definedName name="diaestaca_2" localSheetId="17">!#REF!</definedName>
    <definedName name="diaestaca_2">!#REF!</definedName>
    <definedName name="diaestaca_2_4" localSheetId="17">!#REF!</definedName>
    <definedName name="diaestaca_2_4">!#REF!</definedName>
    <definedName name="diaestaca_4" localSheetId="17">!#REF!</definedName>
    <definedName name="diaestaca_4">!#REF!</definedName>
    <definedName name="diambase" localSheetId="17">!#REF!</definedName>
    <definedName name="diambase">!#REF!</definedName>
    <definedName name="estaca" localSheetId="17">!#REF!</definedName>
    <definedName name="estaca">!#REF!</definedName>
    <definedName name="estaca3" localSheetId="17">!#REF!</definedName>
    <definedName name="estaca3">!#REF!</definedName>
    <definedName name="Excel_BuiltIn__FilterDatabase_4" localSheetId="17">!#REF!</definedName>
    <definedName name="Excel_BuiltIn__FilterDatabase_4">!#REF!</definedName>
    <definedName name="Excel_BuiltIn__FilterDatabase_4_5" localSheetId="17">!#REF!</definedName>
    <definedName name="Excel_BuiltIn__FilterDatabase_4_5">!#REF!</definedName>
    <definedName name="Excel_BuiltIn__FilterDatabase_4_5_4" localSheetId="17">!#REF!</definedName>
    <definedName name="Excel_BuiltIn__FilterDatabase_4_5_4">!#REF!</definedName>
    <definedName name="Excel_BuiltIn_Print_Area" localSheetId="14">COMPOS!$A$1:$B$327</definedName>
    <definedName name="Excel_BuiltIn_Print_Area_1" localSheetId="18">BDI!$A$1:$M$62</definedName>
    <definedName name="Excel_BuiltIn_Print_Area_1">#REF!</definedName>
    <definedName name="Excel_BuiltIn_Print_Area_1_1" localSheetId="18">BDI!$A$1:$M$23</definedName>
    <definedName name="Excel_BuiltIn_Print_Area_1_1">#REF!</definedName>
    <definedName name="Excel_BuiltIn_Print_Area_3_1" localSheetId="17">!#REF!</definedName>
    <definedName name="Excel_BuiltIn_Print_Area_3_1">!#REF!</definedName>
    <definedName name="Excel_BuiltIn_Print_Area_3_1_1" localSheetId="17">!#REF!</definedName>
    <definedName name="Excel_BuiltIn_Print_Area_3_1_1">!#REF!</definedName>
    <definedName name="Excel_BuiltIn_Print_Area_4_1" localSheetId="17">!#REF!</definedName>
    <definedName name="Excel_BuiltIn_Print_Area_4_1">!#REF!</definedName>
    <definedName name="Excel_BuiltIn_Print_Area_4_1_5" localSheetId="17">!#REF!</definedName>
    <definedName name="Excel_BuiltIn_Print_Area_4_1_5">!#REF!</definedName>
    <definedName name="Excel_BuiltIn_Print_Area_4_1_5_4" localSheetId="17">!#REF!</definedName>
    <definedName name="Excel_BuiltIn_Print_Area_4_1_5_4">!#REF!</definedName>
    <definedName name="Excel_BuiltIn_Print_Titles_2_1" localSheetId="11">(#REF!,#REF!)</definedName>
    <definedName name="Excel_BuiltIn_Print_Titles_2_1" localSheetId="6">(#REF!,#REF!)</definedName>
    <definedName name="Excel_BuiltIn_Print_Titles_2_1" localSheetId="4">(#REF!,#REF!)</definedName>
    <definedName name="Excel_BuiltIn_Print_Titles_2_1" localSheetId="17">(#REF!,#REF!)</definedName>
    <definedName name="Excel_BuiltIn_Print_Titles_2_1" localSheetId="13">(#REF!,#REF!)</definedName>
    <definedName name="Excel_BuiltIn_Print_Titles_2_1" localSheetId="5">(#REF!,#REF!)</definedName>
    <definedName name="Excel_BuiltIn_Print_Titles_2_1" localSheetId="9">(#REF!,#REF!)</definedName>
    <definedName name="Excel_BuiltIn_Print_Titles_2_1" localSheetId="8">(#REF!,#REF!)</definedName>
    <definedName name="Excel_BuiltIn_Print_Titles_2_1" localSheetId="7">(#REF!,#REF!)</definedName>
    <definedName name="Excel_BuiltIn_Print_Titles_2_1" localSheetId="0">"(#REF!;#REF!)"</definedName>
    <definedName name="Excel_BuiltIn_Print_Titles_2_1" localSheetId="1">(#REF!,#REF!)</definedName>
    <definedName name="Excel_BuiltIn_Print_Titles_2_1" localSheetId="10">(#REF!,#REF!)</definedName>
    <definedName name="Excel_BuiltIn_Print_Titles_2_1" localSheetId="12">(#REF!,#REF!)</definedName>
    <definedName name="Excel_BuiltIn_Print_Titles_2_1" localSheetId="2">(#REF!,#REF!)</definedName>
    <definedName name="Excel_BuiltIn_Print_Titles_2_1">(#REF!,#REF!)</definedName>
    <definedName name="Excel_BuiltIn_Print_Titles_2_1_5" localSheetId="11">(#REF!,#REF!)</definedName>
    <definedName name="Excel_BuiltIn_Print_Titles_2_1_5" localSheetId="6">(#REF!,#REF!)</definedName>
    <definedName name="Excel_BuiltIn_Print_Titles_2_1_5" localSheetId="4">(#REF!,#REF!)</definedName>
    <definedName name="Excel_BuiltIn_Print_Titles_2_1_5" localSheetId="17">(#REF!,#REF!)</definedName>
    <definedName name="Excel_BuiltIn_Print_Titles_2_1_5" localSheetId="13">(#REF!,#REF!)</definedName>
    <definedName name="Excel_BuiltIn_Print_Titles_2_1_5" localSheetId="5">(#REF!,#REF!)</definedName>
    <definedName name="Excel_BuiltIn_Print_Titles_2_1_5" localSheetId="9">(#REF!,#REF!)</definedName>
    <definedName name="Excel_BuiltIn_Print_Titles_2_1_5" localSheetId="8">(#REF!,#REF!)</definedName>
    <definedName name="Excel_BuiltIn_Print_Titles_2_1_5" localSheetId="7">(#REF!,#REF!)</definedName>
    <definedName name="Excel_BuiltIn_Print_Titles_2_1_5" localSheetId="0">"(#REF!;#REF!)"</definedName>
    <definedName name="Excel_BuiltIn_Print_Titles_2_1_5" localSheetId="1">(#REF!,#REF!)</definedName>
    <definedName name="Excel_BuiltIn_Print_Titles_2_1_5" localSheetId="10">(#REF!,#REF!)</definedName>
    <definedName name="Excel_BuiltIn_Print_Titles_2_1_5" localSheetId="12">(#REF!,#REF!)</definedName>
    <definedName name="Excel_BuiltIn_Print_Titles_2_1_5" localSheetId="2">(#REF!,#REF!)</definedName>
    <definedName name="Excel_BuiltIn_Print_Titles_2_1_5">(#REF!,#REF!)</definedName>
    <definedName name="Excel_BuiltIn_Print_Titles_3" localSheetId="17">!#REF!</definedName>
    <definedName name="Excel_BuiltIn_Print_Titles_3">!#REF!</definedName>
    <definedName name="Excel_BuiltIn_Print_Titles_3_1" localSheetId="17">!#REF!</definedName>
    <definedName name="Excel_BuiltIn_Print_Titles_3_1">!#REF!</definedName>
    <definedName name="Excel_BuiltIn_Print_Titles_4_1" localSheetId="17">!#REF!</definedName>
    <definedName name="Excel_BuiltIn_Print_Titles_4_1">!#REF!</definedName>
    <definedName name="Excel_BuiltIn_Print_Titles_4_1_5" localSheetId="17">!#REF!</definedName>
    <definedName name="Excel_BuiltIn_Print_Titles_4_1_5">!#REF!</definedName>
    <definedName name="Excel_BuiltIn_Print_Titles_4_1_5_4" localSheetId="17">!#REF!</definedName>
    <definedName name="Excel_BuiltIn_Print_Titles_4_1_5_4">!#REF!</definedName>
    <definedName name="Excel_BuiltIn_Print_Titles_5_1" localSheetId="11">(#REF!,#REF!)</definedName>
    <definedName name="Excel_BuiltIn_Print_Titles_5_1" localSheetId="6">(#REF!,#REF!)</definedName>
    <definedName name="Excel_BuiltIn_Print_Titles_5_1" localSheetId="4">(#REF!,#REF!)</definedName>
    <definedName name="Excel_BuiltIn_Print_Titles_5_1" localSheetId="17">(#REF!,#REF!)</definedName>
    <definedName name="Excel_BuiltIn_Print_Titles_5_1" localSheetId="13">(#REF!,#REF!)</definedName>
    <definedName name="Excel_BuiltIn_Print_Titles_5_1" localSheetId="5">(#REF!,#REF!)</definedName>
    <definedName name="Excel_BuiltIn_Print_Titles_5_1" localSheetId="9">(#REF!,#REF!)</definedName>
    <definedName name="Excel_BuiltIn_Print_Titles_5_1" localSheetId="8">(#REF!,#REF!)</definedName>
    <definedName name="Excel_BuiltIn_Print_Titles_5_1" localSheetId="7">(#REF!,#REF!)</definedName>
    <definedName name="Excel_BuiltIn_Print_Titles_5_1" localSheetId="0">"(#REF!;#REF!)"</definedName>
    <definedName name="Excel_BuiltIn_Print_Titles_5_1" localSheetId="1">(#REF!,#REF!)</definedName>
    <definedName name="Excel_BuiltIn_Print_Titles_5_1" localSheetId="10">(#REF!,#REF!)</definedName>
    <definedName name="Excel_BuiltIn_Print_Titles_5_1" localSheetId="12">(#REF!,#REF!)</definedName>
    <definedName name="Excel_BuiltIn_Print_Titles_5_1" localSheetId="2">(#REF!,#REF!)</definedName>
    <definedName name="Excel_BuiltIn_Print_Titles_5_1">(#REF!,#REF!)</definedName>
    <definedName name="Excel_BuiltIn_Print_Titles_5_1_5" localSheetId="17">(#REF!,#REF!)</definedName>
    <definedName name="Excel_BuiltIn_Print_Titles_5_1_5" localSheetId="0">"(#REF!;#REF!)"</definedName>
    <definedName name="Excel_BuiltIn_Print_Titles_5_1_5">(#REF!,#REF!)</definedName>
    <definedName name="Excel_BuiltIn_Print_Titles_7" localSheetId="17">(#REF!,#REF!)</definedName>
    <definedName name="Excel_BuiltIn_Print_Titles_7" localSheetId="0">"(#REF!;#REF!)"</definedName>
    <definedName name="Excel_BuiltIn_Print_Titles_7">(#REF!,#REF!)</definedName>
    <definedName name="Excel_BuiltIn_Print_Titles_7_5" localSheetId="17">(#REF!,#REF!)</definedName>
    <definedName name="Excel_BuiltIn_Print_Titles_7_5" localSheetId="0">"(#REF!;#REF!)"</definedName>
    <definedName name="Excel_BuiltIn_Print_Titles_7_5">(#REF!,#REF!)</definedName>
    <definedName name="Excel_BuiltIn_Print_Titles_8_1" localSheetId="17">(#REF!,#REF!)</definedName>
    <definedName name="Excel_BuiltIn_Print_Titles_8_1" localSheetId="0">"(#REF!;#REF!)"</definedName>
    <definedName name="Excel_BuiltIn_Print_Titles_8_1">(#REF!,#REF!)</definedName>
    <definedName name="Excel_BuiltIn_Print_Titles_8_1_12" localSheetId="17">(#REF!,#REF!)</definedName>
    <definedName name="Excel_BuiltIn_Print_Titles_8_1_12" localSheetId="0">"(#REF!;#REF!)"</definedName>
    <definedName name="Excel_BuiltIn_Print_Titles_8_1_12">(#REF!,#REF!)</definedName>
    <definedName name="Excel_BuiltIn_Print_Titles_8_1_13" localSheetId="17">(#REF!,#REF!)</definedName>
    <definedName name="Excel_BuiltIn_Print_Titles_8_1_13" localSheetId="0">"(#REF!;#REF!)"</definedName>
    <definedName name="Excel_BuiltIn_Print_Titles_8_1_13">(#REF!,#REF!)</definedName>
    <definedName name="Excel_BuiltIn_Print_Titles_8_1_14" localSheetId="17">(#REF!,#REF!)</definedName>
    <definedName name="Excel_BuiltIn_Print_Titles_8_1_14" localSheetId="0">"(#REF!;#REF!)"</definedName>
    <definedName name="Excel_BuiltIn_Print_Titles_8_1_14">(#REF!,#REF!)</definedName>
    <definedName name="Excel_BuiltIn_Print_Titles_8_1_5" localSheetId="17">(#REF!,#REF!)</definedName>
    <definedName name="Excel_BuiltIn_Print_Titles_8_1_5" localSheetId="0">"(#REF!;#REF!)"</definedName>
    <definedName name="Excel_BuiltIn_Print_Titles_8_1_5">(#REF!,#REF!)</definedName>
    <definedName name="Excel_BuiltIn_Print_Titles_8_1_5_4" localSheetId="17">(#REF!,#REF!)</definedName>
    <definedName name="Excel_BuiltIn_Print_Titles_8_1_5_4" localSheetId="0">"(#REF!;#REF!)"</definedName>
    <definedName name="Excel_BuiltIn_Print_Titles_8_1_5_4">(#REF!,#REF!)</definedName>
    <definedName name="fuste" localSheetId="17">!#REF!</definedName>
    <definedName name="fuste">!#REF!</definedName>
    <definedName name="perfura" localSheetId="17">!#REF!</definedName>
    <definedName name="perfura">!#REF!</definedName>
    <definedName name="pilares" localSheetId="17">!#REF!</definedName>
    <definedName name="pilares">!#REF!</definedName>
    <definedName name="pilares_2" localSheetId="17">!#REF!</definedName>
    <definedName name="pilares_2">!#REF!</definedName>
    <definedName name="pilares_2_4" localSheetId="17">!#REF!</definedName>
    <definedName name="pilares_2_4">!#REF!</definedName>
    <definedName name="pilares_4" localSheetId="17">!#REF!</definedName>
    <definedName name="pilares_4">!#REF!</definedName>
    <definedName name="qtd3esta" localSheetId="17">!#REF!</definedName>
    <definedName name="qtd3esta">!#REF!</definedName>
    <definedName name="qtdbase" localSheetId="17">!#REF!</definedName>
    <definedName name="qtdbase">!#REF!</definedName>
    <definedName name="qtdbltub" localSheetId="17">!#REF!</definedName>
    <definedName name="qtdbltub">!#REF!</definedName>
    <definedName name="qtdestac" localSheetId="17">!#REF!</definedName>
    <definedName name="qtdestac">!#REF!</definedName>
    <definedName name="qtdestac_2" localSheetId="17">!#REF!</definedName>
    <definedName name="qtdestac_2">!#REF!</definedName>
    <definedName name="qtdestac_2_4" localSheetId="17">!#REF!</definedName>
    <definedName name="qtdestac_2_4">!#REF!</definedName>
    <definedName name="qtdestac_4" localSheetId="17">!#REF!</definedName>
    <definedName name="qtdestac_4">!#REF!</definedName>
    <definedName name="qtdsap" localSheetId="17">!#REF!</definedName>
    <definedName name="qtdsap">!#REF!</definedName>
    <definedName name="qtdtub" localSheetId="17">!#REF!</definedName>
    <definedName name="qtdtub">!#REF!</definedName>
    <definedName name="sapata" localSheetId="17">!#REF!</definedName>
    <definedName name="sapata">!#REF!</definedName>
    <definedName name="SHARED_FORMULA_23_21_23_21_143">"""[.P22]*[.I22]"""</definedName>
    <definedName name="SHARED_FORMULA_25_8_25_8_143">"""[.N9]*[.H9]"""</definedName>
    <definedName name="SHARED_FORMULA_6_121_6_121_95">"""[.E122]*[.F122]"""</definedName>
    <definedName name="SHARED_FORMULA_6_18_6_18_126">"""[.E19]*[.F19]"""</definedName>
    <definedName name="SHARED_FORMULA_6_18_6_18_156">"""[.E19]*[.F19]"""</definedName>
    <definedName name="SHARED_FORMULA_6_19_6_19_155">"""[.E20]*[.F20]"""</definedName>
    <definedName name="SHARED_FORMULA_6_19_6_19_96">"""[.E20]*[.F20]"""</definedName>
    <definedName name="SHARED_FORMULA_6_21_6_21_101">"""[.E22]*[.F22]"""</definedName>
    <definedName name="SHARED_FORMULA_6_24_6_24_95">"""[.E25]*[.F25]"""</definedName>
    <definedName name="SHARED_FORMULA_6_56_6_56_95">"""[.E57]*[.F57]"""</definedName>
    <definedName name="SHARED_FORMULA_6_8_6_8_101">"""[.D9]*[.F9]"""</definedName>
    <definedName name="SHARED_FORMULA_6_9_6_9_95">"""[.D10]*[.F10]"""</definedName>
    <definedName name="tipobloco" localSheetId="17">!#REF!</definedName>
    <definedName name="tipobloco">!#REF!</definedName>
    <definedName name="_xlnm.Print_Titles" localSheetId="11">CASA_GRUPO_GERADOR!$1:$12</definedName>
    <definedName name="_xlnm.Print_Titles" localSheetId="6">CASA_MOTOR_BOMBA!$1:$12</definedName>
    <definedName name="_xlnm.Print_Titles" localSheetId="4">COB_VISITANTES!$1:$12</definedName>
    <definedName name="_xlnm.Print_Titles" localSheetId="17">'CRONOGRAMA '!$1:$14</definedName>
    <definedName name="_xlnm.Print_Titles" localSheetId="13">GALPÃO!$1:$12</definedName>
    <definedName name="_xlnm.Print_Titles" localSheetId="5">GUARITA!$1:$12</definedName>
    <definedName name="_xlnm.Print_Titles" localSheetId="16">IMPLANTAÇÃO!$1:$12</definedName>
    <definedName name="_xlnm.Print_Titles" localSheetId="9">PASSARELA!$1:$12</definedName>
    <definedName name="_xlnm.Print_Titles" localSheetId="8">PROTEGIDA_COMPARTILHADA!$1:$12</definedName>
    <definedName name="_xlnm.Print_Titles" localSheetId="7">QUADRA!$1:$12</definedName>
    <definedName name="_xlnm.Print_Titles" localSheetId="1">UNID_ADMINISTRATIVA!$1:$11</definedName>
    <definedName name="_xlnm.Print_Titles" localSheetId="3">UNID_CONTROLE!$1:$12</definedName>
    <definedName name="_xlnm.Print_Titles" localSheetId="10">UNID_SERVIÇOS!$1:$12</definedName>
    <definedName name="_xlnm.Print_Titles" localSheetId="12">VESTIÁRIO!$1:$12</definedName>
    <definedName name="_xlnm.Print_Titles" localSheetId="2">VISITA_ÍNTIMA!$1:$12</definedName>
    <definedName name="tot3estac" localSheetId="17">!#REF!</definedName>
    <definedName name="tot3estac">!#REF!</definedName>
    <definedName name="totbase" localSheetId="17">!#REF!</definedName>
    <definedName name="totbase">!#REF!</definedName>
    <definedName name="totestaca" localSheetId="17">!#REF!</definedName>
    <definedName name="totestaca">!#REF!</definedName>
    <definedName name="totestaca_2" localSheetId="17">!#REF!</definedName>
    <definedName name="totestaca_2">!#REF!</definedName>
    <definedName name="totestaca_2_4" localSheetId="17">!#REF!</definedName>
    <definedName name="totestaca_2_4">!#REF!</definedName>
    <definedName name="totestaca_4" localSheetId="17">!#REF!</definedName>
    <definedName name="totestaca_4">!#REF!</definedName>
    <definedName name="totperfura" localSheetId="17">!#REF!</definedName>
    <definedName name="totperfura">!#REF!</definedName>
    <definedName name="Z_75F89B85_68FF_4815_939D_125F7FA00154_.wvu.PrintArea" localSheetId="16" hidden="1">IMPLANTAÇÃO!$A$10:$J$200</definedName>
    <definedName name="Z_F0B59077_E91F_4902_BAF3_E980CE858A35_.wvu.PrintArea" localSheetId="16" hidden="1">IMPLANTAÇÃO!$A$10:$J$200</definedName>
  </definedNames>
  <calcPr calcId="191029"/>
  <customWorkbookViews>
    <customWorkbookView name="user - Modo de exibição pessoal" guid="{F0B59077-E91F-4902-BAF3-E980CE858A35}" mergeInterval="0" personalView="1" maximized="1" xWindow="-8" yWindow="-8" windowWidth="1456" windowHeight="876" tabRatio="758" activeSheetId="2"/>
    <customWorkbookView name="Marsou - Modo de exibição pessoal" guid="{CC0EDFEC-6A25-4030-ADA1-F73311A7C09A}" mergeInterval="0" personalView="1" maximized="1" windowWidth="1916" windowHeight="775" tabRatio="758" activeSheetId="2"/>
    <customWorkbookView name="Marsou05 - Modo de exibição pessoal" guid="{75F89B85-68FF-4815-939D-125F7FA00154}" mergeInterval="0" personalView="1" maximized="1" windowWidth="1148" windowHeight="639" tabRatio="758" activeSheetId="1"/>
  </customWorkbookViews>
  <fileRecoveryPr autoRecover="0"/>
</workbook>
</file>

<file path=xl/calcChain.xml><?xml version="1.0" encoding="utf-8"?>
<calcChain xmlns="http://schemas.openxmlformats.org/spreadsheetml/2006/main">
  <c r="C5" i="36" l="1"/>
  <c r="C5" i="33"/>
  <c r="C6" i="1"/>
  <c r="C5" i="1"/>
  <c r="C4" i="1"/>
  <c r="C6" i="38"/>
  <c r="C5" i="38"/>
  <c r="C4" i="38"/>
  <c r="C6" i="39"/>
  <c r="C5" i="39"/>
  <c r="C4" i="39"/>
  <c r="C6" i="43"/>
  <c r="C5" i="43"/>
  <c r="C4" i="43"/>
  <c r="C6" i="34"/>
  <c r="C5" i="34"/>
  <c r="C4" i="34"/>
  <c r="C6" i="37"/>
  <c r="C5" i="37"/>
  <c r="C4" i="37"/>
  <c r="C6" i="44"/>
  <c r="C5" i="44"/>
  <c r="C4" i="44"/>
  <c r="C6" i="40"/>
  <c r="C5" i="40"/>
  <c r="C4" i="40"/>
  <c r="C6" i="33"/>
  <c r="C4" i="33"/>
  <c r="C6" i="32"/>
  <c r="C5" i="32"/>
  <c r="C4" i="32"/>
  <c r="C6" i="35"/>
  <c r="C5" i="35"/>
  <c r="C4" i="35"/>
  <c r="H54" i="49"/>
  <c r="J54" i="49" l="1"/>
  <c r="H53" i="46"/>
  <c r="G16" i="49"/>
  <c r="G46" i="46"/>
  <c r="H46" i="46" s="1"/>
  <c r="J50" i="43" l="1"/>
  <c r="J203" i="1"/>
  <c r="J202" i="1"/>
  <c r="J140" i="38"/>
  <c r="J139" i="38"/>
  <c r="J110" i="39"/>
  <c r="J109" i="39"/>
  <c r="J129" i="42"/>
  <c r="J128" i="42"/>
  <c r="J127" i="42"/>
  <c r="J199" i="36"/>
  <c r="J198" i="36"/>
  <c r="J247" i="34"/>
  <c r="J246" i="34"/>
  <c r="F14" i="46"/>
  <c r="F18" i="46"/>
  <c r="G14" i="46"/>
  <c r="G26" i="46"/>
  <c r="F34" i="46"/>
  <c r="F30" i="46"/>
  <c r="G28" i="46"/>
  <c r="F26" i="46"/>
  <c r="F36" i="46"/>
  <c r="F40" i="46"/>
  <c r="G36" i="46"/>
  <c r="G24" i="46"/>
  <c r="F32" i="46"/>
  <c r="F22" i="46"/>
  <c r="F16" i="46"/>
  <c r="F38" i="46"/>
  <c r="F28" i="46"/>
  <c r="F24" i="46"/>
  <c r="F20" i="46"/>
  <c r="G38" i="46"/>
  <c r="G30" i="46"/>
  <c r="G32" i="46"/>
  <c r="G40" i="46"/>
  <c r="G22" i="46"/>
  <c r="G34" i="46"/>
  <c r="G16" i="46"/>
  <c r="G20" i="46"/>
  <c r="G18" i="46"/>
  <c r="G43" i="46" l="1"/>
  <c r="H55" i="49" s="1"/>
  <c r="H56" i="49" s="1"/>
  <c r="F43" i="46"/>
  <c r="J49" i="43"/>
  <c r="J95" i="44"/>
  <c r="J94" i="44"/>
  <c r="J93" i="44"/>
  <c r="J164" i="40"/>
  <c r="J163" i="40"/>
  <c r="J53" i="33"/>
  <c r="J52" i="33"/>
  <c r="J165" i="32"/>
  <c r="J164" i="32"/>
  <c r="J157" i="41"/>
  <c r="J156" i="41"/>
  <c r="I34" i="1"/>
  <c r="I32" i="1"/>
  <c r="I31" i="1"/>
  <c r="C68" i="40"/>
  <c r="C69" i="40"/>
  <c r="C70" i="40"/>
  <c r="C71" i="40"/>
  <c r="C72" i="40"/>
  <c r="C73" i="40"/>
  <c r="C76" i="40"/>
  <c r="C77" i="40"/>
  <c r="C78" i="40"/>
  <c r="C79" i="40"/>
  <c r="C80" i="40"/>
  <c r="C81" i="40"/>
  <c r="C82" i="40"/>
  <c r="C83" i="40"/>
  <c r="C84" i="40"/>
  <c r="C89" i="40"/>
  <c r="C90" i="40"/>
  <c r="C93" i="40"/>
  <c r="C94" i="40"/>
  <c r="C95" i="40"/>
  <c r="C96" i="40"/>
  <c r="C97" i="40"/>
  <c r="C98" i="40"/>
  <c r="C99" i="40"/>
  <c r="C100" i="40"/>
  <c r="C101" i="40"/>
  <c r="C108" i="32"/>
  <c r="H16" i="46"/>
  <c r="H22" i="46"/>
  <c r="H20" i="46"/>
  <c r="H14" i="46"/>
  <c r="H18" i="46"/>
  <c r="H24" i="46"/>
  <c r="J55" i="49" l="1"/>
  <c r="H57" i="49"/>
  <c r="H58" i="49" s="1"/>
  <c r="H60" i="49" s="1"/>
  <c r="J56" i="49"/>
  <c r="C120" i="35"/>
  <c r="C123" i="35"/>
  <c r="C125" i="35"/>
  <c r="C126" i="35"/>
  <c r="C127" i="35"/>
  <c r="C128" i="35"/>
  <c r="C131" i="35"/>
  <c r="C132" i="35"/>
  <c r="C134" i="35"/>
  <c r="C135" i="35"/>
  <c r="C136" i="35"/>
  <c r="C137" i="35"/>
  <c r="C138" i="35"/>
  <c r="C139" i="35"/>
  <c r="C119" i="35"/>
  <c r="F428" i="31"/>
  <c r="F426" i="31"/>
  <c r="C47" i="32"/>
  <c r="C60" i="32"/>
  <c r="C61" i="32"/>
  <c r="C62" i="32"/>
  <c r="C79" i="34"/>
  <c r="C96" i="34"/>
  <c r="C97" i="34"/>
  <c r="C106" i="34"/>
  <c r="C108" i="34"/>
  <c r="C110" i="34"/>
  <c r="C50" i="36"/>
  <c r="C67" i="36"/>
  <c r="C68" i="36"/>
  <c r="C77" i="36"/>
  <c r="C79" i="36"/>
  <c r="C81" i="36"/>
  <c r="F252" i="31"/>
  <c r="F52" i="31" l="1"/>
  <c r="F164" i="31"/>
  <c r="F198" i="31"/>
  <c r="F213" i="31"/>
  <c r="F214" i="31"/>
  <c r="F215" i="31"/>
  <c r="F216" i="31"/>
  <c r="F217" i="31"/>
  <c r="F218" i="31"/>
  <c r="F219" i="31"/>
  <c r="F220" i="31"/>
  <c r="F221" i="31"/>
  <c r="F222" i="31"/>
  <c r="F223" i="31"/>
  <c r="F224" i="31"/>
  <c r="F225" i="31"/>
  <c r="F226" i="31"/>
  <c r="F227" i="31"/>
  <c r="F228" i="31"/>
  <c r="F229" i="31"/>
  <c r="F230" i="31"/>
  <c r="F231" i="31"/>
  <c r="F232" i="31"/>
  <c r="F249" i="31"/>
  <c r="F250" i="31"/>
  <c r="F251" i="31"/>
  <c r="F253" i="31"/>
  <c r="F254" i="31"/>
  <c r="F255" i="31"/>
  <c r="F256" i="31"/>
  <c r="F257" i="31"/>
  <c r="F258" i="31"/>
  <c r="F259" i="31"/>
  <c r="F260" i="31"/>
  <c r="F261" i="31"/>
  <c r="F262" i="31"/>
  <c r="F263" i="31"/>
  <c r="F264" i="31"/>
  <c r="F265" i="31"/>
  <c r="F266" i="31"/>
  <c r="F267" i="31"/>
  <c r="F268" i="31"/>
  <c r="F269" i="31"/>
  <c r="F270" i="31"/>
  <c r="F271" i="31"/>
  <c r="F272" i="31"/>
  <c r="F273" i="31"/>
  <c r="F274" i="31"/>
  <c r="F275" i="31"/>
  <c r="F276" i="31"/>
  <c r="F277" i="31"/>
  <c r="F278" i="31"/>
  <c r="F279" i="31"/>
  <c r="F280" i="31"/>
  <c r="F281" i="31"/>
  <c r="F282" i="31"/>
  <c r="F283" i="31"/>
  <c r="F284" i="31"/>
  <c r="F285" i="31"/>
  <c r="F286" i="31"/>
  <c r="F287" i="31"/>
  <c r="F288" i="31"/>
  <c r="F289" i="31"/>
  <c r="F290" i="31"/>
  <c r="F291" i="31"/>
  <c r="F292" i="31"/>
  <c r="F293" i="31"/>
  <c r="F294" i="31"/>
  <c r="F295" i="31"/>
  <c r="F296" i="31"/>
  <c r="F297" i="31"/>
  <c r="F298" i="31"/>
  <c r="F299" i="31"/>
  <c r="F300" i="31"/>
  <c r="F301" i="31"/>
  <c r="F302" i="31"/>
  <c r="F303" i="31"/>
  <c r="F304" i="31"/>
  <c r="F305" i="31"/>
  <c r="F306" i="31"/>
  <c r="F307" i="31"/>
  <c r="F308" i="31"/>
  <c r="F309" i="31"/>
  <c r="F310" i="31"/>
  <c r="F311" i="31"/>
  <c r="F312" i="31"/>
  <c r="F313" i="31"/>
  <c r="F314" i="31"/>
  <c r="F315" i="31"/>
  <c r="F316" i="31"/>
  <c r="F317" i="31"/>
  <c r="F318" i="31"/>
  <c r="F319" i="31"/>
  <c r="F320" i="31"/>
  <c r="F321" i="31"/>
  <c r="F322" i="31"/>
  <c r="F323" i="31"/>
  <c r="F324" i="31"/>
  <c r="F325" i="31"/>
  <c r="F326" i="31"/>
  <c r="F327" i="31"/>
  <c r="F328" i="31"/>
  <c r="F329" i="31"/>
  <c r="F330" i="31"/>
  <c r="F331" i="31"/>
  <c r="F332" i="31"/>
  <c r="F333" i="31"/>
  <c r="F334" i="31"/>
  <c r="F335" i="31"/>
  <c r="F336" i="31"/>
  <c r="F337" i="31"/>
  <c r="F338" i="31"/>
  <c r="F339" i="31"/>
  <c r="F340" i="31"/>
  <c r="F341" i="31"/>
  <c r="F342" i="31"/>
  <c r="F343" i="31"/>
  <c r="F344" i="31"/>
  <c r="F345" i="31"/>
  <c r="F346" i="31"/>
  <c r="F347" i="31"/>
  <c r="F348" i="31"/>
  <c r="F349" i="31"/>
  <c r="F350" i="31"/>
  <c r="F351" i="31"/>
  <c r="F352" i="31"/>
  <c r="F353" i="31"/>
  <c r="F354" i="31"/>
  <c r="F355" i="31"/>
  <c r="F356" i="31"/>
  <c r="F357" i="31"/>
  <c r="F358" i="31"/>
  <c r="F359" i="31"/>
  <c r="F360" i="31"/>
  <c r="F361" i="31"/>
  <c r="F362" i="31"/>
  <c r="F363" i="31"/>
  <c r="F364" i="31"/>
  <c r="F365" i="31"/>
  <c r="F367" i="31"/>
  <c r="F368" i="31"/>
  <c r="F369" i="31"/>
  <c r="F370" i="31"/>
  <c r="F371" i="31"/>
  <c r="F372" i="31"/>
  <c r="F373" i="31"/>
  <c r="F374" i="31"/>
  <c r="F375" i="31"/>
  <c r="F376" i="31"/>
  <c r="F377" i="31"/>
  <c r="F378" i="31"/>
  <c r="F379" i="31"/>
  <c r="F380" i="31"/>
  <c r="F381" i="31"/>
  <c r="F382" i="31"/>
  <c r="F383" i="31"/>
  <c r="F384" i="31"/>
  <c r="F385" i="31"/>
  <c r="F386" i="31"/>
  <c r="F387" i="31"/>
  <c r="F388" i="31"/>
  <c r="F389" i="31"/>
  <c r="F390" i="31"/>
  <c r="F391" i="31"/>
  <c r="F392" i="31"/>
  <c r="F393" i="31"/>
  <c r="F394" i="31"/>
  <c r="F395" i="31"/>
  <c r="F396" i="31"/>
  <c r="F397" i="31"/>
  <c r="F398" i="31"/>
  <c r="F399" i="31"/>
  <c r="F400" i="31"/>
  <c r="F401" i="31"/>
  <c r="F402" i="31"/>
  <c r="F403" i="31"/>
  <c r="F404" i="31"/>
  <c r="F405" i="31"/>
  <c r="F406" i="31"/>
  <c r="F407" i="31"/>
  <c r="F408" i="31"/>
  <c r="F409" i="31"/>
  <c r="F410" i="31"/>
  <c r="F411" i="31"/>
  <c r="F412" i="31"/>
  <c r="F413" i="31"/>
  <c r="F414" i="31"/>
  <c r="F415" i="31"/>
  <c r="F416" i="31"/>
  <c r="F417" i="31"/>
  <c r="F418" i="31"/>
  <c r="F419" i="31"/>
  <c r="F420" i="31"/>
  <c r="F421" i="31"/>
  <c r="D131" i="38" l="1"/>
  <c r="D130" i="38"/>
  <c r="D129" i="38"/>
  <c r="D125" i="38"/>
  <c r="D121" i="38"/>
  <c r="D115" i="38"/>
  <c r="D116" i="38"/>
  <c r="D117" i="38"/>
  <c r="D114" i="38"/>
  <c r="D111" i="38"/>
  <c r="D96" i="38"/>
  <c r="D93" i="38"/>
  <c r="D70" i="38"/>
  <c r="D76" i="38"/>
  <c r="D77" i="38"/>
  <c r="D78" i="38"/>
  <c r="D79" i="38"/>
  <c r="D80" i="38"/>
  <c r="D82" i="38"/>
  <c r="D83" i="38"/>
  <c r="D69" i="38"/>
  <c r="D49" i="38"/>
  <c r="D58" i="38"/>
  <c r="D60" i="38"/>
  <c r="D62" i="38"/>
  <c r="D48" i="38"/>
  <c r="D22" i="38"/>
  <c r="D25" i="38"/>
  <c r="D28" i="38"/>
  <c r="D29" i="38"/>
  <c r="D31" i="38"/>
  <c r="D34" i="38"/>
  <c r="D35" i="38"/>
  <c r="D36" i="38"/>
  <c r="D42" i="38"/>
  <c r="D14" i="38"/>
  <c r="D199" i="1"/>
  <c r="D195" i="1"/>
  <c r="D190" i="1"/>
  <c r="D185" i="1"/>
  <c r="D184" i="1"/>
  <c r="D182" i="1"/>
  <c r="D181" i="1"/>
  <c r="D180" i="1"/>
  <c r="D177" i="1"/>
  <c r="D176" i="1"/>
  <c r="D175" i="1"/>
  <c r="D174" i="1"/>
  <c r="D173" i="1"/>
  <c r="D172" i="1"/>
  <c r="D171" i="1"/>
  <c r="D170" i="1"/>
  <c r="D169" i="1"/>
  <c r="D168" i="1"/>
  <c r="D133" i="1"/>
  <c r="D134" i="1"/>
  <c r="D135" i="1"/>
  <c r="D138" i="1"/>
  <c r="D143" i="1"/>
  <c r="D145" i="1"/>
  <c r="D146" i="1"/>
  <c r="D154" i="1"/>
  <c r="D155" i="1"/>
  <c r="D156" i="1"/>
  <c r="D121" i="1"/>
  <c r="D122" i="1"/>
  <c r="D123" i="1"/>
  <c r="D124" i="1"/>
  <c r="D125" i="1"/>
  <c r="D126" i="1"/>
  <c r="D127" i="1"/>
  <c r="D99" i="1"/>
  <c r="D100" i="1"/>
  <c r="D101" i="1"/>
  <c r="D102" i="1"/>
  <c r="D103" i="1"/>
  <c r="D104" i="1"/>
  <c r="D105" i="1"/>
  <c r="D106" i="1"/>
  <c r="D108" i="1"/>
  <c r="D109" i="1"/>
  <c r="D110" i="1"/>
  <c r="D111" i="1"/>
  <c r="D112" i="1"/>
  <c r="D113" i="1"/>
  <c r="D52" i="1"/>
  <c r="D53" i="1"/>
  <c r="D54" i="1"/>
  <c r="D55" i="1"/>
  <c r="D56" i="1"/>
  <c r="D57" i="1"/>
  <c r="D58" i="1"/>
  <c r="D59" i="1"/>
  <c r="D60" i="1"/>
  <c r="D61" i="1"/>
  <c r="D62" i="1"/>
  <c r="D63" i="1"/>
  <c r="D64" i="1"/>
  <c r="D65" i="1"/>
  <c r="D67" i="1"/>
  <c r="D68" i="1"/>
  <c r="D69" i="1"/>
  <c r="D70" i="1"/>
  <c r="D71" i="1"/>
  <c r="D72" i="1"/>
  <c r="D73" i="1"/>
  <c r="D77" i="1"/>
  <c r="D81" i="1"/>
  <c r="D82" i="1"/>
  <c r="D83" i="1"/>
  <c r="D84" i="1"/>
  <c r="D85" i="1"/>
  <c r="D51" i="1"/>
  <c r="D14" i="1"/>
  <c r="D96" i="39"/>
  <c r="D97" i="39"/>
  <c r="D98" i="39"/>
  <c r="D99" i="39"/>
  <c r="D100" i="39"/>
  <c r="D90" i="39"/>
  <c r="D92" i="39"/>
  <c r="D89" i="39"/>
  <c r="D86" i="39"/>
  <c r="D84" i="39"/>
  <c r="D81" i="39"/>
  <c r="D80" i="39"/>
  <c r="D75" i="39"/>
  <c r="D76" i="39"/>
  <c r="D77" i="39"/>
  <c r="D74" i="39"/>
  <c r="D71" i="39"/>
  <c r="D38" i="39"/>
  <c r="D42" i="39"/>
  <c r="D43" i="39"/>
  <c r="D46" i="39"/>
  <c r="D47" i="39"/>
  <c r="D48" i="39"/>
  <c r="D49" i="39"/>
  <c r="D52" i="39"/>
  <c r="D59" i="39"/>
  <c r="D37" i="39"/>
  <c r="D22" i="39"/>
  <c r="D23" i="39"/>
  <c r="D25" i="39"/>
  <c r="D26" i="39"/>
  <c r="D28" i="39"/>
  <c r="D34" i="39"/>
  <c r="D116" i="42"/>
  <c r="D117" i="42"/>
  <c r="D118" i="42"/>
  <c r="D119" i="42"/>
  <c r="D115" i="42"/>
  <c r="D112" i="42"/>
  <c r="D109" i="42"/>
  <c r="D106" i="42"/>
  <c r="D105" i="42"/>
  <c r="D100" i="42"/>
  <c r="D101" i="42"/>
  <c r="D99" i="42"/>
  <c r="D86" i="42"/>
  <c r="D80" i="42"/>
  <c r="D77" i="42"/>
  <c r="D76" i="42"/>
  <c r="D61" i="42"/>
  <c r="D72" i="42"/>
  <c r="D25" i="42"/>
  <c r="D38" i="42"/>
  <c r="D40" i="42"/>
  <c r="D49" i="42"/>
  <c r="D53" i="42"/>
  <c r="D21" i="42"/>
  <c r="D181" i="36"/>
  <c r="D182" i="36"/>
  <c r="D183" i="36"/>
  <c r="D184" i="36"/>
  <c r="D185" i="36"/>
  <c r="D186" i="36"/>
  <c r="D187" i="36"/>
  <c r="D180" i="36"/>
  <c r="D169" i="36"/>
  <c r="D166" i="36"/>
  <c r="D163" i="36"/>
  <c r="D162" i="36"/>
  <c r="D148" i="36"/>
  <c r="D142" i="36"/>
  <c r="D121" i="36"/>
  <c r="D122" i="36"/>
  <c r="D89" i="36"/>
  <c r="D93" i="36"/>
  <c r="D95" i="36"/>
  <c r="D96" i="36"/>
  <c r="D98" i="36"/>
  <c r="D100" i="36"/>
  <c r="D101" i="36"/>
  <c r="D102" i="36"/>
  <c r="D103" i="36"/>
  <c r="D104" i="36"/>
  <c r="D105" i="36"/>
  <c r="D106" i="36"/>
  <c r="D88" i="36"/>
  <c r="D68" i="36"/>
  <c r="D77" i="36"/>
  <c r="D79" i="36"/>
  <c r="D81" i="36"/>
  <c r="D67" i="36"/>
  <c r="D50" i="36"/>
  <c r="D22" i="36"/>
  <c r="D23" i="36"/>
  <c r="D24" i="36"/>
  <c r="D25" i="36"/>
  <c r="D26" i="36"/>
  <c r="D27" i="36"/>
  <c r="D28" i="36"/>
  <c r="D29" i="36"/>
  <c r="D30" i="36"/>
  <c r="D31" i="36"/>
  <c r="D32" i="36"/>
  <c r="D35" i="36"/>
  <c r="D36" i="36"/>
  <c r="D39" i="36"/>
  <c r="D40" i="36"/>
  <c r="D41" i="36"/>
  <c r="D44" i="36"/>
  <c r="D45" i="36"/>
  <c r="D46" i="36"/>
  <c r="D21" i="36"/>
  <c r="H168" i="34"/>
  <c r="F167" i="34"/>
  <c r="G167" i="34"/>
  <c r="H167" i="34"/>
  <c r="D230" i="34"/>
  <c r="D229" i="34"/>
  <c r="D228" i="34"/>
  <c r="D227" i="34"/>
  <c r="D226" i="34"/>
  <c r="D225" i="34"/>
  <c r="D224" i="34"/>
  <c r="D223" i="34"/>
  <c r="D219" i="34"/>
  <c r="D211" i="34"/>
  <c r="D208" i="34"/>
  <c r="D207" i="34"/>
  <c r="D203" i="34"/>
  <c r="D202" i="34"/>
  <c r="D199" i="34"/>
  <c r="D182" i="34"/>
  <c r="D172" i="34"/>
  <c r="D167" i="34"/>
  <c r="D166" i="34"/>
  <c r="D123" i="34"/>
  <c r="D124" i="34"/>
  <c r="D125" i="34"/>
  <c r="D126" i="34"/>
  <c r="D127" i="34"/>
  <c r="D128" i="34"/>
  <c r="D129" i="34"/>
  <c r="D131" i="34"/>
  <c r="D132" i="34"/>
  <c r="D133" i="34"/>
  <c r="D134" i="34"/>
  <c r="D135" i="34"/>
  <c r="D137" i="34"/>
  <c r="D138" i="34"/>
  <c r="D139" i="34"/>
  <c r="D140" i="34"/>
  <c r="D141" i="34"/>
  <c r="D142" i="34"/>
  <c r="D143" i="34"/>
  <c r="D147" i="34"/>
  <c r="D148" i="34"/>
  <c r="D149" i="34"/>
  <c r="D150" i="34"/>
  <c r="D151" i="34"/>
  <c r="D152" i="34"/>
  <c r="D153" i="34"/>
  <c r="D154" i="34"/>
  <c r="D155" i="34"/>
  <c r="D156" i="34"/>
  <c r="D157" i="34"/>
  <c r="D161" i="34"/>
  <c r="D117" i="34"/>
  <c r="D97" i="34"/>
  <c r="D106" i="34"/>
  <c r="D108" i="34"/>
  <c r="D110" i="34"/>
  <c r="D96" i="34"/>
  <c r="D79" i="34"/>
  <c r="D46" i="34"/>
  <c r="D47" i="34"/>
  <c r="D48" i="34"/>
  <c r="D49" i="34"/>
  <c r="D50" i="34"/>
  <c r="D51" i="34"/>
  <c r="D52" i="34"/>
  <c r="D53" i="34"/>
  <c r="D54" i="34"/>
  <c r="D55" i="34"/>
  <c r="D56" i="34"/>
  <c r="D57" i="34"/>
  <c r="D60" i="34"/>
  <c r="D61" i="34"/>
  <c r="D64" i="34"/>
  <c r="D65" i="34"/>
  <c r="D66" i="34"/>
  <c r="D67" i="34"/>
  <c r="D68" i="34"/>
  <c r="D71" i="34"/>
  <c r="D72" i="34"/>
  <c r="D73" i="34"/>
  <c r="D74" i="34"/>
  <c r="D35" i="34"/>
  <c r="D36" i="34"/>
  <c r="D37" i="34"/>
  <c r="D38" i="34"/>
  <c r="D39" i="34"/>
  <c r="D40" i="34"/>
  <c r="D41" i="34"/>
  <c r="D29" i="34"/>
  <c r="D30" i="34"/>
  <c r="D23" i="34"/>
  <c r="D24" i="34"/>
  <c r="D40" i="43"/>
  <c r="D41" i="43"/>
  <c r="D42" i="43"/>
  <c r="D43" i="43"/>
  <c r="D39" i="43"/>
  <c r="D31" i="43"/>
  <c r="D21" i="43"/>
  <c r="D20" i="43"/>
  <c r="D79" i="37"/>
  <c r="D81" i="37"/>
  <c r="D78" i="37"/>
  <c r="D71" i="37"/>
  <c r="D68" i="37"/>
  <c r="D58" i="37"/>
  <c r="D61" i="37"/>
  <c r="D57" i="37"/>
  <c r="D27" i="37"/>
  <c r="D28" i="37"/>
  <c r="D29" i="37"/>
  <c r="D30" i="37"/>
  <c r="D31" i="37"/>
  <c r="D32" i="37"/>
  <c r="D33" i="37"/>
  <c r="D34" i="37"/>
  <c r="D35" i="37"/>
  <c r="D36" i="37"/>
  <c r="D37" i="37"/>
  <c r="D39" i="37"/>
  <c r="D40" i="37"/>
  <c r="D41" i="37"/>
  <c r="D42" i="37"/>
  <c r="D47" i="37"/>
  <c r="D48" i="37"/>
  <c r="D49" i="37"/>
  <c r="D50" i="37"/>
  <c r="D51" i="37"/>
  <c r="D52" i="37"/>
  <c r="D54" i="37"/>
  <c r="D86" i="44"/>
  <c r="D85" i="44"/>
  <c r="D84" i="44"/>
  <c r="D83" i="44"/>
  <c r="D82" i="44"/>
  <c r="D81" i="44"/>
  <c r="D75" i="44"/>
  <c r="D72" i="44"/>
  <c r="D71" i="44"/>
  <c r="D68" i="44"/>
  <c r="D57" i="44"/>
  <c r="D54" i="44"/>
  <c r="D35" i="44"/>
  <c r="D44" i="44"/>
  <c r="D46" i="44"/>
  <c r="D48" i="44"/>
  <c r="D34" i="44"/>
  <c r="D22" i="44"/>
  <c r="D25" i="44"/>
  <c r="D26" i="44"/>
  <c r="D27" i="44"/>
  <c r="D28" i="44"/>
  <c r="D29" i="44"/>
  <c r="D30" i="44"/>
  <c r="D31" i="44"/>
  <c r="D32" i="44"/>
  <c r="D155" i="40"/>
  <c r="D154" i="40"/>
  <c r="D153" i="40"/>
  <c r="D152" i="40"/>
  <c r="D151" i="40"/>
  <c r="D150" i="40"/>
  <c r="D149" i="40"/>
  <c r="D148" i="40"/>
  <c r="D147" i="40"/>
  <c r="D144" i="40"/>
  <c r="D143" i="40"/>
  <c r="D141" i="40"/>
  <c r="D138" i="40"/>
  <c r="D137" i="40"/>
  <c r="D129" i="40"/>
  <c r="D130" i="40"/>
  <c r="D131" i="40"/>
  <c r="D132" i="40"/>
  <c r="D133" i="40"/>
  <c r="D134" i="40"/>
  <c r="D128" i="40"/>
  <c r="D125" i="40"/>
  <c r="D122" i="40"/>
  <c r="D121" i="40"/>
  <c r="D116" i="40"/>
  <c r="D113" i="40"/>
  <c r="D108" i="40"/>
  <c r="D105" i="40"/>
  <c r="D64" i="40"/>
  <c r="D68" i="40"/>
  <c r="D69" i="40"/>
  <c r="D70" i="40"/>
  <c r="D71" i="40"/>
  <c r="D72" i="40"/>
  <c r="D73" i="40"/>
  <c r="D76" i="40"/>
  <c r="D77" i="40"/>
  <c r="D78" i="40"/>
  <c r="D79" i="40"/>
  <c r="D80" i="40"/>
  <c r="D81" i="40"/>
  <c r="D82" i="40"/>
  <c r="D83" i="40"/>
  <c r="D84" i="40"/>
  <c r="D89" i="40"/>
  <c r="D90" i="40"/>
  <c r="D93" i="40"/>
  <c r="D94" i="40"/>
  <c r="D95" i="40"/>
  <c r="D96" i="40"/>
  <c r="D97" i="40"/>
  <c r="D98" i="40"/>
  <c r="D99" i="40"/>
  <c r="D100" i="40"/>
  <c r="D101" i="40"/>
  <c r="D63" i="40"/>
  <c r="D50" i="40"/>
  <c r="D51" i="40"/>
  <c r="D52" i="40"/>
  <c r="D53" i="40"/>
  <c r="D55" i="40"/>
  <c r="D56" i="40"/>
  <c r="D58" i="40"/>
  <c r="D59" i="40"/>
  <c r="D60" i="40"/>
  <c r="D49" i="40"/>
  <c r="D39" i="40"/>
  <c r="D40" i="40"/>
  <c r="D41" i="40"/>
  <c r="D42" i="40"/>
  <c r="D43" i="40"/>
  <c r="D44" i="40"/>
  <c r="D37" i="40"/>
  <c r="D28" i="40"/>
  <c r="D29" i="40"/>
  <c r="D30" i="40"/>
  <c r="D31" i="40"/>
  <c r="D32" i="40"/>
  <c r="D21" i="40"/>
  <c r="D20" i="40"/>
  <c r="D43" i="33"/>
  <c r="D44" i="33"/>
  <c r="D45" i="33"/>
  <c r="D46" i="33"/>
  <c r="D42" i="33"/>
  <c r="D37" i="33"/>
  <c r="D34" i="33"/>
  <c r="D33" i="33"/>
  <c r="D23" i="33"/>
  <c r="D26" i="33"/>
  <c r="D22" i="33"/>
  <c r="C88" i="32"/>
  <c r="D155" i="32"/>
  <c r="D154" i="32"/>
  <c r="D153" i="32"/>
  <c r="D152" i="32"/>
  <c r="D151" i="32"/>
  <c r="D150" i="32"/>
  <c r="D149" i="32"/>
  <c r="D148" i="32"/>
  <c r="D145" i="32"/>
  <c r="D138" i="32"/>
  <c r="D135" i="32"/>
  <c r="D134" i="32"/>
  <c r="D131" i="32"/>
  <c r="D128" i="32"/>
  <c r="D96" i="32"/>
  <c r="D101" i="32"/>
  <c r="D103" i="32"/>
  <c r="D105" i="32"/>
  <c r="D106" i="32"/>
  <c r="D108" i="32"/>
  <c r="D95" i="32"/>
  <c r="D75" i="32"/>
  <c r="D84" i="32"/>
  <c r="D86" i="32"/>
  <c r="D88" i="32"/>
  <c r="D74" i="32"/>
  <c r="D22" i="32"/>
  <c r="D23" i="32"/>
  <c r="D24" i="32"/>
  <c r="D25" i="32"/>
  <c r="D26" i="32"/>
  <c r="D27" i="32"/>
  <c r="D28" i="32"/>
  <c r="D31" i="32"/>
  <c r="D33" i="32"/>
  <c r="D34" i="32"/>
  <c r="D47" i="32"/>
  <c r="D60" i="32"/>
  <c r="D61" i="32"/>
  <c r="D62" i="32"/>
  <c r="D21" i="32"/>
  <c r="D141" i="41"/>
  <c r="D142" i="41"/>
  <c r="D143" i="41"/>
  <c r="D144" i="41"/>
  <c r="D145" i="41"/>
  <c r="D146" i="41"/>
  <c r="D140" i="41"/>
  <c r="D134" i="41"/>
  <c r="D131" i="41"/>
  <c r="D130" i="41"/>
  <c r="D123" i="41"/>
  <c r="D124" i="41"/>
  <c r="D125" i="41"/>
  <c r="D126" i="41"/>
  <c r="D122" i="41"/>
  <c r="D119" i="41"/>
  <c r="D114" i="41"/>
  <c r="D115" i="41"/>
  <c r="D116" i="41"/>
  <c r="D106" i="41"/>
  <c r="D103" i="41"/>
  <c r="D97" i="41"/>
  <c r="D96" i="41"/>
  <c r="D47" i="41"/>
  <c r="D48" i="41"/>
  <c r="D51" i="41"/>
  <c r="D52" i="41"/>
  <c r="D53" i="41"/>
  <c r="D54" i="41"/>
  <c r="D55" i="41"/>
  <c r="D56" i="41"/>
  <c r="D57" i="41"/>
  <c r="D58" i="41"/>
  <c r="D59" i="41"/>
  <c r="D61" i="41"/>
  <c r="D62" i="41"/>
  <c r="D63" i="41"/>
  <c r="D64" i="41"/>
  <c r="D65" i="41"/>
  <c r="D66" i="41"/>
  <c r="D68" i="41"/>
  <c r="D71" i="41"/>
  <c r="D75" i="41"/>
  <c r="D79" i="41"/>
  <c r="D80" i="41"/>
  <c r="D81" i="41"/>
  <c r="D82" i="41"/>
  <c r="D83" i="41"/>
  <c r="D84" i="41"/>
  <c r="D85" i="41"/>
  <c r="D86" i="41"/>
  <c r="D87" i="41"/>
  <c r="D88" i="41"/>
  <c r="D89" i="41"/>
  <c r="D90" i="41"/>
  <c r="D91" i="41"/>
  <c r="D92" i="41"/>
  <c r="D93" i="41"/>
  <c r="D45" i="41"/>
  <c r="D30" i="41"/>
  <c r="D31" i="41"/>
  <c r="D32" i="41"/>
  <c r="D33" i="41"/>
  <c r="D34" i="41"/>
  <c r="D36" i="41"/>
  <c r="D38" i="41"/>
  <c r="D39" i="41"/>
  <c r="D40" i="41"/>
  <c r="D41" i="41"/>
  <c r="D29" i="41"/>
  <c r="D23" i="41"/>
  <c r="D24" i="41"/>
  <c r="D25" i="41"/>
  <c r="D26" i="41"/>
  <c r="I167" i="34" l="1"/>
  <c r="D179" i="35" l="1"/>
  <c r="D176" i="35"/>
  <c r="D173" i="35"/>
  <c r="D153" i="35"/>
  <c r="D154" i="35"/>
  <c r="D152" i="35"/>
  <c r="D197" i="35"/>
  <c r="D198" i="35"/>
  <c r="D199" i="35"/>
  <c r="D200" i="35"/>
  <c r="D201" i="35"/>
  <c r="D202" i="35"/>
  <c r="D203" i="35"/>
  <c r="D205" i="35"/>
  <c r="D196" i="35"/>
  <c r="D187" i="35"/>
  <c r="D53" i="35" l="1"/>
  <c r="D84" i="35"/>
  <c r="D88" i="35"/>
  <c r="D120" i="35"/>
  <c r="D123" i="35"/>
  <c r="D125" i="35"/>
  <c r="D126" i="35"/>
  <c r="D127" i="35"/>
  <c r="D128" i="35"/>
  <c r="D131" i="35"/>
  <c r="D132" i="35"/>
  <c r="D134" i="35"/>
  <c r="D135" i="35"/>
  <c r="D136" i="35"/>
  <c r="D137" i="35"/>
  <c r="D138" i="35"/>
  <c r="D139" i="35"/>
  <c r="D119" i="35"/>
  <c r="D99" i="35"/>
  <c r="D108" i="35"/>
  <c r="D110" i="35"/>
  <c r="D112" i="35"/>
  <c r="D98" i="35"/>
  <c r="D23" i="35"/>
  <c r="D24" i="35"/>
  <c r="D25" i="35"/>
  <c r="D26" i="35"/>
  <c r="D27" i="35"/>
  <c r="D28" i="35"/>
  <c r="D29" i="35"/>
  <c r="D30" i="35"/>
  <c r="D31" i="35"/>
  <c r="D32" i="35"/>
  <c r="D33" i="35"/>
  <c r="D34" i="35"/>
  <c r="D35" i="35"/>
  <c r="D40" i="35"/>
  <c r="D41" i="35"/>
  <c r="D44" i="35"/>
  <c r="D45" i="35"/>
  <c r="D46" i="35"/>
  <c r="D47" i="35"/>
  <c r="D48" i="35"/>
  <c r="D22" i="35"/>
  <c r="C70" i="38"/>
  <c r="C76" i="38"/>
  <c r="C77" i="38"/>
  <c r="C78" i="38"/>
  <c r="C79" i="38"/>
  <c r="C80" i="38"/>
  <c r="C82" i="38"/>
  <c r="C83" i="38"/>
  <c r="C22" i="38"/>
  <c r="C25" i="38"/>
  <c r="C28" i="38"/>
  <c r="C29" i="38"/>
  <c r="C31" i="38"/>
  <c r="C34" i="38"/>
  <c r="C35" i="38"/>
  <c r="C36" i="38"/>
  <c r="C42" i="38"/>
  <c r="C48" i="38"/>
  <c r="C49" i="38"/>
  <c r="C58" i="38"/>
  <c r="C60" i="38"/>
  <c r="C62" i="38"/>
  <c r="C14" i="38"/>
  <c r="C181" i="1"/>
  <c r="C182" i="1"/>
  <c r="C184" i="1"/>
  <c r="C185" i="1"/>
  <c r="C180" i="1"/>
  <c r="C14" i="1"/>
  <c r="E111" i="38" l="1"/>
  <c r="A24" i="51" l="1"/>
  <c r="I22" i="51"/>
  <c r="E22" i="51"/>
  <c r="H22" i="51" s="1"/>
  <c r="D22" i="51"/>
  <c r="I21" i="51"/>
  <c r="B21" i="51"/>
  <c r="D18" i="51"/>
  <c r="C18" i="51"/>
  <c r="E18" i="51" s="1"/>
  <c r="D17" i="51"/>
  <c r="C17" i="51"/>
  <c r="E17" i="51" s="1"/>
  <c r="D16" i="51"/>
  <c r="C16" i="51"/>
  <c r="E16" i="51" s="1"/>
  <c r="D15" i="51"/>
  <c r="C15" i="51"/>
  <c r="E15" i="51" s="1"/>
  <c r="D14" i="51"/>
  <c r="C14" i="51"/>
  <c r="E14" i="51" s="1"/>
  <c r="D13" i="51"/>
  <c r="C13" i="51"/>
  <c r="E13" i="51" s="1"/>
  <c r="D12" i="51"/>
  <c r="C12" i="51"/>
  <c r="E12" i="51" s="1"/>
  <c r="D11" i="51"/>
  <c r="C11" i="51"/>
  <c r="E11" i="51" s="1"/>
  <c r="D10" i="51"/>
  <c r="C10" i="51"/>
  <c r="E10" i="51" s="1"/>
  <c r="D9" i="51"/>
  <c r="C9" i="51"/>
  <c r="E9" i="51" s="1"/>
  <c r="D8" i="51"/>
  <c r="C8" i="51"/>
  <c r="E8" i="51" s="1"/>
  <c r="D7" i="51"/>
  <c r="C7" i="51"/>
  <c r="E7" i="51" s="1"/>
  <c r="D6" i="51"/>
  <c r="C6" i="51"/>
  <c r="E6" i="51" s="1"/>
  <c r="F10" i="51" l="1"/>
  <c r="F18" i="51"/>
  <c r="F14" i="51"/>
  <c r="F12" i="51"/>
  <c r="F6" i="51"/>
  <c r="G6" i="51" s="1"/>
  <c r="F8" i="51"/>
  <c r="G8" i="51" s="1"/>
  <c r="F16" i="51"/>
  <c r="G16" i="51" s="1"/>
  <c r="H16" i="51" s="1"/>
  <c r="F7" i="51"/>
  <c r="G7" i="51" s="1"/>
  <c r="F9" i="51"/>
  <c r="F11" i="51"/>
  <c r="F13" i="51"/>
  <c r="G13" i="51" s="1"/>
  <c r="F15" i="51"/>
  <c r="G15" i="51" s="1"/>
  <c r="F17" i="51"/>
  <c r="H13" i="51" l="1"/>
  <c r="H6" i="51"/>
  <c r="H15" i="51"/>
  <c r="H7" i="51"/>
  <c r="H8" i="51"/>
  <c r="G12" i="51"/>
  <c r="H12" i="51" s="1"/>
  <c r="G18" i="51"/>
  <c r="H18" i="51" s="1"/>
  <c r="G11" i="51"/>
  <c r="H11" i="51" s="1"/>
  <c r="G17" i="51"/>
  <c r="H17" i="51" s="1"/>
  <c r="G9" i="51"/>
  <c r="H9" i="51" s="1"/>
  <c r="G14" i="51"/>
  <c r="H14" i="51" s="1"/>
  <c r="G10" i="51"/>
  <c r="H10" i="51" s="1"/>
  <c r="R613" i="50" l="1"/>
  <c r="O612" i="50"/>
  <c r="N612" i="50"/>
  <c r="M612" i="50"/>
  <c r="L612" i="50"/>
  <c r="K612" i="50"/>
  <c r="J612" i="50"/>
  <c r="I612" i="50"/>
  <c r="H612" i="50"/>
  <c r="G612" i="50"/>
  <c r="F612" i="50"/>
  <c r="E612" i="50"/>
  <c r="D612" i="50"/>
  <c r="R610" i="50"/>
  <c r="O609" i="50"/>
  <c r="N609" i="50"/>
  <c r="M609" i="50"/>
  <c r="L609" i="50"/>
  <c r="K609" i="50"/>
  <c r="J609" i="50"/>
  <c r="I609" i="50"/>
  <c r="H609" i="50"/>
  <c r="G609" i="50"/>
  <c r="F609" i="50"/>
  <c r="E609" i="50"/>
  <c r="D609" i="50"/>
  <c r="R607" i="50"/>
  <c r="O606" i="50"/>
  <c r="N606" i="50"/>
  <c r="M606" i="50"/>
  <c r="L606" i="50"/>
  <c r="K606" i="50"/>
  <c r="J606" i="50"/>
  <c r="I606" i="50"/>
  <c r="H606" i="50"/>
  <c r="G606" i="50"/>
  <c r="F606" i="50"/>
  <c r="E606" i="50"/>
  <c r="D606" i="50"/>
  <c r="R604" i="50"/>
  <c r="O603" i="50"/>
  <c r="N603" i="50"/>
  <c r="M603" i="50"/>
  <c r="L603" i="50"/>
  <c r="K603" i="50"/>
  <c r="J603" i="50"/>
  <c r="I603" i="50"/>
  <c r="H603" i="50"/>
  <c r="G603" i="50"/>
  <c r="F603" i="50"/>
  <c r="E603" i="50"/>
  <c r="D603" i="50"/>
  <c r="R601" i="50"/>
  <c r="O600" i="50"/>
  <c r="N600" i="50"/>
  <c r="M600" i="50"/>
  <c r="L600" i="50"/>
  <c r="K600" i="50"/>
  <c r="J600" i="50"/>
  <c r="I600" i="50"/>
  <c r="H600" i="50"/>
  <c r="G600" i="50"/>
  <c r="F600" i="50"/>
  <c r="E600" i="50"/>
  <c r="D600" i="50"/>
  <c r="R598" i="50"/>
  <c r="O597" i="50"/>
  <c r="N597" i="50"/>
  <c r="M597" i="50"/>
  <c r="L597" i="50"/>
  <c r="K597" i="50"/>
  <c r="J597" i="50"/>
  <c r="I597" i="50"/>
  <c r="H597" i="50"/>
  <c r="G597" i="50"/>
  <c r="F597" i="50"/>
  <c r="E597" i="50"/>
  <c r="D597" i="50"/>
  <c r="R595" i="50"/>
  <c r="O594" i="50"/>
  <c r="N594" i="50"/>
  <c r="M594" i="50"/>
  <c r="L594" i="50"/>
  <c r="K594" i="50"/>
  <c r="J594" i="50"/>
  <c r="I594" i="50"/>
  <c r="H594" i="50"/>
  <c r="G594" i="50"/>
  <c r="F594" i="50"/>
  <c r="E594" i="50"/>
  <c r="D594" i="50"/>
  <c r="R592" i="50"/>
  <c r="O591" i="50"/>
  <c r="N591" i="50"/>
  <c r="M591" i="50"/>
  <c r="L591" i="50"/>
  <c r="K591" i="50"/>
  <c r="J591" i="50"/>
  <c r="I591" i="50"/>
  <c r="H591" i="50"/>
  <c r="G591" i="50"/>
  <c r="F591" i="50"/>
  <c r="E591" i="50"/>
  <c r="D591" i="50"/>
  <c r="R589" i="50"/>
  <c r="O588" i="50"/>
  <c r="N588" i="50"/>
  <c r="M588" i="50"/>
  <c r="L588" i="50"/>
  <c r="K588" i="50"/>
  <c r="J588" i="50"/>
  <c r="I588" i="50"/>
  <c r="H588" i="50"/>
  <c r="G588" i="50"/>
  <c r="F588" i="50"/>
  <c r="E588" i="50"/>
  <c r="D588" i="50"/>
  <c r="R586" i="50"/>
  <c r="O585" i="50"/>
  <c r="N585" i="50"/>
  <c r="M585" i="50"/>
  <c r="L585" i="50"/>
  <c r="K585" i="50"/>
  <c r="J585" i="50"/>
  <c r="I585" i="50"/>
  <c r="H585" i="50"/>
  <c r="G585" i="50"/>
  <c r="F585" i="50"/>
  <c r="E585" i="50"/>
  <c r="D585" i="50"/>
  <c r="R583" i="50"/>
  <c r="O582" i="50"/>
  <c r="N582" i="50"/>
  <c r="M582" i="50"/>
  <c r="L582" i="50"/>
  <c r="K582" i="50"/>
  <c r="J582" i="50"/>
  <c r="I582" i="50"/>
  <c r="H582" i="50"/>
  <c r="G582" i="50"/>
  <c r="F582" i="50"/>
  <c r="E582" i="50"/>
  <c r="D582" i="50"/>
  <c r="R580" i="50"/>
  <c r="O579" i="50"/>
  <c r="N579" i="50"/>
  <c r="M579" i="50"/>
  <c r="L579" i="50"/>
  <c r="K579" i="50"/>
  <c r="J579" i="50"/>
  <c r="I579" i="50"/>
  <c r="H579" i="50"/>
  <c r="G579" i="50"/>
  <c r="F579" i="50"/>
  <c r="E579" i="50"/>
  <c r="D579" i="50"/>
  <c r="R577" i="50"/>
  <c r="O576" i="50"/>
  <c r="N576" i="50"/>
  <c r="M576" i="50"/>
  <c r="L576" i="50"/>
  <c r="K576" i="50"/>
  <c r="J576" i="50"/>
  <c r="I576" i="50"/>
  <c r="H576" i="50"/>
  <c r="G576" i="50"/>
  <c r="F576" i="50"/>
  <c r="E576" i="50"/>
  <c r="D576" i="50"/>
  <c r="R570" i="50"/>
  <c r="O569" i="50"/>
  <c r="N569" i="50"/>
  <c r="M569" i="50"/>
  <c r="L569" i="50"/>
  <c r="K569" i="50"/>
  <c r="J569" i="50"/>
  <c r="I569" i="50"/>
  <c r="H569" i="50"/>
  <c r="G569" i="50"/>
  <c r="F569" i="50"/>
  <c r="E569" i="50"/>
  <c r="D569" i="50"/>
  <c r="R567" i="50"/>
  <c r="O566" i="50"/>
  <c r="N566" i="50"/>
  <c r="M566" i="50"/>
  <c r="L566" i="50"/>
  <c r="K566" i="50"/>
  <c r="J566" i="50"/>
  <c r="I566" i="50"/>
  <c r="H566" i="50"/>
  <c r="G566" i="50"/>
  <c r="F566" i="50"/>
  <c r="E566" i="50"/>
  <c r="D566" i="50"/>
  <c r="R564" i="50"/>
  <c r="O563" i="50"/>
  <c r="N563" i="50"/>
  <c r="M563" i="50"/>
  <c r="L563" i="50"/>
  <c r="K563" i="50"/>
  <c r="J563" i="50"/>
  <c r="I563" i="50"/>
  <c r="H563" i="50"/>
  <c r="G563" i="50"/>
  <c r="F563" i="50"/>
  <c r="E563" i="50"/>
  <c r="D563" i="50"/>
  <c r="R561" i="50"/>
  <c r="O560" i="50"/>
  <c r="N560" i="50"/>
  <c r="M560" i="50"/>
  <c r="L560" i="50"/>
  <c r="K560" i="50"/>
  <c r="J560" i="50"/>
  <c r="I560" i="50"/>
  <c r="H560" i="50"/>
  <c r="G560" i="50"/>
  <c r="F560" i="50"/>
  <c r="E560" i="50"/>
  <c r="D560" i="50"/>
  <c r="R558" i="50"/>
  <c r="O557" i="50"/>
  <c r="N557" i="50"/>
  <c r="M557" i="50"/>
  <c r="L557" i="50"/>
  <c r="K557" i="50"/>
  <c r="J557" i="50"/>
  <c r="I557" i="50"/>
  <c r="H557" i="50"/>
  <c r="G557" i="50"/>
  <c r="F557" i="50"/>
  <c r="E557" i="50"/>
  <c r="D557" i="50"/>
  <c r="R555" i="50"/>
  <c r="O554" i="50"/>
  <c r="N554" i="50"/>
  <c r="M554" i="50"/>
  <c r="L554" i="50"/>
  <c r="K554" i="50"/>
  <c r="J554" i="50"/>
  <c r="I554" i="50"/>
  <c r="H554" i="50"/>
  <c r="G554" i="50"/>
  <c r="F554" i="50"/>
  <c r="E554" i="50"/>
  <c r="D554" i="50"/>
  <c r="R552" i="50"/>
  <c r="O551" i="50"/>
  <c r="N551" i="50"/>
  <c r="M551" i="50"/>
  <c r="L551" i="50"/>
  <c r="K551" i="50"/>
  <c r="J551" i="50"/>
  <c r="I551" i="50"/>
  <c r="H551" i="50"/>
  <c r="G551" i="50"/>
  <c r="F551" i="50"/>
  <c r="E551" i="50"/>
  <c r="D551" i="50"/>
  <c r="R549" i="50"/>
  <c r="O548" i="50"/>
  <c r="N548" i="50"/>
  <c r="M548" i="50"/>
  <c r="L548" i="50"/>
  <c r="K548" i="50"/>
  <c r="J548" i="50"/>
  <c r="I548" i="50"/>
  <c r="H548" i="50"/>
  <c r="G548" i="50"/>
  <c r="F548" i="50"/>
  <c r="E548" i="50"/>
  <c r="D548" i="50"/>
  <c r="R546" i="50"/>
  <c r="O545" i="50"/>
  <c r="N545" i="50"/>
  <c r="M545" i="50"/>
  <c r="L545" i="50"/>
  <c r="K545" i="50"/>
  <c r="J545" i="50"/>
  <c r="I545" i="50"/>
  <c r="H545" i="50"/>
  <c r="G545" i="50"/>
  <c r="F545" i="50"/>
  <c r="E545" i="50"/>
  <c r="D545" i="50"/>
  <c r="R543" i="50"/>
  <c r="O542" i="50"/>
  <c r="N542" i="50"/>
  <c r="M542" i="50"/>
  <c r="L542" i="50"/>
  <c r="K542" i="50"/>
  <c r="J542" i="50"/>
  <c r="I542" i="50"/>
  <c r="H542" i="50"/>
  <c r="G542" i="50"/>
  <c r="F542" i="50"/>
  <c r="E542" i="50"/>
  <c r="D542" i="50"/>
  <c r="R540" i="50"/>
  <c r="O539" i="50"/>
  <c r="N539" i="50"/>
  <c r="M539" i="50"/>
  <c r="L539" i="50"/>
  <c r="K539" i="50"/>
  <c r="J539" i="50"/>
  <c r="I539" i="50"/>
  <c r="H539" i="50"/>
  <c r="G539" i="50"/>
  <c r="F539" i="50"/>
  <c r="E539" i="50"/>
  <c r="D539" i="50"/>
  <c r="R537" i="50"/>
  <c r="O536" i="50"/>
  <c r="N536" i="50"/>
  <c r="M536" i="50"/>
  <c r="L536" i="50"/>
  <c r="K536" i="50"/>
  <c r="J536" i="50"/>
  <c r="I536" i="50"/>
  <c r="H536" i="50"/>
  <c r="G536" i="50"/>
  <c r="F536" i="50"/>
  <c r="E536" i="50"/>
  <c r="D536" i="50"/>
  <c r="R534" i="50"/>
  <c r="O533" i="50"/>
  <c r="N533" i="50"/>
  <c r="M533" i="50"/>
  <c r="L533" i="50"/>
  <c r="K533" i="50"/>
  <c r="J533" i="50"/>
  <c r="I533" i="50"/>
  <c r="H533" i="50"/>
  <c r="G533" i="50"/>
  <c r="F533" i="50"/>
  <c r="E533" i="50"/>
  <c r="D533" i="50"/>
  <c r="R527" i="50"/>
  <c r="O526" i="50"/>
  <c r="N526" i="50"/>
  <c r="M526" i="50"/>
  <c r="L526" i="50"/>
  <c r="K526" i="50"/>
  <c r="J526" i="50"/>
  <c r="I526" i="50"/>
  <c r="H526" i="50"/>
  <c r="G526" i="50"/>
  <c r="F526" i="50"/>
  <c r="E526" i="50"/>
  <c r="D526" i="50"/>
  <c r="R524" i="50"/>
  <c r="O523" i="50"/>
  <c r="N523" i="50"/>
  <c r="M523" i="50"/>
  <c r="L523" i="50"/>
  <c r="K523" i="50"/>
  <c r="J523" i="50"/>
  <c r="I523" i="50"/>
  <c r="H523" i="50"/>
  <c r="G523" i="50"/>
  <c r="F523" i="50"/>
  <c r="E523" i="50"/>
  <c r="D523" i="50"/>
  <c r="R521" i="50"/>
  <c r="O520" i="50"/>
  <c r="N520" i="50"/>
  <c r="M520" i="50"/>
  <c r="L520" i="50"/>
  <c r="K520" i="50"/>
  <c r="J520" i="50"/>
  <c r="I520" i="50"/>
  <c r="H520" i="50"/>
  <c r="G520" i="50"/>
  <c r="F520" i="50"/>
  <c r="E520" i="50"/>
  <c r="D520" i="50"/>
  <c r="R518" i="50"/>
  <c r="O517" i="50"/>
  <c r="N517" i="50"/>
  <c r="M517" i="50"/>
  <c r="L517" i="50"/>
  <c r="K517" i="50"/>
  <c r="J517" i="50"/>
  <c r="I517" i="50"/>
  <c r="H517" i="50"/>
  <c r="G517" i="50"/>
  <c r="F517" i="50"/>
  <c r="E517" i="50"/>
  <c r="D517" i="50"/>
  <c r="R515" i="50"/>
  <c r="O514" i="50"/>
  <c r="N514" i="50"/>
  <c r="M514" i="50"/>
  <c r="L514" i="50"/>
  <c r="K514" i="50"/>
  <c r="J514" i="50"/>
  <c r="I514" i="50"/>
  <c r="H514" i="50"/>
  <c r="G514" i="50"/>
  <c r="F514" i="50"/>
  <c r="E514" i="50"/>
  <c r="D514" i="50"/>
  <c r="R512" i="50"/>
  <c r="O511" i="50"/>
  <c r="N511" i="50"/>
  <c r="M511" i="50"/>
  <c r="L511" i="50"/>
  <c r="K511" i="50"/>
  <c r="J511" i="50"/>
  <c r="I511" i="50"/>
  <c r="H511" i="50"/>
  <c r="G511" i="50"/>
  <c r="F511" i="50"/>
  <c r="E511" i="50"/>
  <c r="D511" i="50"/>
  <c r="R509" i="50"/>
  <c r="O508" i="50"/>
  <c r="N508" i="50"/>
  <c r="M508" i="50"/>
  <c r="L508" i="50"/>
  <c r="K508" i="50"/>
  <c r="J508" i="50"/>
  <c r="I508" i="50"/>
  <c r="H508" i="50"/>
  <c r="G508" i="50"/>
  <c r="F508" i="50"/>
  <c r="E508" i="50"/>
  <c r="D508" i="50"/>
  <c r="R506" i="50"/>
  <c r="O505" i="50"/>
  <c r="N505" i="50"/>
  <c r="M505" i="50"/>
  <c r="L505" i="50"/>
  <c r="K505" i="50"/>
  <c r="J505" i="50"/>
  <c r="I505" i="50"/>
  <c r="H505" i="50"/>
  <c r="G505" i="50"/>
  <c r="F505" i="50"/>
  <c r="E505" i="50"/>
  <c r="D505" i="50"/>
  <c r="R503" i="50"/>
  <c r="O502" i="50"/>
  <c r="N502" i="50"/>
  <c r="M502" i="50"/>
  <c r="L502" i="50"/>
  <c r="K502" i="50"/>
  <c r="J502" i="50"/>
  <c r="I502" i="50"/>
  <c r="H502" i="50"/>
  <c r="G502" i="50"/>
  <c r="F502" i="50"/>
  <c r="E502" i="50"/>
  <c r="D502" i="50"/>
  <c r="R500" i="50"/>
  <c r="O499" i="50"/>
  <c r="N499" i="50"/>
  <c r="M499" i="50"/>
  <c r="L499" i="50"/>
  <c r="K499" i="50"/>
  <c r="J499" i="50"/>
  <c r="I499" i="50"/>
  <c r="H499" i="50"/>
  <c r="G499" i="50"/>
  <c r="F499" i="50"/>
  <c r="E499" i="50"/>
  <c r="D499" i="50"/>
  <c r="R497" i="50"/>
  <c r="O496" i="50"/>
  <c r="N496" i="50"/>
  <c r="M496" i="50"/>
  <c r="L496" i="50"/>
  <c r="K496" i="50"/>
  <c r="J496" i="50"/>
  <c r="I496" i="50"/>
  <c r="H496" i="50"/>
  <c r="G496" i="50"/>
  <c r="F496" i="50"/>
  <c r="E496" i="50"/>
  <c r="D496" i="50"/>
  <c r="R494" i="50"/>
  <c r="O493" i="50"/>
  <c r="N493" i="50"/>
  <c r="M493" i="50"/>
  <c r="L493" i="50"/>
  <c r="K493" i="50"/>
  <c r="J493" i="50"/>
  <c r="I493" i="50"/>
  <c r="H493" i="50"/>
  <c r="G493" i="50"/>
  <c r="F493" i="50"/>
  <c r="E493" i="50"/>
  <c r="D493" i="50"/>
  <c r="R491" i="50"/>
  <c r="O490" i="50"/>
  <c r="N490" i="50"/>
  <c r="M490" i="50"/>
  <c r="L490" i="50"/>
  <c r="K490" i="50"/>
  <c r="J490" i="50"/>
  <c r="I490" i="50"/>
  <c r="H490" i="50"/>
  <c r="G490" i="50"/>
  <c r="F490" i="50"/>
  <c r="E490" i="50"/>
  <c r="D490" i="50"/>
  <c r="R484" i="50"/>
  <c r="O483" i="50"/>
  <c r="N483" i="50"/>
  <c r="M483" i="50"/>
  <c r="L483" i="50"/>
  <c r="K483" i="50"/>
  <c r="J483" i="50"/>
  <c r="I483" i="50"/>
  <c r="H483" i="50"/>
  <c r="G483" i="50"/>
  <c r="F483" i="50"/>
  <c r="E483" i="50"/>
  <c r="D483" i="50"/>
  <c r="R481" i="50"/>
  <c r="O480" i="50"/>
  <c r="N480" i="50"/>
  <c r="M480" i="50"/>
  <c r="L480" i="50"/>
  <c r="K480" i="50"/>
  <c r="J480" i="50"/>
  <c r="I480" i="50"/>
  <c r="H480" i="50"/>
  <c r="G480" i="50"/>
  <c r="F480" i="50"/>
  <c r="E480" i="50"/>
  <c r="D480" i="50"/>
  <c r="R478" i="50"/>
  <c r="O477" i="50"/>
  <c r="N477" i="50"/>
  <c r="M477" i="50"/>
  <c r="L477" i="50"/>
  <c r="K477" i="50"/>
  <c r="J477" i="50"/>
  <c r="I477" i="50"/>
  <c r="H477" i="50"/>
  <c r="G477" i="50"/>
  <c r="F477" i="50"/>
  <c r="E477" i="50"/>
  <c r="D477" i="50"/>
  <c r="R475" i="50"/>
  <c r="O474" i="50"/>
  <c r="N474" i="50"/>
  <c r="M474" i="50"/>
  <c r="L474" i="50"/>
  <c r="K474" i="50"/>
  <c r="J474" i="50"/>
  <c r="I474" i="50"/>
  <c r="H474" i="50"/>
  <c r="G474" i="50"/>
  <c r="F474" i="50"/>
  <c r="E474" i="50"/>
  <c r="D474" i="50"/>
  <c r="R472" i="50"/>
  <c r="O471" i="50"/>
  <c r="N471" i="50"/>
  <c r="M471" i="50"/>
  <c r="L471" i="50"/>
  <c r="K471" i="50"/>
  <c r="J471" i="50"/>
  <c r="I471" i="50"/>
  <c r="H471" i="50"/>
  <c r="G471" i="50"/>
  <c r="F471" i="50"/>
  <c r="E471" i="50"/>
  <c r="D471" i="50"/>
  <c r="R469" i="50"/>
  <c r="O468" i="50"/>
  <c r="N468" i="50"/>
  <c r="M468" i="50"/>
  <c r="L468" i="50"/>
  <c r="K468" i="50"/>
  <c r="J468" i="50"/>
  <c r="I468" i="50"/>
  <c r="H468" i="50"/>
  <c r="G468" i="50"/>
  <c r="F468" i="50"/>
  <c r="E468" i="50"/>
  <c r="D468" i="50"/>
  <c r="R466" i="50"/>
  <c r="O465" i="50"/>
  <c r="N465" i="50"/>
  <c r="M465" i="50"/>
  <c r="L465" i="50"/>
  <c r="K465" i="50"/>
  <c r="J465" i="50"/>
  <c r="I465" i="50"/>
  <c r="H465" i="50"/>
  <c r="G465" i="50"/>
  <c r="F465" i="50"/>
  <c r="E465" i="50"/>
  <c r="D465" i="50"/>
  <c r="R463" i="50"/>
  <c r="O462" i="50"/>
  <c r="N462" i="50"/>
  <c r="M462" i="50"/>
  <c r="L462" i="50"/>
  <c r="K462" i="50"/>
  <c r="J462" i="50"/>
  <c r="I462" i="50"/>
  <c r="H462" i="50"/>
  <c r="G462" i="50"/>
  <c r="F462" i="50"/>
  <c r="E462" i="50"/>
  <c r="D462" i="50"/>
  <c r="R460" i="50"/>
  <c r="O459" i="50"/>
  <c r="N459" i="50"/>
  <c r="M459" i="50"/>
  <c r="L459" i="50"/>
  <c r="K459" i="50"/>
  <c r="J459" i="50"/>
  <c r="I459" i="50"/>
  <c r="H459" i="50"/>
  <c r="G459" i="50"/>
  <c r="F459" i="50"/>
  <c r="E459" i="50"/>
  <c r="D459" i="50"/>
  <c r="R457" i="50"/>
  <c r="O456" i="50"/>
  <c r="N456" i="50"/>
  <c r="M456" i="50"/>
  <c r="L456" i="50"/>
  <c r="K456" i="50"/>
  <c r="J456" i="50"/>
  <c r="I456" i="50"/>
  <c r="H456" i="50"/>
  <c r="G456" i="50"/>
  <c r="F456" i="50"/>
  <c r="E456" i="50"/>
  <c r="D456" i="50"/>
  <c r="R454" i="50"/>
  <c r="O453" i="50"/>
  <c r="N453" i="50"/>
  <c r="M453" i="50"/>
  <c r="L453" i="50"/>
  <c r="K453" i="50"/>
  <c r="J453" i="50"/>
  <c r="I453" i="50"/>
  <c r="H453" i="50"/>
  <c r="G453" i="50"/>
  <c r="F453" i="50"/>
  <c r="E453" i="50"/>
  <c r="D453" i="50"/>
  <c r="R451" i="50"/>
  <c r="O450" i="50"/>
  <c r="N450" i="50"/>
  <c r="M450" i="50"/>
  <c r="L450" i="50"/>
  <c r="K450" i="50"/>
  <c r="J450" i="50"/>
  <c r="I450" i="50"/>
  <c r="H450" i="50"/>
  <c r="G450" i="50"/>
  <c r="F450" i="50"/>
  <c r="E450" i="50"/>
  <c r="D450" i="50"/>
  <c r="R448" i="50"/>
  <c r="O447" i="50"/>
  <c r="N447" i="50"/>
  <c r="M447" i="50"/>
  <c r="L447" i="50"/>
  <c r="K447" i="50"/>
  <c r="J447" i="50"/>
  <c r="I447" i="50"/>
  <c r="H447" i="50"/>
  <c r="G447" i="50"/>
  <c r="F447" i="50"/>
  <c r="E447" i="50"/>
  <c r="D447" i="50"/>
  <c r="R445" i="50"/>
  <c r="O444" i="50"/>
  <c r="N444" i="50"/>
  <c r="M444" i="50"/>
  <c r="L444" i="50"/>
  <c r="K444" i="50"/>
  <c r="J444" i="50"/>
  <c r="I444" i="50"/>
  <c r="H444" i="50"/>
  <c r="G444" i="50"/>
  <c r="F444" i="50"/>
  <c r="E444" i="50"/>
  <c r="D444" i="50"/>
  <c r="R438" i="50"/>
  <c r="O437" i="50"/>
  <c r="N437" i="50"/>
  <c r="M437" i="50"/>
  <c r="L437" i="50"/>
  <c r="K437" i="50"/>
  <c r="J437" i="50"/>
  <c r="I437" i="50"/>
  <c r="H437" i="50"/>
  <c r="G437" i="50"/>
  <c r="F437" i="50"/>
  <c r="E437" i="50"/>
  <c r="D437" i="50"/>
  <c r="R435" i="50"/>
  <c r="O434" i="50"/>
  <c r="N434" i="50"/>
  <c r="M434" i="50"/>
  <c r="L434" i="50"/>
  <c r="K434" i="50"/>
  <c r="J434" i="50"/>
  <c r="I434" i="50"/>
  <c r="H434" i="50"/>
  <c r="G434" i="50"/>
  <c r="F434" i="50"/>
  <c r="E434" i="50"/>
  <c r="D434" i="50"/>
  <c r="R432" i="50"/>
  <c r="O431" i="50"/>
  <c r="N431" i="50"/>
  <c r="M431" i="50"/>
  <c r="L431" i="50"/>
  <c r="K431" i="50"/>
  <c r="J431" i="50"/>
  <c r="I431" i="50"/>
  <c r="H431" i="50"/>
  <c r="G431" i="50"/>
  <c r="F431" i="50"/>
  <c r="E431" i="50"/>
  <c r="D431" i="50"/>
  <c r="R429" i="50"/>
  <c r="O428" i="50"/>
  <c r="N428" i="50"/>
  <c r="M428" i="50"/>
  <c r="L428" i="50"/>
  <c r="K428" i="50"/>
  <c r="J428" i="50"/>
  <c r="I428" i="50"/>
  <c r="H428" i="50"/>
  <c r="G428" i="50"/>
  <c r="F428" i="50"/>
  <c r="E428" i="50"/>
  <c r="D428" i="50"/>
  <c r="R426" i="50"/>
  <c r="O425" i="50"/>
  <c r="N425" i="50"/>
  <c r="M425" i="50"/>
  <c r="L425" i="50"/>
  <c r="K425" i="50"/>
  <c r="J425" i="50"/>
  <c r="I425" i="50"/>
  <c r="H425" i="50"/>
  <c r="G425" i="50"/>
  <c r="F425" i="50"/>
  <c r="E425" i="50"/>
  <c r="D425" i="50"/>
  <c r="R423" i="50"/>
  <c r="O422" i="50"/>
  <c r="N422" i="50"/>
  <c r="M422" i="50"/>
  <c r="L422" i="50"/>
  <c r="K422" i="50"/>
  <c r="J422" i="50"/>
  <c r="I422" i="50"/>
  <c r="H422" i="50"/>
  <c r="G422" i="50"/>
  <c r="F422" i="50"/>
  <c r="E422" i="50"/>
  <c r="D422" i="50"/>
  <c r="R420" i="50"/>
  <c r="O419" i="50"/>
  <c r="N419" i="50"/>
  <c r="M419" i="50"/>
  <c r="L419" i="50"/>
  <c r="K419" i="50"/>
  <c r="J419" i="50"/>
  <c r="I419" i="50"/>
  <c r="H419" i="50"/>
  <c r="G419" i="50"/>
  <c r="F419" i="50"/>
  <c r="E419" i="50"/>
  <c r="D419" i="50"/>
  <c r="R417" i="50"/>
  <c r="O416" i="50"/>
  <c r="N416" i="50"/>
  <c r="M416" i="50"/>
  <c r="L416" i="50"/>
  <c r="K416" i="50"/>
  <c r="J416" i="50"/>
  <c r="I416" i="50"/>
  <c r="H416" i="50"/>
  <c r="G416" i="50"/>
  <c r="F416" i="50"/>
  <c r="E416" i="50"/>
  <c r="D416" i="50"/>
  <c r="R414" i="50"/>
  <c r="O413" i="50"/>
  <c r="N413" i="50"/>
  <c r="M413" i="50"/>
  <c r="L413" i="50"/>
  <c r="K413" i="50"/>
  <c r="J413" i="50"/>
  <c r="I413" i="50"/>
  <c r="H413" i="50"/>
  <c r="G413" i="50"/>
  <c r="F413" i="50"/>
  <c r="E413" i="50"/>
  <c r="D413" i="50"/>
  <c r="R411" i="50"/>
  <c r="O410" i="50"/>
  <c r="N410" i="50"/>
  <c r="M410" i="50"/>
  <c r="L410" i="50"/>
  <c r="K410" i="50"/>
  <c r="J410" i="50"/>
  <c r="I410" i="50"/>
  <c r="H410" i="50"/>
  <c r="G410" i="50"/>
  <c r="F410" i="50"/>
  <c r="E410" i="50"/>
  <c r="D410" i="50"/>
  <c r="R408" i="50"/>
  <c r="O407" i="50"/>
  <c r="N407" i="50"/>
  <c r="M407" i="50"/>
  <c r="L407" i="50"/>
  <c r="K407" i="50"/>
  <c r="J407" i="50"/>
  <c r="I407" i="50"/>
  <c r="H407" i="50"/>
  <c r="G407" i="50"/>
  <c r="F407" i="50"/>
  <c r="E407" i="50"/>
  <c r="D407" i="50"/>
  <c r="R405" i="50"/>
  <c r="O404" i="50"/>
  <c r="N404" i="50"/>
  <c r="M404" i="50"/>
  <c r="L404" i="50"/>
  <c r="K404" i="50"/>
  <c r="J404" i="50"/>
  <c r="I404" i="50"/>
  <c r="H404" i="50"/>
  <c r="G404" i="50"/>
  <c r="F404" i="50"/>
  <c r="E404" i="50"/>
  <c r="D404" i="50"/>
  <c r="R402" i="50"/>
  <c r="O401" i="50"/>
  <c r="N401" i="50"/>
  <c r="M401" i="50"/>
  <c r="L401" i="50"/>
  <c r="K401" i="50"/>
  <c r="J401" i="50"/>
  <c r="I401" i="50"/>
  <c r="H401" i="50"/>
  <c r="G401" i="50"/>
  <c r="F401" i="50"/>
  <c r="E401" i="50"/>
  <c r="D401" i="50"/>
  <c r="R399" i="50"/>
  <c r="O398" i="50"/>
  <c r="N398" i="50"/>
  <c r="M398" i="50"/>
  <c r="L398" i="50"/>
  <c r="K398" i="50"/>
  <c r="J398" i="50"/>
  <c r="I398" i="50"/>
  <c r="H398" i="50"/>
  <c r="G398" i="50"/>
  <c r="F398" i="50"/>
  <c r="E398" i="50"/>
  <c r="D398" i="50"/>
  <c r="R396" i="50"/>
  <c r="O395" i="50"/>
  <c r="N395" i="50"/>
  <c r="M395" i="50"/>
  <c r="L395" i="50"/>
  <c r="K395" i="50"/>
  <c r="J395" i="50"/>
  <c r="I395" i="50"/>
  <c r="H395" i="50"/>
  <c r="G395" i="50"/>
  <c r="F395" i="50"/>
  <c r="E395" i="50"/>
  <c r="D395" i="50"/>
  <c r="R389" i="50"/>
  <c r="O388" i="50"/>
  <c r="N388" i="50"/>
  <c r="M388" i="50"/>
  <c r="L388" i="50"/>
  <c r="K388" i="50"/>
  <c r="J388" i="50"/>
  <c r="I388" i="50"/>
  <c r="H388" i="50"/>
  <c r="G388" i="50"/>
  <c r="F388" i="50"/>
  <c r="E388" i="50"/>
  <c r="D388" i="50"/>
  <c r="R386" i="50"/>
  <c r="O385" i="50"/>
  <c r="N385" i="50"/>
  <c r="M385" i="50"/>
  <c r="L385" i="50"/>
  <c r="K385" i="50"/>
  <c r="J385" i="50"/>
  <c r="I385" i="50"/>
  <c r="H385" i="50"/>
  <c r="G385" i="50"/>
  <c r="F385" i="50"/>
  <c r="E385" i="50"/>
  <c r="D385" i="50"/>
  <c r="R383" i="50"/>
  <c r="O382" i="50"/>
  <c r="N382" i="50"/>
  <c r="M382" i="50"/>
  <c r="L382" i="50"/>
  <c r="K382" i="50"/>
  <c r="J382" i="50"/>
  <c r="I382" i="50"/>
  <c r="H382" i="50"/>
  <c r="G382" i="50"/>
  <c r="F382" i="50"/>
  <c r="E382" i="50"/>
  <c r="D382" i="50"/>
  <c r="R380" i="50"/>
  <c r="O379" i="50"/>
  <c r="N379" i="50"/>
  <c r="M379" i="50"/>
  <c r="L379" i="50"/>
  <c r="K379" i="50"/>
  <c r="J379" i="50"/>
  <c r="I379" i="50"/>
  <c r="H379" i="50"/>
  <c r="G379" i="50"/>
  <c r="F379" i="50"/>
  <c r="E379" i="50"/>
  <c r="D379" i="50"/>
  <c r="R377" i="50"/>
  <c r="O376" i="50"/>
  <c r="N376" i="50"/>
  <c r="M376" i="50"/>
  <c r="L376" i="50"/>
  <c r="K376" i="50"/>
  <c r="J376" i="50"/>
  <c r="I376" i="50"/>
  <c r="H376" i="50"/>
  <c r="G376" i="50"/>
  <c r="F376" i="50"/>
  <c r="E376" i="50"/>
  <c r="D376" i="50"/>
  <c r="R374" i="50"/>
  <c r="O373" i="50"/>
  <c r="N373" i="50"/>
  <c r="M373" i="50"/>
  <c r="L373" i="50"/>
  <c r="K373" i="50"/>
  <c r="J373" i="50"/>
  <c r="I373" i="50"/>
  <c r="H373" i="50"/>
  <c r="G373" i="50"/>
  <c r="F373" i="50"/>
  <c r="E373" i="50"/>
  <c r="D373" i="50"/>
  <c r="R371" i="50"/>
  <c r="O370" i="50"/>
  <c r="N370" i="50"/>
  <c r="M370" i="50"/>
  <c r="L370" i="50"/>
  <c r="K370" i="50"/>
  <c r="J370" i="50"/>
  <c r="I370" i="50"/>
  <c r="H370" i="50"/>
  <c r="G370" i="50"/>
  <c r="F370" i="50"/>
  <c r="E370" i="50"/>
  <c r="D370" i="50"/>
  <c r="R368" i="50"/>
  <c r="O367" i="50"/>
  <c r="N367" i="50"/>
  <c r="M367" i="50"/>
  <c r="L367" i="50"/>
  <c r="K367" i="50"/>
  <c r="J367" i="50"/>
  <c r="I367" i="50"/>
  <c r="H367" i="50"/>
  <c r="G367" i="50"/>
  <c r="F367" i="50"/>
  <c r="E367" i="50"/>
  <c r="D367" i="50"/>
  <c r="R365" i="50"/>
  <c r="O364" i="50"/>
  <c r="N364" i="50"/>
  <c r="M364" i="50"/>
  <c r="L364" i="50"/>
  <c r="K364" i="50"/>
  <c r="J364" i="50"/>
  <c r="I364" i="50"/>
  <c r="H364" i="50"/>
  <c r="G364" i="50"/>
  <c r="F364" i="50"/>
  <c r="E364" i="50"/>
  <c r="D364" i="50"/>
  <c r="R358" i="50"/>
  <c r="O357" i="50"/>
  <c r="N357" i="50"/>
  <c r="M357" i="50"/>
  <c r="L357" i="50"/>
  <c r="K357" i="50"/>
  <c r="J357" i="50"/>
  <c r="I357" i="50"/>
  <c r="H357" i="50"/>
  <c r="G357" i="50"/>
  <c r="F357" i="50"/>
  <c r="E357" i="50"/>
  <c r="D357" i="50"/>
  <c r="R355" i="50"/>
  <c r="O354" i="50"/>
  <c r="N354" i="50"/>
  <c r="M354" i="50"/>
  <c r="L354" i="50"/>
  <c r="K354" i="50"/>
  <c r="J354" i="50"/>
  <c r="I354" i="50"/>
  <c r="H354" i="50"/>
  <c r="G354" i="50"/>
  <c r="F354" i="50"/>
  <c r="E354" i="50"/>
  <c r="D354" i="50"/>
  <c r="R352" i="50"/>
  <c r="O351" i="50"/>
  <c r="N351" i="50"/>
  <c r="M351" i="50"/>
  <c r="L351" i="50"/>
  <c r="K351" i="50"/>
  <c r="J351" i="50"/>
  <c r="I351" i="50"/>
  <c r="H351" i="50"/>
  <c r="G351" i="50"/>
  <c r="F351" i="50"/>
  <c r="E351" i="50"/>
  <c r="D351" i="50"/>
  <c r="R349" i="50"/>
  <c r="O348" i="50"/>
  <c r="N348" i="50"/>
  <c r="M348" i="50"/>
  <c r="L348" i="50"/>
  <c r="K348" i="50"/>
  <c r="J348" i="50"/>
  <c r="I348" i="50"/>
  <c r="H348" i="50"/>
  <c r="G348" i="50"/>
  <c r="F348" i="50"/>
  <c r="E348" i="50"/>
  <c r="D348" i="50"/>
  <c r="R346" i="50"/>
  <c r="O345" i="50"/>
  <c r="N345" i="50"/>
  <c r="M345" i="50"/>
  <c r="L345" i="50"/>
  <c r="K345" i="50"/>
  <c r="J345" i="50"/>
  <c r="I345" i="50"/>
  <c r="H345" i="50"/>
  <c r="G345" i="50"/>
  <c r="F345" i="50"/>
  <c r="E345" i="50"/>
  <c r="D345" i="50"/>
  <c r="R343" i="50"/>
  <c r="O342" i="50"/>
  <c r="N342" i="50"/>
  <c r="M342" i="50"/>
  <c r="L342" i="50"/>
  <c r="K342" i="50"/>
  <c r="J342" i="50"/>
  <c r="I342" i="50"/>
  <c r="H342" i="50"/>
  <c r="G342" i="50"/>
  <c r="F342" i="50"/>
  <c r="E342" i="50"/>
  <c r="D342" i="50"/>
  <c r="R340" i="50"/>
  <c r="O339" i="50"/>
  <c r="N339" i="50"/>
  <c r="M339" i="50"/>
  <c r="L339" i="50"/>
  <c r="K339" i="50"/>
  <c r="J339" i="50"/>
  <c r="I339" i="50"/>
  <c r="H339" i="50"/>
  <c r="G339" i="50"/>
  <c r="F339" i="50"/>
  <c r="E339" i="50"/>
  <c r="D339" i="50"/>
  <c r="R337" i="50"/>
  <c r="O336" i="50"/>
  <c r="N336" i="50"/>
  <c r="M336" i="50"/>
  <c r="L336" i="50"/>
  <c r="K336" i="50"/>
  <c r="J336" i="50"/>
  <c r="I336" i="50"/>
  <c r="H336" i="50"/>
  <c r="G336" i="50"/>
  <c r="F336" i="50"/>
  <c r="E336" i="50"/>
  <c r="D336" i="50"/>
  <c r="R334" i="50"/>
  <c r="O333" i="50"/>
  <c r="N333" i="50"/>
  <c r="M333" i="50"/>
  <c r="L333" i="50"/>
  <c r="K333" i="50"/>
  <c r="J333" i="50"/>
  <c r="I333" i="50"/>
  <c r="H333" i="50"/>
  <c r="G333" i="50"/>
  <c r="F333" i="50"/>
  <c r="E333" i="50"/>
  <c r="D333" i="50"/>
  <c r="R331" i="50"/>
  <c r="O330" i="50"/>
  <c r="N330" i="50"/>
  <c r="M330" i="50"/>
  <c r="L330" i="50"/>
  <c r="K330" i="50"/>
  <c r="J330" i="50"/>
  <c r="I330" i="50"/>
  <c r="H330" i="50"/>
  <c r="G330" i="50"/>
  <c r="F330" i="50"/>
  <c r="E330" i="50"/>
  <c r="D330" i="50"/>
  <c r="R328" i="50"/>
  <c r="O327" i="50"/>
  <c r="N327" i="50"/>
  <c r="M327" i="50"/>
  <c r="L327" i="50"/>
  <c r="K327" i="50"/>
  <c r="J327" i="50"/>
  <c r="I327" i="50"/>
  <c r="H327" i="50"/>
  <c r="G327" i="50"/>
  <c r="F327" i="50"/>
  <c r="E327" i="50"/>
  <c r="D327" i="50"/>
  <c r="R325" i="50"/>
  <c r="O324" i="50"/>
  <c r="N324" i="50"/>
  <c r="M324" i="50"/>
  <c r="L324" i="50"/>
  <c r="K324" i="50"/>
  <c r="J324" i="50"/>
  <c r="I324" i="50"/>
  <c r="H324" i="50"/>
  <c r="G324" i="50"/>
  <c r="F324" i="50"/>
  <c r="E324" i="50"/>
  <c r="D324" i="50"/>
  <c r="R322" i="50"/>
  <c r="O321" i="50"/>
  <c r="N321" i="50"/>
  <c r="M321" i="50"/>
  <c r="L321" i="50"/>
  <c r="K321" i="50"/>
  <c r="J321" i="50"/>
  <c r="I321" i="50"/>
  <c r="H321" i="50"/>
  <c r="G321" i="50"/>
  <c r="F321" i="50"/>
  <c r="E321" i="50"/>
  <c r="D321" i="50"/>
  <c r="R319" i="50"/>
  <c r="O318" i="50"/>
  <c r="N318" i="50"/>
  <c r="M318" i="50"/>
  <c r="L318" i="50"/>
  <c r="K318" i="50"/>
  <c r="J318" i="50"/>
  <c r="I318" i="50"/>
  <c r="H318" i="50"/>
  <c r="G318" i="50"/>
  <c r="F318" i="50"/>
  <c r="E318" i="50"/>
  <c r="D318" i="50"/>
  <c r="R316" i="50"/>
  <c r="O315" i="50"/>
  <c r="N315" i="50"/>
  <c r="M315" i="50"/>
  <c r="L315" i="50"/>
  <c r="K315" i="50"/>
  <c r="J315" i="50"/>
  <c r="I315" i="50"/>
  <c r="H315" i="50"/>
  <c r="G315" i="50"/>
  <c r="F315" i="50"/>
  <c r="E315" i="50"/>
  <c r="D315" i="50"/>
  <c r="R313" i="50"/>
  <c r="O312" i="50"/>
  <c r="N312" i="50"/>
  <c r="M312" i="50"/>
  <c r="L312" i="50"/>
  <c r="K312" i="50"/>
  <c r="J312" i="50"/>
  <c r="I312" i="50"/>
  <c r="H312" i="50"/>
  <c r="G312" i="50"/>
  <c r="F312" i="50"/>
  <c r="E312" i="50"/>
  <c r="D312" i="50"/>
  <c r="R310" i="50"/>
  <c r="O309" i="50"/>
  <c r="N309" i="50"/>
  <c r="M309" i="50"/>
  <c r="L309" i="50"/>
  <c r="K309" i="50"/>
  <c r="J309" i="50"/>
  <c r="I309" i="50"/>
  <c r="H309" i="50"/>
  <c r="G309" i="50"/>
  <c r="F309" i="50"/>
  <c r="E309" i="50"/>
  <c r="D309" i="50"/>
  <c r="R307" i="50"/>
  <c r="O306" i="50"/>
  <c r="N306" i="50"/>
  <c r="M306" i="50"/>
  <c r="L306" i="50"/>
  <c r="K306" i="50"/>
  <c r="J306" i="50"/>
  <c r="I306" i="50"/>
  <c r="H306" i="50"/>
  <c r="G306" i="50"/>
  <c r="F306" i="50"/>
  <c r="E306" i="50"/>
  <c r="D306" i="50"/>
  <c r="R304" i="50"/>
  <c r="O303" i="50"/>
  <c r="N303" i="50"/>
  <c r="M303" i="50"/>
  <c r="L303" i="50"/>
  <c r="K303" i="50"/>
  <c r="J303" i="50"/>
  <c r="I303" i="50"/>
  <c r="H303" i="50"/>
  <c r="G303" i="50"/>
  <c r="F303" i="50"/>
  <c r="E303" i="50"/>
  <c r="D303" i="50"/>
  <c r="R297" i="50"/>
  <c r="O296" i="50"/>
  <c r="N296" i="50"/>
  <c r="M296" i="50"/>
  <c r="L296" i="50"/>
  <c r="K296" i="50"/>
  <c r="J296" i="50"/>
  <c r="I296" i="50"/>
  <c r="H296" i="50"/>
  <c r="G296" i="50"/>
  <c r="F296" i="50"/>
  <c r="E296" i="50"/>
  <c r="D296" i="50"/>
  <c r="R294" i="50"/>
  <c r="O293" i="50"/>
  <c r="N293" i="50"/>
  <c r="M293" i="50"/>
  <c r="L293" i="50"/>
  <c r="K293" i="50"/>
  <c r="J293" i="50"/>
  <c r="I293" i="50"/>
  <c r="H293" i="50"/>
  <c r="G293" i="50"/>
  <c r="F293" i="50"/>
  <c r="E293" i="50"/>
  <c r="D293" i="50"/>
  <c r="R291" i="50"/>
  <c r="O290" i="50"/>
  <c r="N290" i="50"/>
  <c r="M290" i="50"/>
  <c r="L290" i="50"/>
  <c r="K290" i="50"/>
  <c r="J290" i="50"/>
  <c r="I290" i="50"/>
  <c r="H290" i="50"/>
  <c r="G290" i="50"/>
  <c r="F290" i="50"/>
  <c r="E290" i="50"/>
  <c r="D290" i="50"/>
  <c r="R288" i="50"/>
  <c r="O287" i="50"/>
  <c r="N287" i="50"/>
  <c r="M287" i="50"/>
  <c r="L287" i="50"/>
  <c r="K287" i="50"/>
  <c r="J287" i="50"/>
  <c r="I287" i="50"/>
  <c r="H287" i="50"/>
  <c r="G287" i="50"/>
  <c r="F287" i="50"/>
  <c r="E287" i="50"/>
  <c r="D287" i="50"/>
  <c r="R285" i="50"/>
  <c r="O284" i="50"/>
  <c r="N284" i="50"/>
  <c r="M284" i="50"/>
  <c r="L284" i="50"/>
  <c r="K284" i="50"/>
  <c r="J284" i="50"/>
  <c r="I284" i="50"/>
  <c r="H284" i="50"/>
  <c r="G284" i="50"/>
  <c r="F284" i="50"/>
  <c r="E284" i="50"/>
  <c r="D284" i="50"/>
  <c r="R282" i="50"/>
  <c r="O281" i="50"/>
  <c r="N281" i="50"/>
  <c r="M281" i="50"/>
  <c r="L281" i="50"/>
  <c r="K281" i="50"/>
  <c r="J281" i="50"/>
  <c r="I281" i="50"/>
  <c r="H281" i="50"/>
  <c r="G281" i="50"/>
  <c r="F281" i="50"/>
  <c r="E281" i="50"/>
  <c r="D281" i="50"/>
  <c r="R279" i="50"/>
  <c r="O278" i="50"/>
  <c r="N278" i="50"/>
  <c r="M278" i="50"/>
  <c r="L278" i="50"/>
  <c r="K278" i="50"/>
  <c r="J278" i="50"/>
  <c r="I278" i="50"/>
  <c r="H278" i="50"/>
  <c r="G278" i="50"/>
  <c r="F278" i="50"/>
  <c r="E278" i="50"/>
  <c r="D278" i="50"/>
  <c r="R276" i="50"/>
  <c r="O275" i="50"/>
  <c r="N275" i="50"/>
  <c r="M275" i="50"/>
  <c r="L275" i="50"/>
  <c r="K275" i="50"/>
  <c r="J275" i="50"/>
  <c r="I275" i="50"/>
  <c r="H275" i="50"/>
  <c r="G275" i="50"/>
  <c r="F275" i="50"/>
  <c r="E275" i="50"/>
  <c r="D275" i="50"/>
  <c r="R269" i="50"/>
  <c r="O268" i="50"/>
  <c r="N268" i="50"/>
  <c r="M268" i="50"/>
  <c r="L268" i="50"/>
  <c r="K268" i="50"/>
  <c r="J268" i="50"/>
  <c r="I268" i="50"/>
  <c r="H268" i="50"/>
  <c r="G268" i="50"/>
  <c r="F268" i="50"/>
  <c r="E268" i="50"/>
  <c r="D268" i="50"/>
  <c r="R266" i="50"/>
  <c r="O265" i="50"/>
  <c r="N265" i="50"/>
  <c r="M265" i="50"/>
  <c r="L265" i="50"/>
  <c r="K265" i="50"/>
  <c r="J265" i="50"/>
  <c r="I265" i="50"/>
  <c r="H265" i="50"/>
  <c r="G265" i="50"/>
  <c r="F265" i="50"/>
  <c r="E265" i="50"/>
  <c r="D265" i="50"/>
  <c r="R263" i="50"/>
  <c r="O262" i="50"/>
  <c r="N262" i="50"/>
  <c r="M262" i="50"/>
  <c r="L262" i="50"/>
  <c r="K262" i="50"/>
  <c r="J262" i="50"/>
  <c r="I262" i="50"/>
  <c r="H262" i="50"/>
  <c r="G262" i="50"/>
  <c r="F262" i="50"/>
  <c r="E262" i="50"/>
  <c r="D262" i="50"/>
  <c r="R260" i="50"/>
  <c r="O259" i="50"/>
  <c r="N259" i="50"/>
  <c r="M259" i="50"/>
  <c r="L259" i="50"/>
  <c r="K259" i="50"/>
  <c r="J259" i="50"/>
  <c r="I259" i="50"/>
  <c r="H259" i="50"/>
  <c r="G259" i="50"/>
  <c r="F259" i="50"/>
  <c r="E259" i="50"/>
  <c r="D259" i="50"/>
  <c r="R257" i="50"/>
  <c r="O256" i="50"/>
  <c r="N256" i="50"/>
  <c r="M256" i="50"/>
  <c r="L256" i="50"/>
  <c r="K256" i="50"/>
  <c r="J256" i="50"/>
  <c r="I256" i="50"/>
  <c r="H256" i="50"/>
  <c r="G256" i="50"/>
  <c r="F256" i="50"/>
  <c r="E256" i="50"/>
  <c r="D256" i="50"/>
  <c r="R254" i="50"/>
  <c r="O253" i="50"/>
  <c r="N253" i="50"/>
  <c r="M253" i="50"/>
  <c r="L253" i="50"/>
  <c r="K253" i="50"/>
  <c r="J253" i="50"/>
  <c r="I253" i="50"/>
  <c r="H253" i="50"/>
  <c r="G253" i="50"/>
  <c r="F253" i="50"/>
  <c r="E253" i="50"/>
  <c r="D253" i="50"/>
  <c r="R251" i="50"/>
  <c r="O250" i="50"/>
  <c r="N250" i="50"/>
  <c r="M250" i="50"/>
  <c r="L250" i="50"/>
  <c r="K250" i="50"/>
  <c r="J250" i="50"/>
  <c r="I250" i="50"/>
  <c r="H250" i="50"/>
  <c r="G250" i="50"/>
  <c r="F250" i="50"/>
  <c r="E250" i="50"/>
  <c r="D250" i="50"/>
  <c r="R248" i="50"/>
  <c r="O247" i="50"/>
  <c r="N247" i="50"/>
  <c r="M247" i="50"/>
  <c r="L247" i="50"/>
  <c r="K247" i="50"/>
  <c r="J247" i="50"/>
  <c r="I247" i="50"/>
  <c r="H247" i="50"/>
  <c r="G247" i="50"/>
  <c r="F247" i="50"/>
  <c r="E247" i="50"/>
  <c r="D247" i="50"/>
  <c r="R245" i="50"/>
  <c r="O244" i="50"/>
  <c r="N244" i="50"/>
  <c r="M244" i="50"/>
  <c r="L244" i="50"/>
  <c r="K244" i="50"/>
  <c r="J244" i="50"/>
  <c r="I244" i="50"/>
  <c r="H244" i="50"/>
  <c r="G244" i="50"/>
  <c r="F244" i="50"/>
  <c r="E244" i="50"/>
  <c r="D244" i="50"/>
  <c r="R242" i="50"/>
  <c r="O241" i="50"/>
  <c r="N241" i="50"/>
  <c r="M241" i="50"/>
  <c r="L241" i="50"/>
  <c r="K241" i="50"/>
  <c r="J241" i="50"/>
  <c r="I241" i="50"/>
  <c r="H241" i="50"/>
  <c r="G241" i="50"/>
  <c r="F241" i="50"/>
  <c r="E241" i="50"/>
  <c r="D241" i="50"/>
  <c r="R239" i="50"/>
  <c r="O238" i="50"/>
  <c r="N238" i="50"/>
  <c r="M238" i="50"/>
  <c r="L238" i="50"/>
  <c r="K238" i="50"/>
  <c r="J238" i="50"/>
  <c r="I238" i="50"/>
  <c r="H238" i="50"/>
  <c r="G238" i="50"/>
  <c r="F238" i="50"/>
  <c r="E238" i="50"/>
  <c r="D238" i="50"/>
  <c r="R232" i="50"/>
  <c r="O231" i="50"/>
  <c r="N231" i="50"/>
  <c r="M231" i="50"/>
  <c r="L231" i="50"/>
  <c r="K231" i="50"/>
  <c r="J231" i="50"/>
  <c r="I231" i="50"/>
  <c r="H231" i="50"/>
  <c r="G231" i="50"/>
  <c r="F231" i="50"/>
  <c r="E231" i="50"/>
  <c r="D231" i="50"/>
  <c r="R229" i="50"/>
  <c r="O228" i="50"/>
  <c r="N228" i="50"/>
  <c r="M228" i="50"/>
  <c r="L228" i="50"/>
  <c r="K228" i="50"/>
  <c r="J228" i="50"/>
  <c r="I228" i="50"/>
  <c r="H228" i="50"/>
  <c r="G228" i="50"/>
  <c r="F228" i="50"/>
  <c r="E228" i="50"/>
  <c r="D228" i="50"/>
  <c r="R226" i="50"/>
  <c r="O225" i="50"/>
  <c r="N225" i="50"/>
  <c r="M225" i="50"/>
  <c r="L225" i="50"/>
  <c r="K225" i="50"/>
  <c r="J225" i="50"/>
  <c r="I225" i="50"/>
  <c r="H225" i="50"/>
  <c r="G225" i="50"/>
  <c r="F225" i="50"/>
  <c r="E225" i="50"/>
  <c r="D225" i="50"/>
  <c r="R223" i="50"/>
  <c r="O222" i="50"/>
  <c r="N222" i="50"/>
  <c r="M222" i="50"/>
  <c r="L222" i="50"/>
  <c r="K222" i="50"/>
  <c r="J222" i="50"/>
  <c r="I222" i="50"/>
  <c r="H222" i="50"/>
  <c r="G222" i="50"/>
  <c r="F222" i="50"/>
  <c r="E222" i="50"/>
  <c r="D222" i="50"/>
  <c r="R220" i="50"/>
  <c r="O219" i="50"/>
  <c r="N219" i="50"/>
  <c r="M219" i="50"/>
  <c r="L219" i="50"/>
  <c r="K219" i="50"/>
  <c r="J219" i="50"/>
  <c r="I219" i="50"/>
  <c r="H219" i="50"/>
  <c r="G219" i="50"/>
  <c r="F219" i="50"/>
  <c r="E219" i="50"/>
  <c r="D219" i="50"/>
  <c r="R217" i="50"/>
  <c r="O216" i="50"/>
  <c r="N216" i="50"/>
  <c r="M216" i="50"/>
  <c r="L216" i="50"/>
  <c r="K216" i="50"/>
  <c r="J216" i="50"/>
  <c r="I216" i="50"/>
  <c r="H216" i="50"/>
  <c r="G216" i="50"/>
  <c r="F216" i="50"/>
  <c r="E216" i="50"/>
  <c r="D216" i="50"/>
  <c r="R214" i="50"/>
  <c r="O213" i="50"/>
  <c r="N213" i="50"/>
  <c r="M213" i="50"/>
  <c r="L213" i="50"/>
  <c r="K213" i="50"/>
  <c r="J213" i="50"/>
  <c r="I213" i="50"/>
  <c r="H213" i="50"/>
  <c r="G213" i="50"/>
  <c r="F213" i="50"/>
  <c r="E213" i="50"/>
  <c r="D213" i="50"/>
  <c r="R211" i="50"/>
  <c r="O210" i="50"/>
  <c r="N210" i="50"/>
  <c r="M210" i="50"/>
  <c r="L210" i="50"/>
  <c r="K210" i="50"/>
  <c r="J210" i="50"/>
  <c r="I210" i="50"/>
  <c r="H210" i="50"/>
  <c r="G210" i="50"/>
  <c r="F210" i="50"/>
  <c r="E210" i="50"/>
  <c r="D210" i="50"/>
  <c r="R208" i="50"/>
  <c r="O207" i="50"/>
  <c r="N207" i="50"/>
  <c r="M207" i="50"/>
  <c r="L207" i="50"/>
  <c r="K207" i="50"/>
  <c r="J207" i="50"/>
  <c r="I207" i="50"/>
  <c r="H207" i="50"/>
  <c r="G207" i="50"/>
  <c r="F207" i="50"/>
  <c r="E207" i="50"/>
  <c r="D207" i="50"/>
  <c r="R205" i="50"/>
  <c r="O204" i="50"/>
  <c r="N204" i="50"/>
  <c r="M204" i="50"/>
  <c r="L204" i="50"/>
  <c r="K204" i="50"/>
  <c r="J204" i="50"/>
  <c r="I204" i="50"/>
  <c r="H204" i="50"/>
  <c r="G204" i="50"/>
  <c r="F204" i="50"/>
  <c r="E204" i="50"/>
  <c r="D204" i="50"/>
  <c r="R202" i="50"/>
  <c r="O201" i="50"/>
  <c r="N201" i="50"/>
  <c r="M201" i="50"/>
  <c r="L201" i="50"/>
  <c r="K201" i="50"/>
  <c r="J201" i="50"/>
  <c r="I201" i="50"/>
  <c r="H201" i="50"/>
  <c r="G201" i="50"/>
  <c r="F201" i="50"/>
  <c r="E201" i="50"/>
  <c r="D201" i="50"/>
  <c r="R199" i="50"/>
  <c r="O198" i="50"/>
  <c r="N198" i="50"/>
  <c r="M198" i="50"/>
  <c r="L198" i="50"/>
  <c r="K198" i="50"/>
  <c r="J198" i="50"/>
  <c r="I198" i="50"/>
  <c r="H198" i="50"/>
  <c r="G198" i="50"/>
  <c r="F198" i="50"/>
  <c r="E198" i="50"/>
  <c r="D198" i="50"/>
  <c r="R196" i="50"/>
  <c r="O195" i="50"/>
  <c r="N195" i="50"/>
  <c r="M195" i="50"/>
  <c r="L195" i="50"/>
  <c r="K195" i="50"/>
  <c r="J195" i="50"/>
  <c r="I195" i="50"/>
  <c r="H195" i="50"/>
  <c r="G195" i="50"/>
  <c r="F195" i="50"/>
  <c r="E195" i="50"/>
  <c r="D195" i="50"/>
  <c r="R193" i="50"/>
  <c r="O192" i="50"/>
  <c r="N192" i="50"/>
  <c r="M192" i="50"/>
  <c r="L192" i="50"/>
  <c r="K192" i="50"/>
  <c r="J192" i="50"/>
  <c r="I192" i="50"/>
  <c r="H192" i="50"/>
  <c r="G192" i="50"/>
  <c r="F192" i="50"/>
  <c r="E192" i="50"/>
  <c r="D192" i="50"/>
  <c r="R190" i="50"/>
  <c r="O189" i="50"/>
  <c r="N189" i="50"/>
  <c r="M189" i="50"/>
  <c r="L189" i="50"/>
  <c r="K189" i="50"/>
  <c r="J189" i="50"/>
  <c r="I189" i="50"/>
  <c r="H189" i="50"/>
  <c r="G189" i="50"/>
  <c r="F189" i="50"/>
  <c r="E189" i="50"/>
  <c r="D189" i="50"/>
  <c r="R187" i="50"/>
  <c r="O186" i="50"/>
  <c r="N186" i="50"/>
  <c r="M186" i="50"/>
  <c r="L186" i="50"/>
  <c r="K186" i="50"/>
  <c r="J186" i="50"/>
  <c r="I186" i="50"/>
  <c r="H186" i="50"/>
  <c r="G186" i="50"/>
  <c r="F186" i="50"/>
  <c r="E186" i="50"/>
  <c r="D186" i="50"/>
  <c r="R184" i="50"/>
  <c r="O183" i="50"/>
  <c r="N183" i="50"/>
  <c r="M183" i="50"/>
  <c r="L183" i="50"/>
  <c r="K183" i="50"/>
  <c r="J183" i="50"/>
  <c r="I183" i="50"/>
  <c r="H183" i="50"/>
  <c r="G183" i="50"/>
  <c r="F183" i="50"/>
  <c r="E183" i="50"/>
  <c r="D183" i="50"/>
  <c r="R181" i="50"/>
  <c r="O180" i="50"/>
  <c r="N180" i="50"/>
  <c r="M180" i="50"/>
  <c r="L180" i="50"/>
  <c r="K180" i="50"/>
  <c r="J180" i="50"/>
  <c r="I180" i="50"/>
  <c r="H180" i="50"/>
  <c r="G180" i="50"/>
  <c r="F180" i="50"/>
  <c r="E180" i="50"/>
  <c r="D180" i="50"/>
  <c r="R174" i="50"/>
  <c r="O173" i="50"/>
  <c r="N173" i="50"/>
  <c r="M173" i="50"/>
  <c r="L173" i="50"/>
  <c r="K173" i="50"/>
  <c r="J173" i="50"/>
  <c r="I173" i="50"/>
  <c r="H173" i="50"/>
  <c r="G173" i="50"/>
  <c r="F173" i="50"/>
  <c r="E173" i="50"/>
  <c r="D173" i="50"/>
  <c r="R171" i="50"/>
  <c r="O170" i="50"/>
  <c r="N170" i="50"/>
  <c r="M170" i="50"/>
  <c r="L170" i="50"/>
  <c r="K170" i="50"/>
  <c r="J170" i="50"/>
  <c r="I170" i="50"/>
  <c r="H170" i="50"/>
  <c r="G170" i="50"/>
  <c r="F170" i="50"/>
  <c r="E170" i="50"/>
  <c r="D170" i="50"/>
  <c r="R168" i="50"/>
  <c r="O167" i="50"/>
  <c r="N167" i="50"/>
  <c r="M167" i="50"/>
  <c r="L167" i="50"/>
  <c r="K167" i="50"/>
  <c r="J167" i="50"/>
  <c r="I167" i="50"/>
  <c r="H167" i="50"/>
  <c r="G167" i="50"/>
  <c r="F167" i="50"/>
  <c r="E167" i="50"/>
  <c r="D167" i="50"/>
  <c r="R165" i="50"/>
  <c r="O164" i="50"/>
  <c r="N164" i="50"/>
  <c r="M164" i="50"/>
  <c r="L164" i="50"/>
  <c r="K164" i="50"/>
  <c r="J164" i="50"/>
  <c r="I164" i="50"/>
  <c r="H164" i="50"/>
  <c r="G164" i="50"/>
  <c r="F164" i="50"/>
  <c r="E164" i="50"/>
  <c r="D164" i="50"/>
  <c r="R162" i="50"/>
  <c r="O161" i="50"/>
  <c r="N161" i="50"/>
  <c r="M161" i="50"/>
  <c r="L161" i="50"/>
  <c r="K161" i="50"/>
  <c r="J161" i="50"/>
  <c r="I161" i="50"/>
  <c r="H161" i="50"/>
  <c r="G161" i="50"/>
  <c r="F161" i="50"/>
  <c r="E161" i="50"/>
  <c r="D161" i="50"/>
  <c r="R159" i="50"/>
  <c r="O158" i="50"/>
  <c r="N158" i="50"/>
  <c r="M158" i="50"/>
  <c r="L158" i="50"/>
  <c r="K158" i="50"/>
  <c r="J158" i="50"/>
  <c r="I158" i="50"/>
  <c r="H158" i="50"/>
  <c r="G158" i="50"/>
  <c r="F158" i="50"/>
  <c r="E158" i="50"/>
  <c r="D158" i="50"/>
  <c r="R156" i="50"/>
  <c r="O155" i="50"/>
  <c r="N155" i="50"/>
  <c r="M155" i="50"/>
  <c r="L155" i="50"/>
  <c r="K155" i="50"/>
  <c r="J155" i="50"/>
  <c r="I155" i="50"/>
  <c r="H155" i="50"/>
  <c r="G155" i="50"/>
  <c r="F155" i="50"/>
  <c r="E155" i="50"/>
  <c r="D155" i="50"/>
  <c r="R149" i="50"/>
  <c r="O148" i="50"/>
  <c r="N148" i="50"/>
  <c r="M148" i="50"/>
  <c r="L148" i="50"/>
  <c r="K148" i="50"/>
  <c r="J148" i="50"/>
  <c r="I148" i="50"/>
  <c r="H148" i="50"/>
  <c r="G148" i="50"/>
  <c r="F148" i="50"/>
  <c r="E148" i="50"/>
  <c r="D148" i="50"/>
  <c r="R146" i="50"/>
  <c r="O145" i="50"/>
  <c r="N145" i="50"/>
  <c r="M145" i="50"/>
  <c r="L145" i="50"/>
  <c r="K145" i="50"/>
  <c r="J145" i="50"/>
  <c r="I145" i="50"/>
  <c r="H145" i="50"/>
  <c r="G145" i="50"/>
  <c r="F145" i="50"/>
  <c r="E145" i="50"/>
  <c r="D145" i="50"/>
  <c r="R143" i="50"/>
  <c r="O142" i="50"/>
  <c r="N142" i="50"/>
  <c r="M142" i="50"/>
  <c r="L142" i="50"/>
  <c r="K142" i="50"/>
  <c r="J142" i="50"/>
  <c r="I142" i="50"/>
  <c r="H142" i="50"/>
  <c r="G142" i="50"/>
  <c r="F142" i="50"/>
  <c r="E142" i="50"/>
  <c r="D142" i="50"/>
  <c r="R140" i="50"/>
  <c r="O139" i="50"/>
  <c r="N139" i="50"/>
  <c r="M139" i="50"/>
  <c r="L139" i="50"/>
  <c r="K139" i="50"/>
  <c r="J139" i="50"/>
  <c r="I139" i="50"/>
  <c r="H139" i="50"/>
  <c r="G139" i="50"/>
  <c r="F139" i="50"/>
  <c r="E139" i="50"/>
  <c r="D139" i="50"/>
  <c r="R137" i="50"/>
  <c r="O136" i="50"/>
  <c r="N136" i="50"/>
  <c r="M136" i="50"/>
  <c r="L136" i="50"/>
  <c r="K136" i="50"/>
  <c r="J136" i="50"/>
  <c r="I136" i="50"/>
  <c r="H136" i="50"/>
  <c r="G136" i="50"/>
  <c r="F136" i="50"/>
  <c r="E136" i="50"/>
  <c r="D136" i="50"/>
  <c r="R134" i="50"/>
  <c r="O133" i="50"/>
  <c r="N133" i="50"/>
  <c r="M133" i="50"/>
  <c r="L133" i="50"/>
  <c r="K133" i="50"/>
  <c r="J133" i="50"/>
  <c r="I133" i="50"/>
  <c r="H133" i="50"/>
  <c r="G133" i="50"/>
  <c r="F133" i="50"/>
  <c r="E133" i="50"/>
  <c r="D133" i="50"/>
  <c r="R131" i="50"/>
  <c r="O130" i="50"/>
  <c r="N130" i="50"/>
  <c r="M130" i="50"/>
  <c r="L130" i="50"/>
  <c r="K130" i="50"/>
  <c r="J130" i="50"/>
  <c r="I130" i="50"/>
  <c r="H130" i="50"/>
  <c r="G130" i="50"/>
  <c r="F130" i="50"/>
  <c r="E130" i="50"/>
  <c r="D130" i="50"/>
  <c r="R128" i="50"/>
  <c r="O127" i="50"/>
  <c r="N127" i="50"/>
  <c r="M127" i="50"/>
  <c r="L127" i="50"/>
  <c r="K127" i="50"/>
  <c r="J127" i="50"/>
  <c r="I127" i="50"/>
  <c r="H127" i="50"/>
  <c r="G127" i="50"/>
  <c r="F127" i="50"/>
  <c r="E127" i="50"/>
  <c r="D127" i="50"/>
  <c r="R125" i="50"/>
  <c r="O124" i="50"/>
  <c r="N124" i="50"/>
  <c r="M124" i="50"/>
  <c r="L124" i="50"/>
  <c r="K124" i="50"/>
  <c r="J124" i="50"/>
  <c r="I124" i="50"/>
  <c r="H124" i="50"/>
  <c r="G124" i="50"/>
  <c r="F124" i="50"/>
  <c r="E124" i="50"/>
  <c r="D124" i="50"/>
  <c r="R122" i="50"/>
  <c r="O121" i="50"/>
  <c r="N121" i="50"/>
  <c r="M121" i="50"/>
  <c r="L121" i="50"/>
  <c r="K121" i="50"/>
  <c r="J121" i="50"/>
  <c r="I121" i="50"/>
  <c r="H121" i="50"/>
  <c r="G121" i="50"/>
  <c r="F121" i="50"/>
  <c r="E121" i="50"/>
  <c r="D121" i="50"/>
  <c r="R119" i="50"/>
  <c r="O118" i="50"/>
  <c r="N118" i="50"/>
  <c r="M118" i="50"/>
  <c r="L118" i="50"/>
  <c r="K118" i="50"/>
  <c r="J118" i="50"/>
  <c r="I118" i="50"/>
  <c r="H118" i="50"/>
  <c r="G118" i="50"/>
  <c r="F118" i="50"/>
  <c r="E118" i="50"/>
  <c r="D118" i="50"/>
  <c r="R116" i="50"/>
  <c r="O115" i="50"/>
  <c r="N115" i="50"/>
  <c r="M115" i="50"/>
  <c r="L115" i="50"/>
  <c r="K115" i="50"/>
  <c r="J115" i="50"/>
  <c r="I115" i="50"/>
  <c r="H115" i="50"/>
  <c r="G115" i="50"/>
  <c r="F115" i="50"/>
  <c r="E115" i="50"/>
  <c r="D115" i="50"/>
  <c r="R109" i="50"/>
  <c r="O108" i="50"/>
  <c r="N108" i="50"/>
  <c r="M108" i="50"/>
  <c r="L108" i="50"/>
  <c r="K108" i="50"/>
  <c r="J108" i="50"/>
  <c r="I108" i="50"/>
  <c r="H108" i="50"/>
  <c r="G108" i="50"/>
  <c r="F108" i="50"/>
  <c r="E108" i="50"/>
  <c r="D108" i="50"/>
  <c r="R106" i="50"/>
  <c r="O105" i="50"/>
  <c r="N105" i="50"/>
  <c r="M105" i="50"/>
  <c r="L105" i="50"/>
  <c r="K105" i="50"/>
  <c r="J105" i="50"/>
  <c r="I105" i="50"/>
  <c r="H105" i="50"/>
  <c r="G105" i="50"/>
  <c r="F105" i="50"/>
  <c r="E105" i="50"/>
  <c r="D105" i="50"/>
  <c r="R103" i="50"/>
  <c r="O102" i="50"/>
  <c r="N102" i="50"/>
  <c r="M102" i="50"/>
  <c r="L102" i="50"/>
  <c r="K102" i="50"/>
  <c r="J102" i="50"/>
  <c r="I102" i="50"/>
  <c r="H102" i="50"/>
  <c r="G102" i="50"/>
  <c r="F102" i="50"/>
  <c r="E102" i="50"/>
  <c r="D102" i="50"/>
  <c r="R100" i="50"/>
  <c r="O99" i="50"/>
  <c r="N99" i="50"/>
  <c r="M99" i="50"/>
  <c r="L99" i="50"/>
  <c r="K99" i="50"/>
  <c r="J99" i="50"/>
  <c r="I99" i="50"/>
  <c r="H99" i="50"/>
  <c r="G99" i="50"/>
  <c r="F99" i="50"/>
  <c r="E99" i="50"/>
  <c r="D99" i="50"/>
  <c r="R97" i="50"/>
  <c r="O96" i="50"/>
  <c r="N96" i="50"/>
  <c r="M96" i="50"/>
  <c r="L96" i="50"/>
  <c r="K96" i="50"/>
  <c r="J96" i="50"/>
  <c r="I96" i="50"/>
  <c r="H96" i="50"/>
  <c r="G96" i="50"/>
  <c r="F96" i="50"/>
  <c r="E96" i="50"/>
  <c r="D96" i="50"/>
  <c r="R94" i="50"/>
  <c r="O93" i="50"/>
  <c r="N93" i="50"/>
  <c r="M93" i="50"/>
  <c r="L93" i="50"/>
  <c r="K93" i="50"/>
  <c r="J93" i="50"/>
  <c r="I93" i="50"/>
  <c r="H93" i="50"/>
  <c r="G93" i="50"/>
  <c r="F93" i="50"/>
  <c r="E93" i="50"/>
  <c r="D93" i="50"/>
  <c r="R91" i="50"/>
  <c r="O90" i="50"/>
  <c r="N90" i="50"/>
  <c r="M90" i="50"/>
  <c r="L90" i="50"/>
  <c r="K90" i="50"/>
  <c r="J90" i="50"/>
  <c r="I90" i="50"/>
  <c r="H90" i="50"/>
  <c r="G90" i="50"/>
  <c r="F90" i="50"/>
  <c r="E90" i="50"/>
  <c r="D90" i="50"/>
  <c r="R88" i="50"/>
  <c r="O87" i="50"/>
  <c r="N87" i="50"/>
  <c r="M87" i="50"/>
  <c r="L87" i="50"/>
  <c r="K87" i="50"/>
  <c r="J87" i="50"/>
  <c r="I87" i="50"/>
  <c r="H87" i="50"/>
  <c r="G87" i="50"/>
  <c r="F87" i="50"/>
  <c r="E87" i="50"/>
  <c r="D87" i="50"/>
  <c r="R85" i="50"/>
  <c r="O84" i="50"/>
  <c r="N84" i="50"/>
  <c r="M84" i="50"/>
  <c r="L84" i="50"/>
  <c r="K84" i="50"/>
  <c r="J84" i="50"/>
  <c r="I84" i="50"/>
  <c r="H84" i="50"/>
  <c r="G84" i="50"/>
  <c r="F84" i="50"/>
  <c r="E84" i="50"/>
  <c r="D84" i="50"/>
  <c r="R82" i="50"/>
  <c r="O81" i="50"/>
  <c r="N81" i="50"/>
  <c r="M81" i="50"/>
  <c r="L81" i="50"/>
  <c r="K81" i="50"/>
  <c r="J81" i="50"/>
  <c r="I81" i="50"/>
  <c r="H81" i="50"/>
  <c r="G81" i="50"/>
  <c r="F81" i="50"/>
  <c r="E81" i="50"/>
  <c r="D81" i="50"/>
  <c r="R79" i="50"/>
  <c r="O78" i="50"/>
  <c r="N78" i="50"/>
  <c r="M78" i="50"/>
  <c r="L78" i="50"/>
  <c r="K78" i="50"/>
  <c r="J78" i="50"/>
  <c r="I78" i="50"/>
  <c r="H78" i="50"/>
  <c r="G78" i="50"/>
  <c r="F78" i="50"/>
  <c r="E78" i="50"/>
  <c r="D78" i="50"/>
  <c r="R76" i="50"/>
  <c r="O75" i="50"/>
  <c r="N75" i="50"/>
  <c r="M75" i="50"/>
  <c r="L75" i="50"/>
  <c r="K75" i="50"/>
  <c r="J75" i="50"/>
  <c r="I75" i="50"/>
  <c r="H75" i="50"/>
  <c r="G75" i="50"/>
  <c r="F75" i="50"/>
  <c r="E75" i="50"/>
  <c r="D75" i="50"/>
  <c r="R73" i="50"/>
  <c r="O72" i="50"/>
  <c r="N72" i="50"/>
  <c r="M72" i="50"/>
  <c r="L72" i="50"/>
  <c r="K72" i="50"/>
  <c r="J72" i="50"/>
  <c r="I72" i="50"/>
  <c r="H72" i="50"/>
  <c r="G72" i="50"/>
  <c r="F72" i="50"/>
  <c r="E72" i="50"/>
  <c r="D72" i="50"/>
  <c r="R70" i="50"/>
  <c r="O69" i="50"/>
  <c r="N69" i="50"/>
  <c r="M69" i="50"/>
  <c r="L69" i="50"/>
  <c r="K69" i="50"/>
  <c r="J69" i="50"/>
  <c r="I69" i="50"/>
  <c r="H69" i="50"/>
  <c r="G69" i="50"/>
  <c r="F69" i="50"/>
  <c r="E69" i="50"/>
  <c r="D69" i="50"/>
  <c r="R67" i="50"/>
  <c r="O66" i="50"/>
  <c r="N66" i="50"/>
  <c r="M66" i="50"/>
  <c r="L66" i="50"/>
  <c r="K66" i="50"/>
  <c r="J66" i="50"/>
  <c r="I66" i="50"/>
  <c r="H66" i="50"/>
  <c r="G66" i="50"/>
  <c r="F66" i="50"/>
  <c r="E66" i="50"/>
  <c r="D66" i="50"/>
  <c r="R64" i="50"/>
  <c r="O63" i="50"/>
  <c r="N63" i="50"/>
  <c r="M63" i="50"/>
  <c r="L63" i="50"/>
  <c r="K63" i="50"/>
  <c r="J63" i="50"/>
  <c r="I63" i="50"/>
  <c r="H63" i="50"/>
  <c r="G63" i="50"/>
  <c r="F63" i="50"/>
  <c r="E63" i="50"/>
  <c r="D63" i="50"/>
  <c r="R57" i="50"/>
  <c r="O56" i="50"/>
  <c r="N56" i="50"/>
  <c r="M56" i="50"/>
  <c r="L56" i="50"/>
  <c r="K56" i="50"/>
  <c r="J56" i="50"/>
  <c r="I56" i="50"/>
  <c r="H56" i="50"/>
  <c r="G56" i="50"/>
  <c r="F56" i="50"/>
  <c r="E56" i="50"/>
  <c r="D56" i="50"/>
  <c r="R54" i="50"/>
  <c r="O53" i="50"/>
  <c r="N53" i="50"/>
  <c r="M53" i="50"/>
  <c r="L53" i="50"/>
  <c r="K53" i="50"/>
  <c r="J53" i="50"/>
  <c r="I53" i="50"/>
  <c r="H53" i="50"/>
  <c r="G53" i="50"/>
  <c r="F53" i="50"/>
  <c r="E53" i="50"/>
  <c r="D53" i="50"/>
  <c r="R51" i="50"/>
  <c r="O50" i="50"/>
  <c r="N50" i="50"/>
  <c r="M50" i="50"/>
  <c r="L50" i="50"/>
  <c r="K50" i="50"/>
  <c r="J50" i="50"/>
  <c r="I50" i="50"/>
  <c r="H50" i="50"/>
  <c r="G50" i="50"/>
  <c r="F50" i="50"/>
  <c r="E50" i="50"/>
  <c r="D50" i="50"/>
  <c r="R48" i="50"/>
  <c r="O47" i="50"/>
  <c r="N47" i="50"/>
  <c r="M47" i="50"/>
  <c r="L47" i="50"/>
  <c r="K47" i="50"/>
  <c r="J47" i="50"/>
  <c r="I47" i="50"/>
  <c r="H47" i="50"/>
  <c r="G47" i="50"/>
  <c r="F47" i="50"/>
  <c r="E47" i="50"/>
  <c r="D47" i="50"/>
  <c r="R45" i="50"/>
  <c r="O44" i="50"/>
  <c r="N44" i="50"/>
  <c r="M44" i="50"/>
  <c r="L44" i="50"/>
  <c r="K44" i="50"/>
  <c r="J44" i="50"/>
  <c r="I44" i="50"/>
  <c r="H44" i="50"/>
  <c r="G44" i="50"/>
  <c r="F44" i="50"/>
  <c r="E44" i="50"/>
  <c r="D44" i="50"/>
  <c r="R42" i="50"/>
  <c r="O41" i="50"/>
  <c r="N41" i="50"/>
  <c r="M41" i="50"/>
  <c r="L41" i="50"/>
  <c r="K41" i="50"/>
  <c r="J41" i="50"/>
  <c r="I41" i="50"/>
  <c r="H41" i="50"/>
  <c r="G41" i="50"/>
  <c r="F41" i="50"/>
  <c r="E41" i="50"/>
  <c r="D41" i="50"/>
  <c r="R39" i="50"/>
  <c r="O38" i="50"/>
  <c r="N38" i="50"/>
  <c r="M38" i="50"/>
  <c r="L38" i="50"/>
  <c r="K38" i="50"/>
  <c r="J38" i="50"/>
  <c r="I38" i="50"/>
  <c r="H38" i="50"/>
  <c r="G38" i="50"/>
  <c r="F38" i="50"/>
  <c r="E38" i="50"/>
  <c r="D38" i="50"/>
  <c r="R36" i="50"/>
  <c r="O35" i="50"/>
  <c r="N35" i="50"/>
  <c r="M35" i="50"/>
  <c r="L35" i="50"/>
  <c r="K35" i="50"/>
  <c r="J35" i="50"/>
  <c r="I35" i="50"/>
  <c r="H35" i="50"/>
  <c r="G35" i="50"/>
  <c r="F35" i="50"/>
  <c r="E35" i="50"/>
  <c r="D35" i="50"/>
  <c r="R33" i="50"/>
  <c r="O32" i="50"/>
  <c r="N32" i="50"/>
  <c r="M32" i="50"/>
  <c r="L32" i="50"/>
  <c r="K32" i="50"/>
  <c r="J32" i="50"/>
  <c r="I32" i="50"/>
  <c r="H32" i="50"/>
  <c r="G32" i="50"/>
  <c r="F32" i="50"/>
  <c r="E32" i="50"/>
  <c r="D32" i="50"/>
  <c r="R30" i="50"/>
  <c r="O29" i="50"/>
  <c r="N29" i="50"/>
  <c r="M29" i="50"/>
  <c r="L29" i="50"/>
  <c r="K29" i="50"/>
  <c r="J29" i="50"/>
  <c r="I29" i="50"/>
  <c r="H29" i="50"/>
  <c r="G29" i="50"/>
  <c r="F29" i="50"/>
  <c r="E29" i="50"/>
  <c r="D29" i="50"/>
  <c r="R27" i="50"/>
  <c r="O26" i="50"/>
  <c r="N26" i="50"/>
  <c r="M26" i="50"/>
  <c r="L26" i="50"/>
  <c r="K26" i="50"/>
  <c r="J26" i="50"/>
  <c r="I26" i="50"/>
  <c r="H26" i="50"/>
  <c r="G26" i="50"/>
  <c r="F26" i="50"/>
  <c r="E26" i="50"/>
  <c r="D26" i="50"/>
  <c r="R24" i="50"/>
  <c r="O23" i="50"/>
  <c r="N23" i="50"/>
  <c r="M23" i="50"/>
  <c r="L23" i="50"/>
  <c r="K23" i="50"/>
  <c r="J23" i="50"/>
  <c r="I23" i="50"/>
  <c r="H23" i="50"/>
  <c r="G23" i="50"/>
  <c r="F23" i="50"/>
  <c r="E23" i="50"/>
  <c r="D23" i="50"/>
  <c r="R21" i="50"/>
  <c r="O20" i="50"/>
  <c r="N20" i="50"/>
  <c r="M20" i="50"/>
  <c r="L20" i="50"/>
  <c r="K20" i="50"/>
  <c r="J20" i="50"/>
  <c r="I20" i="50"/>
  <c r="H20" i="50"/>
  <c r="G20" i="50"/>
  <c r="F20" i="50"/>
  <c r="E20" i="50"/>
  <c r="D20" i="50"/>
  <c r="R18" i="50"/>
  <c r="O17" i="50"/>
  <c r="N17" i="50"/>
  <c r="M17" i="50"/>
  <c r="L17" i="50"/>
  <c r="K17" i="50"/>
  <c r="J17" i="50"/>
  <c r="I17" i="50"/>
  <c r="H17" i="50"/>
  <c r="G17" i="50"/>
  <c r="F17" i="50"/>
  <c r="E17" i="50"/>
  <c r="D17" i="50"/>
  <c r="R183" i="50" l="1"/>
  <c r="R256" i="50"/>
  <c r="R210" i="50"/>
  <c r="R303" i="50"/>
  <c r="R416" i="50"/>
  <c r="R428" i="50"/>
  <c r="R161" i="50"/>
  <c r="R225" i="50"/>
  <c r="R268" i="50"/>
  <c r="R324" i="50"/>
  <c r="R579" i="50"/>
  <c r="R551" i="50"/>
  <c r="R508" i="50"/>
  <c r="R167" i="50"/>
  <c r="R173" i="50"/>
  <c r="R186" i="50"/>
  <c r="R192" i="50"/>
  <c r="R198" i="50"/>
  <c r="R201" i="50"/>
  <c r="R216" i="50"/>
  <c r="R231" i="50"/>
  <c r="R259" i="50"/>
  <c r="R284" i="50"/>
  <c r="R296" i="50"/>
  <c r="R354" i="50"/>
  <c r="R404" i="50"/>
  <c r="R419" i="50"/>
  <c r="R425" i="50"/>
  <c r="R468" i="50"/>
  <c r="R480" i="50"/>
  <c r="R493" i="50"/>
  <c r="R542" i="50"/>
  <c r="R548" i="50"/>
  <c r="R563" i="50"/>
  <c r="R606" i="50"/>
  <c r="R155" i="50"/>
  <c r="R158" i="50"/>
  <c r="R164" i="50"/>
  <c r="R170" i="50"/>
  <c r="R180" i="50"/>
  <c r="R213" i="50"/>
  <c r="R222" i="50"/>
  <c r="R262" i="50"/>
  <c r="R275" i="50"/>
  <c r="R287" i="50"/>
  <c r="R309" i="50"/>
  <c r="R315" i="50"/>
  <c r="R333" i="50"/>
  <c r="R345" i="50"/>
  <c r="R379" i="50"/>
  <c r="R401" i="50"/>
  <c r="R413" i="50"/>
  <c r="R447" i="50"/>
  <c r="R462" i="50"/>
  <c r="R477" i="50"/>
  <c r="R483" i="50"/>
  <c r="R585" i="50"/>
  <c r="R189" i="50"/>
  <c r="R195" i="50"/>
  <c r="R204" i="50"/>
  <c r="R207" i="50"/>
  <c r="R219" i="50"/>
  <c r="R228" i="50"/>
  <c r="R278" i="50"/>
  <c r="R290" i="50"/>
  <c r="R364" i="50"/>
  <c r="R367" i="50"/>
  <c r="R373" i="50"/>
  <c r="R410" i="50"/>
  <c r="R422" i="50"/>
  <c r="R434" i="50"/>
  <c r="R453" i="50"/>
  <c r="R465" i="50"/>
  <c r="R496" i="50"/>
  <c r="R499" i="50"/>
  <c r="R554" i="50"/>
  <c r="R594" i="50"/>
  <c r="R600" i="50"/>
  <c r="R612" i="50"/>
  <c r="R247" i="50"/>
  <c r="R342" i="50"/>
  <c r="R351" i="50"/>
  <c r="R407" i="50"/>
  <c r="R238" i="50"/>
  <c r="R244" i="50"/>
  <c r="R250" i="50"/>
  <c r="R281" i="50"/>
  <c r="R293" i="50"/>
  <c r="R312" i="50"/>
  <c r="R318" i="50"/>
  <c r="R330" i="50"/>
  <c r="R339" i="50"/>
  <c r="R306" i="50"/>
  <c r="R370" i="50"/>
  <c r="R376" i="50"/>
  <c r="R385" i="50"/>
  <c r="R431" i="50"/>
  <c r="R471" i="50"/>
  <c r="R241" i="50"/>
  <c r="R321" i="50"/>
  <c r="R327" i="50"/>
  <c r="R336" i="50"/>
  <c r="R348" i="50"/>
  <c r="R357" i="50"/>
  <c r="R388" i="50"/>
  <c r="R398" i="50"/>
  <c r="R437" i="50"/>
  <c r="R474" i="50"/>
  <c r="R536" i="50"/>
  <c r="R253" i="50"/>
  <c r="R265" i="50"/>
  <c r="R382" i="50"/>
  <c r="R395" i="50"/>
  <c r="R444" i="50"/>
  <c r="R450" i="50"/>
  <c r="R456" i="50"/>
  <c r="R459" i="50"/>
  <c r="R490" i="50"/>
  <c r="R505" i="50"/>
  <c r="R502" i="50"/>
  <c r="R514" i="50"/>
  <c r="R520" i="50"/>
  <c r="R526" i="50"/>
  <c r="R560" i="50"/>
  <c r="R576" i="50"/>
  <c r="R511" i="50"/>
  <c r="R517" i="50"/>
  <c r="R523" i="50"/>
  <c r="R533" i="50"/>
  <c r="R539" i="50"/>
  <c r="R545" i="50"/>
  <c r="R557" i="50"/>
  <c r="R569" i="50"/>
  <c r="R582" i="50"/>
  <c r="R597" i="50"/>
  <c r="R603" i="50"/>
  <c r="R609" i="50"/>
  <c r="R566" i="50"/>
  <c r="R588" i="50"/>
  <c r="R591" i="50"/>
  <c r="H169" i="1" l="1"/>
  <c r="H170" i="1"/>
  <c r="H171" i="1"/>
  <c r="H172" i="1"/>
  <c r="H173" i="1"/>
  <c r="H174" i="1"/>
  <c r="H175" i="1"/>
  <c r="H176" i="1"/>
  <c r="H177" i="1"/>
  <c r="H168" i="1"/>
  <c r="G169" i="1"/>
  <c r="G170" i="1"/>
  <c r="G171" i="1"/>
  <c r="G172" i="1"/>
  <c r="G173" i="1"/>
  <c r="G174" i="1"/>
  <c r="G175" i="1"/>
  <c r="G176" i="1"/>
  <c r="G177" i="1"/>
  <c r="G168" i="1"/>
  <c r="F169" i="1"/>
  <c r="F170" i="1"/>
  <c r="F171" i="1"/>
  <c r="F172" i="1"/>
  <c r="F173" i="1"/>
  <c r="F174" i="1"/>
  <c r="F175" i="1"/>
  <c r="F176" i="1"/>
  <c r="F177" i="1"/>
  <c r="F168" i="1"/>
  <c r="C171" i="1"/>
  <c r="C172" i="1"/>
  <c r="C173" i="1"/>
  <c r="C174" i="1"/>
  <c r="C175" i="1"/>
  <c r="C176" i="1"/>
  <c r="C177" i="1"/>
  <c r="C170" i="1"/>
  <c r="C169" i="1"/>
  <c r="C168" i="1" l="1"/>
  <c r="C133" i="1"/>
  <c r="C134" i="1"/>
  <c r="C135" i="1"/>
  <c r="C138" i="1"/>
  <c r="C143" i="1"/>
  <c r="C145" i="1"/>
  <c r="C146" i="1"/>
  <c r="C154" i="1"/>
  <c r="C155" i="1"/>
  <c r="C156" i="1"/>
  <c r="E17" i="1"/>
  <c r="F28" i="40"/>
  <c r="G28" i="40"/>
  <c r="H28" i="40"/>
  <c r="F29" i="40"/>
  <c r="G29" i="40"/>
  <c r="H29" i="40"/>
  <c r="F30" i="40"/>
  <c r="G30" i="40"/>
  <c r="H30" i="40"/>
  <c r="F31" i="40"/>
  <c r="G31" i="40"/>
  <c r="H31" i="40"/>
  <c r="F32" i="40"/>
  <c r="G32" i="40"/>
  <c r="H32" i="40"/>
  <c r="C28" i="40"/>
  <c r="C29" i="40"/>
  <c r="C30" i="40"/>
  <c r="C31" i="40"/>
  <c r="C32" i="40"/>
  <c r="I32" i="40" l="1"/>
  <c r="J32" i="40" s="1"/>
  <c r="I173" i="1"/>
  <c r="J173" i="1" s="1"/>
  <c r="I172" i="1"/>
  <c r="J172" i="1" s="1"/>
  <c r="I177" i="1"/>
  <c r="J177" i="1" s="1"/>
  <c r="I28" i="40"/>
  <c r="J28" i="40" s="1"/>
  <c r="I169" i="1"/>
  <c r="J169" i="1" s="1"/>
  <c r="I30" i="40"/>
  <c r="J30" i="40" s="1"/>
  <c r="I29" i="40"/>
  <c r="J29" i="40" s="1"/>
  <c r="I31" i="40"/>
  <c r="J31" i="40" s="1"/>
  <c r="I176" i="1"/>
  <c r="J176" i="1" s="1"/>
  <c r="I171" i="1"/>
  <c r="J171" i="1" s="1"/>
  <c r="I174" i="1"/>
  <c r="J174" i="1" s="1"/>
  <c r="I175" i="1"/>
  <c r="J175" i="1" s="1"/>
  <c r="I170" i="1"/>
  <c r="J170" i="1" s="1"/>
  <c r="H129" i="1" l="1"/>
  <c r="F99" i="1"/>
  <c r="G99" i="1"/>
  <c r="H99" i="1"/>
  <c r="F100" i="1"/>
  <c r="G100" i="1"/>
  <c r="H100" i="1"/>
  <c r="F101" i="1"/>
  <c r="G101" i="1"/>
  <c r="H101" i="1"/>
  <c r="F102" i="1"/>
  <c r="G102" i="1"/>
  <c r="H102" i="1"/>
  <c r="F103" i="1"/>
  <c r="G103" i="1"/>
  <c r="H103" i="1"/>
  <c r="F104" i="1"/>
  <c r="G104" i="1"/>
  <c r="H104" i="1"/>
  <c r="F105" i="1"/>
  <c r="G105" i="1"/>
  <c r="H105" i="1"/>
  <c r="F106" i="1"/>
  <c r="G106" i="1"/>
  <c r="H106" i="1"/>
  <c r="F108" i="1"/>
  <c r="G108" i="1"/>
  <c r="H108" i="1"/>
  <c r="F109" i="1"/>
  <c r="G109" i="1"/>
  <c r="H109" i="1"/>
  <c r="F110" i="1"/>
  <c r="G110" i="1"/>
  <c r="H110" i="1"/>
  <c r="F111" i="1"/>
  <c r="G111" i="1"/>
  <c r="H111" i="1"/>
  <c r="F112" i="1"/>
  <c r="G112" i="1"/>
  <c r="H112" i="1"/>
  <c r="F113" i="1"/>
  <c r="G113" i="1"/>
  <c r="H113" i="1"/>
  <c r="H98" i="1"/>
  <c r="C99" i="1"/>
  <c r="C100" i="1"/>
  <c r="C101" i="1"/>
  <c r="C102" i="1"/>
  <c r="C103" i="1"/>
  <c r="C104" i="1"/>
  <c r="C105" i="1"/>
  <c r="C106" i="1"/>
  <c r="C108" i="1"/>
  <c r="C109" i="1"/>
  <c r="C110" i="1"/>
  <c r="C111" i="1"/>
  <c r="C112" i="1"/>
  <c r="C113" i="1"/>
  <c r="C52" i="1"/>
  <c r="C53" i="1"/>
  <c r="C54" i="1"/>
  <c r="C55" i="1"/>
  <c r="C56" i="1"/>
  <c r="C57" i="1"/>
  <c r="C58" i="1"/>
  <c r="C59" i="1"/>
  <c r="C60" i="1"/>
  <c r="C61" i="1"/>
  <c r="C62" i="1"/>
  <c r="C63" i="1"/>
  <c r="C64" i="1"/>
  <c r="C65" i="1"/>
  <c r="C67" i="1"/>
  <c r="C68" i="1"/>
  <c r="C69" i="1"/>
  <c r="C70" i="1"/>
  <c r="C71" i="1"/>
  <c r="C72" i="1"/>
  <c r="C73" i="1"/>
  <c r="C77" i="1"/>
  <c r="C81" i="1"/>
  <c r="C82" i="1"/>
  <c r="C83" i="1"/>
  <c r="C84" i="1"/>
  <c r="C85" i="1"/>
  <c r="C51" i="1"/>
  <c r="I99" i="1" l="1"/>
  <c r="J99" i="1" s="1"/>
  <c r="I112" i="1"/>
  <c r="J112" i="1" s="1"/>
  <c r="I103" i="1"/>
  <c r="J103" i="1" s="1"/>
  <c r="I101" i="1"/>
  <c r="J101" i="1" s="1"/>
  <c r="I106" i="1"/>
  <c r="J106" i="1" s="1"/>
  <c r="I111" i="1"/>
  <c r="J111" i="1" s="1"/>
  <c r="I109" i="1"/>
  <c r="J109" i="1" s="1"/>
  <c r="I104" i="1"/>
  <c r="J104" i="1" s="1"/>
  <c r="I113" i="1"/>
  <c r="J113" i="1" s="1"/>
  <c r="I108" i="1"/>
  <c r="J108" i="1" s="1"/>
  <c r="I102" i="1"/>
  <c r="J102" i="1" s="1"/>
  <c r="I110" i="1"/>
  <c r="J110" i="1" s="1"/>
  <c r="I105" i="1"/>
  <c r="J105" i="1" s="1"/>
  <c r="I100" i="1"/>
  <c r="J100" i="1" s="1"/>
  <c r="F190" i="1"/>
  <c r="G190" i="1"/>
  <c r="H190" i="1"/>
  <c r="F195" i="1"/>
  <c r="G195" i="1"/>
  <c r="H195" i="1"/>
  <c r="F199" i="1"/>
  <c r="G199" i="1"/>
  <c r="H199" i="1"/>
  <c r="C190" i="1"/>
  <c r="C195" i="1"/>
  <c r="C199" i="1"/>
  <c r="H197" i="1"/>
  <c r="C53" i="35"/>
  <c r="C84" i="35"/>
  <c r="C88" i="35"/>
  <c r="C98" i="35"/>
  <c r="C99" i="35"/>
  <c r="C108" i="35"/>
  <c r="C110" i="35"/>
  <c r="C112" i="35"/>
  <c r="I199" i="1" l="1"/>
  <c r="J199" i="1" s="1"/>
  <c r="I190" i="1"/>
  <c r="J190" i="1" s="1"/>
  <c r="I195" i="1"/>
  <c r="J195" i="1" s="1"/>
  <c r="H107" i="1"/>
  <c r="H90" i="35" l="1"/>
  <c r="H91" i="35"/>
  <c r="F52" i="1" l="1"/>
  <c r="G52" i="1"/>
  <c r="H52" i="1"/>
  <c r="F53" i="1"/>
  <c r="G53" i="1"/>
  <c r="H53" i="1"/>
  <c r="F54" i="1"/>
  <c r="G54" i="1"/>
  <c r="H54" i="1"/>
  <c r="F55" i="1"/>
  <c r="G55" i="1"/>
  <c r="H55" i="1"/>
  <c r="F56" i="1"/>
  <c r="G56" i="1"/>
  <c r="H56" i="1"/>
  <c r="F57" i="1"/>
  <c r="G57" i="1"/>
  <c r="H57" i="1"/>
  <c r="F58" i="1"/>
  <c r="G58" i="1"/>
  <c r="H58" i="1"/>
  <c r="F59" i="1"/>
  <c r="G59" i="1"/>
  <c r="H59" i="1"/>
  <c r="F60" i="1"/>
  <c r="G60" i="1"/>
  <c r="H60" i="1"/>
  <c r="F61" i="1"/>
  <c r="G61" i="1"/>
  <c r="H61" i="1"/>
  <c r="F62" i="1"/>
  <c r="G62" i="1"/>
  <c r="H62" i="1"/>
  <c r="F63" i="1"/>
  <c r="G63" i="1"/>
  <c r="H63" i="1"/>
  <c r="F64" i="1"/>
  <c r="G64" i="1"/>
  <c r="H64" i="1"/>
  <c r="F65" i="1"/>
  <c r="G65" i="1"/>
  <c r="H65" i="1"/>
  <c r="H66" i="1"/>
  <c r="F67" i="1"/>
  <c r="G67" i="1"/>
  <c r="H67" i="1"/>
  <c r="F68" i="1"/>
  <c r="G68" i="1"/>
  <c r="H68" i="1"/>
  <c r="F69" i="1"/>
  <c r="G69" i="1"/>
  <c r="H69" i="1"/>
  <c r="F70" i="1"/>
  <c r="G70" i="1"/>
  <c r="H70" i="1"/>
  <c r="F71" i="1"/>
  <c r="G71" i="1"/>
  <c r="H71" i="1"/>
  <c r="F72" i="1"/>
  <c r="G72" i="1"/>
  <c r="H72" i="1"/>
  <c r="F73" i="1"/>
  <c r="G73" i="1"/>
  <c r="H73" i="1"/>
  <c r="H74" i="1"/>
  <c r="H75" i="1"/>
  <c r="F77" i="1"/>
  <c r="G77" i="1"/>
  <c r="H77" i="1"/>
  <c r="H78" i="1"/>
  <c r="F81" i="1"/>
  <c r="G81" i="1"/>
  <c r="H81" i="1"/>
  <c r="F82" i="1"/>
  <c r="G82" i="1"/>
  <c r="H82" i="1"/>
  <c r="F83" i="1"/>
  <c r="G83" i="1"/>
  <c r="H83" i="1"/>
  <c r="F84" i="1"/>
  <c r="G84" i="1"/>
  <c r="H84" i="1"/>
  <c r="F85" i="1"/>
  <c r="G85" i="1"/>
  <c r="H85" i="1"/>
  <c r="H92" i="1"/>
  <c r="H93" i="1"/>
  <c r="H94" i="1"/>
  <c r="H51" i="1"/>
  <c r="G51" i="1"/>
  <c r="F51" i="1"/>
  <c r="I52" i="1" l="1"/>
  <c r="J52" i="1" s="1"/>
  <c r="I54" i="1"/>
  <c r="J54" i="1" s="1"/>
  <c r="I57" i="1"/>
  <c r="J57" i="1" s="1"/>
  <c r="I81" i="1"/>
  <c r="J81" i="1" s="1"/>
  <c r="I73" i="1"/>
  <c r="J73" i="1" s="1"/>
  <c r="I69" i="1"/>
  <c r="J69" i="1" s="1"/>
  <c r="I70" i="1"/>
  <c r="J70" i="1" s="1"/>
  <c r="I77" i="1"/>
  <c r="J77" i="1" s="1"/>
  <c r="I83" i="1"/>
  <c r="J83" i="1" s="1"/>
  <c r="I59" i="1"/>
  <c r="J59" i="1" s="1"/>
  <c r="I51" i="1"/>
  <c r="J51" i="1" s="1"/>
  <c r="I64" i="1"/>
  <c r="J64" i="1" s="1"/>
  <c r="I84" i="1"/>
  <c r="J84" i="1" s="1"/>
  <c r="I71" i="1"/>
  <c r="J71" i="1" s="1"/>
  <c r="I85" i="1"/>
  <c r="J85" i="1" s="1"/>
  <c r="I60" i="1"/>
  <c r="J60" i="1" s="1"/>
  <c r="I56" i="1"/>
  <c r="J56" i="1" s="1"/>
  <c r="I65" i="1"/>
  <c r="J65" i="1" s="1"/>
  <c r="I55" i="1"/>
  <c r="J55" i="1" s="1"/>
  <c r="I72" i="1"/>
  <c r="J72" i="1" s="1"/>
  <c r="I67" i="1"/>
  <c r="J67" i="1" s="1"/>
  <c r="I62" i="1"/>
  <c r="J62" i="1" s="1"/>
  <c r="I82" i="1"/>
  <c r="J82" i="1" s="1"/>
  <c r="I68" i="1"/>
  <c r="J68" i="1" s="1"/>
  <c r="I63" i="1"/>
  <c r="J63" i="1" s="1"/>
  <c r="I61" i="1"/>
  <c r="J61" i="1" s="1"/>
  <c r="I58" i="1"/>
  <c r="J58" i="1" s="1"/>
  <c r="I53" i="1"/>
  <c r="J53" i="1" s="1"/>
  <c r="K23" i="49" l="1"/>
  <c r="J23" i="49"/>
  <c r="K16" i="49"/>
  <c r="J16" i="49"/>
  <c r="F16" i="49"/>
  <c r="M16" i="49" l="1"/>
  <c r="M23" i="49"/>
  <c r="J34" i="1"/>
  <c r="G49" i="46" s="1"/>
  <c r="H49" i="46" s="1"/>
  <c r="J32" i="1"/>
  <c r="G48" i="46" s="1"/>
  <c r="H48" i="46" s="1"/>
  <c r="H5" i="31" l="1"/>
  <c r="H6" i="31"/>
  <c r="H7" i="31"/>
  <c r="H8" i="31"/>
  <c r="H9" i="31"/>
  <c r="H10" i="31"/>
  <c r="H11" i="31"/>
  <c r="H12" i="31"/>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H60" i="31"/>
  <c r="H61" i="31"/>
  <c r="H62" i="31"/>
  <c r="H63" i="31"/>
  <c r="H64" i="31"/>
  <c r="H65" i="31"/>
  <c r="H66" i="31"/>
  <c r="H67" i="31"/>
  <c r="H68" i="31"/>
  <c r="H69" i="31"/>
  <c r="H70" i="31"/>
  <c r="H71" i="31"/>
  <c r="H72" i="31"/>
  <c r="H73" i="31"/>
  <c r="H74" i="31"/>
  <c r="H75" i="31"/>
  <c r="H76" i="31"/>
  <c r="H77" i="31"/>
  <c r="H78" i="31"/>
  <c r="H79" i="31"/>
  <c r="H80" i="31"/>
  <c r="H81" i="31"/>
  <c r="H82" i="31"/>
  <c r="H83" i="31"/>
  <c r="H84" i="31"/>
  <c r="H85" i="31"/>
  <c r="H86" i="31"/>
  <c r="H87" i="31"/>
  <c r="H88" i="31"/>
  <c r="H89" i="31"/>
  <c r="H90" i="31"/>
  <c r="H91" i="31"/>
  <c r="H92" i="31"/>
  <c r="H93" i="31"/>
  <c r="H94" i="31"/>
  <c r="H95" i="31"/>
  <c r="H96" i="31"/>
  <c r="H97" i="31"/>
  <c r="H98" i="31"/>
  <c r="H99" i="31"/>
  <c r="H100" i="31"/>
  <c r="H101" i="31"/>
  <c r="H102" i="31"/>
  <c r="H103" i="31"/>
  <c r="H104" i="31"/>
  <c r="H105" i="31"/>
  <c r="H106" i="31"/>
  <c r="H107" i="31"/>
  <c r="H108" i="31"/>
  <c r="H109" i="31"/>
  <c r="H110" i="31"/>
  <c r="H111" i="31"/>
  <c r="H112" i="31"/>
  <c r="H113" i="31"/>
  <c r="H114" i="31"/>
  <c r="H115" i="31"/>
  <c r="H116" i="31"/>
  <c r="H117" i="31"/>
  <c r="H118" i="31"/>
  <c r="H119" i="31"/>
  <c r="H120" i="31"/>
  <c r="H121" i="31"/>
  <c r="H122" i="31"/>
  <c r="H123" i="31"/>
  <c r="H124" i="31"/>
  <c r="H125" i="31"/>
  <c r="H126" i="31"/>
  <c r="H127" i="31"/>
  <c r="H128" i="31"/>
  <c r="H129" i="31"/>
  <c r="H130" i="31"/>
  <c r="H131" i="31"/>
  <c r="H132" i="31"/>
  <c r="H133" i="31"/>
  <c r="H134" i="31"/>
  <c r="H135" i="31"/>
  <c r="H136" i="31"/>
  <c r="H137" i="31"/>
  <c r="H138" i="31"/>
  <c r="H139" i="31"/>
  <c r="H140" i="31"/>
  <c r="H141" i="31"/>
  <c r="H142" i="31"/>
  <c r="H143" i="31"/>
  <c r="H144" i="31"/>
  <c r="H145" i="31"/>
  <c r="H146" i="31"/>
  <c r="H147" i="31"/>
  <c r="H148" i="31"/>
  <c r="H149" i="31"/>
  <c r="H150" i="31"/>
  <c r="H151" i="31"/>
  <c r="H152" i="31"/>
  <c r="H153" i="31"/>
  <c r="H154" i="31"/>
  <c r="H155" i="31"/>
  <c r="H156" i="31"/>
  <c r="H157" i="31"/>
  <c r="H158" i="31"/>
  <c r="H159" i="31"/>
  <c r="H160" i="31"/>
  <c r="H161" i="31"/>
  <c r="H162" i="31"/>
  <c r="H163" i="31"/>
  <c r="H164" i="31"/>
  <c r="H165" i="31"/>
  <c r="H166" i="31"/>
  <c r="H167" i="31"/>
  <c r="H168" i="31"/>
  <c r="H169" i="31"/>
  <c r="H170" i="31"/>
  <c r="H171" i="31"/>
  <c r="H172" i="31"/>
  <c r="H173" i="31"/>
  <c r="H174" i="31"/>
  <c r="H175" i="31"/>
  <c r="H176" i="31"/>
  <c r="H177" i="31"/>
  <c r="H178" i="31"/>
  <c r="H179" i="31"/>
  <c r="H180" i="31"/>
  <c r="H181" i="31"/>
  <c r="H182" i="31"/>
  <c r="H183" i="31"/>
  <c r="H184" i="31"/>
  <c r="H185" i="31"/>
  <c r="H186" i="31"/>
  <c r="H187" i="31"/>
  <c r="H188" i="31"/>
  <c r="H189" i="31"/>
  <c r="H190" i="31"/>
  <c r="H191" i="31"/>
  <c r="H192" i="31"/>
  <c r="H193" i="31"/>
  <c r="H194" i="31"/>
  <c r="H195" i="31"/>
  <c r="H196" i="31"/>
  <c r="H197" i="31"/>
  <c r="H198" i="31"/>
  <c r="H199" i="31"/>
  <c r="H200" i="31"/>
  <c r="H201" i="31"/>
  <c r="H202" i="31"/>
  <c r="H203" i="31"/>
  <c r="H204" i="31"/>
  <c r="H205" i="31"/>
  <c r="H206" i="31"/>
  <c r="H207" i="31"/>
  <c r="H208" i="31"/>
  <c r="H209" i="31"/>
  <c r="H210" i="31"/>
  <c r="H211" i="31"/>
  <c r="H212" i="31"/>
  <c r="H213" i="31"/>
  <c r="H214" i="31"/>
  <c r="H215" i="31"/>
  <c r="H216" i="31"/>
  <c r="H217" i="31"/>
  <c r="H218" i="31"/>
  <c r="H219" i="31"/>
  <c r="H220" i="31"/>
  <c r="H221" i="31"/>
  <c r="H222" i="31"/>
  <c r="H223" i="31"/>
  <c r="H224" i="31"/>
  <c r="H225" i="31"/>
  <c r="H226" i="31"/>
  <c r="H227" i="31"/>
  <c r="H228" i="31"/>
  <c r="H229" i="31"/>
  <c r="H230" i="31"/>
  <c r="H231" i="31"/>
  <c r="H232" i="31"/>
  <c r="H233" i="31"/>
  <c r="H234" i="31"/>
  <c r="H235" i="31"/>
  <c r="H236" i="31"/>
  <c r="H237" i="31"/>
  <c r="H238" i="31"/>
  <c r="H239" i="31"/>
  <c r="H240" i="31"/>
  <c r="H241" i="31"/>
  <c r="H242" i="31"/>
  <c r="H243" i="31"/>
  <c r="H244" i="31"/>
  <c r="H245" i="31"/>
  <c r="H246" i="31"/>
  <c r="H247" i="31"/>
  <c r="H248" i="31"/>
  <c r="H249" i="31"/>
  <c r="H250" i="31"/>
  <c r="H251" i="31"/>
  <c r="H252" i="31"/>
  <c r="H253" i="31"/>
  <c r="H254" i="31"/>
  <c r="H255" i="31"/>
  <c r="H256" i="31"/>
  <c r="H257" i="31"/>
  <c r="H258" i="31"/>
  <c r="H259" i="31"/>
  <c r="H260" i="31"/>
  <c r="H261" i="31"/>
  <c r="H262" i="31"/>
  <c r="H263" i="31"/>
  <c r="H264" i="31"/>
  <c r="H265" i="31"/>
  <c r="H266" i="31"/>
  <c r="H267" i="31"/>
  <c r="H268" i="31"/>
  <c r="H269" i="31"/>
  <c r="H270" i="31"/>
  <c r="H271" i="31"/>
  <c r="H272" i="31"/>
  <c r="H273" i="31"/>
  <c r="H274" i="31"/>
  <c r="H275" i="31"/>
  <c r="H276" i="31"/>
  <c r="H277" i="31"/>
  <c r="H278" i="31"/>
  <c r="H279" i="31"/>
  <c r="H280" i="31"/>
  <c r="H281" i="31"/>
  <c r="H282" i="31"/>
  <c r="H283" i="31"/>
  <c r="H284" i="31"/>
  <c r="H285" i="31"/>
  <c r="H286" i="31"/>
  <c r="H287" i="31"/>
  <c r="H288" i="31"/>
  <c r="H289" i="31"/>
  <c r="H290" i="31"/>
  <c r="H291" i="31"/>
  <c r="H292" i="31"/>
  <c r="H293" i="31"/>
  <c r="H294" i="31"/>
  <c r="H295" i="31"/>
  <c r="H296" i="31"/>
  <c r="H297" i="31"/>
  <c r="H298" i="31"/>
  <c r="H299" i="31"/>
  <c r="H300" i="31"/>
  <c r="H301" i="31"/>
  <c r="H302" i="31"/>
  <c r="H303" i="31"/>
  <c r="H304" i="31"/>
  <c r="H305" i="31"/>
  <c r="H306" i="31"/>
  <c r="H307" i="31"/>
  <c r="H308" i="31"/>
  <c r="H309" i="31"/>
  <c r="H310" i="31"/>
  <c r="H311" i="31"/>
  <c r="H312" i="31"/>
  <c r="H313" i="31"/>
  <c r="H314" i="31"/>
  <c r="H315" i="31"/>
  <c r="H316" i="31"/>
  <c r="H317" i="31"/>
  <c r="H318" i="31"/>
  <c r="H319" i="31"/>
  <c r="H320" i="31"/>
  <c r="H321" i="31"/>
  <c r="H322" i="31"/>
  <c r="H323" i="31"/>
  <c r="H324" i="31"/>
  <c r="H325" i="31"/>
  <c r="H326" i="31"/>
  <c r="H327" i="31"/>
  <c r="H328" i="31"/>
  <c r="H329" i="31"/>
  <c r="H330" i="31"/>
  <c r="H331" i="31"/>
  <c r="H332" i="31"/>
  <c r="H333" i="31"/>
  <c r="H334" i="31"/>
  <c r="H335" i="31"/>
  <c r="H336" i="31"/>
  <c r="H337" i="31"/>
  <c r="H338" i="31"/>
  <c r="H339" i="31"/>
  <c r="H340" i="31"/>
  <c r="H341" i="31"/>
  <c r="H342" i="31"/>
  <c r="H343" i="31"/>
  <c r="H344" i="31"/>
  <c r="H345" i="31"/>
  <c r="H346" i="31"/>
  <c r="H347" i="31"/>
  <c r="H348" i="31"/>
  <c r="H349" i="31"/>
  <c r="H350" i="31"/>
  <c r="H351" i="31"/>
  <c r="H352" i="31"/>
  <c r="H353" i="31"/>
  <c r="H354" i="31"/>
  <c r="H355" i="31"/>
  <c r="H356" i="31"/>
  <c r="H357" i="31"/>
  <c r="H358" i="31"/>
  <c r="H359" i="31"/>
  <c r="H360" i="31"/>
  <c r="H361" i="31"/>
  <c r="H362" i="31"/>
  <c r="H363" i="31"/>
  <c r="H364" i="31"/>
  <c r="H365" i="31"/>
  <c r="H366" i="31"/>
  <c r="H367" i="31"/>
  <c r="H368" i="31"/>
  <c r="H369" i="31"/>
  <c r="H370" i="31"/>
  <c r="H371" i="31"/>
  <c r="H372" i="31"/>
  <c r="H373" i="31"/>
  <c r="H374" i="31"/>
  <c r="H375" i="31"/>
  <c r="H376" i="31"/>
  <c r="H377" i="31"/>
  <c r="H378" i="31"/>
  <c r="H379" i="31"/>
  <c r="H380" i="31"/>
  <c r="H381" i="31"/>
  <c r="H382" i="31"/>
  <c r="H383" i="31"/>
  <c r="H384" i="31"/>
  <c r="H385" i="31"/>
  <c r="H386" i="31"/>
  <c r="H387" i="31"/>
  <c r="H388" i="31"/>
  <c r="H389" i="31"/>
  <c r="H390" i="31"/>
  <c r="H391" i="31"/>
  <c r="H392" i="31"/>
  <c r="H393" i="31"/>
  <c r="H394" i="31"/>
  <c r="H395" i="31"/>
  <c r="H396" i="31"/>
  <c r="H397" i="31"/>
  <c r="H398" i="31"/>
  <c r="H399" i="31"/>
  <c r="H400" i="31"/>
  <c r="H401" i="31"/>
  <c r="H402" i="31"/>
  <c r="H403" i="31"/>
  <c r="H404" i="31"/>
  <c r="H405" i="31"/>
  <c r="H406" i="31"/>
  <c r="H407" i="31"/>
  <c r="H408" i="31"/>
  <c r="H4" i="31"/>
  <c r="M25" i="31" l="1"/>
  <c r="F129" i="38" l="1"/>
  <c r="G129" i="38"/>
  <c r="H129" i="38"/>
  <c r="F130" i="38"/>
  <c r="G130" i="38"/>
  <c r="H130" i="38"/>
  <c r="F131" i="38"/>
  <c r="G131" i="38"/>
  <c r="H131" i="38"/>
  <c r="F115" i="38"/>
  <c r="G115" i="38"/>
  <c r="H115" i="38"/>
  <c r="F116" i="38"/>
  <c r="G116" i="38"/>
  <c r="H116" i="38"/>
  <c r="F117" i="38"/>
  <c r="G117" i="38"/>
  <c r="H117" i="38"/>
  <c r="F70" i="38"/>
  <c r="G70" i="38"/>
  <c r="H70" i="38"/>
  <c r="F76" i="38"/>
  <c r="G76" i="38"/>
  <c r="H76" i="38"/>
  <c r="F77" i="38"/>
  <c r="G77" i="38"/>
  <c r="H77" i="38"/>
  <c r="F78" i="38"/>
  <c r="G78" i="38"/>
  <c r="H78" i="38"/>
  <c r="F79" i="38"/>
  <c r="G79" i="38"/>
  <c r="H79" i="38"/>
  <c r="F80" i="38"/>
  <c r="G80" i="38"/>
  <c r="H80" i="38"/>
  <c r="F82" i="38"/>
  <c r="G82" i="38"/>
  <c r="H82" i="38"/>
  <c r="F83" i="38"/>
  <c r="G83" i="38"/>
  <c r="H83" i="38"/>
  <c r="F49" i="38"/>
  <c r="G49" i="38"/>
  <c r="H49" i="38"/>
  <c r="F58" i="38"/>
  <c r="G58" i="38"/>
  <c r="H58" i="38"/>
  <c r="F60" i="38"/>
  <c r="G60" i="38"/>
  <c r="H60" i="38"/>
  <c r="F62" i="38"/>
  <c r="G62" i="38"/>
  <c r="H62" i="38"/>
  <c r="F22" i="38"/>
  <c r="G22" i="38"/>
  <c r="H22" i="38"/>
  <c r="F25" i="38"/>
  <c r="G25" i="38"/>
  <c r="H25" i="38"/>
  <c r="F28" i="38"/>
  <c r="G28" i="38"/>
  <c r="H28" i="38"/>
  <c r="F29" i="38"/>
  <c r="G29" i="38"/>
  <c r="H29" i="38"/>
  <c r="F31" i="38"/>
  <c r="G31" i="38"/>
  <c r="H31" i="38"/>
  <c r="F34" i="38"/>
  <c r="G34" i="38"/>
  <c r="H34" i="38"/>
  <c r="F35" i="38"/>
  <c r="G35" i="38"/>
  <c r="H35" i="38"/>
  <c r="F36" i="38"/>
  <c r="G36" i="38"/>
  <c r="H36" i="38"/>
  <c r="F42" i="38"/>
  <c r="G42" i="38"/>
  <c r="H42" i="38"/>
  <c r="F181" i="1"/>
  <c r="G181" i="1"/>
  <c r="H181" i="1"/>
  <c r="F182" i="1"/>
  <c r="G182" i="1"/>
  <c r="H182" i="1"/>
  <c r="F184" i="1"/>
  <c r="G184" i="1"/>
  <c r="H184" i="1"/>
  <c r="F185" i="1"/>
  <c r="G185" i="1"/>
  <c r="H185" i="1"/>
  <c r="F133" i="1"/>
  <c r="G133" i="1"/>
  <c r="H133" i="1"/>
  <c r="F134" i="1"/>
  <c r="G134" i="1"/>
  <c r="H134" i="1"/>
  <c r="F135" i="1"/>
  <c r="G135" i="1"/>
  <c r="H135" i="1"/>
  <c r="F138" i="1"/>
  <c r="G138" i="1"/>
  <c r="H138" i="1"/>
  <c r="F143" i="1"/>
  <c r="G143" i="1"/>
  <c r="H143" i="1"/>
  <c r="F145" i="1"/>
  <c r="G145" i="1"/>
  <c r="H145" i="1"/>
  <c r="F146" i="1"/>
  <c r="G146" i="1"/>
  <c r="H146" i="1"/>
  <c r="F154" i="1"/>
  <c r="G154" i="1"/>
  <c r="H154" i="1"/>
  <c r="F155" i="1"/>
  <c r="G155" i="1"/>
  <c r="H155" i="1"/>
  <c r="F156" i="1"/>
  <c r="G156" i="1"/>
  <c r="H156" i="1"/>
  <c r="F121" i="1"/>
  <c r="G121" i="1"/>
  <c r="H121" i="1"/>
  <c r="F122" i="1"/>
  <c r="G122" i="1"/>
  <c r="H122" i="1"/>
  <c r="F123" i="1"/>
  <c r="G123" i="1"/>
  <c r="H123" i="1"/>
  <c r="F124" i="1"/>
  <c r="G124" i="1"/>
  <c r="H124" i="1"/>
  <c r="F125" i="1"/>
  <c r="G125" i="1"/>
  <c r="H125" i="1"/>
  <c r="F126" i="1"/>
  <c r="G126" i="1"/>
  <c r="H126" i="1"/>
  <c r="F127" i="1"/>
  <c r="G127" i="1"/>
  <c r="H127" i="1"/>
  <c r="F96" i="39"/>
  <c r="G96" i="39"/>
  <c r="H96" i="39"/>
  <c r="F97" i="39"/>
  <c r="G97" i="39"/>
  <c r="H97" i="39"/>
  <c r="F98" i="39"/>
  <c r="G98" i="39"/>
  <c r="H98" i="39"/>
  <c r="F99" i="39"/>
  <c r="G99" i="39"/>
  <c r="H99" i="39"/>
  <c r="F100" i="39"/>
  <c r="G100" i="39"/>
  <c r="H100" i="39"/>
  <c r="F90" i="39"/>
  <c r="G90" i="39"/>
  <c r="H90" i="39"/>
  <c r="F92" i="39"/>
  <c r="G92" i="39"/>
  <c r="H92" i="39"/>
  <c r="F86" i="39"/>
  <c r="G86" i="39"/>
  <c r="H86" i="39"/>
  <c r="F81" i="39"/>
  <c r="G81" i="39"/>
  <c r="H81" i="39"/>
  <c r="F75" i="39"/>
  <c r="G75" i="39"/>
  <c r="H75" i="39"/>
  <c r="F76" i="39"/>
  <c r="G76" i="39"/>
  <c r="H76" i="39"/>
  <c r="F77" i="39"/>
  <c r="G77" i="39"/>
  <c r="H77" i="39"/>
  <c r="F38" i="39"/>
  <c r="G38" i="39"/>
  <c r="H38" i="39"/>
  <c r="F42" i="39"/>
  <c r="G42" i="39"/>
  <c r="H42" i="39"/>
  <c r="F43" i="39"/>
  <c r="G43" i="39"/>
  <c r="H43" i="39"/>
  <c r="F46" i="39"/>
  <c r="G46" i="39"/>
  <c r="H46" i="39"/>
  <c r="F47" i="39"/>
  <c r="G47" i="39"/>
  <c r="H47" i="39"/>
  <c r="F48" i="39"/>
  <c r="G48" i="39"/>
  <c r="H48" i="39"/>
  <c r="F49" i="39"/>
  <c r="G49" i="39"/>
  <c r="H49" i="39"/>
  <c r="F52" i="39"/>
  <c r="G52" i="39"/>
  <c r="H52" i="39"/>
  <c r="F59" i="39"/>
  <c r="G59" i="39"/>
  <c r="H59" i="39"/>
  <c r="F22" i="39"/>
  <c r="G22" i="39"/>
  <c r="H22" i="39"/>
  <c r="F23" i="39"/>
  <c r="G23" i="39"/>
  <c r="H23" i="39"/>
  <c r="F25" i="39"/>
  <c r="G25" i="39"/>
  <c r="H25" i="39"/>
  <c r="F26" i="39"/>
  <c r="G26" i="39"/>
  <c r="H26" i="39"/>
  <c r="F28" i="39"/>
  <c r="G28" i="39"/>
  <c r="H28" i="39"/>
  <c r="F34" i="39"/>
  <c r="G34" i="39"/>
  <c r="H34" i="39"/>
  <c r="H125" i="38"/>
  <c r="G125" i="38"/>
  <c r="F125" i="38"/>
  <c r="H121" i="38"/>
  <c r="G121" i="38"/>
  <c r="F121" i="38"/>
  <c r="H114" i="38"/>
  <c r="G114" i="38"/>
  <c r="F114" i="38"/>
  <c r="H111" i="38"/>
  <c r="G111" i="38"/>
  <c r="F111" i="38"/>
  <c r="H96" i="38"/>
  <c r="G96" i="38"/>
  <c r="F96" i="38"/>
  <c r="H93" i="38"/>
  <c r="G93" i="38"/>
  <c r="F93" i="38"/>
  <c r="H69" i="38"/>
  <c r="G69" i="38"/>
  <c r="F69" i="38"/>
  <c r="H48" i="38"/>
  <c r="G48" i="38"/>
  <c r="F48" i="38"/>
  <c r="H14" i="38"/>
  <c r="G14" i="38"/>
  <c r="F14" i="38"/>
  <c r="H180" i="1"/>
  <c r="G180" i="1"/>
  <c r="F180" i="1"/>
  <c r="H14" i="1"/>
  <c r="G14" i="1"/>
  <c r="F14" i="1"/>
  <c r="H89" i="39"/>
  <c r="G89" i="39"/>
  <c r="F89" i="39"/>
  <c r="H84" i="39"/>
  <c r="G84" i="39"/>
  <c r="F84" i="39"/>
  <c r="H80" i="39"/>
  <c r="G80" i="39"/>
  <c r="F80" i="39"/>
  <c r="H74" i="39"/>
  <c r="G74" i="39"/>
  <c r="F74" i="39"/>
  <c r="H71" i="39"/>
  <c r="G71" i="39"/>
  <c r="F71" i="39"/>
  <c r="H37" i="39"/>
  <c r="G37" i="39"/>
  <c r="F37" i="39"/>
  <c r="C96" i="39"/>
  <c r="C97" i="39"/>
  <c r="C98" i="39"/>
  <c r="C99" i="39"/>
  <c r="C100" i="39"/>
  <c r="C90" i="39"/>
  <c r="C92" i="39"/>
  <c r="C86" i="39"/>
  <c r="C81" i="39"/>
  <c r="C75" i="39"/>
  <c r="C76" i="39"/>
  <c r="C77" i="39"/>
  <c r="C38" i="39"/>
  <c r="C42" i="39"/>
  <c r="C43" i="39"/>
  <c r="C46" i="39"/>
  <c r="C47" i="39"/>
  <c r="C48" i="39"/>
  <c r="C49" i="39"/>
  <c r="C52" i="39"/>
  <c r="C59" i="39"/>
  <c r="C22" i="39"/>
  <c r="C23" i="39"/>
  <c r="C25" i="39"/>
  <c r="C26" i="39"/>
  <c r="C28" i="39"/>
  <c r="C34" i="39"/>
  <c r="C125" i="38"/>
  <c r="C121" i="38"/>
  <c r="C114" i="38"/>
  <c r="C111" i="38"/>
  <c r="C96" i="38"/>
  <c r="C93" i="38"/>
  <c r="C69" i="38"/>
  <c r="C89" i="39"/>
  <c r="C84" i="39"/>
  <c r="C80" i="39"/>
  <c r="C74" i="39"/>
  <c r="C71" i="39"/>
  <c r="C37" i="39"/>
  <c r="C116" i="42"/>
  <c r="C117" i="42"/>
  <c r="C118" i="42"/>
  <c r="C119" i="42"/>
  <c r="C112" i="42"/>
  <c r="C106" i="42"/>
  <c r="C100" i="42"/>
  <c r="C101" i="42"/>
  <c r="C77" i="42"/>
  <c r="C25" i="42"/>
  <c r="C38" i="42"/>
  <c r="C40" i="42"/>
  <c r="C49" i="42"/>
  <c r="C53" i="42"/>
  <c r="C61" i="42"/>
  <c r="C72" i="42"/>
  <c r="C115" i="42"/>
  <c r="C109" i="42"/>
  <c r="C105" i="42"/>
  <c r="C99" i="42"/>
  <c r="C86" i="42"/>
  <c r="C80" i="42"/>
  <c r="C76" i="42"/>
  <c r="C21" i="42"/>
  <c r="H115" i="42"/>
  <c r="G115" i="42"/>
  <c r="F115" i="42"/>
  <c r="H109" i="42"/>
  <c r="G109" i="42"/>
  <c r="F109" i="42"/>
  <c r="H105" i="42"/>
  <c r="G105" i="42"/>
  <c r="F105" i="42"/>
  <c r="H99" i="42"/>
  <c r="G99" i="42"/>
  <c r="F99" i="42"/>
  <c r="H89" i="42"/>
  <c r="H86" i="42"/>
  <c r="G86" i="42"/>
  <c r="F86" i="42"/>
  <c r="H80" i="42"/>
  <c r="G80" i="42"/>
  <c r="F80" i="42"/>
  <c r="H76" i="42"/>
  <c r="G76" i="42"/>
  <c r="F76" i="42"/>
  <c r="H21" i="42"/>
  <c r="G21" i="42"/>
  <c r="F21" i="42"/>
  <c r="F181" i="36"/>
  <c r="G181" i="36"/>
  <c r="H181" i="36"/>
  <c r="F182" i="36"/>
  <c r="G182" i="36"/>
  <c r="H182" i="36"/>
  <c r="F183" i="36"/>
  <c r="G183" i="36"/>
  <c r="H183" i="36"/>
  <c r="F184" i="36"/>
  <c r="G184" i="36"/>
  <c r="H184" i="36"/>
  <c r="F185" i="36"/>
  <c r="G185" i="36"/>
  <c r="H185" i="36"/>
  <c r="F186" i="36"/>
  <c r="G186" i="36"/>
  <c r="H186" i="36"/>
  <c r="F187" i="36"/>
  <c r="G187" i="36"/>
  <c r="H187" i="36"/>
  <c r="F163" i="36"/>
  <c r="G163" i="36"/>
  <c r="H163" i="36"/>
  <c r="F142" i="36"/>
  <c r="G142" i="36"/>
  <c r="H142" i="36"/>
  <c r="F121" i="36"/>
  <c r="G121" i="36"/>
  <c r="H121" i="36"/>
  <c r="F122" i="36"/>
  <c r="G122" i="36"/>
  <c r="H122" i="36"/>
  <c r="F89" i="36"/>
  <c r="G89" i="36"/>
  <c r="H89" i="36"/>
  <c r="F93" i="36"/>
  <c r="G93" i="36"/>
  <c r="H93" i="36"/>
  <c r="F95" i="36"/>
  <c r="G95" i="36"/>
  <c r="H95" i="36"/>
  <c r="F96" i="36"/>
  <c r="G96" i="36"/>
  <c r="H96" i="36"/>
  <c r="F98" i="36"/>
  <c r="G98" i="36"/>
  <c r="H98" i="36"/>
  <c r="F100" i="36"/>
  <c r="G100" i="36"/>
  <c r="H100" i="36"/>
  <c r="F101" i="36"/>
  <c r="G101" i="36"/>
  <c r="H101" i="36"/>
  <c r="F102" i="36"/>
  <c r="G102" i="36"/>
  <c r="H102" i="36"/>
  <c r="F103" i="36"/>
  <c r="G103" i="36"/>
  <c r="H103" i="36"/>
  <c r="F104" i="36"/>
  <c r="G104" i="36"/>
  <c r="H104" i="36"/>
  <c r="F105" i="36"/>
  <c r="G105" i="36"/>
  <c r="H105" i="36"/>
  <c r="F106" i="36"/>
  <c r="G106" i="36"/>
  <c r="H106" i="36"/>
  <c r="F68" i="36"/>
  <c r="G68" i="36"/>
  <c r="H68" i="36"/>
  <c r="F77" i="36"/>
  <c r="G77" i="36"/>
  <c r="H77" i="36"/>
  <c r="F79" i="36"/>
  <c r="G79" i="36"/>
  <c r="H79" i="36"/>
  <c r="F81" i="36"/>
  <c r="G81" i="36"/>
  <c r="H81" i="36"/>
  <c r="F50" i="36"/>
  <c r="G50" i="36"/>
  <c r="H50" i="36"/>
  <c r="F21" i="36"/>
  <c r="G21" i="36"/>
  <c r="H21" i="36"/>
  <c r="F22" i="36"/>
  <c r="G22" i="36"/>
  <c r="H22" i="36"/>
  <c r="F23" i="36"/>
  <c r="G23" i="36"/>
  <c r="H23" i="36"/>
  <c r="F24" i="36"/>
  <c r="G24" i="36"/>
  <c r="H24" i="36"/>
  <c r="F25" i="36"/>
  <c r="G25" i="36"/>
  <c r="H25" i="36"/>
  <c r="F26" i="36"/>
  <c r="G26" i="36"/>
  <c r="H26" i="36"/>
  <c r="F27" i="36"/>
  <c r="G27" i="36"/>
  <c r="H27" i="36"/>
  <c r="F28" i="36"/>
  <c r="G28" i="36"/>
  <c r="H28" i="36"/>
  <c r="F29" i="36"/>
  <c r="G29" i="36"/>
  <c r="H29" i="36"/>
  <c r="F30" i="36"/>
  <c r="G30" i="36"/>
  <c r="H30" i="36"/>
  <c r="F31" i="36"/>
  <c r="G31" i="36"/>
  <c r="H31" i="36"/>
  <c r="F32" i="36"/>
  <c r="G32" i="36"/>
  <c r="H32" i="36"/>
  <c r="F35" i="36"/>
  <c r="G35" i="36"/>
  <c r="H35" i="36"/>
  <c r="F36" i="36"/>
  <c r="G36" i="36"/>
  <c r="H36" i="36"/>
  <c r="F39" i="36"/>
  <c r="G39" i="36"/>
  <c r="H39" i="36"/>
  <c r="F40" i="36"/>
  <c r="G40" i="36"/>
  <c r="H40" i="36"/>
  <c r="F41" i="36"/>
  <c r="G41" i="36"/>
  <c r="H41" i="36"/>
  <c r="F44" i="36"/>
  <c r="G44" i="36"/>
  <c r="H44" i="36"/>
  <c r="F45" i="36"/>
  <c r="G45" i="36"/>
  <c r="H45" i="36"/>
  <c r="F46" i="36"/>
  <c r="G46" i="36"/>
  <c r="H46" i="36"/>
  <c r="H180" i="36"/>
  <c r="G180" i="36"/>
  <c r="F180" i="36"/>
  <c r="H169" i="36"/>
  <c r="G169" i="36"/>
  <c r="F169" i="36"/>
  <c r="H166" i="36"/>
  <c r="G166" i="36"/>
  <c r="F166" i="36"/>
  <c r="H162" i="36"/>
  <c r="G162" i="36"/>
  <c r="F162" i="36"/>
  <c r="H148" i="36"/>
  <c r="G148" i="36"/>
  <c r="F148" i="36"/>
  <c r="H88" i="36"/>
  <c r="G88" i="36"/>
  <c r="F88" i="36"/>
  <c r="C181" i="36"/>
  <c r="C182" i="36"/>
  <c r="C183" i="36"/>
  <c r="C184" i="36"/>
  <c r="C185" i="36"/>
  <c r="C186" i="36"/>
  <c r="C187" i="36"/>
  <c r="C163" i="36"/>
  <c r="C142" i="36"/>
  <c r="C121" i="36"/>
  <c r="C122" i="36"/>
  <c r="C89" i="36"/>
  <c r="C93" i="36"/>
  <c r="C95" i="36"/>
  <c r="C96" i="36"/>
  <c r="C98" i="36"/>
  <c r="C100" i="36"/>
  <c r="C101" i="36"/>
  <c r="C102" i="36"/>
  <c r="C103" i="36"/>
  <c r="C104" i="36"/>
  <c r="C105" i="36"/>
  <c r="C106" i="36"/>
  <c r="C21" i="36"/>
  <c r="C22" i="36"/>
  <c r="C23" i="36"/>
  <c r="C24" i="36"/>
  <c r="C25" i="36"/>
  <c r="C26" i="36"/>
  <c r="C27" i="36"/>
  <c r="C28" i="36"/>
  <c r="C29" i="36"/>
  <c r="C30" i="36"/>
  <c r="C31" i="36"/>
  <c r="C32" i="36"/>
  <c r="C35" i="36"/>
  <c r="C36" i="36"/>
  <c r="C39" i="36"/>
  <c r="C40" i="36"/>
  <c r="C41" i="36"/>
  <c r="C44" i="36"/>
  <c r="C45" i="36"/>
  <c r="C46" i="36"/>
  <c r="C180" i="36"/>
  <c r="C169" i="36"/>
  <c r="C166" i="36"/>
  <c r="C162" i="36"/>
  <c r="C148" i="36"/>
  <c r="C88" i="36"/>
  <c r="F224" i="34"/>
  <c r="G224" i="34"/>
  <c r="H224" i="34"/>
  <c r="F225" i="34"/>
  <c r="G225" i="34"/>
  <c r="H225" i="34"/>
  <c r="F226" i="34"/>
  <c r="G226" i="34"/>
  <c r="H226" i="34"/>
  <c r="F227" i="34"/>
  <c r="G227" i="34"/>
  <c r="H227" i="34"/>
  <c r="F228" i="34"/>
  <c r="G228" i="34"/>
  <c r="H228" i="34"/>
  <c r="F229" i="34"/>
  <c r="G229" i="34"/>
  <c r="H229" i="34"/>
  <c r="F230" i="34"/>
  <c r="G230" i="34"/>
  <c r="H230" i="34"/>
  <c r="H223" i="34"/>
  <c r="G223" i="34"/>
  <c r="F223" i="34"/>
  <c r="H219" i="34"/>
  <c r="G219" i="34"/>
  <c r="F219" i="34"/>
  <c r="H211" i="34"/>
  <c r="G211" i="34"/>
  <c r="F211" i="34"/>
  <c r="F208" i="34"/>
  <c r="G208" i="34"/>
  <c r="H208" i="34"/>
  <c r="H207" i="34"/>
  <c r="G207" i="34"/>
  <c r="F207" i="34"/>
  <c r="F203" i="34"/>
  <c r="G203" i="34"/>
  <c r="H203" i="34"/>
  <c r="H202" i="34"/>
  <c r="G202" i="34"/>
  <c r="F202" i="34"/>
  <c r="H199" i="34"/>
  <c r="G199" i="34"/>
  <c r="F199" i="34"/>
  <c r="F182" i="34"/>
  <c r="G182" i="34"/>
  <c r="H182" i="34"/>
  <c r="F172" i="34"/>
  <c r="G172" i="34"/>
  <c r="H172" i="34"/>
  <c r="H166" i="34"/>
  <c r="G166" i="34"/>
  <c r="F166" i="34"/>
  <c r="F123" i="34"/>
  <c r="G123" i="34"/>
  <c r="H123" i="34"/>
  <c r="F124" i="34"/>
  <c r="G124" i="34"/>
  <c r="H124" i="34"/>
  <c r="F125" i="34"/>
  <c r="G125" i="34"/>
  <c r="H125" i="34"/>
  <c r="F126" i="34"/>
  <c r="G126" i="34"/>
  <c r="H126" i="34"/>
  <c r="F128" i="34"/>
  <c r="G128" i="34"/>
  <c r="H128" i="34"/>
  <c r="F129" i="34"/>
  <c r="G129" i="34"/>
  <c r="H129" i="34"/>
  <c r="F131" i="34"/>
  <c r="G131" i="34"/>
  <c r="H131" i="34"/>
  <c r="F132" i="34"/>
  <c r="G132" i="34"/>
  <c r="H132" i="34"/>
  <c r="F133" i="34"/>
  <c r="G133" i="34"/>
  <c r="H133" i="34"/>
  <c r="F134" i="34"/>
  <c r="G134" i="34"/>
  <c r="H134" i="34"/>
  <c r="F135" i="34"/>
  <c r="G135" i="34"/>
  <c r="H135" i="34"/>
  <c r="F137" i="34"/>
  <c r="G137" i="34"/>
  <c r="H137" i="34"/>
  <c r="F138" i="34"/>
  <c r="G138" i="34"/>
  <c r="H138" i="34"/>
  <c r="F139" i="34"/>
  <c r="G139" i="34"/>
  <c r="H139" i="34"/>
  <c r="F140" i="34"/>
  <c r="G140" i="34"/>
  <c r="H140" i="34"/>
  <c r="F141" i="34"/>
  <c r="G141" i="34"/>
  <c r="H141" i="34"/>
  <c r="F142" i="34"/>
  <c r="G142" i="34"/>
  <c r="H142" i="34"/>
  <c r="F143" i="34"/>
  <c r="G143" i="34"/>
  <c r="H143" i="34"/>
  <c r="F147" i="34"/>
  <c r="G147" i="34"/>
  <c r="H147" i="34"/>
  <c r="F148" i="34"/>
  <c r="G148" i="34"/>
  <c r="H148" i="34"/>
  <c r="F149" i="34"/>
  <c r="G149" i="34"/>
  <c r="H149" i="34"/>
  <c r="F150" i="34"/>
  <c r="G150" i="34"/>
  <c r="H150" i="34"/>
  <c r="F151" i="34"/>
  <c r="G151" i="34"/>
  <c r="H151" i="34"/>
  <c r="F152" i="34"/>
  <c r="G152" i="34"/>
  <c r="H152" i="34"/>
  <c r="F153" i="34"/>
  <c r="G153" i="34"/>
  <c r="H153" i="34"/>
  <c r="F154" i="34"/>
  <c r="G154" i="34"/>
  <c r="H154" i="34"/>
  <c r="F155" i="34"/>
  <c r="G155" i="34"/>
  <c r="H155" i="34"/>
  <c r="F156" i="34"/>
  <c r="G156" i="34"/>
  <c r="H156" i="34"/>
  <c r="F157" i="34"/>
  <c r="G157" i="34"/>
  <c r="H157" i="34"/>
  <c r="F161" i="34"/>
  <c r="G161" i="34"/>
  <c r="H161" i="34"/>
  <c r="H117" i="34"/>
  <c r="G117" i="34"/>
  <c r="F117" i="34"/>
  <c r="F97" i="34"/>
  <c r="G97" i="34"/>
  <c r="H97" i="34"/>
  <c r="F106" i="34"/>
  <c r="G106" i="34"/>
  <c r="H106" i="34"/>
  <c r="F108" i="34"/>
  <c r="G108" i="34"/>
  <c r="H108" i="34"/>
  <c r="F110" i="34"/>
  <c r="G110" i="34"/>
  <c r="H110" i="34"/>
  <c r="H96" i="34"/>
  <c r="G96" i="34"/>
  <c r="F96" i="34"/>
  <c r="F79" i="34"/>
  <c r="G79" i="34"/>
  <c r="H79" i="34"/>
  <c r="F46" i="34"/>
  <c r="G46" i="34"/>
  <c r="H46" i="34"/>
  <c r="F47" i="34"/>
  <c r="G47" i="34"/>
  <c r="H47" i="34"/>
  <c r="F48" i="34"/>
  <c r="G48" i="34"/>
  <c r="H48" i="34"/>
  <c r="F49" i="34"/>
  <c r="G49" i="34"/>
  <c r="H49" i="34"/>
  <c r="F50" i="34"/>
  <c r="G50" i="34"/>
  <c r="H50" i="34"/>
  <c r="F51" i="34"/>
  <c r="G51" i="34"/>
  <c r="H51" i="34"/>
  <c r="F52" i="34"/>
  <c r="G52" i="34"/>
  <c r="H52" i="34"/>
  <c r="F53" i="34"/>
  <c r="G53" i="34"/>
  <c r="H53" i="34"/>
  <c r="F54" i="34"/>
  <c r="G54" i="34"/>
  <c r="H54" i="34"/>
  <c r="F55" i="34"/>
  <c r="G55" i="34"/>
  <c r="H55" i="34"/>
  <c r="F56" i="34"/>
  <c r="G56" i="34"/>
  <c r="H56" i="34"/>
  <c r="F57" i="34"/>
  <c r="G57" i="34"/>
  <c r="H57" i="34"/>
  <c r="F60" i="34"/>
  <c r="G60" i="34"/>
  <c r="H60" i="34"/>
  <c r="F61" i="34"/>
  <c r="G61" i="34"/>
  <c r="H61" i="34"/>
  <c r="F64" i="34"/>
  <c r="G64" i="34"/>
  <c r="H64" i="34"/>
  <c r="F65" i="34"/>
  <c r="G65" i="34"/>
  <c r="H65" i="34"/>
  <c r="F66" i="34"/>
  <c r="G66" i="34"/>
  <c r="H66" i="34"/>
  <c r="F67" i="34"/>
  <c r="G67" i="34"/>
  <c r="H67" i="34"/>
  <c r="F71" i="34"/>
  <c r="G71" i="34"/>
  <c r="H71" i="34"/>
  <c r="F72" i="34"/>
  <c r="G72" i="34"/>
  <c r="H72" i="34"/>
  <c r="F73" i="34"/>
  <c r="G73" i="34"/>
  <c r="H73" i="34"/>
  <c r="F35" i="34"/>
  <c r="G35" i="34"/>
  <c r="H35" i="34"/>
  <c r="F36" i="34"/>
  <c r="G36" i="34"/>
  <c r="H36" i="34"/>
  <c r="F37" i="34"/>
  <c r="G37" i="34"/>
  <c r="H37" i="34"/>
  <c r="F38" i="34"/>
  <c r="G38" i="34"/>
  <c r="H38" i="34"/>
  <c r="F39" i="34"/>
  <c r="G39" i="34"/>
  <c r="H39" i="34"/>
  <c r="F40" i="34"/>
  <c r="G40" i="34"/>
  <c r="H40" i="34"/>
  <c r="F41" i="34"/>
  <c r="G41" i="34"/>
  <c r="H41" i="34"/>
  <c r="F29" i="34"/>
  <c r="G29" i="34"/>
  <c r="H29" i="34"/>
  <c r="F30" i="34"/>
  <c r="G30" i="34"/>
  <c r="H30" i="34"/>
  <c r="F23" i="34"/>
  <c r="G23" i="34"/>
  <c r="H23" i="34"/>
  <c r="F24" i="34"/>
  <c r="G24" i="34"/>
  <c r="H24" i="34"/>
  <c r="C224" i="34"/>
  <c r="C225" i="34"/>
  <c r="C226" i="34"/>
  <c r="C227" i="34"/>
  <c r="C228" i="34"/>
  <c r="C229" i="34"/>
  <c r="C230" i="34"/>
  <c r="C208" i="34"/>
  <c r="C203" i="34"/>
  <c r="C182" i="34"/>
  <c r="C172" i="34"/>
  <c r="C167" i="34"/>
  <c r="C123" i="34"/>
  <c r="C124" i="34"/>
  <c r="C125" i="34"/>
  <c r="C126" i="34"/>
  <c r="C128" i="34"/>
  <c r="C129" i="34"/>
  <c r="C131" i="34"/>
  <c r="C132" i="34"/>
  <c r="C133" i="34"/>
  <c r="C134" i="34"/>
  <c r="C135" i="34"/>
  <c r="C137" i="34"/>
  <c r="C138" i="34"/>
  <c r="C139" i="34"/>
  <c r="C140" i="34"/>
  <c r="C141" i="34"/>
  <c r="C142" i="34"/>
  <c r="C143" i="34"/>
  <c r="C147" i="34"/>
  <c r="C148" i="34"/>
  <c r="C149" i="34"/>
  <c r="C150" i="34"/>
  <c r="C151" i="34"/>
  <c r="C152" i="34"/>
  <c r="C153" i="34"/>
  <c r="C154" i="34"/>
  <c r="C155" i="34"/>
  <c r="C156" i="34"/>
  <c r="C157" i="34"/>
  <c r="C161" i="34"/>
  <c r="C46" i="34"/>
  <c r="C47" i="34"/>
  <c r="C48" i="34"/>
  <c r="C49" i="34"/>
  <c r="C50" i="34"/>
  <c r="C51" i="34"/>
  <c r="C52" i="34"/>
  <c r="C53" i="34"/>
  <c r="C54" i="34"/>
  <c r="C55" i="34"/>
  <c r="C56" i="34"/>
  <c r="C57" i="34"/>
  <c r="C60" i="34"/>
  <c r="C61" i="34"/>
  <c r="C64" i="34"/>
  <c r="C65" i="34"/>
  <c r="C66" i="34"/>
  <c r="C67" i="34"/>
  <c r="C71" i="34"/>
  <c r="C72" i="34"/>
  <c r="C73" i="34"/>
  <c r="C35" i="34"/>
  <c r="C36" i="34"/>
  <c r="C37" i="34"/>
  <c r="C38" i="34"/>
  <c r="C39" i="34"/>
  <c r="C40" i="34"/>
  <c r="C41" i="34"/>
  <c r="C29" i="34"/>
  <c r="C30" i="34"/>
  <c r="C23" i="34"/>
  <c r="C24" i="34"/>
  <c r="C223" i="34"/>
  <c r="C219" i="34"/>
  <c r="C211" i="34"/>
  <c r="C207" i="34"/>
  <c r="C202" i="34"/>
  <c r="C199" i="34"/>
  <c r="C166" i="34"/>
  <c r="C117" i="34"/>
  <c r="F40" i="43"/>
  <c r="G40" i="43"/>
  <c r="H40" i="43"/>
  <c r="F41" i="43"/>
  <c r="G41" i="43"/>
  <c r="H41" i="43"/>
  <c r="F42" i="43"/>
  <c r="G42" i="43"/>
  <c r="H42" i="43"/>
  <c r="F43" i="43"/>
  <c r="G43" i="43"/>
  <c r="H43" i="43"/>
  <c r="F21" i="43"/>
  <c r="G21" i="43"/>
  <c r="H21" i="43"/>
  <c r="H39" i="43"/>
  <c r="G39" i="43"/>
  <c r="F39" i="43"/>
  <c r="H31" i="43"/>
  <c r="G31" i="43"/>
  <c r="F31" i="43"/>
  <c r="H20" i="43"/>
  <c r="G20" i="43"/>
  <c r="F20" i="43"/>
  <c r="C40" i="43"/>
  <c r="C41" i="43"/>
  <c r="C42" i="43"/>
  <c r="C43" i="43"/>
  <c r="C21" i="43"/>
  <c r="C39" i="43"/>
  <c r="C31" i="43"/>
  <c r="C20" i="43"/>
  <c r="C79" i="37"/>
  <c r="C81" i="37"/>
  <c r="C27" i="37"/>
  <c r="C28" i="37"/>
  <c r="C29" i="37"/>
  <c r="C30" i="37"/>
  <c r="C31" i="37"/>
  <c r="C32" i="37"/>
  <c r="C33" i="37"/>
  <c r="C34" i="37"/>
  <c r="C35" i="37"/>
  <c r="C36" i="37"/>
  <c r="C37" i="37"/>
  <c r="C39" i="37"/>
  <c r="C40" i="37"/>
  <c r="C41" i="37"/>
  <c r="C42" i="37"/>
  <c r="C47" i="37"/>
  <c r="C48" i="37"/>
  <c r="C49" i="37"/>
  <c r="C50" i="37"/>
  <c r="C51" i="37"/>
  <c r="C52" i="37"/>
  <c r="C54" i="37"/>
  <c r="C57" i="37"/>
  <c r="C58" i="37"/>
  <c r="C61" i="37"/>
  <c r="F79" i="37"/>
  <c r="G79" i="37"/>
  <c r="H79" i="37"/>
  <c r="F81" i="37"/>
  <c r="G81" i="37"/>
  <c r="H81" i="37"/>
  <c r="F58" i="37"/>
  <c r="G58" i="37"/>
  <c r="H58" i="37"/>
  <c r="F61" i="37"/>
  <c r="G61" i="37"/>
  <c r="H61" i="37"/>
  <c r="F27" i="37"/>
  <c r="G27" i="37"/>
  <c r="H27" i="37"/>
  <c r="F28" i="37"/>
  <c r="G28" i="37"/>
  <c r="H28" i="37"/>
  <c r="F29" i="37"/>
  <c r="G29" i="37"/>
  <c r="H29" i="37"/>
  <c r="F30" i="37"/>
  <c r="G30" i="37"/>
  <c r="H30" i="37"/>
  <c r="F31" i="37"/>
  <c r="G31" i="37"/>
  <c r="H31" i="37"/>
  <c r="F32" i="37"/>
  <c r="G32" i="37"/>
  <c r="H32" i="37"/>
  <c r="F33" i="37"/>
  <c r="G33" i="37"/>
  <c r="H33" i="37"/>
  <c r="F34" i="37"/>
  <c r="G34" i="37"/>
  <c r="H34" i="37"/>
  <c r="F35" i="37"/>
  <c r="G35" i="37"/>
  <c r="H35" i="37"/>
  <c r="F36" i="37"/>
  <c r="G36" i="37"/>
  <c r="H36" i="37"/>
  <c r="F37" i="37"/>
  <c r="G37" i="37"/>
  <c r="H37" i="37"/>
  <c r="F39" i="37"/>
  <c r="G39" i="37"/>
  <c r="H39" i="37"/>
  <c r="F40" i="37"/>
  <c r="G40" i="37"/>
  <c r="H40" i="37"/>
  <c r="F41" i="37"/>
  <c r="G41" i="37"/>
  <c r="H41" i="37"/>
  <c r="F42" i="37"/>
  <c r="G42" i="37"/>
  <c r="H42" i="37"/>
  <c r="F47" i="37"/>
  <c r="G47" i="37"/>
  <c r="H47" i="37"/>
  <c r="F48" i="37"/>
  <c r="G48" i="37"/>
  <c r="H48" i="37"/>
  <c r="F49" i="37"/>
  <c r="G49" i="37"/>
  <c r="H49" i="37"/>
  <c r="F50" i="37"/>
  <c r="G50" i="37"/>
  <c r="H50" i="37"/>
  <c r="F51" i="37"/>
  <c r="G51" i="37"/>
  <c r="H51" i="37"/>
  <c r="F52" i="37"/>
  <c r="G52" i="37"/>
  <c r="H52" i="37"/>
  <c r="F54" i="37"/>
  <c r="G54" i="37"/>
  <c r="H54" i="37"/>
  <c r="H78" i="37"/>
  <c r="G78" i="37"/>
  <c r="F78" i="37"/>
  <c r="H71" i="37"/>
  <c r="G71" i="37"/>
  <c r="F71" i="37"/>
  <c r="H68" i="37"/>
  <c r="G68" i="37"/>
  <c r="F68" i="37"/>
  <c r="H57" i="37"/>
  <c r="G57" i="37"/>
  <c r="F57" i="37"/>
  <c r="C78" i="37"/>
  <c r="C71" i="37"/>
  <c r="C68" i="37"/>
  <c r="F82" i="44"/>
  <c r="G82" i="44"/>
  <c r="H82" i="44"/>
  <c r="F83" i="44"/>
  <c r="G83" i="44"/>
  <c r="H83" i="44"/>
  <c r="F84" i="44"/>
  <c r="G84" i="44"/>
  <c r="H84" i="44"/>
  <c r="F85" i="44"/>
  <c r="G85" i="44"/>
  <c r="H85" i="44"/>
  <c r="F86" i="44"/>
  <c r="G86" i="44"/>
  <c r="H86" i="44"/>
  <c r="C82" i="44"/>
  <c r="C83" i="44"/>
  <c r="C84" i="44"/>
  <c r="C85" i="44"/>
  <c r="C86" i="44"/>
  <c r="F72" i="44"/>
  <c r="G72" i="44"/>
  <c r="H72" i="44"/>
  <c r="C72" i="44"/>
  <c r="F57" i="44"/>
  <c r="G57" i="44"/>
  <c r="H57" i="44"/>
  <c r="C57" i="44"/>
  <c r="F35" i="44"/>
  <c r="G35" i="44"/>
  <c r="H35" i="44"/>
  <c r="F44" i="44"/>
  <c r="G44" i="44"/>
  <c r="H44" i="44"/>
  <c r="F46" i="44"/>
  <c r="G46" i="44"/>
  <c r="H46" i="44"/>
  <c r="F48" i="44"/>
  <c r="G48" i="44"/>
  <c r="H48" i="44"/>
  <c r="C35" i="44"/>
  <c r="C44" i="44"/>
  <c r="C46" i="44"/>
  <c r="C48" i="44"/>
  <c r="F22" i="44"/>
  <c r="G22" i="44"/>
  <c r="H22" i="44"/>
  <c r="F25" i="44"/>
  <c r="G25" i="44"/>
  <c r="H25" i="44"/>
  <c r="F26" i="44"/>
  <c r="G26" i="44"/>
  <c r="H26" i="44"/>
  <c r="F27" i="44"/>
  <c r="G27" i="44"/>
  <c r="H27" i="44"/>
  <c r="F28" i="44"/>
  <c r="G28" i="44"/>
  <c r="H28" i="44"/>
  <c r="F29" i="44"/>
  <c r="G29" i="44"/>
  <c r="H29" i="44"/>
  <c r="F30" i="44"/>
  <c r="G30" i="44"/>
  <c r="H30" i="44"/>
  <c r="F31" i="44"/>
  <c r="G31" i="44"/>
  <c r="H31" i="44"/>
  <c r="F32" i="44"/>
  <c r="G32" i="44"/>
  <c r="H32" i="44"/>
  <c r="C22" i="44"/>
  <c r="C25" i="44"/>
  <c r="C26" i="44"/>
  <c r="C27" i="44"/>
  <c r="C28" i="44"/>
  <c r="C29" i="44"/>
  <c r="C30" i="44"/>
  <c r="C31" i="44"/>
  <c r="C32" i="44"/>
  <c r="C34" i="44"/>
  <c r="H81" i="44"/>
  <c r="G81" i="44"/>
  <c r="F81" i="44"/>
  <c r="H75" i="44"/>
  <c r="G75" i="44"/>
  <c r="F75" i="44"/>
  <c r="H71" i="44"/>
  <c r="G71" i="44"/>
  <c r="F71" i="44"/>
  <c r="H68" i="44"/>
  <c r="G68" i="44"/>
  <c r="F68" i="44"/>
  <c r="H54" i="44"/>
  <c r="G54" i="44"/>
  <c r="F54" i="44"/>
  <c r="H34" i="44"/>
  <c r="G34" i="44"/>
  <c r="F34" i="44"/>
  <c r="C81" i="44"/>
  <c r="C75" i="44"/>
  <c r="C71" i="44"/>
  <c r="C68" i="44"/>
  <c r="C54" i="44"/>
  <c r="F148" i="40"/>
  <c r="G148" i="40"/>
  <c r="H148" i="40"/>
  <c r="F149" i="40"/>
  <c r="G149" i="40"/>
  <c r="H149" i="40"/>
  <c r="F150" i="40"/>
  <c r="G150" i="40"/>
  <c r="H150" i="40"/>
  <c r="F151" i="40"/>
  <c r="G151" i="40"/>
  <c r="H151" i="40"/>
  <c r="F152" i="40"/>
  <c r="G152" i="40"/>
  <c r="H152" i="40"/>
  <c r="F153" i="40"/>
  <c r="G153" i="40"/>
  <c r="H153" i="40"/>
  <c r="F154" i="40"/>
  <c r="G154" i="40"/>
  <c r="H154" i="40"/>
  <c r="F155" i="40"/>
  <c r="G155" i="40"/>
  <c r="H155" i="40"/>
  <c r="C148" i="40"/>
  <c r="C149" i="40"/>
  <c r="C150" i="40"/>
  <c r="C151" i="40"/>
  <c r="C152" i="40"/>
  <c r="C153" i="40"/>
  <c r="C154" i="40"/>
  <c r="C155" i="40"/>
  <c r="C147" i="40"/>
  <c r="F143" i="40"/>
  <c r="G143" i="40"/>
  <c r="H143" i="40"/>
  <c r="F144" i="40"/>
  <c r="G144" i="40"/>
  <c r="H144" i="40"/>
  <c r="C143" i="40"/>
  <c r="C144" i="40"/>
  <c r="C141" i="40"/>
  <c r="F138" i="40"/>
  <c r="G138" i="40"/>
  <c r="H138" i="40"/>
  <c r="C138" i="40"/>
  <c r="F129" i="40"/>
  <c r="G129" i="40"/>
  <c r="H129" i="40"/>
  <c r="F130" i="40"/>
  <c r="G130" i="40"/>
  <c r="H130" i="40"/>
  <c r="F131" i="40"/>
  <c r="G131" i="40"/>
  <c r="H131" i="40"/>
  <c r="F132" i="40"/>
  <c r="G132" i="40"/>
  <c r="H132" i="40"/>
  <c r="F133" i="40"/>
  <c r="G133" i="40"/>
  <c r="H133" i="40"/>
  <c r="F134" i="40"/>
  <c r="G134" i="40"/>
  <c r="H134" i="40"/>
  <c r="C129" i="40"/>
  <c r="C130" i="40"/>
  <c r="C131" i="40"/>
  <c r="C132" i="40"/>
  <c r="C133" i="40"/>
  <c r="C134" i="40"/>
  <c r="C125" i="40"/>
  <c r="C122" i="40"/>
  <c r="C116" i="40"/>
  <c r="C113" i="40"/>
  <c r="C108" i="40"/>
  <c r="C105" i="40"/>
  <c r="F64" i="40"/>
  <c r="G64" i="40"/>
  <c r="H64" i="40"/>
  <c r="F68" i="40"/>
  <c r="G68" i="40"/>
  <c r="H68" i="40"/>
  <c r="F69" i="40"/>
  <c r="G69" i="40"/>
  <c r="H69" i="40"/>
  <c r="F70" i="40"/>
  <c r="G70" i="40"/>
  <c r="H70" i="40"/>
  <c r="F71" i="40"/>
  <c r="G71" i="40"/>
  <c r="H71" i="40"/>
  <c r="F72" i="40"/>
  <c r="G72" i="40"/>
  <c r="H72" i="40"/>
  <c r="F73" i="40"/>
  <c r="G73" i="40"/>
  <c r="H73" i="40"/>
  <c r="F76" i="40"/>
  <c r="G76" i="40"/>
  <c r="H76" i="40"/>
  <c r="F77" i="40"/>
  <c r="G77" i="40"/>
  <c r="H77" i="40"/>
  <c r="F78" i="40"/>
  <c r="G78" i="40"/>
  <c r="H78" i="40"/>
  <c r="F79" i="40"/>
  <c r="G79" i="40"/>
  <c r="H79" i="40"/>
  <c r="F80" i="40"/>
  <c r="G80" i="40"/>
  <c r="H80" i="40"/>
  <c r="F81" i="40"/>
  <c r="G81" i="40"/>
  <c r="H81" i="40"/>
  <c r="F82" i="40"/>
  <c r="G82" i="40"/>
  <c r="H82" i="40"/>
  <c r="F83" i="40"/>
  <c r="G83" i="40"/>
  <c r="H83" i="40"/>
  <c r="F84" i="40"/>
  <c r="G84" i="40"/>
  <c r="H84" i="40"/>
  <c r="F89" i="40"/>
  <c r="G89" i="40"/>
  <c r="H89" i="40"/>
  <c r="F90" i="40"/>
  <c r="G90" i="40"/>
  <c r="H90" i="40"/>
  <c r="F93" i="40"/>
  <c r="G93" i="40"/>
  <c r="H93" i="40"/>
  <c r="F94" i="40"/>
  <c r="G94" i="40"/>
  <c r="H94" i="40"/>
  <c r="F95" i="40"/>
  <c r="G95" i="40"/>
  <c r="H95" i="40"/>
  <c r="F96" i="40"/>
  <c r="G96" i="40"/>
  <c r="H96" i="40"/>
  <c r="F97" i="40"/>
  <c r="G97" i="40"/>
  <c r="H97" i="40"/>
  <c r="F98" i="40"/>
  <c r="G98" i="40"/>
  <c r="H98" i="40"/>
  <c r="F99" i="40"/>
  <c r="G99" i="40"/>
  <c r="H99" i="40"/>
  <c r="F100" i="40"/>
  <c r="G100" i="40"/>
  <c r="H100" i="40"/>
  <c r="F101" i="40"/>
  <c r="G101" i="40"/>
  <c r="H101" i="40"/>
  <c r="C64" i="40"/>
  <c r="C63" i="40"/>
  <c r="F50" i="40"/>
  <c r="G50" i="40"/>
  <c r="H50" i="40"/>
  <c r="F51" i="40"/>
  <c r="G51" i="40"/>
  <c r="H51" i="40"/>
  <c r="F52" i="40"/>
  <c r="G52" i="40"/>
  <c r="H52" i="40"/>
  <c r="F53" i="40"/>
  <c r="G53" i="40"/>
  <c r="H53" i="40"/>
  <c r="F55" i="40"/>
  <c r="G55" i="40"/>
  <c r="H55" i="40"/>
  <c r="F56" i="40"/>
  <c r="G56" i="40"/>
  <c r="H56" i="40"/>
  <c r="F58" i="40"/>
  <c r="G58" i="40"/>
  <c r="H58" i="40"/>
  <c r="F59" i="40"/>
  <c r="G59" i="40"/>
  <c r="H59" i="40"/>
  <c r="F60" i="40"/>
  <c r="G60" i="40"/>
  <c r="H60" i="40"/>
  <c r="H49" i="40"/>
  <c r="G49" i="40"/>
  <c r="F49" i="40"/>
  <c r="C50" i="40"/>
  <c r="C51" i="40"/>
  <c r="C52" i="40"/>
  <c r="C53" i="40"/>
  <c r="C55" i="40"/>
  <c r="C56" i="40"/>
  <c r="C58" i="40"/>
  <c r="C59" i="40"/>
  <c r="C60" i="40"/>
  <c r="C49" i="40"/>
  <c r="F39" i="40"/>
  <c r="G39" i="40"/>
  <c r="H39" i="40"/>
  <c r="F40" i="40"/>
  <c r="G40" i="40"/>
  <c r="H40" i="40"/>
  <c r="F41" i="40"/>
  <c r="G41" i="40"/>
  <c r="H41" i="40"/>
  <c r="F42" i="40"/>
  <c r="G42" i="40"/>
  <c r="H42" i="40"/>
  <c r="F43" i="40"/>
  <c r="G43" i="40"/>
  <c r="H43" i="40"/>
  <c r="F44" i="40"/>
  <c r="G44" i="40"/>
  <c r="H44" i="40"/>
  <c r="C39" i="40"/>
  <c r="C40" i="40"/>
  <c r="C41" i="40"/>
  <c r="C42" i="40"/>
  <c r="C43" i="40"/>
  <c r="C44" i="40"/>
  <c r="C37" i="40"/>
  <c r="F21" i="40"/>
  <c r="G21" i="40"/>
  <c r="H21" i="40"/>
  <c r="C21" i="40"/>
  <c r="H147" i="40"/>
  <c r="G147" i="40"/>
  <c r="F147" i="40"/>
  <c r="H141" i="40"/>
  <c r="G141" i="40"/>
  <c r="F141" i="40"/>
  <c r="H137" i="40"/>
  <c r="G137" i="40"/>
  <c r="F137" i="40"/>
  <c r="H128" i="40"/>
  <c r="G128" i="40"/>
  <c r="F128" i="40"/>
  <c r="H121" i="40"/>
  <c r="G121" i="40"/>
  <c r="F121" i="40"/>
  <c r="H116" i="40"/>
  <c r="G116" i="40"/>
  <c r="F116" i="40"/>
  <c r="H113" i="40"/>
  <c r="G113" i="40"/>
  <c r="F113" i="40"/>
  <c r="H108" i="40"/>
  <c r="G108" i="40"/>
  <c r="F108" i="40"/>
  <c r="H105" i="40"/>
  <c r="G105" i="40"/>
  <c r="F105" i="40"/>
  <c r="H63" i="40"/>
  <c r="G63" i="40"/>
  <c r="F63" i="40"/>
  <c r="H37" i="40"/>
  <c r="G37" i="40"/>
  <c r="F37" i="40"/>
  <c r="H20" i="40"/>
  <c r="G20" i="40"/>
  <c r="F20" i="40"/>
  <c r="C43" i="33"/>
  <c r="C44" i="33"/>
  <c r="C45" i="33"/>
  <c r="C46" i="33"/>
  <c r="F43" i="33"/>
  <c r="G43" i="33"/>
  <c r="H43" i="33"/>
  <c r="F44" i="33"/>
  <c r="G44" i="33"/>
  <c r="H44" i="33"/>
  <c r="F45" i="33"/>
  <c r="G45" i="33"/>
  <c r="H45" i="33"/>
  <c r="F46" i="33"/>
  <c r="G46" i="33"/>
  <c r="H46" i="33"/>
  <c r="H42" i="33"/>
  <c r="G42" i="33"/>
  <c r="F42" i="33"/>
  <c r="H37" i="33"/>
  <c r="G37" i="33"/>
  <c r="F37" i="33"/>
  <c r="F34" i="33"/>
  <c r="G34" i="33"/>
  <c r="H34" i="33"/>
  <c r="H33" i="33"/>
  <c r="G33" i="33"/>
  <c r="F33" i="33"/>
  <c r="C34" i="33"/>
  <c r="F197" i="35"/>
  <c r="G197" i="35"/>
  <c r="H197" i="35"/>
  <c r="F198" i="35"/>
  <c r="G198" i="35"/>
  <c r="H198" i="35"/>
  <c r="F199" i="35"/>
  <c r="G199" i="35"/>
  <c r="H199" i="35"/>
  <c r="F200" i="35"/>
  <c r="G200" i="35"/>
  <c r="H200" i="35"/>
  <c r="F201" i="35"/>
  <c r="G201" i="35"/>
  <c r="H201" i="35"/>
  <c r="F202" i="35"/>
  <c r="G202" i="35"/>
  <c r="H202" i="35"/>
  <c r="F203" i="35"/>
  <c r="G203" i="35"/>
  <c r="H203" i="35"/>
  <c r="F205" i="35"/>
  <c r="G205" i="35"/>
  <c r="H205" i="35"/>
  <c r="H196" i="35"/>
  <c r="G196" i="35"/>
  <c r="F196" i="35"/>
  <c r="H187" i="35"/>
  <c r="G187" i="35"/>
  <c r="F187" i="35"/>
  <c r="H179" i="35"/>
  <c r="G179" i="35"/>
  <c r="F179" i="35"/>
  <c r="H176" i="35"/>
  <c r="G176" i="35"/>
  <c r="F176" i="35"/>
  <c r="H173" i="35"/>
  <c r="G173" i="35"/>
  <c r="F173" i="35"/>
  <c r="F153" i="35"/>
  <c r="G153" i="35"/>
  <c r="H153" i="35"/>
  <c r="F154" i="35"/>
  <c r="G154" i="35"/>
  <c r="H154" i="35"/>
  <c r="H152" i="35"/>
  <c r="G152" i="35"/>
  <c r="F152" i="35"/>
  <c r="F120" i="35"/>
  <c r="G120" i="35"/>
  <c r="H120" i="35"/>
  <c r="F123" i="35"/>
  <c r="G123" i="35"/>
  <c r="H123" i="35"/>
  <c r="F125" i="35"/>
  <c r="G125" i="35"/>
  <c r="H125" i="35"/>
  <c r="F126" i="35"/>
  <c r="G126" i="35"/>
  <c r="H126" i="35"/>
  <c r="F127" i="35"/>
  <c r="G127" i="35"/>
  <c r="H127" i="35"/>
  <c r="F128" i="35"/>
  <c r="G128" i="35"/>
  <c r="H128" i="35"/>
  <c r="F131" i="35"/>
  <c r="G131" i="35"/>
  <c r="H131" i="35"/>
  <c r="F132" i="35"/>
  <c r="G132" i="35"/>
  <c r="H132" i="35"/>
  <c r="F134" i="35"/>
  <c r="G134" i="35"/>
  <c r="H134" i="35"/>
  <c r="F135" i="35"/>
  <c r="G135" i="35"/>
  <c r="H135" i="35"/>
  <c r="F136" i="35"/>
  <c r="G136" i="35"/>
  <c r="H136" i="35"/>
  <c r="F137" i="35"/>
  <c r="G137" i="35"/>
  <c r="H137" i="35"/>
  <c r="F138" i="35"/>
  <c r="G138" i="35"/>
  <c r="H138" i="35"/>
  <c r="F139" i="35"/>
  <c r="G139" i="35"/>
  <c r="H139" i="35"/>
  <c r="H119" i="35"/>
  <c r="G119" i="35"/>
  <c r="F119" i="35"/>
  <c r="F99" i="35"/>
  <c r="G99" i="35"/>
  <c r="H99" i="35"/>
  <c r="F108" i="35"/>
  <c r="G108" i="35"/>
  <c r="H108" i="35"/>
  <c r="F110" i="35"/>
  <c r="G110" i="35"/>
  <c r="H110" i="35"/>
  <c r="F112" i="35"/>
  <c r="G112" i="35"/>
  <c r="H112" i="35"/>
  <c r="H98" i="35"/>
  <c r="G98" i="35"/>
  <c r="F98" i="35"/>
  <c r="F53" i="35"/>
  <c r="G53" i="35"/>
  <c r="H53" i="35"/>
  <c r="F84" i="35"/>
  <c r="G84" i="35"/>
  <c r="H84" i="35"/>
  <c r="F88" i="35"/>
  <c r="G88" i="35"/>
  <c r="H88" i="35"/>
  <c r="F22" i="35"/>
  <c r="G22" i="35"/>
  <c r="H22" i="35"/>
  <c r="F23" i="35"/>
  <c r="G23" i="35"/>
  <c r="H23" i="35"/>
  <c r="F24" i="35"/>
  <c r="G24" i="35"/>
  <c r="H24" i="35"/>
  <c r="F25" i="35"/>
  <c r="G25" i="35"/>
  <c r="H25" i="35"/>
  <c r="F26" i="35"/>
  <c r="G26" i="35"/>
  <c r="H26" i="35"/>
  <c r="F27" i="35"/>
  <c r="G27" i="35"/>
  <c r="H27" i="35"/>
  <c r="F28" i="35"/>
  <c r="G28" i="35"/>
  <c r="H28" i="35"/>
  <c r="F29" i="35"/>
  <c r="G29" i="35"/>
  <c r="H29" i="35"/>
  <c r="F30" i="35"/>
  <c r="G30" i="35"/>
  <c r="H30" i="35"/>
  <c r="F31" i="35"/>
  <c r="G31" i="35"/>
  <c r="H31" i="35"/>
  <c r="F32" i="35"/>
  <c r="G32" i="35"/>
  <c r="H32" i="35"/>
  <c r="F33" i="35"/>
  <c r="G33" i="35"/>
  <c r="H33" i="35"/>
  <c r="F34" i="35"/>
  <c r="G34" i="35"/>
  <c r="H34" i="35"/>
  <c r="F35" i="35"/>
  <c r="G35" i="35"/>
  <c r="H35" i="35"/>
  <c r="H37" i="35"/>
  <c r="H38" i="35"/>
  <c r="F40" i="35"/>
  <c r="G40" i="35"/>
  <c r="H40" i="35"/>
  <c r="F41" i="35"/>
  <c r="G41" i="35"/>
  <c r="H41" i="35"/>
  <c r="F44" i="35"/>
  <c r="G44" i="35"/>
  <c r="H44" i="35"/>
  <c r="F45" i="35"/>
  <c r="G45" i="35"/>
  <c r="H45" i="35"/>
  <c r="F46" i="35"/>
  <c r="G46" i="35"/>
  <c r="H46" i="35"/>
  <c r="F47" i="35"/>
  <c r="G47" i="35"/>
  <c r="H47" i="35"/>
  <c r="F48" i="35"/>
  <c r="G48" i="35"/>
  <c r="H48" i="35"/>
  <c r="F23" i="33"/>
  <c r="G23" i="33"/>
  <c r="H23" i="33"/>
  <c r="F26" i="33"/>
  <c r="G26" i="33"/>
  <c r="H26" i="33"/>
  <c r="H22" i="33"/>
  <c r="G22" i="33"/>
  <c r="F22" i="33"/>
  <c r="C23" i="33"/>
  <c r="C26" i="33"/>
  <c r="C42" i="33"/>
  <c r="C37" i="33"/>
  <c r="C33" i="33"/>
  <c r="C22" i="33"/>
  <c r="F149" i="32"/>
  <c r="G149" i="32"/>
  <c r="H149" i="32"/>
  <c r="F150" i="32"/>
  <c r="G150" i="32"/>
  <c r="H150" i="32"/>
  <c r="F151" i="32"/>
  <c r="G151" i="32"/>
  <c r="H151" i="32"/>
  <c r="F152" i="32"/>
  <c r="G152" i="32"/>
  <c r="H152" i="32"/>
  <c r="F153" i="32"/>
  <c r="G153" i="32"/>
  <c r="H153" i="32"/>
  <c r="F154" i="32"/>
  <c r="G154" i="32"/>
  <c r="H154" i="32"/>
  <c r="F155" i="32"/>
  <c r="G155" i="32"/>
  <c r="H155" i="32"/>
  <c r="H148" i="32"/>
  <c r="G148" i="32"/>
  <c r="F148" i="32"/>
  <c r="C149" i="32"/>
  <c r="C150" i="32"/>
  <c r="C151" i="32"/>
  <c r="C152" i="32"/>
  <c r="C153" i="32"/>
  <c r="C154" i="32"/>
  <c r="C155" i="32"/>
  <c r="C148" i="32"/>
  <c r="H138" i="32"/>
  <c r="G138" i="32"/>
  <c r="F138" i="32"/>
  <c r="C138" i="32"/>
  <c r="F135" i="32"/>
  <c r="G135" i="32"/>
  <c r="H135" i="32"/>
  <c r="H134" i="32"/>
  <c r="G134" i="32"/>
  <c r="F134" i="32"/>
  <c r="C135" i="32"/>
  <c r="H131" i="32"/>
  <c r="G131" i="32"/>
  <c r="F131" i="32"/>
  <c r="C131" i="32"/>
  <c r="H128" i="32"/>
  <c r="G128" i="32"/>
  <c r="F128" i="32"/>
  <c r="C128" i="32"/>
  <c r="F96" i="32"/>
  <c r="G96" i="32"/>
  <c r="H96" i="32"/>
  <c r="F101" i="32"/>
  <c r="G101" i="32"/>
  <c r="H101" i="32"/>
  <c r="F103" i="32"/>
  <c r="G103" i="32"/>
  <c r="H103" i="32"/>
  <c r="F105" i="32"/>
  <c r="G105" i="32"/>
  <c r="H105" i="32"/>
  <c r="F106" i="32"/>
  <c r="G106" i="32"/>
  <c r="H106" i="32"/>
  <c r="F108" i="32"/>
  <c r="G108" i="32"/>
  <c r="H108" i="32"/>
  <c r="H95" i="32"/>
  <c r="G95" i="32"/>
  <c r="F95" i="32"/>
  <c r="C96" i="32"/>
  <c r="C101" i="32"/>
  <c r="C103" i="32"/>
  <c r="C105" i="32"/>
  <c r="C106" i="32"/>
  <c r="C95" i="32"/>
  <c r="F75" i="32"/>
  <c r="G75" i="32"/>
  <c r="H75" i="32"/>
  <c r="F84" i="32"/>
  <c r="G84" i="32"/>
  <c r="H84" i="32"/>
  <c r="F86" i="32"/>
  <c r="G86" i="32"/>
  <c r="H86" i="32"/>
  <c r="F88" i="32"/>
  <c r="G88" i="32"/>
  <c r="H88" i="32"/>
  <c r="F47" i="32"/>
  <c r="G47" i="32"/>
  <c r="H47" i="32"/>
  <c r="F60" i="32"/>
  <c r="G60" i="32"/>
  <c r="H60" i="32"/>
  <c r="F61" i="32"/>
  <c r="G61" i="32"/>
  <c r="H61" i="32"/>
  <c r="F62" i="32"/>
  <c r="G62" i="32"/>
  <c r="H62" i="32"/>
  <c r="F22" i="32"/>
  <c r="G22" i="32"/>
  <c r="H22" i="32"/>
  <c r="F23" i="32"/>
  <c r="G23" i="32"/>
  <c r="H23" i="32"/>
  <c r="F24" i="32"/>
  <c r="G24" i="32"/>
  <c r="H24" i="32"/>
  <c r="F25" i="32"/>
  <c r="G25" i="32"/>
  <c r="H25" i="32"/>
  <c r="F26" i="32"/>
  <c r="G26" i="32"/>
  <c r="H26" i="32"/>
  <c r="F27" i="32"/>
  <c r="G27" i="32"/>
  <c r="H27" i="32"/>
  <c r="F28" i="32"/>
  <c r="G28" i="32"/>
  <c r="H28" i="32"/>
  <c r="F31" i="32"/>
  <c r="G31" i="32"/>
  <c r="H31" i="32"/>
  <c r="F33" i="32"/>
  <c r="G33" i="32"/>
  <c r="H33" i="32"/>
  <c r="F34" i="32"/>
  <c r="G34" i="32"/>
  <c r="H34" i="32"/>
  <c r="C22" i="32"/>
  <c r="C23" i="32"/>
  <c r="C24" i="32"/>
  <c r="C25" i="32"/>
  <c r="C26" i="32"/>
  <c r="C27" i="32"/>
  <c r="C28" i="32"/>
  <c r="C31" i="32"/>
  <c r="C33" i="32"/>
  <c r="C34" i="32"/>
  <c r="C74" i="32"/>
  <c r="C75" i="32"/>
  <c r="C84" i="32"/>
  <c r="C86" i="32"/>
  <c r="C21" i="32"/>
  <c r="F141" i="41"/>
  <c r="G141" i="41"/>
  <c r="H141" i="41"/>
  <c r="F142" i="41"/>
  <c r="G142" i="41"/>
  <c r="H142" i="41"/>
  <c r="F143" i="41"/>
  <c r="G143" i="41"/>
  <c r="H143" i="41"/>
  <c r="F144" i="41"/>
  <c r="G144" i="41"/>
  <c r="H144" i="41"/>
  <c r="F145" i="41"/>
  <c r="G145" i="41"/>
  <c r="H145" i="41"/>
  <c r="F146" i="41"/>
  <c r="G146" i="41"/>
  <c r="H146" i="41"/>
  <c r="C141" i="41"/>
  <c r="C142" i="41"/>
  <c r="C143" i="41"/>
  <c r="C144" i="41"/>
  <c r="C145" i="41"/>
  <c r="C146" i="41"/>
  <c r="C140" i="41"/>
  <c r="C134" i="41"/>
  <c r="F131" i="41"/>
  <c r="G131" i="41"/>
  <c r="H131" i="41"/>
  <c r="C131" i="41"/>
  <c r="F123" i="41"/>
  <c r="G123" i="41"/>
  <c r="H123" i="41"/>
  <c r="F124" i="41"/>
  <c r="G124" i="41"/>
  <c r="H124" i="41"/>
  <c r="F125" i="41"/>
  <c r="G125" i="41"/>
  <c r="H125" i="41"/>
  <c r="F126" i="41"/>
  <c r="G126" i="41"/>
  <c r="H126" i="41"/>
  <c r="C123" i="41"/>
  <c r="C124" i="41"/>
  <c r="C125" i="41"/>
  <c r="C126" i="41"/>
  <c r="C122" i="41"/>
  <c r="C119" i="41"/>
  <c r="F114" i="41"/>
  <c r="G114" i="41"/>
  <c r="H114" i="41"/>
  <c r="F115" i="41"/>
  <c r="G115" i="41"/>
  <c r="H115" i="41"/>
  <c r="F116" i="41"/>
  <c r="G116" i="41"/>
  <c r="H116" i="41"/>
  <c r="C114" i="41"/>
  <c r="C115" i="41"/>
  <c r="C116" i="41"/>
  <c r="C97" i="41"/>
  <c r="C96" i="41"/>
  <c r="C103" i="41"/>
  <c r="C106" i="41"/>
  <c r="H103" i="41"/>
  <c r="G103" i="41"/>
  <c r="F103" i="41"/>
  <c r="F97" i="41"/>
  <c r="G97" i="41"/>
  <c r="H97" i="41"/>
  <c r="F47" i="41"/>
  <c r="G47" i="41"/>
  <c r="H47" i="41"/>
  <c r="F48" i="41"/>
  <c r="G48" i="41"/>
  <c r="H48" i="41"/>
  <c r="F51" i="41"/>
  <c r="G51" i="41"/>
  <c r="H51" i="41"/>
  <c r="F52" i="41"/>
  <c r="G52" i="41"/>
  <c r="H52" i="41"/>
  <c r="F53" i="41"/>
  <c r="G53" i="41"/>
  <c r="H53" i="41"/>
  <c r="F54" i="41"/>
  <c r="G54" i="41"/>
  <c r="H54" i="41"/>
  <c r="F55" i="41"/>
  <c r="G55" i="41"/>
  <c r="H55" i="41"/>
  <c r="F56" i="41"/>
  <c r="G56" i="41"/>
  <c r="H56" i="41"/>
  <c r="F57" i="41"/>
  <c r="G57" i="41"/>
  <c r="H57" i="41"/>
  <c r="F58" i="41"/>
  <c r="G58" i="41"/>
  <c r="H58" i="41"/>
  <c r="F59" i="41"/>
  <c r="G59" i="41"/>
  <c r="H59" i="41"/>
  <c r="F61" i="41"/>
  <c r="G61" i="41"/>
  <c r="H61" i="41"/>
  <c r="F62" i="41"/>
  <c r="G62" i="41"/>
  <c r="H62" i="41"/>
  <c r="F63" i="41"/>
  <c r="G63" i="41"/>
  <c r="H63" i="41"/>
  <c r="F64" i="41"/>
  <c r="G64" i="41"/>
  <c r="H64" i="41"/>
  <c r="F65" i="41"/>
  <c r="G65" i="41"/>
  <c r="H65" i="41"/>
  <c r="F66" i="41"/>
  <c r="G66" i="41"/>
  <c r="H66" i="41"/>
  <c r="F68" i="41"/>
  <c r="G68" i="41"/>
  <c r="H68" i="41"/>
  <c r="F71" i="41"/>
  <c r="G71" i="41"/>
  <c r="H71" i="41"/>
  <c r="F75" i="41"/>
  <c r="G75" i="41"/>
  <c r="H75" i="41"/>
  <c r="F79" i="41"/>
  <c r="G79" i="41"/>
  <c r="H79" i="41"/>
  <c r="F80" i="41"/>
  <c r="G80" i="41"/>
  <c r="H80" i="41"/>
  <c r="F81" i="41"/>
  <c r="G81" i="41"/>
  <c r="H81" i="41"/>
  <c r="F82" i="41"/>
  <c r="G82" i="41"/>
  <c r="H82" i="41"/>
  <c r="F83" i="41"/>
  <c r="G83" i="41"/>
  <c r="H83" i="41"/>
  <c r="F84" i="41"/>
  <c r="G84" i="41"/>
  <c r="H84" i="41"/>
  <c r="F85" i="41"/>
  <c r="G85" i="41"/>
  <c r="H85" i="41"/>
  <c r="F86" i="41"/>
  <c r="G86" i="41"/>
  <c r="H86" i="41"/>
  <c r="F87" i="41"/>
  <c r="G87" i="41"/>
  <c r="H87" i="41"/>
  <c r="F88" i="41"/>
  <c r="G88" i="41"/>
  <c r="H88" i="41"/>
  <c r="F89" i="41"/>
  <c r="G89" i="41"/>
  <c r="H89" i="41"/>
  <c r="F90" i="41"/>
  <c r="G90" i="41"/>
  <c r="H90" i="41"/>
  <c r="F91" i="41"/>
  <c r="G91" i="41"/>
  <c r="H91" i="41"/>
  <c r="F92" i="41"/>
  <c r="G92" i="41"/>
  <c r="H92" i="41"/>
  <c r="F93" i="41"/>
  <c r="G93" i="41"/>
  <c r="H93" i="41"/>
  <c r="C45" i="41"/>
  <c r="C47" i="41"/>
  <c r="C48" i="41"/>
  <c r="C51" i="41"/>
  <c r="C52" i="41"/>
  <c r="C53" i="41"/>
  <c r="C54" i="41"/>
  <c r="C55" i="41"/>
  <c r="C56" i="41"/>
  <c r="C57" i="41"/>
  <c r="C58" i="41"/>
  <c r="C59" i="41"/>
  <c r="C61" i="41"/>
  <c r="C62" i="41"/>
  <c r="C63" i="41"/>
  <c r="C64" i="41"/>
  <c r="C65" i="41"/>
  <c r="C66" i="41"/>
  <c r="C68" i="41"/>
  <c r="C71" i="41"/>
  <c r="C75" i="41"/>
  <c r="C79" i="41"/>
  <c r="C80" i="41"/>
  <c r="C81" i="41"/>
  <c r="C82" i="41"/>
  <c r="C83" i="41"/>
  <c r="C84" i="41"/>
  <c r="C85" i="41"/>
  <c r="C86" i="41"/>
  <c r="C87" i="41"/>
  <c r="C88" i="41"/>
  <c r="C89" i="41"/>
  <c r="C90" i="41"/>
  <c r="C91" i="41"/>
  <c r="C92" i="41"/>
  <c r="C93" i="41"/>
  <c r="F30" i="41"/>
  <c r="G30" i="41"/>
  <c r="H30" i="41"/>
  <c r="F31" i="41"/>
  <c r="G31" i="41"/>
  <c r="H31" i="41"/>
  <c r="F32" i="41"/>
  <c r="G32" i="41"/>
  <c r="H32" i="41"/>
  <c r="F33" i="41"/>
  <c r="G33" i="41"/>
  <c r="H33" i="41"/>
  <c r="F34" i="41"/>
  <c r="G34" i="41"/>
  <c r="H34" i="41"/>
  <c r="F36" i="41"/>
  <c r="G36" i="41"/>
  <c r="H36" i="41"/>
  <c r="F38" i="41"/>
  <c r="G38" i="41"/>
  <c r="H38" i="41"/>
  <c r="F39" i="41"/>
  <c r="G39" i="41"/>
  <c r="H39" i="41"/>
  <c r="F40" i="41"/>
  <c r="G40" i="41"/>
  <c r="H40" i="41"/>
  <c r="F41" i="41"/>
  <c r="G41" i="41"/>
  <c r="H41" i="41"/>
  <c r="C30" i="41"/>
  <c r="C31" i="41"/>
  <c r="C32" i="41"/>
  <c r="C33" i="41"/>
  <c r="C34" i="41"/>
  <c r="C36" i="41"/>
  <c r="C38" i="41"/>
  <c r="C39" i="41"/>
  <c r="C40" i="41"/>
  <c r="C41" i="41"/>
  <c r="F23" i="41"/>
  <c r="G23" i="41"/>
  <c r="H23" i="41"/>
  <c r="F24" i="41"/>
  <c r="G24" i="41"/>
  <c r="H24" i="41"/>
  <c r="F25" i="41"/>
  <c r="G25" i="41"/>
  <c r="H25" i="41"/>
  <c r="F26" i="41"/>
  <c r="G26" i="41"/>
  <c r="H26" i="41"/>
  <c r="C29" i="41"/>
  <c r="C23" i="41"/>
  <c r="C24" i="41"/>
  <c r="C25" i="41"/>
  <c r="C26" i="41"/>
  <c r="C197" i="35"/>
  <c r="C198" i="35"/>
  <c r="C199" i="35"/>
  <c r="C200" i="35"/>
  <c r="C201" i="35"/>
  <c r="C202" i="35"/>
  <c r="C203" i="35"/>
  <c r="C205" i="35"/>
  <c r="C196" i="35"/>
  <c r="C179" i="35"/>
  <c r="C173" i="35"/>
  <c r="C153" i="35"/>
  <c r="C154" i="35"/>
  <c r="C152" i="35"/>
  <c r="C22" i="35"/>
  <c r="C23" i="35"/>
  <c r="C24" i="35"/>
  <c r="C25" i="35"/>
  <c r="C26" i="35"/>
  <c r="C27" i="35"/>
  <c r="C28" i="35"/>
  <c r="C29" i="35"/>
  <c r="C30" i="35"/>
  <c r="C31" i="35"/>
  <c r="C32" i="35"/>
  <c r="C33" i="35"/>
  <c r="C34" i="35"/>
  <c r="C35" i="35"/>
  <c r="C40" i="35"/>
  <c r="C41" i="35"/>
  <c r="C44" i="35"/>
  <c r="C45" i="35"/>
  <c r="C46" i="35"/>
  <c r="C47" i="35"/>
  <c r="C48" i="35"/>
  <c r="I38" i="34" l="1"/>
  <c r="J38" i="34" s="1"/>
  <c r="I39" i="41"/>
  <c r="J39" i="41" s="1"/>
  <c r="I88" i="41"/>
  <c r="J88" i="41" s="1"/>
  <c r="I108" i="35"/>
  <c r="J108" i="35" s="1"/>
  <c r="I128" i="35"/>
  <c r="J128" i="35" s="1"/>
  <c r="I203" i="35"/>
  <c r="J203" i="35" s="1"/>
  <c r="I154" i="40"/>
  <c r="J154" i="40" s="1"/>
  <c r="I96" i="32"/>
  <c r="J96" i="32" s="1"/>
  <c r="I32" i="35"/>
  <c r="J32" i="35" s="1"/>
  <c r="I181" i="1"/>
  <c r="J181" i="1" s="1"/>
  <c r="I31" i="32"/>
  <c r="J31" i="32" s="1"/>
  <c r="I108" i="32"/>
  <c r="J108" i="32" s="1"/>
  <c r="I138" i="32"/>
  <c r="J138" i="32" s="1"/>
  <c r="I199" i="35"/>
  <c r="J199" i="35" s="1"/>
  <c r="I33" i="33"/>
  <c r="J33" i="33" s="1"/>
  <c r="I89" i="40"/>
  <c r="J89" i="40" s="1"/>
  <c r="I152" i="40"/>
  <c r="J152" i="40" s="1"/>
  <c r="I30" i="44"/>
  <c r="J30" i="44" s="1"/>
  <c r="I85" i="44"/>
  <c r="J85" i="44" s="1"/>
  <c r="I42" i="37"/>
  <c r="J42" i="37" s="1"/>
  <c r="I40" i="34"/>
  <c r="J40" i="34" s="1"/>
  <c r="I35" i="34"/>
  <c r="J35" i="34" s="1"/>
  <c r="I51" i="34"/>
  <c r="J51" i="34" s="1"/>
  <c r="I50" i="34"/>
  <c r="J50" i="34" s="1"/>
  <c r="I131" i="34"/>
  <c r="J131" i="34" s="1"/>
  <c r="I229" i="34"/>
  <c r="J229" i="34" s="1"/>
  <c r="I35" i="36"/>
  <c r="J35" i="36" s="1"/>
  <c r="I22" i="36"/>
  <c r="J22" i="36" s="1"/>
  <c r="I38" i="39"/>
  <c r="J38" i="39" s="1"/>
  <c r="I200" i="35"/>
  <c r="J200" i="35" s="1"/>
  <c r="I50" i="40"/>
  <c r="J50" i="40" s="1"/>
  <c r="I150" i="34"/>
  <c r="J150" i="34" s="1"/>
  <c r="I134" i="34"/>
  <c r="J134" i="34" s="1"/>
  <c r="I103" i="36"/>
  <c r="J103" i="36" s="1"/>
  <c r="I145" i="41"/>
  <c r="J145" i="41" s="1"/>
  <c r="I201" i="35"/>
  <c r="J201" i="35" s="1"/>
  <c r="I41" i="40"/>
  <c r="J41" i="40" s="1"/>
  <c r="I90" i="40"/>
  <c r="J90" i="40" s="1"/>
  <c r="I34" i="44"/>
  <c r="J34" i="44" s="1"/>
  <c r="I22" i="44"/>
  <c r="J22" i="44" s="1"/>
  <c r="I86" i="44"/>
  <c r="J86" i="44" s="1"/>
  <c r="I33" i="37"/>
  <c r="J33" i="37" s="1"/>
  <c r="I24" i="34"/>
  <c r="J24" i="34" s="1"/>
  <c r="I148" i="34"/>
  <c r="J148" i="34" s="1"/>
  <c r="I141" i="34"/>
  <c r="J141" i="34" s="1"/>
  <c r="I138" i="34"/>
  <c r="J138" i="34" s="1"/>
  <c r="I137" i="34"/>
  <c r="I223" i="34"/>
  <c r="J223" i="34" s="1"/>
  <c r="I32" i="36"/>
  <c r="J32" i="36" s="1"/>
  <c r="I81" i="39"/>
  <c r="J81" i="39" s="1"/>
  <c r="I92" i="41"/>
  <c r="J92" i="41" s="1"/>
  <c r="I85" i="41"/>
  <c r="J85" i="41" s="1"/>
  <c r="I64" i="41"/>
  <c r="J64" i="41" s="1"/>
  <c r="I128" i="32"/>
  <c r="J128" i="32" s="1"/>
  <c r="I131" i="32"/>
  <c r="J131" i="32" s="1"/>
  <c r="I153" i="32"/>
  <c r="J153" i="32" s="1"/>
  <c r="I152" i="32"/>
  <c r="J152" i="32" s="1"/>
  <c r="I23" i="33"/>
  <c r="J23" i="33" s="1"/>
  <c r="I28" i="35"/>
  <c r="J28" i="35" s="1"/>
  <c r="I37" i="33"/>
  <c r="I37" i="40"/>
  <c r="J37" i="40" s="1"/>
  <c r="I105" i="40"/>
  <c r="J105" i="40" s="1"/>
  <c r="I137" i="40"/>
  <c r="J137" i="40" s="1"/>
  <c r="I101" i="40"/>
  <c r="J101" i="40" s="1"/>
  <c r="I73" i="40"/>
  <c r="J73" i="40" s="1"/>
  <c r="I57" i="37"/>
  <c r="J57" i="37" s="1"/>
  <c r="I106" i="34"/>
  <c r="J106" i="34" s="1"/>
  <c r="I109" i="42"/>
  <c r="J109" i="42" s="1"/>
  <c r="I74" i="39"/>
  <c r="I34" i="39"/>
  <c r="J34" i="39" s="1"/>
  <c r="I124" i="1"/>
  <c r="J124" i="1" s="1"/>
  <c r="I80" i="38"/>
  <c r="J80" i="38" s="1"/>
  <c r="I79" i="38"/>
  <c r="J79" i="38" s="1"/>
  <c r="I76" i="38"/>
  <c r="J76" i="38" s="1"/>
  <c r="I135" i="35"/>
  <c r="J135" i="35" s="1"/>
  <c r="I37" i="37"/>
  <c r="J37" i="37" s="1"/>
  <c r="I34" i="37"/>
  <c r="J34" i="37" s="1"/>
  <c r="I152" i="34"/>
  <c r="J152" i="34" s="1"/>
  <c r="I207" i="34"/>
  <c r="J207" i="34" s="1"/>
  <c r="I79" i="36"/>
  <c r="J79" i="36" s="1"/>
  <c r="I57" i="41"/>
  <c r="J57" i="41" s="1"/>
  <c r="I46" i="35"/>
  <c r="J46" i="35" s="1"/>
  <c r="I30" i="35"/>
  <c r="J30" i="35" s="1"/>
  <c r="I29" i="35"/>
  <c r="J29" i="35" s="1"/>
  <c r="I98" i="35"/>
  <c r="J98" i="35" s="1"/>
  <c r="I125" i="35"/>
  <c r="I43" i="33"/>
  <c r="J43" i="33" s="1"/>
  <c r="I94" i="40"/>
  <c r="J94" i="40" s="1"/>
  <c r="I84" i="40"/>
  <c r="J84" i="40" s="1"/>
  <c r="I64" i="40"/>
  <c r="J64" i="40" s="1"/>
  <c r="I143" i="40"/>
  <c r="J143" i="40" s="1"/>
  <c r="I155" i="40"/>
  <c r="J155" i="40" s="1"/>
  <c r="I150" i="40"/>
  <c r="J150" i="40" s="1"/>
  <c r="I26" i="44"/>
  <c r="J26" i="44" s="1"/>
  <c r="I78" i="37"/>
  <c r="J78" i="37" s="1"/>
  <c r="I73" i="34"/>
  <c r="J73" i="34" s="1"/>
  <c r="I108" i="34"/>
  <c r="J108" i="34" s="1"/>
  <c r="I199" i="34"/>
  <c r="J199" i="34" s="1"/>
  <c r="I169" i="36"/>
  <c r="J169" i="36" s="1"/>
  <c r="I14" i="38"/>
  <c r="I115" i="38"/>
  <c r="J115" i="38" s="1"/>
  <c r="I40" i="41"/>
  <c r="J40" i="41" s="1"/>
  <c r="I36" i="41"/>
  <c r="J36" i="41" s="1"/>
  <c r="I83" i="41"/>
  <c r="J83" i="41" s="1"/>
  <c r="I79" i="41"/>
  <c r="J79" i="41" s="1"/>
  <c r="I54" i="41"/>
  <c r="J54" i="41" s="1"/>
  <c r="I48" i="41"/>
  <c r="J48" i="41" s="1"/>
  <c r="I141" i="41"/>
  <c r="J141" i="41" s="1"/>
  <c r="I105" i="32"/>
  <c r="J105" i="32" s="1"/>
  <c r="I112" i="35"/>
  <c r="J112" i="35" s="1"/>
  <c r="I26" i="41"/>
  <c r="J26" i="41" s="1"/>
  <c r="I68" i="41"/>
  <c r="J68" i="41" s="1"/>
  <c r="I65" i="41"/>
  <c r="J65" i="41" s="1"/>
  <c r="I144" i="40"/>
  <c r="J144" i="40" s="1"/>
  <c r="I41" i="41"/>
  <c r="J41" i="41" s="1"/>
  <c r="I84" i="41"/>
  <c r="J84" i="41" s="1"/>
  <c r="I80" i="41"/>
  <c r="J80" i="41" s="1"/>
  <c r="I61" i="41"/>
  <c r="J61" i="41" s="1"/>
  <c r="I97" i="41"/>
  <c r="J97" i="41" s="1"/>
  <c r="I86" i="32"/>
  <c r="J86" i="32" s="1"/>
  <c r="I44" i="35"/>
  <c r="J44" i="35" s="1"/>
  <c r="I23" i="41"/>
  <c r="J23" i="41" s="1"/>
  <c r="I34" i="41"/>
  <c r="J34" i="41" s="1"/>
  <c r="I32" i="41"/>
  <c r="J32" i="41" s="1"/>
  <c r="I30" i="41"/>
  <c r="J30" i="41" s="1"/>
  <c r="I58" i="41"/>
  <c r="J58" i="41" s="1"/>
  <c r="I53" i="41"/>
  <c r="J53" i="41" s="1"/>
  <c r="I123" i="41"/>
  <c r="I131" i="41"/>
  <c r="J131" i="41" s="1"/>
  <c r="I143" i="41"/>
  <c r="J143" i="41" s="1"/>
  <c r="I61" i="32"/>
  <c r="J61" i="32" s="1"/>
  <c r="I95" i="32"/>
  <c r="J95" i="32" s="1"/>
  <c r="I134" i="32"/>
  <c r="J134" i="32" s="1"/>
  <c r="I135" i="32"/>
  <c r="J135" i="32" s="1"/>
  <c r="I136" i="35"/>
  <c r="J136" i="35" s="1"/>
  <c r="I44" i="33"/>
  <c r="J44" i="33" s="1"/>
  <c r="I20" i="40"/>
  <c r="J20" i="40" s="1"/>
  <c r="I116" i="40"/>
  <c r="J116" i="40" s="1"/>
  <c r="I121" i="40"/>
  <c r="J121" i="40" s="1"/>
  <c r="I141" i="40"/>
  <c r="J141" i="40" s="1"/>
  <c r="I59" i="40"/>
  <c r="J59" i="40" s="1"/>
  <c r="I72" i="40"/>
  <c r="J72" i="40" s="1"/>
  <c r="I68" i="40"/>
  <c r="J68" i="40" s="1"/>
  <c r="I138" i="40"/>
  <c r="J138" i="40" s="1"/>
  <c r="I68" i="44"/>
  <c r="J68" i="44" s="1"/>
  <c r="I84" i="32"/>
  <c r="J84" i="32" s="1"/>
  <c r="I42" i="40"/>
  <c r="J42" i="40" s="1"/>
  <c r="I133" i="40"/>
  <c r="J133" i="40" s="1"/>
  <c r="I82" i="44"/>
  <c r="J82" i="44" s="1"/>
  <c r="I88" i="36"/>
  <c r="J88" i="36" s="1"/>
  <c r="I196" i="35"/>
  <c r="J196" i="35" s="1"/>
  <c r="I34" i="33"/>
  <c r="J34" i="33" s="1"/>
  <c r="I108" i="40"/>
  <c r="J108" i="40" s="1"/>
  <c r="I128" i="40"/>
  <c r="J128" i="40" s="1"/>
  <c r="I60" i="40"/>
  <c r="J60" i="40" s="1"/>
  <c r="I55" i="40"/>
  <c r="J55" i="40" s="1"/>
  <c r="I99" i="40"/>
  <c r="J99" i="40" s="1"/>
  <c r="I96" i="40"/>
  <c r="J96" i="40" s="1"/>
  <c r="I95" i="40"/>
  <c r="J95" i="40" s="1"/>
  <c r="I78" i="40"/>
  <c r="J78" i="40" s="1"/>
  <c r="I76" i="40"/>
  <c r="J76" i="40" s="1"/>
  <c r="I69" i="40"/>
  <c r="J69" i="40" s="1"/>
  <c r="I134" i="40"/>
  <c r="J134" i="40" s="1"/>
  <c r="I129" i="40"/>
  <c r="J129" i="40" s="1"/>
  <c r="I28" i="44"/>
  <c r="J28" i="44" s="1"/>
  <c r="I27" i="44"/>
  <c r="J27" i="44" s="1"/>
  <c r="I35" i="44"/>
  <c r="J35" i="44" s="1"/>
  <c r="I27" i="37"/>
  <c r="J27" i="37" s="1"/>
  <c r="I21" i="43"/>
  <c r="J21" i="43" s="1"/>
  <c r="I137" i="35"/>
  <c r="J137" i="35" s="1"/>
  <c r="I120" i="35"/>
  <c r="J120" i="35" s="1"/>
  <c r="I153" i="35"/>
  <c r="J153" i="35" s="1"/>
  <c r="I187" i="35"/>
  <c r="J187" i="35" s="1"/>
  <c r="I147" i="40"/>
  <c r="J147" i="40" s="1"/>
  <c r="I40" i="40"/>
  <c r="J40" i="40" s="1"/>
  <c r="I56" i="40"/>
  <c r="J56" i="40" s="1"/>
  <c r="I100" i="40"/>
  <c r="J100" i="40" s="1"/>
  <c r="I83" i="40"/>
  <c r="J83" i="40" s="1"/>
  <c r="I80" i="40"/>
  <c r="J80" i="40" s="1"/>
  <c r="I79" i="40"/>
  <c r="J79" i="40" s="1"/>
  <c r="I130" i="40"/>
  <c r="J130" i="40" s="1"/>
  <c r="I149" i="40"/>
  <c r="J149" i="40" s="1"/>
  <c r="I46" i="44"/>
  <c r="J46" i="44" s="1"/>
  <c r="I72" i="44"/>
  <c r="J72" i="44" s="1"/>
  <c r="I39" i="37"/>
  <c r="J39" i="37" s="1"/>
  <c r="I31" i="43"/>
  <c r="J31" i="43" s="1"/>
  <c r="I157" i="34"/>
  <c r="J157" i="34" s="1"/>
  <c r="I154" i="34"/>
  <c r="J154" i="34" s="1"/>
  <c r="I153" i="34"/>
  <c r="J153" i="34" s="1"/>
  <c r="I202" i="34"/>
  <c r="I65" i="34"/>
  <c r="J65" i="34" s="1"/>
  <c r="I64" i="34"/>
  <c r="J64" i="34" s="1"/>
  <c r="I143" i="34"/>
  <c r="J143" i="34" s="1"/>
  <c r="I132" i="34"/>
  <c r="J132" i="34" s="1"/>
  <c r="I172" i="34"/>
  <c r="I166" i="36"/>
  <c r="J166" i="36" s="1"/>
  <c r="I163" i="36"/>
  <c r="J163" i="36" s="1"/>
  <c r="I183" i="36"/>
  <c r="J183" i="36" s="1"/>
  <c r="I181" i="36"/>
  <c r="J181" i="36" s="1"/>
  <c r="I30" i="34"/>
  <c r="J30" i="34" s="1"/>
  <c r="I57" i="34"/>
  <c r="J57" i="34" s="1"/>
  <c r="I56" i="34"/>
  <c r="J56" i="34" s="1"/>
  <c r="I49" i="34"/>
  <c r="J49" i="34" s="1"/>
  <c r="I126" i="34"/>
  <c r="J126" i="34" s="1"/>
  <c r="I224" i="34"/>
  <c r="J224" i="34" s="1"/>
  <c r="I45" i="36"/>
  <c r="J45" i="36" s="1"/>
  <c r="I106" i="36"/>
  <c r="J106" i="36" s="1"/>
  <c r="I77" i="39"/>
  <c r="J77" i="39" s="1"/>
  <c r="I151" i="40"/>
  <c r="J151" i="40" s="1"/>
  <c r="I31" i="44"/>
  <c r="J31" i="44" s="1"/>
  <c r="I50" i="37"/>
  <c r="J50" i="37" s="1"/>
  <c r="I49" i="37"/>
  <c r="J49" i="37" s="1"/>
  <c r="I32" i="37"/>
  <c r="J32" i="37" s="1"/>
  <c r="I30" i="37"/>
  <c r="J30" i="37" s="1"/>
  <c r="I28" i="37"/>
  <c r="J28" i="37" s="1"/>
  <c r="I43" i="43"/>
  <c r="J43" i="43" s="1"/>
  <c r="I40" i="43"/>
  <c r="J40" i="43" s="1"/>
  <c r="I39" i="34"/>
  <c r="J39" i="34" s="1"/>
  <c r="I71" i="34"/>
  <c r="J71" i="34" s="1"/>
  <c r="I55" i="34"/>
  <c r="J55" i="34" s="1"/>
  <c r="I97" i="34"/>
  <c r="J97" i="34" s="1"/>
  <c r="I147" i="34"/>
  <c r="J147" i="34" s="1"/>
  <c r="I142" i="34"/>
  <c r="J142" i="34" s="1"/>
  <c r="I125" i="34"/>
  <c r="J125" i="34" s="1"/>
  <c r="I208" i="34"/>
  <c r="J208" i="34" s="1"/>
  <c r="I228" i="34"/>
  <c r="J228" i="34" s="1"/>
  <c r="I41" i="36"/>
  <c r="J41" i="36" s="1"/>
  <c r="I23" i="36"/>
  <c r="J23" i="36" s="1"/>
  <c r="I96" i="36"/>
  <c r="J96" i="36" s="1"/>
  <c r="I46" i="36"/>
  <c r="J46" i="36" s="1"/>
  <c r="I31" i="36"/>
  <c r="J31" i="36" s="1"/>
  <c r="I28" i="36"/>
  <c r="J28" i="36" s="1"/>
  <c r="I27" i="36"/>
  <c r="J27" i="36" s="1"/>
  <c r="I68" i="36"/>
  <c r="J68" i="36" s="1"/>
  <c r="I100" i="36"/>
  <c r="J100" i="36" s="1"/>
  <c r="I95" i="36"/>
  <c r="J95" i="36" s="1"/>
  <c r="I142" i="36"/>
  <c r="I184" i="36"/>
  <c r="J184" i="36" s="1"/>
  <c r="I80" i="42"/>
  <c r="J80" i="42" s="1"/>
  <c r="I69" i="38"/>
  <c r="J69" i="38" s="1"/>
  <c r="I93" i="38"/>
  <c r="J93" i="38" s="1"/>
  <c r="I111" i="38"/>
  <c r="J111" i="38" s="1"/>
  <c r="I125" i="38"/>
  <c r="J125" i="38" s="1"/>
  <c r="I83" i="38"/>
  <c r="J83" i="38" s="1"/>
  <c r="I115" i="42"/>
  <c r="J115" i="42" s="1"/>
  <c r="I96" i="38"/>
  <c r="J96" i="38" s="1"/>
  <c r="I100" i="39"/>
  <c r="J100" i="39" s="1"/>
  <c r="I96" i="39"/>
  <c r="J96" i="39" s="1"/>
  <c r="I90" i="39"/>
  <c r="J90" i="39" s="1"/>
  <c r="I97" i="39"/>
  <c r="I155" i="1"/>
  <c r="I130" i="38"/>
  <c r="J130" i="38" s="1"/>
  <c r="I76" i="39"/>
  <c r="I125" i="1"/>
  <c r="J125" i="1" s="1"/>
  <c r="I146" i="1"/>
  <c r="J146" i="1" s="1"/>
  <c r="I143" i="1"/>
  <c r="J143" i="1" s="1"/>
  <c r="I28" i="38"/>
  <c r="J28" i="38" s="1"/>
  <c r="I25" i="38"/>
  <c r="J25" i="38" s="1"/>
  <c r="I49" i="38"/>
  <c r="J49" i="38" s="1"/>
  <c r="I129" i="38"/>
  <c r="J129" i="38" s="1"/>
  <c r="I135" i="1"/>
  <c r="J135" i="1" s="1"/>
  <c r="I34" i="38"/>
  <c r="J34" i="38" s="1"/>
  <c r="I58" i="38"/>
  <c r="J58" i="38" s="1"/>
  <c r="I117" i="38"/>
  <c r="J117" i="38" s="1"/>
  <c r="I24" i="41"/>
  <c r="J24" i="41" s="1"/>
  <c r="I31" i="41"/>
  <c r="J31" i="41" s="1"/>
  <c r="I91" i="41"/>
  <c r="J91" i="41" s="1"/>
  <c r="I81" i="41"/>
  <c r="J81" i="41" s="1"/>
  <c r="I71" i="41"/>
  <c r="J71" i="41" s="1"/>
  <c r="I66" i="41"/>
  <c r="J66" i="41" s="1"/>
  <c r="I55" i="41"/>
  <c r="J55" i="41" s="1"/>
  <c r="I115" i="41"/>
  <c r="I125" i="41"/>
  <c r="J125" i="41" s="1"/>
  <c r="I146" i="41"/>
  <c r="J146" i="41" s="1"/>
  <c r="I155" i="32"/>
  <c r="J155" i="32" s="1"/>
  <c r="I150" i="32"/>
  <c r="J150" i="32" s="1"/>
  <c r="I26" i="33"/>
  <c r="J26" i="33" s="1"/>
  <c r="I45" i="35"/>
  <c r="J45" i="35" s="1"/>
  <c r="I31" i="35"/>
  <c r="J31" i="35" s="1"/>
  <c r="I110" i="35"/>
  <c r="J110" i="35" s="1"/>
  <c r="I25" i="41"/>
  <c r="J25" i="41" s="1"/>
  <c r="I38" i="41"/>
  <c r="J38" i="41" s="1"/>
  <c r="I33" i="41"/>
  <c r="J33" i="41" s="1"/>
  <c r="I93" i="41"/>
  <c r="J93" i="41" s="1"/>
  <c r="I87" i="41"/>
  <c r="J87" i="41" s="1"/>
  <c r="I82" i="41"/>
  <c r="J82" i="41" s="1"/>
  <c r="I62" i="41"/>
  <c r="J62" i="41" s="1"/>
  <c r="I56" i="41"/>
  <c r="J56" i="41" s="1"/>
  <c r="I51" i="41"/>
  <c r="J51" i="41" s="1"/>
  <c r="I116" i="41"/>
  <c r="I126" i="41"/>
  <c r="J126" i="41" s="1"/>
  <c r="I142" i="41"/>
  <c r="J142" i="41" s="1"/>
  <c r="I27" i="32"/>
  <c r="J27" i="32" s="1"/>
  <c r="I26" i="32"/>
  <c r="J26" i="32" s="1"/>
  <c r="I23" i="32"/>
  <c r="J23" i="32" s="1"/>
  <c r="I88" i="32"/>
  <c r="J88" i="32" s="1"/>
  <c r="I103" i="32"/>
  <c r="J103" i="32" s="1"/>
  <c r="I148" i="32"/>
  <c r="J148" i="32" s="1"/>
  <c r="I151" i="32"/>
  <c r="J151" i="32" s="1"/>
  <c r="I48" i="35"/>
  <c r="J48" i="35" s="1"/>
  <c r="I47" i="35"/>
  <c r="J47" i="35" s="1"/>
  <c r="I41" i="35"/>
  <c r="J41" i="35" s="1"/>
  <c r="I34" i="35"/>
  <c r="J34" i="35" s="1"/>
  <c r="I33" i="35"/>
  <c r="J33" i="35" s="1"/>
  <c r="I27" i="35"/>
  <c r="J27" i="35" s="1"/>
  <c r="I24" i="35"/>
  <c r="J24" i="35" s="1"/>
  <c r="I131" i="35"/>
  <c r="J131" i="35" s="1"/>
  <c r="I126" i="35"/>
  <c r="I63" i="41"/>
  <c r="J63" i="41" s="1"/>
  <c r="I52" i="41"/>
  <c r="J52" i="41" s="1"/>
  <c r="I47" i="41"/>
  <c r="J47" i="41" s="1"/>
  <c r="I132" i="35"/>
  <c r="J132" i="35" s="1"/>
  <c r="I127" i="35"/>
  <c r="I75" i="41"/>
  <c r="J75" i="41" s="1"/>
  <c r="I59" i="41"/>
  <c r="J59" i="41" s="1"/>
  <c r="I103" i="41"/>
  <c r="J103" i="41" s="1"/>
  <c r="I114" i="41"/>
  <c r="J114" i="41" s="1"/>
  <c r="I124" i="41"/>
  <c r="J124" i="41" s="1"/>
  <c r="I144" i="41"/>
  <c r="J144" i="41" s="1"/>
  <c r="I34" i="32"/>
  <c r="J34" i="32" s="1"/>
  <c r="I33" i="32"/>
  <c r="J33" i="32" s="1"/>
  <c r="I28" i="32"/>
  <c r="J28" i="32" s="1"/>
  <c r="I25" i="32"/>
  <c r="J25" i="32" s="1"/>
  <c r="I24" i="32"/>
  <c r="J24" i="32" s="1"/>
  <c r="I22" i="32"/>
  <c r="J22" i="32" s="1"/>
  <c r="I62" i="32"/>
  <c r="J62" i="32" s="1"/>
  <c r="I75" i="32"/>
  <c r="J75" i="32" s="1"/>
  <c r="I106" i="32"/>
  <c r="J106" i="32" s="1"/>
  <c r="I101" i="32"/>
  <c r="J101" i="32" s="1"/>
  <c r="I154" i="32"/>
  <c r="J154" i="32" s="1"/>
  <c r="I149" i="32"/>
  <c r="J149" i="32" s="1"/>
  <c r="I22" i="33"/>
  <c r="J22" i="33" s="1"/>
  <c r="I40" i="35"/>
  <c r="J40" i="35" s="1"/>
  <c r="I35" i="35"/>
  <c r="J35" i="35" s="1"/>
  <c r="I26" i="35"/>
  <c r="J26" i="35" s="1"/>
  <c r="I25" i="35"/>
  <c r="J25" i="35" s="1"/>
  <c r="I23" i="35"/>
  <c r="J23" i="35" s="1"/>
  <c r="I22" i="35"/>
  <c r="J22" i="35" s="1"/>
  <c r="I99" i="35"/>
  <c r="J99" i="35" s="1"/>
  <c r="I138" i="35"/>
  <c r="J138" i="35" s="1"/>
  <c r="I139" i="35"/>
  <c r="J139" i="35" s="1"/>
  <c r="I134" i="35"/>
  <c r="J134" i="35" s="1"/>
  <c r="I123" i="35"/>
  <c r="I154" i="35"/>
  <c r="J154" i="35" s="1"/>
  <c r="I202" i="35"/>
  <c r="J202" i="35" s="1"/>
  <c r="I197" i="35"/>
  <c r="J197" i="35" s="1"/>
  <c r="I45" i="33"/>
  <c r="J45" i="33" s="1"/>
  <c r="I113" i="40"/>
  <c r="J113" i="40" s="1"/>
  <c r="I43" i="40"/>
  <c r="J43" i="40" s="1"/>
  <c r="I52" i="40"/>
  <c r="J52" i="40" s="1"/>
  <c r="I97" i="40"/>
  <c r="J97" i="40" s="1"/>
  <c r="I81" i="40"/>
  <c r="J81" i="40" s="1"/>
  <c r="I70" i="40"/>
  <c r="J70" i="40" s="1"/>
  <c r="I131" i="40"/>
  <c r="J131" i="40" s="1"/>
  <c r="I148" i="40"/>
  <c r="J148" i="40" s="1"/>
  <c r="I81" i="44"/>
  <c r="J81" i="44" s="1"/>
  <c r="I32" i="44"/>
  <c r="J32" i="44" s="1"/>
  <c r="I29" i="44"/>
  <c r="J29" i="44" s="1"/>
  <c r="I48" i="44"/>
  <c r="J48" i="44" s="1"/>
  <c r="I57" i="44"/>
  <c r="J57" i="44" s="1"/>
  <c r="I83" i="44"/>
  <c r="J83" i="44" s="1"/>
  <c r="I54" i="37"/>
  <c r="J54" i="37" s="1"/>
  <c r="I36" i="37"/>
  <c r="J36" i="37" s="1"/>
  <c r="I31" i="37"/>
  <c r="J31" i="37" s="1"/>
  <c r="I81" i="37"/>
  <c r="J81" i="37" s="1"/>
  <c r="I173" i="35"/>
  <c r="J173" i="35" s="1"/>
  <c r="I205" i="35"/>
  <c r="J205" i="35" s="1"/>
  <c r="I198" i="35"/>
  <c r="J198" i="35" s="1"/>
  <c r="I42" i="33"/>
  <c r="J42" i="33" s="1"/>
  <c r="I46" i="33"/>
  <c r="J46" i="33" s="1"/>
  <c r="I21" i="40"/>
  <c r="J21" i="40" s="1"/>
  <c r="I44" i="40"/>
  <c r="J44" i="40" s="1"/>
  <c r="I39" i="40"/>
  <c r="J39" i="40" s="1"/>
  <c r="I58" i="40"/>
  <c r="J58" i="40" s="1"/>
  <c r="I53" i="40"/>
  <c r="J53" i="40" s="1"/>
  <c r="I51" i="40"/>
  <c r="J51" i="40" s="1"/>
  <c r="I98" i="40"/>
  <c r="J98" i="40" s="1"/>
  <c r="I93" i="40"/>
  <c r="J93" i="40" s="1"/>
  <c r="I82" i="40"/>
  <c r="J82" i="40" s="1"/>
  <c r="I77" i="40"/>
  <c r="J77" i="40" s="1"/>
  <c r="I71" i="40"/>
  <c r="J71" i="40" s="1"/>
  <c r="I132" i="40"/>
  <c r="J132" i="40" s="1"/>
  <c r="I153" i="40"/>
  <c r="J153" i="40" s="1"/>
  <c r="I54" i="44"/>
  <c r="J54" i="44" s="1"/>
  <c r="I75" i="44"/>
  <c r="J75" i="44" s="1"/>
  <c r="I25" i="44"/>
  <c r="J25" i="44" s="1"/>
  <c r="I44" i="44"/>
  <c r="J44" i="44" s="1"/>
  <c r="I84" i="44"/>
  <c r="J84" i="44" s="1"/>
  <c r="I52" i="37"/>
  <c r="J52" i="37" s="1"/>
  <c r="I47" i="37"/>
  <c r="J47" i="37" s="1"/>
  <c r="I41" i="37"/>
  <c r="J41" i="37" s="1"/>
  <c r="I61" i="37"/>
  <c r="J61" i="37" s="1"/>
  <c r="I63" i="40"/>
  <c r="J63" i="40" s="1"/>
  <c r="I49" i="40"/>
  <c r="J49" i="40" s="1"/>
  <c r="I71" i="44"/>
  <c r="J71" i="44" s="1"/>
  <c r="I68" i="37"/>
  <c r="J68" i="37" s="1"/>
  <c r="I48" i="37"/>
  <c r="J48" i="37" s="1"/>
  <c r="I79" i="37"/>
  <c r="J79" i="37" s="1"/>
  <c r="I42" i="43"/>
  <c r="J42" i="43" s="1"/>
  <c r="I23" i="34"/>
  <c r="J23" i="34" s="1"/>
  <c r="I29" i="34"/>
  <c r="J29" i="34" s="1"/>
  <c r="I37" i="34"/>
  <c r="J37" i="34" s="1"/>
  <c r="I72" i="34"/>
  <c r="J72" i="34" s="1"/>
  <c r="I48" i="34"/>
  <c r="J48" i="34" s="1"/>
  <c r="I110" i="34"/>
  <c r="J110" i="34" s="1"/>
  <c r="I117" i="34"/>
  <c r="J117" i="34" s="1"/>
  <c r="I161" i="34"/>
  <c r="J161" i="34" s="1"/>
  <c r="I156" i="34"/>
  <c r="J156" i="34" s="1"/>
  <c r="I151" i="34"/>
  <c r="J151" i="34" s="1"/>
  <c r="I140" i="34"/>
  <c r="J140" i="34" s="1"/>
  <c r="I135" i="34"/>
  <c r="J135" i="34" s="1"/>
  <c r="I129" i="34"/>
  <c r="J129" i="34" s="1"/>
  <c r="I124" i="34"/>
  <c r="J124" i="34" s="1"/>
  <c r="I166" i="34"/>
  <c r="I182" i="34"/>
  <c r="J182" i="34" s="1"/>
  <c r="I203" i="34"/>
  <c r="I226" i="34"/>
  <c r="J226" i="34" s="1"/>
  <c r="I40" i="36"/>
  <c r="J40" i="36" s="1"/>
  <c r="I39" i="36"/>
  <c r="J39" i="36" s="1"/>
  <c r="I26" i="36"/>
  <c r="J26" i="36" s="1"/>
  <c r="I25" i="36"/>
  <c r="J25" i="36" s="1"/>
  <c r="I21" i="36"/>
  <c r="J21" i="36" s="1"/>
  <c r="I77" i="36"/>
  <c r="J77" i="36" s="1"/>
  <c r="I105" i="36"/>
  <c r="J105" i="36" s="1"/>
  <c r="I104" i="36"/>
  <c r="J104" i="36" s="1"/>
  <c r="I98" i="36"/>
  <c r="J98" i="36" s="1"/>
  <c r="I122" i="36"/>
  <c r="J122" i="36" s="1"/>
  <c r="I186" i="36"/>
  <c r="J186" i="36" s="1"/>
  <c r="I60" i="34"/>
  <c r="J60" i="34" s="1"/>
  <c r="I54" i="34"/>
  <c r="J54" i="34" s="1"/>
  <c r="I46" i="34"/>
  <c r="J46" i="34" s="1"/>
  <c r="I79" i="34"/>
  <c r="J79" i="34" s="1"/>
  <c r="I211" i="34"/>
  <c r="I219" i="34"/>
  <c r="J219" i="34" s="1"/>
  <c r="I227" i="34"/>
  <c r="J227" i="34" s="1"/>
  <c r="I162" i="36"/>
  <c r="J162" i="36" s="1"/>
  <c r="I36" i="36"/>
  <c r="J36" i="36" s="1"/>
  <c r="I24" i="36"/>
  <c r="J24" i="36" s="1"/>
  <c r="I101" i="36"/>
  <c r="J101" i="36" s="1"/>
  <c r="I99" i="42"/>
  <c r="J99" i="42" s="1"/>
  <c r="I37" i="39"/>
  <c r="J37" i="39" s="1"/>
  <c r="I23" i="39"/>
  <c r="J23" i="39" s="1"/>
  <c r="I29" i="38"/>
  <c r="J29" i="38" s="1"/>
  <c r="I28" i="39"/>
  <c r="J28" i="39" s="1"/>
  <c r="I46" i="39"/>
  <c r="J46" i="39" s="1"/>
  <c r="I42" i="39"/>
  <c r="J42" i="39" s="1"/>
  <c r="I71" i="37"/>
  <c r="I51" i="37"/>
  <c r="J51" i="37" s="1"/>
  <c r="I40" i="37"/>
  <c r="J40" i="37" s="1"/>
  <c r="I35" i="37"/>
  <c r="J35" i="37" s="1"/>
  <c r="I29" i="37"/>
  <c r="J29" i="37" s="1"/>
  <c r="I58" i="37"/>
  <c r="J58" i="37" s="1"/>
  <c r="I20" i="43"/>
  <c r="J20" i="43" s="1"/>
  <c r="I39" i="43"/>
  <c r="J39" i="43" s="1"/>
  <c r="I41" i="43"/>
  <c r="J41" i="43" s="1"/>
  <c r="I41" i="34"/>
  <c r="J41" i="34" s="1"/>
  <c r="I36" i="34"/>
  <c r="J36" i="34" s="1"/>
  <c r="I67" i="34"/>
  <c r="J67" i="34" s="1"/>
  <c r="I66" i="34"/>
  <c r="J66" i="34" s="1"/>
  <c r="I61" i="34"/>
  <c r="J61" i="34" s="1"/>
  <c r="I53" i="34"/>
  <c r="J53" i="34" s="1"/>
  <c r="I52" i="34"/>
  <c r="J52" i="34" s="1"/>
  <c r="I47" i="34"/>
  <c r="J47" i="34" s="1"/>
  <c r="I96" i="34"/>
  <c r="J96" i="34" s="1"/>
  <c r="I155" i="34"/>
  <c r="J155" i="34" s="1"/>
  <c r="I149" i="34"/>
  <c r="J149" i="34" s="1"/>
  <c r="I139" i="34"/>
  <c r="J139" i="34" s="1"/>
  <c r="I133" i="34"/>
  <c r="J133" i="34" s="1"/>
  <c r="I128" i="34"/>
  <c r="J128" i="34" s="1"/>
  <c r="I123" i="34"/>
  <c r="J123" i="34" s="1"/>
  <c r="I230" i="34"/>
  <c r="J230" i="34" s="1"/>
  <c r="I225" i="34"/>
  <c r="J225" i="34" s="1"/>
  <c r="I148" i="36"/>
  <c r="J148" i="36" s="1"/>
  <c r="I180" i="36"/>
  <c r="J180" i="36" s="1"/>
  <c r="I44" i="36"/>
  <c r="J44" i="36" s="1"/>
  <c r="I30" i="36"/>
  <c r="J30" i="36" s="1"/>
  <c r="I29" i="36"/>
  <c r="J29" i="36" s="1"/>
  <c r="I50" i="36"/>
  <c r="J50" i="36" s="1"/>
  <c r="I81" i="36"/>
  <c r="J81" i="36" s="1"/>
  <c r="I102" i="36"/>
  <c r="J102" i="36" s="1"/>
  <c r="I93" i="36"/>
  <c r="J93" i="36" s="1"/>
  <c r="I185" i="36"/>
  <c r="J185" i="36" s="1"/>
  <c r="I71" i="39"/>
  <c r="J71" i="39" s="1"/>
  <c r="I48" i="38"/>
  <c r="J48" i="38" s="1"/>
  <c r="I52" i="39"/>
  <c r="J52" i="39" s="1"/>
  <c r="I47" i="39"/>
  <c r="J47" i="39" s="1"/>
  <c r="I92" i="39"/>
  <c r="J92" i="39" s="1"/>
  <c r="I98" i="39"/>
  <c r="I126" i="1"/>
  <c r="J126" i="1" s="1"/>
  <c r="I121" i="1"/>
  <c r="J121" i="1" s="1"/>
  <c r="I35" i="38"/>
  <c r="J35" i="38" s="1"/>
  <c r="I131" i="38"/>
  <c r="J131" i="38" s="1"/>
  <c r="I76" i="42"/>
  <c r="J76" i="42" s="1"/>
  <c r="I105" i="42"/>
  <c r="I84" i="39"/>
  <c r="I89" i="39"/>
  <c r="J89" i="39" s="1"/>
  <c r="I180" i="1"/>
  <c r="J180" i="1" s="1"/>
  <c r="I121" i="38"/>
  <c r="I26" i="39"/>
  <c r="J26" i="39" s="1"/>
  <c r="I25" i="39"/>
  <c r="J25" i="39" s="1"/>
  <c r="I59" i="39"/>
  <c r="J59" i="39" s="1"/>
  <c r="I48" i="39"/>
  <c r="J48" i="39" s="1"/>
  <c r="I43" i="39"/>
  <c r="J43" i="39" s="1"/>
  <c r="I86" i="39"/>
  <c r="I99" i="39"/>
  <c r="J99" i="39" s="1"/>
  <c r="I127" i="1"/>
  <c r="J127" i="1" s="1"/>
  <c r="I122" i="1"/>
  <c r="J122" i="1" s="1"/>
  <c r="I154" i="1"/>
  <c r="I138" i="1"/>
  <c r="J138" i="1" s="1"/>
  <c r="I133" i="1"/>
  <c r="J133" i="1" s="1"/>
  <c r="I182" i="1"/>
  <c r="J182" i="1" s="1"/>
  <c r="I42" i="38"/>
  <c r="J42" i="38" s="1"/>
  <c r="I36" i="38"/>
  <c r="J36" i="38" s="1"/>
  <c r="I31" i="38"/>
  <c r="J31" i="38" s="1"/>
  <c r="I60" i="38"/>
  <c r="J60" i="38" s="1"/>
  <c r="I82" i="38"/>
  <c r="J82" i="38" s="1"/>
  <c r="I78" i="38"/>
  <c r="J78" i="38" s="1"/>
  <c r="I77" i="38"/>
  <c r="J77" i="38" s="1"/>
  <c r="I89" i="36"/>
  <c r="J89" i="36" s="1"/>
  <c r="I121" i="36"/>
  <c r="J121" i="36" s="1"/>
  <c r="I187" i="36"/>
  <c r="J187" i="36" s="1"/>
  <c r="I182" i="36"/>
  <c r="J182" i="36" s="1"/>
  <c r="I21" i="42"/>
  <c r="J21" i="42" s="1"/>
  <c r="I86" i="42"/>
  <c r="J86" i="42" s="1"/>
  <c r="I80" i="39"/>
  <c r="J80" i="39" s="1"/>
  <c r="I14" i="1"/>
  <c r="J14" i="1" s="1"/>
  <c r="I168" i="1"/>
  <c r="J168" i="1" s="1"/>
  <c r="J178" i="1" s="1"/>
  <c r="B562" i="50" s="1"/>
  <c r="I114" i="38"/>
  <c r="J114" i="38" s="1"/>
  <c r="I22" i="39"/>
  <c r="J22" i="39" s="1"/>
  <c r="I49" i="39"/>
  <c r="J49" i="39" s="1"/>
  <c r="I75" i="39"/>
  <c r="I123" i="1"/>
  <c r="J123" i="1" s="1"/>
  <c r="I156" i="1"/>
  <c r="I145" i="1"/>
  <c r="J145" i="1" s="1"/>
  <c r="I134" i="1"/>
  <c r="J134" i="1" s="1"/>
  <c r="I185" i="1"/>
  <c r="J185" i="1" s="1"/>
  <c r="I184" i="1"/>
  <c r="J184" i="1" s="1"/>
  <c r="I22" i="38"/>
  <c r="J22" i="38" s="1"/>
  <c r="I62" i="38"/>
  <c r="J62" i="38" s="1"/>
  <c r="I70" i="38"/>
  <c r="J70" i="38" s="1"/>
  <c r="I116" i="38"/>
  <c r="J116" i="38" s="1"/>
  <c r="I179" i="35"/>
  <c r="I176" i="35"/>
  <c r="J176" i="35" s="1"/>
  <c r="I152" i="35"/>
  <c r="J152" i="35" s="1"/>
  <c r="I119" i="35"/>
  <c r="J119" i="35" s="1"/>
  <c r="I88" i="35"/>
  <c r="J88" i="35" s="1"/>
  <c r="I84" i="35"/>
  <c r="J84" i="35" s="1"/>
  <c r="I53" i="35"/>
  <c r="J53" i="35" s="1"/>
  <c r="I60" i="32"/>
  <c r="J60" i="32" s="1"/>
  <c r="I47" i="32"/>
  <c r="J47" i="32" s="1"/>
  <c r="I90" i="41"/>
  <c r="J90" i="41" s="1"/>
  <c r="I86" i="41"/>
  <c r="J86" i="41" s="1"/>
  <c r="I89" i="41"/>
  <c r="J89" i="41" s="1"/>
  <c r="I562" i="50" l="1"/>
  <c r="D562" i="50"/>
  <c r="J562" i="50"/>
  <c r="F562" i="50"/>
  <c r="L562" i="50"/>
  <c r="N562" i="50"/>
  <c r="H562" i="50"/>
  <c r="E562" i="50"/>
  <c r="O562" i="50"/>
  <c r="M562" i="50"/>
  <c r="K562" i="50"/>
  <c r="G562" i="50"/>
  <c r="E100" i="38"/>
  <c r="E99" i="38"/>
  <c r="C121" i="1"/>
  <c r="C122" i="1"/>
  <c r="C123" i="1"/>
  <c r="C124" i="1"/>
  <c r="C125" i="1"/>
  <c r="C126" i="1"/>
  <c r="C127" i="1"/>
  <c r="P562" i="50" l="1"/>
  <c r="M5" i="31"/>
  <c r="M6" i="31"/>
  <c r="M7" i="31"/>
  <c r="M8" i="31"/>
  <c r="M9" i="31"/>
  <c r="M10" i="31"/>
  <c r="M11" i="31"/>
  <c r="M12" i="31"/>
  <c r="M13" i="31"/>
  <c r="M14" i="31"/>
  <c r="M15" i="31"/>
  <c r="M16" i="31"/>
  <c r="M17" i="31"/>
  <c r="M18" i="31"/>
  <c r="M19" i="31"/>
  <c r="M20" i="31"/>
  <c r="M21" i="31"/>
  <c r="M22" i="31"/>
  <c r="M23" i="31"/>
  <c r="M24" i="31"/>
  <c r="M26" i="31"/>
  <c r="M27" i="31"/>
  <c r="M28" i="31"/>
  <c r="M29" i="31"/>
  <c r="M30" i="31"/>
  <c r="M31" i="31"/>
  <c r="M32" i="31"/>
  <c r="M33" i="31"/>
  <c r="M34" i="31"/>
  <c r="M35" i="31"/>
  <c r="M36" i="31"/>
  <c r="M37" i="31"/>
  <c r="M38" i="31"/>
  <c r="M39" i="31"/>
  <c r="M40" i="31"/>
  <c r="M41" i="31"/>
  <c r="M42" i="31"/>
  <c r="M43" i="31"/>
  <c r="M44" i="31"/>
  <c r="M45" i="31"/>
  <c r="M46" i="31"/>
  <c r="M47" i="31"/>
  <c r="M48" i="31"/>
  <c r="M49" i="31"/>
  <c r="M50" i="31"/>
  <c r="M51" i="31"/>
  <c r="M52" i="31"/>
  <c r="M53" i="31"/>
  <c r="M54" i="31"/>
  <c r="M55" i="31"/>
  <c r="M56" i="31"/>
  <c r="M57" i="31"/>
  <c r="M58" i="31"/>
  <c r="M59" i="31"/>
  <c r="M60" i="31"/>
  <c r="M61" i="31"/>
  <c r="M62" i="31"/>
  <c r="M63" i="31"/>
  <c r="M64" i="31"/>
  <c r="M65" i="31"/>
  <c r="M66" i="31"/>
  <c r="M67" i="31"/>
  <c r="M68" i="31"/>
  <c r="M69" i="31"/>
  <c r="M70" i="31"/>
  <c r="M71" i="31"/>
  <c r="M72" i="31"/>
  <c r="M73" i="31"/>
  <c r="M74" i="31"/>
  <c r="M75" i="31"/>
  <c r="M76" i="31"/>
  <c r="M77" i="31"/>
  <c r="M78" i="31"/>
  <c r="M79" i="31"/>
  <c r="M80" i="31"/>
  <c r="M81" i="31"/>
  <c r="M82" i="31"/>
  <c r="M83" i="31"/>
  <c r="M84" i="31"/>
  <c r="M85" i="31"/>
  <c r="M86" i="31"/>
  <c r="M87" i="31"/>
  <c r="M88" i="31"/>
  <c r="M89" i="31"/>
  <c r="M90" i="31"/>
  <c r="M91" i="31"/>
  <c r="M92" i="31"/>
  <c r="M93" i="31"/>
  <c r="M94" i="31"/>
  <c r="M95" i="31"/>
  <c r="M96" i="31"/>
  <c r="M97" i="31"/>
  <c r="M98" i="31"/>
  <c r="M99" i="31"/>
  <c r="M100" i="31"/>
  <c r="M101" i="31"/>
  <c r="M102" i="31"/>
  <c r="M103" i="31"/>
  <c r="M104" i="31"/>
  <c r="M105" i="31"/>
  <c r="M106" i="31"/>
  <c r="M107" i="31"/>
  <c r="M108" i="31"/>
  <c r="M109" i="31"/>
  <c r="M110" i="31"/>
  <c r="M111" i="31"/>
  <c r="M112" i="31"/>
  <c r="M113" i="31"/>
  <c r="M114" i="31"/>
  <c r="M115" i="31"/>
  <c r="M116" i="31"/>
  <c r="M117" i="31"/>
  <c r="M118" i="31"/>
  <c r="M119" i="31"/>
  <c r="M120" i="31"/>
  <c r="M121" i="31"/>
  <c r="M122" i="31"/>
  <c r="M123" i="31"/>
  <c r="M124" i="31"/>
  <c r="M125" i="31"/>
  <c r="M126" i="31"/>
  <c r="M127" i="31"/>
  <c r="M128" i="31"/>
  <c r="M129" i="31"/>
  <c r="M130" i="31"/>
  <c r="M131" i="31"/>
  <c r="M132" i="31"/>
  <c r="M133" i="31"/>
  <c r="M134" i="31"/>
  <c r="M135" i="31"/>
  <c r="M136" i="31"/>
  <c r="M137" i="31"/>
  <c r="M138" i="31"/>
  <c r="M139" i="31"/>
  <c r="M140" i="31"/>
  <c r="M141" i="31"/>
  <c r="M142" i="31"/>
  <c r="M143" i="31"/>
  <c r="M144" i="31"/>
  <c r="M145" i="31"/>
  <c r="M146" i="31"/>
  <c r="M147" i="31"/>
  <c r="M148" i="31"/>
  <c r="M149" i="31"/>
  <c r="M150" i="31"/>
  <c r="M151" i="31"/>
  <c r="M152" i="31"/>
  <c r="M153" i="31"/>
  <c r="M154" i="31"/>
  <c r="M155" i="31"/>
  <c r="M156" i="31"/>
  <c r="M157" i="31"/>
  <c r="M158" i="31"/>
  <c r="M159" i="31"/>
  <c r="M160" i="31"/>
  <c r="M161" i="31"/>
  <c r="M162" i="31"/>
  <c r="M163" i="31"/>
  <c r="M164" i="31"/>
  <c r="M165" i="31"/>
  <c r="M166" i="31"/>
  <c r="M167" i="31"/>
  <c r="M168" i="31"/>
  <c r="M169" i="31"/>
  <c r="M170" i="31"/>
  <c r="M171" i="31"/>
  <c r="M172" i="31"/>
  <c r="M173" i="31"/>
  <c r="M174" i="31"/>
  <c r="M175" i="31"/>
  <c r="M176" i="31"/>
  <c r="M177" i="31"/>
  <c r="M178" i="31"/>
  <c r="M179" i="31"/>
  <c r="M180" i="31"/>
  <c r="M181" i="31"/>
  <c r="M182" i="31"/>
  <c r="M183" i="31"/>
  <c r="M184" i="31"/>
  <c r="M185" i="31"/>
  <c r="M186" i="31"/>
  <c r="M187" i="31"/>
  <c r="M188" i="31"/>
  <c r="M189" i="31"/>
  <c r="M190" i="31"/>
  <c r="M191" i="31"/>
  <c r="M192" i="31"/>
  <c r="M193" i="31"/>
  <c r="M194" i="31"/>
  <c r="M195" i="31"/>
  <c r="M196" i="31"/>
  <c r="M197" i="31"/>
  <c r="M198" i="31"/>
  <c r="M199" i="31"/>
  <c r="M200" i="31"/>
  <c r="M201" i="31"/>
  <c r="M202" i="31"/>
  <c r="M203" i="31"/>
  <c r="M204" i="31"/>
  <c r="M205" i="31"/>
  <c r="M206" i="31"/>
  <c r="M207" i="31"/>
  <c r="M208" i="31"/>
  <c r="M209" i="31"/>
  <c r="M210" i="31"/>
  <c r="M211" i="31"/>
  <c r="M212" i="31"/>
  <c r="M213" i="31"/>
  <c r="M214" i="31"/>
  <c r="M215" i="31"/>
  <c r="M216" i="31"/>
  <c r="M217" i="31"/>
  <c r="M218" i="31"/>
  <c r="M219" i="31"/>
  <c r="M220" i="31"/>
  <c r="M221" i="31"/>
  <c r="M222" i="31"/>
  <c r="M223" i="31"/>
  <c r="M224" i="31"/>
  <c r="M225" i="31"/>
  <c r="M226" i="31"/>
  <c r="M227" i="31"/>
  <c r="M228" i="31"/>
  <c r="M229" i="31"/>
  <c r="M230" i="31"/>
  <c r="M231" i="31"/>
  <c r="M232" i="31"/>
  <c r="M233" i="31"/>
  <c r="M234" i="31"/>
  <c r="M235" i="31"/>
  <c r="M236" i="31"/>
  <c r="M237" i="31"/>
  <c r="M238" i="31"/>
  <c r="M239" i="31"/>
  <c r="M240" i="31"/>
  <c r="M241" i="31"/>
  <c r="M242" i="31"/>
  <c r="M243" i="31"/>
  <c r="M244" i="31"/>
  <c r="M245" i="31"/>
  <c r="M246" i="31"/>
  <c r="M247" i="31"/>
  <c r="M248" i="31"/>
  <c r="M249" i="31"/>
  <c r="M250" i="31"/>
  <c r="M251" i="31"/>
  <c r="M252" i="31"/>
  <c r="M253" i="31"/>
  <c r="M254" i="31"/>
  <c r="M255" i="31"/>
  <c r="M256" i="31"/>
  <c r="M257" i="31"/>
  <c r="M258" i="31"/>
  <c r="M259" i="31"/>
  <c r="M260" i="31"/>
  <c r="M261" i="31"/>
  <c r="M262" i="31"/>
  <c r="M263" i="31"/>
  <c r="M264" i="31"/>
  <c r="M265" i="31"/>
  <c r="M266" i="31"/>
  <c r="M267" i="31"/>
  <c r="M268" i="31"/>
  <c r="M269" i="31"/>
  <c r="M270" i="31"/>
  <c r="M271" i="31"/>
  <c r="M272" i="31"/>
  <c r="M273" i="31"/>
  <c r="M274" i="31"/>
  <c r="M275" i="31"/>
  <c r="M276" i="31"/>
  <c r="M277" i="31"/>
  <c r="M278" i="31"/>
  <c r="M279" i="31"/>
  <c r="M280" i="31"/>
  <c r="M281" i="31"/>
  <c r="M282" i="31"/>
  <c r="M283" i="31"/>
  <c r="M284" i="31"/>
  <c r="M285" i="31"/>
  <c r="M286" i="31"/>
  <c r="M287" i="31"/>
  <c r="M288" i="31"/>
  <c r="M289" i="31"/>
  <c r="M290" i="31"/>
  <c r="M291" i="31"/>
  <c r="M292" i="31"/>
  <c r="M293" i="31"/>
  <c r="M294" i="31"/>
  <c r="M295" i="31"/>
  <c r="M296" i="31"/>
  <c r="M297" i="31"/>
  <c r="M298" i="31"/>
  <c r="M299" i="31"/>
  <c r="M300" i="31"/>
  <c r="M301" i="31"/>
  <c r="M302" i="31"/>
  <c r="M303" i="31"/>
  <c r="M304" i="31"/>
  <c r="M305" i="31"/>
  <c r="M306" i="31"/>
  <c r="M307" i="31"/>
  <c r="M308" i="31"/>
  <c r="M309" i="31"/>
  <c r="M310" i="31"/>
  <c r="M311" i="31"/>
  <c r="M312" i="31"/>
  <c r="M313" i="31"/>
  <c r="M314" i="31"/>
  <c r="M315" i="31"/>
  <c r="M316" i="31"/>
  <c r="M317" i="31"/>
  <c r="M318" i="31"/>
  <c r="M319" i="31"/>
  <c r="M320" i="31"/>
  <c r="M321" i="31"/>
  <c r="M322" i="31"/>
  <c r="M323" i="31"/>
  <c r="M324" i="31"/>
  <c r="M325" i="31"/>
  <c r="M326" i="31"/>
  <c r="M327" i="31"/>
  <c r="M328" i="31"/>
  <c r="M329" i="31"/>
  <c r="M330" i="31"/>
  <c r="M331" i="31"/>
  <c r="M332" i="31"/>
  <c r="M333" i="31"/>
  <c r="M334" i="31"/>
  <c r="M335" i="31"/>
  <c r="M336" i="31"/>
  <c r="M337" i="31"/>
  <c r="M338" i="31"/>
  <c r="M339" i="31"/>
  <c r="M340" i="31"/>
  <c r="M341" i="31"/>
  <c r="M342" i="31"/>
  <c r="M343" i="31"/>
  <c r="M344" i="31"/>
  <c r="M345" i="31"/>
  <c r="M346" i="31"/>
  <c r="M347" i="31"/>
  <c r="M348" i="31"/>
  <c r="M349" i="31"/>
  <c r="M350" i="31"/>
  <c r="M351" i="31"/>
  <c r="M352" i="31"/>
  <c r="M353" i="31"/>
  <c r="M354" i="31"/>
  <c r="M355" i="31"/>
  <c r="M356" i="31"/>
  <c r="M357" i="31"/>
  <c r="M358" i="31"/>
  <c r="M359" i="31"/>
  <c r="M360" i="31"/>
  <c r="M361" i="31"/>
  <c r="M362" i="31"/>
  <c r="M363" i="31"/>
  <c r="M364" i="31"/>
  <c r="M365" i="31"/>
  <c r="M366" i="31"/>
  <c r="M367" i="31"/>
  <c r="M368" i="31"/>
  <c r="M369" i="31"/>
  <c r="M370" i="31"/>
  <c r="M371" i="31"/>
  <c r="M372" i="31"/>
  <c r="M373" i="31"/>
  <c r="M374" i="31"/>
  <c r="M375" i="31"/>
  <c r="M376" i="31"/>
  <c r="M377" i="31"/>
  <c r="M378" i="31"/>
  <c r="M379" i="31"/>
  <c r="M380" i="31"/>
  <c r="M381" i="31"/>
  <c r="M382" i="31"/>
  <c r="M383" i="31"/>
  <c r="M384" i="31"/>
  <c r="M385" i="31"/>
  <c r="M386" i="31"/>
  <c r="M387" i="31"/>
  <c r="M388" i="31"/>
  <c r="M389" i="31"/>
  <c r="M390" i="31"/>
  <c r="M391" i="31"/>
  <c r="M392" i="31"/>
  <c r="M393" i="31"/>
  <c r="M394" i="31"/>
  <c r="M395" i="31"/>
  <c r="M396" i="31"/>
  <c r="M397" i="31"/>
  <c r="M398" i="31"/>
  <c r="M399" i="31"/>
  <c r="M400" i="31"/>
  <c r="M401" i="31"/>
  <c r="M402" i="31"/>
  <c r="M403" i="31"/>
  <c r="M404" i="31"/>
  <c r="M405" i="31"/>
  <c r="M406" i="31"/>
  <c r="M407" i="31"/>
  <c r="M408" i="31"/>
  <c r="M4" i="31"/>
  <c r="L3" i="31" l="1"/>
  <c r="H183" i="1" l="1"/>
  <c r="H120" i="1" l="1"/>
  <c r="H119" i="1"/>
  <c r="H128" i="1"/>
  <c r="C20" i="40" l="1"/>
  <c r="H115" i="1" l="1"/>
  <c r="H116" i="1"/>
  <c r="H117" i="1"/>
  <c r="K52" i="31" l="1"/>
  <c r="H87" i="1" l="1"/>
  <c r="H89" i="1"/>
  <c r="H88" i="1"/>
  <c r="H76" i="1"/>
  <c r="H59" i="34"/>
  <c r="H63" i="34"/>
  <c r="H75" i="34"/>
  <c r="H96" i="35"/>
  <c r="H89" i="35"/>
  <c r="H60" i="35"/>
  <c r="H66" i="35"/>
  <c r="H95" i="35"/>
  <c r="H94" i="36"/>
  <c r="H71" i="35"/>
  <c r="H76" i="35"/>
  <c r="H74" i="35"/>
  <c r="H55" i="35"/>
  <c r="H85" i="35"/>
  <c r="H67" i="35"/>
  <c r="H73" i="35"/>
  <c r="H75" i="35"/>
  <c r="H70" i="35"/>
  <c r="H52" i="35"/>
  <c r="H82" i="35"/>
  <c r="H92" i="35"/>
  <c r="C74" i="34"/>
  <c r="C68" i="34"/>
  <c r="C127" i="34"/>
  <c r="H91" i="34"/>
  <c r="H63" i="36"/>
  <c r="H69" i="32"/>
  <c r="H80" i="35"/>
  <c r="H66" i="32"/>
  <c r="H44" i="32"/>
  <c r="H91" i="40"/>
  <c r="H99" i="38"/>
  <c r="H72" i="38"/>
  <c r="H39" i="39"/>
  <c r="H92" i="36"/>
  <c r="H122" i="34"/>
  <c r="H46" i="41"/>
  <c r="H46" i="38"/>
  <c r="H55" i="37"/>
  <c r="H53" i="37"/>
  <c r="H29" i="32"/>
  <c r="H27" i="38"/>
  <c r="H24" i="38"/>
  <c r="H21" i="44"/>
  <c r="H85" i="36"/>
  <c r="H66" i="38"/>
  <c r="H114" i="34"/>
  <c r="H116" i="35"/>
  <c r="H51" i="44"/>
  <c r="H92" i="32"/>
  <c r="H162" i="34"/>
  <c r="H56" i="32"/>
  <c r="H78" i="34"/>
  <c r="H57" i="35"/>
  <c r="H55" i="36"/>
  <c r="H84" i="34"/>
  <c r="H40" i="32"/>
  <c r="H51" i="35"/>
  <c r="H43" i="32"/>
  <c r="H48" i="32"/>
  <c r="H107" i="36"/>
  <c r="H63" i="39"/>
  <c r="H90" i="38"/>
  <c r="H34" i="34"/>
  <c r="H45" i="38"/>
  <c r="H40" i="38"/>
  <c r="H32" i="39"/>
  <c r="H37" i="36"/>
  <c r="H24" i="39"/>
  <c r="H23" i="38"/>
  <c r="H88" i="34"/>
  <c r="H68" i="35"/>
  <c r="H94" i="35"/>
  <c r="H93" i="35"/>
  <c r="H41" i="32"/>
  <c r="H62" i="35"/>
  <c r="H54" i="32"/>
  <c r="H57" i="36"/>
  <c r="H85" i="34"/>
  <c r="H56" i="35"/>
  <c r="H49" i="32"/>
  <c r="H45" i="32"/>
  <c r="H59" i="32"/>
  <c r="H51" i="36"/>
  <c r="H80" i="34"/>
  <c r="H63" i="35"/>
  <c r="H55" i="32"/>
  <c r="H123" i="36"/>
  <c r="H71" i="38"/>
  <c r="H121" i="34"/>
  <c r="H51" i="39"/>
  <c r="H136" i="38"/>
  <c r="H112" i="36"/>
  <c r="H50" i="39"/>
  <c r="H99" i="36"/>
  <c r="H75" i="40"/>
  <c r="H133" i="35"/>
  <c r="H108" i="36"/>
  <c r="H136" i="34"/>
  <c r="H53" i="39"/>
  <c r="H142" i="35"/>
  <c r="H111" i="36"/>
  <c r="H140" i="35"/>
  <c r="H98" i="32"/>
  <c r="H130" i="34"/>
  <c r="H124" i="35"/>
  <c r="H102" i="32"/>
  <c r="H35" i="32"/>
  <c r="H56" i="38"/>
  <c r="H75" i="36"/>
  <c r="H104" i="34"/>
  <c r="H106" i="35"/>
  <c r="H82" i="32"/>
  <c r="H42" i="44"/>
  <c r="H74" i="34"/>
  <c r="H47" i="36"/>
  <c r="H49" i="35"/>
  <c r="H43" i="38"/>
  <c r="H31" i="39"/>
  <c r="H37" i="38"/>
  <c r="H27" i="39"/>
  <c r="H26" i="38"/>
  <c r="H100" i="38"/>
  <c r="H66" i="39"/>
  <c r="H55" i="38"/>
  <c r="H74" i="36"/>
  <c r="H103" i="34"/>
  <c r="H41" i="44"/>
  <c r="H81" i="32"/>
  <c r="H105" i="35"/>
  <c r="H68" i="34"/>
  <c r="H187" i="34"/>
  <c r="H83" i="34"/>
  <c r="H54" i="36"/>
  <c r="H65" i="35"/>
  <c r="H102" i="40"/>
  <c r="H70" i="41"/>
  <c r="H89" i="38"/>
  <c r="H60" i="39"/>
  <c r="H90" i="36"/>
  <c r="H159" i="34"/>
  <c r="H97" i="32"/>
  <c r="H121" i="35"/>
  <c r="H60" i="36"/>
  <c r="H89" i="34"/>
  <c r="H64" i="32"/>
  <c r="H77" i="35"/>
  <c r="H69" i="35"/>
  <c r="H57" i="38"/>
  <c r="H76" i="36"/>
  <c r="H105" i="34"/>
  <c r="H43" i="44"/>
  <c r="H107" i="35"/>
  <c r="H83" i="32"/>
  <c r="H186" i="34"/>
  <c r="H78" i="35"/>
  <c r="H90" i="34"/>
  <c r="H65" i="32"/>
  <c r="H61" i="36"/>
  <c r="H82" i="34"/>
  <c r="H53" i="36"/>
  <c r="H64" i="35"/>
  <c r="H74" i="41"/>
  <c r="H69" i="41"/>
  <c r="H87" i="38"/>
  <c r="H41" i="39"/>
  <c r="H75" i="38"/>
  <c r="H97" i="36"/>
  <c r="H74" i="40"/>
  <c r="H129" i="35"/>
  <c r="H107" i="32"/>
  <c r="H63" i="38"/>
  <c r="H111" i="34"/>
  <c r="H49" i="44"/>
  <c r="H82" i="36"/>
  <c r="H29" i="33"/>
  <c r="H64" i="37"/>
  <c r="H89" i="32"/>
  <c r="H113" i="35"/>
  <c r="H39" i="38"/>
  <c r="H37" i="41"/>
  <c r="H33" i="36"/>
  <c r="H58" i="34"/>
  <c r="H36" i="35"/>
  <c r="H32" i="38"/>
  <c r="H157" i="35"/>
  <c r="H65" i="38"/>
  <c r="H65" i="37"/>
  <c r="H113" i="34"/>
  <c r="H84" i="36"/>
  <c r="H91" i="32"/>
  <c r="H30" i="33"/>
  <c r="H115" i="35"/>
  <c r="H54" i="38"/>
  <c r="H40" i="44"/>
  <c r="H73" i="36"/>
  <c r="H104" i="35"/>
  <c r="H102" i="34"/>
  <c r="H80" i="32"/>
  <c r="H62" i="36"/>
  <c r="H79" i="35"/>
  <c r="H58" i="32"/>
  <c r="H52" i="36"/>
  <c r="H53" i="32"/>
  <c r="H81" i="34"/>
  <c r="H61" i="35"/>
  <c r="H77" i="34"/>
  <c r="H58" i="35"/>
  <c r="H50" i="32"/>
  <c r="H49" i="36"/>
  <c r="H38" i="32"/>
  <c r="H101" i="38"/>
  <c r="H77" i="41"/>
  <c r="H88" i="40"/>
  <c r="H44" i="39"/>
  <c r="H45" i="39"/>
  <c r="H81" i="38"/>
  <c r="H54" i="39"/>
  <c r="H109" i="36"/>
  <c r="H85" i="38"/>
  <c r="H110" i="36"/>
  <c r="H141" i="35"/>
  <c r="H99" i="32"/>
  <c r="H104" i="32"/>
  <c r="H34" i="36"/>
  <c r="H42" i="41"/>
  <c r="H44" i="38"/>
  <c r="H38" i="38"/>
  <c r="H38" i="36"/>
  <c r="H62" i="34"/>
  <c r="H39" i="35"/>
  <c r="H30" i="32"/>
  <c r="H30" i="39"/>
  <c r="H33" i="38"/>
  <c r="H54" i="40"/>
  <c r="H35" i="41"/>
  <c r="H30" i="38"/>
  <c r="H50" i="38"/>
  <c r="H69" i="36"/>
  <c r="H36" i="44"/>
  <c r="H98" i="34"/>
  <c r="H24" i="33"/>
  <c r="H76" i="32"/>
  <c r="H100" i="35"/>
  <c r="H59" i="37"/>
  <c r="H156" i="35"/>
  <c r="H64" i="38"/>
  <c r="H83" i="36"/>
  <c r="H112" i="34"/>
  <c r="H50" i="44"/>
  <c r="H90" i="32"/>
  <c r="H114" i="35"/>
  <c r="H53" i="38"/>
  <c r="H101" i="34"/>
  <c r="H39" i="44"/>
  <c r="H72" i="36"/>
  <c r="H103" i="35"/>
  <c r="H79" i="32"/>
  <c r="E14" i="38" l="1"/>
  <c r="J14" i="38" l="1"/>
  <c r="J94" i="38"/>
  <c r="B587" i="50" s="1"/>
  <c r="L587" i="50" l="1"/>
  <c r="M587" i="50"/>
  <c r="G587" i="50"/>
  <c r="E587" i="50"/>
  <c r="O587" i="50"/>
  <c r="K587" i="50"/>
  <c r="D587" i="50"/>
  <c r="I587" i="50"/>
  <c r="N587" i="50"/>
  <c r="H587" i="50"/>
  <c r="J587" i="50"/>
  <c r="F587" i="50"/>
  <c r="J15" i="38"/>
  <c r="B575" i="50" s="1"/>
  <c r="P587" i="50" l="1"/>
  <c r="K575" i="50"/>
  <c r="D575" i="50"/>
  <c r="L575" i="50"/>
  <c r="N575" i="50"/>
  <c r="H575" i="50"/>
  <c r="E575" i="50"/>
  <c r="O575" i="50"/>
  <c r="I575" i="50"/>
  <c r="M575" i="50"/>
  <c r="G575" i="50"/>
  <c r="J575" i="50"/>
  <c r="F575" i="50"/>
  <c r="P575" i="50" l="1"/>
  <c r="H67" i="36" l="1"/>
  <c r="G67" i="36"/>
  <c r="F67" i="36"/>
  <c r="H74" i="32"/>
  <c r="G74" i="32"/>
  <c r="F74" i="32"/>
  <c r="I67" i="36" l="1"/>
  <c r="J67" i="36" s="1"/>
  <c r="I74" i="32"/>
  <c r="J74" i="32" s="1"/>
  <c r="E156" i="1" l="1"/>
  <c r="E155" i="1"/>
  <c r="E154" i="1"/>
  <c r="J154" i="1" l="1"/>
  <c r="J155" i="1"/>
  <c r="J156" i="1"/>
  <c r="H119" i="42" l="1"/>
  <c r="G119" i="42"/>
  <c r="F119" i="42"/>
  <c r="H118" i="42"/>
  <c r="G118" i="42"/>
  <c r="F118" i="42"/>
  <c r="H117" i="42"/>
  <c r="G117" i="42"/>
  <c r="F117" i="42"/>
  <c r="H116" i="42"/>
  <c r="G116" i="42"/>
  <c r="F116" i="42"/>
  <c r="H112" i="42"/>
  <c r="G112" i="42"/>
  <c r="F112" i="42"/>
  <c r="H106" i="42"/>
  <c r="G106" i="42"/>
  <c r="F106" i="42"/>
  <c r="H101" i="42"/>
  <c r="G101" i="42"/>
  <c r="F101" i="42"/>
  <c r="H100" i="42"/>
  <c r="G100" i="42"/>
  <c r="F100" i="42"/>
  <c r="H77" i="42"/>
  <c r="G77" i="42"/>
  <c r="F77" i="42"/>
  <c r="H72" i="42"/>
  <c r="G72" i="42"/>
  <c r="F72" i="42"/>
  <c r="H70" i="42"/>
  <c r="H69" i="42"/>
  <c r="H67" i="42"/>
  <c r="H66" i="42"/>
  <c r="H65" i="42"/>
  <c r="H64" i="42"/>
  <c r="H63" i="42"/>
  <c r="H62" i="42"/>
  <c r="H61" i="42"/>
  <c r="G61" i="42"/>
  <c r="F61" i="42"/>
  <c r="H59" i="42"/>
  <c r="H57" i="42"/>
  <c r="H55" i="42"/>
  <c r="H54" i="42"/>
  <c r="H53" i="42"/>
  <c r="G53" i="42"/>
  <c r="F53" i="42"/>
  <c r="H52" i="42"/>
  <c r="H51" i="42"/>
  <c r="H50" i="42"/>
  <c r="H49" i="42"/>
  <c r="G49" i="42"/>
  <c r="F49" i="42"/>
  <c r="H48" i="42"/>
  <c r="H45" i="42"/>
  <c r="H44" i="42"/>
  <c r="H43" i="42"/>
  <c r="H42" i="42"/>
  <c r="H41" i="42"/>
  <c r="H40" i="42"/>
  <c r="G40" i="42"/>
  <c r="F40" i="42"/>
  <c r="H39" i="42"/>
  <c r="H38" i="42"/>
  <c r="G38" i="42"/>
  <c r="F38" i="42"/>
  <c r="H37" i="42"/>
  <c r="H36" i="42"/>
  <c r="H34" i="42"/>
  <c r="H32" i="42"/>
  <c r="H31" i="42"/>
  <c r="H30" i="42"/>
  <c r="H28" i="42"/>
  <c r="H27" i="42"/>
  <c r="H26" i="42"/>
  <c r="H25" i="42"/>
  <c r="G25" i="42"/>
  <c r="F25" i="42"/>
  <c r="H24" i="42"/>
  <c r="H22" i="42"/>
  <c r="H140" i="41"/>
  <c r="G140" i="41"/>
  <c r="F140" i="41"/>
  <c r="H134" i="41"/>
  <c r="G134" i="41"/>
  <c r="F134" i="41"/>
  <c r="H122" i="41"/>
  <c r="G122" i="41"/>
  <c r="F122" i="41"/>
  <c r="H119" i="41"/>
  <c r="G119" i="41"/>
  <c r="F119" i="41"/>
  <c r="H106" i="41"/>
  <c r="G106" i="41"/>
  <c r="F106" i="41"/>
  <c r="H96" i="41"/>
  <c r="G96" i="41"/>
  <c r="F96" i="41"/>
  <c r="H45" i="41"/>
  <c r="G45" i="41"/>
  <c r="F45" i="41"/>
  <c r="H29" i="41"/>
  <c r="G29" i="41"/>
  <c r="F29" i="41"/>
  <c r="H125" i="40"/>
  <c r="G125" i="40"/>
  <c r="F125" i="40"/>
  <c r="H122" i="40"/>
  <c r="G122" i="40"/>
  <c r="F122" i="40"/>
  <c r="C6" i="42"/>
  <c r="C5" i="42"/>
  <c r="C4" i="42"/>
  <c r="C6" i="41"/>
  <c r="C5" i="41"/>
  <c r="C4" i="41"/>
  <c r="C22" i="46"/>
  <c r="C14" i="46"/>
  <c r="C18" i="46"/>
  <c r="C30" i="46"/>
  <c r="C28" i="46"/>
  <c r="C16" i="46"/>
  <c r="C34" i="46"/>
  <c r="C40" i="46"/>
  <c r="C36" i="46"/>
  <c r="C32" i="46"/>
  <c r="C24" i="46"/>
  <c r="C26" i="46"/>
  <c r="C20" i="46"/>
  <c r="C38" i="46"/>
  <c r="I25" i="42" l="1"/>
  <c r="J25" i="42" s="1"/>
  <c r="J97" i="38"/>
  <c r="B590" i="50" s="1"/>
  <c r="I106" i="42"/>
  <c r="I100" i="42"/>
  <c r="J100" i="42" s="1"/>
  <c r="I117" i="42"/>
  <c r="J117" i="42" s="1"/>
  <c r="I119" i="42"/>
  <c r="J119" i="42" s="1"/>
  <c r="I134" i="41"/>
  <c r="J134" i="41" s="1"/>
  <c r="I116" i="42"/>
  <c r="J116" i="42" s="1"/>
  <c r="J114" i="40"/>
  <c r="B206" i="50" s="1"/>
  <c r="J106" i="40"/>
  <c r="B200" i="50" s="1"/>
  <c r="I125" i="40"/>
  <c r="J125" i="40" s="1"/>
  <c r="I45" i="41"/>
  <c r="J45" i="41" s="1"/>
  <c r="I106" i="41"/>
  <c r="J106" i="41" s="1"/>
  <c r="I122" i="41"/>
  <c r="I61" i="42"/>
  <c r="J61" i="42" s="1"/>
  <c r="J87" i="42"/>
  <c r="B461" i="50" s="1"/>
  <c r="I112" i="42"/>
  <c r="J112" i="42" s="1"/>
  <c r="I122" i="40"/>
  <c r="J122" i="40" s="1"/>
  <c r="I29" i="41"/>
  <c r="J29" i="41" s="1"/>
  <c r="I96" i="41"/>
  <c r="J104" i="41"/>
  <c r="I119" i="41"/>
  <c r="J119" i="41" s="1"/>
  <c r="I140" i="41"/>
  <c r="I38" i="42"/>
  <c r="J38" i="42" s="1"/>
  <c r="I40" i="42"/>
  <c r="J40" i="42" s="1"/>
  <c r="I49" i="42"/>
  <c r="J49" i="42" s="1"/>
  <c r="J81" i="42"/>
  <c r="B455" i="50" s="1"/>
  <c r="J22" i="43"/>
  <c r="B369" i="50" s="1"/>
  <c r="I53" i="42"/>
  <c r="J53" i="42" s="1"/>
  <c r="I72" i="42"/>
  <c r="J72" i="42" s="1"/>
  <c r="I77" i="42"/>
  <c r="J77" i="42" s="1"/>
  <c r="I101" i="42"/>
  <c r="I118" i="42"/>
  <c r="J118" i="42" s="1"/>
  <c r="J69" i="44"/>
  <c r="B255" i="50" s="1"/>
  <c r="J112" i="38"/>
  <c r="B596" i="50" s="1"/>
  <c r="C6" i="36"/>
  <c r="C4" i="36"/>
  <c r="B83" i="50" l="1"/>
  <c r="K83" i="50" s="1"/>
  <c r="F596" i="50"/>
  <c r="E596" i="50"/>
  <c r="L596" i="50"/>
  <c r="J596" i="50"/>
  <c r="G596" i="50"/>
  <c r="H596" i="50"/>
  <c r="D596" i="50"/>
  <c r="M596" i="50"/>
  <c r="O596" i="50"/>
  <c r="I596" i="50"/>
  <c r="K596" i="50"/>
  <c r="N596" i="50"/>
  <c r="G455" i="50"/>
  <c r="F455" i="50"/>
  <c r="N455" i="50"/>
  <c r="O455" i="50"/>
  <c r="K455" i="50"/>
  <c r="E455" i="50"/>
  <c r="J455" i="50"/>
  <c r="L455" i="50"/>
  <c r="M455" i="50"/>
  <c r="H455" i="50"/>
  <c r="I455" i="50"/>
  <c r="D455" i="50"/>
  <c r="F461" i="50"/>
  <c r="L461" i="50"/>
  <c r="H461" i="50"/>
  <c r="G461" i="50"/>
  <c r="I461" i="50"/>
  <c r="J461" i="50"/>
  <c r="D461" i="50"/>
  <c r="O461" i="50"/>
  <c r="E461" i="50"/>
  <c r="M461" i="50"/>
  <c r="N461" i="50"/>
  <c r="K461" i="50"/>
  <c r="N255" i="50"/>
  <c r="J255" i="50"/>
  <c r="F255" i="50"/>
  <c r="M255" i="50"/>
  <c r="H255" i="50"/>
  <c r="I255" i="50"/>
  <c r="O255" i="50"/>
  <c r="G255" i="50"/>
  <c r="E255" i="50"/>
  <c r="D255" i="50"/>
  <c r="L255" i="50"/>
  <c r="K255" i="50"/>
  <c r="E200" i="50"/>
  <c r="J200" i="50"/>
  <c r="L200" i="50"/>
  <c r="K200" i="50"/>
  <c r="N200" i="50"/>
  <c r="F200" i="50"/>
  <c r="G200" i="50"/>
  <c r="H200" i="50"/>
  <c r="M200" i="50"/>
  <c r="I200" i="50"/>
  <c r="D200" i="50"/>
  <c r="O200" i="50"/>
  <c r="L369" i="50"/>
  <c r="E369" i="50"/>
  <c r="G369" i="50"/>
  <c r="K369" i="50"/>
  <c r="I369" i="50"/>
  <c r="D369" i="50"/>
  <c r="O369" i="50"/>
  <c r="N369" i="50"/>
  <c r="H369" i="50"/>
  <c r="M369" i="50"/>
  <c r="F369" i="50"/>
  <c r="J369" i="50"/>
  <c r="E206" i="50"/>
  <c r="L206" i="50"/>
  <c r="J206" i="50"/>
  <c r="F206" i="50"/>
  <c r="K206" i="50"/>
  <c r="G206" i="50"/>
  <c r="H206" i="50"/>
  <c r="I206" i="50"/>
  <c r="O206" i="50"/>
  <c r="N206" i="50"/>
  <c r="M206" i="50"/>
  <c r="D206" i="50"/>
  <c r="H590" i="50"/>
  <c r="G590" i="50"/>
  <c r="I590" i="50"/>
  <c r="O590" i="50"/>
  <c r="E590" i="50"/>
  <c r="J590" i="50"/>
  <c r="N590" i="50"/>
  <c r="K590" i="50"/>
  <c r="M590" i="50"/>
  <c r="F590" i="50"/>
  <c r="D590" i="50"/>
  <c r="L590" i="50"/>
  <c r="J120" i="41"/>
  <c r="J126" i="40"/>
  <c r="B215" i="50" s="1"/>
  <c r="J82" i="39"/>
  <c r="B513" i="50" s="1"/>
  <c r="J139" i="40"/>
  <c r="B221" i="50" s="1"/>
  <c r="J73" i="44"/>
  <c r="B258" i="50" s="1"/>
  <c r="J78" i="42"/>
  <c r="B452" i="50" s="1"/>
  <c r="J135" i="40"/>
  <c r="B218" i="50" s="1"/>
  <c r="J123" i="40"/>
  <c r="B212" i="50" s="1"/>
  <c r="J126" i="38"/>
  <c r="B605" i="50" s="1"/>
  <c r="J149" i="36"/>
  <c r="B415" i="50" s="1"/>
  <c r="E14" i="34"/>
  <c r="E18" i="34"/>
  <c r="H145" i="32"/>
  <c r="G145" i="32"/>
  <c r="F145" i="32"/>
  <c r="H21" i="32"/>
  <c r="G21" i="32"/>
  <c r="F21" i="32"/>
  <c r="G83" i="50" l="1"/>
  <c r="E83" i="50"/>
  <c r="D83" i="50"/>
  <c r="N83" i="50"/>
  <c r="J83" i="50"/>
  <c r="O83" i="50"/>
  <c r="H83" i="50"/>
  <c r="I83" i="50"/>
  <c r="L83" i="50"/>
  <c r="F83" i="50"/>
  <c r="B92" i="50"/>
  <c r="I92" i="50" s="1"/>
  <c r="P206" i="50"/>
  <c r="P590" i="50"/>
  <c r="P255" i="50"/>
  <c r="I212" i="50"/>
  <c r="J212" i="50"/>
  <c r="O212" i="50"/>
  <c r="K212" i="50"/>
  <c r="E212" i="50"/>
  <c r="F212" i="50"/>
  <c r="N212" i="50"/>
  <c r="D212" i="50"/>
  <c r="G212" i="50"/>
  <c r="L212" i="50"/>
  <c r="M212" i="50"/>
  <c r="H212" i="50"/>
  <c r="H221" i="50"/>
  <c r="K221" i="50"/>
  <c r="L221" i="50"/>
  <c r="D221" i="50"/>
  <c r="G221" i="50"/>
  <c r="M221" i="50"/>
  <c r="E221" i="50"/>
  <c r="O221" i="50"/>
  <c r="N221" i="50"/>
  <c r="I221" i="50"/>
  <c r="F221" i="50"/>
  <c r="J221" i="50"/>
  <c r="E218" i="50"/>
  <c r="I218" i="50"/>
  <c r="J218" i="50"/>
  <c r="O218" i="50"/>
  <c r="K218" i="50"/>
  <c r="N218" i="50"/>
  <c r="H218" i="50"/>
  <c r="F218" i="50"/>
  <c r="D218" i="50"/>
  <c r="G218" i="50"/>
  <c r="L218" i="50"/>
  <c r="M218" i="50"/>
  <c r="L513" i="50"/>
  <c r="F513" i="50"/>
  <c r="O513" i="50"/>
  <c r="H513" i="50"/>
  <c r="M513" i="50"/>
  <c r="J513" i="50"/>
  <c r="K513" i="50"/>
  <c r="I513" i="50"/>
  <c r="G513" i="50"/>
  <c r="N513" i="50"/>
  <c r="E513" i="50"/>
  <c r="D513" i="50"/>
  <c r="P369" i="50"/>
  <c r="P200" i="50"/>
  <c r="P596" i="50"/>
  <c r="L415" i="50"/>
  <c r="H415" i="50"/>
  <c r="D415" i="50"/>
  <c r="I415" i="50"/>
  <c r="E415" i="50"/>
  <c r="O415" i="50"/>
  <c r="M415" i="50"/>
  <c r="F415" i="50"/>
  <c r="J415" i="50"/>
  <c r="N415" i="50"/>
  <c r="G415" i="50"/>
  <c r="K415" i="50"/>
  <c r="I452" i="50"/>
  <c r="L452" i="50"/>
  <c r="O452" i="50"/>
  <c r="M452" i="50"/>
  <c r="D452" i="50"/>
  <c r="J452" i="50"/>
  <c r="G452" i="50"/>
  <c r="H452" i="50"/>
  <c r="N452" i="50"/>
  <c r="K452" i="50"/>
  <c r="F452" i="50"/>
  <c r="E452" i="50"/>
  <c r="H215" i="50"/>
  <c r="K215" i="50"/>
  <c r="N215" i="50"/>
  <c r="I215" i="50"/>
  <c r="E215" i="50"/>
  <c r="L215" i="50"/>
  <c r="D215" i="50"/>
  <c r="G215" i="50"/>
  <c r="M215" i="50"/>
  <c r="O215" i="50"/>
  <c r="F215" i="50"/>
  <c r="J215" i="50"/>
  <c r="L605" i="50"/>
  <c r="N605" i="50"/>
  <c r="I605" i="50"/>
  <c r="O605" i="50"/>
  <c r="G605" i="50"/>
  <c r="E605" i="50"/>
  <c r="J605" i="50"/>
  <c r="D605" i="50"/>
  <c r="M605" i="50"/>
  <c r="H605" i="50"/>
  <c r="F605" i="50"/>
  <c r="K605" i="50"/>
  <c r="M258" i="50"/>
  <c r="I258" i="50"/>
  <c r="E258" i="50"/>
  <c r="K258" i="50"/>
  <c r="F258" i="50"/>
  <c r="J258" i="50"/>
  <c r="O258" i="50"/>
  <c r="H258" i="50"/>
  <c r="D258" i="50"/>
  <c r="L258" i="50"/>
  <c r="G258" i="50"/>
  <c r="N258" i="50"/>
  <c r="P461" i="50"/>
  <c r="P455" i="50"/>
  <c r="J164" i="36"/>
  <c r="B421" i="50" s="1"/>
  <c r="I21" i="32"/>
  <c r="I145" i="32"/>
  <c r="J200" i="34"/>
  <c r="B338" i="50" s="1"/>
  <c r="M92" i="50" l="1"/>
  <c r="N92" i="50"/>
  <c r="G92" i="50"/>
  <c r="L92" i="50"/>
  <c r="D92" i="50"/>
  <c r="E92" i="50"/>
  <c r="O92" i="50"/>
  <c r="H92" i="50"/>
  <c r="K92" i="50"/>
  <c r="J92" i="50"/>
  <c r="F92" i="50"/>
  <c r="P83" i="50"/>
  <c r="P218" i="50"/>
  <c r="P513" i="50"/>
  <c r="P212" i="50"/>
  <c r="P605" i="50"/>
  <c r="P415" i="50"/>
  <c r="P452" i="50"/>
  <c r="M421" i="50"/>
  <c r="I421" i="50"/>
  <c r="O421" i="50"/>
  <c r="H421" i="50"/>
  <c r="L421" i="50"/>
  <c r="E421" i="50"/>
  <c r="D421" i="50"/>
  <c r="J421" i="50"/>
  <c r="G421" i="50"/>
  <c r="N421" i="50"/>
  <c r="K421" i="50"/>
  <c r="F421" i="50"/>
  <c r="P258" i="50"/>
  <c r="P215" i="50"/>
  <c r="P221" i="50"/>
  <c r="F338" i="50"/>
  <c r="D338" i="50"/>
  <c r="N338" i="50"/>
  <c r="I338" i="50"/>
  <c r="J338" i="50"/>
  <c r="L338" i="50"/>
  <c r="H338" i="50"/>
  <c r="O338" i="50"/>
  <c r="M338" i="50"/>
  <c r="K338" i="50"/>
  <c r="E338" i="50"/>
  <c r="G338" i="50"/>
  <c r="J35" i="33"/>
  <c r="B163" i="50" s="1"/>
  <c r="J209" i="34"/>
  <c r="B344" i="50" s="1"/>
  <c r="J47" i="33"/>
  <c r="B169" i="50" s="1"/>
  <c r="H130" i="41"/>
  <c r="G130" i="41"/>
  <c r="F130" i="41"/>
  <c r="P92" i="50" l="1"/>
  <c r="K169" i="50"/>
  <c r="D169" i="50"/>
  <c r="G169" i="50"/>
  <c r="O169" i="50"/>
  <c r="E169" i="50"/>
  <c r="I169" i="50"/>
  <c r="N169" i="50"/>
  <c r="L169" i="50"/>
  <c r="H169" i="50"/>
  <c r="F169" i="50"/>
  <c r="M169" i="50"/>
  <c r="J169" i="50"/>
  <c r="P421" i="50"/>
  <c r="N163" i="50"/>
  <c r="D163" i="50"/>
  <c r="K163" i="50"/>
  <c r="G163" i="50"/>
  <c r="I163" i="50"/>
  <c r="L163" i="50"/>
  <c r="H163" i="50"/>
  <c r="O163" i="50"/>
  <c r="E163" i="50"/>
  <c r="M163" i="50"/>
  <c r="F163" i="50"/>
  <c r="J163" i="50"/>
  <c r="L344" i="50"/>
  <c r="E344" i="50"/>
  <c r="J344" i="50"/>
  <c r="D344" i="50"/>
  <c r="G344" i="50"/>
  <c r="F344" i="50"/>
  <c r="H344" i="50"/>
  <c r="N344" i="50"/>
  <c r="I344" i="50"/>
  <c r="O344" i="50"/>
  <c r="M344" i="50"/>
  <c r="K344" i="50"/>
  <c r="P338" i="50"/>
  <c r="J72" i="39"/>
  <c r="B507" i="50" s="1"/>
  <c r="I130" i="41"/>
  <c r="J130" i="41" s="1"/>
  <c r="P163" i="50" l="1"/>
  <c r="P169" i="50"/>
  <c r="K507" i="50"/>
  <c r="F507" i="50"/>
  <c r="E507" i="50"/>
  <c r="J507" i="50"/>
  <c r="I507" i="50"/>
  <c r="O507" i="50"/>
  <c r="H507" i="50"/>
  <c r="D507" i="50"/>
  <c r="N507" i="50"/>
  <c r="L507" i="50"/>
  <c r="G507" i="50"/>
  <c r="M507" i="50"/>
  <c r="P344" i="50"/>
  <c r="J132" i="41"/>
  <c r="B98" i="50" l="1"/>
  <c r="F98" i="50" s="1"/>
  <c r="P507" i="50"/>
  <c r="J167" i="36"/>
  <c r="B424" i="50" s="1"/>
  <c r="J69" i="37"/>
  <c r="B283" i="50" s="1"/>
  <c r="E98" i="50" l="1"/>
  <c r="I98" i="50"/>
  <c r="D98" i="50"/>
  <c r="K98" i="50"/>
  <c r="J98" i="50"/>
  <c r="N98" i="50"/>
  <c r="L98" i="50"/>
  <c r="H98" i="50"/>
  <c r="O98" i="50"/>
  <c r="G98" i="50"/>
  <c r="M98" i="50"/>
  <c r="M283" i="50"/>
  <c r="I283" i="50"/>
  <c r="E283" i="50"/>
  <c r="L283" i="50"/>
  <c r="G283" i="50"/>
  <c r="K283" i="50"/>
  <c r="D283" i="50"/>
  <c r="J283" i="50"/>
  <c r="H283" i="50"/>
  <c r="F283" i="50"/>
  <c r="O283" i="50"/>
  <c r="N283" i="50"/>
  <c r="O424" i="50"/>
  <c r="J424" i="50"/>
  <c r="G424" i="50"/>
  <c r="F424" i="50"/>
  <c r="I424" i="50"/>
  <c r="D424" i="50"/>
  <c r="E424" i="50"/>
  <c r="K424" i="50"/>
  <c r="L424" i="50"/>
  <c r="N424" i="50"/>
  <c r="M424" i="50"/>
  <c r="H424" i="50"/>
  <c r="J174" i="35"/>
  <c r="E181" i="34"/>
  <c r="C134" i="32"/>
  <c r="E61" i="44"/>
  <c r="E60" i="44"/>
  <c r="E14" i="44"/>
  <c r="E44" i="43"/>
  <c r="E14" i="43"/>
  <c r="E111" i="42"/>
  <c r="E106" i="42"/>
  <c r="E105" i="42"/>
  <c r="E101" i="42"/>
  <c r="E14" i="42"/>
  <c r="C130" i="41"/>
  <c r="E140" i="41"/>
  <c r="E123" i="41"/>
  <c r="E122" i="41"/>
  <c r="E116" i="41"/>
  <c r="E115" i="41"/>
  <c r="E113" i="41"/>
  <c r="E96" i="41"/>
  <c r="E17" i="41"/>
  <c r="E19" i="41"/>
  <c r="E14" i="41"/>
  <c r="C137" i="40"/>
  <c r="C128" i="40"/>
  <c r="C121" i="40"/>
  <c r="E107" i="39"/>
  <c r="E98" i="39"/>
  <c r="E97" i="39"/>
  <c r="E86" i="39"/>
  <c r="E76" i="39"/>
  <c r="E75" i="39"/>
  <c r="E74" i="39"/>
  <c r="E17" i="39"/>
  <c r="E18" i="39"/>
  <c r="E14" i="39"/>
  <c r="C131" i="38"/>
  <c r="C130" i="38"/>
  <c r="C129" i="38"/>
  <c r="C117" i="38"/>
  <c r="C116" i="38"/>
  <c r="C115" i="38"/>
  <c r="E136" i="38"/>
  <c r="E121" i="38"/>
  <c r="E75" i="37"/>
  <c r="E71" i="37"/>
  <c r="E18" i="37"/>
  <c r="E142" i="36"/>
  <c r="E140" i="36"/>
  <c r="E14" i="36"/>
  <c r="C187" i="35"/>
  <c r="C176" i="35"/>
  <c r="E184" i="35"/>
  <c r="E179" i="35"/>
  <c r="E127" i="35"/>
  <c r="E126" i="35"/>
  <c r="E125" i="35"/>
  <c r="E123" i="35"/>
  <c r="E15" i="35"/>
  <c r="E14" i="35"/>
  <c r="E239" i="34"/>
  <c r="E238" i="34"/>
  <c r="E216" i="34"/>
  <c r="E211" i="34"/>
  <c r="E174" i="34"/>
  <c r="E173" i="34"/>
  <c r="E172" i="34"/>
  <c r="E167" i="34"/>
  <c r="E166" i="34"/>
  <c r="E137" i="34"/>
  <c r="E121" i="34"/>
  <c r="E22" i="34"/>
  <c r="E21" i="34"/>
  <c r="E50" i="33"/>
  <c r="E38" i="33"/>
  <c r="E37" i="33"/>
  <c r="E17" i="33"/>
  <c r="E14" i="33"/>
  <c r="C145" i="32"/>
  <c r="J129" i="32"/>
  <c r="E142" i="32"/>
  <c r="E140" i="32"/>
  <c r="E139" i="32"/>
  <c r="E17" i="32"/>
  <c r="E14" i="32"/>
  <c r="P98" i="50" l="1"/>
  <c r="B129" i="50"/>
  <c r="F129" i="50" s="1"/>
  <c r="B37" i="50"/>
  <c r="I37" i="50" s="1"/>
  <c r="J167" i="34"/>
  <c r="P424" i="50"/>
  <c r="P283" i="50"/>
  <c r="J71" i="37"/>
  <c r="J72" i="37" s="1"/>
  <c r="B286" i="50" s="1"/>
  <c r="J86" i="39"/>
  <c r="J123" i="41"/>
  <c r="J37" i="33"/>
  <c r="J74" i="39"/>
  <c r="J97" i="39"/>
  <c r="J115" i="41"/>
  <c r="J121" i="38"/>
  <c r="J75" i="39"/>
  <c r="J98" i="39"/>
  <c r="J116" i="41"/>
  <c r="J105" i="42"/>
  <c r="J76" i="39"/>
  <c r="J106" i="42"/>
  <c r="J172" i="34"/>
  <c r="J137" i="34"/>
  <c r="J166" i="34"/>
  <c r="J211" i="34"/>
  <c r="J125" i="35"/>
  <c r="J179" i="35"/>
  <c r="J142" i="36"/>
  <c r="J126" i="35"/>
  <c r="J127" i="35"/>
  <c r="J123" i="35"/>
  <c r="J96" i="41"/>
  <c r="J122" i="41"/>
  <c r="J101" i="42"/>
  <c r="J140" i="41"/>
  <c r="E84" i="39"/>
  <c r="E203" i="34"/>
  <c r="E18" i="41"/>
  <c r="J177" i="35"/>
  <c r="J188" i="35"/>
  <c r="J132" i="32"/>
  <c r="E202" i="34"/>
  <c r="J145" i="32"/>
  <c r="J21" i="32"/>
  <c r="L129" i="50" l="1"/>
  <c r="E129" i="50"/>
  <c r="M129" i="50"/>
  <c r="O129" i="50"/>
  <c r="G129" i="50"/>
  <c r="N129" i="50"/>
  <c r="I129" i="50"/>
  <c r="J129" i="50"/>
  <c r="K129" i="50"/>
  <c r="D129" i="50"/>
  <c r="H129" i="50"/>
  <c r="J37" i="50"/>
  <c r="D37" i="50"/>
  <c r="H37" i="50"/>
  <c r="E37" i="50"/>
  <c r="L37" i="50"/>
  <c r="O37" i="50"/>
  <c r="B46" i="50"/>
  <c r="M46" i="50" s="1"/>
  <c r="B40" i="50"/>
  <c r="N40" i="50" s="1"/>
  <c r="F37" i="50"/>
  <c r="G37" i="50"/>
  <c r="M37" i="50"/>
  <c r="B132" i="50"/>
  <c r="H132" i="50" s="1"/>
  <c r="K37" i="50"/>
  <c r="N37" i="50"/>
  <c r="J107" i="42"/>
  <c r="B473" i="50" s="1"/>
  <c r="G473" i="50" s="1"/>
  <c r="L286" i="50"/>
  <c r="H286" i="50"/>
  <c r="D286" i="50"/>
  <c r="O286" i="50"/>
  <c r="J286" i="50"/>
  <c r="E286" i="50"/>
  <c r="M286" i="50"/>
  <c r="F286" i="50"/>
  <c r="K286" i="50"/>
  <c r="G286" i="50"/>
  <c r="N286" i="50"/>
  <c r="I286" i="50"/>
  <c r="J78" i="39"/>
  <c r="B510" i="50" s="1"/>
  <c r="J84" i="39"/>
  <c r="J203" i="34"/>
  <c r="J202" i="34"/>
  <c r="J98" i="41"/>
  <c r="J146" i="32"/>
  <c r="J136" i="32"/>
  <c r="L46" i="50" l="1"/>
  <c r="N46" i="50"/>
  <c r="D40" i="50"/>
  <c r="E40" i="50"/>
  <c r="O46" i="50"/>
  <c r="J46" i="50"/>
  <c r="K40" i="50"/>
  <c r="P129" i="50"/>
  <c r="M40" i="50"/>
  <c r="J132" i="50"/>
  <c r="L40" i="50"/>
  <c r="H40" i="50"/>
  <c r="J40" i="50"/>
  <c r="G40" i="50"/>
  <c r="I40" i="50"/>
  <c r="E132" i="50"/>
  <c r="F40" i="50"/>
  <c r="O40" i="50"/>
  <c r="L132" i="50"/>
  <c r="H46" i="50"/>
  <c r="G46" i="50"/>
  <c r="D132" i="50"/>
  <c r="P37" i="50"/>
  <c r="K46" i="50"/>
  <c r="E46" i="50"/>
  <c r="G132" i="50"/>
  <c r="F132" i="50"/>
  <c r="I46" i="50"/>
  <c r="D46" i="50"/>
  <c r="F46" i="50"/>
  <c r="K132" i="50"/>
  <c r="I132" i="50"/>
  <c r="B141" i="50"/>
  <c r="J141" i="50" s="1"/>
  <c r="N132" i="50"/>
  <c r="B135" i="50"/>
  <c r="L135" i="50" s="1"/>
  <c r="M132" i="50"/>
  <c r="O132" i="50"/>
  <c r="B77" i="50"/>
  <c r="L77" i="50" s="1"/>
  <c r="D473" i="50"/>
  <c r="H473" i="50"/>
  <c r="E473" i="50"/>
  <c r="F473" i="50"/>
  <c r="K473" i="50"/>
  <c r="L473" i="50"/>
  <c r="O473" i="50"/>
  <c r="I473" i="50"/>
  <c r="J473" i="50"/>
  <c r="M473" i="50"/>
  <c r="N473" i="50"/>
  <c r="P286" i="50"/>
  <c r="F135" i="50"/>
  <c r="I510" i="50"/>
  <c r="J510" i="50"/>
  <c r="E510" i="50"/>
  <c r="D510" i="50"/>
  <c r="L510" i="50"/>
  <c r="F510" i="50"/>
  <c r="O510" i="50"/>
  <c r="M510" i="50"/>
  <c r="K510" i="50"/>
  <c r="N510" i="50"/>
  <c r="H510" i="50"/>
  <c r="G510" i="50"/>
  <c r="D141" i="50" l="1"/>
  <c r="N141" i="50"/>
  <c r="K141" i="50"/>
  <c r="H141" i="50"/>
  <c r="P40" i="50"/>
  <c r="E135" i="50"/>
  <c r="G141" i="50"/>
  <c r="L141" i="50"/>
  <c r="K135" i="50"/>
  <c r="I141" i="50"/>
  <c r="O141" i="50"/>
  <c r="G135" i="50"/>
  <c r="M135" i="50"/>
  <c r="P46" i="50"/>
  <c r="I135" i="50"/>
  <c r="N135" i="50"/>
  <c r="D135" i="50"/>
  <c r="K77" i="50"/>
  <c r="M141" i="50"/>
  <c r="E141" i="50"/>
  <c r="D77" i="50"/>
  <c r="F141" i="50"/>
  <c r="F77" i="50"/>
  <c r="J135" i="50"/>
  <c r="H135" i="50"/>
  <c r="P132" i="50"/>
  <c r="O135" i="50"/>
  <c r="I77" i="50"/>
  <c r="H77" i="50"/>
  <c r="J77" i="50"/>
  <c r="M77" i="50"/>
  <c r="G77" i="50"/>
  <c r="E77" i="50"/>
  <c r="N77" i="50"/>
  <c r="O77" i="50"/>
  <c r="P473" i="50"/>
  <c r="P510" i="50"/>
  <c r="P141" i="50" l="1"/>
  <c r="P135" i="50"/>
  <c r="P77" i="50"/>
  <c r="G68" i="34" l="1"/>
  <c r="F68" i="34" l="1"/>
  <c r="I68" i="34" s="1"/>
  <c r="J68" i="34" s="1"/>
  <c r="G74" i="34" l="1"/>
  <c r="F74" i="34" l="1"/>
  <c r="I74" i="34" s="1"/>
  <c r="J74" i="34" s="1"/>
  <c r="H127" i="34" l="1"/>
  <c r="F127" i="34" l="1"/>
  <c r="G127" i="34" l="1"/>
  <c r="I127" i="34" l="1"/>
  <c r="J127" i="34" s="1"/>
  <c r="J31" i="1" l="1"/>
  <c r="G47" i="46" s="1"/>
  <c r="H47" i="46" s="1"/>
  <c r="H50" i="46" s="1"/>
  <c r="K323" i="31" l="1"/>
  <c r="K215" i="31"/>
  <c r="K214" i="31"/>
  <c r="K213" i="31"/>
  <c r="K265" i="31"/>
  <c r="K319" i="31"/>
  <c r="K307" i="31"/>
  <c r="K285" i="31"/>
  <c r="K396" i="31"/>
  <c r="K371" i="31"/>
  <c r="K358" i="31"/>
  <c r="K310" i="31"/>
  <c r="K404" i="31"/>
  <c r="K342" i="31"/>
  <c r="K313" i="31"/>
  <c r="K269" i="31"/>
  <c r="K394" i="31"/>
  <c r="K350" i="31"/>
  <c r="K324" i="31"/>
  <c r="K259" i="31"/>
  <c r="K221" i="31"/>
  <c r="K343" i="31"/>
  <c r="K292" i="31"/>
  <c r="K253" i="31"/>
  <c r="K306" i="31"/>
  <c r="K223" i="31"/>
  <c r="K332" i="31"/>
  <c r="K296" i="31"/>
  <c r="K408" i="31"/>
  <c r="K379" i="31"/>
  <c r="K335" i="31"/>
  <c r="K303" i="31"/>
  <c r="K260" i="31"/>
  <c r="K261" i="31"/>
  <c r="K220" i="31"/>
  <c r="K368" i="31"/>
  <c r="K298" i="31"/>
  <c r="K266" i="31"/>
  <c r="K309" i="31"/>
  <c r="K278" i="31"/>
  <c r="K256" i="31"/>
  <c r="K216" i="31"/>
  <c r="K321" i="31"/>
  <c r="K291" i="31"/>
  <c r="K218" i="31"/>
  <c r="K364" i="31"/>
  <c r="K369" i="31"/>
  <c r="K398" i="31"/>
  <c r="K354" i="31"/>
  <c r="K360" i="31"/>
  <c r="K318" i="31"/>
  <c r="K249" i="31"/>
  <c r="K338" i="31"/>
  <c r="K281" i="31"/>
  <c r="K255" i="31"/>
  <c r="K373" i="31"/>
  <c r="K334" i="31"/>
  <c r="K302" i="31"/>
  <c r="K272" i="31"/>
  <c r="K250" i="31"/>
  <c r="K362" i="31"/>
  <c r="K314" i="31"/>
  <c r="K282" i="31"/>
  <c r="K331" i="31"/>
  <c r="K226" i="31"/>
  <c r="K227" i="31"/>
  <c r="K329" i="31"/>
  <c r="K351" i="31"/>
  <c r="K325" i="31"/>
  <c r="K275" i="31"/>
  <c r="K252" i="31"/>
  <c r="K365" i="31"/>
  <c r="K328" i="31"/>
  <c r="K295" i="31"/>
  <c r="K405" i="31"/>
  <c r="K357" i="31"/>
  <c r="K299" i="31"/>
  <c r="K267" i="31"/>
  <c r="K320" i="31"/>
  <c r="K341" i="31"/>
  <c r="K393" i="31"/>
  <c r="K287" i="31"/>
  <c r="K333" i="31"/>
  <c r="K347" i="31"/>
  <c r="K377" i="31"/>
  <c r="K339" i="31"/>
  <c r="K378" i="31"/>
  <c r="K363" i="31"/>
  <c r="K289" i="31"/>
  <c r="K397" i="31"/>
  <c r="K288" i="31"/>
  <c r="K370" i="31"/>
  <c r="H51" i="32"/>
  <c r="K164" i="31"/>
  <c r="K198" i="31"/>
  <c r="H109" i="32"/>
  <c r="H66" i="40"/>
  <c r="K401" i="31" l="1"/>
  <c r="K229" i="31" l="1"/>
  <c r="K231" i="31"/>
  <c r="K230" i="31"/>
  <c r="K232" i="31"/>
  <c r="F366" i="31" l="1"/>
  <c r="K366" i="31" l="1"/>
  <c r="H73" i="42"/>
  <c r="K361" i="31"/>
  <c r="K381" i="31" l="1"/>
  <c r="K383" i="31"/>
  <c r="K382" i="31"/>
  <c r="K387" i="31"/>
  <c r="K384" i="31"/>
  <c r="K385" i="31"/>
  <c r="K376" i="31"/>
  <c r="D25" i="31" l="1"/>
  <c r="D46" i="31"/>
  <c r="D15" i="31"/>
  <c r="E6" i="31"/>
  <c r="D6" i="31"/>
  <c r="D71" i="31"/>
  <c r="D23" i="31"/>
  <c r="E46" i="31"/>
  <c r="G26" i="31"/>
  <c r="G28" i="31"/>
  <c r="D16" i="31"/>
  <c r="E71" i="31"/>
  <c r="G188" i="1" s="1"/>
  <c r="C217" i="31"/>
  <c r="C275" i="31"/>
  <c r="C240" i="31"/>
  <c r="D33" i="1" s="1"/>
  <c r="C392" i="31"/>
  <c r="C354" i="31"/>
  <c r="C232" i="31"/>
  <c r="D183" i="1" s="1"/>
  <c r="C379" i="31"/>
  <c r="D59" i="32" s="1"/>
  <c r="C410" i="31"/>
  <c r="D85" i="35" s="1"/>
  <c r="F75" i="31"/>
  <c r="C95" i="31"/>
  <c r="D46" i="40" s="1"/>
  <c r="F53" i="31"/>
  <c r="B294" i="31"/>
  <c r="C370" i="31"/>
  <c r="D95" i="35" s="1"/>
  <c r="C385" i="31"/>
  <c r="D55" i="35" s="1"/>
  <c r="C400" i="31"/>
  <c r="F154" i="31"/>
  <c r="B143" i="31"/>
  <c r="C353" i="31"/>
  <c r="D91" i="40" s="1"/>
  <c r="C300" i="31"/>
  <c r="D62" i="42" s="1"/>
  <c r="C351" i="31"/>
  <c r="D88" i="40" s="1"/>
  <c r="C219" i="31"/>
  <c r="F109" i="31"/>
  <c r="C163" i="31"/>
  <c r="D220" i="34" s="1"/>
  <c r="B409" i="31"/>
  <c r="C249" i="31"/>
  <c r="D75" i="1" s="1"/>
  <c r="E16" i="31"/>
  <c r="G191" i="1" s="1"/>
  <c r="C142" i="31"/>
  <c r="B367" i="31"/>
  <c r="I367" i="31" s="1"/>
  <c r="C374" i="31"/>
  <c r="C218" i="31"/>
  <c r="C222" i="31"/>
  <c r="C274" i="31"/>
  <c r="D27" i="39" s="1"/>
  <c r="C281" i="31"/>
  <c r="D42" i="42" s="1"/>
  <c r="F107" i="31"/>
  <c r="F48" i="31"/>
  <c r="F209" i="31"/>
  <c r="F194" i="31"/>
  <c r="C75" i="31"/>
  <c r="E28" i="31"/>
  <c r="J28" i="31" s="1"/>
  <c r="B335" i="31"/>
  <c r="B59" i="31"/>
  <c r="B203" i="31"/>
  <c r="C204" i="31"/>
  <c r="D151" i="1" s="1"/>
  <c r="C54" i="31"/>
  <c r="B416" i="31"/>
  <c r="C67" i="35" s="1"/>
  <c r="C34" i="31"/>
  <c r="D20" i="1" s="1"/>
  <c r="C33" i="31"/>
  <c r="B376" i="31"/>
  <c r="F155" i="31"/>
  <c r="F97" i="31"/>
  <c r="C42" i="31"/>
  <c r="D113" i="41" s="1"/>
  <c r="B295" i="31"/>
  <c r="B333" i="31"/>
  <c r="F191" i="31"/>
  <c r="F147" i="31"/>
  <c r="C200" i="31"/>
  <c r="D141" i="1" s="1"/>
  <c r="C26" i="31"/>
  <c r="D160" i="1" s="1"/>
  <c r="F81" i="31"/>
  <c r="B241" i="31"/>
  <c r="B57" i="31"/>
  <c r="B114" i="31"/>
  <c r="B72" i="31"/>
  <c r="B383" i="31"/>
  <c r="I383" i="31" s="1"/>
  <c r="C398" i="31"/>
  <c r="C366" i="31"/>
  <c r="D73" i="42" s="1"/>
  <c r="C407" i="31"/>
  <c r="D74" i="35" s="1"/>
  <c r="F28" i="31"/>
  <c r="K28" i="31" s="1"/>
  <c r="C248" i="31"/>
  <c r="D40" i="1" s="1"/>
  <c r="C231" i="31"/>
  <c r="D128" i="1" s="1"/>
  <c r="C333" i="31"/>
  <c r="C294" i="31"/>
  <c r="D52" i="42" s="1"/>
  <c r="C381" i="31"/>
  <c r="C81" i="31"/>
  <c r="D144" i="34" s="1"/>
  <c r="C83" i="31"/>
  <c r="C52" i="31"/>
  <c r="D187" i="34" s="1"/>
  <c r="C364" i="31"/>
  <c r="C346" i="31"/>
  <c r="D136" i="38" s="1"/>
  <c r="C393" i="31"/>
  <c r="E15" i="31"/>
  <c r="G192" i="1" s="1"/>
  <c r="F43" i="31"/>
  <c r="K43" i="31" s="1"/>
  <c r="F35" i="31"/>
  <c r="C378" i="31"/>
  <c r="D66" i="35" s="1"/>
  <c r="C245" i="31"/>
  <c r="C223" i="31"/>
  <c r="C326" i="31"/>
  <c r="D35" i="32" s="1"/>
  <c r="F121" i="31"/>
  <c r="F59" i="31"/>
  <c r="F180" i="31"/>
  <c r="C239" i="31"/>
  <c r="D30" i="1" s="1"/>
  <c r="C368" i="31"/>
  <c r="F106" i="31"/>
  <c r="C65" i="31"/>
  <c r="D91" i="1" s="1"/>
  <c r="C304" i="31"/>
  <c r="D39" i="38" s="1"/>
  <c r="C316" i="31"/>
  <c r="D64" i="42" s="1"/>
  <c r="C365" i="31"/>
  <c r="D66" i="1" s="1"/>
  <c r="C310" i="31"/>
  <c r="F120" i="31"/>
  <c r="C31" i="31"/>
  <c r="D196" i="34" s="1"/>
  <c r="F14" i="31"/>
  <c r="F179" i="31"/>
  <c r="C199" i="31"/>
  <c r="D80" i="1" s="1"/>
  <c r="F32" i="31"/>
  <c r="B329" i="31"/>
  <c r="I329" i="31" s="1"/>
  <c r="B250" i="31"/>
  <c r="C180" i="31"/>
  <c r="D130" i="36" s="1"/>
  <c r="F427" i="31"/>
  <c r="C133" i="31"/>
  <c r="B205" i="31"/>
  <c r="C119" i="31"/>
  <c r="C22" i="31"/>
  <c r="C126" i="31"/>
  <c r="B274" i="31"/>
  <c r="B291" i="31"/>
  <c r="C101" i="31"/>
  <c r="F189" i="31"/>
  <c r="B284" i="31"/>
  <c r="F88" i="31"/>
  <c r="C208" i="31"/>
  <c r="D132" i="1" s="1"/>
  <c r="B351" i="31"/>
  <c r="B13" i="31"/>
  <c r="B26" i="31"/>
  <c r="C302" i="31"/>
  <c r="D31" i="39" s="1"/>
  <c r="C328" i="31"/>
  <c r="C426" i="31"/>
  <c r="C234" i="31"/>
  <c r="D25" i="1" s="1"/>
  <c r="C262" i="31"/>
  <c r="D28" i="42" s="1"/>
  <c r="C273" i="31"/>
  <c r="D34" i="42" s="1"/>
  <c r="C90" i="31"/>
  <c r="F29" i="31"/>
  <c r="B113" i="31"/>
  <c r="C373" i="31"/>
  <c r="F47" i="31"/>
  <c r="B12" i="31"/>
  <c r="I12" i="31" s="1"/>
  <c r="C250" i="31"/>
  <c r="D168" i="34" s="1"/>
  <c r="C271" i="31"/>
  <c r="D30" i="38" s="1"/>
  <c r="C389" i="31"/>
  <c r="C347" i="31"/>
  <c r="D44" i="39" s="1"/>
  <c r="C307" i="31"/>
  <c r="D43" i="38" s="1"/>
  <c r="C164" i="31"/>
  <c r="D162" i="34" s="1"/>
  <c r="F22" i="31"/>
  <c r="C277" i="31"/>
  <c r="C335" i="31"/>
  <c r="D26" i="31"/>
  <c r="C282" i="31"/>
  <c r="D43" i="42" s="1"/>
  <c r="F56" i="31"/>
  <c r="C51" i="31"/>
  <c r="B118" i="31"/>
  <c r="F162" i="31"/>
  <c r="F19" i="31"/>
  <c r="B353" i="31"/>
  <c r="B95" i="31"/>
  <c r="C187" i="31"/>
  <c r="D137" i="36" s="1"/>
  <c r="B345" i="31"/>
  <c r="C92" i="31"/>
  <c r="B410" i="31"/>
  <c r="C85" i="35" s="1"/>
  <c r="B310" i="31"/>
  <c r="B430" i="31"/>
  <c r="C86" i="37" s="1"/>
  <c r="C182" i="31"/>
  <c r="D132" i="36" s="1"/>
  <c r="F8" i="31"/>
  <c r="B339" i="31"/>
  <c r="B104" i="31"/>
  <c r="B125" i="31"/>
  <c r="B222" i="31"/>
  <c r="F142" i="31"/>
  <c r="F210" i="31"/>
  <c r="C91" i="31"/>
  <c r="F94" i="31"/>
  <c r="C118" i="31"/>
  <c r="C86" i="31"/>
  <c r="D17" i="1" s="1"/>
  <c r="B278" i="31"/>
  <c r="F17" i="31"/>
  <c r="F7" i="31"/>
  <c r="B358" i="31"/>
  <c r="B357" i="31"/>
  <c r="B66" i="31"/>
  <c r="B397" i="31"/>
  <c r="I397" i="31" s="1"/>
  <c r="B56" i="31"/>
  <c r="B210" i="31"/>
  <c r="B267" i="31"/>
  <c r="B157" i="31"/>
  <c r="E23" i="31"/>
  <c r="C330" i="31"/>
  <c r="C220" i="31"/>
  <c r="D92" i="35" s="1"/>
  <c r="C276" i="31"/>
  <c r="D37" i="42" s="1"/>
  <c r="C334" i="31"/>
  <c r="C298" i="31"/>
  <c r="D59" i="42" s="1"/>
  <c r="C327" i="31"/>
  <c r="C406" i="31"/>
  <c r="F187" i="31"/>
  <c r="C177" i="31"/>
  <c r="D127" i="36" s="1"/>
  <c r="C23" i="31"/>
  <c r="C416" i="31"/>
  <c r="D67" i="35" s="1"/>
  <c r="C224" i="31"/>
  <c r="D82" i="35" s="1"/>
  <c r="C237" i="31"/>
  <c r="D28" i="1" s="1"/>
  <c r="F211" i="31"/>
  <c r="C158" i="31"/>
  <c r="D88" i="37" s="1"/>
  <c r="C394" i="31"/>
  <c r="C329" i="31"/>
  <c r="C233" i="31"/>
  <c r="D24" i="1" s="1"/>
  <c r="C216" i="31"/>
  <c r="C215" i="31"/>
  <c r="C145" i="31"/>
  <c r="D160" i="34" s="1"/>
  <c r="C137" i="31"/>
  <c r="C121" i="31"/>
  <c r="B46" i="31"/>
  <c r="C324" i="31"/>
  <c r="C315" i="31"/>
  <c r="D94" i="1" s="1"/>
  <c r="E239" i="31"/>
  <c r="G30" i="1" s="1"/>
  <c r="C238" i="31"/>
  <c r="D29" i="1" s="1"/>
  <c r="C313" i="31"/>
  <c r="D92" i="1" s="1"/>
  <c r="C297" i="31"/>
  <c r="D57" i="42" s="1"/>
  <c r="C318" i="31"/>
  <c r="D66" i="42" s="1"/>
  <c r="C260" i="31"/>
  <c r="F184" i="31"/>
  <c r="H134" i="36" s="1"/>
  <c r="F76" i="31"/>
  <c r="F207" i="31"/>
  <c r="F192" i="31"/>
  <c r="C10" i="31"/>
  <c r="D117" i="32" s="1"/>
  <c r="B213" i="31"/>
  <c r="B265" i="31"/>
  <c r="C127" i="31"/>
  <c r="C55" i="31"/>
  <c r="D44" i="37" s="1"/>
  <c r="C129" i="31"/>
  <c r="D204" i="35" s="1"/>
  <c r="B328" i="31"/>
  <c r="I328" i="31" s="1"/>
  <c r="F134" i="31"/>
  <c r="B311" i="31"/>
  <c r="B80" i="31"/>
  <c r="C71" i="31"/>
  <c r="D188" i="1" s="1"/>
  <c r="B378" i="31"/>
  <c r="B327" i="31"/>
  <c r="C41" i="31"/>
  <c r="D112" i="41" s="1"/>
  <c r="B322" i="31"/>
  <c r="B84" i="31"/>
  <c r="F138" i="31"/>
  <c r="B316" i="31"/>
  <c r="B128" i="31"/>
  <c r="B146" i="31"/>
  <c r="B34" i="31"/>
  <c r="C428" i="31"/>
  <c r="C419" i="31"/>
  <c r="D115" i="1" s="1"/>
  <c r="C321" i="31"/>
  <c r="D70" i="42" s="1"/>
  <c r="C235" i="31"/>
  <c r="D26" i="1" s="1"/>
  <c r="C360" i="31"/>
  <c r="D107" i="36" s="1"/>
  <c r="C288" i="31"/>
  <c r="D50" i="42" s="1"/>
  <c r="C401" i="31"/>
  <c r="F201" i="31"/>
  <c r="F131" i="31"/>
  <c r="F113" i="31"/>
  <c r="C314" i="31"/>
  <c r="D93" i="1" s="1"/>
  <c r="C411" i="31"/>
  <c r="D197" i="1" s="1"/>
  <c r="C236" i="31"/>
  <c r="D27" i="1" s="1"/>
  <c r="C227" i="31"/>
  <c r="D71" i="35" s="1"/>
  <c r="C272" i="31"/>
  <c r="D32" i="38" s="1"/>
  <c r="C317" i="31"/>
  <c r="D65" i="42" s="1"/>
  <c r="F165" i="31"/>
  <c r="C63" i="31"/>
  <c r="D86" i="1" s="1"/>
  <c r="F152" i="31"/>
  <c r="C306" i="31"/>
  <c r="D78" i="1" s="1"/>
  <c r="C350" i="31"/>
  <c r="C308" i="31"/>
  <c r="D44" i="38" s="1"/>
  <c r="C261" i="31"/>
  <c r="D27" i="42" s="1"/>
  <c r="C396" i="31"/>
  <c r="D58" i="32" s="1"/>
  <c r="C371" i="31"/>
  <c r="C214" i="31"/>
  <c r="C185" i="31"/>
  <c r="D135" i="36" s="1"/>
  <c r="F115" i="31"/>
  <c r="B60" i="31"/>
  <c r="C172" i="31"/>
  <c r="D119" i="36" s="1"/>
  <c r="B227" i="31"/>
  <c r="C203" i="31"/>
  <c r="C173" i="31"/>
  <c r="D120" i="36" s="1"/>
  <c r="F196" i="31"/>
  <c r="C6" i="31"/>
  <c r="D185" i="34" s="1"/>
  <c r="B399" i="31"/>
  <c r="F110" i="31"/>
  <c r="F21" i="31"/>
  <c r="B375" i="31"/>
  <c r="C24" i="31"/>
  <c r="B245" i="31"/>
  <c r="I245" i="31" s="1"/>
  <c r="B395" i="31"/>
  <c r="F117" i="31"/>
  <c r="C151" i="31"/>
  <c r="B393" i="31"/>
  <c r="B33" i="31"/>
  <c r="B372" i="31"/>
  <c r="B111" i="31"/>
  <c r="B364" i="31"/>
  <c r="I364" i="31" s="1"/>
  <c r="C390" i="31"/>
  <c r="D60" i="35" s="1"/>
  <c r="C355" i="31"/>
  <c r="D77" i="41" s="1"/>
  <c r="C252" i="31"/>
  <c r="C340" i="31"/>
  <c r="D87" i="38" s="1"/>
  <c r="C384" i="31"/>
  <c r="C427" i="31"/>
  <c r="F200" i="31"/>
  <c r="B420" i="31"/>
  <c r="C116" i="1" s="1"/>
  <c r="C403" i="31"/>
  <c r="D98" i="1" s="1"/>
  <c r="C265" i="31"/>
  <c r="D31" i="42" s="1"/>
  <c r="F146" i="31"/>
  <c r="F140" i="31"/>
  <c r="C40" i="31"/>
  <c r="D243" i="34" s="1"/>
  <c r="C356" i="31"/>
  <c r="D74" i="41" s="1"/>
  <c r="C259" i="31"/>
  <c r="D23" i="38" s="1"/>
  <c r="C266" i="31"/>
  <c r="D26" i="38" s="1"/>
  <c r="C343" i="31"/>
  <c r="C146" i="31"/>
  <c r="C424" i="31"/>
  <c r="C18" i="31"/>
  <c r="C349" i="31"/>
  <c r="D70" i="41" s="1"/>
  <c r="C421" i="31"/>
  <c r="D117" i="1" s="1"/>
  <c r="C105" i="31"/>
  <c r="C301" i="31"/>
  <c r="C264" i="31"/>
  <c r="D30" i="42" s="1"/>
  <c r="C287" i="31"/>
  <c r="D48" i="42" s="1"/>
  <c r="C382" i="31"/>
  <c r="D44" i="32" s="1"/>
  <c r="C256" i="31"/>
  <c r="F188" i="31"/>
  <c r="F73" i="31"/>
  <c r="F149" i="31"/>
  <c r="C167" i="31"/>
  <c r="D83" i="42" s="1"/>
  <c r="C153" i="31"/>
  <c r="C184" i="31"/>
  <c r="D134" i="36" s="1"/>
  <c r="C13" i="31"/>
  <c r="D200" i="1" s="1"/>
  <c r="B61" i="31"/>
  <c r="I61" i="31" s="1"/>
  <c r="B271" i="31"/>
  <c r="F50" i="31"/>
  <c r="C383" i="31"/>
  <c r="C241" i="31"/>
  <c r="D35" i="1" s="1"/>
  <c r="C409" i="31"/>
  <c r="C352" i="31"/>
  <c r="D63" i="39" s="1"/>
  <c r="C291" i="31"/>
  <c r="D30" i="39" s="1"/>
  <c r="C414" i="31"/>
  <c r="D70" i="35" s="1"/>
  <c r="C254" i="31"/>
  <c r="D73" i="35" s="1"/>
  <c r="C363" i="31"/>
  <c r="C359" i="31"/>
  <c r="C305" i="31"/>
  <c r="D54" i="42" s="1"/>
  <c r="C337" i="31"/>
  <c r="C244" i="31"/>
  <c r="D38" i="1" s="1"/>
  <c r="C251" i="31"/>
  <c r="D89" i="42" s="1"/>
  <c r="C375" i="31"/>
  <c r="C387" i="31"/>
  <c r="D28" i="31"/>
  <c r="F136" i="31"/>
  <c r="K136" i="31" s="1"/>
  <c r="C69" i="31"/>
  <c r="F93" i="31"/>
  <c r="F156" i="31"/>
  <c r="F160" i="31"/>
  <c r="C195" i="31"/>
  <c r="F79" i="31"/>
  <c r="C139" i="31"/>
  <c r="D33" i="40" s="1"/>
  <c r="B270" i="31"/>
  <c r="I270" i="31" s="1"/>
  <c r="B226" i="31"/>
  <c r="C284" i="31"/>
  <c r="D45" i="42" s="1"/>
  <c r="C388" i="31"/>
  <c r="E25" i="31"/>
  <c r="C391" i="31"/>
  <c r="C418" i="31"/>
  <c r="D96" i="35" s="1"/>
  <c r="C325" i="31"/>
  <c r="D62" i="34" s="1"/>
  <c r="C280" i="31"/>
  <c r="F208" i="31"/>
  <c r="C269" i="31"/>
  <c r="D27" i="38" s="1"/>
  <c r="C415" i="31"/>
  <c r="D90" i="35" s="1"/>
  <c r="C290" i="31"/>
  <c r="D37" i="38" s="1"/>
  <c r="C230" i="31"/>
  <c r="D119" i="1" s="1"/>
  <c r="F4" i="31"/>
  <c r="C402" i="31"/>
  <c r="C338" i="31"/>
  <c r="C323" i="31"/>
  <c r="D42" i="41" s="1"/>
  <c r="F6" i="31"/>
  <c r="C358" i="31"/>
  <c r="C408" i="31"/>
  <c r="D89" i="35" s="1"/>
  <c r="C417" i="31"/>
  <c r="D76" i="35" s="1"/>
  <c r="C342" i="31"/>
  <c r="D112" i="36" s="1"/>
  <c r="C322" i="31"/>
  <c r="C116" i="31"/>
  <c r="D109" i="41" s="1"/>
  <c r="B355" i="31"/>
  <c r="C344" i="31"/>
  <c r="D90" i="38" s="1"/>
  <c r="C399" i="31"/>
  <c r="C226" i="31"/>
  <c r="D157" i="35" s="1"/>
  <c r="C309" i="31"/>
  <c r="C341" i="31"/>
  <c r="D89" i="38" s="1"/>
  <c r="C320" i="31"/>
  <c r="D69" i="42" s="1"/>
  <c r="C380" i="31"/>
  <c r="D38" i="32" s="1"/>
  <c r="C376" i="31"/>
  <c r="D51" i="32" s="1"/>
  <c r="C279" i="31"/>
  <c r="D41" i="42" s="1"/>
  <c r="C345" i="31"/>
  <c r="D99" i="38" s="1"/>
  <c r="C405" i="31"/>
  <c r="B4" i="31"/>
  <c r="C122" i="31"/>
  <c r="F175" i="31"/>
  <c r="B220" i="31"/>
  <c r="C191" i="31"/>
  <c r="D79" i="1" s="1"/>
  <c r="C178" i="31"/>
  <c r="D128" i="36" s="1"/>
  <c r="C144" i="31"/>
  <c r="B389" i="31"/>
  <c r="B280" i="31"/>
  <c r="F163" i="31"/>
  <c r="F174" i="31"/>
  <c r="F197" i="31"/>
  <c r="C114" i="31"/>
  <c r="F139" i="31"/>
  <c r="C110" i="31"/>
  <c r="F11" i="31"/>
  <c r="F26" i="31"/>
  <c r="B304" i="31"/>
  <c r="B262" i="31"/>
  <c r="B261" i="31"/>
  <c r="B116" i="31"/>
  <c r="F92" i="31"/>
  <c r="F204" i="31"/>
  <c r="C161" i="31"/>
  <c r="F54" i="31"/>
  <c r="F13" i="31"/>
  <c r="B216" i="31"/>
  <c r="B236" i="31"/>
  <c r="B101" i="31"/>
  <c r="C154" i="31"/>
  <c r="D43" i="37" s="1"/>
  <c r="C131" i="31"/>
  <c r="B398" i="31"/>
  <c r="I398" i="31" s="1"/>
  <c r="B178" i="31"/>
  <c r="B195" i="31"/>
  <c r="I195" i="31" s="1"/>
  <c r="F128" i="31"/>
  <c r="F105" i="31"/>
  <c r="F157" i="31"/>
  <c r="B359" i="31"/>
  <c r="I359" i="31" s="1"/>
  <c r="B171" i="31"/>
  <c r="B231" i="31"/>
  <c r="C169" i="31"/>
  <c r="D130" i="35" s="1"/>
  <c r="B338" i="31"/>
  <c r="I338" i="31" s="1"/>
  <c r="B381" i="31"/>
  <c r="B189" i="31"/>
  <c r="B7" i="31"/>
  <c r="I7" i="31" s="1"/>
  <c r="B244" i="31"/>
  <c r="B149" i="31"/>
  <c r="B145" i="31"/>
  <c r="F84" i="31"/>
  <c r="C166" i="31"/>
  <c r="D141" i="36" s="1"/>
  <c r="F195" i="31"/>
  <c r="K195" i="31" s="1"/>
  <c r="C143" i="31"/>
  <c r="F206" i="31"/>
  <c r="C160" i="31"/>
  <c r="C5" i="31"/>
  <c r="D96" i="42" s="1"/>
  <c r="C156" i="31"/>
  <c r="D72" i="35" s="1"/>
  <c r="B306" i="31"/>
  <c r="C377" i="31"/>
  <c r="C198" i="31"/>
  <c r="D129" i="1" s="1"/>
  <c r="C255" i="31"/>
  <c r="D22" i="42" s="1"/>
  <c r="C296" i="31"/>
  <c r="D37" i="41" s="1"/>
  <c r="C404" i="31"/>
  <c r="D91" i="35" s="1"/>
  <c r="C361" i="31"/>
  <c r="D94" i="36" s="1"/>
  <c r="C268" i="31"/>
  <c r="D24" i="39" s="1"/>
  <c r="F127" i="31"/>
  <c r="F202" i="31"/>
  <c r="F119" i="31"/>
  <c r="B303" i="31"/>
  <c r="B97" i="31"/>
  <c r="C270" i="31"/>
  <c r="C257" i="31"/>
  <c r="D24" i="42" s="1"/>
  <c r="C369" i="31"/>
  <c r="C247" i="31"/>
  <c r="C295" i="31"/>
  <c r="D55" i="42" s="1"/>
  <c r="C412" i="31"/>
  <c r="C225" i="31"/>
  <c r="C413" i="31"/>
  <c r="C339" i="31"/>
  <c r="C311" i="31"/>
  <c r="C292" i="31"/>
  <c r="C331" i="31"/>
  <c r="D104" i="32" s="1"/>
  <c r="C221" i="31"/>
  <c r="D75" i="35" s="1"/>
  <c r="C229" i="31"/>
  <c r="D120" i="1" s="1"/>
  <c r="C213" i="31"/>
  <c r="C228" i="31"/>
  <c r="C372" i="31"/>
  <c r="D56" i="32" s="1"/>
  <c r="C299" i="31"/>
  <c r="C367" i="31"/>
  <c r="C267" i="31"/>
  <c r="C20" i="31"/>
  <c r="D196" i="1" s="1"/>
  <c r="C9" i="31"/>
  <c r="D115" i="32" s="1"/>
  <c r="C206" i="31"/>
  <c r="D150" i="1" s="1"/>
  <c r="C88" i="31"/>
  <c r="F166" i="31"/>
  <c r="F87" i="31"/>
  <c r="C17" i="31"/>
  <c r="D193" i="1" s="1"/>
  <c r="B394" i="31"/>
  <c r="I394" i="31" s="1"/>
  <c r="B349" i="31"/>
  <c r="B151" i="31"/>
  <c r="C93" i="31"/>
  <c r="C89" i="31"/>
  <c r="C79" i="31"/>
  <c r="C125" i="31"/>
  <c r="D191" i="35" s="1"/>
  <c r="F153" i="31"/>
  <c r="F23" i="31"/>
  <c r="C141" i="31"/>
  <c r="D57" i="32" s="1"/>
  <c r="C104" i="31"/>
  <c r="C196" i="31"/>
  <c r="D60" i="41" s="1"/>
  <c r="B343" i="31"/>
  <c r="B331" i="31"/>
  <c r="B330" i="31"/>
  <c r="B86" i="31"/>
  <c r="B412" i="31"/>
  <c r="B96" i="31"/>
  <c r="B38" i="31"/>
  <c r="B130" i="31"/>
  <c r="F82" i="31"/>
  <c r="C53" i="31"/>
  <c r="D189" i="34" s="1"/>
  <c r="C74" i="31"/>
  <c r="C190" i="31"/>
  <c r="D42" i="32" s="1"/>
  <c r="F135" i="31"/>
  <c r="K135" i="31" s="1"/>
  <c r="C430" i="31"/>
  <c r="D86" i="37" s="1"/>
  <c r="F124" i="31"/>
  <c r="F150" i="31"/>
  <c r="F67" i="31"/>
  <c r="C135" i="31"/>
  <c r="C98" i="31"/>
  <c r="D25" i="37" s="1"/>
  <c r="F96" i="31"/>
  <c r="F132" i="31"/>
  <c r="B240" i="31"/>
  <c r="B156" i="31"/>
  <c r="B211" i="31"/>
  <c r="B36" i="31"/>
  <c r="B67" i="31"/>
  <c r="F182" i="31"/>
  <c r="C112" i="31"/>
  <c r="C27" i="31"/>
  <c r="D161" i="1" s="1"/>
  <c r="C128" i="31"/>
  <c r="C85" i="31"/>
  <c r="F77" i="31"/>
  <c r="B370" i="31"/>
  <c r="B417" i="31"/>
  <c r="C76" i="35" s="1"/>
  <c r="B126" i="31"/>
  <c r="B158" i="31"/>
  <c r="B225" i="31"/>
  <c r="B19" i="31"/>
  <c r="B49" i="31"/>
  <c r="F111" i="31"/>
  <c r="C211" i="31"/>
  <c r="C94" i="31"/>
  <c r="F63" i="31"/>
  <c r="B411" i="31"/>
  <c r="C197" i="1" s="1"/>
  <c r="B308" i="31"/>
  <c r="B179" i="31"/>
  <c r="B346" i="31"/>
  <c r="B204" i="31"/>
  <c r="B208" i="31"/>
  <c r="B352" i="31"/>
  <c r="B257" i="31"/>
  <c r="B161" i="31"/>
  <c r="B55" i="31"/>
  <c r="C209" i="31"/>
  <c r="D139" i="1" s="1"/>
  <c r="F116" i="31"/>
  <c r="F212" i="31"/>
  <c r="C113" i="31"/>
  <c r="F190" i="31"/>
  <c r="F145" i="31"/>
  <c r="C193" i="31"/>
  <c r="D29" i="39" s="1"/>
  <c r="F44" i="31"/>
  <c r="K44" i="31" s="1"/>
  <c r="F62" i="31"/>
  <c r="B402" i="31"/>
  <c r="I402" i="31" s="1"/>
  <c r="B248" i="31"/>
  <c r="B315" i="31"/>
  <c r="B168" i="31"/>
  <c r="B379" i="31"/>
  <c r="B74" i="31"/>
  <c r="I74" i="31" s="1"/>
  <c r="B109" i="31"/>
  <c r="C14" i="31"/>
  <c r="D91" i="39" s="1"/>
  <c r="C130" i="31"/>
  <c r="C28" i="31"/>
  <c r="B201" i="31"/>
  <c r="B217" i="31"/>
  <c r="B192" i="31"/>
  <c r="B277" i="31"/>
  <c r="B209" i="31"/>
  <c r="B215" i="31"/>
  <c r="B63" i="31"/>
  <c r="B123" i="31"/>
  <c r="B89" i="31"/>
  <c r="B387" i="31"/>
  <c r="B122" i="31"/>
  <c r="B219" i="31"/>
  <c r="B214" i="31"/>
  <c r="C77" i="31"/>
  <c r="F60" i="31"/>
  <c r="F122" i="31"/>
  <c r="C179" i="31"/>
  <c r="D129" i="36" s="1"/>
  <c r="C263" i="31"/>
  <c r="D74" i="1" s="1"/>
  <c r="C395" i="31"/>
  <c r="D41" i="32" s="1"/>
  <c r="E236" i="31"/>
  <c r="C303" i="31"/>
  <c r="D38" i="38" s="1"/>
  <c r="C397" i="31"/>
  <c r="C332" i="31"/>
  <c r="C420" i="31"/>
  <c r="D116" i="1" s="1"/>
  <c r="C162" i="31"/>
  <c r="F41" i="31"/>
  <c r="F171" i="31"/>
  <c r="C285" i="31"/>
  <c r="E26" i="31"/>
  <c r="C319" i="31"/>
  <c r="D67" i="42" s="1"/>
  <c r="C312" i="31"/>
  <c r="C283" i="31"/>
  <c r="D44" i="42" s="1"/>
  <c r="C278" i="31"/>
  <c r="D39" i="42" s="1"/>
  <c r="C357" i="31"/>
  <c r="D102" i="40" s="1"/>
  <c r="E240" i="31"/>
  <c r="C293" i="31"/>
  <c r="D38" i="35" s="1"/>
  <c r="C243" i="31"/>
  <c r="D37" i="1" s="1"/>
  <c r="C246" i="31"/>
  <c r="D39" i="1" s="1"/>
  <c r="C242" i="31"/>
  <c r="D36" i="1" s="1"/>
  <c r="C348" i="31"/>
  <c r="D69" i="41" s="1"/>
  <c r="C258" i="31"/>
  <c r="C253" i="31"/>
  <c r="C362" i="31"/>
  <c r="D123" i="36" s="1"/>
  <c r="C386" i="31"/>
  <c r="C336" i="31"/>
  <c r="D34" i="34" s="1"/>
  <c r="C289" i="31"/>
  <c r="D51" i="42" s="1"/>
  <c r="C286" i="31"/>
  <c r="D47" i="42" s="1"/>
  <c r="C192" i="31"/>
  <c r="F177" i="31"/>
  <c r="C67" i="31"/>
  <c r="D60" i="42" s="1"/>
  <c r="C115" i="31"/>
  <c r="F123" i="31"/>
  <c r="C123" i="31"/>
  <c r="D151" i="41" s="1"/>
  <c r="F205" i="31"/>
  <c r="B354" i="31"/>
  <c r="I354" i="31" s="1"/>
  <c r="B137" i="31"/>
  <c r="I137" i="31" s="1"/>
  <c r="F151" i="31"/>
  <c r="C147" i="31"/>
  <c r="D156" i="40" s="1"/>
  <c r="F178" i="31"/>
  <c r="F144" i="31"/>
  <c r="C25" i="31"/>
  <c r="D159" i="1" s="1"/>
  <c r="C189" i="31"/>
  <c r="C15" i="31"/>
  <c r="D192" i="1" s="1"/>
  <c r="F12" i="31"/>
  <c r="F125" i="31"/>
  <c r="C97" i="31"/>
  <c r="C49" i="31"/>
  <c r="B296" i="31"/>
  <c r="B121" i="31"/>
  <c r="B285" i="31"/>
  <c r="I285" i="31" s="1"/>
  <c r="B53" i="31"/>
  <c r="B336" i="31"/>
  <c r="B27" i="31"/>
  <c r="B426" i="31"/>
  <c r="B83" i="31"/>
  <c r="I83" i="31" s="1"/>
  <c r="C170" i="31"/>
  <c r="F118" i="31"/>
  <c r="C36" i="31"/>
  <c r="D238" i="34" s="1"/>
  <c r="F429" i="31"/>
  <c r="F161" i="31"/>
  <c r="F193" i="31"/>
  <c r="F65" i="31"/>
  <c r="C76" i="31"/>
  <c r="D23" i="42" s="1"/>
  <c r="F90" i="31"/>
  <c r="C19" i="31"/>
  <c r="D28" i="43" s="1"/>
  <c r="F78" i="31"/>
  <c r="F68" i="31"/>
  <c r="B385" i="31"/>
  <c r="B85" i="31"/>
  <c r="I85" i="31" s="1"/>
  <c r="B180" i="31"/>
  <c r="B21" i="31"/>
  <c r="F167" i="31"/>
  <c r="F183" i="31"/>
  <c r="H133" i="36" s="1"/>
  <c r="C84" i="31"/>
  <c r="D147" i="1" s="1"/>
  <c r="F168" i="31"/>
  <c r="F66" i="31"/>
  <c r="F133" i="31"/>
  <c r="C205" i="31"/>
  <c r="D144" i="1" s="1"/>
  <c r="F103" i="31"/>
  <c r="K103" i="31" s="1"/>
  <c r="C32" i="31"/>
  <c r="D153" i="36" s="1"/>
  <c r="F46" i="31"/>
  <c r="B258" i="31"/>
  <c r="B362" i="31"/>
  <c r="C422" i="31"/>
  <c r="F27" i="31"/>
  <c r="F74" i="31"/>
  <c r="K74" i="31" s="1"/>
  <c r="E34" i="31"/>
  <c r="G20" i="1" s="1"/>
  <c r="C56" i="31"/>
  <c r="D46" i="37" s="1"/>
  <c r="C8" i="31"/>
  <c r="B418" i="31"/>
  <c r="C96" i="35" s="1"/>
  <c r="B406" i="31"/>
  <c r="B324" i="31"/>
  <c r="B184" i="31"/>
  <c r="B413" i="31"/>
  <c r="B175" i="31"/>
  <c r="B108" i="31"/>
  <c r="B290" i="31"/>
  <c r="B243" i="31"/>
  <c r="B29" i="31"/>
  <c r="B112" i="31"/>
  <c r="F95" i="31"/>
  <c r="F129" i="31"/>
  <c r="C183" i="31"/>
  <c r="D133" i="36" s="1"/>
  <c r="F173" i="31"/>
  <c r="F425" i="31"/>
  <c r="C134" i="31"/>
  <c r="C107" i="31"/>
  <c r="D85" i="40" s="1"/>
  <c r="C174" i="31"/>
  <c r="D124" i="36" s="1"/>
  <c r="C62" i="31"/>
  <c r="D90" i="1" s="1"/>
  <c r="C12" i="31"/>
  <c r="B312" i="31"/>
  <c r="B165" i="31"/>
  <c r="B288" i="31"/>
  <c r="B348" i="31"/>
  <c r="B48" i="31"/>
  <c r="B155" i="31"/>
  <c r="F172" i="31"/>
  <c r="F143" i="31"/>
  <c r="C100" i="31"/>
  <c r="D24" i="37" s="1"/>
  <c r="C57" i="31"/>
  <c r="C16" i="31"/>
  <c r="D191" i="1" s="1"/>
  <c r="B136" i="31"/>
  <c r="I136" i="31" s="1"/>
  <c r="B110" i="31"/>
  <c r="B191" i="31"/>
  <c r="B152" i="31"/>
  <c r="B181" i="31"/>
  <c r="B256" i="31"/>
  <c r="I256" i="31" s="1"/>
  <c r="B384" i="31"/>
  <c r="I384" i="31" s="1"/>
  <c r="B193" i="31"/>
  <c r="B47" i="31"/>
  <c r="B107" i="31"/>
  <c r="B400" i="31"/>
  <c r="I400" i="31" s="1"/>
  <c r="B371" i="31"/>
  <c r="B100" i="31"/>
  <c r="B199" i="31"/>
  <c r="B75" i="31"/>
  <c r="B260" i="31"/>
  <c r="B190" i="31"/>
  <c r="I190" i="31" s="1"/>
  <c r="B91" i="31"/>
  <c r="I91" i="31" s="1"/>
  <c r="B35" i="31"/>
  <c r="C45" i="31"/>
  <c r="D155" i="36" s="1"/>
  <c r="C201" i="31"/>
  <c r="D142" i="1" s="1"/>
  <c r="F169" i="31"/>
  <c r="C109" i="31"/>
  <c r="C47" i="31"/>
  <c r="F158" i="31"/>
  <c r="F203" i="31"/>
  <c r="F64" i="31"/>
  <c r="C70" i="31"/>
  <c r="F148" i="31"/>
  <c r="F130" i="31"/>
  <c r="F104" i="31"/>
  <c r="C73" i="31"/>
  <c r="D194" i="1" s="1"/>
  <c r="C423" i="31"/>
  <c r="F102" i="31"/>
  <c r="C171" i="31"/>
  <c r="D68" i="39" s="1"/>
  <c r="F71" i="31"/>
  <c r="C43" i="31"/>
  <c r="C108" i="31"/>
  <c r="C155" i="31"/>
  <c r="D45" i="37" s="1"/>
  <c r="C38" i="31"/>
  <c r="C60" i="31"/>
  <c r="C30" i="31"/>
  <c r="D160" i="35" s="1"/>
  <c r="F24" i="31"/>
  <c r="K24" i="31" s="1"/>
  <c r="B232" i="31"/>
  <c r="B382" i="31"/>
  <c r="B369" i="31"/>
  <c r="B263" i="31"/>
  <c r="B133" i="31"/>
  <c r="B162" i="31"/>
  <c r="B251" i="31"/>
  <c r="B77" i="31"/>
  <c r="B380" i="31"/>
  <c r="B317" i="31"/>
  <c r="B39" i="31"/>
  <c r="B200" i="31"/>
  <c r="B120" i="31"/>
  <c r="B160" i="31"/>
  <c r="B8" i="31"/>
  <c r="F430" i="31"/>
  <c r="H86" i="37" s="1"/>
  <c r="F126" i="31"/>
  <c r="F80" i="31"/>
  <c r="C82" i="31"/>
  <c r="D153" i="1" s="1"/>
  <c r="C61" i="31"/>
  <c r="C425" i="31"/>
  <c r="B300" i="31"/>
  <c r="B286" i="31"/>
  <c r="I286" i="31" s="1"/>
  <c r="B45" i="31"/>
  <c r="B281" i="31"/>
  <c r="B268" i="31"/>
  <c r="B40" i="31"/>
  <c r="B332" i="31"/>
  <c r="B223" i="31"/>
  <c r="B88" i="31"/>
  <c r="I88" i="31" s="1"/>
  <c r="B127" i="31"/>
  <c r="B334" i="31"/>
  <c r="B69" i="31"/>
  <c r="I69" i="31" s="1"/>
  <c r="B103" i="31"/>
  <c r="I103" i="31" s="1"/>
  <c r="B405" i="31"/>
  <c r="I405" i="31" s="1"/>
  <c r="B305" i="31"/>
  <c r="B115" i="31"/>
  <c r="B10" i="31"/>
  <c r="B182" i="31"/>
  <c r="B5" i="31"/>
  <c r="B177" i="31"/>
  <c r="B78" i="31"/>
  <c r="B318" i="31"/>
  <c r="B368" i="31"/>
  <c r="I368" i="31" s="1"/>
  <c r="B326" i="31"/>
  <c r="B194" i="31"/>
  <c r="C59" i="31"/>
  <c r="D16" i="1" s="1"/>
  <c r="F108" i="31"/>
  <c r="C68" i="31"/>
  <c r="D68" i="42" s="1"/>
  <c r="B282" i="31"/>
  <c r="B106" i="31"/>
  <c r="B273" i="31"/>
  <c r="B32" i="31"/>
  <c r="B20" i="31"/>
  <c r="B141" i="31"/>
  <c r="B252" i="31"/>
  <c r="C136" i="31"/>
  <c r="F181" i="31"/>
  <c r="C140" i="31"/>
  <c r="C202" i="31"/>
  <c r="F199" i="31"/>
  <c r="F186" i="31"/>
  <c r="H136" i="36" s="1"/>
  <c r="C207" i="31"/>
  <c r="D152" i="1" s="1"/>
  <c r="F33" i="31"/>
  <c r="C35" i="31"/>
  <c r="C429" i="31"/>
  <c r="F9" i="31"/>
  <c r="C37" i="31"/>
  <c r="B374" i="31"/>
  <c r="B142" i="31"/>
  <c r="B301" i="31"/>
  <c r="I301" i="31" s="1"/>
  <c r="B31" i="31"/>
  <c r="B117" i="31"/>
  <c r="B238" i="31"/>
  <c r="F86" i="31"/>
  <c r="F114" i="31"/>
  <c r="F85" i="31"/>
  <c r="K85" i="31" s="1"/>
  <c r="C157" i="31"/>
  <c r="D85" i="37" s="1"/>
  <c r="C66" i="31"/>
  <c r="D58" i="42" s="1"/>
  <c r="C39" i="31"/>
  <c r="D242" i="34" s="1"/>
  <c r="F30" i="31"/>
  <c r="B415" i="31"/>
  <c r="C90" i="35" s="1"/>
  <c r="B373" i="31"/>
  <c r="I373" i="31" s="1"/>
  <c r="B269" i="31"/>
  <c r="B150" i="31"/>
  <c r="B255" i="31"/>
  <c r="B388" i="31"/>
  <c r="B321" i="31"/>
  <c r="B169" i="31"/>
  <c r="B42" i="31"/>
  <c r="B207" i="31"/>
  <c r="B135" i="31"/>
  <c r="I135" i="31" s="1"/>
  <c r="B14" i="31"/>
  <c r="C21" i="31"/>
  <c r="D158" i="34" s="1"/>
  <c r="C102" i="31"/>
  <c r="D59" i="35" s="1"/>
  <c r="F69" i="31"/>
  <c r="F83" i="31"/>
  <c r="K83" i="31" s="1"/>
  <c r="F422" i="31"/>
  <c r="H56" i="36" s="1"/>
  <c r="C168" i="31"/>
  <c r="C165" i="31"/>
  <c r="D140" i="36" s="1"/>
  <c r="C103" i="31"/>
  <c r="C152" i="31"/>
  <c r="D22" i="37" s="1"/>
  <c r="F423" i="31"/>
  <c r="H158" i="36" s="1"/>
  <c r="C150" i="31"/>
  <c r="D78" i="44" s="1"/>
  <c r="F55" i="31"/>
  <c r="F25" i="31"/>
  <c r="C212" i="31"/>
  <c r="F176" i="31"/>
  <c r="C11" i="31"/>
  <c r="C117" i="31"/>
  <c r="D155" i="35" s="1"/>
  <c r="F91" i="31"/>
  <c r="K91" i="31" s="1"/>
  <c r="F70" i="31"/>
  <c r="F5" i="31"/>
  <c r="B390" i="31"/>
  <c r="B366" i="31"/>
  <c r="B347" i="31"/>
  <c r="B342" i="31"/>
  <c r="B229" i="31"/>
  <c r="B99" i="31"/>
  <c r="B392" i="31"/>
  <c r="B64" i="31"/>
  <c r="B403" i="31"/>
  <c r="B275" i="31"/>
  <c r="B16" i="31"/>
  <c r="B50" i="31"/>
  <c r="B206" i="31"/>
  <c r="B138" i="31"/>
  <c r="C72" i="31"/>
  <c r="D189" i="1" s="1"/>
  <c r="C132" i="31"/>
  <c r="F99" i="31"/>
  <c r="C197" i="31"/>
  <c r="D76" i="41" s="1"/>
  <c r="C111" i="31"/>
  <c r="C175" i="31"/>
  <c r="D125" i="36" s="1"/>
  <c r="C96" i="31"/>
  <c r="D34" i="40" s="1"/>
  <c r="C149" i="31"/>
  <c r="D24" i="44" s="1"/>
  <c r="F72" i="31"/>
  <c r="F424" i="31"/>
  <c r="F18" i="31"/>
  <c r="F51" i="31"/>
  <c r="K51" i="31" s="1"/>
  <c r="B386" i="31"/>
  <c r="I386" i="31" s="1"/>
  <c r="B164" i="31"/>
  <c r="B421" i="31"/>
  <c r="C117" i="1" s="1"/>
  <c r="B73" i="31"/>
  <c r="B187" i="31"/>
  <c r="B309" i="31"/>
  <c r="B71" i="31"/>
  <c r="B197" i="31"/>
  <c r="B242" i="31"/>
  <c r="B105" i="31"/>
  <c r="B323" i="31"/>
  <c r="B276" i="31"/>
  <c r="B361" i="31"/>
  <c r="B90" i="31"/>
  <c r="B167" i="31"/>
  <c r="B302" i="31"/>
  <c r="B170" i="31"/>
  <c r="B51" i="31"/>
  <c r="I51" i="31" s="1"/>
  <c r="B341" i="31"/>
  <c r="B313" i="31"/>
  <c r="B427" i="31"/>
  <c r="B428" i="31"/>
  <c r="B188" i="31"/>
  <c r="B102" i="31"/>
  <c r="B185" i="31"/>
  <c r="B65" i="31"/>
  <c r="B30" i="31"/>
  <c r="I30" i="31" s="1"/>
  <c r="B23" i="31"/>
  <c r="C80" i="31"/>
  <c r="D145" i="34" s="1"/>
  <c r="C138" i="31"/>
  <c r="F137" i="31"/>
  <c r="K137" i="31" s="1"/>
  <c r="C181" i="31"/>
  <c r="C120" i="31"/>
  <c r="F57" i="31"/>
  <c r="F58" i="31"/>
  <c r="K58" i="31" s="1"/>
  <c r="C148" i="31"/>
  <c r="D23" i="44" s="1"/>
  <c r="C176" i="31"/>
  <c r="D126" i="36" s="1"/>
  <c r="C87" i="31"/>
  <c r="C48" i="31"/>
  <c r="D194" i="34" s="1"/>
  <c r="F98" i="31"/>
  <c r="F141" i="31"/>
  <c r="F185" i="31"/>
  <c r="C194" i="31"/>
  <c r="C124" i="31"/>
  <c r="D190" i="35" s="1"/>
  <c r="F49" i="31"/>
  <c r="F42" i="31"/>
  <c r="F31" i="31"/>
  <c r="F15" i="31"/>
  <c r="B325" i="31"/>
  <c r="B293" i="31"/>
  <c r="B363" i="31"/>
  <c r="B401" i="31"/>
  <c r="I401" i="31" s="1"/>
  <c r="B319" i="31"/>
  <c r="B237" i="31"/>
  <c r="B144" i="31"/>
  <c r="B391" i="31"/>
  <c r="B279" i="31"/>
  <c r="B163" i="31"/>
  <c r="B254" i="31"/>
  <c r="B131" i="31"/>
  <c r="B25" i="31"/>
  <c r="B218" i="31"/>
  <c r="B62" i="31"/>
  <c r="B320" i="31"/>
  <c r="B17" i="31"/>
  <c r="B307" i="31"/>
  <c r="B176" i="31"/>
  <c r="B93" i="31"/>
  <c r="B337" i="31"/>
  <c r="B253" i="31"/>
  <c r="B422" i="31"/>
  <c r="C56" i="36" s="1"/>
  <c r="B52" i="31"/>
  <c r="B344" i="31"/>
  <c r="B259" i="31"/>
  <c r="B173" i="31"/>
  <c r="B79" i="31"/>
  <c r="B98" i="31"/>
  <c r="B423" i="31"/>
  <c r="C158" i="36" s="1"/>
  <c r="B154" i="31"/>
  <c r="B94" i="31"/>
  <c r="B28" i="31"/>
  <c r="I28" i="31" s="1"/>
  <c r="B365" i="31"/>
  <c r="B287" i="31"/>
  <c r="B212" i="31"/>
  <c r="B81" i="31"/>
  <c r="B11" i="31"/>
  <c r="B198" i="31"/>
  <c r="B419" i="31"/>
  <c r="C115" i="1" s="1"/>
  <c r="B356" i="31"/>
  <c r="B297" i="31"/>
  <c r="B233" i="31"/>
  <c r="B166" i="31"/>
  <c r="B37" i="31"/>
  <c r="B196" i="31"/>
  <c r="B174" i="31"/>
  <c r="B139" i="31"/>
  <c r="B92" i="31"/>
  <c r="B58" i="31"/>
  <c r="I58" i="31" s="1"/>
  <c r="B15" i="31"/>
  <c r="B246" i="31"/>
  <c r="B134" i="31"/>
  <c r="B87" i="31"/>
  <c r="I87" i="31" s="1"/>
  <c r="B54" i="31"/>
  <c r="F89" i="31"/>
  <c r="C210" i="31"/>
  <c r="D140" i="1" s="1"/>
  <c r="F170" i="31"/>
  <c r="C50" i="31"/>
  <c r="C186" i="31"/>
  <c r="D136" i="36" s="1"/>
  <c r="C99" i="31"/>
  <c r="C7" i="31"/>
  <c r="F112" i="31"/>
  <c r="C159" i="31"/>
  <c r="D87" i="37" s="1"/>
  <c r="C44" i="31"/>
  <c r="C29" i="31"/>
  <c r="D198" i="1" s="1"/>
  <c r="C106" i="31"/>
  <c r="D67" i="41" s="1"/>
  <c r="F159" i="31"/>
  <c r="F61" i="31"/>
  <c r="C58" i="31"/>
  <c r="C188" i="31"/>
  <c r="F100" i="31"/>
  <c r="F101" i="31"/>
  <c r="C64" i="31"/>
  <c r="D56" i="42" s="1"/>
  <c r="F16" i="31"/>
  <c r="C46" i="31"/>
  <c r="F10" i="31"/>
  <c r="B266" i="31"/>
  <c r="B224" i="31"/>
  <c r="B289" i="31"/>
  <c r="B377" i="31"/>
  <c r="B299" i="31"/>
  <c r="B298" i="31"/>
  <c r="B183" i="31"/>
  <c r="B408" i="31"/>
  <c r="B360" i="31"/>
  <c r="B129" i="31"/>
  <c r="B44" i="31"/>
  <c r="I44" i="31" s="1"/>
  <c r="B247" i="31"/>
  <c r="I247" i="31" s="1"/>
  <c r="B186" i="31"/>
  <c r="B9" i="31"/>
  <c r="B148" i="31"/>
  <c r="B76" i="31"/>
  <c r="B414" i="31"/>
  <c r="C70" i="35" s="1"/>
  <c r="B350" i="31"/>
  <c r="I350" i="31" s="1"/>
  <c r="B292" i="31"/>
  <c r="B221" i="31"/>
  <c r="B159" i="31"/>
  <c r="B82" i="31"/>
  <c r="B314" i="31"/>
  <c r="B228" i="31"/>
  <c r="I228" i="31" s="1"/>
  <c r="B140" i="31"/>
  <c r="B70" i="31"/>
  <c r="B407" i="31"/>
  <c r="B249" i="31"/>
  <c r="B153" i="31"/>
  <c r="B24" i="31"/>
  <c r="I24" i="31" s="1"/>
  <c r="B239" i="31"/>
  <c r="B429" i="31"/>
  <c r="B22" i="31"/>
  <c r="B234" i="31"/>
  <c r="B425" i="31"/>
  <c r="B68" i="31"/>
  <c r="B424" i="31"/>
  <c r="B18" i="31"/>
  <c r="B172" i="31"/>
  <c r="B272" i="31"/>
  <c r="B132" i="31"/>
  <c r="B396" i="31"/>
  <c r="B404" i="31"/>
  <c r="B340" i="31"/>
  <c r="B283" i="31"/>
  <c r="B202" i="31"/>
  <c r="B147" i="31"/>
  <c r="B6" i="31"/>
  <c r="B235" i="31"/>
  <c r="B124" i="31"/>
  <c r="B43" i="31"/>
  <c r="I43" i="31" s="1"/>
  <c r="B264" i="31"/>
  <c r="B230" i="31"/>
  <c r="B119" i="31"/>
  <c r="B41" i="31"/>
  <c r="C78" i="31"/>
  <c r="G23" i="31" l="1"/>
  <c r="G6" i="31"/>
  <c r="G15" i="31"/>
  <c r="G46" i="31"/>
  <c r="G25" i="31"/>
  <c r="G71" i="31"/>
  <c r="G16" i="31"/>
  <c r="C119" i="36"/>
  <c r="I172" i="31"/>
  <c r="C74" i="35"/>
  <c r="I407" i="31"/>
  <c r="C190" i="35"/>
  <c r="I124" i="31"/>
  <c r="C15" i="1"/>
  <c r="C14" i="35"/>
  <c r="C14" i="34"/>
  <c r="I18" i="31"/>
  <c r="C153" i="1"/>
  <c r="I82" i="31"/>
  <c r="C115" i="32"/>
  <c r="I9" i="31"/>
  <c r="C204" i="35"/>
  <c r="I129" i="31"/>
  <c r="I224" i="31"/>
  <c r="C82" i="35"/>
  <c r="K16" i="31"/>
  <c r="H191" i="1"/>
  <c r="D92" i="34"/>
  <c r="D68" i="32"/>
  <c r="K312" i="31"/>
  <c r="H75" i="37"/>
  <c r="H145" i="36"/>
  <c r="H171" i="34"/>
  <c r="H149" i="35"/>
  <c r="K112" i="31"/>
  <c r="C154" i="36"/>
  <c r="C190" i="34"/>
  <c r="I54" i="31"/>
  <c r="C124" i="36"/>
  <c r="I174" i="31"/>
  <c r="C126" i="36"/>
  <c r="I176" i="31"/>
  <c r="C90" i="1"/>
  <c r="I62" i="31"/>
  <c r="I254" i="31"/>
  <c r="C73" i="35"/>
  <c r="C146" i="35"/>
  <c r="C87" i="40"/>
  <c r="C163" i="34"/>
  <c r="C111" i="32"/>
  <c r="C57" i="39"/>
  <c r="C116" i="36"/>
  <c r="I144" i="31"/>
  <c r="C101" i="38"/>
  <c r="I363" i="31"/>
  <c r="C186" i="34"/>
  <c r="K31" i="31"/>
  <c r="H196" i="34"/>
  <c r="D184" i="35"/>
  <c r="D173" i="36"/>
  <c r="D142" i="32"/>
  <c r="D165" i="1"/>
  <c r="D216" i="34"/>
  <c r="C92" i="34"/>
  <c r="C68" i="32"/>
  <c r="I188" i="31"/>
  <c r="I341" i="31"/>
  <c r="C89" i="38"/>
  <c r="C83" i="42"/>
  <c r="I167" i="31"/>
  <c r="I323" i="31"/>
  <c r="C42" i="41"/>
  <c r="C188" i="1"/>
  <c r="I71" i="31"/>
  <c r="K403" i="31"/>
  <c r="H15" i="1"/>
  <c r="K18" i="31"/>
  <c r="H14" i="35"/>
  <c r="H14" i="34"/>
  <c r="K99" i="31"/>
  <c r="H69" i="34"/>
  <c r="H57" i="40"/>
  <c r="H32" i="32"/>
  <c r="H42" i="35"/>
  <c r="H70" i="34"/>
  <c r="H42" i="36"/>
  <c r="H41" i="38"/>
  <c r="H33" i="39"/>
  <c r="H43" i="35"/>
  <c r="H43" i="36"/>
  <c r="C150" i="1"/>
  <c r="I206" i="31"/>
  <c r="I403" i="31"/>
  <c r="C98" i="1"/>
  <c r="C120" i="1"/>
  <c r="I229" i="31"/>
  <c r="I390" i="31"/>
  <c r="C60" i="35"/>
  <c r="K25" i="31"/>
  <c r="H159" i="1"/>
  <c r="C113" i="41"/>
  <c r="I42" i="31"/>
  <c r="I255" i="31"/>
  <c r="C22" i="42"/>
  <c r="C29" i="1"/>
  <c r="I238" i="31"/>
  <c r="C42" i="32"/>
  <c r="I142" i="31"/>
  <c r="D87" i="35"/>
  <c r="D71" i="32"/>
  <c r="H131" i="36"/>
  <c r="H146" i="34"/>
  <c r="C196" i="1"/>
  <c r="I20" i="31"/>
  <c r="C43" i="42"/>
  <c r="I282" i="31"/>
  <c r="C165" i="1"/>
  <c r="C142" i="32"/>
  <c r="C184" i="35"/>
  <c r="C173" i="36"/>
  <c r="C216" i="34"/>
  <c r="I194" i="31"/>
  <c r="C46" i="42"/>
  <c r="I78" i="31"/>
  <c r="C117" i="32"/>
  <c r="I10" i="31"/>
  <c r="C24" i="39"/>
  <c r="I268" i="31"/>
  <c r="C62" i="42"/>
  <c r="I300" i="31"/>
  <c r="K344" i="31"/>
  <c r="K80" i="31"/>
  <c r="H145" i="34"/>
  <c r="C143" i="35"/>
  <c r="C55" i="44"/>
  <c r="C73" i="41"/>
  <c r="C56" i="39"/>
  <c r="C113" i="36"/>
  <c r="C72" i="41"/>
  <c r="I160" i="31"/>
  <c r="C65" i="42"/>
  <c r="I317" i="31"/>
  <c r="C204" i="34"/>
  <c r="C118" i="38"/>
  <c r="I162" i="31"/>
  <c r="C44" i="32"/>
  <c r="I382" i="31"/>
  <c r="D43" i="1"/>
  <c r="D47" i="1"/>
  <c r="K277" i="31"/>
  <c r="K148" i="31"/>
  <c r="H23" i="44"/>
  <c r="K158" i="31"/>
  <c r="H88" i="37"/>
  <c r="C24" i="37"/>
  <c r="I100" i="31"/>
  <c r="C118" i="32"/>
  <c r="C193" i="34"/>
  <c r="I47" i="31"/>
  <c r="C131" i="36"/>
  <c r="C146" i="34"/>
  <c r="I181" i="31"/>
  <c r="H110" i="32"/>
  <c r="H86" i="38"/>
  <c r="H55" i="39"/>
  <c r="H86" i="40"/>
  <c r="H145" i="35"/>
  <c r="H115" i="36"/>
  <c r="K143" i="31"/>
  <c r="C69" i="41"/>
  <c r="I348" i="31"/>
  <c r="D105" i="38"/>
  <c r="D108" i="38"/>
  <c r="D106" i="38"/>
  <c r="D104" i="38"/>
  <c r="D107" i="38"/>
  <c r="D241" i="34"/>
  <c r="D106" i="39"/>
  <c r="D135" i="38"/>
  <c r="D193" i="36"/>
  <c r="D161" i="32"/>
  <c r="D211" i="35"/>
  <c r="H204" i="35"/>
  <c r="K129" i="31"/>
  <c r="I243" i="31"/>
  <c r="C37" i="1"/>
  <c r="C66" i="32"/>
  <c r="C69" i="32"/>
  <c r="C63" i="36"/>
  <c r="C91" i="34"/>
  <c r="C80" i="35"/>
  <c r="I258" i="31"/>
  <c r="C26" i="42"/>
  <c r="C76" i="1"/>
  <c r="C130" i="36"/>
  <c r="I180" i="31"/>
  <c r="H46" i="42"/>
  <c r="K78" i="31"/>
  <c r="K356" i="31"/>
  <c r="H91" i="1"/>
  <c r="K65" i="31"/>
  <c r="D23" i="37"/>
  <c r="D45" i="34"/>
  <c r="D63" i="32"/>
  <c r="D46" i="32"/>
  <c r="K205" i="31"/>
  <c r="H144" i="1"/>
  <c r="D66" i="39"/>
  <c r="D100" i="38"/>
  <c r="K380" i="31"/>
  <c r="H112" i="41"/>
  <c r="K41" i="31"/>
  <c r="C49" i="32"/>
  <c r="C57" i="36"/>
  <c r="C85" i="34"/>
  <c r="I387" i="31"/>
  <c r="C56" i="35"/>
  <c r="C76" i="36"/>
  <c r="C105" i="34"/>
  <c r="C57" i="38"/>
  <c r="I215" i="31"/>
  <c r="C107" i="35"/>
  <c r="C43" i="44"/>
  <c r="C83" i="32"/>
  <c r="C83" i="36"/>
  <c r="C112" i="34"/>
  <c r="C64" i="38"/>
  <c r="C90" i="32"/>
  <c r="C50" i="44"/>
  <c r="C114" i="35"/>
  <c r="I217" i="31"/>
  <c r="C95" i="42"/>
  <c r="C65" i="44"/>
  <c r="I168" i="31"/>
  <c r="K359" i="31"/>
  <c r="H90" i="1"/>
  <c r="K62" i="31"/>
  <c r="I352" i="31"/>
  <c r="C63" i="39"/>
  <c r="C129" i="36"/>
  <c r="I179" i="31"/>
  <c r="D42" i="34"/>
  <c r="D45" i="40"/>
  <c r="C28" i="43"/>
  <c r="I19" i="31"/>
  <c r="D95" i="39"/>
  <c r="D120" i="42"/>
  <c r="D87" i="44"/>
  <c r="C60" i="42"/>
  <c r="I67" i="31"/>
  <c r="C33" i="1"/>
  <c r="I240" i="31"/>
  <c r="C34" i="40"/>
  <c r="I96" i="31"/>
  <c r="C104" i="32"/>
  <c r="I331" i="31"/>
  <c r="I349" i="31"/>
  <c r="C70" i="41"/>
  <c r="H141" i="36"/>
  <c r="K166" i="31"/>
  <c r="D54" i="39"/>
  <c r="D109" i="36"/>
  <c r="D33" i="42"/>
  <c r="K202" i="31"/>
  <c r="H136" i="1"/>
  <c r="H148" i="1"/>
  <c r="D53" i="36"/>
  <c r="D64" i="35"/>
  <c r="D82" i="34"/>
  <c r="D56" i="39"/>
  <c r="D55" i="44"/>
  <c r="D113" i="36"/>
  <c r="D73" i="41"/>
  <c r="D143" i="35"/>
  <c r="D72" i="41"/>
  <c r="I244" i="31"/>
  <c r="C38" i="1"/>
  <c r="H200" i="1"/>
  <c r="K13" i="31"/>
  <c r="K92" i="31"/>
  <c r="H21" i="34"/>
  <c r="H17" i="43"/>
  <c r="H22" i="40"/>
  <c r="H17" i="41"/>
  <c r="H17" i="39"/>
  <c r="H17" i="44"/>
  <c r="H17" i="42"/>
  <c r="H17" i="36"/>
  <c r="H17" i="32"/>
  <c r="H17" i="37"/>
  <c r="H17" i="33"/>
  <c r="H18" i="35"/>
  <c r="C39" i="38"/>
  <c r="I304" i="31"/>
  <c r="K139" i="31"/>
  <c r="H33" i="40"/>
  <c r="K262" i="31"/>
  <c r="H220" i="34"/>
  <c r="K163" i="31"/>
  <c r="D215" i="34"/>
  <c r="D137" i="41"/>
  <c r="D141" i="32"/>
  <c r="D183" i="35"/>
  <c r="D172" i="36"/>
  <c r="D39" i="33"/>
  <c r="K6" i="31"/>
  <c r="H185" i="34"/>
  <c r="H121" i="32"/>
  <c r="H64" i="44"/>
  <c r="K4" i="31"/>
  <c r="H122" i="32"/>
  <c r="H47" i="42"/>
  <c r="K79" i="31"/>
  <c r="H33" i="34"/>
  <c r="H38" i="40"/>
  <c r="K93" i="31"/>
  <c r="H22" i="41"/>
  <c r="D57" i="36"/>
  <c r="D56" i="35"/>
  <c r="D85" i="34"/>
  <c r="D49" i="32"/>
  <c r="D122" i="34"/>
  <c r="D92" i="36"/>
  <c r="D72" i="38"/>
  <c r="D46" i="41"/>
  <c r="D39" i="39"/>
  <c r="I271" i="31"/>
  <c r="C30" i="38"/>
  <c r="D38" i="37"/>
  <c r="D35" i="42"/>
  <c r="H92" i="34"/>
  <c r="H68" i="32"/>
  <c r="K188" i="31"/>
  <c r="D45" i="39"/>
  <c r="D81" i="38"/>
  <c r="C152" i="36"/>
  <c r="I33" i="31"/>
  <c r="C41" i="32"/>
  <c r="I395" i="31"/>
  <c r="K400" i="31"/>
  <c r="K21" i="31"/>
  <c r="H158" i="34"/>
  <c r="K196" i="31"/>
  <c r="H60" i="41"/>
  <c r="D73" i="36"/>
  <c r="D40" i="44"/>
  <c r="D104" i="35"/>
  <c r="D102" i="34"/>
  <c r="D54" i="38"/>
  <c r="D80" i="32"/>
  <c r="K311" i="31"/>
  <c r="H177" i="34"/>
  <c r="H100" i="41"/>
  <c r="K113" i="31"/>
  <c r="C87" i="44"/>
  <c r="C95" i="39"/>
  <c r="C120" i="42"/>
  <c r="I128" i="31"/>
  <c r="C75" i="36"/>
  <c r="C104" i="34"/>
  <c r="C42" i="44"/>
  <c r="I322" i="31"/>
  <c r="C56" i="38"/>
  <c r="C82" i="32"/>
  <c r="C106" i="35"/>
  <c r="I265" i="31"/>
  <c r="C31" i="42"/>
  <c r="K207" i="31"/>
  <c r="H152" i="1"/>
  <c r="D171" i="36"/>
  <c r="D36" i="43"/>
  <c r="D140" i="32"/>
  <c r="D214" i="34"/>
  <c r="D38" i="33"/>
  <c r="D136" i="41"/>
  <c r="D182" i="35"/>
  <c r="D74" i="36"/>
  <c r="D81" i="32"/>
  <c r="D103" i="34"/>
  <c r="D41" i="44"/>
  <c r="D55" i="38"/>
  <c r="D105" i="35"/>
  <c r="D62" i="36"/>
  <c r="D79" i="35"/>
  <c r="C85" i="37"/>
  <c r="I157" i="31"/>
  <c r="H125" i="32"/>
  <c r="K7" i="31"/>
  <c r="H123" i="32"/>
  <c r="H124" i="32"/>
  <c r="D102" i="42"/>
  <c r="D32" i="43"/>
  <c r="D127" i="41"/>
  <c r="K142" i="31"/>
  <c r="H42" i="32"/>
  <c r="C54" i="39"/>
  <c r="C109" i="36"/>
  <c r="I339" i="31"/>
  <c r="C55" i="37"/>
  <c r="C46" i="38"/>
  <c r="I310" i="31"/>
  <c r="K263" i="31"/>
  <c r="K162" i="31"/>
  <c r="H118" i="38"/>
  <c r="H204" i="34"/>
  <c r="K399" i="31"/>
  <c r="K22" i="31"/>
  <c r="H101" i="35"/>
  <c r="H37" i="44"/>
  <c r="H60" i="37"/>
  <c r="H51" i="38"/>
  <c r="H25" i="33"/>
  <c r="H77" i="32"/>
  <c r="H70" i="36"/>
  <c r="H99" i="34"/>
  <c r="D57" i="35"/>
  <c r="D78" i="34"/>
  <c r="K374" i="31"/>
  <c r="H193" i="34"/>
  <c r="H118" i="32"/>
  <c r="H151" i="36"/>
  <c r="K47" i="31"/>
  <c r="H164" i="35"/>
  <c r="D24" i="40"/>
  <c r="D25" i="34"/>
  <c r="D19" i="41"/>
  <c r="C200" i="1"/>
  <c r="I13" i="31"/>
  <c r="C45" i="42"/>
  <c r="I284" i="31"/>
  <c r="I274" i="31"/>
  <c r="C27" i="39"/>
  <c r="C144" i="1"/>
  <c r="I205" i="31"/>
  <c r="C168" i="34"/>
  <c r="I250" i="31"/>
  <c r="H129" i="36"/>
  <c r="K179" i="31"/>
  <c r="D55" i="37"/>
  <c r="D46" i="38"/>
  <c r="H130" i="36"/>
  <c r="K180" i="31"/>
  <c r="D60" i="36"/>
  <c r="D69" i="35"/>
  <c r="D77" i="35"/>
  <c r="D64" i="32"/>
  <c r="D89" i="34"/>
  <c r="D55" i="36"/>
  <c r="D51" i="35"/>
  <c r="D40" i="32"/>
  <c r="D84" i="34"/>
  <c r="C15" i="34"/>
  <c r="C14" i="40"/>
  <c r="I57" i="31"/>
  <c r="I295" i="31"/>
  <c r="C55" i="42"/>
  <c r="C51" i="32"/>
  <c r="I376" i="31"/>
  <c r="D161" i="35"/>
  <c r="D190" i="34"/>
  <c r="D154" i="36"/>
  <c r="C141" i="35"/>
  <c r="I335" i="31"/>
  <c r="C110" i="36"/>
  <c r="C99" i="32"/>
  <c r="C85" i="38"/>
  <c r="K209" i="31"/>
  <c r="H139" i="1"/>
  <c r="K271" i="31"/>
  <c r="H43" i="37"/>
  <c r="K154" i="31"/>
  <c r="C52" i="42"/>
  <c r="I294" i="31"/>
  <c r="D52" i="36"/>
  <c r="D61" i="35"/>
  <c r="D53" i="32"/>
  <c r="D81" i="34"/>
  <c r="G192" i="34"/>
  <c r="G119" i="32"/>
  <c r="G185" i="34"/>
  <c r="J6" i="31"/>
  <c r="C39" i="32"/>
  <c r="C26" i="37"/>
  <c r="I140" i="31"/>
  <c r="C87" i="37"/>
  <c r="I159" i="31"/>
  <c r="C136" i="36"/>
  <c r="I186" i="31"/>
  <c r="C107" i="36"/>
  <c r="I360" i="31"/>
  <c r="I299" i="31"/>
  <c r="C63" i="34"/>
  <c r="C38" i="36"/>
  <c r="C30" i="32"/>
  <c r="C39" i="35"/>
  <c r="I266" i="31"/>
  <c r="C26" i="38"/>
  <c r="D125" i="32"/>
  <c r="D123" i="32"/>
  <c r="D124" i="32"/>
  <c r="K170" i="31"/>
  <c r="H67" i="39"/>
  <c r="H102" i="38"/>
  <c r="C60" i="41"/>
  <c r="I196" i="31"/>
  <c r="I297" i="31"/>
  <c r="C57" i="42"/>
  <c r="C120" i="32"/>
  <c r="C188" i="34"/>
  <c r="I11" i="31"/>
  <c r="I365" i="31"/>
  <c r="C66" i="1"/>
  <c r="I259" i="31"/>
  <c r="C23" i="38"/>
  <c r="C100" i="38"/>
  <c r="I253" i="31"/>
  <c r="C66" i="39"/>
  <c r="I307" i="31"/>
  <c r="C43" i="38"/>
  <c r="C84" i="36"/>
  <c r="C113" i="34"/>
  <c r="C65" i="38"/>
  <c r="C65" i="37"/>
  <c r="I218" i="31"/>
  <c r="C91" i="32"/>
  <c r="C30" i="33"/>
  <c r="C115" i="35"/>
  <c r="C220" i="34"/>
  <c r="I163" i="31"/>
  <c r="I237" i="31"/>
  <c r="C28" i="1"/>
  <c r="C38" i="35"/>
  <c r="I293" i="31"/>
  <c r="H113" i="41"/>
  <c r="K42" i="31"/>
  <c r="H135" i="36"/>
  <c r="K185" i="31"/>
  <c r="K57" i="31"/>
  <c r="H15" i="34"/>
  <c r="H14" i="40"/>
  <c r="D27" i="40"/>
  <c r="D28" i="34"/>
  <c r="C91" i="1"/>
  <c r="I65" i="31"/>
  <c r="C99" i="36"/>
  <c r="C66" i="40"/>
  <c r="C50" i="39"/>
  <c r="C75" i="40"/>
  <c r="C133" i="35"/>
  <c r="C109" i="32"/>
  <c r="C25" i="34"/>
  <c r="C24" i="40"/>
  <c r="C19" i="41"/>
  <c r="I90" i="31"/>
  <c r="C122" i="35"/>
  <c r="C67" i="40"/>
  <c r="C74" i="38"/>
  <c r="C119" i="34"/>
  <c r="C91" i="36"/>
  <c r="C50" i="41"/>
  <c r="C40" i="39"/>
  <c r="C100" i="32"/>
  <c r="I105" i="31"/>
  <c r="I309" i="31"/>
  <c r="C40" i="38"/>
  <c r="C32" i="39"/>
  <c r="C45" i="38"/>
  <c r="I164" i="31"/>
  <c r="C162" i="34"/>
  <c r="D124" i="42"/>
  <c r="D47" i="43"/>
  <c r="D160" i="40"/>
  <c r="D209" i="35"/>
  <c r="D191" i="36"/>
  <c r="D159" i="32"/>
  <c r="D49" i="33"/>
  <c r="D84" i="37"/>
  <c r="D235" i="34"/>
  <c r="D152" i="41"/>
  <c r="D134" i="38"/>
  <c r="D91" i="44"/>
  <c r="D104" i="39"/>
  <c r="C195" i="34"/>
  <c r="I50" i="31"/>
  <c r="C56" i="42"/>
  <c r="I64" i="31"/>
  <c r="I342" i="31"/>
  <c r="C112" i="36"/>
  <c r="H96" i="42"/>
  <c r="K5" i="31"/>
  <c r="D120" i="32"/>
  <c r="D162" i="35"/>
  <c r="D188" i="34"/>
  <c r="H44" i="37"/>
  <c r="K55" i="31"/>
  <c r="C91" i="39"/>
  <c r="I14" i="31"/>
  <c r="C130" i="35"/>
  <c r="I169" i="31"/>
  <c r="C78" i="44"/>
  <c r="I150" i="31"/>
  <c r="K391" i="31"/>
  <c r="H160" i="35"/>
  <c r="K30" i="31"/>
  <c r="C155" i="35"/>
  <c r="I117" i="31"/>
  <c r="C54" i="36"/>
  <c r="C83" i="34"/>
  <c r="C65" i="35"/>
  <c r="I374" i="31"/>
  <c r="D65" i="36"/>
  <c r="D83" i="35"/>
  <c r="D94" i="34"/>
  <c r="D70" i="32"/>
  <c r="H80" i="1"/>
  <c r="K199" i="31"/>
  <c r="C153" i="36"/>
  <c r="I32" i="31"/>
  <c r="I326" i="31"/>
  <c r="C35" i="32"/>
  <c r="C127" i="36"/>
  <c r="I177" i="31"/>
  <c r="C118" i="40"/>
  <c r="C181" i="34"/>
  <c r="C108" i="41"/>
  <c r="C91" i="42"/>
  <c r="I115" i="31"/>
  <c r="C64" i="32"/>
  <c r="C60" i="36"/>
  <c r="C89" i="34"/>
  <c r="C77" i="35"/>
  <c r="C69" i="35"/>
  <c r="I223" i="31"/>
  <c r="C42" i="42"/>
  <c r="I281" i="31"/>
  <c r="D72" i="32"/>
  <c r="D87" i="34"/>
  <c r="D86" i="35"/>
  <c r="D59" i="36"/>
  <c r="H192" i="35"/>
  <c r="H176" i="36"/>
  <c r="K126" i="31"/>
  <c r="C164" i="1"/>
  <c r="C71" i="42"/>
  <c r="C181" i="35"/>
  <c r="C74" i="37"/>
  <c r="C213" i="34"/>
  <c r="C111" i="42"/>
  <c r="C77" i="44"/>
  <c r="I120" i="31"/>
  <c r="C38" i="32"/>
  <c r="I380" i="31"/>
  <c r="C210" i="35"/>
  <c r="C240" i="34"/>
  <c r="C192" i="36"/>
  <c r="C160" i="32"/>
  <c r="I133" i="31"/>
  <c r="C183" i="1"/>
  <c r="I232" i="31"/>
  <c r="D239" i="34"/>
  <c r="D107" i="39"/>
  <c r="D153" i="41"/>
  <c r="K71" i="31"/>
  <c r="H188" i="1"/>
  <c r="D157" i="40"/>
  <c r="D101" i="39"/>
  <c r="D147" i="41"/>
  <c r="D164" i="35"/>
  <c r="D118" i="32"/>
  <c r="D151" i="36"/>
  <c r="D193" i="34"/>
  <c r="C24" i="38"/>
  <c r="C21" i="44"/>
  <c r="I260" i="31"/>
  <c r="C55" i="32"/>
  <c r="C51" i="36"/>
  <c r="C80" i="34"/>
  <c r="C63" i="35"/>
  <c r="I371" i="31"/>
  <c r="C29" i="39"/>
  <c r="I193" i="31"/>
  <c r="C22" i="37"/>
  <c r="I152" i="31"/>
  <c r="K172" i="31"/>
  <c r="H119" i="36"/>
  <c r="I288" i="31"/>
  <c r="C50" i="42"/>
  <c r="H86" i="35"/>
  <c r="H59" i="36"/>
  <c r="H87" i="34"/>
  <c r="H72" i="32"/>
  <c r="H46" i="40"/>
  <c r="K95" i="31"/>
  <c r="C37" i="38"/>
  <c r="I290" i="31"/>
  <c r="C134" i="36"/>
  <c r="I184" i="31"/>
  <c r="D103" i="38"/>
  <c r="D163" i="35"/>
  <c r="D116" i="32"/>
  <c r="D191" i="34"/>
  <c r="H161" i="1"/>
  <c r="K27" i="31"/>
  <c r="K375" i="31"/>
  <c r="H119" i="32"/>
  <c r="H192" i="34"/>
  <c r="K46" i="31"/>
  <c r="K133" i="31"/>
  <c r="H192" i="36"/>
  <c r="H240" i="34"/>
  <c r="H210" i="35"/>
  <c r="H160" i="32"/>
  <c r="H29" i="39"/>
  <c r="K193" i="31"/>
  <c r="K118" i="31"/>
  <c r="H127" i="41"/>
  <c r="H32" i="43"/>
  <c r="H102" i="42"/>
  <c r="C161" i="1"/>
  <c r="I27" i="31"/>
  <c r="C171" i="36"/>
  <c r="C140" i="32"/>
  <c r="C36" i="43"/>
  <c r="C136" i="41"/>
  <c r="C214" i="34"/>
  <c r="C182" i="35"/>
  <c r="C38" i="33"/>
  <c r="I121" i="31"/>
  <c r="H191" i="35"/>
  <c r="K125" i="31"/>
  <c r="K274" i="31"/>
  <c r="K151" i="31"/>
  <c r="H21" i="38"/>
  <c r="H21" i="37"/>
  <c r="H127" i="36"/>
  <c r="K177" i="31"/>
  <c r="D26" i="42"/>
  <c r="D76" i="1"/>
  <c r="G160" i="1"/>
  <c r="J26" i="31"/>
  <c r="D118" i="38"/>
  <c r="D204" i="34"/>
  <c r="C73" i="36"/>
  <c r="C102" i="34"/>
  <c r="C54" i="38"/>
  <c r="C80" i="32"/>
  <c r="C104" i="35"/>
  <c r="C40" i="44"/>
  <c r="I214" i="31"/>
  <c r="C18" i="39"/>
  <c r="C18" i="37"/>
  <c r="C18" i="44"/>
  <c r="C18" i="33"/>
  <c r="C23" i="40"/>
  <c r="C19" i="35"/>
  <c r="C18" i="42"/>
  <c r="C18" i="36"/>
  <c r="C18" i="41"/>
  <c r="C22" i="34"/>
  <c r="C18" i="32"/>
  <c r="I89" i="31"/>
  <c r="C139" i="1"/>
  <c r="I209" i="31"/>
  <c r="C142" i="1"/>
  <c r="I201" i="31"/>
  <c r="C92" i="40"/>
  <c r="C88" i="38"/>
  <c r="C78" i="41"/>
  <c r="I109" i="31"/>
  <c r="C94" i="1"/>
  <c r="I315" i="31"/>
  <c r="D177" i="34"/>
  <c r="D100" i="41"/>
  <c r="C44" i="37"/>
  <c r="I55" i="31"/>
  <c r="C132" i="1"/>
  <c r="I208" i="31"/>
  <c r="I308" i="31"/>
  <c r="C44" i="38"/>
  <c r="D80" i="36"/>
  <c r="D28" i="33"/>
  <c r="D111" i="35"/>
  <c r="D61" i="38"/>
  <c r="D109" i="34"/>
  <c r="D47" i="44"/>
  <c r="D87" i="32"/>
  <c r="D63" i="37"/>
  <c r="C156" i="35"/>
  <c r="I225" i="31"/>
  <c r="C53" i="37"/>
  <c r="C95" i="35"/>
  <c r="I370" i="31"/>
  <c r="C238" i="34"/>
  <c r="I36" i="31"/>
  <c r="K132" i="31"/>
  <c r="H124" i="42"/>
  <c r="H235" i="34"/>
  <c r="H47" i="43"/>
  <c r="H152" i="41"/>
  <c r="H104" i="39"/>
  <c r="H49" i="33"/>
  <c r="H84" i="37"/>
  <c r="H159" i="32"/>
  <c r="H91" i="44"/>
  <c r="H160" i="40"/>
  <c r="H209" i="35"/>
  <c r="H191" i="36"/>
  <c r="H134" i="38"/>
  <c r="H60" i="42"/>
  <c r="K67" i="31"/>
  <c r="K82" i="31"/>
  <c r="H153" i="1"/>
  <c r="C65" i="32"/>
  <c r="C90" i="34"/>
  <c r="C61" i="36"/>
  <c r="C78" i="35"/>
  <c r="C45" i="39"/>
  <c r="I343" i="31"/>
  <c r="C81" i="38"/>
  <c r="H93" i="34"/>
  <c r="H81" i="35"/>
  <c r="H67" i="32"/>
  <c r="H64" i="36"/>
  <c r="K23" i="31"/>
  <c r="D18" i="32"/>
  <c r="D18" i="41"/>
  <c r="D18" i="39"/>
  <c r="D19" i="35"/>
  <c r="D18" i="36"/>
  <c r="D22" i="34"/>
  <c r="D18" i="44"/>
  <c r="D18" i="42"/>
  <c r="D23" i="40"/>
  <c r="D18" i="33"/>
  <c r="D18" i="37"/>
  <c r="D76" i="32"/>
  <c r="D59" i="37"/>
  <c r="D50" i="38"/>
  <c r="D36" i="44"/>
  <c r="D100" i="35"/>
  <c r="D98" i="34"/>
  <c r="D69" i="36"/>
  <c r="D24" i="33"/>
  <c r="D32" i="42"/>
  <c r="D91" i="34"/>
  <c r="D80" i="35"/>
  <c r="D63" i="36"/>
  <c r="D69" i="32"/>
  <c r="D66" i="32"/>
  <c r="C23" i="37"/>
  <c r="C45" i="34"/>
  <c r="I97" i="31"/>
  <c r="K297" i="31"/>
  <c r="H177" i="36"/>
  <c r="H193" i="35"/>
  <c r="K127" i="31"/>
  <c r="C78" i="1"/>
  <c r="I306" i="31"/>
  <c r="K219" i="31"/>
  <c r="K206" i="31"/>
  <c r="H150" i="1"/>
  <c r="K340" i="31"/>
  <c r="K84" i="31"/>
  <c r="H147" i="1"/>
  <c r="K268" i="31"/>
  <c r="K157" i="31"/>
  <c r="H85" i="37"/>
  <c r="C128" i="36"/>
  <c r="I178" i="31"/>
  <c r="C86" i="34"/>
  <c r="C58" i="36"/>
  <c r="C52" i="32"/>
  <c r="I101" i="31"/>
  <c r="C54" i="35"/>
  <c r="K367" i="31"/>
  <c r="H154" i="36"/>
  <c r="H190" i="34"/>
  <c r="H161" i="35"/>
  <c r="K54" i="31"/>
  <c r="C109" i="41"/>
  <c r="I116" i="31"/>
  <c r="K395" i="31"/>
  <c r="K26" i="31"/>
  <c r="H160" i="1"/>
  <c r="D117" i="40"/>
  <c r="D180" i="34"/>
  <c r="D90" i="42"/>
  <c r="D107" i="41"/>
  <c r="C36" i="35"/>
  <c r="C33" i="36"/>
  <c r="C58" i="34"/>
  <c r="I280" i="31"/>
  <c r="C121" i="32"/>
  <c r="C64" i="44"/>
  <c r="I4" i="31"/>
  <c r="D40" i="38"/>
  <c r="D32" i="39"/>
  <c r="D45" i="38"/>
  <c r="I355" i="31"/>
  <c r="C77" i="41"/>
  <c r="K217" i="31"/>
  <c r="K208" i="31"/>
  <c r="H132" i="1"/>
  <c r="D62" i="35"/>
  <c r="D54" i="32"/>
  <c r="I226" i="31"/>
  <c r="C157" i="35"/>
  <c r="D158" i="36"/>
  <c r="D52" i="35"/>
  <c r="D45" i="32"/>
  <c r="D15" i="1"/>
  <c r="D14" i="35"/>
  <c r="D14" i="34"/>
  <c r="K284" i="31"/>
  <c r="K140" i="31"/>
  <c r="H26" i="37"/>
  <c r="H39" i="32"/>
  <c r="C72" i="32"/>
  <c r="I393" i="31"/>
  <c r="H109" i="40"/>
  <c r="H24" i="43"/>
  <c r="H60" i="44"/>
  <c r="H173" i="34"/>
  <c r="K110" i="31"/>
  <c r="C43" i="1"/>
  <c r="C47" i="1"/>
  <c r="I60" i="31"/>
  <c r="D55" i="32"/>
  <c r="D80" i="34"/>
  <c r="D63" i="35"/>
  <c r="D51" i="36"/>
  <c r="D51" i="39"/>
  <c r="K165" i="31"/>
  <c r="H140" i="36"/>
  <c r="K293" i="31"/>
  <c r="H80" i="37"/>
  <c r="H232" i="34"/>
  <c r="H148" i="41"/>
  <c r="K131" i="31"/>
  <c r="D66" i="40"/>
  <c r="D109" i="32"/>
  <c r="D50" i="39"/>
  <c r="D133" i="35"/>
  <c r="D75" i="40"/>
  <c r="D99" i="36"/>
  <c r="I316" i="31"/>
  <c r="C64" i="42"/>
  <c r="C145" i="34"/>
  <c r="I80" i="31"/>
  <c r="C72" i="36"/>
  <c r="C101" i="34"/>
  <c r="I213" i="31"/>
  <c r="C103" i="35"/>
  <c r="C39" i="44"/>
  <c r="C79" i="32"/>
  <c r="C53" i="38"/>
  <c r="K345" i="31"/>
  <c r="K76" i="31"/>
  <c r="H23" i="42"/>
  <c r="K211" i="31"/>
  <c r="H28" i="33"/>
  <c r="H111" i="35"/>
  <c r="H63" i="37"/>
  <c r="H61" i="38"/>
  <c r="H87" i="32"/>
  <c r="H109" i="34"/>
  <c r="H47" i="44"/>
  <c r="H80" i="36"/>
  <c r="D81" i="35"/>
  <c r="D67" i="32"/>
  <c r="D64" i="36"/>
  <c r="D93" i="34"/>
  <c r="D59" i="34"/>
  <c r="D34" i="36"/>
  <c r="D37" i="35"/>
  <c r="C69" i="36"/>
  <c r="C98" i="34"/>
  <c r="C50" i="38"/>
  <c r="C24" i="33"/>
  <c r="C100" i="35"/>
  <c r="C59" i="37"/>
  <c r="C32" i="42"/>
  <c r="C76" i="32"/>
  <c r="C36" i="44"/>
  <c r="I267" i="31"/>
  <c r="C58" i="42"/>
  <c r="I66" i="31"/>
  <c r="H193" i="1"/>
  <c r="K17" i="31"/>
  <c r="K330" i="31"/>
  <c r="K94" i="31"/>
  <c r="H45" i="40"/>
  <c r="H42" i="34"/>
  <c r="C88" i="34"/>
  <c r="C68" i="35"/>
  <c r="I222" i="31"/>
  <c r="H103" i="38"/>
  <c r="H163" i="35"/>
  <c r="K8" i="31"/>
  <c r="H191" i="34"/>
  <c r="H116" i="32"/>
  <c r="C46" i="40"/>
  <c r="I95" i="31"/>
  <c r="C102" i="42"/>
  <c r="C32" i="43"/>
  <c r="C127" i="41"/>
  <c r="I118" i="31"/>
  <c r="F160" i="1"/>
  <c r="R26" i="31"/>
  <c r="L26" i="31"/>
  <c r="C88" i="40"/>
  <c r="I351" i="31"/>
  <c r="H46" i="32"/>
  <c r="H63" i="32"/>
  <c r="D192" i="35"/>
  <c r="D176" i="36"/>
  <c r="D192" i="36"/>
  <c r="D210" i="35"/>
  <c r="D160" i="32"/>
  <c r="D240" i="34"/>
  <c r="K407" i="31"/>
  <c r="K14" i="31"/>
  <c r="H91" i="39"/>
  <c r="K106" i="31"/>
  <c r="H67" i="41"/>
  <c r="K59" i="31"/>
  <c r="H16" i="1"/>
  <c r="I241" i="31"/>
  <c r="C35" i="1"/>
  <c r="K147" i="31"/>
  <c r="H156" i="40"/>
  <c r="D114" i="32"/>
  <c r="D165" i="35"/>
  <c r="D152" i="36"/>
  <c r="K48" i="31"/>
  <c r="H194" i="34"/>
  <c r="D68" i="35"/>
  <c r="D88" i="34"/>
  <c r="K53" i="31"/>
  <c r="H189" i="34"/>
  <c r="F191" i="1"/>
  <c r="I191" i="1" s="1"/>
  <c r="J191" i="1" s="1"/>
  <c r="R16" i="31"/>
  <c r="L16" i="31"/>
  <c r="F93" i="34"/>
  <c r="F81" i="35"/>
  <c r="F67" i="32"/>
  <c r="F64" i="36"/>
  <c r="L23" i="31"/>
  <c r="R23" i="31"/>
  <c r="F192" i="1"/>
  <c r="R15" i="31"/>
  <c r="L15" i="31"/>
  <c r="C156" i="40"/>
  <c r="I147" i="31"/>
  <c r="C59" i="36"/>
  <c r="C87" i="34"/>
  <c r="C86" i="35"/>
  <c r="C85" i="39"/>
  <c r="C212" i="34"/>
  <c r="C135" i="41"/>
  <c r="C35" i="43"/>
  <c r="C110" i="42"/>
  <c r="C180" i="35"/>
  <c r="C76" i="44"/>
  <c r="C142" i="40"/>
  <c r="C170" i="36"/>
  <c r="C139" i="32"/>
  <c r="C122" i="38"/>
  <c r="I119" i="31"/>
  <c r="C136" i="1"/>
  <c r="C148" i="1"/>
  <c r="I202" i="31"/>
  <c r="C58" i="32"/>
  <c r="I396" i="31"/>
  <c r="C25" i="1"/>
  <c r="I234" i="31"/>
  <c r="C101" i="39"/>
  <c r="C157" i="40"/>
  <c r="C147" i="41"/>
  <c r="I70" i="31"/>
  <c r="I298" i="31"/>
  <c r="C59" i="42"/>
  <c r="D167" i="35"/>
  <c r="D166" i="35"/>
  <c r="D195" i="34"/>
  <c r="D168" i="35"/>
  <c r="C192" i="1"/>
  <c r="I15" i="31"/>
  <c r="I233" i="31"/>
  <c r="C24" i="1"/>
  <c r="I198" i="31"/>
  <c r="C129" i="1"/>
  <c r="C48" i="42"/>
  <c r="I287" i="31"/>
  <c r="C43" i="37"/>
  <c r="I154" i="31"/>
  <c r="C120" i="36"/>
  <c r="I173" i="31"/>
  <c r="I230" i="31"/>
  <c r="C119" i="1"/>
  <c r="C26" i="1"/>
  <c r="I235" i="31"/>
  <c r="I283" i="31"/>
  <c r="C44" i="42"/>
  <c r="C84" i="37"/>
  <c r="C104" i="39"/>
  <c r="C124" i="42"/>
  <c r="C91" i="44"/>
  <c r="C49" i="33"/>
  <c r="C191" i="36"/>
  <c r="C160" i="40"/>
  <c r="C47" i="43"/>
  <c r="C134" i="38"/>
  <c r="C235" i="34"/>
  <c r="C152" i="41"/>
  <c r="C159" i="32"/>
  <c r="C209" i="35"/>
  <c r="I132" i="31"/>
  <c r="C99" i="34"/>
  <c r="C70" i="36"/>
  <c r="C51" i="38"/>
  <c r="C101" i="35"/>
  <c r="C60" i="37"/>
  <c r="C37" i="44"/>
  <c r="C25" i="33"/>
  <c r="C77" i="32"/>
  <c r="I22" i="31"/>
  <c r="C35" i="42"/>
  <c r="C38" i="37"/>
  <c r="I153" i="31"/>
  <c r="C30" i="42"/>
  <c r="I264" i="31"/>
  <c r="C185" i="34"/>
  <c r="I6" i="31"/>
  <c r="I340" i="31"/>
  <c r="C87" i="38"/>
  <c r="I272" i="31"/>
  <c r="C32" i="38"/>
  <c r="C68" i="42"/>
  <c r="I68" i="31"/>
  <c r="C71" i="32"/>
  <c r="C87" i="35"/>
  <c r="I249" i="31"/>
  <c r="C75" i="1"/>
  <c r="C75" i="35"/>
  <c r="I221" i="31"/>
  <c r="C23" i="42"/>
  <c r="I76" i="31"/>
  <c r="I408" i="31"/>
  <c r="C89" i="35"/>
  <c r="C53" i="36"/>
  <c r="C82" i="34"/>
  <c r="C64" i="35"/>
  <c r="I377" i="31"/>
  <c r="H117" i="32"/>
  <c r="K10" i="31"/>
  <c r="H58" i="36"/>
  <c r="H86" i="34"/>
  <c r="H54" i="35"/>
  <c r="K101" i="31"/>
  <c r="H52" i="32"/>
  <c r="K61" i="31"/>
  <c r="H48" i="1"/>
  <c r="H44" i="1"/>
  <c r="D42" i="35"/>
  <c r="D70" i="34"/>
  <c r="D33" i="39"/>
  <c r="D41" i="38"/>
  <c r="D32" i="32"/>
  <c r="D69" i="34"/>
  <c r="D42" i="36"/>
  <c r="D43" i="35"/>
  <c r="D57" i="40"/>
  <c r="D43" i="36"/>
  <c r="C135" i="38"/>
  <c r="C161" i="32"/>
  <c r="C193" i="36"/>
  <c r="C211" i="35"/>
  <c r="C241" i="34"/>
  <c r="C106" i="39"/>
  <c r="I134" i="31"/>
  <c r="C17" i="39"/>
  <c r="C22" i="40"/>
  <c r="C17" i="33"/>
  <c r="C17" i="37"/>
  <c r="C17" i="43"/>
  <c r="C17" i="41"/>
  <c r="C17" i="44"/>
  <c r="C17" i="36"/>
  <c r="C17" i="42"/>
  <c r="C21" i="34"/>
  <c r="C18" i="35"/>
  <c r="C17" i="32"/>
  <c r="I92" i="31"/>
  <c r="C237" i="34"/>
  <c r="C161" i="40"/>
  <c r="I37" i="31"/>
  <c r="C74" i="41"/>
  <c r="I356" i="31"/>
  <c r="C144" i="34"/>
  <c r="I81" i="31"/>
  <c r="C25" i="37"/>
  <c r="I98" i="31"/>
  <c r="C90" i="38"/>
  <c r="I344" i="31"/>
  <c r="I337" i="31"/>
  <c r="C39" i="39"/>
  <c r="C46" i="41"/>
  <c r="C92" i="36"/>
  <c r="C72" i="38"/>
  <c r="C122" i="34"/>
  <c r="C193" i="1"/>
  <c r="I17" i="31"/>
  <c r="C159" i="1"/>
  <c r="I25" i="31"/>
  <c r="I279" i="31"/>
  <c r="C41" i="42"/>
  <c r="I319" i="31"/>
  <c r="C67" i="42"/>
  <c r="C62" i="34"/>
  <c r="I325" i="31"/>
  <c r="K372" i="31"/>
  <c r="K49" i="31"/>
  <c r="H170" i="35"/>
  <c r="H169" i="35"/>
  <c r="H159" i="36"/>
  <c r="H157" i="36"/>
  <c r="H156" i="36"/>
  <c r="H94" i="42"/>
  <c r="K283" i="31"/>
  <c r="K141" i="31"/>
  <c r="H57" i="32"/>
  <c r="D111" i="42"/>
  <c r="D77" i="44"/>
  <c r="D213" i="34"/>
  <c r="D74" i="37"/>
  <c r="D164" i="1"/>
  <c r="D181" i="35"/>
  <c r="D71" i="42"/>
  <c r="C135" i="36"/>
  <c r="I185" i="31"/>
  <c r="C15" i="35"/>
  <c r="C14" i="32"/>
  <c r="C14" i="37"/>
  <c r="C14" i="39"/>
  <c r="C14" i="33"/>
  <c r="C14" i="41"/>
  <c r="C14" i="44"/>
  <c r="C14" i="42"/>
  <c r="C14" i="43"/>
  <c r="C14" i="36"/>
  <c r="C17" i="40"/>
  <c r="C18" i="34"/>
  <c r="C17" i="38"/>
  <c r="C102" i="38"/>
  <c r="C67" i="39"/>
  <c r="I170" i="31"/>
  <c r="I361" i="31"/>
  <c r="C94" i="36"/>
  <c r="C36" i="1"/>
  <c r="I242" i="31"/>
  <c r="C137" i="36"/>
  <c r="I187" i="31"/>
  <c r="K349" i="31"/>
  <c r="K72" i="31"/>
  <c r="H189" i="1"/>
  <c r="D174" i="34"/>
  <c r="D61" i="44"/>
  <c r="D25" i="43"/>
  <c r="D110" i="40"/>
  <c r="C191" i="1"/>
  <c r="I16" i="31"/>
  <c r="C53" i="32"/>
  <c r="C52" i="36"/>
  <c r="C81" i="34"/>
  <c r="C61" i="35"/>
  <c r="I392" i="31"/>
  <c r="I347" i="31"/>
  <c r="C44" i="39"/>
  <c r="H101" i="39"/>
  <c r="H157" i="40"/>
  <c r="H147" i="41"/>
  <c r="K70" i="31"/>
  <c r="K176" i="31"/>
  <c r="H126" i="36"/>
  <c r="K352" i="31"/>
  <c r="K69" i="31"/>
  <c r="C70" i="42"/>
  <c r="I321" i="31"/>
  <c r="C27" i="38"/>
  <c r="I269" i="31"/>
  <c r="H90" i="42"/>
  <c r="H180" i="34"/>
  <c r="H107" i="41"/>
  <c r="H117" i="40"/>
  <c r="K114" i="31"/>
  <c r="C196" i="34"/>
  <c r="I31" i="31"/>
  <c r="D161" i="40"/>
  <c r="D237" i="34"/>
  <c r="H152" i="36"/>
  <c r="H165" i="35"/>
  <c r="H114" i="32"/>
  <c r="K33" i="31"/>
  <c r="D136" i="1"/>
  <c r="D148" i="1"/>
  <c r="C51" i="39"/>
  <c r="I252" i="31"/>
  <c r="C34" i="42"/>
  <c r="I273" i="31"/>
  <c r="K316" i="31"/>
  <c r="H65" i="40"/>
  <c r="H120" i="34"/>
  <c r="K108" i="31"/>
  <c r="C96" i="42"/>
  <c r="I5" i="31"/>
  <c r="I305" i="31"/>
  <c r="C54" i="42"/>
  <c r="C140" i="35"/>
  <c r="C142" i="35"/>
  <c r="C136" i="34"/>
  <c r="C53" i="39"/>
  <c r="C108" i="36"/>
  <c r="C98" i="32"/>
  <c r="I334" i="31"/>
  <c r="C111" i="36"/>
  <c r="C129" i="35"/>
  <c r="C74" i="40"/>
  <c r="C75" i="38"/>
  <c r="C41" i="39"/>
  <c r="C97" i="36"/>
  <c r="C107" i="32"/>
  <c r="I332" i="31"/>
  <c r="C155" i="36"/>
  <c r="I45" i="31"/>
  <c r="D44" i="1"/>
  <c r="D48" i="1"/>
  <c r="C141" i="1"/>
  <c r="I200" i="31"/>
  <c r="C33" i="42"/>
  <c r="I77" i="31"/>
  <c r="I263" i="31"/>
  <c r="C74" i="1"/>
  <c r="H118" i="34"/>
  <c r="H49" i="41"/>
  <c r="H73" i="38"/>
  <c r="K104" i="31"/>
  <c r="K64" i="31"/>
  <c r="H56" i="42"/>
  <c r="D92" i="40"/>
  <c r="D78" i="41"/>
  <c r="D88" i="38"/>
  <c r="C70" i="32"/>
  <c r="C65" i="36"/>
  <c r="C94" i="34"/>
  <c r="C83" i="35"/>
  <c r="I35" i="31"/>
  <c r="C37" i="32"/>
  <c r="C20" i="38"/>
  <c r="C21" i="39"/>
  <c r="I75" i="31"/>
  <c r="C79" i="1"/>
  <c r="I191" i="31"/>
  <c r="D15" i="34"/>
  <c r="D14" i="40"/>
  <c r="C45" i="37"/>
  <c r="I155" i="31"/>
  <c r="C140" i="36"/>
  <c r="I165" i="31"/>
  <c r="H120" i="36"/>
  <c r="K173" i="31"/>
  <c r="C171" i="34"/>
  <c r="C145" i="36"/>
  <c r="C75" i="37"/>
  <c r="C149" i="35"/>
  <c r="I112" i="31"/>
  <c r="C65" i="40"/>
  <c r="C120" i="34"/>
  <c r="I108" i="31"/>
  <c r="C82" i="36"/>
  <c r="C111" i="34"/>
  <c r="I324" i="31"/>
  <c r="C89" i="32"/>
  <c r="C49" i="44"/>
  <c r="C63" i="38"/>
  <c r="C113" i="35"/>
  <c r="C29" i="33"/>
  <c r="C64" i="37"/>
  <c r="K355" i="31"/>
  <c r="K66" i="31"/>
  <c r="H58" i="42"/>
  <c r="K258" i="31"/>
  <c r="H83" i="42"/>
  <c r="K167" i="31"/>
  <c r="I385" i="31"/>
  <c r="C55" i="35"/>
  <c r="K90" i="31"/>
  <c r="H24" i="40"/>
  <c r="H19" i="41"/>
  <c r="H25" i="34"/>
  <c r="K264" i="31"/>
  <c r="K161" i="31"/>
  <c r="H114" i="36"/>
  <c r="H56" i="44"/>
  <c r="H58" i="39"/>
  <c r="H144" i="35"/>
  <c r="D67" i="39"/>
  <c r="D102" i="38"/>
  <c r="I336" i="31"/>
  <c r="C34" i="34"/>
  <c r="I296" i="31"/>
  <c r="C37" i="41"/>
  <c r="H107" i="38"/>
  <c r="H106" i="38"/>
  <c r="H105" i="38"/>
  <c r="H104" i="38"/>
  <c r="K12" i="31"/>
  <c r="H108" i="38"/>
  <c r="H111" i="32"/>
  <c r="H57" i="39"/>
  <c r="H116" i="36"/>
  <c r="H146" i="35"/>
  <c r="H87" i="40"/>
  <c r="H163" i="34"/>
  <c r="K144" i="31"/>
  <c r="K301" i="31"/>
  <c r="H151" i="41"/>
  <c r="K123" i="31"/>
  <c r="D62" i="37"/>
  <c r="D84" i="38"/>
  <c r="D45" i="44"/>
  <c r="D59" i="38"/>
  <c r="D27" i="33"/>
  <c r="D85" i="32"/>
  <c r="D29" i="42"/>
  <c r="D109" i="35"/>
  <c r="D78" i="36"/>
  <c r="D107" i="34"/>
  <c r="D56" i="36"/>
  <c r="D46" i="42"/>
  <c r="G27" i="1"/>
  <c r="J236" i="31"/>
  <c r="K122" i="31"/>
  <c r="H137" i="41"/>
  <c r="H141" i="32"/>
  <c r="H183" i="35"/>
  <c r="H39" i="33"/>
  <c r="H172" i="36"/>
  <c r="H215" i="34"/>
  <c r="C85" i="36"/>
  <c r="C114" i="34"/>
  <c r="C116" i="35"/>
  <c r="I219" i="31"/>
  <c r="C66" i="38"/>
  <c r="C92" i="32"/>
  <c r="C51" i="44"/>
  <c r="C151" i="41"/>
  <c r="I123" i="31"/>
  <c r="I277" i="31"/>
  <c r="C29" i="32"/>
  <c r="C88" i="1"/>
  <c r="C40" i="1"/>
  <c r="I248" i="31"/>
  <c r="K212" i="31"/>
  <c r="H38" i="44"/>
  <c r="H71" i="36"/>
  <c r="H78" i="32"/>
  <c r="H52" i="38"/>
  <c r="H100" i="34"/>
  <c r="H102" i="35"/>
  <c r="C144" i="35"/>
  <c r="C58" i="39"/>
  <c r="C114" i="36"/>
  <c r="C56" i="44"/>
  <c r="I161" i="31"/>
  <c r="C151" i="1"/>
  <c r="I204" i="31"/>
  <c r="K111" i="31"/>
  <c r="H110" i="40"/>
  <c r="H61" i="44"/>
  <c r="H25" i="43"/>
  <c r="H174" i="34"/>
  <c r="C88" i="37"/>
  <c r="I158" i="31"/>
  <c r="H33" i="42"/>
  <c r="K77" i="31"/>
  <c r="D75" i="37"/>
  <c r="D171" i="34"/>
  <c r="D145" i="36"/>
  <c r="D149" i="35"/>
  <c r="C80" i="36"/>
  <c r="C109" i="34"/>
  <c r="C87" i="32"/>
  <c r="C111" i="35"/>
  <c r="C61" i="38"/>
  <c r="C63" i="37"/>
  <c r="C47" i="44"/>
  <c r="C28" i="33"/>
  <c r="I211" i="31"/>
  <c r="H34" i="40"/>
  <c r="K96" i="31"/>
  <c r="K150" i="31"/>
  <c r="H78" i="44"/>
  <c r="C121" i="42"/>
  <c r="C44" i="43"/>
  <c r="C128" i="38"/>
  <c r="C88" i="44"/>
  <c r="C231" i="34"/>
  <c r="C206" i="35"/>
  <c r="C188" i="36"/>
  <c r="C156" i="32"/>
  <c r="I130" i="31"/>
  <c r="C17" i="1"/>
  <c r="I86" i="31"/>
  <c r="K153" i="31"/>
  <c r="H38" i="37"/>
  <c r="H35" i="42"/>
  <c r="D38" i="40"/>
  <c r="D33" i="34"/>
  <c r="D22" i="41"/>
  <c r="D103" i="35"/>
  <c r="D39" i="44"/>
  <c r="D53" i="38"/>
  <c r="D101" i="34"/>
  <c r="D79" i="32"/>
  <c r="D72" i="36"/>
  <c r="D37" i="36"/>
  <c r="D89" i="1"/>
  <c r="D156" i="35"/>
  <c r="D53" i="37"/>
  <c r="D43" i="32"/>
  <c r="D48" i="32"/>
  <c r="I303" i="31"/>
  <c r="C38" i="38"/>
  <c r="D145" i="35"/>
  <c r="D55" i="39"/>
  <c r="D110" i="32"/>
  <c r="D115" i="36"/>
  <c r="D86" i="40"/>
  <c r="D86" i="38"/>
  <c r="C160" i="34"/>
  <c r="I145" i="31"/>
  <c r="C46" i="32"/>
  <c r="C63" i="32"/>
  <c r="I189" i="31"/>
  <c r="I231" i="31"/>
  <c r="C128" i="1"/>
  <c r="K105" i="31"/>
  <c r="H119" i="34"/>
  <c r="H40" i="39"/>
  <c r="H50" i="41"/>
  <c r="H67" i="40"/>
  <c r="H91" i="36"/>
  <c r="H74" i="38"/>
  <c r="H100" i="32"/>
  <c r="H122" i="35"/>
  <c r="I236" i="31"/>
  <c r="C27" i="1"/>
  <c r="D114" i="36"/>
  <c r="D58" i="39"/>
  <c r="D144" i="35"/>
  <c r="D56" i="44"/>
  <c r="I261" i="31"/>
  <c r="C27" i="42"/>
  <c r="K11" i="31"/>
  <c r="H162" i="35"/>
  <c r="H188" i="34"/>
  <c r="H120" i="32"/>
  <c r="K228" i="31"/>
  <c r="K197" i="31"/>
  <c r="H76" i="41"/>
  <c r="C78" i="34"/>
  <c r="I389" i="31"/>
  <c r="C57" i="35"/>
  <c r="C92" i="35"/>
  <c r="I220" i="31"/>
  <c r="D36" i="35"/>
  <c r="D58" i="34"/>
  <c r="D33" i="36"/>
  <c r="G159" i="1"/>
  <c r="J25" i="31"/>
  <c r="K160" i="31"/>
  <c r="H73" i="41"/>
  <c r="H56" i="39"/>
  <c r="H55" i="44"/>
  <c r="H143" i="35"/>
  <c r="H72" i="41"/>
  <c r="H113" i="36"/>
  <c r="K276" i="31"/>
  <c r="H24" i="44"/>
  <c r="K149" i="31"/>
  <c r="D119" i="34"/>
  <c r="D67" i="40"/>
  <c r="D100" i="32"/>
  <c r="D74" i="38"/>
  <c r="D40" i="39"/>
  <c r="D122" i="35"/>
  <c r="D50" i="41"/>
  <c r="D91" i="36"/>
  <c r="K279" i="31"/>
  <c r="H105" i="39"/>
  <c r="H50" i="33"/>
  <c r="H244" i="34"/>
  <c r="H194" i="36"/>
  <c r="H236" i="34"/>
  <c r="K146" i="31"/>
  <c r="K225" i="31"/>
  <c r="K200" i="31"/>
  <c r="H141" i="1"/>
  <c r="C61" i="44"/>
  <c r="C110" i="40"/>
  <c r="C25" i="43"/>
  <c r="C174" i="34"/>
  <c r="I111" i="31"/>
  <c r="D21" i="37"/>
  <c r="D21" i="38"/>
  <c r="I399" i="31"/>
  <c r="C93" i="35"/>
  <c r="C94" i="35"/>
  <c r="D137" i="1"/>
  <c r="D149" i="1"/>
  <c r="H118" i="40"/>
  <c r="K115" i="31"/>
  <c r="H91" i="42"/>
  <c r="H181" i="34"/>
  <c r="H108" i="41"/>
  <c r="K224" i="31"/>
  <c r="H142" i="1"/>
  <c r="K201" i="31"/>
  <c r="C20" i="1"/>
  <c r="I34" i="31"/>
  <c r="K286" i="31"/>
  <c r="H28" i="34"/>
  <c r="H27" i="40"/>
  <c r="K138" i="31"/>
  <c r="I327" i="31"/>
  <c r="C59" i="34"/>
  <c r="C34" i="36"/>
  <c r="C37" i="35"/>
  <c r="I311" i="31"/>
  <c r="C47" i="36"/>
  <c r="C49" i="35"/>
  <c r="C75" i="34"/>
  <c r="D113" i="35"/>
  <c r="D89" i="32"/>
  <c r="D82" i="36"/>
  <c r="D63" i="38"/>
  <c r="D64" i="37"/>
  <c r="D111" i="34"/>
  <c r="D29" i="33"/>
  <c r="D49" i="44"/>
  <c r="D107" i="1"/>
  <c r="D124" i="35"/>
  <c r="D130" i="34"/>
  <c r="D102" i="32"/>
  <c r="C140" i="1"/>
  <c r="I210" i="31"/>
  <c r="C102" i="40"/>
  <c r="I357" i="31"/>
  <c r="I278" i="31"/>
  <c r="C39" i="42"/>
  <c r="C191" i="35"/>
  <c r="I125" i="31"/>
  <c r="D17" i="36"/>
  <c r="D17" i="32"/>
  <c r="D17" i="42"/>
  <c r="D17" i="44"/>
  <c r="D17" i="41"/>
  <c r="D21" i="34"/>
  <c r="D18" i="35"/>
  <c r="D17" i="43"/>
  <c r="D22" i="40"/>
  <c r="D17" i="39"/>
  <c r="D17" i="37"/>
  <c r="D17" i="33"/>
  <c r="C91" i="40"/>
  <c r="I353" i="31"/>
  <c r="D99" i="32"/>
  <c r="D85" i="38"/>
  <c r="D141" i="35"/>
  <c r="D110" i="36"/>
  <c r="C177" i="34"/>
  <c r="C100" i="41"/>
  <c r="I113" i="31"/>
  <c r="D52" i="32"/>
  <c r="D86" i="34"/>
  <c r="D54" i="35"/>
  <c r="D58" i="36"/>
  <c r="D60" i="37"/>
  <c r="D77" i="32"/>
  <c r="D101" i="35"/>
  <c r="D37" i="44"/>
  <c r="D70" i="36"/>
  <c r="D99" i="34"/>
  <c r="D51" i="38"/>
  <c r="D25" i="33"/>
  <c r="H14" i="37"/>
  <c r="H15" i="35"/>
  <c r="H17" i="38"/>
  <c r="H21" i="1"/>
  <c r="H14" i="44"/>
  <c r="H14" i="39"/>
  <c r="H14" i="33"/>
  <c r="H14" i="42"/>
  <c r="H17" i="40"/>
  <c r="H14" i="41"/>
  <c r="H14" i="36"/>
  <c r="H18" i="34"/>
  <c r="H14" i="43"/>
  <c r="H14" i="32"/>
  <c r="H153" i="36"/>
  <c r="K32" i="31"/>
  <c r="K121" i="31"/>
  <c r="H36" i="43"/>
  <c r="H182" i="35"/>
  <c r="H171" i="36"/>
  <c r="H136" i="41"/>
  <c r="H38" i="33"/>
  <c r="H214" i="34"/>
  <c r="H140" i="32"/>
  <c r="D97" i="32"/>
  <c r="D159" i="34"/>
  <c r="D90" i="36"/>
  <c r="D60" i="39"/>
  <c r="D121" i="35"/>
  <c r="C189" i="1"/>
  <c r="I72" i="31"/>
  <c r="K81" i="31"/>
  <c r="H144" i="34"/>
  <c r="H79" i="1"/>
  <c r="K191" i="31"/>
  <c r="K327" i="31"/>
  <c r="H45" i="34"/>
  <c r="H23" i="37"/>
  <c r="K97" i="31"/>
  <c r="C137" i="1"/>
  <c r="C149" i="1"/>
  <c r="I203" i="31"/>
  <c r="D37" i="32"/>
  <c r="D21" i="39"/>
  <c r="D20" i="38"/>
  <c r="K317" i="31"/>
  <c r="K107" i="31"/>
  <c r="H85" i="40"/>
  <c r="D113" i="34"/>
  <c r="D65" i="38"/>
  <c r="D84" i="36"/>
  <c r="D65" i="37"/>
  <c r="D30" i="33"/>
  <c r="D91" i="32"/>
  <c r="D115" i="35"/>
  <c r="K315" i="31"/>
  <c r="H92" i="40"/>
  <c r="H78" i="41"/>
  <c r="K109" i="31"/>
  <c r="H88" i="38"/>
  <c r="D33" i="38"/>
  <c r="D35" i="41"/>
  <c r="D54" i="40"/>
  <c r="D36" i="42"/>
  <c r="F188" i="1"/>
  <c r="I188" i="1" s="1"/>
  <c r="J188" i="1" s="1"/>
  <c r="L71" i="31"/>
  <c r="R71" i="31"/>
  <c r="F192" i="34"/>
  <c r="I192" i="34" s="1"/>
  <c r="J192" i="34" s="1"/>
  <c r="F119" i="32"/>
  <c r="I119" i="32" s="1"/>
  <c r="J119" i="32" s="1"/>
  <c r="L46" i="31"/>
  <c r="R46" i="31"/>
  <c r="C112" i="41"/>
  <c r="I41" i="31"/>
  <c r="C91" i="35"/>
  <c r="I404" i="31"/>
  <c r="C30" i="1"/>
  <c r="I239" i="31"/>
  <c r="C93" i="1"/>
  <c r="I314" i="31"/>
  <c r="C37" i="36"/>
  <c r="C89" i="1"/>
  <c r="I292" i="31"/>
  <c r="C23" i="44"/>
  <c r="I148" i="31"/>
  <c r="C133" i="36"/>
  <c r="I183" i="31"/>
  <c r="I289" i="31"/>
  <c r="C51" i="42"/>
  <c r="D192" i="34"/>
  <c r="D119" i="32"/>
  <c r="H24" i="37"/>
  <c r="K100" i="31"/>
  <c r="K159" i="31"/>
  <c r="H87" i="37"/>
  <c r="H18" i="32"/>
  <c r="H22" i="34"/>
  <c r="H18" i="39"/>
  <c r="H18" i="41"/>
  <c r="H23" i="40"/>
  <c r="H18" i="37"/>
  <c r="H19" i="35"/>
  <c r="H18" i="42"/>
  <c r="K89" i="31"/>
  <c r="H18" i="44"/>
  <c r="H18" i="36"/>
  <c r="H18" i="33"/>
  <c r="I246" i="31"/>
  <c r="C39" i="1"/>
  <c r="C33" i="40"/>
  <c r="I139" i="31"/>
  <c r="C141" i="36"/>
  <c r="I166" i="31"/>
  <c r="C71" i="36"/>
  <c r="C100" i="34"/>
  <c r="C52" i="38"/>
  <c r="C102" i="35"/>
  <c r="C38" i="44"/>
  <c r="C78" i="32"/>
  <c r="I212" i="31"/>
  <c r="C42" i="34"/>
  <c r="C45" i="40"/>
  <c r="I94" i="31"/>
  <c r="C47" i="42"/>
  <c r="I79" i="31"/>
  <c r="C187" i="34"/>
  <c r="I52" i="31"/>
  <c r="C38" i="40"/>
  <c r="C33" i="34"/>
  <c r="C22" i="41"/>
  <c r="I93" i="31"/>
  <c r="I320" i="31"/>
  <c r="C69" i="42"/>
  <c r="C232" i="34"/>
  <c r="C148" i="41"/>
  <c r="C80" i="37"/>
  <c r="I131" i="31"/>
  <c r="C54" i="32"/>
  <c r="I391" i="31"/>
  <c r="C62" i="35"/>
  <c r="H192" i="1"/>
  <c r="K15" i="31"/>
  <c r="K326" i="31"/>
  <c r="K98" i="31"/>
  <c r="H25" i="37"/>
  <c r="D131" i="36"/>
  <c r="D146" i="34"/>
  <c r="C67" i="32"/>
  <c r="C64" i="36"/>
  <c r="C93" i="34"/>
  <c r="C81" i="35"/>
  <c r="I23" i="31"/>
  <c r="C59" i="35"/>
  <c r="I102" i="31"/>
  <c r="I313" i="31"/>
  <c r="C92" i="1"/>
  <c r="I302" i="31"/>
  <c r="C31" i="39"/>
  <c r="C37" i="42"/>
  <c r="I276" i="31"/>
  <c r="C76" i="41"/>
  <c r="I197" i="31"/>
  <c r="C194" i="1"/>
  <c r="I73" i="31"/>
  <c r="C27" i="40"/>
  <c r="C28" i="34"/>
  <c r="I138" i="31"/>
  <c r="C35" i="41"/>
  <c r="C36" i="42"/>
  <c r="C33" i="38"/>
  <c r="C54" i="40"/>
  <c r="I275" i="31"/>
  <c r="C41" i="38"/>
  <c r="C70" i="34"/>
  <c r="C43" i="36"/>
  <c r="C69" i="34"/>
  <c r="C32" i="32"/>
  <c r="C42" i="36"/>
  <c r="C42" i="35"/>
  <c r="C33" i="39"/>
  <c r="C57" i="40"/>
  <c r="C43" i="35"/>
  <c r="I99" i="31"/>
  <c r="I366" i="31"/>
  <c r="C73" i="42"/>
  <c r="D38" i="44"/>
  <c r="D52" i="38"/>
  <c r="D100" i="34"/>
  <c r="D78" i="32"/>
  <c r="D71" i="36"/>
  <c r="D102" i="35"/>
  <c r="D65" i="44"/>
  <c r="D95" i="42"/>
  <c r="C152" i="1"/>
  <c r="I207" i="31"/>
  <c r="C50" i="32"/>
  <c r="C49" i="36"/>
  <c r="C77" i="34"/>
  <c r="C58" i="35"/>
  <c r="I388" i="31"/>
  <c r="H17" i="1"/>
  <c r="K86" i="31"/>
  <c r="K9" i="31"/>
  <c r="H115" i="32"/>
  <c r="D39" i="32"/>
  <c r="D26" i="37"/>
  <c r="C57" i="32"/>
  <c r="I141" i="31"/>
  <c r="C67" i="41"/>
  <c r="I106" i="31"/>
  <c r="I318" i="31"/>
  <c r="C66" i="42"/>
  <c r="C132" i="36"/>
  <c r="I182" i="31"/>
  <c r="C193" i="35"/>
  <c r="C177" i="36"/>
  <c r="I127" i="31"/>
  <c r="C243" i="34"/>
  <c r="I40" i="31"/>
  <c r="C116" i="32"/>
  <c r="C103" i="38"/>
  <c r="C191" i="34"/>
  <c r="I8" i="31"/>
  <c r="C242" i="34"/>
  <c r="I39" i="31"/>
  <c r="C89" i="42"/>
  <c r="I251" i="31"/>
  <c r="C43" i="32"/>
  <c r="C48" i="32"/>
  <c r="I369" i="31"/>
  <c r="D65" i="40"/>
  <c r="D120" i="34"/>
  <c r="K322" i="31"/>
  <c r="H59" i="35"/>
  <c r="K102" i="31"/>
  <c r="K294" i="31"/>
  <c r="H156" i="32"/>
  <c r="H121" i="42"/>
  <c r="K130" i="31"/>
  <c r="H128" i="38"/>
  <c r="H188" i="36"/>
  <c r="H88" i="44"/>
  <c r="H206" i="35"/>
  <c r="H44" i="43"/>
  <c r="H231" i="34"/>
  <c r="K222" i="31"/>
  <c r="H149" i="1"/>
  <c r="K203" i="31"/>
  <c r="H137" i="1"/>
  <c r="H130" i="35"/>
  <c r="K169" i="31"/>
  <c r="C80" i="1"/>
  <c r="I199" i="31"/>
  <c r="C85" i="40"/>
  <c r="I107" i="31"/>
  <c r="C60" i="44"/>
  <c r="C24" i="43"/>
  <c r="C109" i="40"/>
  <c r="C173" i="34"/>
  <c r="I110" i="31"/>
  <c r="C194" i="34"/>
  <c r="I48" i="31"/>
  <c r="C63" i="42"/>
  <c r="I312" i="31"/>
  <c r="C87" i="1"/>
  <c r="C198" i="1"/>
  <c r="I29" i="31"/>
  <c r="C125" i="36"/>
  <c r="I175" i="31"/>
  <c r="C62" i="36"/>
  <c r="C79" i="35"/>
  <c r="I406" i="31"/>
  <c r="I362" i="31"/>
  <c r="C123" i="36"/>
  <c r="K257" i="31"/>
  <c r="H65" i="44"/>
  <c r="H95" i="42"/>
  <c r="K168" i="31"/>
  <c r="C158" i="34"/>
  <c r="I21" i="31"/>
  <c r="K353" i="31"/>
  <c r="K68" i="31"/>
  <c r="H68" i="42"/>
  <c r="H87" i="35"/>
  <c r="H71" i="32"/>
  <c r="C189" i="34"/>
  <c r="I53" i="31"/>
  <c r="D169" i="35"/>
  <c r="D156" i="36"/>
  <c r="D157" i="36"/>
  <c r="D159" i="36"/>
  <c r="D170" i="35"/>
  <c r="D94" i="42"/>
  <c r="H128" i="36"/>
  <c r="K178" i="31"/>
  <c r="D118" i="40"/>
  <c r="D181" i="34"/>
  <c r="D91" i="42"/>
  <c r="D108" i="41"/>
  <c r="G33" i="1"/>
  <c r="J240" i="31"/>
  <c r="D87" i="1"/>
  <c r="D63" i="42"/>
  <c r="K254" i="31"/>
  <c r="K171" i="31"/>
  <c r="H68" i="39"/>
  <c r="D107" i="32"/>
  <c r="D75" i="38"/>
  <c r="D41" i="39"/>
  <c r="D74" i="40"/>
  <c r="D97" i="36"/>
  <c r="D129" i="35"/>
  <c r="H43" i="1"/>
  <c r="H47" i="1"/>
  <c r="K60" i="31"/>
  <c r="C172" i="36"/>
  <c r="C137" i="41"/>
  <c r="C215" i="34"/>
  <c r="C141" i="32"/>
  <c r="C39" i="33"/>
  <c r="C183" i="35"/>
  <c r="I122" i="31"/>
  <c r="C86" i="1"/>
  <c r="I63" i="31"/>
  <c r="C78" i="36"/>
  <c r="C107" i="34"/>
  <c r="C84" i="38"/>
  <c r="C59" i="38"/>
  <c r="C109" i="35"/>
  <c r="C85" i="32"/>
  <c r="C62" i="37"/>
  <c r="C29" i="42"/>
  <c r="C45" i="44"/>
  <c r="C27" i="33"/>
  <c r="I192" i="31"/>
  <c r="D231" i="34"/>
  <c r="D206" i="35"/>
  <c r="D44" i="43"/>
  <c r="D156" i="32"/>
  <c r="D128" i="38"/>
  <c r="D88" i="44"/>
  <c r="D121" i="42"/>
  <c r="D188" i="36"/>
  <c r="C59" i="32"/>
  <c r="I379" i="31"/>
  <c r="K280" i="31"/>
  <c r="K145" i="31"/>
  <c r="H160" i="34"/>
  <c r="K308" i="31"/>
  <c r="K116" i="31"/>
  <c r="H109" i="41"/>
  <c r="I257" i="31"/>
  <c r="C24" i="42"/>
  <c r="C136" i="38"/>
  <c r="I346" i="31"/>
  <c r="H86" i="1"/>
  <c r="K63" i="31"/>
  <c r="C156" i="36"/>
  <c r="C159" i="36"/>
  <c r="C157" i="36"/>
  <c r="C94" i="42"/>
  <c r="I49" i="31"/>
  <c r="C176" i="36"/>
  <c r="C192" i="35"/>
  <c r="I126" i="31"/>
  <c r="H132" i="36"/>
  <c r="K182" i="31"/>
  <c r="C72" i="35"/>
  <c r="I156" i="31"/>
  <c r="K300" i="31"/>
  <c r="H190" i="35"/>
  <c r="K124" i="31"/>
  <c r="C153" i="41"/>
  <c r="C107" i="39"/>
  <c r="C239" i="34"/>
  <c r="I38" i="31"/>
  <c r="C124" i="35"/>
  <c r="C102" i="32"/>
  <c r="C107" i="1"/>
  <c r="I330" i="31"/>
  <c r="C130" i="34"/>
  <c r="D49" i="41"/>
  <c r="D118" i="34"/>
  <c r="D73" i="38"/>
  <c r="C21" i="38"/>
  <c r="C21" i="37"/>
  <c r="I151" i="31"/>
  <c r="K337" i="31"/>
  <c r="K87" i="31"/>
  <c r="D30" i="32"/>
  <c r="D63" i="34"/>
  <c r="D38" i="36"/>
  <c r="D39" i="35"/>
  <c r="D49" i="35"/>
  <c r="D47" i="36"/>
  <c r="D75" i="34"/>
  <c r="D90" i="34"/>
  <c r="D78" i="35"/>
  <c r="D61" i="36"/>
  <c r="D65" i="32"/>
  <c r="K305" i="31"/>
  <c r="H180" i="35"/>
  <c r="H212" i="34"/>
  <c r="H139" i="32"/>
  <c r="H135" i="41"/>
  <c r="H142" i="40"/>
  <c r="H110" i="42"/>
  <c r="H76" i="44"/>
  <c r="H85" i="39"/>
  <c r="K119" i="31"/>
  <c r="H170" i="36"/>
  <c r="H35" i="43"/>
  <c r="H122" i="38"/>
  <c r="C24" i="44"/>
  <c r="I149" i="31"/>
  <c r="C40" i="32"/>
  <c r="C55" i="36"/>
  <c r="C84" i="34"/>
  <c r="I381" i="31"/>
  <c r="C51" i="35"/>
  <c r="C68" i="39"/>
  <c r="I171" i="31"/>
  <c r="K128" i="31"/>
  <c r="H95" i="39"/>
  <c r="H87" i="44"/>
  <c r="H120" i="42"/>
  <c r="D148" i="41"/>
  <c r="D232" i="34"/>
  <c r="D80" i="37"/>
  <c r="C103" i="34"/>
  <c r="C74" i="36"/>
  <c r="C41" i="44"/>
  <c r="I216" i="31"/>
  <c r="C55" i="38"/>
  <c r="C81" i="32"/>
  <c r="C105" i="35"/>
  <c r="H151" i="1"/>
  <c r="K204" i="31"/>
  <c r="I262" i="31"/>
  <c r="C28" i="42"/>
  <c r="D24" i="43"/>
  <c r="D173" i="34"/>
  <c r="D60" i="44"/>
  <c r="D109" i="40"/>
  <c r="K251" i="31"/>
  <c r="H124" i="36"/>
  <c r="K174" i="31"/>
  <c r="D57" i="39"/>
  <c r="D116" i="36"/>
  <c r="D87" i="40"/>
  <c r="D111" i="32"/>
  <c r="D146" i="35"/>
  <c r="D163" i="34"/>
  <c r="K175" i="31"/>
  <c r="H125" i="36"/>
  <c r="D93" i="35"/>
  <c r="D94" i="35"/>
  <c r="D82" i="32"/>
  <c r="D56" i="38"/>
  <c r="D42" i="44"/>
  <c r="D106" i="35"/>
  <c r="D75" i="36"/>
  <c r="D104" i="34"/>
  <c r="D121" i="34"/>
  <c r="D71" i="38"/>
  <c r="D58" i="35"/>
  <c r="D50" i="32"/>
  <c r="D77" i="34"/>
  <c r="D49" i="36"/>
  <c r="K156" i="31"/>
  <c r="H72" i="35"/>
  <c r="L28" i="31"/>
  <c r="R28" i="31"/>
  <c r="D186" i="34"/>
  <c r="D101" i="38"/>
  <c r="H195" i="34"/>
  <c r="K50" i="31"/>
  <c r="H168" i="35"/>
  <c r="H167" i="35"/>
  <c r="H166" i="35"/>
  <c r="K348" i="31"/>
  <c r="H194" i="1"/>
  <c r="K73" i="31"/>
  <c r="D194" i="36"/>
  <c r="D236" i="34"/>
  <c r="D105" i="39"/>
  <c r="D50" i="33"/>
  <c r="D244" i="34"/>
  <c r="D14" i="41"/>
  <c r="D14" i="32"/>
  <c r="D14" i="37"/>
  <c r="D14" i="39"/>
  <c r="D21" i="1"/>
  <c r="D15" i="35"/>
  <c r="D14" i="44"/>
  <c r="D14" i="43"/>
  <c r="D18" i="34"/>
  <c r="D17" i="38"/>
  <c r="D14" i="33"/>
  <c r="D14" i="42"/>
  <c r="D17" i="40"/>
  <c r="D14" i="36"/>
  <c r="C56" i="32"/>
  <c r="I372" i="31"/>
  <c r="H155" i="35"/>
  <c r="K117" i="31"/>
  <c r="C45" i="32"/>
  <c r="C52" i="35"/>
  <c r="I375" i="31"/>
  <c r="I227" i="31"/>
  <c r="C71" i="35"/>
  <c r="K273" i="31"/>
  <c r="H22" i="37"/>
  <c r="K152" i="31"/>
  <c r="C194" i="36"/>
  <c r="C105" i="39"/>
  <c r="C50" i="33"/>
  <c r="C236" i="34"/>
  <c r="C244" i="34"/>
  <c r="I146" i="31"/>
  <c r="C147" i="1"/>
  <c r="I84" i="31"/>
  <c r="I378" i="31"/>
  <c r="C66" i="35"/>
  <c r="K290" i="31"/>
  <c r="K134" i="31"/>
  <c r="H106" i="39"/>
  <c r="H211" i="35"/>
  <c r="H241" i="34"/>
  <c r="H193" i="36"/>
  <c r="H161" i="32"/>
  <c r="H135" i="38"/>
  <c r="D193" i="35"/>
  <c r="D177" i="36"/>
  <c r="H78" i="36"/>
  <c r="H62" i="37"/>
  <c r="H85" i="32"/>
  <c r="H59" i="38"/>
  <c r="H107" i="34"/>
  <c r="H84" i="38"/>
  <c r="H45" i="44"/>
  <c r="H109" i="35"/>
  <c r="H27" i="33"/>
  <c r="H29" i="42"/>
  <c r="K192" i="31"/>
  <c r="D24" i="38"/>
  <c r="D21" i="44"/>
  <c r="C119" i="32"/>
  <c r="C192" i="34"/>
  <c r="I46" i="31"/>
  <c r="D83" i="32"/>
  <c r="D107" i="35"/>
  <c r="D76" i="36"/>
  <c r="D57" i="38"/>
  <c r="D105" i="34"/>
  <c r="D43" i="44"/>
  <c r="H137" i="36"/>
  <c r="K187" i="31"/>
  <c r="D111" i="36"/>
  <c r="D142" i="35"/>
  <c r="D98" i="32"/>
  <c r="D53" i="39"/>
  <c r="D140" i="35"/>
  <c r="D108" i="36"/>
  <c r="D136" i="34"/>
  <c r="G67" i="32"/>
  <c r="G64" i="36"/>
  <c r="G81" i="35"/>
  <c r="G93" i="34"/>
  <c r="C46" i="37"/>
  <c r="I56" i="31"/>
  <c r="I358" i="31"/>
  <c r="C71" i="38"/>
  <c r="C121" i="34"/>
  <c r="K210" i="31"/>
  <c r="H140" i="1"/>
  <c r="C73" i="38"/>
  <c r="C118" i="34"/>
  <c r="C49" i="41"/>
  <c r="I104" i="31"/>
  <c r="C99" i="38"/>
  <c r="I345" i="31"/>
  <c r="K402" i="31"/>
  <c r="H28" i="43"/>
  <c r="K19" i="31"/>
  <c r="H46" i="37"/>
  <c r="K56" i="31"/>
  <c r="D29" i="32"/>
  <c r="D88" i="1"/>
  <c r="K29" i="31"/>
  <c r="H198" i="1"/>
  <c r="C160" i="1"/>
  <c r="I26" i="31"/>
  <c r="K336" i="31"/>
  <c r="K88" i="31"/>
  <c r="C30" i="39"/>
  <c r="I291" i="31"/>
  <c r="D85" i="39"/>
  <c r="D135" i="41"/>
  <c r="D139" i="32"/>
  <c r="D180" i="35"/>
  <c r="D170" i="36"/>
  <c r="D110" i="42"/>
  <c r="D122" i="38"/>
  <c r="D35" i="43"/>
  <c r="D212" i="34"/>
  <c r="D142" i="40"/>
  <c r="D76" i="44"/>
  <c r="K304" i="31"/>
  <c r="K120" i="31"/>
  <c r="H74" i="37"/>
  <c r="H111" i="42"/>
  <c r="H213" i="34"/>
  <c r="H71" i="42"/>
  <c r="H181" i="35"/>
  <c r="H77" i="44"/>
  <c r="H164" i="1"/>
  <c r="H70" i="32"/>
  <c r="H65" i="36"/>
  <c r="K35" i="31"/>
  <c r="H83" i="35"/>
  <c r="H94" i="34"/>
  <c r="C117" i="40"/>
  <c r="C107" i="41"/>
  <c r="C90" i="42"/>
  <c r="C180" i="34"/>
  <c r="I114" i="31"/>
  <c r="C121" i="35"/>
  <c r="C97" i="32"/>
  <c r="I333" i="31"/>
  <c r="C159" i="34"/>
  <c r="C90" i="36"/>
  <c r="C60" i="39"/>
  <c r="K270" i="31"/>
  <c r="H45" i="37"/>
  <c r="K155" i="31"/>
  <c r="C16" i="1"/>
  <c r="I59" i="31"/>
  <c r="K194" i="31"/>
  <c r="H184" i="35"/>
  <c r="H165" i="1"/>
  <c r="H142" i="32"/>
  <c r="H216" i="34"/>
  <c r="H173" i="36"/>
  <c r="D83" i="34"/>
  <c r="D65" i="35"/>
  <c r="D54" i="36"/>
  <c r="D85" i="36"/>
  <c r="D114" i="34"/>
  <c r="D66" i="38"/>
  <c r="D92" i="32"/>
  <c r="D51" i="44"/>
  <c r="D116" i="35"/>
  <c r="C145" i="35"/>
  <c r="C86" i="40"/>
  <c r="C86" i="38"/>
  <c r="C110" i="32"/>
  <c r="C115" i="36"/>
  <c r="C55" i="39"/>
  <c r="I143" i="31"/>
  <c r="K346" i="31"/>
  <c r="H37" i="32"/>
  <c r="K75" i="31"/>
  <c r="H20" i="38"/>
  <c r="H21" i="39"/>
  <c r="D64" i="38"/>
  <c r="D114" i="35"/>
  <c r="D83" i="36"/>
  <c r="D90" i="32"/>
  <c r="D112" i="34"/>
  <c r="D50" i="44"/>
  <c r="F185" i="34"/>
  <c r="I185" i="34" s="1"/>
  <c r="J185" i="34" s="1"/>
  <c r="R6" i="31"/>
  <c r="L6" i="31"/>
  <c r="F159" i="1"/>
  <c r="I159" i="1" s="1"/>
  <c r="J159" i="1" s="1"/>
  <c r="R25" i="31"/>
  <c r="I160" i="1" l="1"/>
  <c r="J160" i="1" s="1"/>
  <c r="I93" i="34"/>
  <c r="J93" i="34" s="1"/>
  <c r="I64" i="36"/>
  <c r="J64" i="36" s="1"/>
  <c r="M3" i="31"/>
  <c r="I192" i="1"/>
  <c r="J192" i="1" s="1"/>
  <c r="I67" i="32"/>
  <c r="J67" i="32" s="1"/>
  <c r="I81" i="35"/>
  <c r="J81" i="35" s="1"/>
  <c r="D250" i="31" l="1"/>
  <c r="E250" i="31"/>
  <c r="G250" i="31" l="1"/>
  <c r="C4" i="31"/>
  <c r="G168" i="34"/>
  <c r="J250" i="31"/>
  <c r="F168" i="34"/>
  <c r="R250" i="31"/>
  <c r="L250" i="31"/>
  <c r="I168" i="34" l="1"/>
  <c r="J168" i="34" s="1"/>
  <c r="J169" i="34" s="1"/>
  <c r="B323" i="50" s="1"/>
  <c r="M323" i="50" s="1"/>
  <c r="D52" i="31"/>
  <c r="D363" i="31"/>
  <c r="E52" i="31"/>
  <c r="E364" i="31"/>
  <c r="J364" i="31" s="1"/>
  <c r="D364" i="31"/>
  <c r="E363" i="31"/>
  <c r="D121" i="32"/>
  <c r="D64" i="44"/>
  <c r="D122" i="32"/>
  <c r="F323" i="50" l="1"/>
  <c r="E323" i="50"/>
  <c r="O323" i="50"/>
  <c r="J323" i="50"/>
  <c r="N323" i="50"/>
  <c r="L323" i="50"/>
  <c r="D323" i="50"/>
  <c r="K323" i="50"/>
  <c r="H323" i="50"/>
  <c r="G323" i="50"/>
  <c r="I323" i="50"/>
  <c r="G52" i="31"/>
  <c r="L52" i="31" s="1"/>
  <c r="G364" i="31"/>
  <c r="R364" i="31" s="1"/>
  <c r="G363" i="31"/>
  <c r="G101" i="38"/>
  <c r="G186" i="34"/>
  <c r="J363" i="31"/>
  <c r="F186" i="34"/>
  <c r="F101" i="38"/>
  <c r="I101" i="38" s="1"/>
  <c r="J101" i="38" s="1"/>
  <c r="R363" i="31"/>
  <c r="L363" i="31"/>
  <c r="F187" i="34"/>
  <c r="G187" i="34"/>
  <c r="J52" i="31"/>
  <c r="P323" i="50" l="1"/>
  <c r="I187" i="34"/>
  <c r="J187" i="34" s="1"/>
  <c r="I186" i="34"/>
  <c r="J186" i="34" s="1"/>
  <c r="L364" i="31"/>
  <c r="R52" i="31"/>
  <c r="E164" i="31" l="1"/>
  <c r="G162" i="34" s="1"/>
  <c r="D164" i="31" l="1"/>
  <c r="G164" i="31" l="1"/>
  <c r="L164" i="31" s="1"/>
  <c r="F162" i="34"/>
  <c r="I162" i="34" s="1"/>
  <c r="J162" i="34" s="1"/>
  <c r="D403" i="31" l="1"/>
  <c r="R164" i="31"/>
  <c r="G403" i="31" l="1"/>
  <c r="E403" i="31"/>
  <c r="R403" i="31" s="1"/>
  <c r="F98" i="1"/>
  <c r="D251" i="31" l="1"/>
  <c r="E251" i="31"/>
  <c r="J23" i="31"/>
  <c r="G98" i="1"/>
  <c r="I98" i="1" s="1"/>
  <c r="J98" i="1" s="1"/>
  <c r="J403" i="31"/>
  <c r="G251" i="31" l="1"/>
  <c r="L251" i="31" s="1"/>
  <c r="G89" i="42"/>
  <c r="J251" i="31"/>
  <c r="F89" i="42"/>
  <c r="I89" i="42" l="1"/>
  <c r="J89" i="42" s="1"/>
  <c r="E198" i="31"/>
  <c r="D198" i="31"/>
  <c r="G198" i="31" l="1"/>
  <c r="L198" i="31" s="1"/>
  <c r="F129" i="1"/>
  <c r="G129" i="1"/>
  <c r="J198" i="31"/>
  <c r="I129" i="1" l="1"/>
  <c r="J129" i="1" s="1"/>
  <c r="E411" i="31"/>
  <c r="D411" i="31" l="1"/>
  <c r="J15" i="31"/>
  <c r="G197" i="1"/>
  <c r="G411" i="31" l="1"/>
  <c r="R411" i="31" s="1"/>
  <c r="F197" i="1"/>
  <c r="I197" i="1" s="1"/>
  <c r="J197" i="1" s="1"/>
  <c r="F20" i="31" l="1"/>
  <c r="E20" i="31"/>
  <c r="D20" i="31"/>
  <c r="G20" i="31" l="1"/>
  <c r="L20" i="31" s="1"/>
  <c r="F196" i="1"/>
  <c r="G196" i="1"/>
  <c r="J20" i="31"/>
  <c r="K406" i="31"/>
  <c r="K20" i="31"/>
  <c r="H196" i="1"/>
  <c r="R20" i="31" l="1"/>
  <c r="I196" i="1"/>
  <c r="J196" i="1" s="1"/>
  <c r="E154" i="31" l="1"/>
  <c r="G43" i="37" s="1"/>
  <c r="D154" i="31"/>
  <c r="D13" i="31"/>
  <c r="E13" i="31"/>
  <c r="G200" i="1" s="1"/>
  <c r="G13" i="31" l="1"/>
  <c r="L13" i="31" s="1"/>
  <c r="G154" i="31"/>
  <c r="L154" i="31" s="1"/>
  <c r="F200" i="1"/>
  <c r="I200" i="1" s="1"/>
  <c r="J200" i="1" s="1"/>
  <c r="F43" i="37"/>
  <c r="I43" i="37" s="1"/>
  <c r="J43" i="37" s="1"/>
  <c r="R154" i="31"/>
  <c r="R13" i="31" l="1"/>
  <c r="E249" i="31" l="1"/>
  <c r="D249" i="31"/>
  <c r="E365" i="31"/>
  <c r="E199" i="31"/>
  <c r="E415" i="31"/>
  <c r="G90" i="35" s="1"/>
  <c r="D365" i="31"/>
  <c r="D199" i="31"/>
  <c r="G365" i="31" l="1"/>
  <c r="L365" i="31" s="1"/>
  <c r="D415" i="31"/>
  <c r="G199" i="31"/>
  <c r="G249" i="31"/>
  <c r="L249" i="31" s="1"/>
  <c r="F66" i="1"/>
  <c r="R365" i="31"/>
  <c r="G80" i="1"/>
  <c r="J199" i="31"/>
  <c r="F80" i="1"/>
  <c r="I80" i="1" s="1"/>
  <c r="J80" i="1" s="1"/>
  <c r="L199" i="31"/>
  <c r="G66" i="1"/>
  <c r="J365" i="31"/>
  <c r="F75" i="1"/>
  <c r="R249" i="31"/>
  <c r="G75" i="1"/>
  <c r="J249" i="31"/>
  <c r="G415" i="31" l="1"/>
  <c r="R415" i="31" s="1"/>
  <c r="I75" i="1"/>
  <c r="J75" i="1" s="1"/>
  <c r="F90" i="35"/>
  <c r="I90" i="35" s="1"/>
  <c r="J90" i="35" s="1"/>
  <c r="I66" i="1"/>
  <c r="J66" i="1" s="1"/>
  <c r="E238" i="31" l="1"/>
  <c r="G29" i="1" s="1"/>
  <c r="E241" i="31"/>
  <c r="G35" i="1" s="1"/>
  <c r="E243" i="31"/>
  <c r="G37" i="1" s="1"/>
  <c r="E245" i="31"/>
  <c r="J245" i="31" s="1"/>
  <c r="D244" i="31"/>
  <c r="E234" i="31"/>
  <c r="D234" i="31"/>
  <c r="D241" i="31"/>
  <c r="E233" i="31"/>
  <c r="D238" i="31"/>
  <c r="E235" i="31"/>
  <c r="G26" i="1" s="1"/>
  <c r="E237" i="31"/>
  <c r="E242" i="31"/>
  <c r="G36" i="1" s="1"/>
  <c r="F239" i="31" l="1"/>
  <c r="F241" i="31"/>
  <c r="F245" i="31"/>
  <c r="K245" i="31" s="1"/>
  <c r="D233" i="31"/>
  <c r="D242" i="31"/>
  <c r="F234" i="31"/>
  <c r="D239" i="31"/>
  <c r="D246" i="31"/>
  <c r="D248" i="31"/>
  <c r="F246" i="31"/>
  <c r="D236" i="31"/>
  <c r="D235" i="31"/>
  <c r="F240" i="31"/>
  <c r="F235" i="31"/>
  <c r="E247" i="31"/>
  <c r="J247" i="31" s="1"/>
  <c r="D243" i="31"/>
  <c r="F244" i="31"/>
  <c r="F242" i="31"/>
  <c r="D247" i="31"/>
  <c r="F237" i="31"/>
  <c r="F247" i="31"/>
  <c r="K247" i="31" s="1"/>
  <c r="F238" i="31"/>
  <c r="F236" i="31"/>
  <c r="F248" i="31"/>
  <c r="D237" i="31"/>
  <c r="F243" i="31"/>
  <c r="G243" i="31"/>
  <c r="F233" i="31"/>
  <c r="D240" i="31"/>
  <c r="D245" i="31"/>
  <c r="G24" i="1"/>
  <c r="J233" i="31"/>
  <c r="F38" i="1"/>
  <c r="G28" i="1"/>
  <c r="J237" i="31"/>
  <c r="F35" i="1"/>
  <c r="F25" i="1"/>
  <c r="F29" i="1"/>
  <c r="G25" i="1"/>
  <c r="J234" i="31"/>
  <c r="G238" i="31" l="1"/>
  <c r="G245" i="31"/>
  <c r="G236" i="31"/>
  <c r="R236" i="31" s="1"/>
  <c r="G241" i="31"/>
  <c r="G237" i="31"/>
  <c r="R237" i="31" s="1"/>
  <c r="G239" i="31"/>
  <c r="G242" i="31"/>
  <c r="R242" i="31" s="1"/>
  <c r="G247" i="31"/>
  <c r="L247" i="31" s="1"/>
  <c r="G233" i="31"/>
  <c r="G234" i="31"/>
  <c r="G240" i="31"/>
  <c r="R240" i="31" s="1"/>
  <c r="G235" i="31"/>
  <c r="R235" i="31" s="1"/>
  <c r="F33" i="1"/>
  <c r="F28" i="1"/>
  <c r="L237" i="31"/>
  <c r="K181" i="31"/>
  <c r="K244" i="31"/>
  <c r="H38" i="1"/>
  <c r="F40" i="1"/>
  <c r="H24" i="1"/>
  <c r="K233" i="31"/>
  <c r="K248" i="31"/>
  <c r="H40" i="1"/>
  <c r="K237" i="31"/>
  <c r="H28" i="1"/>
  <c r="F37" i="1"/>
  <c r="L243" i="31"/>
  <c r="R243" i="31"/>
  <c r="F26" i="1"/>
  <c r="L235" i="31"/>
  <c r="F39" i="1"/>
  <c r="F24" i="1"/>
  <c r="I24" i="1" s="1"/>
  <c r="J24" i="1" s="1"/>
  <c r="R233" i="31"/>
  <c r="L233" i="31"/>
  <c r="K189" i="31"/>
  <c r="K236" i="31"/>
  <c r="H27" i="1"/>
  <c r="F30" i="1"/>
  <c r="R239" i="31"/>
  <c r="L239" i="31"/>
  <c r="R247" i="31"/>
  <c r="F27" i="1"/>
  <c r="L236" i="31"/>
  <c r="R245" i="31"/>
  <c r="L245" i="31"/>
  <c r="K243" i="31"/>
  <c r="H37" i="1"/>
  <c r="K238" i="31"/>
  <c r="H29" i="1"/>
  <c r="I29" i="1" s="1"/>
  <c r="J29" i="1" s="1"/>
  <c r="K183" i="31"/>
  <c r="K242" i="31"/>
  <c r="H36" i="1"/>
  <c r="K190" i="31"/>
  <c r="H26" i="1"/>
  <c r="K235" i="31"/>
  <c r="H39" i="1"/>
  <c r="K246" i="31"/>
  <c r="K234" i="31"/>
  <c r="H25" i="1"/>
  <c r="I25" i="1" s="1"/>
  <c r="J25" i="1" s="1"/>
  <c r="K184" i="31"/>
  <c r="H35" i="1"/>
  <c r="I35" i="1" s="1"/>
  <c r="J35" i="1" s="1"/>
  <c r="K241" i="31"/>
  <c r="H33" i="1"/>
  <c r="K240" i="31"/>
  <c r="F36" i="1"/>
  <c r="L242" i="31"/>
  <c r="K186" i="31"/>
  <c r="H30" i="1"/>
  <c r="K239" i="31"/>
  <c r="I30" i="1" l="1"/>
  <c r="J30" i="1" s="1"/>
  <c r="L240" i="31"/>
  <c r="E244" i="31"/>
  <c r="G244" i="31"/>
  <c r="E248" i="31"/>
  <c r="E246" i="31"/>
  <c r="I36" i="1"/>
  <c r="J36" i="1" s="1"/>
  <c r="I27" i="1"/>
  <c r="J27" i="1" s="1"/>
  <c r="I37" i="1"/>
  <c r="J37" i="1" s="1"/>
  <c r="L241" i="31"/>
  <c r="R241" i="31"/>
  <c r="I26" i="1"/>
  <c r="J26" i="1" s="1"/>
  <c r="I33" i="1"/>
  <c r="J33" i="1" s="1"/>
  <c r="L234" i="31"/>
  <c r="R234" i="31"/>
  <c r="I28" i="1"/>
  <c r="J28" i="1" s="1"/>
  <c r="R238" i="31"/>
  <c r="L238" i="31"/>
  <c r="G246" i="31" l="1"/>
  <c r="L246" i="31" s="1"/>
  <c r="G248" i="31"/>
  <c r="G38" i="1"/>
  <c r="I38" i="1" s="1"/>
  <c r="J38" i="1" s="1"/>
  <c r="J244" i="31"/>
  <c r="R244" i="31"/>
  <c r="L244" i="31"/>
  <c r="G39" i="1"/>
  <c r="I39" i="1" s="1"/>
  <c r="J39" i="1" s="1"/>
  <c r="R246" i="31"/>
  <c r="G40" i="1"/>
  <c r="I40" i="1" s="1"/>
  <c r="J40" i="1" s="1"/>
  <c r="L248" i="31"/>
  <c r="R248" i="31"/>
  <c r="J41" i="1" l="1"/>
  <c r="B538" i="50" l="1"/>
  <c r="I538" i="50" s="1"/>
  <c r="J204" i="1"/>
  <c r="E361" i="31"/>
  <c r="D361" i="31"/>
  <c r="E538" i="50" l="1"/>
  <c r="G538" i="50"/>
  <c r="D538" i="50"/>
  <c r="K538" i="50"/>
  <c r="J538" i="50"/>
  <c r="M538" i="50"/>
  <c r="F538" i="50"/>
  <c r="L538" i="50"/>
  <c r="N538" i="50"/>
  <c r="O538" i="50"/>
  <c r="H538" i="50"/>
  <c r="G361" i="31"/>
  <c r="R361" i="31" s="1"/>
  <c r="G94" i="36"/>
  <c r="J361" i="31"/>
  <c r="F94" i="36"/>
  <c r="I94" i="36" s="1"/>
  <c r="J94" i="36" s="1"/>
  <c r="P538" i="50" l="1"/>
  <c r="D29" i="31"/>
  <c r="E29" i="31"/>
  <c r="G198" i="1" s="1"/>
  <c r="D232" i="31"/>
  <c r="E232" i="31"/>
  <c r="L361" i="31"/>
  <c r="G232" i="31" l="1"/>
  <c r="L232" i="31" s="1"/>
  <c r="G29" i="31"/>
  <c r="R29" i="31" s="1"/>
  <c r="F183" i="1"/>
  <c r="R232" i="31"/>
  <c r="F198" i="1"/>
  <c r="I198" i="1" s="1"/>
  <c r="J198" i="1" s="1"/>
  <c r="L29" i="31"/>
  <c r="G183" i="1"/>
  <c r="J232" i="31"/>
  <c r="I183" i="1" l="1"/>
  <c r="J183" i="1" s="1"/>
  <c r="J186" i="1" s="1"/>
  <c r="B565" i="50" s="1"/>
  <c r="O565" i="50" s="1"/>
  <c r="E17" i="31"/>
  <c r="H565" i="50" l="1"/>
  <c r="I565" i="50"/>
  <c r="M565" i="50"/>
  <c r="D565" i="50"/>
  <c r="G565" i="50"/>
  <c r="J565" i="50"/>
  <c r="K565" i="50"/>
  <c r="L565" i="50"/>
  <c r="F565" i="50"/>
  <c r="N565" i="50"/>
  <c r="E565" i="50"/>
  <c r="D230" i="31"/>
  <c r="D228" i="31"/>
  <c r="D229" i="31"/>
  <c r="E12" i="31"/>
  <c r="D231" i="31"/>
  <c r="E229" i="31"/>
  <c r="E231" i="31"/>
  <c r="E228" i="31"/>
  <c r="J228" i="31" s="1"/>
  <c r="E230" i="31"/>
  <c r="G193" i="1"/>
  <c r="J17" i="31"/>
  <c r="P565" i="50" l="1"/>
  <c r="G228" i="31"/>
  <c r="G229" i="31"/>
  <c r="G230" i="31"/>
  <c r="R230" i="31" s="1"/>
  <c r="G231" i="31"/>
  <c r="L231" i="31" s="1"/>
  <c r="G119" i="1"/>
  <c r="J230" i="31"/>
  <c r="F128" i="1"/>
  <c r="F119" i="1"/>
  <c r="I119" i="1" s="1"/>
  <c r="J119" i="1" s="1"/>
  <c r="L230" i="31"/>
  <c r="G104" i="38"/>
  <c r="G107" i="38"/>
  <c r="G106" i="38"/>
  <c r="G108" i="38"/>
  <c r="G105" i="38"/>
  <c r="J12" i="31"/>
  <c r="G128" i="1"/>
  <c r="J231" i="31"/>
  <c r="F120" i="1"/>
  <c r="L229" i="31"/>
  <c r="R229" i="31"/>
  <c r="G120" i="1"/>
  <c r="J229" i="31"/>
  <c r="R228" i="31"/>
  <c r="L228" i="31"/>
  <c r="I120" i="1" l="1"/>
  <c r="J120" i="1" s="1"/>
  <c r="R231" i="31"/>
  <c r="E366" i="31"/>
  <c r="E417" i="31"/>
  <c r="G76" i="35" s="1"/>
  <c r="E418" i="31"/>
  <c r="G96" i="35" s="1"/>
  <c r="D418" i="31"/>
  <c r="E414" i="31"/>
  <c r="G70" i="35" s="1"/>
  <c r="E227" i="31"/>
  <c r="E416" i="31"/>
  <c r="G67" i="35" s="1"/>
  <c r="I128" i="1"/>
  <c r="J128" i="1" s="1"/>
  <c r="D417" i="31" l="1"/>
  <c r="G418" i="31"/>
  <c r="D366" i="31"/>
  <c r="D362" i="31"/>
  <c r="D412" i="31"/>
  <c r="D416" i="31"/>
  <c r="E413" i="31"/>
  <c r="E362" i="31"/>
  <c r="D413" i="31"/>
  <c r="D414" i="31"/>
  <c r="D227" i="31"/>
  <c r="E412" i="31"/>
  <c r="G73" i="42"/>
  <c r="J366" i="31"/>
  <c r="F96" i="35"/>
  <c r="I96" i="35" s="1"/>
  <c r="J96" i="35" s="1"/>
  <c r="R418" i="31"/>
  <c r="J227" i="31"/>
  <c r="G71" i="35"/>
  <c r="G413" i="31" l="1"/>
  <c r="G414" i="31"/>
  <c r="G227" i="31"/>
  <c r="R227" i="31" s="1"/>
  <c r="G366" i="31"/>
  <c r="G412" i="31"/>
  <c r="G416" i="31"/>
  <c r="G362" i="31"/>
  <c r="G417" i="31"/>
  <c r="J13" i="31"/>
  <c r="G91" i="34"/>
  <c r="G63" i="36"/>
  <c r="G69" i="32"/>
  <c r="G66" i="32"/>
  <c r="G80" i="35"/>
  <c r="F73" i="42"/>
  <c r="I73" i="42" s="1"/>
  <c r="J73" i="42" s="1"/>
  <c r="L366" i="31"/>
  <c r="R366" i="31"/>
  <c r="F71" i="35"/>
  <c r="I71" i="35" s="1"/>
  <c r="J71" i="35" s="1"/>
  <c r="L227" i="31"/>
  <c r="F70" i="35"/>
  <c r="I70" i="35" s="1"/>
  <c r="J70" i="35" s="1"/>
  <c r="R414" i="31"/>
  <c r="F67" i="35"/>
  <c r="I67" i="35" s="1"/>
  <c r="J67" i="35" s="1"/>
  <c r="R416" i="31"/>
  <c r="G78" i="35"/>
  <c r="G65" i="32"/>
  <c r="G61" i="36"/>
  <c r="G90" i="34"/>
  <c r="G123" i="36"/>
  <c r="J362" i="31"/>
  <c r="F123" i="36"/>
  <c r="I123" i="36" s="1"/>
  <c r="J123" i="36" s="1"/>
  <c r="R362" i="31"/>
  <c r="L362" i="31"/>
  <c r="F69" i="32"/>
  <c r="I69" i="32" s="1"/>
  <c r="J69" i="32" s="1"/>
  <c r="F63" i="36"/>
  <c r="I63" i="36" s="1"/>
  <c r="J63" i="36" s="1"/>
  <c r="F80" i="35"/>
  <c r="F91" i="34"/>
  <c r="I91" i="34" s="1"/>
  <c r="J91" i="34" s="1"/>
  <c r="F66" i="32"/>
  <c r="I66" i="32" s="1"/>
  <c r="J66" i="32" s="1"/>
  <c r="R413" i="31"/>
  <c r="F65" i="32"/>
  <c r="I65" i="32" s="1"/>
  <c r="J65" i="32" s="1"/>
  <c r="F61" i="36"/>
  <c r="I61" i="36" s="1"/>
  <c r="J61" i="36" s="1"/>
  <c r="F78" i="35"/>
  <c r="F90" i="34"/>
  <c r="I90" i="34" s="1"/>
  <c r="J90" i="34" s="1"/>
  <c r="R412" i="31"/>
  <c r="F76" i="35"/>
  <c r="I76" i="35" s="1"/>
  <c r="J76" i="35" s="1"/>
  <c r="R417" i="31"/>
  <c r="I80" i="35" l="1"/>
  <c r="J80" i="35" s="1"/>
  <c r="I78" i="35"/>
  <c r="J78" i="35" s="1"/>
  <c r="E424" i="31"/>
  <c r="E18" i="31"/>
  <c r="G14" i="34" l="1"/>
  <c r="G14" i="35"/>
  <c r="J18" i="31"/>
  <c r="G15" i="1"/>
  <c r="D419" i="31" l="1"/>
  <c r="E419" i="31"/>
  <c r="G115" i="1" s="1"/>
  <c r="E421" i="31"/>
  <c r="G117" i="1" s="1"/>
  <c r="D420" i="31"/>
  <c r="F116" i="1" s="1"/>
  <c r="D421" i="31"/>
  <c r="E410" i="31"/>
  <c r="E420" i="31"/>
  <c r="G116" i="1" s="1"/>
  <c r="E409" i="31" l="1"/>
  <c r="G420" i="31"/>
  <c r="R420" i="31" s="1"/>
  <c r="G421" i="31"/>
  <c r="R421" i="31" s="1"/>
  <c r="G419" i="31"/>
  <c r="D410" i="31"/>
  <c r="F115" i="1"/>
  <c r="I115" i="1" s="1"/>
  <c r="J115" i="1" s="1"/>
  <c r="R419" i="31"/>
  <c r="I116" i="1"/>
  <c r="J116" i="1" s="1"/>
  <c r="J16" i="31"/>
  <c r="G85" i="35"/>
  <c r="F117" i="1"/>
  <c r="I117" i="1" s="1"/>
  <c r="J117" i="1" s="1"/>
  <c r="D409" i="31" l="1"/>
  <c r="G410" i="31"/>
  <c r="R410" i="31" s="1"/>
  <c r="F85" i="35"/>
  <c r="I85" i="35" s="1"/>
  <c r="J85" i="35" s="1"/>
  <c r="G409" i="31" l="1"/>
  <c r="R409" i="31" s="1"/>
  <c r="E222" i="31" l="1"/>
  <c r="E14" i="31"/>
  <c r="E220" i="31"/>
  <c r="G92" i="35" s="1"/>
  <c r="E221" i="31"/>
  <c r="E218" i="31"/>
  <c r="E214" i="31"/>
  <c r="E22" i="31"/>
  <c r="E217" i="31"/>
  <c r="E223" i="31"/>
  <c r="E215" i="31"/>
  <c r="D54" i="31" l="1"/>
  <c r="E7" i="31"/>
  <c r="D223" i="31"/>
  <c r="D214" i="31"/>
  <c r="E19" i="31"/>
  <c r="E50" i="31"/>
  <c r="E53" i="31"/>
  <c r="D47" i="31"/>
  <c r="E42" i="31"/>
  <c r="D8" i="31"/>
  <c r="E219" i="31"/>
  <c r="D217" i="31"/>
  <c r="D42" i="31"/>
  <c r="E8" i="31"/>
  <c r="D216" i="31"/>
  <c r="D41" i="31"/>
  <c r="D5" i="31"/>
  <c r="D9" i="31"/>
  <c r="E225" i="31"/>
  <c r="E51" i="31"/>
  <c r="D11" i="31"/>
  <c r="E49" i="31"/>
  <c r="D51" i="31"/>
  <c r="D222" i="31"/>
  <c r="D221" i="31"/>
  <c r="E226" i="31"/>
  <c r="D22" i="31"/>
  <c r="D213" i="31"/>
  <c r="D10" i="31"/>
  <c r="D220" i="31"/>
  <c r="D50" i="31"/>
  <c r="E5" i="31"/>
  <c r="D7" i="31"/>
  <c r="D19" i="31"/>
  <c r="D48" i="31"/>
  <c r="E224" i="31"/>
  <c r="G82" i="35" s="1"/>
  <c r="D226" i="31"/>
  <c r="E41" i="31"/>
  <c r="G112" i="41" s="1"/>
  <c r="D21" i="31"/>
  <c r="D53" i="31"/>
  <c r="E48" i="31"/>
  <c r="G194" i="34" s="1"/>
  <c r="D49" i="31"/>
  <c r="D215" i="31"/>
  <c r="D218" i="31"/>
  <c r="E21" i="31"/>
  <c r="D224" i="31"/>
  <c r="E54" i="31"/>
  <c r="E9" i="31"/>
  <c r="D225" i="31"/>
  <c r="D219" i="31"/>
  <c r="E213" i="31"/>
  <c r="E212" i="31"/>
  <c r="E11" i="31"/>
  <c r="D14" i="31"/>
  <c r="E10" i="31"/>
  <c r="E47" i="31"/>
  <c r="D212" i="31"/>
  <c r="G25" i="33"/>
  <c r="G60" i="37"/>
  <c r="G77" i="32"/>
  <c r="G37" i="44"/>
  <c r="G51" i="38"/>
  <c r="G99" i="34"/>
  <c r="G101" i="35"/>
  <c r="G70" i="36"/>
  <c r="J22" i="31"/>
  <c r="G64" i="32"/>
  <c r="G77" i="35"/>
  <c r="G69" i="35"/>
  <c r="G89" i="34"/>
  <c r="G60" i="36"/>
  <c r="J223" i="31"/>
  <c r="G30" i="33"/>
  <c r="G115" i="35"/>
  <c r="G65" i="38"/>
  <c r="G113" i="34"/>
  <c r="G91" i="32"/>
  <c r="G65" i="37"/>
  <c r="G84" i="36"/>
  <c r="G68" i="35"/>
  <c r="G88" i="34"/>
  <c r="G64" i="38"/>
  <c r="G83" i="36"/>
  <c r="G114" i="35"/>
  <c r="G112" i="34"/>
  <c r="G90" i="32"/>
  <c r="G50" i="44"/>
  <c r="J217" i="31"/>
  <c r="G75" i="35"/>
  <c r="J221" i="31"/>
  <c r="G76" i="36"/>
  <c r="G83" i="32"/>
  <c r="G43" i="44"/>
  <c r="G107" i="35"/>
  <c r="G57" i="38"/>
  <c r="G105" i="34"/>
  <c r="J215" i="31"/>
  <c r="G40" i="44"/>
  <c r="G104" i="35"/>
  <c r="G102" i="34"/>
  <c r="G73" i="36"/>
  <c r="G80" i="32"/>
  <c r="G54" i="38"/>
  <c r="J214" i="31"/>
  <c r="G91" i="39"/>
  <c r="J14" i="31"/>
  <c r="G42" i="31" l="1"/>
  <c r="G49" i="31"/>
  <c r="G224" i="31"/>
  <c r="G54" i="31"/>
  <c r="G219" i="31"/>
  <c r="G220" i="31"/>
  <c r="G53" i="31"/>
  <c r="G10" i="31"/>
  <c r="R10" i="31" s="1"/>
  <c r="G11" i="31"/>
  <c r="R11" i="31" s="1"/>
  <c r="G48" i="31"/>
  <c r="G41" i="31"/>
  <c r="G8" i="31"/>
  <c r="R8" i="31" s="1"/>
  <c r="G221" i="31"/>
  <c r="G50" i="31"/>
  <c r="G218" i="31"/>
  <c r="G222" i="31"/>
  <c r="G214" i="31"/>
  <c r="G215" i="31"/>
  <c r="G225" i="31"/>
  <c r="G226" i="31"/>
  <c r="G19" i="31"/>
  <c r="G223" i="31"/>
  <c r="G9" i="31"/>
  <c r="R9" i="31" s="1"/>
  <c r="G51" i="31"/>
  <c r="G7" i="31"/>
  <c r="R7" i="31" s="1"/>
  <c r="G4" i="31"/>
  <c r="G5" i="31"/>
  <c r="R5" i="31" s="1"/>
  <c r="G14" i="31"/>
  <c r="R14" i="31" s="1"/>
  <c r="G212" i="31"/>
  <c r="G47" i="31"/>
  <c r="G22" i="31"/>
  <c r="G21" i="31"/>
  <c r="G217" i="31"/>
  <c r="G213" i="31"/>
  <c r="G118" i="32"/>
  <c r="G164" i="35"/>
  <c r="G151" i="36"/>
  <c r="G193" i="34"/>
  <c r="G71" i="36"/>
  <c r="G102" i="35"/>
  <c r="G38" i="44"/>
  <c r="G52" i="38"/>
  <c r="G100" i="34"/>
  <c r="G78" i="32"/>
  <c r="J212" i="31"/>
  <c r="J9" i="31"/>
  <c r="G115" i="32"/>
  <c r="F84" i="36"/>
  <c r="I84" i="36" s="1"/>
  <c r="J84" i="36" s="1"/>
  <c r="F115" i="35"/>
  <c r="I115" i="35" s="1"/>
  <c r="J115" i="35" s="1"/>
  <c r="F113" i="34"/>
  <c r="I113" i="34" s="1"/>
  <c r="J113" i="34" s="1"/>
  <c r="F30" i="33"/>
  <c r="I30" i="33" s="1"/>
  <c r="J30" i="33" s="1"/>
  <c r="F91" i="32"/>
  <c r="I91" i="32" s="1"/>
  <c r="J91" i="32" s="1"/>
  <c r="F65" i="38"/>
  <c r="I65" i="38" s="1"/>
  <c r="J65" i="38" s="1"/>
  <c r="F65" i="37"/>
  <c r="I65" i="37" s="1"/>
  <c r="J65" i="37" s="1"/>
  <c r="L218" i="31"/>
  <c r="R218" i="31"/>
  <c r="F189" i="34"/>
  <c r="L53" i="31"/>
  <c r="R53" i="31"/>
  <c r="J5" i="31"/>
  <c r="G96" i="42"/>
  <c r="F39" i="44"/>
  <c r="F79" i="32"/>
  <c r="F72" i="36"/>
  <c r="F103" i="35"/>
  <c r="F53" i="38"/>
  <c r="F101" i="34"/>
  <c r="R213" i="31"/>
  <c r="L213" i="31"/>
  <c r="F68" i="35"/>
  <c r="I68" i="35" s="1"/>
  <c r="J68" i="35" s="1"/>
  <c r="F88" i="34"/>
  <c r="I88" i="34" s="1"/>
  <c r="J88" i="34" s="1"/>
  <c r="L222" i="31"/>
  <c r="R222" i="31"/>
  <c r="F112" i="41"/>
  <c r="I112" i="41" s="1"/>
  <c r="J112" i="41" s="1"/>
  <c r="R41" i="31"/>
  <c r="L41" i="31"/>
  <c r="F50" i="44"/>
  <c r="I50" i="44" s="1"/>
  <c r="J50" i="44" s="1"/>
  <c r="F112" i="34"/>
  <c r="I112" i="34" s="1"/>
  <c r="J112" i="34" s="1"/>
  <c r="F114" i="35"/>
  <c r="I114" i="35" s="1"/>
  <c r="J114" i="35" s="1"/>
  <c r="F64" i="38"/>
  <c r="I64" i="38" s="1"/>
  <c r="J64" i="38" s="1"/>
  <c r="F83" i="36"/>
  <c r="I83" i="36" s="1"/>
  <c r="J83" i="36" s="1"/>
  <c r="F90" i="32"/>
  <c r="I90" i="32" s="1"/>
  <c r="J90" i="32" s="1"/>
  <c r="L217" i="31"/>
  <c r="R217" i="31"/>
  <c r="F164" i="35"/>
  <c r="F193" i="34"/>
  <c r="I193" i="34" s="1"/>
  <c r="J193" i="34" s="1"/>
  <c r="F151" i="36"/>
  <c r="I151" i="36" s="1"/>
  <c r="J151" i="36" s="1"/>
  <c r="F118" i="32"/>
  <c r="I118" i="32" s="1"/>
  <c r="J118" i="32" s="1"/>
  <c r="R47" i="31"/>
  <c r="L47" i="31"/>
  <c r="F80" i="32"/>
  <c r="I80" i="32" s="1"/>
  <c r="J80" i="32" s="1"/>
  <c r="F73" i="36"/>
  <c r="I73" i="36" s="1"/>
  <c r="J73" i="36" s="1"/>
  <c r="F104" i="35"/>
  <c r="I104" i="35" s="1"/>
  <c r="J104" i="35" s="1"/>
  <c r="F54" i="38"/>
  <c r="I54" i="38" s="1"/>
  <c r="J54" i="38" s="1"/>
  <c r="F102" i="34"/>
  <c r="I102" i="34" s="1"/>
  <c r="J102" i="34" s="1"/>
  <c r="F40" i="44"/>
  <c r="I40" i="44" s="1"/>
  <c r="J40" i="44" s="1"/>
  <c r="L214" i="31"/>
  <c r="R214" i="31"/>
  <c r="J10" i="31"/>
  <c r="G117" i="32"/>
  <c r="J213" i="31"/>
  <c r="G72" i="36"/>
  <c r="G103" i="35"/>
  <c r="G53" i="38"/>
  <c r="G101" i="34"/>
  <c r="G79" i="32"/>
  <c r="G39" i="44"/>
  <c r="G154" i="36"/>
  <c r="G190" i="34"/>
  <c r="G161" i="35"/>
  <c r="J54" i="31"/>
  <c r="F57" i="38"/>
  <c r="I57" i="38" s="1"/>
  <c r="J57" i="38" s="1"/>
  <c r="F107" i="35"/>
  <c r="I107" i="35" s="1"/>
  <c r="J107" i="35" s="1"/>
  <c r="F105" i="34"/>
  <c r="I105" i="34" s="1"/>
  <c r="J105" i="34" s="1"/>
  <c r="F43" i="44"/>
  <c r="I43" i="44" s="1"/>
  <c r="J43" i="44" s="1"/>
  <c r="F83" i="32"/>
  <c r="I83" i="32" s="1"/>
  <c r="J83" i="32" s="1"/>
  <c r="F76" i="36"/>
  <c r="I76" i="36" s="1"/>
  <c r="J76" i="36" s="1"/>
  <c r="L215" i="31"/>
  <c r="R215" i="31"/>
  <c r="F158" i="34"/>
  <c r="L21" i="31"/>
  <c r="R21" i="31"/>
  <c r="F194" i="34"/>
  <c r="I194" i="34" s="1"/>
  <c r="J194" i="34" s="1"/>
  <c r="L48" i="31"/>
  <c r="R48" i="31"/>
  <c r="F168" i="35"/>
  <c r="F195" i="34"/>
  <c r="F166" i="35"/>
  <c r="F167" i="35"/>
  <c r="R50" i="31"/>
  <c r="L50" i="31"/>
  <c r="F51" i="38"/>
  <c r="I51" i="38" s="1"/>
  <c r="J51" i="38" s="1"/>
  <c r="F77" i="32"/>
  <c r="I77" i="32" s="1"/>
  <c r="J77" i="32" s="1"/>
  <c r="F101" i="35"/>
  <c r="I101" i="35" s="1"/>
  <c r="J101" i="35" s="1"/>
  <c r="F60" i="37"/>
  <c r="I60" i="37" s="1"/>
  <c r="J60" i="37" s="1"/>
  <c r="F25" i="33"/>
  <c r="I25" i="33" s="1"/>
  <c r="J25" i="33" s="1"/>
  <c r="F99" i="34"/>
  <c r="I99" i="34" s="1"/>
  <c r="J99" i="34" s="1"/>
  <c r="F70" i="36"/>
  <c r="I70" i="36" s="1"/>
  <c r="J70" i="36" s="1"/>
  <c r="F37" i="44"/>
  <c r="I37" i="44" s="1"/>
  <c r="J37" i="44" s="1"/>
  <c r="L22" i="31"/>
  <c r="R22" i="31"/>
  <c r="R51" i="31"/>
  <c r="L51" i="31"/>
  <c r="G156" i="35"/>
  <c r="J225" i="31"/>
  <c r="G53" i="37"/>
  <c r="F74" i="36"/>
  <c r="F41" i="44"/>
  <c r="F105" i="35"/>
  <c r="F103" i="34"/>
  <c r="F81" i="32"/>
  <c r="F55" i="38"/>
  <c r="G51" i="44"/>
  <c r="G116" i="35"/>
  <c r="G92" i="32"/>
  <c r="G114" i="34"/>
  <c r="G85" i="36"/>
  <c r="G66" i="38"/>
  <c r="J219" i="31"/>
  <c r="G189" i="34"/>
  <c r="J53" i="31"/>
  <c r="F60" i="36"/>
  <c r="I60" i="36" s="1"/>
  <c r="J60" i="36" s="1"/>
  <c r="F64" i="32"/>
  <c r="I64" i="32" s="1"/>
  <c r="J64" i="32" s="1"/>
  <c r="F89" i="34"/>
  <c r="I89" i="34" s="1"/>
  <c r="J89" i="34" s="1"/>
  <c r="F69" i="35"/>
  <c r="I69" i="35" s="1"/>
  <c r="J69" i="35" s="1"/>
  <c r="F77" i="35"/>
  <c r="I77" i="35" s="1"/>
  <c r="J77" i="35" s="1"/>
  <c r="R223" i="31"/>
  <c r="L223" i="31"/>
  <c r="F91" i="39"/>
  <c r="I91" i="39" s="1"/>
  <c r="J91" i="39" s="1"/>
  <c r="J93" i="39" s="1"/>
  <c r="B519" i="50" s="1"/>
  <c r="L14" i="31"/>
  <c r="F85" i="36"/>
  <c r="F92" i="32"/>
  <c r="I92" i="32" s="1"/>
  <c r="J92" i="32" s="1"/>
  <c r="F66" i="38"/>
  <c r="F116" i="35"/>
  <c r="I116" i="35" s="1"/>
  <c r="J116" i="35" s="1"/>
  <c r="F51" i="44"/>
  <c r="I51" i="44" s="1"/>
  <c r="J51" i="44" s="1"/>
  <c r="F114" i="34"/>
  <c r="I114" i="34" s="1"/>
  <c r="J114" i="34" s="1"/>
  <c r="L219" i="31"/>
  <c r="R219" i="31"/>
  <c r="F82" i="35"/>
  <c r="I82" i="35" s="1"/>
  <c r="J82" i="35" s="1"/>
  <c r="R224" i="31"/>
  <c r="L224" i="31"/>
  <c r="F170" i="35"/>
  <c r="F94" i="42"/>
  <c r="F157" i="36"/>
  <c r="F156" i="36"/>
  <c r="F169" i="35"/>
  <c r="F159" i="36"/>
  <c r="R49" i="31"/>
  <c r="L49" i="31"/>
  <c r="F28" i="43"/>
  <c r="R19" i="31"/>
  <c r="L19" i="31"/>
  <c r="F92" i="35"/>
  <c r="I92" i="35" s="1"/>
  <c r="J92" i="35" s="1"/>
  <c r="L220" i="31"/>
  <c r="R220" i="31"/>
  <c r="G157" i="35"/>
  <c r="J226" i="31"/>
  <c r="G169" i="35"/>
  <c r="G156" i="36"/>
  <c r="G94" i="42"/>
  <c r="G159" i="36"/>
  <c r="G170" i="35"/>
  <c r="G157" i="36"/>
  <c r="F115" i="32"/>
  <c r="I115" i="32" s="1"/>
  <c r="J115" i="32" s="1"/>
  <c r="L9" i="31"/>
  <c r="G116" i="32"/>
  <c r="G191" i="34"/>
  <c r="G103" i="38"/>
  <c r="G163" i="35"/>
  <c r="J8" i="31"/>
  <c r="F191" i="34"/>
  <c r="I191" i="34" s="1"/>
  <c r="J191" i="34" s="1"/>
  <c r="F116" i="32"/>
  <c r="F103" i="38"/>
  <c r="F163" i="35"/>
  <c r="L8" i="31"/>
  <c r="G195" i="34"/>
  <c r="G166" i="35"/>
  <c r="G168" i="35"/>
  <c r="G167" i="35"/>
  <c r="G124" i="32"/>
  <c r="G123" i="32"/>
  <c r="G125" i="32"/>
  <c r="J7" i="31"/>
  <c r="F100" i="34"/>
  <c r="I100" i="34" s="1"/>
  <c r="J100" i="34" s="1"/>
  <c r="F102" i="35"/>
  <c r="F52" i="38"/>
  <c r="I52" i="38" s="1"/>
  <c r="J52" i="38" s="1"/>
  <c r="F38" i="44"/>
  <c r="I38" i="44" s="1"/>
  <c r="J38" i="44" s="1"/>
  <c r="F71" i="36"/>
  <c r="I71" i="36" s="1"/>
  <c r="J71" i="36" s="1"/>
  <c r="F78" i="32"/>
  <c r="I78" i="32" s="1"/>
  <c r="J78" i="32" s="1"/>
  <c r="L212" i="31"/>
  <c r="G162" i="35"/>
  <c r="G188" i="34"/>
  <c r="J11" i="31"/>
  <c r="G120" i="32"/>
  <c r="F156" i="35"/>
  <c r="R225" i="31"/>
  <c r="L225" i="31"/>
  <c r="F53" i="37"/>
  <c r="I53" i="37" s="1"/>
  <c r="J53" i="37" s="1"/>
  <c r="G158" i="34"/>
  <c r="J21" i="31"/>
  <c r="F157" i="35"/>
  <c r="L226" i="31"/>
  <c r="R226" i="31"/>
  <c r="F123" i="32"/>
  <c r="F125" i="32"/>
  <c r="F124" i="32"/>
  <c r="L7" i="31"/>
  <c r="F117" i="32"/>
  <c r="I117" i="32" s="1"/>
  <c r="J117" i="32" s="1"/>
  <c r="L10" i="31"/>
  <c r="F75" i="35"/>
  <c r="I75" i="35" s="1"/>
  <c r="J75" i="35" s="1"/>
  <c r="R221" i="31"/>
  <c r="L221" i="31"/>
  <c r="F162" i="35"/>
  <c r="F120" i="32"/>
  <c r="I120" i="32" s="1"/>
  <c r="J120" i="32" s="1"/>
  <c r="F188" i="34"/>
  <c r="L11" i="31"/>
  <c r="F96" i="42"/>
  <c r="I96" i="42" s="1"/>
  <c r="J96" i="42" s="1"/>
  <c r="L5" i="31"/>
  <c r="F113" i="41"/>
  <c r="R42" i="31"/>
  <c r="L42" i="31"/>
  <c r="G113" i="41"/>
  <c r="J42" i="31"/>
  <c r="G28" i="43"/>
  <c r="J19" i="31"/>
  <c r="F190" i="34"/>
  <c r="I190" i="34" s="1"/>
  <c r="J190" i="34" s="1"/>
  <c r="F154" i="36"/>
  <c r="I154" i="36" s="1"/>
  <c r="J154" i="36" s="1"/>
  <c r="F161" i="35"/>
  <c r="I161" i="35" s="1"/>
  <c r="J161" i="35" s="1"/>
  <c r="L54" i="31"/>
  <c r="R54" i="31"/>
  <c r="I94" i="42" l="1"/>
  <c r="J94" i="42" s="1"/>
  <c r="I188" i="34"/>
  <c r="J188" i="34" s="1"/>
  <c r="I124" i="32"/>
  <c r="J124" i="32" s="1"/>
  <c r="I113" i="41"/>
  <c r="J113" i="41" s="1"/>
  <c r="I156" i="35"/>
  <c r="J156" i="35" s="1"/>
  <c r="I157" i="35"/>
  <c r="J157" i="35" s="1"/>
  <c r="I102" i="35"/>
  <c r="J102" i="35" s="1"/>
  <c r="I164" i="35"/>
  <c r="J164" i="35" s="1"/>
  <c r="I116" i="32"/>
  <c r="J116" i="32" s="1"/>
  <c r="I162" i="35"/>
  <c r="J162" i="35" s="1"/>
  <c r="I125" i="32"/>
  <c r="J125" i="32" s="1"/>
  <c r="I103" i="38"/>
  <c r="J103" i="38" s="1"/>
  <c r="I66" i="38"/>
  <c r="J66" i="38" s="1"/>
  <c r="I163" i="35"/>
  <c r="J163" i="35" s="1"/>
  <c r="I28" i="43"/>
  <c r="J28" i="43" s="1"/>
  <c r="J29" i="43" s="1"/>
  <c r="B375" i="50" s="1"/>
  <c r="I169" i="35"/>
  <c r="J169" i="35" s="1"/>
  <c r="I170" i="35"/>
  <c r="J170" i="35" s="1"/>
  <c r="I166" i="35"/>
  <c r="J166" i="35" s="1"/>
  <c r="I158" i="34"/>
  <c r="J158" i="34" s="1"/>
  <c r="I72" i="36"/>
  <c r="J72" i="36" s="1"/>
  <c r="I156" i="36"/>
  <c r="J156" i="36" s="1"/>
  <c r="F519" i="50"/>
  <c r="O519" i="50"/>
  <c r="J519" i="50"/>
  <c r="M519" i="50"/>
  <c r="G519" i="50"/>
  <c r="E519" i="50"/>
  <c r="N519" i="50"/>
  <c r="K519" i="50"/>
  <c r="D519" i="50"/>
  <c r="L519" i="50"/>
  <c r="H519" i="50"/>
  <c r="I519" i="50"/>
  <c r="I195" i="34"/>
  <c r="J195" i="34" s="1"/>
  <c r="I101" i="34"/>
  <c r="J101" i="34" s="1"/>
  <c r="I79" i="32"/>
  <c r="J79" i="32" s="1"/>
  <c r="I123" i="32"/>
  <c r="J123" i="32" s="1"/>
  <c r="I157" i="36"/>
  <c r="J157" i="36" s="1"/>
  <c r="I168" i="35"/>
  <c r="J168" i="35" s="1"/>
  <c r="J117" i="41"/>
  <c r="B89" i="50" s="1"/>
  <c r="I53" i="38"/>
  <c r="J53" i="38" s="1"/>
  <c r="I39" i="44"/>
  <c r="J39" i="44" s="1"/>
  <c r="I159" i="36"/>
  <c r="J159" i="36" s="1"/>
  <c r="I85" i="36"/>
  <c r="J85" i="36" s="1"/>
  <c r="I167" i="35"/>
  <c r="J167" i="35" s="1"/>
  <c r="I103" i="35"/>
  <c r="J103" i="35" s="1"/>
  <c r="I189" i="34"/>
  <c r="J189" i="34" s="1"/>
  <c r="P519" i="50" l="1"/>
  <c r="E407" i="31"/>
  <c r="K89" i="50"/>
  <c r="J89" i="50"/>
  <c r="M89" i="50"/>
  <c r="E89" i="50"/>
  <c r="D89" i="50"/>
  <c r="G89" i="50"/>
  <c r="L89" i="50"/>
  <c r="N89" i="50"/>
  <c r="O89" i="50"/>
  <c r="F89" i="50"/>
  <c r="H89" i="50"/>
  <c r="I89" i="50"/>
  <c r="G375" i="50"/>
  <c r="F375" i="50"/>
  <c r="M375" i="50"/>
  <c r="O375" i="50"/>
  <c r="I375" i="50"/>
  <c r="L375" i="50"/>
  <c r="D375" i="50"/>
  <c r="H375" i="50"/>
  <c r="E375" i="50"/>
  <c r="K375" i="50"/>
  <c r="N375" i="50"/>
  <c r="J375" i="50"/>
  <c r="E208" i="31" l="1"/>
  <c r="D406" i="31"/>
  <c r="E404" i="31"/>
  <c r="D408" i="31"/>
  <c r="E204" i="31"/>
  <c r="E406" i="31"/>
  <c r="D407" i="31"/>
  <c r="F74" i="35" s="1"/>
  <c r="E408" i="31"/>
  <c r="E405" i="31"/>
  <c r="J405" i="31" s="1"/>
  <c r="E206" i="31"/>
  <c r="G74" i="35"/>
  <c r="J407" i="31"/>
  <c r="P375" i="50"/>
  <c r="P89" i="50"/>
  <c r="D202" i="31" l="1"/>
  <c r="D201" i="31"/>
  <c r="E210" i="31"/>
  <c r="G407" i="31"/>
  <c r="R407" i="31" s="1"/>
  <c r="D210" i="31"/>
  <c r="E205" i="31"/>
  <c r="E211" i="31"/>
  <c r="E201" i="31"/>
  <c r="D405" i="31"/>
  <c r="D206" i="31"/>
  <c r="E202" i="31"/>
  <c r="D204" i="31"/>
  <c r="D208" i="31"/>
  <c r="E207" i="31"/>
  <c r="E209" i="31"/>
  <c r="D200" i="31"/>
  <c r="D209" i="31"/>
  <c r="G408" i="31"/>
  <c r="D211" i="31"/>
  <c r="D203" i="31"/>
  <c r="D205" i="31"/>
  <c r="D404" i="31"/>
  <c r="F91" i="35" s="1"/>
  <c r="G406" i="31"/>
  <c r="R406" i="31" s="1"/>
  <c r="D207" i="31"/>
  <c r="E203" i="31"/>
  <c r="E200" i="31"/>
  <c r="G151" i="1"/>
  <c r="J204" i="31"/>
  <c r="J208" i="31"/>
  <c r="G132" i="1"/>
  <c r="J408" i="31"/>
  <c r="G89" i="35"/>
  <c r="F89" i="35"/>
  <c r="R408" i="31"/>
  <c r="I74" i="35"/>
  <c r="J74" i="35" s="1"/>
  <c r="J404" i="31"/>
  <c r="G91" i="35"/>
  <c r="G150" i="1"/>
  <c r="J206" i="31"/>
  <c r="G79" i="35"/>
  <c r="J406" i="31"/>
  <c r="G62" i="36"/>
  <c r="F62" i="36"/>
  <c r="F79" i="35"/>
  <c r="I79" i="35" s="1"/>
  <c r="J79" i="35" s="1"/>
  <c r="I89" i="35" l="1"/>
  <c r="J89" i="35" s="1"/>
  <c r="I62" i="36"/>
  <c r="J62" i="36" s="1"/>
  <c r="G405" i="31"/>
  <c r="R405" i="31" s="1"/>
  <c r="G203" i="31"/>
  <c r="R199" i="31" s="1"/>
  <c r="G205" i="31"/>
  <c r="G204" i="31"/>
  <c r="G404" i="31"/>
  <c r="G206" i="31"/>
  <c r="G211" i="31"/>
  <c r="L211" i="31" s="1"/>
  <c r="G201" i="31"/>
  <c r="G202" i="31"/>
  <c r="R198" i="31" s="1"/>
  <c r="G200" i="31"/>
  <c r="G207" i="31"/>
  <c r="R207" i="31" s="1"/>
  <c r="G209" i="31"/>
  <c r="G210" i="31"/>
  <c r="G208" i="31"/>
  <c r="F152" i="1"/>
  <c r="F137" i="1"/>
  <c r="F149" i="1"/>
  <c r="L203" i="31"/>
  <c r="R203" i="31"/>
  <c r="F141" i="1"/>
  <c r="R200" i="31"/>
  <c r="L200" i="31"/>
  <c r="F151" i="1"/>
  <c r="I151" i="1" s="1"/>
  <c r="J151" i="1" s="1"/>
  <c r="L204" i="31"/>
  <c r="R204" i="31"/>
  <c r="J224" i="31"/>
  <c r="J201" i="31"/>
  <c r="G142" i="1"/>
  <c r="F109" i="34"/>
  <c r="F47" i="44"/>
  <c r="F111" i="35"/>
  <c r="F61" i="38"/>
  <c r="F80" i="36"/>
  <c r="F63" i="37"/>
  <c r="F28" i="33"/>
  <c r="F87" i="32"/>
  <c r="R211" i="31"/>
  <c r="G139" i="1"/>
  <c r="J209" i="31"/>
  <c r="J202" i="31"/>
  <c r="G148" i="1"/>
  <c r="G136" i="1"/>
  <c r="G87" i="32"/>
  <c r="G47" i="44"/>
  <c r="G109" i="34"/>
  <c r="J211" i="31"/>
  <c r="G63" i="37"/>
  <c r="G111" i="35"/>
  <c r="G80" i="36"/>
  <c r="G28" i="33"/>
  <c r="G61" i="38"/>
  <c r="G140" i="1"/>
  <c r="J210" i="31"/>
  <c r="J200" i="31"/>
  <c r="G141" i="1"/>
  <c r="I91" i="35"/>
  <c r="J91" i="35" s="1"/>
  <c r="J218" i="31"/>
  <c r="G152" i="1"/>
  <c r="J207" i="31"/>
  <c r="F150" i="1"/>
  <c r="I150" i="1" s="1"/>
  <c r="J150" i="1" s="1"/>
  <c r="L206" i="31"/>
  <c r="R206" i="31"/>
  <c r="J220" i="31"/>
  <c r="G144" i="1"/>
  <c r="J205" i="31"/>
  <c r="F142" i="1"/>
  <c r="I142" i="1" s="1"/>
  <c r="J142" i="1" s="1"/>
  <c r="L201" i="31"/>
  <c r="R201" i="31"/>
  <c r="J222" i="31"/>
  <c r="J203" i="31"/>
  <c r="G149" i="1"/>
  <c r="G137" i="1"/>
  <c r="F144" i="1"/>
  <c r="R205" i="31"/>
  <c r="L205" i="31"/>
  <c r="F139" i="1"/>
  <c r="I139" i="1" s="1"/>
  <c r="J139" i="1" s="1"/>
  <c r="L209" i="31"/>
  <c r="R209" i="31"/>
  <c r="F132" i="1"/>
  <c r="I132" i="1" s="1"/>
  <c r="J132" i="1" s="1"/>
  <c r="R208" i="31"/>
  <c r="L208" i="31"/>
  <c r="F140" i="1"/>
  <c r="I140" i="1" s="1"/>
  <c r="J140" i="1" s="1"/>
  <c r="R210" i="31"/>
  <c r="L210" i="31"/>
  <c r="F136" i="1"/>
  <c r="F148" i="1"/>
  <c r="I148" i="1" s="1"/>
  <c r="J148" i="1" s="1"/>
  <c r="R202" i="31"/>
  <c r="L202" i="31"/>
  <c r="I80" i="36" l="1"/>
  <c r="J80" i="36" s="1"/>
  <c r="I109" i="34"/>
  <c r="J109" i="34" s="1"/>
  <c r="L207" i="31"/>
  <c r="E394" i="31"/>
  <c r="J394" i="31" s="1"/>
  <c r="E397" i="31"/>
  <c r="E389" i="31"/>
  <c r="D4" i="31"/>
  <c r="E387" i="31"/>
  <c r="E402" i="31"/>
  <c r="E392" i="31"/>
  <c r="E388" i="31"/>
  <c r="E399" i="31"/>
  <c r="E390" i="31"/>
  <c r="E396" i="31"/>
  <c r="E398" i="31"/>
  <c r="J398" i="31" s="1"/>
  <c r="E395" i="31"/>
  <c r="E391" i="31"/>
  <c r="E393" i="31"/>
  <c r="J393" i="31" s="1"/>
  <c r="I136" i="1"/>
  <c r="J136" i="1" s="1"/>
  <c r="I144" i="1"/>
  <c r="J144" i="1" s="1"/>
  <c r="I63" i="37"/>
  <c r="J63" i="37" s="1"/>
  <c r="I47" i="44"/>
  <c r="J47" i="44" s="1"/>
  <c r="I149" i="1"/>
  <c r="J149" i="1" s="1"/>
  <c r="I152" i="1"/>
  <c r="J152" i="1" s="1"/>
  <c r="I87" i="32"/>
  <c r="J87" i="32" s="1"/>
  <c r="I61" i="38"/>
  <c r="J61" i="38" s="1"/>
  <c r="I141" i="1"/>
  <c r="J141" i="1" s="1"/>
  <c r="I137" i="1"/>
  <c r="J137" i="1" s="1"/>
  <c r="I28" i="33"/>
  <c r="J28" i="33" s="1"/>
  <c r="I111" i="35"/>
  <c r="J111" i="35" s="1"/>
  <c r="G41" i="32" l="1"/>
  <c r="J395" i="31"/>
  <c r="G94" i="35"/>
  <c r="G93" i="35"/>
  <c r="J399" i="31"/>
  <c r="G57" i="36"/>
  <c r="G49" i="32"/>
  <c r="G85" i="34"/>
  <c r="G56" i="35"/>
  <c r="J387" i="31"/>
  <c r="G49" i="36"/>
  <c r="G58" i="35"/>
  <c r="G77" i="34"/>
  <c r="G50" i="32"/>
  <c r="J388" i="31"/>
  <c r="F122" i="32"/>
  <c r="F64" i="44"/>
  <c r="F121" i="32"/>
  <c r="G58" i="32"/>
  <c r="J396" i="31"/>
  <c r="J34" i="31"/>
  <c r="G52" i="36"/>
  <c r="J392" i="31"/>
  <c r="G53" i="32"/>
  <c r="G81" i="34"/>
  <c r="G61" i="35"/>
  <c r="G57" i="35"/>
  <c r="G78" i="34"/>
  <c r="G62" i="35"/>
  <c r="G54" i="32"/>
  <c r="J391" i="31"/>
  <c r="G60" i="35"/>
  <c r="J390" i="31"/>
  <c r="J29" i="31"/>
  <c r="J397" i="31"/>
  <c r="E4" i="31" l="1"/>
  <c r="D397" i="31" l="1"/>
  <c r="D392" i="31"/>
  <c r="D387" i="31"/>
  <c r="D396" i="31"/>
  <c r="F58" i="32" s="1"/>
  <c r="I58" i="32" s="1"/>
  <c r="J58" i="32" s="1"/>
  <c r="D402" i="31"/>
  <c r="D394" i="31"/>
  <c r="D400" i="31"/>
  <c r="D401" i="31"/>
  <c r="E401" i="31"/>
  <c r="J401" i="31" s="1"/>
  <c r="D390" i="31"/>
  <c r="D393" i="31"/>
  <c r="D391" i="31"/>
  <c r="D395" i="31"/>
  <c r="F41" i="32" s="1"/>
  <c r="I41" i="32" s="1"/>
  <c r="J41" i="32" s="1"/>
  <c r="D388" i="31"/>
  <c r="E400" i="31"/>
  <c r="J400" i="31" s="1"/>
  <c r="D399" i="31"/>
  <c r="D398" i="31"/>
  <c r="D389" i="31"/>
  <c r="G122" i="32"/>
  <c r="I122" i="32" s="1"/>
  <c r="J122" i="32" s="1"/>
  <c r="G121" i="32"/>
  <c r="I121" i="32" s="1"/>
  <c r="J121" i="32" s="1"/>
  <c r="J4" i="31"/>
  <c r="G64" i="44"/>
  <c r="I64" i="44" s="1"/>
  <c r="J64" i="44" s="1"/>
  <c r="N4" i="31"/>
  <c r="R4" i="31"/>
  <c r="L4" i="31"/>
  <c r="G390" i="31" l="1"/>
  <c r="G393" i="31"/>
  <c r="G402" i="31"/>
  <c r="G396" i="31"/>
  <c r="G399" i="31"/>
  <c r="G391" i="31"/>
  <c r="G400" i="31"/>
  <c r="R400" i="31" s="1"/>
  <c r="G388" i="31"/>
  <c r="G389" i="31"/>
  <c r="R389" i="31" s="1"/>
  <c r="G401" i="31"/>
  <c r="R401" i="31" s="1"/>
  <c r="G394" i="31"/>
  <c r="G398" i="31"/>
  <c r="R398" i="31" s="1"/>
  <c r="G397" i="31"/>
  <c r="R397" i="31" s="1"/>
  <c r="G392" i="31"/>
  <c r="G387" i="31"/>
  <c r="G395" i="31"/>
  <c r="F93" i="35"/>
  <c r="I93" i="35" s="1"/>
  <c r="J93" i="35" s="1"/>
  <c r="F94" i="35"/>
  <c r="I94" i="35" s="1"/>
  <c r="J94" i="35" s="1"/>
  <c r="R399" i="31"/>
  <c r="F62" i="35"/>
  <c r="I62" i="35" s="1"/>
  <c r="J62" i="35" s="1"/>
  <c r="F54" i="32"/>
  <c r="I54" i="32" s="1"/>
  <c r="J54" i="32" s="1"/>
  <c r="R391" i="31"/>
  <c r="R393" i="31"/>
  <c r="F57" i="36"/>
  <c r="I57" i="36" s="1"/>
  <c r="J57" i="36" s="1"/>
  <c r="F56" i="35"/>
  <c r="I56" i="35" s="1"/>
  <c r="J56" i="35" s="1"/>
  <c r="F49" i="32"/>
  <c r="I49" i="32" s="1"/>
  <c r="J49" i="32" s="1"/>
  <c r="F85" i="34"/>
  <c r="I85" i="34" s="1"/>
  <c r="J85" i="34" s="1"/>
  <c r="R387" i="31"/>
  <c r="F57" i="35"/>
  <c r="I57" i="35" s="1"/>
  <c r="J57" i="35" s="1"/>
  <c r="F78" i="34"/>
  <c r="I78" i="34" s="1"/>
  <c r="J78" i="34" s="1"/>
  <c r="F49" i="36"/>
  <c r="I49" i="36" s="1"/>
  <c r="J49" i="36" s="1"/>
  <c r="F50" i="32"/>
  <c r="I50" i="32" s="1"/>
  <c r="J50" i="32" s="1"/>
  <c r="F58" i="35"/>
  <c r="I58" i="35" s="1"/>
  <c r="J58" i="35" s="1"/>
  <c r="F77" i="34"/>
  <c r="I77" i="34" s="1"/>
  <c r="J77" i="34" s="1"/>
  <c r="R388" i="31"/>
  <c r="F60" i="35"/>
  <c r="I60" i="35" s="1"/>
  <c r="J60" i="35" s="1"/>
  <c r="R390" i="31"/>
  <c r="R394" i="31"/>
  <c r="F52" i="36"/>
  <c r="I52" i="36" s="1"/>
  <c r="J52" i="36" s="1"/>
  <c r="F61" i="35"/>
  <c r="I61" i="35" s="1"/>
  <c r="J61" i="35" s="1"/>
  <c r="F53" i="32"/>
  <c r="I53" i="32" s="1"/>
  <c r="J53" i="32" s="1"/>
  <c r="F81" i="34"/>
  <c r="I81" i="34" s="1"/>
  <c r="J81" i="34" s="1"/>
  <c r="E380" i="31" l="1"/>
  <c r="E385" i="31"/>
  <c r="E379" i="31"/>
  <c r="E381" i="31"/>
  <c r="E386" i="31"/>
  <c r="J386" i="31" s="1"/>
  <c r="E382" i="31"/>
  <c r="E383" i="31"/>
  <c r="J383" i="31" s="1"/>
  <c r="E384" i="31"/>
  <c r="D383" i="31" l="1"/>
  <c r="D381" i="31"/>
  <c r="D370" i="31"/>
  <c r="D375" i="31"/>
  <c r="D379" i="31"/>
  <c r="E377" i="31"/>
  <c r="D386" i="31"/>
  <c r="D376" i="31"/>
  <c r="D382" i="31"/>
  <c r="E376" i="31"/>
  <c r="D380" i="31"/>
  <c r="E378" i="31"/>
  <c r="D378" i="31"/>
  <c r="D377" i="31"/>
  <c r="E370" i="31"/>
  <c r="E375" i="31"/>
  <c r="D384" i="31"/>
  <c r="D385" i="31"/>
  <c r="F55" i="35" s="1"/>
  <c r="J46" i="31"/>
  <c r="G38" i="32"/>
  <c r="J380" i="31"/>
  <c r="G55" i="36"/>
  <c r="G51" i="35"/>
  <c r="G84" i="34"/>
  <c r="G40" i="32"/>
  <c r="J381" i="31"/>
  <c r="J47" i="31"/>
  <c r="J379" i="31"/>
  <c r="G59" i="32"/>
  <c r="G44" i="32"/>
  <c r="J382" i="31"/>
  <c r="J41" i="31"/>
  <c r="G55" i="35"/>
  <c r="G377" i="31" l="1"/>
  <c r="D372" i="31"/>
  <c r="D371" i="31"/>
  <c r="E373" i="31"/>
  <c r="J373" i="31" s="1"/>
  <c r="G375" i="31"/>
  <c r="R375" i="31" s="1"/>
  <c r="G381" i="31"/>
  <c r="E372" i="31"/>
  <c r="G379" i="31"/>
  <c r="E369" i="31"/>
  <c r="G385" i="31"/>
  <c r="G380" i="31"/>
  <c r="D368" i="31"/>
  <c r="D373" i="31"/>
  <c r="E371" i="31"/>
  <c r="G376" i="31"/>
  <c r="R376" i="31" s="1"/>
  <c r="D374" i="31"/>
  <c r="G378" i="31"/>
  <c r="L378" i="31" s="1"/>
  <c r="G382" i="31"/>
  <c r="G383" i="31"/>
  <c r="G370" i="31"/>
  <c r="E368" i="31"/>
  <c r="G386" i="31"/>
  <c r="D369" i="31"/>
  <c r="G384" i="31"/>
  <c r="E374" i="31"/>
  <c r="F66" i="35"/>
  <c r="F59" i="32"/>
  <c r="I59" i="32" s="1"/>
  <c r="J59" i="32" s="1"/>
  <c r="L379" i="31"/>
  <c r="R379" i="31"/>
  <c r="J51" i="31"/>
  <c r="J375" i="31"/>
  <c r="G52" i="35"/>
  <c r="G45" i="32"/>
  <c r="J48" i="31"/>
  <c r="G66" i="35"/>
  <c r="J378" i="31"/>
  <c r="L376" i="31"/>
  <c r="F51" i="32"/>
  <c r="F52" i="35"/>
  <c r="F45" i="32"/>
  <c r="F95" i="35"/>
  <c r="L370" i="31"/>
  <c r="R370" i="31"/>
  <c r="G95" i="35"/>
  <c r="J370" i="31"/>
  <c r="F38" i="32"/>
  <c r="I38" i="32" s="1"/>
  <c r="J38" i="32" s="1"/>
  <c r="R380" i="31"/>
  <c r="I55" i="35"/>
  <c r="J55" i="35" s="1"/>
  <c r="F53" i="36"/>
  <c r="F82" i="34"/>
  <c r="F64" i="35"/>
  <c r="R377" i="31"/>
  <c r="L377" i="31"/>
  <c r="J50" i="31"/>
  <c r="G51" i="32"/>
  <c r="J49" i="31"/>
  <c r="G82" i="34"/>
  <c r="G53" i="36"/>
  <c r="G64" i="35"/>
  <c r="J377" i="31"/>
  <c r="F84" i="34"/>
  <c r="I84" i="34" s="1"/>
  <c r="J84" i="34" s="1"/>
  <c r="F55" i="36"/>
  <c r="I55" i="36" s="1"/>
  <c r="J55" i="36" s="1"/>
  <c r="F51" i="35"/>
  <c r="I51" i="35" s="1"/>
  <c r="J51" i="35" s="1"/>
  <c r="F40" i="32"/>
  <c r="I40" i="32" s="1"/>
  <c r="J40" i="32" s="1"/>
  <c r="R381" i="31"/>
  <c r="R384" i="31"/>
  <c r="F44" i="32"/>
  <c r="I44" i="32" s="1"/>
  <c r="J44" i="32" s="1"/>
  <c r="R382" i="31"/>
  <c r="R383" i="31"/>
  <c r="I45" i="32" l="1"/>
  <c r="J45" i="32" s="1"/>
  <c r="I52" i="35"/>
  <c r="J52" i="35" s="1"/>
  <c r="I53" i="36"/>
  <c r="J53" i="36" s="1"/>
  <c r="I95" i="35"/>
  <c r="J95" i="35" s="1"/>
  <c r="G372" i="31"/>
  <c r="R372" i="31" s="1"/>
  <c r="G368" i="31"/>
  <c r="G373" i="31"/>
  <c r="R373" i="31" s="1"/>
  <c r="D348" i="31"/>
  <c r="D367" i="31"/>
  <c r="E367" i="31"/>
  <c r="J367" i="31" s="1"/>
  <c r="D350" i="31"/>
  <c r="E358" i="31"/>
  <c r="G374" i="31"/>
  <c r="R374" i="31" s="1"/>
  <c r="G369" i="31"/>
  <c r="G371" i="31"/>
  <c r="D349" i="31"/>
  <c r="I64" i="35"/>
  <c r="J64" i="35" s="1"/>
  <c r="G65" i="35"/>
  <c r="J374" i="31"/>
  <c r="G54" i="36"/>
  <c r="G83" i="34"/>
  <c r="G48" i="32"/>
  <c r="G43" i="32"/>
  <c r="J369" i="31"/>
  <c r="I82" i="34"/>
  <c r="J82" i="34" s="1"/>
  <c r="L375" i="31"/>
  <c r="R378" i="31"/>
  <c r="F54" i="36"/>
  <c r="I54" i="36" s="1"/>
  <c r="J54" i="36" s="1"/>
  <c r="F65" i="35"/>
  <c r="F83" i="34"/>
  <c r="I83" i="34" s="1"/>
  <c r="J83" i="34" s="1"/>
  <c r="L368" i="31"/>
  <c r="R368" i="31"/>
  <c r="F48" i="32"/>
  <c r="I48" i="32" s="1"/>
  <c r="J48" i="32" s="1"/>
  <c r="F43" i="32"/>
  <c r="I43" i="32" s="1"/>
  <c r="J43" i="32" s="1"/>
  <c r="L369" i="31"/>
  <c r="R369" i="31"/>
  <c r="G56" i="32"/>
  <c r="J372" i="31"/>
  <c r="F80" i="34"/>
  <c r="F63" i="35"/>
  <c r="F51" i="36"/>
  <c r="F55" i="32"/>
  <c r="R371" i="31"/>
  <c r="L371" i="31"/>
  <c r="I51" i="32"/>
  <c r="J51" i="32" s="1"/>
  <c r="I66" i="35"/>
  <c r="J66" i="35" s="1"/>
  <c r="G51" i="36"/>
  <c r="G63" i="35"/>
  <c r="G55" i="32"/>
  <c r="G80" i="34"/>
  <c r="J371" i="31"/>
  <c r="F56" i="32"/>
  <c r="L372" i="31"/>
  <c r="I51" i="36" l="1"/>
  <c r="J51" i="36" s="1"/>
  <c r="I65" i="35"/>
  <c r="J65" i="35" s="1"/>
  <c r="I80" i="34"/>
  <c r="J80" i="34" s="1"/>
  <c r="D343" i="31"/>
  <c r="G367" i="31"/>
  <c r="E360" i="31"/>
  <c r="D353" i="31"/>
  <c r="D342" i="31"/>
  <c r="D352" i="31"/>
  <c r="D360" i="31"/>
  <c r="D354" i="31"/>
  <c r="D345" i="31"/>
  <c r="D428" i="31"/>
  <c r="E345" i="31"/>
  <c r="E356" i="31"/>
  <c r="D358" i="31"/>
  <c r="E353" i="31"/>
  <c r="E346" i="31"/>
  <c r="E357" i="31"/>
  <c r="E428" i="31"/>
  <c r="D359" i="31"/>
  <c r="D356" i="31"/>
  <c r="E253" i="31"/>
  <c r="E254" i="31"/>
  <c r="E344" i="31"/>
  <c r="E350" i="31"/>
  <c r="J350" i="31" s="1"/>
  <c r="D347" i="31"/>
  <c r="E342" i="31"/>
  <c r="D426" i="31"/>
  <c r="D351" i="31"/>
  <c r="E343" i="31"/>
  <c r="D254" i="31"/>
  <c r="E349" i="31"/>
  <c r="E355" i="31"/>
  <c r="D355" i="31"/>
  <c r="E359" i="31"/>
  <c r="J359" i="31" s="1"/>
  <c r="D357" i="31"/>
  <c r="E252" i="31"/>
  <c r="E351" i="31"/>
  <c r="E426" i="31"/>
  <c r="D252" i="31"/>
  <c r="E348" i="31"/>
  <c r="G69" i="41" s="1"/>
  <c r="E352" i="31"/>
  <c r="E354" i="31"/>
  <c r="D344" i="31"/>
  <c r="D346" i="31"/>
  <c r="E347" i="31"/>
  <c r="I55" i="32"/>
  <c r="J55" i="32" s="1"/>
  <c r="L374" i="31"/>
  <c r="F70" i="41"/>
  <c r="G121" i="34"/>
  <c r="G71" i="38"/>
  <c r="J358" i="31"/>
  <c r="F69" i="41"/>
  <c r="I56" i="32"/>
  <c r="J56" i="32" s="1"/>
  <c r="I63" i="35"/>
  <c r="J63" i="35" s="1"/>
  <c r="L373" i="31"/>
  <c r="R367" i="31"/>
  <c r="L367" i="31"/>
  <c r="G353" i="31" l="1"/>
  <c r="G356" i="31"/>
  <c r="G345" i="31"/>
  <c r="G428" i="31"/>
  <c r="R428" i="31" s="1"/>
  <c r="G347" i="31"/>
  <c r="R347" i="31" s="1"/>
  <c r="G354" i="31"/>
  <c r="G355" i="31"/>
  <c r="L355" i="31" s="1"/>
  <c r="G252" i="31"/>
  <c r="G350" i="31"/>
  <c r="L350" i="31" s="1"/>
  <c r="G357" i="31"/>
  <c r="D253" i="31"/>
  <c r="G344" i="31"/>
  <c r="G349" i="31"/>
  <c r="G358" i="31"/>
  <c r="G346" i="31"/>
  <c r="G360" i="31"/>
  <c r="G348" i="31"/>
  <c r="R348" i="31" s="1"/>
  <c r="G342" i="31"/>
  <c r="G426" i="31"/>
  <c r="R426" i="31" s="1"/>
  <c r="G359" i="31"/>
  <c r="G254" i="31"/>
  <c r="L254" i="31" s="1"/>
  <c r="G343" i="31"/>
  <c r="G352" i="31"/>
  <c r="G351" i="31"/>
  <c r="I69" i="41"/>
  <c r="J69" i="41" s="1"/>
  <c r="F73" i="35"/>
  <c r="G73" i="35"/>
  <c r="J254" i="31"/>
  <c r="F121" i="34"/>
  <c r="I121" i="34" s="1"/>
  <c r="J121" i="34" s="1"/>
  <c r="F71" i="38"/>
  <c r="I71" i="38" s="1"/>
  <c r="J71" i="38" s="1"/>
  <c r="R358" i="31"/>
  <c r="L358" i="31"/>
  <c r="G44" i="39"/>
  <c r="J347" i="31"/>
  <c r="G63" i="39"/>
  <c r="J352" i="31"/>
  <c r="G88" i="40"/>
  <c r="J351" i="31"/>
  <c r="F77" i="41"/>
  <c r="R355" i="31"/>
  <c r="G81" i="38"/>
  <c r="G45" i="39"/>
  <c r="J343" i="31"/>
  <c r="F44" i="39"/>
  <c r="L347" i="31"/>
  <c r="G66" i="39"/>
  <c r="G100" i="38"/>
  <c r="J253" i="31"/>
  <c r="G102" i="40"/>
  <c r="J357" i="31"/>
  <c r="G74" i="41"/>
  <c r="J356" i="31"/>
  <c r="L354" i="31"/>
  <c r="R354" i="31"/>
  <c r="F91" i="40"/>
  <c r="L353" i="31"/>
  <c r="R353" i="31"/>
  <c r="G51" i="39"/>
  <c r="J252" i="31"/>
  <c r="J71" i="31"/>
  <c r="G77" i="41"/>
  <c r="F88" i="40"/>
  <c r="R351" i="31"/>
  <c r="L351" i="31"/>
  <c r="F74" i="41"/>
  <c r="R356" i="31"/>
  <c r="L356" i="31"/>
  <c r="G136" i="38"/>
  <c r="J346" i="31"/>
  <c r="G99" i="38"/>
  <c r="J345" i="31"/>
  <c r="F107" i="36"/>
  <c r="L360" i="31"/>
  <c r="R360" i="31"/>
  <c r="G107" i="36"/>
  <c r="J360" i="31"/>
  <c r="L348" i="31"/>
  <c r="F90" i="38"/>
  <c r="L344" i="31"/>
  <c r="R344" i="31"/>
  <c r="F51" i="39"/>
  <c r="L252" i="31"/>
  <c r="F102" i="40"/>
  <c r="R357" i="31"/>
  <c r="L357" i="31"/>
  <c r="G70" i="41"/>
  <c r="I70" i="41" s="1"/>
  <c r="J70" i="41" s="1"/>
  <c r="J349" i="31"/>
  <c r="G90" i="38"/>
  <c r="J344" i="31"/>
  <c r="R359" i="31"/>
  <c r="L359" i="31"/>
  <c r="G91" i="40"/>
  <c r="J353" i="31"/>
  <c r="F66" i="40"/>
  <c r="F109" i="32"/>
  <c r="F133" i="35"/>
  <c r="F50" i="39"/>
  <c r="F75" i="40"/>
  <c r="I75" i="40" s="1"/>
  <c r="J75" i="40" s="1"/>
  <c r="F99" i="36"/>
  <c r="F63" i="39"/>
  <c r="I63" i="39" s="1"/>
  <c r="J63" i="39" s="1"/>
  <c r="J64" i="39" s="1"/>
  <c r="B501" i="50" s="1"/>
  <c r="L352" i="31"/>
  <c r="R352" i="31"/>
  <c r="F136" i="38"/>
  <c r="L346" i="31"/>
  <c r="R346" i="31"/>
  <c r="G112" i="36"/>
  <c r="J342" i="31"/>
  <c r="G109" i="32"/>
  <c r="G66" i="40"/>
  <c r="G133" i="35"/>
  <c r="G99" i="36"/>
  <c r="G75" i="40"/>
  <c r="G50" i="39"/>
  <c r="F99" i="38"/>
  <c r="I99" i="38" s="1"/>
  <c r="J99" i="38" s="1"/>
  <c r="R345" i="31"/>
  <c r="L345" i="31"/>
  <c r="F112" i="36"/>
  <c r="L342" i="31"/>
  <c r="R342" i="31"/>
  <c r="F81" i="38"/>
  <c r="I81" i="38" s="1"/>
  <c r="J81" i="38" s="1"/>
  <c r="F45" i="39"/>
  <c r="I45" i="39" s="1"/>
  <c r="J45" i="39" s="1"/>
  <c r="R343" i="31"/>
  <c r="L343" i="31"/>
  <c r="I136" i="38" l="1"/>
  <c r="J136" i="38" s="1"/>
  <c r="I90" i="38"/>
  <c r="J90" i="38" s="1"/>
  <c r="I51" i="39"/>
  <c r="J51" i="39" s="1"/>
  <c r="I74" i="41"/>
  <c r="J74" i="41" s="1"/>
  <c r="I44" i="39"/>
  <c r="J44" i="39" s="1"/>
  <c r="I66" i="40"/>
  <c r="J66" i="40" s="1"/>
  <c r="I73" i="35"/>
  <c r="J73" i="35" s="1"/>
  <c r="G253" i="31"/>
  <c r="L253" i="31" s="1"/>
  <c r="I133" i="35"/>
  <c r="J133" i="35" s="1"/>
  <c r="I99" i="36"/>
  <c r="J99" i="36" s="1"/>
  <c r="I109" i="32"/>
  <c r="J109" i="32" s="1"/>
  <c r="I102" i="40"/>
  <c r="J102" i="40" s="1"/>
  <c r="I107" i="36"/>
  <c r="J107" i="36" s="1"/>
  <c r="I91" i="40"/>
  <c r="J91" i="40" s="1"/>
  <c r="F66" i="39"/>
  <c r="I66" i="39" s="1"/>
  <c r="J66" i="39" s="1"/>
  <c r="F100" i="38"/>
  <c r="I100" i="38" s="1"/>
  <c r="J100" i="38" s="1"/>
  <c r="I112" i="36"/>
  <c r="J112" i="36" s="1"/>
  <c r="I50" i="39"/>
  <c r="J50" i="39" s="1"/>
  <c r="I88" i="40"/>
  <c r="J88" i="40" s="1"/>
  <c r="R350" i="31"/>
  <c r="F501" i="50"/>
  <c r="M501" i="50"/>
  <c r="L501" i="50"/>
  <c r="N501" i="50"/>
  <c r="G501" i="50"/>
  <c r="K501" i="50"/>
  <c r="J501" i="50"/>
  <c r="D501" i="50"/>
  <c r="E501" i="50"/>
  <c r="O501" i="50"/>
  <c r="I501" i="50"/>
  <c r="H501" i="50"/>
  <c r="I77" i="41"/>
  <c r="J77" i="41" s="1"/>
  <c r="L349" i="31"/>
  <c r="R349" i="31"/>
  <c r="E66" i="31" l="1"/>
  <c r="E60" i="31"/>
  <c r="E144" i="31"/>
  <c r="D427" i="31"/>
  <c r="E106" i="31"/>
  <c r="E67" i="31"/>
  <c r="D88" i="31"/>
  <c r="E143" i="31"/>
  <c r="E105" i="31"/>
  <c r="E55" i="31"/>
  <c r="E104" i="31"/>
  <c r="E75" i="31"/>
  <c r="E62" i="31"/>
  <c r="D61" i="31"/>
  <c r="E78" i="31"/>
  <c r="E85" i="31"/>
  <c r="J85" i="31" s="1"/>
  <c r="E63" i="31"/>
  <c r="E65" i="31"/>
  <c r="D86" i="31"/>
  <c r="E161" i="31"/>
  <c r="E61" i="31"/>
  <c r="D89" i="31"/>
  <c r="E100" i="31"/>
  <c r="E64" i="31"/>
  <c r="E160" i="31"/>
  <c r="E76" i="31"/>
  <c r="E77" i="31"/>
  <c r="E35" i="31"/>
  <c r="D91" i="31"/>
  <c r="E80" i="31"/>
  <c r="E79" i="31"/>
  <c r="E24" i="31"/>
  <c r="E107" i="31"/>
  <c r="E197" i="31"/>
  <c r="D90" i="31"/>
  <c r="E73" i="31"/>
  <c r="E81" i="31"/>
  <c r="D72" i="31"/>
  <c r="E74" i="31"/>
  <c r="J74" i="31" s="1"/>
  <c r="D60" i="31"/>
  <c r="E195" i="31"/>
  <c r="J195" i="31" s="1"/>
  <c r="D195" i="31"/>
  <c r="E86" i="31"/>
  <c r="P501" i="50"/>
  <c r="G144" i="34" l="1"/>
  <c r="J81" i="31"/>
  <c r="G85" i="40"/>
  <c r="J107" i="31"/>
  <c r="G113" i="36"/>
  <c r="G143" i="35"/>
  <c r="G56" i="39"/>
  <c r="G73" i="41"/>
  <c r="G72" i="41"/>
  <c r="G55" i="44"/>
  <c r="G44" i="1"/>
  <c r="G48" i="1"/>
  <c r="J61" i="31"/>
  <c r="G86" i="1"/>
  <c r="J63" i="31"/>
  <c r="G90" i="1"/>
  <c r="J62" i="31"/>
  <c r="G91" i="36"/>
  <c r="G67" i="40"/>
  <c r="G119" i="34"/>
  <c r="G100" i="32"/>
  <c r="G122" i="35"/>
  <c r="G40" i="39"/>
  <c r="G74" i="38"/>
  <c r="G50" i="41"/>
  <c r="J105" i="31"/>
  <c r="G67" i="41"/>
  <c r="J106" i="31"/>
  <c r="J355" i="31"/>
  <c r="J66" i="31"/>
  <c r="G58" i="42"/>
  <c r="F43" i="1"/>
  <c r="F47" i="1"/>
  <c r="J348" i="31"/>
  <c r="G194" i="1"/>
  <c r="J73" i="31"/>
  <c r="J402" i="31"/>
  <c r="J24" i="31"/>
  <c r="G70" i="32"/>
  <c r="G83" i="35"/>
  <c r="G65" i="36"/>
  <c r="J35" i="31"/>
  <c r="G94" i="34"/>
  <c r="G56" i="42"/>
  <c r="J64" i="31"/>
  <c r="G58" i="39"/>
  <c r="G144" i="35"/>
  <c r="G56" i="44"/>
  <c r="G114" i="36"/>
  <c r="J75" i="31"/>
  <c r="G37" i="32"/>
  <c r="G20" i="38"/>
  <c r="G21" i="39"/>
  <c r="G55" i="39"/>
  <c r="G115" i="36"/>
  <c r="G86" i="40"/>
  <c r="G86" i="38"/>
  <c r="G110" i="32"/>
  <c r="G145" i="35"/>
  <c r="F14" i="41"/>
  <c r="F15" i="35"/>
  <c r="F14" i="39"/>
  <c r="F14" i="37"/>
  <c r="F14" i="32"/>
  <c r="F14" i="33"/>
  <c r="F17" i="40"/>
  <c r="F14" i="43"/>
  <c r="F18" i="34"/>
  <c r="F14" i="44"/>
  <c r="F17" i="38"/>
  <c r="F14" i="42"/>
  <c r="F21" i="1"/>
  <c r="F14" i="36"/>
  <c r="F19" i="41"/>
  <c r="F25" i="34"/>
  <c r="F24" i="40"/>
  <c r="G17" i="1"/>
  <c r="J86" i="31"/>
  <c r="J79" i="31"/>
  <c r="G47" i="42"/>
  <c r="J77" i="31"/>
  <c r="G33" i="42"/>
  <c r="G24" i="37"/>
  <c r="J100" i="31"/>
  <c r="F17" i="1"/>
  <c r="I17" i="1" s="1"/>
  <c r="J17" i="1" s="1"/>
  <c r="J78" i="31"/>
  <c r="G46" i="42"/>
  <c r="G118" i="34"/>
  <c r="G73" i="38"/>
  <c r="G49" i="41"/>
  <c r="J104" i="31"/>
  <c r="G116" i="36"/>
  <c r="G111" i="32"/>
  <c r="G163" i="34"/>
  <c r="G146" i="35"/>
  <c r="G57" i="39"/>
  <c r="G87" i="40"/>
  <c r="F189" i="1"/>
  <c r="J197" i="31"/>
  <c r="G76" i="41"/>
  <c r="G145" i="34"/>
  <c r="J80" i="31"/>
  <c r="G23" i="42"/>
  <c r="J76" i="31"/>
  <c r="F18" i="42"/>
  <c r="F18" i="36"/>
  <c r="F22" i="34"/>
  <c r="F18" i="37"/>
  <c r="F18" i="32"/>
  <c r="F18" i="41"/>
  <c r="F19" i="35"/>
  <c r="F18" i="39"/>
  <c r="F18" i="33"/>
  <c r="F18" i="44"/>
  <c r="F23" i="40"/>
  <c r="G91" i="1"/>
  <c r="J65" i="31"/>
  <c r="F44" i="1"/>
  <c r="I44" i="1" s="1"/>
  <c r="J44" i="1" s="1"/>
  <c r="F48" i="1"/>
  <c r="I48" i="1" s="1"/>
  <c r="J48" i="1" s="1"/>
  <c r="G44" i="37"/>
  <c r="J55" i="31"/>
  <c r="J67" i="31"/>
  <c r="G60" i="42"/>
  <c r="G47" i="1"/>
  <c r="J60" i="31"/>
  <c r="G43" i="1"/>
  <c r="I43" i="1" l="1"/>
  <c r="J43" i="1" s="1"/>
  <c r="J45" i="1" s="1"/>
  <c r="B541" i="50" s="1"/>
  <c r="I47" i="1"/>
  <c r="J47" i="1" s="1"/>
  <c r="J49" i="1" s="1"/>
  <c r="B544" i="50" s="1"/>
  <c r="F544" i="50" l="1"/>
  <c r="H544" i="50"/>
  <c r="J544" i="50"/>
  <c r="E544" i="50"/>
  <c r="K544" i="50"/>
  <c r="M544" i="50"/>
  <c r="G544" i="50"/>
  <c r="N544" i="50"/>
  <c r="L544" i="50"/>
  <c r="I544" i="50"/>
  <c r="D544" i="50"/>
  <c r="O544" i="50"/>
  <c r="N541" i="50"/>
  <c r="I541" i="50"/>
  <c r="H541" i="50"/>
  <c r="L541" i="50"/>
  <c r="G541" i="50"/>
  <c r="F541" i="50"/>
  <c r="D541" i="50"/>
  <c r="K541" i="50"/>
  <c r="O541" i="50"/>
  <c r="J541" i="50"/>
  <c r="E541" i="50"/>
  <c r="M541" i="50"/>
  <c r="P544" i="50" l="1"/>
  <c r="G99" i="31"/>
  <c r="G156" i="31"/>
  <c r="D339" i="31"/>
  <c r="G341" i="31"/>
  <c r="G43" i="31"/>
  <c r="G340" i="31"/>
  <c r="G155" i="31"/>
  <c r="E339" i="31"/>
  <c r="G30" i="31"/>
  <c r="R396" i="31" s="1"/>
  <c r="G117" i="31"/>
  <c r="G44" i="31"/>
  <c r="G56" i="31"/>
  <c r="G133" i="31"/>
  <c r="G105" i="31"/>
  <c r="G160" i="31"/>
  <c r="E196" i="31"/>
  <c r="E116" i="31"/>
  <c r="G109" i="41" s="1"/>
  <c r="E156" i="31"/>
  <c r="G72" i="35" s="1"/>
  <c r="F39" i="31"/>
  <c r="E186" i="31"/>
  <c r="D173" i="31"/>
  <c r="D34" i="31"/>
  <c r="D139" i="31"/>
  <c r="D194" i="31"/>
  <c r="E149" i="31"/>
  <c r="G24" i="44" s="1"/>
  <c r="E123" i="31"/>
  <c r="G151" i="41" s="1"/>
  <c r="D183" i="31"/>
  <c r="E190" i="31"/>
  <c r="G82" i="31"/>
  <c r="G37" i="31"/>
  <c r="G149" i="31"/>
  <c r="G34" i="31"/>
  <c r="G119" i="31"/>
  <c r="G27" i="31"/>
  <c r="G83" i="31"/>
  <c r="G152" i="31"/>
  <c r="G114" i="31"/>
  <c r="G72" i="31"/>
  <c r="D58" i="31"/>
  <c r="E70" i="31"/>
  <c r="D129" i="31"/>
  <c r="D131" i="31"/>
  <c r="E44" i="31"/>
  <c r="J44" i="31" s="1"/>
  <c r="E87" i="31"/>
  <c r="J87" i="31" s="1"/>
  <c r="E179" i="31"/>
  <c r="E72" i="31"/>
  <c r="E108" i="31"/>
  <c r="E95" i="31"/>
  <c r="G46" i="40" s="1"/>
  <c r="F36" i="31"/>
  <c r="D44" i="31"/>
  <c r="D63" i="31"/>
  <c r="D79" i="31"/>
  <c r="D156" i="31"/>
  <c r="G422" i="31"/>
  <c r="G103" i="31"/>
  <c r="G194" i="31"/>
  <c r="G100" i="31"/>
  <c r="G138" i="31"/>
  <c r="G179" i="31"/>
  <c r="G136" i="31"/>
  <c r="G178" i="31"/>
  <c r="G40" i="31"/>
  <c r="G77" i="31"/>
  <c r="G196" i="31"/>
  <c r="E151" i="31"/>
  <c r="D81" i="31"/>
  <c r="D84" i="31"/>
  <c r="D132" i="31"/>
  <c r="D423" i="31"/>
  <c r="E185" i="31"/>
  <c r="E96" i="31"/>
  <c r="G34" i="40" s="1"/>
  <c r="E92" i="31"/>
  <c r="E187" i="31"/>
  <c r="G189" i="31"/>
  <c r="G109" i="31"/>
  <c r="D255" i="31"/>
  <c r="G163" i="31"/>
  <c r="G131" i="31"/>
  <c r="G66" i="31"/>
  <c r="D95" i="31"/>
  <c r="D93" i="31"/>
  <c r="E184" i="31"/>
  <c r="D142" i="31"/>
  <c r="E111" i="31"/>
  <c r="E30" i="31"/>
  <c r="D141" i="31"/>
  <c r="D172" i="31"/>
  <c r="E194" i="31"/>
  <c r="G165" i="31"/>
  <c r="G36" i="31"/>
  <c r="G190" i="31"/>
  <c r="G55" i="31"/>
  <c r="G125" i="31"/>
  <c r="G116" i="31"/>
  <c r="G145" i="31"/>
  <c r="E152" i="31"/>
  <c r="G22" i="37" s="1"/>
  <c r="D179" i="31"/>
  <c r="D165" i="31"/>
  <c r="E162" i="31"/>
  <c r="E36" i="31"/>
  <c r="E103" i="31"/>
  <c r="J103" i="31" s="1"/>
  <c r="D425" i="31"/>
  <c r="D27" i="31"/>
  <c r="E425" i="31"/>
  <c r="D32" i="31"/>
  <c r="E128" i="31"/>
  <c r="E136" i="31"/>
  <c r="G88" i="31"/>
  <c r="G139" i="31"/>
  <c r="G97" i="31"/>
  <c r="D155" i="31"/>
  <c r="G153" i="31"/>
  <c r="D153" i="31"/>
  <c r="D148" i="31"/>
  <c r="D107" i="31"/>
  <c r="D98" i="31"/>
  <c r="D189" i="31"/>
  <c r="D146" i="31"/>
  <c r="G62" i="31"/>
  <c r="G177" i="31"/>
  <c r="G89" i="31"/>
  <c r="G78" i="31"/>
  <c r="G70" i="31"/>
  <c r="G191" i="31"/>
  <c r="G140" i="31"/>
  <c r="D105" i="31"/>
  <c r="G86" i="31"/>
  <c r="D111" i="31"/>
  <c r="E191" i="31"/>
  <c r="E173" i="31"/>
  <c r="D87" i="31"/>
  <c r="D66" i="31"/>
  <c r="D196" i="31"/>
  <c r="D76" i="31"/>
  <c r="E109" i="31"/>
  <c r="D144" i="31"/>
  <c r="E101" i="31"/>
  <c r="D67" i="31"/>
  <c r="E119" i="31"/>
  <c r="D167" i="31"/>
  <c r="E147" i="31"/>
  <c r="G156" i="40" s="1"/>
  <c r="E148" i="31"/>
  <c r="G23" i="44" s="1"/>
  <c r="G430" i="31"/>
  <c r="G85" i="31"/>
  <c r="G45" i="31"/>
  <c r="G135" i="31"/>
  <c r="E56" i="31"/>
  <c r="G185" i="31"/>
  <c r="G75" i="31"/>
  <c r="G102" i="31"/>
  <c r="G58" i="31"/>
  <c r="G120" i="31"/>
  <c r="G129" i="31"/>
  <c r="G63" i="31"/>
  <c r="D33" i="31"/>
  <c r="D74" i="31"/>
  <c r="D108" i="31"/>
  <c r="E90" i="31"/>
  <c r="E115" i="31"/>
  <c r="E121" i="31"/>
  <c r="D118" i="31"/>
  <c r="E68" i="31"/>
  <c r="D68" i="31"/>
  <c r="D37" i="31"/>
  <c r="D109" i="31"/>
  <c r="D188" i="31"/>
  <c r="D65" i="31"/>
  <c r="D57" i="31"/>
  <c r="D430" i="31"/>
  <c r="D103" i="31"/>
  <c r="G130" i="31"/>
  <c r="G188" i="31"/>
  <c r="G76" i="31"/>
  <c r="G92" i="31"/>
  <c r="G33" i="31"/>
  <c r="G187" i="31"/>
  <c r="E132" i="31"/>
  <c r="E423" i="31"/>
  <c r="G158" i="36" s="1"/>
  <c r="D191" i="31"/>
  <c r="D55" i="31"/>
  <c r="D184" i="31"/>
  <c r="G106" i="31"/>
  <c r="G32" i="31"/>
  <c r="G159" i="31"/>
  <c r="G162" i="31"/>
  <c r="G87" i="31"/>
  <c r="G166" i="31"/>
  <c r="G64" i="31"/>
  <c r="G38" i="31"/>
  <c r="D197" i="31"/>
  <c r="D106" i="31"/>
  <c r="E133" i="31"/>
  <c r="E124" i="31"/>
  <c r="G190" i="35" s="1"/>
  <c r="F37" i="31"/>
  <c r="E102" i="31"/>
  <c r="E120" i="31"/>
  <c r="D64" i="31"/>
  <c r="D35" i="31"/>
  <c r="D145" i="31"/>
  <c r="D140" i="31"/>
  <c r="D152" i="31"/>
  <c r="E178" i="31"/>
  <c r="D422" i="31"/>
  <c r="D138" i="31"/>
  <c r="D73" i="31"/>
  <c r="E37" i="31"/>
  <c r="E142" i="31"/>
  <c r="G42" i="32" s="1"/>
  <c r="G108" i="31"/>
  <c r="G104" i="31"/>
  <c r="G132" i="31"/>
  <c r="D340" i="31"/>
  <c r="D43" i="31"/>
  <c r="G150" i="31"/>
  <c r="G113" i="31"/>
  <c r="G96" i="31"/>
  <c r="G115" i="31"/>
  <c r="G101" i="31"/>
  <c r="D70" i="31"/>
  <c r="D119" i="31"/>
  <c r="D160" i="31"/>
  <c r="E38" i="31"/>
  <c r="D158" i="31"/>
  <c r="E153" i="31"/>
  <c r="D102" i="31"/>
  <c r="D192" i="31"/>
  <c r="D170" i="31"/>
  <c r="E45" i="31"/>
  <c r="D136" i="31"/>
  <c r="E171" i="31"/>
  <c r="D175" i="31"/>
  <c r="E157" i="31"/>
  <c r="G85" i="37" s="1"/>
  <c r="D169" i="31"/>
  <c r="E189" i="31"/>
  <c r="D85" i="31"/>
  <c r="E82" i="31"/>
  <c r="D149" i="31"/>
  <c r="D31" i="31"/>
  <c r="E125" i="31"/>
  <c r="G191" i="35" s="1"/>
  <c r="E117" i="31"/>
  <c r="G155" i="35" s="1"/>
  <c r="G157" i="31"/>
  <c r="D117" i="31"/>
  <c r="G141" i="31"/>
  <c r="G144" i="31"/>
  <c r="G128" i="31"/>
  <c r="G91" i="31"/>
  <c r="G123" i="31"/>
  <c r="G81" i="31"/>
  <c r="G182" i="31"/>
  <c r="G158" i="31"/>
  <c r="G192" i="31"/>
  <c r="D143" i="31"/>
  <c r="E88" i="31"/>
  <c r="E180" i="31"/>
  <c r="D80" i="31"/>
  <c r="D163" i="31"/>
  <c r="D94" i="31"/>
  <c r="E165" i="31"/>
  <c r="G140" i="36" s="1"/>
  <c r="D429" i="31"/>
  <c r="E129" i="31"/>
  <c r="E110" i="31"/>
  <c r="E89" i="31"/>
  <c r="E134" i="31"/>
  <c r="E130" i="31"/>
  <c r="E158" i="31"/>
  <c r="G88" i="37" s="1"/>
  <c r="E126" i="31"/>
  <c r="D82" i="31"/>
  <c r="D159" i="31"/>
  <c r="E57" i="31"/>
  <c r="D38" i="31"/>
  <c r="D101" i="31"/>
  <c r="E39" i="31"/>
  <c r="D77" i="31"/>
  <c r="D121" i="31"/>
  <c r="D83" i="31"/>
  <c r="E166" i="31"/>
  <c r="G60" i="31"/>
  <c r="E255" i="31"/>
  <c r="D341" i="31"/>
  <c r="G193" i="31"/>
  <c r="G24" i="31"/>
  <c r="G425" i="31"/>
  <c r="G95" i="31"/>
  <c r="G118" i="31"/>
  <c r="G80" i="31"/>
  <c r="G98" i="31"/>
  <c r="G107" i="31"/>
  <c r="G121" i="31"/>
  <c r="G197" i="31"/>
  <c r="D99" i="31"/>
  <c r="G173" i="31"/>
  <c r="D177" i="31"/>
  <c r="D180" i="31"/>
  <c r="E192" i="31"/>
  <c r="E137" i="31"/>
  <c r="E112" i="31"/>
  <c r="D96" i="31"/>
  <c r="E97" i="31"/>
  <c r="D104" i="31"/>
  <c r="E127" i="31"/>
  <c r="E181" i="31"/>
  <c r="E94" i="31"/>
  <c r="D115" i="31"/>
  <c r="D45" i="31"/>
  <c r="E31" i="31"/>
  <c r="G181" i="31"/>
  <c r="G427" i="31"/>
  <c r="G172" i="31"/>
  <c r="G39" i="31"/>
  <c r="G69" i="31"/>
  <c r="E340" i="31"/>
  <c r="G57" i="31"/>
  <c r="G126" i="31"/>
  <c r="G137" i="31"/>
  <c r="G65" i="31"/>
  <c r="D113" i="31"/>
  <c r="F45" i="31"/>
  <c r="E150" i="31"/>
  <c r="G78" i="44" s="1"/>
  <c r="D176" i="31"/>
  <c r="G195" i="31"/>
  <c r="D190" i="31"/>
  <c r="E167" i="31"/>
  <c r="E59" i="31"/>
  <c r="D124" i="31"/>
  <c r="E172" i="31"/>
  <c r="E145" i="31"/>
  <c r="G160" i="34" s="1"/>
  <c r="E429" i="31"/>
  <c r="D62" i="31"/>
  <c r="F40" i="31"/>
  <c r="D186" i="31"/>
  <c r="D182" i="31"/>
  <c r="D178" i="31"/>
  <c r="D171" i="31"/>
  <c r="F34" i="31"/>
  <c r="D39" i="31"/>
  <c r="E27" i="31"/>
  <c r="G84" i="31"/>
  <c r="G73" i="31"/>
  <c r="G174" i="31"/>
  <c r="G168" i="31"/>
  <c r="G110" i="31"/>
  <c r="G148" i="31"/>
  <c r="G127" i="31"/>
  <c r="G255" i="31"/>
  <c r="G143" i="31"/>
  <c r="G151" i="31"/>
  <c r="G423" i="31"/>
  <c r="G134" i="31"/>
  <c r="G167" i="31"/>
  <c r="E131" i="31"/>
  <c r="D116" i="31"/>
  <c r="E427" i="31"/>
  <c r="E146" i="31"/>
  <c r="E168" i="31"/>
  <c r="D181" i="31"/>
  <c r="E43" i="31"/>
  <c r="J43" i="31" s="1"/>
  <c r="E91" i="31"/>
  <c r="E188" i="31"/>
  <c r="E83" i="31"/>
  <c r="J83" i="31" s="1"/>
  <c r="D40" i="31"/>
  <c r="E32" i="31"/>
  <c r="E69" i="31"/>
  <c r="J69" i="31" s="1"/>
  <c r="D150" i="31"/>
  <c r="D134" i="31"/>
  <c r="D112" i="31"/>
  <c r="D135" i="31"/>
  <c r="G94" i="31"/>
  <c r="G169" i="31"/>
  <c r="G186" i="31"/>
  <c r="G79" i="31"/>
  <c r="G147" i="31"/>
  <c r="G124" i="31"/>
  <c r="G67" i="31"/>
  <c r="E341" i="31"/>
  <c r="G183" i="31"/>
  <c r="G180" i="31"/>
  <c r="G184" i="31"/>
  <c r="G112" i="31"/>
  <c r="E163" i="31"/>
  <c r="G220" i="34" s="1"/>
  <c r="E170" i="31"/>
  <c r="E175" i="31"/>
  <c r="D110" i="31"/>
  <c r="D120" i="31"/>
  <c r="E139" i="31"/>
  <c r="G33" i="40" s="1"/>
  <c r="E99" i="31"/>
  <c r="E113" i="31"/>
  <c r="D187" i="31"/>
  <c r="D162" i="31"/>
  <c r="D166" i="31"/>
  <c r="D24" i="31"/>
  <c r="D36" i="31"/>
  <c r="E138" i="31"/>
  <c r="D185" i="31"/>
  <c r="D97" i="31"/>
  <c r="E193" i="31"/>
  <c r="D75" i="31"/>
  <c r="E169" i="31"/>
  <c r="E183" i="31"/>
  <c r="E174" i="31"/>
  <c r="D174" i="31"/>
  <c r="E422" i="31"/>
  <c r="G56" i="36" s="1"/>
  <c r="E140" i="31"/>
  <c r="D92" i="31"/>
  <c r="D147" i="31"/>
  <c r="D128" i="31"/>
  <c r="E118" i="31"/>
  <c r="D127" i="31"/>
  <c r="G142" i="31"/>
  <c r="G35" i="31"/>
  <c r="G59" i="31"/>
  <c r="G170" i="31"/>
  <c r="G176" i="31"/>
  <c r="G31" i="31"/>
  <c r="G429" i="31"/>
  <c r="D30" i="31"/>
  <c r="G171" i="31"/>
  <c r="G90" i="31"/>
  <c r="G93" i="31"/>
  <c r="E430" i="31"/>
  <c r="G86" i="37" s="1"/>
  <c r="E135" i="31"/>
  <c r="D161" i="31"/>
  <c r="E159" i="31"/>
  <c r="G87" i="37" s="1"/>
  <c r="D168" i="31"/>
  <c r="D157" i="31"/>
  <c r="D125" i="31"/>
  <c r="D123" i="31"/>
  <c r="D100" i="31"/>
  <c r="E33" i="31"/>
  <c r="E141" i="31"/>
  <c r="G57" i="32" s="1"/>
  <c r="D126" i="31"/>
  <c r="E93" i="31"/>
  <c r="E84" i="31"/>
  <c r="D69" i="31"/>
  <c r="D151" i="31"/>
  <c r="E176" i="31"/>
  <c r="F38" i="31"/>
  <c r="G161" i="31"/>
  <c r="G111" i="31"/>
  <c r="G74" i="31"/>
  <c r="G175" i="31"/>
  <c r="G146" i="31"/>
  <c r="G122" i="31"/>
  <c r="G68" i="31"/>
  <c r="D114" i="31"/>
  <c r="D133" i="31"/>
  <c r="D130" i="31"/>
  <c r="E155" i="31"/>
  <c r="G45" i="37" s="1"/>
  <c r="E40" i="31"/>
  <c r="D59" i="31"/>
  <c r="E58" i="31"/>
  <c r="D78" i="31"/>
  <c r="E98" i="31"/>
  <c r="E182" i="31"/>
  <c r="D56" i="31"/>
  <c r="D193" i="31"/>
  <c r="E122" i="31"/>
  <c r="D122" i="31"/>
  <c r="D137" i="31"/>
  <c r="E114" i="31"/>
  <c r="E177" i="31"/>
  <c r="G61" i="31"/>
  <c r="P541" i="50"/>
  <c r="G339" i="31" l="1"/>
  <c r="R339" i="31" s="1"/>
  <c r="R137" i="31"/>
  <c r="L137" i="31"/>
  <c r="J368" i="31"/>
  <c r="J58" i="31"/>
  <c r="F88" i="44"/>
  <c r="F156" i="32"/>
  <c r="F121" i="42"/>
  <c r="F206" i="35"/>
  <c r="F128" i="38"/>
  <c r="F188" i="36"/>
  <c r="F44" i="43"/>
  <c r="F231" i="34"/>
  <c r="R130" i="31"/>
  <c r="L130" i="31"/>
  <c r="F21" i="37"/>
  <c r="F21" i="38"/>
  <c r="R151" i="31"/>
  <c r="L151" i="31"/>
  <c r="F176" i="36"/>
  <c r="F192" i="35"/>
  <c r="R126" i="31"/>
  <c r="L126" i="31"/>
  <c r="F151" i="41"/>
  <c r="I151" i="41" s="1"/>
  <c r="J151" i="41" s="1"/>
  <c r="R123" i="31"/>
  <c r="L123" i="31"/>
  <c r="G39" i="32"/>
  <c r="G26" i="37"/>
  <c r="F23" i="37"/>
  <c r="F45" i="34"/>
  <c r="R97" i="31"/>
  <c r="L97" i="31"/>
  <c r="L61" i="31"/>
  <c r="R61" i="31"/>
  <c r="F172" i="36"/>
  <c r="F183" i="35"/>
  <c r="F215" i="34"/>
  <c r="F141" i="32"/>
  <c r="F39" i="33"/>
  <c r="F137" i="41"/>
  <c r="R122" i="31"/>
  <c r="L122" i="31"/>
  <c r="J243" i="31"/>
  <c r="J182" i="31"/>
  <c r="G132" i="36"/>
  <c r="L59" i="31"/>
  <c r="F16" i="1"/>
  <c r="R59" i="31"/>
  <c r="F192" i="36"/>
  <c r="F240" i="34"/>
  <c r="F210" i="35"/>
  <c r="F160" i="32"/>
  <c r="R133" i="31"/>
  <c r="L133" i="31"/>
  <c r="L69" i="31"/>
  <c r="R69" i="31"/>
  <c r="F191" i="35"/>
  <c r="I191" i="35" s="1"/>
  <c r="J191" i="35" s="1"/>
  <c r="R125" i="31"/>
  <c r="L125" i="31"/>
  <c r="F114" i="36"/>
  <c r="I114" i="36" s="1"/>
  <c r="J114" i="36" s="1"/>
  <c r="F56" i="44"/>
  <c r="I56" i="44" s="1"/>
  <c r="J56" i="44" s="1"/>
  <c r="F58" i="39"/>
  <c r="I58" i="39" s="1"/>
  <c r="J58" i="39" s="1"/>
  <c r="F144" i="35"/>
  <c r="I144" i="35" s="1"/>
  <c r="J144" i="35" s="1"/>
  <c r="L161" i="31"/>
  <c r="R161" i="31"/>
  <c r="F95" i="39"/>
  <c r="F87" i="44"/>
  <c r="F120" i="42"/>
  <c r="L128" i="31"/>
  <c r="R128" i="31"/>
  <c r="G130" i="35"/>
  <c r="J169" i="31"/>
  <c r="L185" i="31"/>
  <c r="F135" i="36"/>
  <c r="R185" i="31"/>
  <c r="F141" i="36"/>
  <c r="R166" i="31"/>
  <c r="L166" i="31"/>
  <c r="G42" i="35"/>
  <c r="G57" i="40"/>
  <c r="G69" i="34"/>
  <c r="G41" i="38"/>
  <c r="G43" i="35"/>
  <c r="G32" i="32"/>
  <c r="G33" i="39"/>
  <c r="G42" i="36"/>
  <c r="G43" i="36"/>
  <c r="G70" i="34"/>
  <c r="J99" i="31"/>
  <c r="G125" i="36"/>
  <c r="J175" i="31"/>
  <c r="F149" i="35"/>
  <c r="F75" i="37"/>
  <c r="F145" i="36"/>
  <c r="F171" i="34"/>
  <c r="L112" i="31"/>
  <c r="R112" i="31"/>
  <c r="J389" i="31"/>
  <c r="J32" i="31"/>
  <c r="G153" i="36"/>
  <c r="J91" i="31"/>
  <c r="R91" i="31"/>
  <c r="L91" i="31"/>
  <c r="G244" i="34"/>
  <c r="G50" i="33"/>
  <c r="G236" i="34"/>
  <c r="G105" i="39"/>
  <c r="G194" i="36"/>
  <c r="L171" i="31"/>
  <c r="R171" i="31"/>
  <c r="F68" i="39"/>
  <c r="K386" i="31"/>
  <c r="H243" i="34"/>
  <c r="K40" i="31"/>
  <c r="G119" i="36"/>
  <c r="J172" i="31"/>
  <c r="L190" i="31"/>
  <c r="R190" i="31"/>
  <c r="H155" i="36"/>
  <c r="K45" i="31"/>
  <c r="G196" i="34"/>
  <c r="J31" i="31"/>
  <c r="G146" i="34"/>
  <c r="G131" i="36"/>
  <c r="J181" i="31"/>
  <c r="F34" i="40"/>
  <c r="I34" i="40" s="1"/>
  <c r="J34" i="40" s="1"/>
  <c r="L96" i="31"/>
  <c r="R96" i="31"/>
  <c r="L180" i="31"/>
  <c r="F130" i="36"/>
  <c r="R180" i="31"/>
  <c r="L60" i="31"/>
  <c r="R60" i="31"/>
  <c r="R77" i="31"/>
  <c r="L77" i="31"/>
  <c r="F33" i="42"/>
  <c r="I33" i="42" s="1"/>
  <c r="J33" i="42" s="1"/>
  <c r="G14" i="40"/>
  <c r="G15" i="34"/>
  <c r="J57" i="31"/>
  <c r="G109" i="40"/>
  <c r="G24" i="43"/>
  <c r="G60" i="44"/>
  <c r="G173" i="34"/>
  <c r="F45" i="40"/>
  <c r="F42" i="34"/>
  <c r="R94" i="31"/>
  <c r="L94" i="31"/>
  <c r="J88" i="31"/>
  <c r="R88" i="31"/>
  <c r="L88" i="31"/>
  <c r="F24" i="44"/>
  <c r="I24" i="44" s="1"/>
  <c r="J24" i="44" s="1"/>
  <c r="L149" i="31"/>
  <c r="R149" i="31"/>
  <c r="F130" i="35"/>
  <c r="R169" i="31"/>
  <c r="L169" i="31"/>
  <c r="L136" i="31"/>
  <c r="R136" i="31"/>
  <c r="F59" i="35"/>
  <c r="R102" i="31"/>
  <c r="L102" i="31"/>
  <c r="F113" i="36"/>
  <c r="I113" i="36" s="1"/>
  <c r="J113" i="36" s="1"/>
  <c r="F73" i="41"/>
  <c r="I73" i="41" s="1"/>
  <c r="J73" i="41" s="1"/>
  <c r="F56" i="39"/>
  <c r="I56" i="39" s="1"/>
  <c r="J56" i="39" s="1"/>
  <c r="F72" i="41"/>
  <c r="I72" i="41" s="1"/>
  <c r="J72" i="41" s="1"/>
  <c r="F143" i="35"/>
  <c r="I143" i="35" s="1"/>
  <c r="J143" i="35" s="1"/>
  <c r="F55" i="44"/>
  <c r="I55" i="44" s="1"/>
  <c r="J55" i="44" s="1"/>
  <c r="J58" i="44" s="1"/>
  <c r="B246" i="50" s="1"/>
  <c r="R160" i="31"/>
  <c r="L160" i="31"/>
  <c r="R43" i="31"/>
  <c r="F27" i="40"/>
  <c r="F28" i="34"/>
  <c r="R138" i="31"/>
  <c r="F26" i="37"/>
  <c r="F39" i="32"/>
  <c r="I39" i="32" s="1"/>
  <c r="J39" i="32" s="1"/>
  <c r="R140" i="31"/>
  <c r="L140" i="31"/>
  <c r="G74" i="37"/>
  <c r="G213" i="34"/>
  <c r="G71" i="42"/>
  <c r="G164" i="1"/>
  <c r="G181" i="35"/>
  <c r="G111" i="42"/>
  <c r="G77" i="44"/>
  <c r="G240" i="34"/>
  <c r="G160" i="32"/>
  <c r="G192" i="36"/>
  <c r="G210" i="35"/>
  <c r="R55" i="31"/>
  <c r="L55" i="31"/>
  <c r="F44" i="37"/>
  <c r="I44" i="37" s="1"/>
  <c r="J44" i="37" s="1"/>
  <c r="F15" i="34"/>
  <c r="I15" i="34" s="1"/>
  <c r="J15" i="34" s="1"/>
  <c r="R57" i="31"/>
  <c r="F14" i="40"/>
  <c r="I14" i="40" s="1"/>
  <c r="J14" i="40" s="1"/>
  <c r="J15" i="40" s="1"/>
  <c r="L57" i="31"/>
  <c r="F161" i="40"/>
  <c r="L37" i="31"/>
  <c r="F237" i="34"/>
  <c r="R37" i="31"/>
  <c r="G182" i="35"/>
  <c r="G136" i="41"/>
  <c r="G36" i="43"/>
  <c r="G171" i="36"/>
  <c r="G214" i="34"/>
  <c r="G140" i="32"/>
  <c r="G38" i="33"/>
  <c r="L74" i="31"/>
  <c r="R74" i="31"/>
  <c r="F83" i="42"/>
  <c r="L167" i="31"/>
  <c r="R167" i="31"/>
  <c r="F116" i="36"/>
  <c r="I116" i="36" s="1"/>
  <c r="J116" i="36" s="1"/>
  <c r="F146" i="35"/>
  <c r="I146" i="35" s="1"/>
  <c r="J146" i="35" s="1"/>
  <c r="F57" i="39"/>
  <c r="I57" i="39" s="1"/>
  <c r="J57" i="39" s="1"/>
  <c r="F163" i="34"/>
  <c r="I163" i="34" s="1"/>
  <c r="J163" i="34" s="1"/>
  <c r="F111" i="32"/>
  <c r="I111" i="32" s="1"/>
  <c r="J111" i="32" s="1"/>
  <c r="F87" i="40"/>
  <c r="I87" i="40" s="1"/>
  <c r="J87" i="40" s="1"/>
  <c r="R144" i="31"/>
  <c r="L144" i="31"/>
  <c r="L66" i="31"/>
  <c r="F58" i="42"/>
  <c r="I58" i="42" s="1"/>
  <c r="J58" i="42" s="1"/>
  <c r="R66" i="31"/>
  <c r="F25" i="43"/>
  <c r="F61" i="44"/>
  <c r="F174" i="34"/>
  <c r="F110" i="40"/>
  <c r="L111" i="31"/>
  <c r="R111" i="31"/>
  <c r="F25" i="37"/>
  <c r="R98" i="31"/>
  <c r="L98" i="31"/>
  <c r="G86" i="35"/>
  <c r="G87" i="34"/>
  <c r="G72" i="32"/>
  <c r="G59" i="36"/>
  <c r="J385" i="31"/>
  <c r="J36" i="31"/>
  <c r="G238" i="34"/>
  <c r="G165" i="1"/>
  <c r="G216" i="34"/>
  <c r="G142" i="32"/>
  <c r="J194" i="31"/>
  <c r="G173" i="36"/>
  <c r="G184" i="35"/>
  <c r="G61" i="44"/>
  <c r="G174" i="34"/>
  <c r="G110" i="40"/>
  <c r="G25" i="43"/>
  <c r="F46" i="40"/>
  <c r="I46" i="40" s="1"/>
  <c r="J46" i="40" s="1"/>
  <c r="L95" i="31"/>
  <c r="R95" i="31"/>
  <c r="F22" i="42"/>
  <c r="L255" i="31"/>
  <c r="G17" i="44"/>
  <c r="G17" i="39"/>
  <c r="G22" i="40"/>
  <c r="G17" i="33"/>
  <c r="G17" i="41"/>
  <c r="G17" i="42"/>
  <c r="G21" i="34"/>
  <c r="G17" i="36"/>
  <c r="G18" i="35"/>
  <c r="G17" i="32"/>
  <c r="G17" i="37"/>
  <c r="G17" i="43"/>
  <c r="J92" i="31"/>
  <c r="F104" i="39"/>
  <c r="F235" i="34"/>
  <c r="F152" i="41"/>
  <c r="F191" i="36"/>
  <c r="F124" i="42"/>
  <c r="F49" i="33"/>
  <c r="F134" i="38"/>
  <c r="F159" i="32"/>
  <c r="F47" i="43"/>
  <c r="F160" i="40"/>
  <c r="F91" i="44"/>
  <c r="F84" i="37"/>
  <c r="F209" i="35"/>
  <c r="R132" i="31"/>
  <c r="L132" i="31"/>
  <c r="L79" i="31"/>
  <c r="R79" i="31"/>
  <c r="F47" i="42"/>
  <c r="I47" i="42" s="1"/>
  <c r="J47" i="42" s="1"/>
  <c r="G147" i="41"/>
  <c r="J70" i="31"/>
  <c r="G101" i="39"/>
  <c r="G157" i="40"/>
  <c r="J235" i="31"/>
  <c r="J190" i="31"/>
  <c r="F184" i="35"/>
  <c r="F142" i="32"/>
  <c r="I142" i="32" s="1"/>
  <c r="J142" i="32" s="1"/>
  <c r="F173" i="36"/>
  <c r="L194" i="31"/>
  <c r="F165" i="1"/>
  <c r="I165" i="1" s="1"/>
  <c r="J165" i="1" s="1"/>
  <c r="R194" i="31"/>
  <c r="F216" i="34"/>
  <c r="J239" i="31"/>
  <c r="G136" i="36"/>
  <c r="J186" i="31"/>
  <c r="J196" i="31"/>
  <c r="G60" i="41"/>
  <c r="R56" i="31"/>
  <c r="J339" i="31"/>
  <c r="G109" i="36"/>
  <c r="G54" i="39"/>
  <c r="R341" i="31"/>
  <c r="J248" i="31"/>
  <c r="G127" i="36"/>
  <c r="J177" i="31"/>
  <c r="G215" i="34"/>
  <c r="G137" i="41"/>
  <c r="G141" i="32"/>
  <c r="G39" i="33"/>
  <c r="G183" i="35"/>
  <c r="G172" i="36"/>
  <c r="G25" i="37"/>
  <c r="J98" i="31"/>
  <c r="G243" i="34"/>
  <c r="J40" i="31"/>
  <c r="F90" i="42"/>
  <c r="F107" i="41"/>
  <c r="F117" i="40"/>
  <c r="F180" i="34"/>
  <c r="R114" i="31"/>
  <c r="L114" i="31"/>
  <c r="K388" i="31"/>
  <c r="H153" i="41"/>
  <c r="H239" i="34"/>
  <c r="K38" i="31"/>
  <c r="H107" i="39"/>
  <c r="G147" i="1"/>
  <c r="J84" i="31"/>
  <c r="G165" i="35"/>
  <c r="J33" i="31"/>
  <c r="G152" i="36"/>
  <c r="G114" i="32"/>
  <c r="F85" i="37"/>
  <c r="I85" i="37" s="1"/>
  <c r="J85" i="37" s="1"/>
  <c r="R157" i="31"/>
  <c r="L157" i="31"/>
  <c r="F156" i="40"/>
  <c r="I156" i="40" s="1"/>
  <c r="J156" i="40" s="1"/>
  <c r="L147" i="31"/>
  <c r="R147" i="31"/>
  <c r="L174" i="31"/>
  <c r="F124" i="36"/>
  <c r="R174" i="31"/>
  <c r="R75" i="31"/>
  <c r="F21" i="39"/>
  <c r="I21" i="39" s="1"/>
  <c r="J21" i="39" s="1"/>
  <c r="F37" i="32"/>
  <c r="I37" i="32" s="1"/>
  <c r="J37" i="32" s="1"/>
  <c r="L75" i="31"/>
  <c r="F20" i="38"/>
  <c r="G27" i="40"/>
  <c r="G28" i="34"/>
  <c r="F118" i="38"/>
  <c r="F204" i="34"/>
  <c r="L162" i="31"/>
  <c r="R162" i="31"/>
  <c r="G102" i="38"/>
  <c r="G67" i="39"/>
  <c r="J170" i="31"/>
  <c r="F135" i="38"/>
  <c r="F106" i="39"/>
  <c r="F161" i="32"/>
  <c r="F241" i="34"/>
  <c r="F193" i="36"/>
  <c r="F211" i="35"/>
  <c r="R134" i="31"/>
  <c r="L134" i="31"/>
  <c r="R40" i="31"/>
  <c r="F243" i="34"/>
  <c r="L40" i="31"/>
  <c r="G14" i="37"/>
  <c r="G14" i="44"/>
  <c r="I14" i="44" s="1"/>
  <c r="J14" i="44" s="1"/>
  <c r="J15" i="44" s="1"/>
  <c r="B237" i="50" s="1"/>
  <c r="G15" i="35"/>
  <c r="G18" i="34"/>
  <c r="I18" i="34" s="1"/>
  <c r="J18" i="34" s="1"/>
  <c r="J19" i="34" s="1"/>
  <c r="B305" i="50" s="1"/>
  <c r="G17" i="40"/>
  <c r="I17" i="40" s="1"/>
  <c r="J17" i="40" s="1"/>
  <c r="J18" i="40" s="1"/>
  <c r="B182" i="50" s="1"/>
  <c r="G14" i="41"/>
  <c r="I14" i="41" s="1"/>
  <c r="J14" i="41" s="1"/>
  <c r="J15" i="41" s="1"/>
  <c r="B62" i="50" s="1"/>
  <c r="G14" i="33"/>
  <c r="I14" i="33" s="1"/>
  <c r="J14" i="33" s="1"/>
  <c r="J15" i="33" s="1"/>
  <c r="G14" i="39"/>
  <c r="G14" i="32"/>
  <c r="I14" i="32" s="1"/>
  <c r="J14" i="32" s="1"/>
  <c r="J15" i="32" s="1"/>
  <c r="B114" i="50" s="1"/>
  <c r="G14" i="36"/>
  <c r="G14" i="43"/>
  <c r="G21" i="1"/>
  <c r="I21" i="1" s="1"/>
  <c r="J21" i="1" s="1"/>
  <c r="G17" i="38"/>
  <c r="G14" i="42"/>
  <c r="R427" i="31"/>
  <c r="G161" i="1"/>
  <c r="J27" i="31"/>
  <c r="L178" i="31"/>
  <c r="F128" i="36"/>
  <c r="R178" i="31"/>
  <c r="F90" i="1"/>
  <c r="I90" i="1" s="1"/>
  <c r="J90" i="1" s="1"/>
  <c r="L62" i="31"/>
  <c r="R62" i="31"/>
  <c r="F190" i="35"/>
  <c r="I190" i="35" s="1"/>
  <c r="J190" i="35" s="1"/>
  <c r="L124" i="31"/>
  <c r="R124" i="31"/>
  <c r="L195" i="31"/>
  <c r="R195" i="31"/>
  <c r="F177" i="34"/>
  <c r="F100" i="41"/>
  <c r="L113" i="31"/>
  <c r="R113" i="31"/>
  <c r="L45" i="31"/>
  <c r="F155" i="36"/>
  <c r="R45" i="31"/>
  <c r="G193" i="35"/>
  <c r="G177" i="36"/>
  <c r="J127" i="31"/>
  <c r="G75" i="37"/>
  <c r="G145" i="36"/>
  <c r="G171" i="34"/>
  <c r="G149" i="35"/>
  <c r="F127" i="36"/>
  <c r="I127" i="36" s="1"/>
  <c r="J127" i="36" s="1"/>
  <c r="R177" i="31"/>
  <c r="L177" i="31"/>
  <c r="G141" i="36"/>
  <c r="J166" i="31"/>
  <c r="G242" i="34"/>
  <c r="J39" i="31"/>
  <c r="F87" i="37"/>
  <c r="I87" i="37" s="1"/>
  <c r="J87" i="37" s="1"/>
  <c r="R159" i="31"/>
  <c r="L159" i="31"/>
  <c r="G88" i="44"/>
  <c r="G206" i="35"/>
  <c r="G121" i="42"/>
  <c r="G231" i="34"/>
  <c r="G44" i="43"/>
  <c r="G128" i="38"/>
  <c r="G156" i="32"/>
  <c r="G188" i="36"/>
  <c r="J130" i="31"/>
  <c r="G204" i="35"/>
  <c r="J129" i="31"/>
  <c r="F220" i="34"/>
  <c r="I220" i="34" s="1"/>
  <c r="J220" i="34" s="1"/>
  <c r="J221" i="34" s="1"/>
  <c r="B350" i="50" s="1"/>
  <c r="R163" i="31"/>
  <c r="L163" i="31"/>
  <c r="F110" i="32"/>
  <c r="I110" i="32" s="1"/>
  <c r="J110" i="32" s="1"/>
  <c r="F86" i="40"/>
  <c r="I86" i="40" s="1"/>
  <c r="J86" i="40" s="1"/>
  <c r="F86" i="38"/>
  <c r="I86" i="38" s="1"/>
  <c r="J86" i="38" s="1"/>
  <c r="F115" i="36"/>
  <c r="I115" i="36" s="1"/>
  <c r="J115" i="36" s="1"/>
  <c r="F145" i="35"/>
  <c r="I145" i="35" s="1"/>
  <c r="J145" i="35" s="1"/>
  <c r="F55" i="39"/>
  <c r="I55" i="39" s="1"/>
  <c r="J55" i="39" s="1"/>
  <c r="L143" i="31"/>
  <c r="R143" i="31"/>
  <c r="J82" i="31"/>
  <c r="G153" i="1"/>
  <c r="J376" i="31"/>
  <c r="J45" i="31"/>
  <c r="G155" i="36"/>
  <c r="G38" i="37"/>
  <c r="G35" i="42"/>
  <c r="F35" i="43"/>
  <c r="F180" i="35"/>
  <c r="F139" i="32"/>
  <c r="F142" i="40"/>
  <c r="F85" i="39"/>
  <c r="F170" i="36"/>
  <c r="F212" i="34"/>
  <c r="F76" i="44"/>
  <c r="F135" i="41"/>
  <c r="F122" i="38"/>
  <c r="F110" i="42"/>
  <c r="R119" i="31"/>
  <c r="L119" i="31"/>
  <c r="F87" i="38"/>
  <c r="R340" i="31"/>
  <c r="R422" i="31"/>
  <c r="F56" i="36"/>
  <c r="I56" i="36" s="1"/>
  <c r="J56" i="36" s="1"/>
  <c r="F160" i="34"/>
  <c r="I160" i="34" s="1"/>
  <c r="J160" i="34" s="1"/>
  <c r="R145" i="31"/>
  <c r="L145" i="31"/>
  <c r="G59" i="35"/>
  <c r="J102" i="31"/>
  <c r="F67" i="41"/>
  <c r="I67" i="41" s="1"/>
  <c r="J67" i="41" s="1"/>
  <c r="R106" i="31"/>
  <c r="L106" i="31"/>
  <c r="R191" i="31"/>
  <c r="L191" i="31"/>
  <c r="F79" i="1"/>
  <c r="R65" i="31"/>
  <c r="L65" i="31"/>
  <c r="F91" i="1"/>
  <c r="I91" i="1" s="1"/>
  <c r="J91" i="1" s="1"/>
  <c r="L68" i="31"/>
  <c r="F68" i="42"/>
  <c r="R68" i="31"/>
  <c r="G118" i="40"/>
  <c r="G181" i="34"/>
  <c r="G91" i="42"/>
  <c r="G108" i="41"/>
  <c r="L33" i="31"/>
  <c r="F165" i="35"/>
  <c r="I165" i="35" s="1"/>
  <c r="J165" i="35" s="1"/>
  <c r="F114" i="32"/>
  <c r="I114" i="32" s="1"/>
  <c r="J114" i="32" s="1"/>
  <c r="J126" i="32" s="1"/>
  <c r="B126" i="50" s="1"/>
  <c r="R33" i="31"/>
  <c r="F152" i="36"/>
  <c r="I152" i="36" s="1"/>
  <c r="J152" i="36" s="1"/>
  <c r="G46" i="37"/>
  <c r="J56" i="31"/>
  <c r="G212" i="34"/>
  <c r="G170" i="36"/>
  <c r="G85" i="39"/>
  <c r="G142" i="40"/>
  <c r="G35" i="43"/>
  <c r="G122" i="38"/>
  <c r="G76" i="44"/>
  <c r="G139" i="32"/>
  <c r="G110" i="42"/>
  <c r="G135" i="41"/>
  <c r="G180" i="35"/>
  <c r="G78" i="41"/>
  <c r="G88" i="38"/>
  <c r="G92" i="40"/>
  <c r="L87" i="31"/>
  <c r="R87" i="31"/>
  <c r="R86" i="31"/>
  <c r="L86" i="31"/>
  <c r="F85" i="40"/>
  <c r="I85" i="40" s="1"/>
  <c r="J85" i="40" s="1"/>
  <c r="R107" i="31"/>
  <c r="L107" i="31"/>
  <c r="F45" i="37"/>
  <c r="I45" i="37" s="1"/>
  <c r="J45" i="37" s="1"/>
  <c r="R155" i="31"/>
  <c r="L155" i="31"/>
  <c r="R27" i="31"/>
  <c r="F161" i="1"/>
  <c r="I161" i="1" s="1"/>
  <c r="J161" i="1" s="1"/>
  <c r="J162" i="1" s="1"/>
  <c r="B556" i="50" s="1"/>
  <c r="L27" i="31"/>
  <c r="G118" i="38"/>
  <c r="G204" i="34"/>
  <c r="L172" i="31"/>
  <c r="F119" i="36"/>
  <c r="I119" i="36" s="1"/>
  <c r="J119" i="36" s="1"/>
  <c r="R172" i="31"/>
  <c r="F42" i="32"/>
  <c r="I42" i="32" s="1"/>
  <c r="J42" i="32" s="1"/>
  <c r="R142" i="31"/>
  <c r="L142" i="31"/>
  <c r="R84" i="31"/>
  <c r="L84" i="31"/>
  <c r="F147" i="1"/>
  <c r="I147" i="1" s="1"/>
  <c r="J147" i="1" s="1"/>
  <c r="F86" i="1"/>
  <c r="I86" i="1" s="1"/>
  <c r="J86" i="1" s="1"/>
  <c r="L63" i="31"/>
  <c r="R63" i="31"/>
  <c r="G65" i="40"/>
  <c r="G120" i="34"/>
  <c r="J108" i="31"/>
  <c r="L58" i="31"/>
  <c r="R58" i="31"/>
  <c r="R183" i="31"/>
  <c r="L183" i="31"/>
  <c r="F133" i="36"/>
  <c r="F33" i="40"/>
  <c r="I33" i="40" s="1"/>
  <c r="J33" i="40" s="1"/>
  <c r="L139" i="31"/>
  <c r="R139" i="31"/>
  <c r="H242" i="34"/>
  <c r="K39" i="31"/>
  <c r="R44" i="31"/>
  <c r="F109" i="36"/>
  <c r="I109" i="36" s="1"/>
  <c r="J109" i="36" s="1"/>
  <c r="F54" i="39"/>
  <c r="I54" i="39" s="1"/>
  <c r="J54" i="39" s="1"/>
  <c r="L339" i="31"/>
  <c r="G117" i="40"/>
  <c r="G180" i="34"/>
  <c r="G90" i="42"/>
  <c r="G107" i="41"/>
  <c r="F29" i="39"/>
  <c r="L193" i="31"/>
  <c r="R193" i="31"/>
  <c r="R78" i="31"/>
  <c r="L78" i="31"/>
  <c r="F46" i="42"/>
  <c r="I46" i="42" s="1"/>
  <c r="J46" i="42" s="1"/>
  <c r="J176" i="31"/>
  <c r="G126" i="36"/>
  <c r="G38" i="40"/>
  <c r="G33" i="34"/>
  <c r="G22" i="41"/>
  <c r="F24" i="37"/>
  <c r="I24" i="37" s="1"/>
  <c r="J24" i="37" s="1"/>
  <c r="L100" i="31"/>
  <c r="R100" i="31"/>
  <c r="F65" i="44"/>
  <c r="F95" i="42"/>
  <c r="R168" i="31"/>
  <c r="L168" i="31"/>
  <c r="F160" i="35"/>
  <c r="R30" i="31"/>
  <c r="L30" i="31"/>
  <c r="F193" i="35"/>
  <c r="F177" i="36"/>
  <c r="I177" i="36" s="1"/>
  <c r="J177" i="36" s="1"/>
  <c r="R127" i="31"/>
  <c r="L127" i="31"/>
  <c r="F17" i="41"/>
  <c r="I17" i="41" s="1"/>
  <c r="J17" i="41" s="1"/>
  <c r="F17" i="42"/>
  <c r="F17" i="37"/>
  <c r="F18" i="35"/>
  <c r="I18" i="35" s="1"/>
  <c r="J18" i="35" s="1"/>
  <c r="F17" i="39"/>
  <c r="F21" i="34"/>
  <c r="F17" i="33"/>
  <c r="I17" i="33" s="1"/>
  <c r="J17" i="33" s="1"/>
  <c r="F17" i="44"/>
  <c r="I17" i="44" s="1"/>
  <c r="J17" i="44" s="1"/>
  <c r="F17" i="32"/>
  <c r="I17" i="32" s="1"/>
  <c r="J17" i="32" s="1"/>
  <c r="F22" i="40"/>
  <c r="I22" i="40" s="1"/>
  <c r="J22" i="40" s="1"/>
  <c r="F17" i="36"/>
  <c r="F17" i="43"/>
  <c r="R92" i="31"/>
  <c r="L92" i="31"/>
  <c r="J174" i="31"/>
  <c r="G124" i="36"/>
  <c r="J193" i="31"/>
  <c r="G29" i="39"/>
  <c r="R385" i="31"/>
  <c r="L36" i="31"/>
  <c r="F238" i="34"/>
  <c r="R36" i="31"/>
  <c r="L187" i="31"/>
  <c r="F137" i="36"/>
  <c r="R187" i="31"/>
  <c r="F111" i="42"/>
  <c r="I111" i="42" s="1"/>
  <c r="J111" i="42" s="1"/>
  <c r="F181" i="35"/>
  <c r="I181" i="35" s="1"/>
  <c r="J181" i="35" s="1"/>
  <c r="F77" i="44"/>
  <c r="I77" i="44" s="1"/>
  <c r="J77" i="44" s="1"/>
  <c r="F213" i="34"/>
  <c r="I213" i="34" s="1"/>
  <c r="J213" i="34" s="1"/>
  <c r="F74" i="37"/>
  <c r="I74" i="37" s="1"/>
  <c r="J74" i="37" s="1"/>
  <c r="F164" i="1"/>
  <c r="I164" i="1" s="1"/>
  <c r="J164" i="1" s="1"/>
  <c r="J166" i="1" s="1"/>
  <c r="B559" i="50" s="1"/>
  <c r="F71" i="42"/>
  <c r="I71" i="42" s="1"/>
  <c r="J71" i="42" s="1"/>
  <c r="R120" i="31"/>
  <c r="L120" i="31"/>
  <c r="F78" i="44"/>
  <c r="I78" i="44" s="1"/>
  <c r="J78" i="44" s="1"/>
  <c r="L150" i="31"/>
  <c r="R150" i="31"/>
  <c r="F131" i="36"/>
  <c r="I131" i="36" s="1"/>
  <c r="J131" i="36" s="1"/>
  <c r="F146" i="34"/>
  <c r="I146" i="34" s="1"/>
  <c r="J146" i="34" s="1"/>
  <c r="R181" i="31"/>
  <c r="L181" i="31"/>
  <c r="F109" i="41"/>
  <c r="I109" i="41" s="1"/>
  <c r="J109" i="41" s="1"/>
  <c r="L116" i="31"/>
  <c r="R116" i="31"/>
  <c r="R39" i="31"/>
  <c r="F242" i="34"/>
  <c r="I242" i="34" s="1"/>
  <c r="J242" i="34" s="1"/>
  <c r="L39" i="31"/>
  <c r="F132" i="36"/>
  <c r="I132" i="36" s="1"/>
  <c r="J132" i="36" s="1"/>
  <c r="L182" i="31"/>
  <c r="R182" i="31"/>
  <c r="G87" i="35"/>
  <c r="G71" i="32"/>
  <c r="G16" i="1"/>
  <c r="J59" i="31"/>
  <c r="L176" i="31"/>
  <c r="F126" i="36"/>
  <c r="I126" i="36" s="1"/>
  <c r="J126" i="36" s="1"/>
  <c r="R176" i="31"/>
  <c r="J340" i="31"/>
  <c r="G87" i="38"/>
  <c r="F181" i="34"/>
  <c r="I181" i="34" s="1"/>
  <c r="J181" i="34" s="1"/>
  <c r="F118" i="40"/>
  <c r="F108" i="41"/>
  <c r="I108" i="41" s="1"/>
  <c r="J108" i="41" s="1"/>
  <c r="F91" i="42"/>
  <c r="R115" i="31"/>
  <c r="L115" i="31"/>
  <c r="F118" i="34"/>
  <c r="I118" i="34" s="1"/>
  <c r="J118" i="34" s="1"/>
  <c r="F49" i="41"/>
  <c r="I49" i="41" s="1"/>
  <c r="J49" i="41" s="1"/>
  <c r="F73" i="38"/>
  <c r="I73" i="38" s="1"/>
  <c r="J73" i="38" s="1"/>
  <c r="R104" i="31"/>
  <c r="L104" i="31"/>
  <c r="F89" i="38"/>
  <c r="L341" i="31"/>
  <c r="R83" i="31"/>
  <c r="L83" i="31"/>
  <c r="F54" i="35"/>
  <c r="F58" i="36"/>
  <c r="F86" i="34"/>
  <c r="F52" i="32"/>
  <c r="L101" i="31"/>
  <c r="R101" i="31"/>
  <c r="L82" i="31"/>
  <c r="F153" i="1"/>
  <c r="R82" i="31"/>
  <c r="G106" i="39"/>
  <c r="G161" i="32"/>
  <c r="G193" i="36"/>
  <c r="G135" i="38"/>
  <c r="G241" i="34"/>
  <c r="G211" i="35"/>
  <c r="R429" i="31"/>
  <c r="F87" i="35"/>
  <c r="I87" i="35" s="1"/>
  <c r="J87" i="35" s="1"/>
  <c r="F71" i="32"/>
  <c r="I71" i="32" s="1"/>
  <c r="J71" i="32" s="1"/>
  <c r="L80" i="31"/>
  <c r="R80" i="31"/>
  <c r="F145" i="34"/>
  <c r="I145" i="34" s="1"/>
  <c r="J145" i="34" s="1"/>
  <c r="R85" i="31"/>
  <c r="L85" i="31"/>
  <c r="R175" i="31"/>
  <c r="F125" i="36"/>
  <c r="I125" i="36" s="1"/>
  <c r="J125" i="36" s="1"/>
  <c r="L175" i="31"/>
  <c r="F102" i="38"/>
  <c r="I102" i="38" s="1"/>
  <c r="J102" i="38" s="1"/>
  <c r="F67" i="39"/>
  <c r="I67" i="39" s="1"/>
  <c r="J67" i="39" s="1"/>
  <c r="L170" i="31"/>
  <c r="R170" i="31"/>
  <c r="F88" i="37"/>
  <c r="I88" i="37" s="1"/>
  <c r="J88" i="37" s="1"/>
  <c r="R158" i="31"/>
  <c r="L158" i="31"/>
  <c r="F101" i="39"/>
  <c r="I101" i="39" s="1"/>
  <c r="J101" i="39" s="1"/>
  <c r="L70" i="31"/>
  <c r="F157" i="40"/>
  <c r="I157" i="40" s="1"/>
  <c r="J157" i="40" s="1"/>
  <c r="F147" i="41"/>
  <c r="I147" i="41" s="1"/>
  <c r="J147" i="41" s="1"/>
  <c r="R70" i="31"/>
  <c r="J384" i="31"/>
  <c r="G237" i="34"/>
  <c r="J37" i="31"/>
  <c r="G161" i="40"/>
  <c r="G128" i="36"/>
  <c r="J178" i="31"/>
  <c r="R386" i="31"/>
  <c r="F83" i="35"/>
  <c r="I83" i="35" s="1"/>
  <c r="J83" i="35" s="1"/>
  <c r="F94" i="34"/>
  <c r="I94" i="34" s="1"/>
  <c r="J94" i="34" s="1"/>
  <c r="F65" i="36"/>
  <c r="I65" i="36" s="1"/>
  <c r="J65" i="36" s="1"/>
  <c r="F70" i="32"/>
  <c r="I70" i="32" s="1"/>
  <c r="J70" i="32" s="1"/>
  <c r="L35" i="31"/>
  <c r="R35" i="31"/>
  <c r="K389" i="31"/>
  <c r="H161" i="40"/>
  <c r="H237" i="34"/>
  <c r="K37" i="31"/>
  <c r="R197" i="31"/>
  <c r="L197" i="31"/>
  <c r="F76" i="41"/>
  <c r="I76" i="41" s="1"/>
  <c r="J76" i="41" s="1"/>
  <c r="L103" i="31"/>
  <c r="R103" i="31"/>
  <c r="R188" i="31"/>
  <c r="F68" i="32"/>
  <c r="F92" i="34"/>
  <c r="L188" i="31"/>
  <c r="G68" i="42"/>
  <c r="J68" i="31"/>
  <c r="G19" i="41"/>
  <c r="I19" i="41" s="1"/>
  <c r="J19" i="41" s="1"/>
  <c r="G24" i="40"/>
  <c r="I24" i="40" s="1"/>
  <c r="J24" i="40" s="1"/>
  <c r="G25" i="34"/>
  <c r="I25" i="34" s="1"/>
  <c r="J25" i="34" s="1"/>
  <c r="J90" i="31"/>
  <c r="L90" i="31"/>
  <c r="R90" i="31"/>
  <c r="R67" i="31"/>
  <c r="L67" i="31"/>
  <c r="F60" i="42"/>
  <c r="I60" i="42" s="1"/>
  <c r="J60" i="42" s="1"/>
  <c r="L76" i="31"/>
  <c r="F23" i="42"/>
  <c r="I23" i="42" s="1"/>
  <c r="J23" i="42" s="1"/>
  <c r="R76" i="31"/>
  <c r="G120" i="36"/>
  <c r="J173" i="31"/>
  <c r="F74" i="38"/>
  <c r="I74" i="38" s="1"/>
  <c r="J74" i="38" s="1"/>
  <c r="F91" i="36"/>
  <c r="I91" i="36" s="1"/>
  <c r="J91" i="36" s="1"/>
  <c r="F67" i="40"/>
  <c r="I67" i="40" s="1"/>
  <c r="J67" i="40" s="1"/>
  <c r="F40" i="39"/>
  <c r="I40" i="39" s="1"/>
  <c r="J40" i="39" s="1"/>
  <c r="F122" i="35"/>
  <c r="I122" i="35" s="1"/>
  <c r="J122" i="35" s="1"/>
  <c r="F100" i="32"/>
  <c r="I100" i="32" s="1"/>
  <c r="J100" i="32" s="1"/>
  <c r="F119" i="34"/>
  <c r="I119" i="34" s="1"/>
  <c r="J119" i="34" s="1"/>
  <c r="F50" i="41"/>
  <c r="I50" i="41" s="1"/>
  <c r="J50" i="41" s="1"/>
  <c r="R105" i="31"/>
  <c r="L105" i="31"/>
  <c r="F50" i="33"/>
  <c r="I50" i="33" s="1"/>
  <c r="J50" i="33" s="1"/>
  <c r="F236" i="34"/>
  <c r="I236" i="34" s="1"/>
  <c r="J236" i="34" s="1"/>
  <c r="F244" i="34"/>
  <c r="F194" i="36"/>
  <c r="I194" i="36" s="1"/>
  <c r="J194" i="36" s="1"/>
  <c r="F105" i="39"/>
  <c r="I105" i="39" s="1"/>
  <c r="J105" i="39" s="1"/>
  <c r="L146" i="31"/>
  <c r="R146" i="31"/>
  <c r="F23" i="44"/>
  <c r="I23" i="44" s="1"/>
  <c r="J23" i="44" s="1"/>
  <c r="R148" i="31"/>
  <c r="L148" i="31"/>
  <c r="G120" i="42"/>
  <c r="G95" i="39"/>
  <c r="G87" i="44"/>
  <c r="J128" i="31"/>
  <c r="R425" i="31"/>
  <c r="F86" i="35"/>
  <c r="I86" i="35" s="1"/>
  <c r="J86" i="35" s="1"/>
  <c r="F59" i="36"/>
  <c r="I59" i="36" s="1"/>
  <c r="J59" i="36" s="1"/>
  <c r="F87" i="34"/>
  <c r="I87" i="34" s="1"/>
  <c r="J87" i="34" s="1"/>
  <c r="F72" i="32"/>
  <c r="I72" i="32" s="1"/>
  <c r="J72" i="32" s="1"/>
  <c r="F140" i="36"/>
  <c r="I140" i="36" s="1"/>
  <c r="J140" i="36" s="1"/>
  <c r="R165" i="31"/>
  <c r="L165" i="31"/>
  <c r="F57" i="32"/>
  <c r="I57" i="32" s="1"/>
  <c r="J57" i="32" s="1"/>
  <c r="L141" i="31"/>
  <c r="R141" i="31"/>
  <c r="J241" i="31"/>
  <c r="G134" i="36"/>
  <c r="J184" i="31"/>
  <c r="J185" i="31"/>
  <c r="G135" i="36"/>
  <c r="L81" i="31"/>
  <c r="F144" i="34"/>
  <c r="I144" i="34" s="1"/>
  <c r="J144" i="34" s="1"/>
  <c r="R81" i="31"/>
  <c r="L44" i="31"/>
  <c r="J354" i="31"/>
  <c r="G189" i="1"/>
  <c r="I189" i="1" s="1"/>
  <c r="J189" i="1" s="1"/>
  <c r="J72" i="31"/>
  <c r="L72" i="31"/>
  <c r="R72" i="31"/>
  <c r="F80" i="37"/>
  <c r="F232" i="34"/>
  <c r="F148" i="41"/>
  <c r="R131" i="31"/>
  <c r="L131" i="31"/>
  <c r="R392" i="31"/>
  <c r="R34" i="31"/>
  <c r="L34" i="31"/>
  <c r="F20" i="1"/>
  <c r="L340" i="31"/>
  <c r="F46" i="37"/>
  <c r="L56" i="31"/>
  <c r="G127" i="41"/>
  <c r="G32" i="43"/>
  <c r="G102" i="42"/>
  <c r="J242" i="31"/>
  <c r="J183" i="31"/>
  <c r="G133" i="36"/>
  <c r="R402" i="31"/>
  <c r="L24" i="31"/>
  <c r="R24" i="31"/>
  <c r="G100" i="41"/>
  <c r="G177" i="34"/>
  <c r="F173" i="34"/>
  <c r="I173" i="34" s="1"/>
  <c r="J173" i="34" s="1"/>
  <c r="F109" i="40"/>
  <c r="I109" i="40" s="1"/>
  <c r="J109" i="40" s="1"/>
  <c r="F24" i="43"/>
  <c r="I24" i="43" s="1"/>
  <c r="J24" i="43" s="1"/>
  <c r="F60" i="44"/>
  <c r="I60" i="44" s="1"/>
  <c r="J60" i="44" s="1"/>
  <c r="R110" i="31"/>
  <c r="L110" i="31"/>
  <c r="J341" i="31"/>
  <c r="G89" i="38"/>
  <c r="R135" i="31"/>
  <c r="L135" i="31"/>
  <c r="G92" i="34"/>
  <c r="G68" i="32"/>
  <c r="J188" i="31"/>
  <c r="G65" i="44"/>
  <c r="G95" i="42"/>
  <c r="J168" i="31"/>
  <c r="G80" i="37"/>
  <c r="G148" i="41"/>
  <c r="G232" i="34"/>
  <c r="K392" i="31"/>
  <c r="K34" i="31"/>
  <c r="H20" i="1"/>
  <c r="F136" i="36"/>
  <c r="I136" i="36" s="1"/>
  <c r="J136" i="36" s="1"/>
  <c r="L186" i="31"/>
  <c r="R186" i="31"/>
  <c r="G83" i="42"/>
  <c r="J167" i="31"/>
  <c r="G45" i="40"/>
  <c r="G42" i="34"/>
  <c r="G23" i="37"/>
  <c r="G45" i="34"/>
  <c r="J97" i="31"/>
  <c r="J192" i="31"/>
  <c r="G62" i="37"/>
  <c r="G85" i="32"/>
  <c r="G29" i="42"/>
  <c r="G27" i="33"/>
  <c r="G45" i="44"/>
  <c r="G78" i="36"/>
  <c r="G107" i="34"/>
  <c r="G109" i="35"/>
  <c r="G84" i="38"/>
  <c r="G59" i="38"/>
  <c r="F57" i="40"/>
  <c r="I57" i="40" s="1"/>
  <c r="J57" i="40" s="1"/>
  <c r="F32" i="32"/>
  <c r="I32" i="32" s="1"/>
  <c r="J32" i="32" s="1"/>
  <c r="F42" i="35"/>
  <c r="I42" i="35" s="1"/>
  <c r="J42" i="35" s="1"/>
  <c r="F70" i="34"/>
  <c r="I70" i="34" s="1"/>
  <c r="J70" i="34" s="1"/>
  <c r="F43" i="36"/>
  <c r="I43" i="36" s="1"/>
  <c r="J43" i="36" s="1"/>
  <c r="F33" i="39"/>
  <c r="I33" i="39" s="1"/>
  <c r="J33" i="39" s="1"/>
  <c r="F42" i="36"/>
  <c r="I42" i="36" s="1"/>
  <c r="J42" i="36" s="1"/>
  <c r="F41" i="38"/>
  <c r="I41" i="38" s="1"/>
  <c r="J41" i="38" s="1"/>
  <c r="F69" i="34"/>
  <c r="I69" i="34" s="1"/>
  <c r="J69" i="34" s="1"/>
  <c r="F43" i="35"/>
  <c r="I43" i="35" s="1"/>
  <c r="J43" i="35" s="1"/>
  <c r="R99" i="31"/>
  <c r="L99" i="31"/>
  <c r="G22" i="42"/>
  <c r="J255" i="31"/>
  <c r="F136" i="41"/>
  <c r="I136" i="41" s="1"/>
  <c r="J136" i="41" s="1"/>
  <c r="F171" i="36"/>
  <c r="I171" i="36" s="1"/>
  <c r="J171" i="36" s="1"/>
  <c r="F140" i="32"/>
  <c r="I140" i="32" s="1"/>
  <c r="J140" i="32" s="1"/>
  <c r="F182" i="35"/>
  <c r="F214" i="34"/>
  <c r="I214" i="34" s="1"/>
  <c r="J214" i="34" s="1"/>
  <c r="F38" i="33"/>
  <c r="I38" i="33" s="1"/>
  <c r="J38" i="33" s="1"/>
  <c r="F36" i="43"/>
  <c r="I36" i="43" s="1"/>
  <c r="J36" i="43" s="1"/>
  <c r="R121" i="31"/>
  <c r="L121" i="31"/>
  <c r="F107" i="39"/>
  <c r="F153" i="41"/>
  <c r="F239" i="34"/>
  <c r="L38" i="31"/>
  <c r="R38" i="31"/>
  <c r="G192" i="35"/>
  <c r="G176" i="36"/>
  <c r="J126" i="31"/>
  <c r="G18" i="42"/>
  <c r="I18" i="42" s="1"/>
  <c r="J18" i="42" s="1"/>
  <c r="G18" i="41"/>
  <c r="I18" i="41" s="1"/>
  <c r="J18" i="41" s="1"/>
  <c r="G22" i="34"/>
  <c r="I22" i="34" s="1"/>
  <c r="J22" i="34" s="1"/>
  <c r="G19" i="35"/>
  <c r="I19" i="35" s="1"/>
  <c r="J19" i="35" s="1"/>
  <c r="G18" i="36"/>
  <c r="I18" i="36" s="1"/>
  <c r="J18" i="36" s="1"/>
  <c r="G18" i="37"/>
  <c r="I18" i="37" s="1"/>
  <c r="J18" i="37" s="1"/>
  <c r="G23" i="40"/>
  <c r="I23" i="40" s="1"/>
  <c r="J23" i="40" s="1"/>
  <c r="G18" i="32"/>
  <c r="I18" i="32" s="1"/>
  <c r="J18" i="32" s="1"/>
  <c r="G18" i="33"/>
  <c r="I18" i="33" s="1"/>
  <c r="J18" i="33" s="1"/>
  <c r="G18" i="39"/>
  <c r="I18" i="39" s="1"/>
  <c r="J18" i="39" s="1"/>
  <c r="G18" i="44"/>
  <c r="I18" i="44" s="1"/>
  <c r="J18" i="44" s="1"/>
  <c r="J89" i="31"/>
  <c r="R89" i="31"/>
  <c r="L89" i="31"/>
  <c r="J180" i="31"/>
  <c r="G130" i="36"/>
  <c r="F155" i="35"/>
  <c r="I155" i="35" s="1"/>
  <c r="J155" i="35" s="1"/>
  <c r="J158" i="35" s="1"/>
  <c r="B31" i="50" s="1"/>
  <c r="R117" i="31"/>
  <c r="L117" i="31"/>
  <c r="R395" i="31"/>
  <c r="R31" i="31"/>
  <c r="L31" i="31"/>
  <c r="F196" i="34"/>
  <c r="I196" i="34" s="1"/>
  <c r="J196" i="34" s="1"/>
  <c r="J197" i="34" s="1"/>
  <c r="B335" i="50" s="1"/>
  <c r="G46" i="32"/>
  <c r="G63" i="32"/>
  <c r="J189" i="31"/>
  <c r="J171" i="31"/>
  <c r="G68" i="39"/>
  <c r="R192" i="31"/>
  <c r="L192" i="31"/>
  <c r="F109" i="35"/>
  <c r="I109" i="35" s="1"/>
  <c r="J109" i="35" s="1"/>
  <c r="F45" i="44"/>
  <c r="I45" i="44" s="1"/>
  <c r="J45" i="44" s="1"/>
  <c r="F78" i="36"/>
  <c r="I78" i="36" s="1"/>
  <c r="J78" i="36" s="1"/>
  <c r="F27" i="33"/>
  <c r="F84" i="38"/>
  <c r="F29" i="42"/>
  <c r="I29" i="42" s="1"/>
  <c r="J29" i="42" s="1"/>
  <c r="F59" i="38"/>
  <c r="I59" i="38" s="1"/>
  <c r="J59" i="38" s="1"/>
  <c r="F85" i="32"/>
  <c r="I85" i="32" s="1"/>
  <c r="J85" i="32" s="1"/>
  <c r="F107" i="34"/>
  <c r="I107" i="34" s="1"/>
  <c r="J107" i="34" s="1"/>
  <c r="F62" i="37"/>
  <c r="I62" i="37" s="1"/>
  <c r="J62" i="37" s="1"/>
  <c r="G239" i="34"/>
  <c r="G153" i="41"/>
  <c r="J38" i="31"/>
  <c r="G107" i="39"/>
  <c r="F194" i="1"/>
  <c r="I194" i="1" s="1"/>
  <c r="J194" i="1" s="1"/>
  <c r="L73" i="31"/>
  <c r="R73" i="31"/>
  <c r="F22" i="37"/>
  <c r="I22" i="37" s="1"/>
  <c r="J22" i="37" s="1"/>
  <c r="R152" i="31"/>
  <c r="L152" i="31"/>
  <c r="F56" i="42"/>
  <c r="I56" i="42" s="1"/>
  <c r="J56" i="42" s="1"/>
  <c r="L64" i="31"/>
  <c r="R64" i="31"/>
  <c r="F134" i="36"/>
  <c r="I134" i="36" s="1"/>
  <c r="J134" i="36" s="1"/>
  <c r="L184" i="31"/>
  <c r="R184" i="31"/>
  <c r="G191" i="36"/>
  <c r="G47" i="43"/>
  <c r="G49" i="33"/>
  <c r="G160" i="40"/>
  <c r="G124" i="42"/>
  <c r="G104" i="39"/>
  <c r="G235" i="34"/>
  <c r="G159" i="32"/>
  <c r="G209" i="35"/>
  <c r="G91" i="44"/>
  <c r="G152" i="41"/>
  <c r="G84" i="37"/>
  <c r="G134" i="38"/>
  <c r="R430" i="31"/>
  <c r="F86" i="37"/>
  <c r="I86" i="37" s="1"/>
  <c r="J86" i="37" s="1"/>
  <c r="F92" i="40"/>
  <c r="F88" i="38"/>
  <c r="I88" i="38" s="1"/>
  <c r="J88" i="38" s="1"/>
  <c r="F78" i="41"/>
  <c r="I78" i="41" s="1"/>
  <c r="J78" i="41" s="1"/>
  <c r="R109" i="31"/>
  <c r="L109" i="31"/>
  <c r="F127" i="41"/>
  <c r="I127" i="41" s="1"/>
  <c r="J127" i="41" s="1"/>
  <c r="J128" i="41" s="1"/>
  <c r="B95" i="50" s="1"/>
  <c r="F102" i="42"/>
  <c r="I102" i="42" s="1"/>
  <c r="J102" i="42" s="1"/>
  <c r="J103" i="42" s="1"/>
  <c r="B470" i="50" s="1"/>
  <c r="F32" i="43"/>
  <c r="I32" i="43" s="1"/>
  <c r="J32" i="43" s="1"/>
  <c r="J33" i="43" s="1"/>
  <c r="B378" i="50" s="1"/>
  <c r="R118" i="31"/>
  <c r="L118" i="31"/>
  <c r="F65" i="40"/>
  <c r="F120" i="34"/>
  <c r="L108" i="31"/>
  <c r="R108" i="31"/>
  <c r="G54" i="35"/>
  <c r="G86" i="34"/>
  <c r="G52" i="32"/>
  <c r="G58" i="36"/>
  <c r="J101" i="31"/>
  <c r="L196" i="31"/>
  <c r="R196" i="31"/>
  <c r="F60" i="41"/>
  <c r="I60" i="41" s="1"/>
  <c r="J60" i="41" s="1"/>
  <c r="J191" i="31"/>
  <c r="G79" i="1"/>
  <c r="F63" i="32"/>
  <c r="I63" i="32" s="1"/>
  <c r="J63" i="32" s="1"/>
  <c r="R189" i="31"/>
  <c r="F46" i="32"/>
  <c r="L189" i="31"/>
  <c r="F35" i="42"/>
  <c r="I35" i="42" s="1"/>
  <c r="J35" i="42" s="1"/>
  <c r="F38" i="37"/>
  <c r="I38" i="37" s="1"/>
  <c r="J38" i="37" s="1"/>
  <c r="R153" i="31"/>
  <c r="L153" i="31"/>
  <c r="R32" i="31"/>
  <c r="L32" i="31"/>
  <c r="F153" i="36"/>
  <c r="I153" i="36" s="1"/>
  <c r="J153" i="36" s="1"/>
  <c r="R179" i="31"/>
  <c r="F129" i="36"/>
  <c r="L179" i="31"/>
  <c r="G160" i="35"/>
  <c r="J30" i="31"/>
  <c r="F22" i="41"/>
  <c r="I22" i="41" s="1"/>
  <c r="J22" i="41" s="1"/>
  <c r="J27" i="41" s="1"/>
  <c r="B68" i="50" s="1"/>
  <c r="F33" i="34"/>
  <c r="I33" i="34" s="1"/>
  <c r="J33" i="34" s="1"/>
  <c r="F38" i="40"/>
  <c r="R93" i="31"/>
  <c r="L93" i="31"/>
  <c r="J238" i="31"/>
  <c r="G137" i="36"/>
  <c r="J187" i="31"/>
  <c r="R423" i="31"/>
  <c r="F158" i="36"/>
  <c r="I158" i="36" s="1"/>
  <c r="J158" i="36" s="1"/>
  <c r="G21" i="38"/>
  <c r="G21" i="37"/>
  <c r="F72" i="35"/>
  <c r="I72" i="35" s="1"/>
  <c r="J72" i="35" s="1"/>
  <c r="L156" i="31"/>
  <c r="R156" i="31"/>
  <c r="K390" i="31"/>
  <c r="K36" i="31"/>
  <c r="H238" i="34"/>
  <c r="J246" i="31"/>
  <c r="G129" i="36"/>
  <c r="J179" i="31"/>
  <c r="F204" i="35"/>
  <c r="I204" i="35" s="1"/>
  <c r="J204" i="35" s="1"/>
  <c r="R129" i="31"/>
  <c r="L129" i="31"/>
  <c r="R173" i="31"/>
  <c r="L173" i="31"/>
  <c r="F120" i="36"/>
  <c r="I120" i="36" s="1"/>
  <c r="J120" i="36" s="1"/>
  <c r="L43" i="31"/>
  <c r="I153" i="1" l="1"/>
  <c r="J153" i="1" s="1"/>
  <c r="I20" i="38"/>
  <c r="J20" i="38" s="1"/>
  <c r="I84" i="38"/>
  <c r="J84" i="38" s="1"/>
  <c r="I17" i="38"/>
  <c r="J17" i="38" s="1"/>
  <c r="J18" i="38" s="1"/>
  <c r="B578" i="50" s="1"/>
  <c r="N578" i="50" s="1"/>
  <c r="I14" i="39"/>
  <c r="J14" i="39" s="1"/>
  <c r="J15" i="39" s="1"/>
  <c r="I17" i="39"/>
  <c r="J17" i="39" s="1"/>
  <c r="J19" i="39" s="1"/>
  <c r="B492" i="50" s="1"/>
  <c r="I91" i="42"/>
  <c r="J91" i="42" s="1"/>
  <c r="I17" i="42"/>
  <c r="J17" i="42" s="1"/>
  <c r="I14" i="42"/>
  <c r="J14" i="42" s="1"/>
  <c r="J15" i="42" s="1"/>
  <c r="B443" i="50" s="1"/>
  <c r="M443" i="50" s="1"/>
  <c r="I17" i="36"/>
  <c r="J17" i="36" s="1"/>
  <c r="I14" i="36"/>
  <c r="J14" i="36" s="1"/>
  <c r="J15" i="36" s="1"/>
  <c r="B394" i="50" s="1"/>
  <c r="I173" i="36"/>
  <c r="J173" i="36" s="1"/>
  <c r="I120" i="34"/>
  <c r="J120" i="34" s="1"/>
  <c r="I244" i="34"/>
  <c r="J244" i="34" s="1"/>
  <c r="I212" i="34"/>
  <c r="J212" i="34" s="1"/>
  <c r="I21" i="34"/>
  <c r="J21" i="34" s="1"/>
  <c r="I216" i="34"/>
  <c r="J216" i="34" s="1"/>
  <c r="I17" i="43"/>
  <c r="J17" i="43" s="1"/>
  <c r="J18" i="43" s="1"/>
  <c r="B366" i="50" s="1"/>
  <c r="I14" i="43"/>
  <c r="J14" i="43" s="1"/>
  <c r="J15" i="43" s="1"/>
  <c r="I14" i="37"/>
  <c r="J14" i="37" s="1"/>
  <c r="J15" i="37" s="1"/>
  <c r="I17" i="37"/>
  <c r="J17" i="37" s="1"/>
  <c r="I46" i="37"/>
  <c r="J46" i="37" s="1"/>
  <c r="I26" i="37"/>
  <c r="J26" i="37" s="1"/>
  <c r="I92" i="40"/>
  <c r="J92" i="40" s="1"/>
  <c r="I65" i="40"/>
  <c r="J65" i="40" s="1"/>
  <c r="I38" i="40"/>
  <c r="J38" i="40" s="1"/>
  <c r="I118" i="40"/>
  <c r="J118" i="40" s="1"/>
  <c r="I46" i="32"/>
  <c r="J46" i="32" s="1"/>
  <c r="I184" i="35"/>
  <c r="J184" i="35" s="1"/>
  <c r="I182" i="35"/>
  <c r="J182" i="35" s="1"/>
  <c r="I15" i="35"/>
  <c r="J15" i="35" s="1"/>
  <c r="I130" i="35"/>
  <c r="J130" i="35" s="1"/>
  <c r="I193" i="35"/>
  <c r="J193" i="35" s="1"/>
  <c r="I110" i="42"/>
  <c r="J110" i="42" s="1"/>
  <c r="I25" i="43"/>
  <c r="J25" i="43" s="1"/>
  <c r="J26" i="43" s="1"/>
  <c r="B372" i="50" s="1"/>
  <c r="I85" i="39"/>
  <c r="J85" i="39" s="1"/>
  <c r="J87" i="39" s="1"/>
  <c r="B516" i="50" s="1"/>
  <c r="L516" i="50" s="1"/>
  <c r="I35" i="43"/>
  <c r="J35" i="43" s="1"/>
  <c r="I155" i="36"/>
  <c r="J155" i="36" s="1"/>
  <c r="E337" i="31"/>
  <c r="D338" i="31"/>
  <c r="D334" i="31"/>
  <c r="D335" i="31"/>
  <c r="E331" i="31"/>
  <c r="D333" i="31"/>
  <c r="E334" i="31"/>
  <c r="D330" i="31"/>
  <c r="E336" i="31"/>
  <c r="E338" i="31"/>
  <c r="J338" i="31" s="1"/>
  <c r="E330" i="31"/>
  <c r="D331" i="31"/>
  <c r="E332" i="31"/>
  <c r="D337" i="31"/>
  <c r="E333" i="31"/>
  <c r="D332" i="31"/>
  <c r="D336" i="31"/>
  <c r="E335" i="31"/>
  <c r="G68" i="50"/>
  <c r="M68" i="50"/>
  <c r="N68" i="50"/>
  <c r="O68" i="50"/>
  <c r="J68" i="50"/>
  <c r="K68" i="50"/>
  <c r="L68" i="50"/>
  <c r="E68" i="50"/>
  <c r="H68" i="50"/>
  <c r="F68" i="50"/>
  <c r="I68" i="50"/>
  <c r="D68" i="50"/>
  <c r="I129" i="36"/>
  <c r="J129" i="36" s="1"/>
  <c r="I20" i="1"/>
  <c r="J20" i="1" s="1"/>
  <c r="I80" i="37"/>
  <c r="J80" i="37" s="1"/>
  <c r="J82" i="37" s="1"/>
  <c r="B292" i="50" s="1"/>
  <c r="I68" i="32"/>
  <c r="J68" i="32" s="1"/>
  <c r="I58" i="36"/>
  <c r="J58" i="36" s="1"/>
  <c r="I137" i="36"/>
  <c r="J137" i="36" s="1"/>
  <c r="J366" i="50"/>
  <c r="L366" i="50"/>
  <c r="E366" i="50"/>
  <c r="H366" i="50"/>
  <c r="K366" i="50"/>
  <c r="O366" i="50"/>
  <c r="I366" i="50"/>
  <c r="F366" i="50"/>
  <c r="N366" i="50"/>
  <c r="M366" i="50"/>
  <c r="D366" i="50"/>
  <c r="G366" i="50"/>
  <c r="J19" i="44"/>
  <c r="B240" i="50" s="1"/>
  <c r="J20" i="35"/>
  <c r="B19" i="50" s="1"/>
  <c r="I29" i="39"/>
  <c r="J29" i="39" s="1"/>
  <c r="I79" i="1"/>
  <c r="J79" i="1" s="1"/>
  <c r="I76" i="44"/>
  <c r="J76" i="44" s="1"/>
  <c r="J79" i="44" s="1"/>
  <c r="B261" i="50" s="1"/>
  <c r="I142" i="40"/>
  <c r="J142" i="40" s="1"/>
  <c r="J145" i="40" s="1"/>
  <c r="B224" i="50" s="1"/>
  <c r="I177" i="34"/>
  <c r="J177" i="34" s="1"/>
  <c r="J178" i="34" s="1"/>
  <c r="B329" i="50" s="1"/>
  <c r="H578" i="50"/>
  <c r="G578" i="50"/>
  <c r="F578" i="50"/>
  <c r="E114" i="50"/>
  <c r="M114" i="50"/>
  <c r="I114" i="50"/>
  <c r="G114" i="50"/>
  <c r="O114" i="50"/>
  <c r="N114" i="50"/>
  <c r="J114" i="50"/>
  <c r="F114" i="50"/>
  <c r="K114" i="50"/>
  <c r="H114" i="50"/>
  <c r="D114" i="50"/>
  <c r="L114" i="50"/>
  <c r="M182" i="50"/>
  <c r="I182" i="50"/>
  <c r="L182" i="50"/>
  <c r="K182" i="50"/>
  <c r="N182" i="50"/>
  <c r="D182" i="50"/>
  <c r="J182" i="50"/>
  <c r="H182" i="50"/>
  <c r="E182" i="50"/>
  <c r="F182" i="50"/>
  <c r="G182" i="50"/>
  <c r="O182" i="50"/>
  <c r="B274" i="50"/>
  <c r="I241" i="34"/>
  <c r="J241" i="34" s="1"/>
  <c r="I180" i="34"/>
  <c r="J180" i="34" s="1"/>
  <c r="J183" i="34" s="1"/>
  <c r="B332" i="50" s="1"/>
  <c r="I160" i="40"/>
  <c r="J160" i="40" s="1"/>
  <c r="I49" i="33"/>
  <c r="J49" i="33" s="1"/>
  <c r="J51" i="33" s="1"/>
  <c r="B172" i="50" s="1"/>
  <c r="I235" i="34"/>
  <c r="J235" i="34" s="1"/>
  <c r="I22" i="42"/>
  <c r="J22" i="42" s="1"/>
  <c r="I61" i="44"/>
  <c r="J61" i="44" s="1"/>
  <c r="I161" i="40"/>
  <c r="J161" i="40" s="1"/>
  <c r="I28" i="34"/>
  <c r="J28" i="34" s="1"/>
  <c r="J31" i="34" s="1"/>
  <c r="B311" i="50" s="1"/>
  <c r="I45" i="40"/>
  <c r="J45" i="40" s="1"/>
  <c r="I149" i="35"/>
  <c r="J149" i="35" s="1"/>
  <c r="J150" i="35" s="1"/>
  <c r="B28" i="50" s="1"/>
  <c r="I141" i="36"/>
  <c r="J141" i="36" s="1"/>
  <c r="J143" i="36" s="1"/>
  <c r="B409" i="50" s="1"/>
  <c r="I120" i="42"/>
  <c r="J120" i="42" s="1"/>
  <c r="I160" i="32"/>
  <c r="J160" i="32" s="1"/>
  <c r="I137" i="41"/>
  <c r="J137" i="41" s="1"/>
  <c r="I183" i="35"/>
  <c r="J183" i="35" s="1"/>
  <c r="I176" i="36"/>
  <c r="J176" i="36" s="1"/>
  <c r="J178" i="36" s="1"/>
  <c r="B430" i="50" s="1"/>
  <c r="I21" i="37"/>
  <c r="J21" i="37" s="1"/>
  <c r="I44" i="43"/>
  <c r="J44" i="43" s="1"/>
  <c r="J45" i="43" s="1"/>
  <c r="B384" i="50" s="1"/>
  <c r="I121" i="42"/>
  <c r="J121" i="42" s="1"/>
  <c r="F378" i="50"/>
  <c r="L378" i="50"/>
  <c r="E378" i="50"/>
  <c r="D378" i="50"/>
  <c r="N378" i="50"/>
  <c r="M378" i="50"/>
  <c r="O378" i="50"/>
  <c r="J378" i="50"/>
  <c r="G378" i="50"/>
  <c r="I378" i="50"/>
  <c r="H378" i="50"/>
  <c r="K378" i="50"/>
  <c r="D335" i="50"/>
  <c r="H335" i="50"/>
  <c r="J335" i="50"/>
  <c r="F335" i="50"/>
  <c r="I335" i="50"/>
  <c r="O335" i="50"/>
  <c r="G335" i="50"/>
  <c r="M335" i="50"/>
  <c r="L335" i="50"/>
  <c r="K335" i="50"/>
  <c r="N335" i="50"/>
  <c r="E335" i="50"/>
  <c r="I239" i="34"/>
  <c r="J239" i="34" s="1"/>
  <c r="O3" i="31"/>
  <c r="I54" i="35"/>
  <c r="J54" i="35" s="1"/>
  <c r="I89" i="38"/>
  <c r="J89" i="38" s="1"/>
  <c r="M559" i="50"/>
  <c r="N559" i="50"/>
  <c r="K559" i="50"/>
  <c r="L559" i="50"/>
  <c r="E559" i="50"/>
  <c r="F559" i="50"/>
  <c r="H559" i="50"/>
  <c r="J559" i="50"/>
  <c r="I559" i="50"/>
  <c r="O559" i="50"/>
  <c r="D559" i="50"/>
  <c r="G559" i="50"/>
  <c r="J19" i="36"/>
  <c r="B397" i="50" s="1"/>
  <c r="J19" i="33"/>
  <c r="B157" i="50" s="1"/>
  <c r="J19" i="37"/>
  <c r="B277" i="50" s="1"/>
  <c r="I95" i="42"/>
  <c r="J95" i="42" s="1"/>
  <c r="J97" i="42" s="1"/>
  <c r="B467" i="50" s="1"/>
  <c r="J157" i="1"/>
  <c r="B553" i="50" s="1"/>
  <c r="M556" i="50"/>
  <c r="J556" i="50"/>
  <c r="E556" i="50"/>
  <c r="K556" i="50"/>
  <c r="D556" i="50"/>
  <c r="G556" i="50"/>
  <c r="H556" i="50"/>
  <c r="I556" i="50"/>
  <c r="O556" i="50"/>
  <c r="N556" i="50"/>
  <c r="L556" i="50"/>
  <c r="F556" i="50"/>
  <c r="J160" i="36"/>
  <c r="B418" i="50" s="1"/>
  <c r="J113" i="42"/>
  <c r="B476" i="50" s="1"/>
  <c r="I139" i="32"/>
  <c r="J139" i="32" s="1"/>
  <c r="M350" i="50"/>
  <c r="N350" i="50"/>
  <c r="G350" i="50"/>
  <c r="D350" i="50"/>
  <c r="K350" i="50"/>
  <c r="F350" i="50"/>
  <c r="I350" i="50"/>
  <c r="L350" i="50"/>
  <c r="H350" i="50"/>
  <c r="E350" i="50"/>
  <c r="O350" i="50"/>
  <c r="J350" i="50"/>
  <c r="J22" i="1"/>
  <c r="B535" i="50" s="1"/>
  <c r="B489" i="50"/>
  <c r="H305" i="50"/>
  <c r="O305" i="50"/>
  <c r="I305" i="50"/>
  <c r="N305" i="50"/>
  <c r="L305" i="50"/>
  <c r="G305" i="50"/>
  <c r="J305" i="50"/>
  <c r="F305" i="50"/>
  <c r="K305" i="50"/>
  <c r="M305" i="50"/>
  <c r="D305" i="50"/>
  <c r="E305" i="50"/>
  <c r="I161" i="32"/>
  <c r="J161" i="32" s="1"/>
  <c r="I204" i="34"/>
  <c r="J204" i="34" s="1"/>
  <c r="J205" i="34" s="1"/>
  <c r="B341" i="50" s="1"/>
  <c r="I117" i="40"/>
  <c r="J117" i="40" s="1"/>
  <c r="I209" i="35"/>
  <c r="J209" i="35" s="1"/>
  <c r="I47" i="43"/>
  <c r="J47" i="43" s="1"/>
  <c r="J48" i="43" s="1"/>
  <c r="B387" i="50" s="1"/>
  <c r="I124" i="42"/>
  <c r="J124" i="42" s="1"/>
  <c r="J125" i="42" s="1"/>
  <c r="I104" i="39"/>
  <c r="J104" i="39" s="1"/>
  <c r="I27" i="40"/>
  <c r="J27" i="40" s="1"/>
  <c r="J35" i="40" s="1"/>
  <c r="B188" i="50" s="1"/>
  <c r="N246" i="50"/>
  <c r="O246" i="50"/>
  <c r="G246" i="50"/>
  <c r="I246" i="50"/>
  <c r="L246" i="50"/>
  <c r="M246" i="50"/>
  <c r="H246" i="50"/>
  <c r="J246" i="50"/>
  <c r="K246" i="50"/>
  <c r="D246" i="50"/>
  <c r="F246" i="50"/>
  <c r="E246" i="50"/>
  <c r="I59" i="35"/>
  <c r="J59" i="35" s="1"/>
  <c r="I68" i="39"/>
  <c r="J68" i="39" s="1"/>
  <c r="J69" i="39" s="1"/>
  <c r="B504" i="50" s="1"/>
  <c r="I171" i="34"/>
  <c r="J171" i="34" s="1"/>
  <c r="I87" i="44"/>
  <c r="J87" i="44" s="1"/>
  <c r="I210" i="35"/>
  <c r="J210" i="35" s="1"/>
  <c r="I16" i="1"/>
  <c r="J16" i="1" s="1"/>
  <c r="I39" i="33"/>
  <c r="J39" i="33" s="1"/>
  <c r="I172" i="36"/>
  <c r="J172" i="36" s="1"/>
  <c r="I188" i="36"/>
  <c r="J188" i="36" s="1"/>
  <c r="J189" i="36" s="1"/>
  <c r="B433" i="50" s="1"/>
  <c r="I156" i="32"/>
  <c r="J156" i="32" s="1"/>
  <c r="J157" i="32" s="1"/>
  <c r="B144" i="50" s="1"/>
  <c r="J47" i="40"/>
  <c r="B191" i="50" s="1"/>
  <c r="F470" i="50"/>
  <c r="M470" i="50"/>
  <c r="J470" i="50"/>
  <c r="D470" i="50"/>
  <c r="K470" i="50"/>
  <c r="I470" i="50"/>
  <c r="O470" i="50"/>
  <c r="G470" i="50"/>
  <c r="L470" i="50"/>
  <c r="N470" i="50"/>
  <c r="H470" i="50"/>
  <c r="E470" i="50"/>
  <c r="I27" i="33"/>
  <c r="J27" i="33" s="1"/>
  <c r="I153" i="41"/>
  <c r="J153" i="41" s="1"/>
  <c r="J62" i="44"/>
  <c r="B249" i="50" s="1"/>
  <c r="I148" i="41"/>
  <c r="J148" i="41" s="1"/>
  <c r="J149" i="41" s="1"/>
  <c r="B104" i="50" s="1"/>
  <c r="I52" i="32"/>
  <c r="J52" i="32" s="1"/>
  <c r="J25" i="40"/>
  <c r="B185" i="50" s="1"/>
  <c r="J26" i="34"/>
  <c r="B308" i="50" s="1"/>
  <c r="J19" i="42"/>
  <c r="B446" i="50" s="1"/>
  <c r="I160" i="35"/>
  <c r="J160" i="35" s="1"/>
  <c r="J171" i="35" s="1"/>
  <c r="B34" i="50" s="1"/>
  <c r="I65" i="44"/>
  <c r="J65" i="44" s="1"/>
  <c r="J66" i="44" s="1"/>
  <c r="B252" i="50" s="1"/>
  <c r="I133" i="36"/>
  <c r="J133" i="36" s="1"/>
  <c r="I87" i="38"/>
  <c r="J87" i="38" s="1"/>
  <c r="I122" i="38"/>
  <c r="J122" i="38" s="1"/>
  <c r="J123" i="38" s="1"/>
  <c r="B602" i="50" s="1"/>
  <c r="I170" i="36"/>
  <c r="J170" i="36" s="1"/>
  <c r="I180" i="35"/>
  <c r="J180" i="35" s="1"/>
  <c r="J185" i="35" s="1"/>
  <c r="B43" i="50" s="1"/>
  <c r="I128" i="36"/>
  <c r="J128" i="36" s="1"/>
  <c r="B363" i="50"/>
  <c r="B154" i="50"/>
  <c r="I243" i="34"/>
  <c r="J243" i="34" s="1"/>
  <c r="I211" i="35"/>
  <c r="J211" i="35" s="1"/>
  <c r="I106" i="39"/>
  <c r="J106" i="39" s="1"/>
  <c r="I118" i="38"/>
  <c r="J118" i="38" s="1"/>
  <c r="J119" i="38" s="1"/>
  <c r="B599" i="50" s="1"/>
  <c r="I107" i="41"/>
  <c r="J107" i="41" s="1"/>
  <c r="J110" i="41" s="1"/>
  <c r="B86" i="50" s="1"/>
  <c r="I84" i="37"/>
  <c r="J84" i="37" s="1"/>
  <c r="J89" i="37" s="1"/>
  <c r="B295" i="50" s="1"/>
  <c r="I159" i="32"/>
  <c r="J159" i="32" s="1"/>
  <c r="J162" i="32" s="1"/>
  <c r="I191" i="36"/>
  <c r="J191" i="36" s="1"/>
  <c r="I110" i="40"/>
  <c r="J110" i="40" s="1"/>
  <c r="J111" i="40" s="1"/>
  <c r="B203" i="50" s="1"/>
  <c r="I237" i="34"/>
  <c r="J237" i="34" s="1"/>
  <c r="B179" i="50"/>
  <c r="I130" i="36"/>
  <c r="J130" i="36" s="1"/>
  <c r="I145" i="36"/>
  <c r="J145" i="36" s="1"/>
  <c r="J146" i="36" s="1"/>
  <c r="B412" i="50" s="1"/>
  <c r="I135" i="36"/>
  <c r="J135" i="36" s="1"/>
  <c r="I95" i="39"/>
  <c r="J95" i="39" s="1"/>
  <c r="J102" i="39" s="1"/>
  <c r="B522" i="50" s="1"/>
  <c r="I240" i="34"/>
  <c r="J240" i="34" s="1"/>
  <c r="I141" i="32"/>
  <c r="J141" i="32" s="1"/>
  <c r="I45" i="34"/>
  <c r="J45" i="34" s="1"/>
  <c r="I128" i="38"/>
  <c r="J128" i="38" s="1"/>
  <c r="J132" i="38" s="1"/>
  <c r="B608" i="50" s="1"/>
  <c r="I88" i="44"/>
  <c r="J88" i="44" s="1"/>
  <c r="N95" i="50"/>
  <c r="G95" i="50"/>
  <c r="O95" i="50"/>
  <c r="K95" i="50"/>
  <c r="E95" i="50"/>
  <c r="L95" i="50"/>
  <c r="D95" i="50"/>
  <c r="F95" i="50"/>
  <c r="H95" i="50"/>
  <c r="J95" i="50"/>
  <c r="I95" i="50"/>
  <c r="M95" i="50"/>
  <c r="L31" i="50"/>
  <c r="J31" i="50"/>
  <c r="K31" i="50"/>
  <c r="D31" i="50"/>
  <c r="O31" i="50"/>
  <c r="H31" i="50"/>
  <c r="M31" i="50"/>
  <c r="F31" i="50"/>
  <c r="N31" i="50"/>
  <c r="I31" i="50"/>
  <c r="G31" i="50"/>
  <c r="E31" i="50"/>
  <c r="I107" i="39"/>
  <c r="J107" i="39" s="1"/>
  <c r="J40" i="33"/>
  <c r="B166" i="50" s="1"/>
  <c r="I232" i="34"/>
  <c r="J232" i="34" s="1"/>
  <c r="I92" i="34"/>
  <c r="J92" i="34" s="1"/>
  <c r="I86" i="34"/>
  <c r="J86" i="34" s="1"/>
  <c r="I238" i="34"/>
  <c r="J238" i="34" s="1"/>
  <c r="J19" i="32"/>
  <c r="B117" i="50" s="1"/>
  <c r="J20" i="41"/>
  <c r="B65" i="50" s="1"/>
  <c r="I126" i="50"/>
  <c r="E126" i="50"/>
  <c r="H126" i="50"/>
  <c r="G126" i="50"/>
  <c r="M126" i="50"/>
  <c r="N126" i="50"/>
  <c r="L126" i="50"/>
  <c r="J126" i="50"/>
  <c r="D126" i="50"/>
  <c r="O126" i="50"/>
  <c r="F126" i="50"/>
  <c r="K126" i="50"/>
  <c r="I68" i="42"/>
  <c r="J68" i="42" s="1"/>
  <c r="I135" i="41"/>
  <c r="J135" i="41" s="1"/>
  <c r="J138" i="41" s="1"/>
  <c r="B101" i="50" s="1"/>
  <c r="M516" i="50"/>
  <c r="J516" i="50"/>
  <c r="F516" i="50"/>
  <c r="D516" i="50"/>
  <c r="K516" i="50"/>
  <c r="I516" i="50"/>
  <c r="J37" i="43"/>
  <c r="B381" i="50" s="1"/>
  <c r="I100" i="41"/>
  <c r="J100" i="41" s="1"/>
  <c r="J101" i="41" s="1"/>
  <c r="B80" i="50" s="1"/>
  <c r="L443" i="50"/>
  <c r="K443" i="50"/>
  <c r="N443" i="50"/>
  <c r="D394" i="50"/>
  <c r="E394" i="50"/>
  <c r="G394" i="50"/>
  <c r="F394" i="50"/>
  <c r="H394" i="50"/>
  <c r="O394" i="50"/>
  <c r="L394" i="50"/>
  <c r="K394" i="50"/>
  <c r="I394" i="50"/>
  <c r="J394" i="50"/>
  <c r="M394" i="50"/>
  <c r="N394" i="50"/>
  <c r="O62" i="50"/>
  <c r="D62" i="50"/>
  <c r="I62" i="50"/>
  <c r="E62" i="50"/>
  <c r="M62" i="50"/>
  <c r="H62" i="50"/>
  <c r="N62" i="50"/>
  <c r="J62" i="50"/>
  <c r="K62" i="50"/>
  <c r="G62" i="50"/>
  <c r="L62" i="50"/>
  <c r="F62" i="50"/>
  <c r="G237" i="50"/>
  <c r="L237" i="50"/>
  <c r="F237" i="50"/>
  <c r="E237" i="50"/>
  <c r="M237" i="50"/>
  <c r="J237" i="50"/>
  <c r="D237" i="50"/>
  <c r="K237" i="50"/>
  <c r="H237" i="50"/>
  <c r="N237" i="50"/>
  <c r="O237" i="50"/>
  <c r="I237" i="50"/>
  <c r="I193" i="36"/>
  <c r="J193" i="36" s="1"/>
  <c r="I135" i="38"/>
  <c r="J135" i="38" s="1"/>
  <c r="I124" i="36"/>
  <c r="J124" i="36" s="1"/>
  <c r="J138" i="36" s="1"/>
  <c r="B406" i="50" s="1"/>
  <c r="J158" i="40"/>
  <c r="B227" i="50" s="1"/>
  <c r="I90" i="42"/>
  <c r="J90" i="42" s="1"/>
  <c r="J92" i="42" s="1"/>
  <c r="B464" i="50" s="1"/>
  <c r="I91" i="44"/>
  <c r="J91" i="44" s="1"/>
  <c r="J92" i="44" s="1"/>
  <c r="B267" i="50" s="1"/>
  <c r="I134" i="38"/>
  <c r="J134" i="38" s="1"/>
  <c r="I152" i="41"/>
  <c r="J152" i="41" s="1"/>
  <c r="J154" i="41" s="1"/>
  <c r="I25" i="37"/>
  <c r="J25" i="37" s="1"/>
  <c r="I174" i="34"/>
  <c r="J174" i="34" s="1"/>
  <c r="I83" i="42"/>
  <c r="J83" i="42" s="1"/>
  <c r="J84" i="42" s="1"/>
  <c r="B458" i="50" s="1"/>
  <c r="I42" i="34"/>
  <c r="J42" i="34" s="1"/>
  <c r="I75" i="37"/>
  <c r="J75" i="37" s="1"/>
  <c r="J76" i="37" s="1"/>
  <c r="B289" i="50" s="1"/>
  <c r="I192" i="36"/>
  <c r="J192" i="36" s="1"/>
  <c r="I215" i="34"/>
  <c r="J215" i="34" s="1"/>
  <c r="J217" i="34" s="1"/>
  <c r="B347" i="50" s="1"/>
  <c r="I23" i="37"/>
  <c r="J23" i="37" s="1"/>
  <c r="I192" i="35"/>
  <c r="J192" i="35" s="1"/>
  <c r="J194" i="35" s="1"/>
  <c r="B49" i="50" s="1"/>
  <c r="I21" i="38"/>
  <c r="J21" i="38" s="1"/>
  <c r="I231" i="34"/>
  <c r="J231" i="34" s="1"/>
  <c r="I206" i="35"/>
  <c r="J206" i="35" s="1"/>
  <c r="J207" i="35" s="1"/>
  <c r="B52" i="50" s="1"/>
  <c r="I578" i="50" l="1"/>
  <c r="D578" i="50"/>
  <c r="M578" i="50"/>
  <c r="O578" i="50"/>
  <c r="J578" i="50"/>
  <c r="L578" i="50"/>
  <c r="K578" i="50"/>
  <c r="E578" i="50"/>
  <c r="P578" i="50" s="1"/>
  <c r="E516" i="50"/>
  <c r="G516" i="50"/>
  <c r="N516" i="50"/>
  <c r="H516" i="50"/>
  <c r="P516" i="50" s="1"/>
  <c r="O516" i="50"/>
  <c r="F443" i="50"/>
  <c r="O443" i="50"/>
  <c r="H443" i="50"/>
  <c r="D443" i="50"/>
  <c r="P443" i="50" s="1"/>
  <c r="I443" i="50"/>
  <c r="J443" i="50"/>
  <c r="E443" i="50"/>
  <c r="G443" i="50"/>
  <c r="J119" i="40"/>
  <c r="B209" i="50" s="1"/>
  <c r="E372" i="50"/>
  <c r="I372" i="50"/>
  <c r="J372" i="50"/>
  <c r="H372" i="50"/>
  <c r="L372" i="50"/>
  <c r="G372" i="50"/>
  <c r="D372" i="50"/>
  <c r="P372" i="50" s="1"/>
  <c r="M372" i="50"/>
  <c r="N372" i="50"/>
  <c r="K372" i="50"/>
  <c r="O372" i="50"/>
  <c r="F372" i="50"/>
  <c r="P126" i="50"/>
  <c r="J233" i="34"/>
  <c r="B353" i="50" s="1"/>
  <c r="G353" i="50" s="1"/>
  <c r="J137" i="38"/>
  <c r="G335" i="31"/>
  <c r="G330" i="31"/>
  <c r="G332" i="31"/>
  <c r="G331" i="31"/>
  <c r="G333" i="31"/>
  <c r="G334" i="31"/>
  <c r="R334" i="31" s="1"/>
  <c r="G336" i="31"/>
  <c r="G337" i="31"/>
  <c r="G338" i="31"/>
  <c r="D329" i="31"/>
  <c r="K289" i="50"/>
  <c r="I289" i="50"/>
  <c r="G289" i="50"/>
  <c r="O289" i="50"/>
  <c r="E289" i="50"/>
  <c r="J289" i="50"/>
  <c r="L289" i="50"/>
  <c r="N289" i="50"/>
  <c r="D289" i="50"/>
  <c r="M289" i="50"/>
  <c r="H289" i="50"/>
  <c r="F289" i="50"/>
  <c r="O104" i="50"/>
  <c r="D104" i="50"/>
  <c r="M104" i="50"/>
  <c r="K104" i="50"/>
  <c r="L104" i="50"/>
  <c r="F104" i="50"/>
  <c r="N104" i="50"/>
  <c r="G104" i="50"/>
  <c r="I104" i="50"/>
  <c r="E104" i="50"/>
  <c r="H104" i="50"/>
  <c r="J104" i="50"/>
  <c r="N52" i="50"/>
  <c r="K52" i="50"/>
  <c r="O52" i="50"/>
  <c r="G52" i="50"/>
  <c r="L52" i="50"/>
  <c r="I52" i="50"/>
  <c r="J52" i="50"/>
  <c r="E52" i="50"/>
  <c r="H52" i="50"/>
  <c r="F52" i="50"/>
  <c r="M52" i="50"/>
  <c r="D52" i="50"/>
  <c r="B107" i="50"/>
  <c r="M203" i="50"/>
  <c r="K203" i="50"/>
  <c r="E203" i="50"/>
  <c r="G203" i="50"/>
  <c r="F203" i="50"/>
  <c r="N203" i="50"/>
  <c r="I203" i="50"/>
  <c r="J203" i="50"/>
  <c r="D203" i="50"/>
  <c r="O203" i="50"/>
  <c r="L203" i="50"/>
  <c r="H203" i="50"/>
  <c r="L504" i="50"/>
  <c r="E504" i="50"/>
  <c r="D504" i="50"/>
  <c r="F504" i="50"/>
  <c r="M504" i="50"/>
  <c r="K504" i="50"/>
  <c r="N504" i="50"/>
  <c r="G504" i="50"/>
  <c r="H504" i="50"/>
  <c r="I504" i="50"/>
  <c r="O504" i="50"/>
  <c r="J504" i="50"/>
  <c r="O409" i="50"/>
  <c r="I409" i="50"/>
  <c r="H409" i="50"/>
  <c r="F409" i="50"/>
  <c r="D409" i="50"/>
  <c r="G409" i="50"/>
  <c r="L409" i="50"/>
  <c r="M409" i="50"/>
  <c r="E409" i="50"/>
  <c r="K409" i="50"/>
  <c r="N409" i="50"/>
  <c r="J409" i="50"/>
  <c r="K49" i="50"/>
  <c r="I49" i="50"/>
  <c r="L49" i="50"/>
  <c r="M49" i="50"/>
  <c r="H49" i="50"/>
  <c r="N49" i="50"/>
  <c r="J49" i="50"/>
  <c r="E49" i="50"/>
  <c r="G49" i="50"/>
  <c r="F49" i="50"/>
  <c r="O49" i="50"/>
  <c r="D49" i="50"/>
  <c r="M347" i="50"/>
  <c r="J347" i="50"/>
  <c r="O347" i="50"/>
  <c r="L347" i="50"/>
  <c r="I347" i="50"/>
  <c r="E347" i="50"/>
  <c r="H347" i="50"/>
  <c r="N347" i="50"/>
  <c r="D347" i="50"/>
  <c r="K347" i="50"/>
  <c r="G347" i="50"/>
  <c r="F347" i="50"/>
  <c r="N406" i="50"/>
  <c r="D406" i="50"/>
  <c r="E406" i="50"/>
  <c r="K406" i="50"/>
  <c r="G406" i="50"/>
  <c r="H406" i="50"/>
  <c r="O406" i="50"/>
  <c r="I406" i="50"/>
  <c r="F406" i="50"/>
  <c r="M406" i="50"/>
  <c r="J406" i="50"/>
  <c r="L406" i="50"/>
  <c r="P237" i="50"/>
  <c r="I492" i="50"/>
  <c r="L492" i="50"/>
  <c r="O492" i="50"/>
  <c r="E492" i="50"/>
  <c r="H492" i="50"/>
  <c r="D492" i="50"/>
  <c r="N492" i="50"/>
  <c r="M492" i="50"/>
  <c r="K492" i="50"/>
  <c r="G492" i="50"/>
  <c r="J492" i="50"/>
  <c r="F492" i="50"/>
  <c r="N86" i="50"/>
  <c r="H86" i="50"/>
  <c r="E86" i="50"/>
  <c r="M86" i="50"/>
  <c r="L86" i="50"/>
  <c r="O86" i="50"/>
  <c r="D86" i="50"/>
  <c r="J86" i="50"/>
  <c r="K86" i="50"/>
  <c r="I86" i="50"/>
  <c r="G86" i="50"/>
  <c r="F86" i="50"/>
  <c r="M363" i="50"/>
  <c r="N363" i="50"/>
  <c r="F363" i="50"/>
  <c r="E363" i="50"/>
  <c r="O363" i="50"/>
  <c r="G363" i="50"/>
  <c r="L363" i="50"/>
  <c r="B390" i="50"/>
  <c r="C363" i="50" s="1"/>
  <c r="I363" i="50"/>
  <c r="K363" i="50"/>
  <c r="J363" i="50"/>
  <c r="H363" i="50"/>
  <c r="D363" i="50"/>
  <c r="N34" i="50"/>
  <c r="L34" i="50"/>
  <c r="O34" i="50"/>
  <c r="G34" i="50"/>
  <c r="D34" i="50"/>
  <c r="K34" i="50"/>
  <c r="F34" i="50"/>
  <c r="J34" i="50"/>
  <c r="H34" i="50"/>
  <c r="E34" i="50"/>
  <c r="M34" i="50"/>
  <c r="I34" i="50"/>
  <c r="J108" i="39"/>
  <c r="B525" i="50" s="1"/>
  <c r="D227" i="50"/>
  <c r="O227" i="50"/>
  <c r="I227" i="50"/>
  <c r="F227" i="50"/>
  <c r="N227" i="50"/>
  <c r="E227" i="50"/>
  <c r="H227" i="50"/>
  <c r="M227" i="50"/>
  <c r="J227" i="50"/>
  <c r="G227" i="50"/>
  <c r="K227" i="50"/>
  <c r="L227" i="50"/>
  <c r="L80" i="50"/>
  <c r="J80" i="50"/>
  <c r="F80" i="50"/>
  <c r="M80" i="50"/>
  <c r="H80" i="50"/>
  <c r="N80" i="50"/>
  <c r="D80" i="50"/>
  <c r="I80" i="50"/>
  <c r="E80" i="50"/>
  <c r="O80" i="50"/>
  <c r="K80" i="50"/>
  <c r="G80" i="50"/>
  <c r="M117" i="50"/>
  <c r="J117" i="50"/>
  <c r="N117" i="50"/>
  <c r="L117" i="50"/>
  <c r="D117" i="50"/>
  <c r="G117" i="50"/>
  <c r="F117" i="50"/>
  <c r="E117" i="50"/>
  <c r="H117" i="50"/>
  <c r="K117" i="50"/>
  <c r="O117" i="50"/>
  <c r="I117" i="50"/>
  <c r="P95" i="50"/>
  <c r="G608" i="50"/>
  <c r="O608" i="50"/>
  <c r="K608" i="50"/>
  <c r="H608" i="50"/>
  <c r="L608" i="50"/>
  <c r="N608" i="50"/>
  <c r="D608" i="50"/>
  <c r="J608" i="50"/>
  <c r="I608" i="50"/>
  <c r="F608" i="50"/>
  <c r="E608" i="50"/>
  <c r="M608" i="50"/>
  <c r="G522" i="50"/>
  <c r="K522" i="50"/>
  <c r="D522" i="50"/>
  <c r="F522" i="50"/>
  <c r="O522" i="50"/>
  <c r="L522" i="50"/>
  <c r="M522" i="50"/>
  <c r="E522" i="50"/>
  <c r="N522" i="50"/>
  <c r="H522" i="50"/>
  <c r="I522" i="50"/>
  <c r="J522" i="50"/>
  <c r="J195" i="36"/>
  <c r="E599" i="50"/>
  <c r="N599" i="50"/>
  <c r="O599" i="50"/>
  <c r="G599" i="50"/>
  <c r="F599" i="50"/>
  <c r="J599" i="50"/>
  <c r="L599" i="50"/>
  <c r="I599" i="50"/>
  <c r="D599" i="50"/>
  <c r="H599" i="50"/>
  <c r="K599" i="50"/>
  <c r="M599" i="50"/>
  <c r="G446" i="50"/>
  <c r="E446" i="50"/>
  <c r="M446" i="50"/>
  <c r="K446" i="50"/>
  <c r="J446" i="50"/>
  <c r="H446" i="50"/>
  <c r="O446" i="50"/>
  <c r="D446" i="50"/>
  <c r="I446" i="50"/>
  <c r="N446" i="50"/>
  <c r="F446" i="50"/>
  <c r="L446" i="50"/>
  <c r="N249" i="50"/>
  <c r="J249" i="50"/>
  <c r="L249" i="50"/>
  <c r="O249" i="50"/>
  <c r="I249" i="50"/>
  <c r="D249" i="50"/>
  <c r="K249" i="50"/>
  <c r="E249" i="50"/>
  <c r="G249" i="50"/>
  <c r="F249" i="50"/>
  <c r="H249" i="50"/>
  <c r="M249" i="50"/>
  <c r="P470" i="50"/>
  <c r="L433" i="50"/>
  <c r="O433" i="50"/>
  <c r="E433" i="50"/>
  <c r="J433" i="50"/>
  <c r="K433" i="50"/>
  <c r="M433" i="50"/>
  <c r="I433" i="50"/>
  <c r="D433" i="50"/>
  <c r="H433" i="50"/>
  <c r="G433" i="50"/>
  <c r="F433" i="50"/>
  <c r="N433" i="50"/>
  <c r="P246" i="50"/>
  <c r="B482" i="50"/>
  <c r="N341" i="50"/>
  <c r="I341" i="50"/>
  <c r="D341" i="50"/>
  <c r="F341" i="50"/>
  <c r="G341" i="50"/>
  <c r="H341" i="50"/>
  <c r="E341" i="50"/>
  <c r="L341" i="50"/>
  <c r="J341" i="50"/>
  <c r="O341" i="50"/>
  <c r="M341" i="50"/>
  <c r="K341" i="50"/>
  <c r="P305" i="50"/>
  <c r="O489" i="50"/>
  <c r="K489" i="50"/>
  <c r="L489" i="50"/>
  <c r="M489" i="50"/>
  <c r="N489" i="50"/>
  <c r="G489" i="50"/>
  <c r="E489" i="50"/>
  <c r="F489" i="50"/>
  <c r="J489" i="50"/>
  <c r="H489" i="50"/>
  <c r="I489" i="50"/>
  <c r="D489" i="50"/>
  <c r="P350" i="50"/>
  <c r="J143" i="32"/>
  <c r="B138" i="50" s="1"/>
  <c r="P556" i="50"/>
  <c r="K157" i="50"/>
  <c r="O157" i="50"/>
  <c r="G157" i="50"/>
  <c r="F157" i="50"/>
  <c r="D157" i="50"/>
  <c r="H157" i="50"/>
  <c r="E157" i="50"/>
  <c r="L157" i="50"/>
  <c r="J157" i="50"/>
  <c r="M157" i="50"/>
  <c r="N157" i="50"/>
  <c r="I157" i="50"/>
  <c r="P559" i="50"/>
  <c r="P335" i="50"/>
  <c r="G28" i="50"/>
  <c r="N28" i="50"/>
  <c r="I28" i="50"/>
  <c r="K28" i="50"/>
  <c r="J28" i="50"/>
  <c r="D28" i="50"/>
  <c r="E28" i="50"/>
  <c r="L28" i="50"/>
  <c r="F28" i="50"/>
  <c r="O28" i="50"/>
  <c r="H28" i="50"/>
  <c r="M28" i="50"/>
  <c r="J162" i="40"/>
  <c r="B230" i="50" s="1"/>
  <c r="F97" i="36"/>
  <c r="F107" i="32"/>
  <c r="F129" i="35"/>
  <c r="F41" i="39"/>
  <c r="F74" i="40"/>
  <c r="F75" i="38"/>
  <c r="L332" i="31"/>
  <c r="R332" i="31"/>
  <c r="F104" i="32"/>
  <c r="L331" i="31"/>
  <c r="R331" i="31"/>
  <c r="F130" i="34"/>
  <c r="F107" i="1"/>
  <c r="F124" i="35"/>
  <c r="F102" i="32"/>
  <c r="R330" i="31"/>
  <c r="L330" i="31"/>
  <c r="F85" i="38"/>
  <c r="F141" i="35"/>
  <c r="F110" i="36"/>
  <c r="F99" i="32"/>
  <c r="R335" i="31"/>
  <c r="L335" i="31"/>
  <c r="B611" i="50"/>
  <c r="M381" i="50"/>
  <c r="G381" i="50"/>
  <c r="E381" i="50"/>
  <c r="N381" i="50"/>
  <c r="L381" i="50"/>
  <c r="D381" i="50"/>
  <c r="J381" i="50"/>
  <c r="K381" i="50"/>
  <c r="H381" i="50"/>
  <c r="I381" i="50"/>
  <c r="O381" i="50"/>
  <c r="F381" i="50"/>
  <c r="N179" i="50"/>
  <c r="I179" i="50"/>
  <c r="J179" i="50"/>
  <c r="L179" i="50"/>
  <c r="O179" i="50"/>
  <c r="M179" i="50"/>
  <c r="H179" i="50"/>
  <c r="G179" i="50"/>
  <c r="F179" i="50"/>
  <c r="K179" i="50"/>
  <c r="D179" i="50"/>
  <c r="E179" i="50"/>
  <c r="F154" i="50"/>
  <c r="G154" i="50"/>
  <c r="E154" i="50"/>
  <c r="M154" i="50"/>
  <c r="I154" i="50"/>
  <c r="H154" i="50"/>
  <c r="J154" i="50"/>
  <c r="O154" i="50"/>
  <c r="D154" i="50"/>
  <c r="K154" i="50"/>
  <c r="N154" i="50"/>
  <c r="L154" i="50"/>
  <c r="H43" i="50"/>
  <c r="G43" i="50"/>
  <c r="M43" i="50"/>
  <c r="N43" i="50"/>
  <c r="I43" i="50"/>
  <c r="O43" i="50"/>
  <c r="D43" i="50"/>
  <c r="E43" i="50"/>
  <c r="K43" i="50"/>
  <c r="L43" i="50"/>
  <c r="F43" i="50"/>
  <c r="J43" i="50"/>
  <c r="E308" i="50"/>
  <c r="M308" i="50"/>
  <c r="I308" i="50"/>
  <c r="F308" i="50"/>
  <c r="J308" i="50"/>
  <c r="K308" i="50"/>
  <c r="N308" i="50"/>
  <c r="G308" i="50"/>
  <c r="D308" i="50"/>
  <c r="L308" i="50"/>
  <c r="O308" i="50"/>
  <c r="H308" i="50"/>
  <c r="J191" i="50"/>
  <c r="F191" i="50"/>
  <c r="E191" i="50"/>
  <c r="D191" i="50"/>
  <c r="M191" i="50"/>
  <c r="H191" i="50"/>
  <c r="I191" i="50"/>
  <c r="K191" i="50"/>
  <c r="G191" i="50"/>
  <c r="N191" i="50"/>
  <c r="O191" i="50"/>
  <c r="L191" i="50"/>
  <c r="J89" i="44"/>
  <c r="B264" i="50" s="1"/>
  <c r="J387" i="50"/>
  <c r="O387" i="50"/>
  <c r="F387" i="50"/>
  <c r="E387" i="50"/>
  <c r="G387" i="50"/>
  <c r="N387" i="50"/>
  <c r="M387" i="50"/>
  <c r="H387" i="50"/>
  <c r="D387" i="50"/>
  <c r="L387" i="50"/>
  <c r="I387" i="50"/>
  <c r="K387" i="50"/>
  <c r="D535" i="50"/>
  <c r="E535" i="50"/>
  <c r="H535" i="50"/>
  <c r="J535" i="50"/>
  <c r="I535" i="50"/>
  <c r="M535" i="50"/>
  <c r="N535" i="50"/>
  <c r="K535" i="50"/>
  <c r="O535" i="50"/>
  <c r="G535" i="50"/>
  <c r="L535" i="50"/>
  <c r="F535" i="50"/>
  <c r="L553" i="50"/>
  <c r="D553" i="50"/>
  <c r="K553" i="50"/>
  <c r="I553" i="50"/>
  <c r="F553" i="50"/>
  <c r="J553" i="50"/>
  <c r="H553" i="50"/>
  <c r="M553" i="50"/>
  <c r="E553" i="50"/>
  <c r="O553" i="50"/>
  <c r="N553" i="50"/>
  <c r="G553" i="50"/>
  <c r="H397" i="50"/>
  <c r="K397" i="50"/>
  <c r="E397" i="50"/>
  <c r="G397" i="50"/>
  <c r="L397" i="50"/>
  <c r="J397" i="50"/>
  <c r="I397" i="50"/>
  <c r="N397" i="50"/>
  <c r="F397" i="50"/>
  <c r="D397" i="50"/>
  <c r="O397" i="50"/>
  <c r="M397" i="50"/>
  <c r="L430" i="50"/>
  <c r="J430" i="50"/>
  <c r="O430" i="50"/>
  <c r="F430" i="50"/>
  <c r="G430" i="50"/>
  <c r="I430" i="50"/>
  <c r="D430" i="50"/>
  <c r="K430" i="50"/>
  <c r="N430" i="50"/>
  <c r="E430" i="50"/>
  <c r="M430" i="50"/>
  <c r="H430" i="50"/>
  <c r="F332" i="50"/>
  <c r="H332" i="50"/>
  <c r="G332" i="50"/>
  <c r="M332" i="50"/>
  <c r="E332" i="50"/>
  <c r="J332" i="50"/>
  <c r="O332" i="50"/>
  <c r="K332" i="50"/>
  <c r="L332" i="50"/>
  <c r="D332" i="50"/>
  <c r="I332" i="50"/>
  <c r="N332" i="50"/>
  <c r="M274" i="50"/>
  <c r="F274" i="50"/>
  <c r="K274" i="50"/>
  <c r="D274" i="50"/>
  <c r="O274" i="50"/>
  <c r="H274" i="50"/>
  <c r="J274" i="50"/>
  <c r="I274" i="50"/>
  <c r="L274" i="50"/>
  <c r="E274" i="50"/>
  <c r="G274" i="50"/>
  <c r="N274" i="50"/>
  <c r="P182" i="50"/>
  <c r="F224" i="50"/>
  <c r="I224" i="50"/>
  <c r="E224" i="50"/>
  <c r="N224" i="50"/>
  <c r="J224" i="50"/>
  <c r="M224" i="50"/>
  <c r="K224" i="50"/>
  <c r="D224" i="50"/>
  <c r="H224" i="50"/>
  <c r="O224" i="50"/>
  <c r="G224" i="50"/>
  <c r="L224" i="50"/>
  <c r="G292" i="50"/>
  <c r="E292" i="50"/>
  <c r="D292" i="50"/>
  <c r="K292" i="50"/>
  <c r="H292" i="50"/>
  <c r="L292" i="50"/>
  <c r="N292" i="50"/>
  <c r="I292" i="50"/>
  <c r="O292" i="50"/>
  <c r="F292" i="50"/>
  <c r="J292" i="50"/>
  <c r="M292" i="50"/>
  <c r="J93" i="31"/>
  <c r="G60" i="39"/>
  <c r="G90" i="36"/>
  <c r="J333" i="31"/>
  <c r="G159" i="34"/>
  <c r="G121" i="35"/>
  <c r="G97" i="32"/>
  <c r="J96" i="31"/>
  <c r="G107" i="1"/>
  <c r="G130" i="34"/>
  <c r="G124" i="35"/>
  <c r="G102" i="32"/>
  <c r="J330" i="31"/>
  <c r="J334" i="31"/>
  <c r="G111" i="36"/>
  <c r="G136" i="34"/>
  <c r="G108" i="36"/>
  <c r="G140" i="35"/>
  <c r="G142" i="35"/>
  <c r="G98" i="32"/>
  <c r="G53" i="39"/>
  <c r="F140" i="35"/>
  <c r="I140" i="35" s="1"/>
  <c r="J140" i="35" s="1"/>
  <c r="F142" i="35"/>
  <c r="I142" i="35" s="1"/>
  <c r="J142" i="35" s="1"/>
  <c r="F53" i="39"/>
  <c r="F98" i="32"/>
  <c r="F111" i="36"/>
  <c r="F108" i="36"/>
  <c r="I108" i="36" s="1"/>
  <c r="J108" i="36" s="1"/>
  <c r="F136" i="34"/>
  <c r="I136" i="34" s="1"/>
  <c r="J136" i="34" s="1"/>
  <c r="L334" i="31"/>
  <c r="O458" i="50"/>
  <c r="I458" i="50"/>
  <c r="D458" i="50"/>
  <c r="E458" i="50"/>
  <c r="G458" i="50"/>
  <c r="F458" i="50"/>
  <c r="K458" i="50"/>
  <c r="H458" i="50"/>
  <c r="N458" i="50"/>
  <c r="L458" i="50"/>
  <c r="M458" i="50"/>
  <c r="J458" i="50"/>
  <c r="P394" i="50"/>
  <c r="B147" i="50"/>
  <c r="K267" i="50"/>
  <c r="O267" i="50"/>
  <c r="D267" i="50"/>
  <c r="G267" i="50"/>
  <c r="J267" i="50"/>
  <c r="H267" i="50"/>
  <c r="N267" i="50"/>
  <c r="I267" i="50"/>
  <c r="F267" i="50"/>
  <c r="M267" i="50"/>
  <c r="L267" i="50"/>
  <c r="E267" i="50"/>
  <c r="P62" i="50"/>
  <c r="D65" i="50"/>
  <c r="G65" i="50"/>
  <c r="I65" i="50"/>
  <c r="H65" i="50"/>
  <c r="N65" i="50"/>
  <c r="L65" i="50"/>
  <c r="E65" i="50"/>
  <c r="J65" i="50"/>
  <c r="F65" i="50"/>
  <c r="M65" i="50"/>
  <c r="O65" i="50"/>
  <c r="K65" i="50"/>
  <c r="P31" i="50"/>
  <c r="H412" i="50"/>
  <c r="N412" i="50"/>
  <c r="I412" i="50"/>
  <c r="F412" i="50"/>
  <c r="O412" i="50"/>
  <c r="K412" i="50"/>
  <c r="E412" i="50"/>
  <c r="M412" i="50"/>
  <c r="G412" i="50"/>
  <c r="J412" i="50"/>
  <c r="D412" i="50"/>
  <c r="L412" i="50"/>
  <c r="D295" i="50"/>
  <c r="H295" i="50"/>
  <c r="G295" i="50"/>
  <c r="M295" i="50"/>
  <c r="L295" i="50"/>
  <c r="K295" i="50"/>
  <c r="F295" i="50"/>
  <c r="J295" i="50"/>
  <c r="I295" i="50"/>
  <c r="N295" i="50"/>
  <c r="O295" i="50"/>
  <c r="E295" i="50"/>
  <c r="J51" i="43"/>
  <c r="J174" i="36"/>
  <c r="B427" i="50" s="1"/>
  <c r="I252" i="50"/>
  <c r="D252" i="50"/>
  <c r="F252" i="50"/>
  <c r="G252" i="50"/>
  <c r="E252" i="50"/>
  <c r="H252" i="50"/>
  <c r="N252" i="50"/>
  <c r="K252" i="50"/>
  <c r="L252" i="50"/>
  <c r="O252" i="50"/>
  <c r="M252" i="50"/>
  <c r="J252" i="50"/>
  <c r="K185" i="50"/>
  <c r="D185" i="50"/>
  <c r="L185" i="50"/>
  <c r="O185" i="50"/>
  <c r="J185" i="50"/>
  <c r="N185" i="50"/>
  <c r="H185" i="50"/>
  <c r="M185" i="50"/>
  <c r="E185" i="50"/>
  <c r="G185" i="50"/>
  <c r="I185" i="50"/>
  <c r="F185" i="50"/>
  <c r="J175" i="34"/>
  <c r="B326" i="50" s="1"/>
  <c r="F188" i="50"/>
  <c r="E188" i="50"/>
  <c r="N188" i="50"/>
  <c r="G188" i="50"/>
  <c r="H188" i="50"/>
  <c r="L188" i="50"/>
  <c r="D188" i="50"/>
  <c r="I188" i="50"/>
  <c r="J188" i="50"/>
  <c r="O188" i="50"/>
  <c r="K188" i="50"/>
  <c r="M188" i="50"/>
  <c r="J212" i="35"/>
  <c r="M476" i="50"/>
  <c r="G476" i="50"/>
  <c r="I476" i="50"/>
  <c r="L476" i="50"/>
  <c r="F476" i="50"/>
  <c r="H476" i="50"/>
  <c r="N476" i="50"/>
  <c r="K476" i="50"/>
  <c r="E476" i="50"/>
  <c r="J476" i="50"/>
  <c r="D476" i="50"/>
  <c r="O476" i="50"/>
  <c r="F467" i="50"/>
  <c r="J467" i="50"/>
  <c r="I467" i="50"/>
  <c r="M467" i="50"/>
  <c r="D467" i="50"/>
  <c r="E467" i="50"/>
  <c r="O467" i="50"/>
  <c r="K467" i="50"/>
  <c r="L467" i="50"/>
  <c r="N467" i="50"/>
  <c r="G467" i="50"/>
  <c r="H467" i="50"/>
  <c r="P378" i="50"/>
  <c r="J122" i="42"/>
  <c r="B479" i="50" s="1"/>
  <c r="L311" i="50"/>
  <c r="F311" i="50"/>
  <c r="K311" i="50"/>
  <c r="G311" i="50"/>
  <c r="O311" i="50"/>
  <c r="D311" i="50"/>
  <c r="N311" i="50"/>
  <c r="M311" i="50"/>
  <c r="I311" i="50"/>
  <c r="J311" i="50"/>
  <c r="E311" i="50"/>
  <c r="H311" i="50"/>
  <c r="J245" i="34"/>
  <c r="P114" i="50"/>
  <c r="K261" i="50"/>
  <c r="L261" i="50"/>
  <c r="G261" i="50"/>
  <c r="H261" i="50"/>
  <c r="I261" i="50"/>
  <c r="O261" i="50"/>
  <c r="M261" i="50"/>
  <c r="D261" i="50"/>
  <c r="N261" i="50"/>
  <c r="E261" i="50"/>
  <c r="J261" i="50"/>
  <c r="F261" i="50"/>
  <c r="H19" i="50"/>
  <c r="E19" i="50"/>
  <c r="N19" i="50"/>
  <c r="K19" i="50"/>
  <c r="F19" i="50"/>
  <c r="G19" i="50"/>
  <c r="O19" i="50"/>
  <c r="D19" i="50"/>
  <c r="L19" i="50"/>
  <c r="M19" i="50"/>
  <c r="J19" i="50"/>
  <c r="I19" i="50"/>
  <c r="P366" i="50"/>
  <c r="P68" i="50"/>
  <c r="G99" i="32"/>
  <c r="G85" i="38"/>
  <c r="G110" i="36"/>
  <c r="J335" i="31"/>
  <c r="G141" i="35"/>
  <c r="F72" i="38"/>
  <c r="F92" i="36"/>
  <c r="F122" i="34"/>
  <c r="F46" i="41"/>
  <c r="F39" i="39"/>
  <c r="L337" i="31"/>
  <c r="R337" i="31"/>
  <c r="F121" i="35"/>
  <c r="I121" i="35" s="1"/>
  <c r="J121" i="35" s="1"/>
  <c r="F159" i="34"/>
  <c r="F60" i="39"/>
  <c r="F97" i="32"/>
  <c r="I97" i="32" s="1"/>
  <c r="J97" i="32" s="1"/>
  <c r="F90" i="36"/>
  <c r="I90" i="36" s="1"/>
  <c r="J90" i="36" s="1"/>
  <c r="L333" i="31"/>
  <c r="R333" i="31"/>
  <c r="L338" i="31"/>
  <c r="R338" i="31"/>
  <c r="N353" i="50"/>
  <c r="L353" i="50"/>
  <c r="M353" i="50"/>
  <c r="I464" i="50"/>
  <c r="E464" i="50"/>
  <c r="D464" i="50"/>
  <c r="O464" i="50"/>
  <c r="M464" i="50"/>
  <c r="F464" i="50"/>
  <c r="K464" i="50"/>
  <c r="J464" i="50"/>
  <c r="G464" i="50"/>
  <c r="H464" i="50"/>
  <c r="N464" i="50"/>
  <c r="L464" i="50"/>
  <c r="M101" i="50"/>
  <c r="E101" i="50"/>
  <c r="I101" i="50"/>
  <c r="F101" i="50"/>
  <c r="G101" i="50"/>
  <c r="N101" i="50"/>
  <c r="L101" i="50"/>
  <c r="J101" i="50"/>
  <c r="O101" i="50"/>
  <c r="D101" i="50"/>
  <c r="H101" i="50"/>
  <c r="K101" i="50"/>
  <c r="M166" i="50"/>
  <c r="J166" i="50"/>
  <c r="I166" i="50"/>
  <c r="K166" i="50"/>
  <c r="H166" i="50"/>
  <c r="N166" i="50"/>
  <c r="G166" i="50"/>
  <c r="D166" i="50"/>
  <c r="F166" i="50"/>
  <c r="L166" i="50"/>
  <c r="E166" i="50"/>
  <c r="O166" i="50"/>
  <c r="J602" i="50"/>
  <c r="G602" i="50"/>
  <c r="O602" i="50"/>
  <c r="L602" i="50"/>
  <c r="I602" i="50"/>
  <c r="N602" i="50"/>
  <c r="E602" i="50"/>
  <c r="H602" i="50"/>
  <c r="D602" i="50"/>
  <c r="M602" i="50"/>
  <c r="K602" i="50"/>
  <c r="F602" i="50"/>
  <c r="D144" i="50"/>
  <c r="E144" i="50"/>
  <c r="O144" i="50"/>
  <c r="H144" i="50"/>
  <c r="N144" i="50"/>
  <c r="K144" i="50"/>
  <c r="J144" i="50"/>
  <c r="G144" i="50"/>
  <c r="F144" i="50"/>
  <c r="I144" i="50"/>
  <c r="L144" i="50"/>
  <c r="M144" i="50"/>
  <c r="L209" i="50"/>
  <c r="I209" i="50"/>
  <c r="O209" i="50"/>
  <c r="F209" i="50"/>
  <c r="M209" i="50"/>
  <c r="E209" i="50"/>
  <c r="K209" i="50"/>
  <c r="J209" i="50"/>
  <c r="N209" i="50"/>
  <c r="H209" i="50"/>
  <c r="D209" i="50"/>
  <c r="G209" i="50"/>
  <c r="H418" i="50"/>
  <c r="G418" i="50"/>
  <c r="E418" i="50"/>
  <c r="D418" i="50"/>
  <c r="L418" i="50"/>
  <c r="F418" i="50"/>
  <c r="K418" i="50"/>
  <c r="M418" i="50"/>
  <c r="N418" i="50"/>
  <c r="O418" i="50"/>
  <c r="J418" i="50"/>
  <c r="I418" i="50"/>
  <c r="D277" i="50"/>
  <c r="N277" i="50"/>
  <c r="M277" i="50"/>
  <c r="I277" i="50"/>
  <c r="L277" i="50"/>
  <c r="E277" i="50"/>
  <c r="H277" i="50"/>
  <c r="K277" i="50"/>
  <c r="G277" i="50"/>
  <c r="O277" i="50"/>
  <c r="F277" i="50"/>
  <c r="J277" i="50"/>
  <c r="D384" i="50"/>
  <c r="H384" i="50"/>
  <c r="L384" i="50"/>
  <c r="I384" i="50"/>
  <c r="E384" i="50"/>
  <c r="O384" i="50"/>
  <c r="M384" i="50"/>
  <c r="K384" i="50"/>
  <c r="J384" i="50"/>
  <c r="N384" i="50"/>
  <c r="G384" i="50"/>
  <c r="F384" i="50"/>
  <c r="C384" i="50"/>
  <c r="P386" i="50" s="1"/>
  <c r="K172" i="50"/>
  <c r="N172" i="50"/>
  <c r="E172" i="50"/>
  <c r="M172" i="50"/>
  <c r="L172" i="50"/>
  <c r="H172" i="50"/>
  <c r="I172" i="50"/>
  <c r="F172" i="50"/>
  <c r="G172" i="50"/>
  <c r="J172" i="50"/>
  <c r="O172" i="50"/>
  <c r="D172" i="50"/>
  <c r="L329" i="50"/>
  <c r="O329" i="50"/>
  <c r="K329" i="50"/>
  <c r="I329" i="50"/>
  <c r="E329" i="50"/>
  <c r="H329" i="50"/>
  <c r="J329" i="50"/>
  <c r="D329" i="50"/>
  <c r="N329" i="50"/>
  <c r="G329" i="50"/>
  <c r="F329" i="50"/>
  <c r="M329" i="50"/>
  <c r="K240" i="50"/>
  <c r="O240" i="50"/>
  <c r="L240" i="50"/>
  <c r="H240" i="50"/>
  <c r="I240" i="50"/>
  <c r="N240" i="50"/>
  <c r="D240" i="50"/>
  <c r="E240" i="50"/>
  <c r="F240" i="50"/>
  <c r="G240" i="50"/>
  <c r="M240" i="50"/>
  <c r="J240" i="50"/>
  <c r="F34" i="34"/>
  <c r="R336" i="31"/>
  <c r="L336" i="31"/>
  <c r="J94" i="31"/>
  <c r="G129" i="35"/>
  <c r="G107" i="32"/>
  <c r="G74" i="40"/>
  <c r="G75" i="38"/>
  <c r="J332" i="31"/>
  <c r="G41" i="39"/>
  <c r="G97" i="36"/>
  <c r="J336" i="31"/>
  <c r="G34" i="34"/>
  <c r="J95" i="31"/>
  <c r="J331" i="31"/>
  <c r="G104" i="32"/>
  <c r="G122" i="34"/>
  <c r="G92" i="36"/>
  <c r="J337" i="31"/>
  <c r="G46" i="41"/>
  <c r="G39" i="39"/>
  <c r="G72" i="38"/>
  <c r="H30" i="46"/>
  <c r="I60" i="39" l="1"/>
  <c r="J60" i="39" s="1"/>
  <c r="J353" i="50"/>
  <c r="E353" i="50"/>
  <c r="H353" i="50"/>
  <c r="K353" i="50"/>
  <c r="D353" i="50"/>
  <c r="O353" i="50"/>
  <c r="F353" i="50"/>
  <c r="I353" i="50"/>
  <c r="I159" i="34"/>
  <c r="J159" i="34" s="1"/>
  <c r="C381" i="50"/>
  <c r="P383" i="50" s="1"/>
  <c r="I98" i="32"/>
  <c r="J98" i="32" s="1"/>
  <c r="P602" i="50"/>
  <c r="P209" i="50"/>
  <c r="M390" i="50"/>
  <c r="M391" i="50" s="1"/>
  <c r="P397" i="50"/>
  <c r="E327" i="31"/>
  <c r="D328" i="31"/>
  <c r="E328" i="31"/>
  <c r="J328" i="31" s="1"/>
  <c r="D327" i="31"/>
  <c r="E329" i="31"/>
  <c r="J329" i="31" s="1"/>
  <c r="P277" i="50"/>
  <c r="P144" i="50"/>
  <c r="I92" i="36"/>
  <c r="J92" i="36" s="1"/>
  <c r="F479" i="50"/>
  <c r="H479" i="50"/>
  <c r="M479" i="50"/>
  <c r="E479" i="50"/>
  <c r="K479" i="50"/>
  <c r="I479" i="50"/>
  <c r="J479" i="50"/>
  <c r="D479" i="50"/>
  <c r="O479" i="50"/>
  <c r="G479" i="50"/>
  <c r="L479" i="50"/>
  <c r="N479" i="50"/>
  <c r="B55" i="50"/>
  <c r="P458" i="50"/>
  <c r="I53" i="39"/>
  <c r="J53" i="39" s="1"/>
  <c r="P332" i="50"/>
  <c r="P553" i="50"/>
  <c r="P43" i="50"/>
  <c r="P154" i="50"/>
  <c r="P179" i="50"/>
  <c r="I99" i="32"/>
  <c r="J99" i="32" s="1"/>
  <c r="I107" i="1"/>
  <c r="J107" i="1" s="1"/>
  <c r="J130" i="1" s="1"/>
  <c r="B550" i="50" s="1"/>
  <c r="I104" i="32"/>
  <c r="J104" i="32" s="1"/>
  <c r="I74" i="40"/>
  <c r="J74" i="40" s="1"/>
  <c r="J103" i="40" s="1"/>
  <c r="B197" i="50" s="1"/>
  <c r="I97" i="36"/>
  <c r="J97" i="36" s="1"/>
  <c r="P341" i="50"/>
  <c r="L482" i="50"/>
  <c r="E482" i="50"/>
  <c r="H482" i="50"/>
  <c r="N482" i="50"/>
  <c r="M482" i="50"/>
  <c r="D482" i="50"/>
  <c r="J482" i="50"/>
  <c r="K482" i="50"/>
  <c r="I482" i="50"/>
  <c r="G482" i="50"/>
  <c r="F482" i="50"/>
  <c r="O482" i="50"/>
  <c r="P608" i="50"/>
  <c r="P117" i="50"/>
  <c r="P34" i="50"/>
  <c r="J390" i="50"/>
  <c r="J391" i="50" s="1"/>
  <c r="L390" i="50"/>
  <c r="L391" i="50" s="1"/>
  <c r="F390" i="50"/>
  <c r="F391" i="50" s="1"/>
  <c r="P347" i="50"/>
  <c r="P203" i="50"/>
  <c r="P52" i="50"/>
  <c r="I39" i="39"/>
  <c r="J39" i="39" s="1"/>
  <c r="I72" i="38"/>
  <c r="J72" i="38" s="1"/>
  <c r="P476" i="50"/>
  <c r="O427" i="50"/>
  <c r="J427" i="50"/>
  <c r="I427" i="50"/>
  <c r="F427" i="50"/>
  <c r="H427" i="50"/>
  <c r="N427" i="50"/>
  <c r="M427" i="50"/>
  <c r="G427" i="50"/>
  <c r="D427" i="50"/>
  <c r="E427" i="50"/>
  <c r="K427" i="50"/>
  <c r="L427" i="50"/>
  <c r="P274" i="50"/>
  <c r="P430" i="50"/>
  <c r="P191" i="50"/>
  <c r="P308" i="50"/>
  <c r="D611" i="50"/>
  <c r="M611" i="50"/>
  <c r="G611" i="50"/>
  <c r="J611" i="50"/>
  <c r="K611" i="50"/>
  <c r="I611" i="50"/>
  <c r="H611" i="50"/>
  <c r="F611" i="50"/>
  <c r="O611" i="50"/>
  <c r="N611" i="50"/>
  <c r="E611" i="50"/>
  <c r="L611" i="50"/>
  <c r="I110" i="36"/>
  <c r="J110" i="36" s="1"/>
  <c r="I130" i="34"/>
  <c r="J130" i="34" s="1"/>
  <c r="I41" i="39"/>
  <c r="J41" i="39" s="1"/>
  <c r="G138" i="50"/>
  <c r="N138" i="50"/>
  <c r="M138" i="50"/>
  <c r="F138" i="50"/>
  <c r="L138" i="50"/>
  <c r="D138" i="50"/>
  <c r="H138" i="50"/>
  <c r="J138" i="50"/>
  <c r="O138" i="50"/>
  <c r="E138" i="50"/>
  <c r="I138" i="50"/>
  <c r="K138" i="50"/>
  <c r="P489" i="50"/>
  <c r="P365" i="50"/>
  <c r="K390" i="50"/>
  <c r="K391" i="50" s="1"/>
  <c r="G390" i="50"/>
  <c r="G391" i="50" s="1"/>
  <c r="N390" i="50"/>
  <c r="N391" i="50" s="1"/>
  <c r="P86" i="50"/>
  <c r="P492" i="50"/>
  <c r="P504" i="50"/>
  <c r="P289" i="50"/>
  <c r="P240" i="50"/>
  <c r="P329" i="50"/>
  <c r="P418" i="50"/>
  <c r="P101" i="50"/>
  <c r="P464" i="50"/>
  <c r="I46" i="41"/>
  <c r="J46" i="41" s="1"/>
  <c r="J94" i="41" s="1"/>
  <c r="P19" i="50"/>
  <c r="B356" i="50"/>
  <c r="P311" i="50"/>
  <c r="P467" i="50"/>
  <c r="F326" i="50"/>
  <c r="N326" i="50"/>
  <c r="G326" i="50"/>
  <c r="I326" i="50"/>
  <c r="M326" i="50"/>
  <c r="H326" i="50"/>
  <c r="K326" i="50"/>
  <c r="D326" i="50"/>
  <c r="E326" i="50"/>
  <c r="L326" i="50"/>
  <c r="J326" i="50"/>
  <c r="O326" i="50"/>
  <c r="P185" i="50"/>
  <c r="P412" i="50"/>
  <c r="P65" i="50"/>
  <c r="I111" i="36"/>
  <c r="J111" i="36" s="1"/>
  <c r="J117" i="36" s="1"/>
  <c r="P292" i="50"/>
  <c r="P224" i="50"/>
  <c r="P535" i="50"/>
  <c r="P387" i="50"/>
  <c r="P381" i="50"/>
  <c r="I141" i="35"/>
  <c r="J141" i="35" s="1"/>
  <c r="I102" i="32"/>
  <c r="J102" i="32" s="1"/>
  <c r="I129" i="35"/>
  <c r="J129" i="35" s="1"/>
  <c r="P446" i="50"/>
  <c r="P599" i="50"/>
  <c r="P227" i="50"/>
  <c r="D390" i="50"/>
  <c r="P363" i="50"/>
  <c r="I390" i="50"/>
  <c r="I391" i="50" s="1"/>
  <c r="O390" i="50"/>
  <c r="O391" i="50" s="1"/>
  <c r="P406" i="50"/>
  <c r="P49" i="50"/>
  <c r="P409" i="50"/>
  <c r="F107" i="50"/>
  <c r="M107" i="50"/>
  <c r="L107" i="50"/>
  <c r="G107" i="50"/>
  <c r="J107" i="50"/>
  <c r="N107" i="50"/>
  <c r="H107" i="50"/>
  <c r="O107" i="50"/>
  <c r="D107" i="50"/>
  <c r="E107" i="50"/>
  <c r="K107" i="50"/>
  <c r="I107" i="50"/>
  <c r="I34" i="34"/>
  <c r="J34" i="34" s="1"/>
  <c r="J43" i="34" s="1"/>
  <c r="B314" i="50" s="1"/>
  <c r="P172" i="50"/>
  <c r="P384" i="50"/>
  <c r="P166" i="50"/>
  <c r="I122" i="34"/>
  <c r="J122" i="34" s="1"/>
  <c r="P261" i="50"/>
  <c r="P188" i="50"/>
  <c r="P252" i="50"/>
  <c r="P295" i="50"/>
  <c r="P267" i="50"/>
  <c r="D147" i="50"/>
  <c r="H147" i="50"/>
  <c r="M147" i="50"/>
  <c r="F147" i="50"/>
  <c r="N147" i="50"/>
  <c r="L147" i="50"/>
  <c r="O147" i="50"/>
  <c r="I147" i="50"/>
  <c r="E147" i="50"/>
  <c r="J147" i="50"/>
  <c r="G147" i="50"/>
  <c r="K147" i="50"/>
  <c r="H264" i="50"/>
  <c r="I264" i="50"/>
  <c r="J264" i="50"/>
  <c r="M264" i="50"/>
  <c r="N264" i="50"/>
  <c r="L264" i="50"/>
  <c r="G264" i="50"/>
  <c r="K264" i="50"/>
  <c r="F264" i="50"/>
  <c r="D264" i="50"/>
  <c r="E264" i="50"/>
  <c r="O264" i="50"/>
  <c r="I85" i="38"/>
  <c r="J85" i="38" s="1"/>
  <c r="I124" i="35"/>
  <c r="J124" i="35" s="1"/>
  <c r="J147" i="35" s="1"/>
  <c r="I75" i="38"/>
  <c r="J75" i="38" s="1"/>
  <c r="I107" i="32"/>
  <c r="J107" i="32" s="1"/>
  <c r="N230" i="50"/>
  <c r="I230" i="50"/>
  <c r="E230" i="50"/>
  <c r="F230" i="50"/>
  <c r="M230" i="50"/>
  <c r="K230" i="50"/>
  <c r="H230" i="50"/>
  <c r="O230" i="50"/>
  <c r="J230" i="50"/>
  <c r="L230" i="50"/>
  <c r="G230" i="50"/>
  <c r="D230" i="50"/>
  <c r="P28" i="50"/>
  <c r="P157" i="50"/>
  <c r="P433" i="50"/>
  <c r="P249" i="50"/>
  <c r="B436" i="50"/>
  <c r="P522" i="50"/>
  <c r="P80" i="50"/>
  <c r="D525" i="50"/>
  <c r="K525" i="50"/>
  <c r="F525" i="50"/>
  <c r="I525" i="50"/>
  <c r="N525" i="50"/>
  <c r="H525" i="50"/>
  <c r="E525" i="50"/>
  <c r="J525" i="50"/>
  <c r="M525" i="50"/>
  <c r="O525" i="50"/>
  <c r="L525" i="50"/>
  <c r="G525" i="50"/>
  <c r="H390" i="50"/>
  <c r="H391" i="50" s="1"/>
  <c r="C387" i="50"/>
  <c r="P389" i="50" s="1"/>
  <c r="C369" i="50"/>
  <c r="P371" i="50" s="1"/>
  <c r="C375" i="50"/>
  <c r="P377" i="50" s="1"/>
  <c r="C372" i="50"/>
  <c r="P374" i="50" s="1"/>
  <c r="C378" i="50"/>
  <c r="P380" i="50" s="1"/>
  <c r="C366" i="50"/>
  <c r="P368" i="50" s="1"/>
  <c r="E390" i="50"/>
  <c r="E391" i="50" s="1"/>
  <c r="P104" i="50"/>
  <c r="P353" i="50" l="1"/>
  <c r="J164" i="34"/>
  <c r="J112" i="32"/>
  <c r="P264" i="50"/>
  <c r="B403" i="50"/>
  <c r="B25" i="50"/>
  <c r="B123" i="50"/>
  <c r="D391" i="50"/>
  <c r="P390" i="50"/>
  <c r="P107" i="50"/>
  <c r="C390" i="50"/>
  <c r="P611" i="50"/>
  <c r="P525" i="50"/>
  <c r="H314" i="50"/>
  <c r="M314" i="50"/>
  <c r="F314" i="50"/>
  <c r="D314" i="50"/>
  <c r="N314" i="50"/>
  <c r="J314" i="50"/>
  <c r="K314" i="50"/>
  <c r="L314" i="50"/>
  <c r="I314" i="50"/>
  <c r="E314" i="50"/>
  <c r="G314" i="50"/>
  <c r="O314" i="50"/>
  <c r="B74" i="50"/>
  <c r="J61" i="39"/>
  <c r="B498" i="50" s="1"/>
  <c r="F37" i="35"/>
  <c r="F34" i="36"/>
  <c r="F59" i="34"/>
  <c r="P326" i="50"/>
  <c r="D436" i="50"/>
  <c r="N436" i="50"/>
  <c r="F436" i="50"/>
  <c r="L436" i="50"/>
  <c r="O436" i="50"/>
  <c r="H436" i="50"/>
  <c r="E436" i="50"/>
  <c r="M436" i="50"/>
  <c r="I436" i="50"/>
  <c r="G436" i="50"/>
  <c r="K436" i="50"/>
  <c r="J436" i="50"/>
  <c r="P147" i="50"/>
  <c r="P427" i="50"/>
  <c r="P482" i="50"/>
  <c r="K197" i="50"/>
  <c r="J197" i="50"/>
  <c r="H197" i="50"/>
  <c r="O197" i="50"/>
  <c r="E197" i="50"/>
  <c r="F197" i="50"/>
  <c r="D197" i="50"/>
  <c r="G197" i="50"/>
  <c r="N197" i="50"/>
  <c r="I197" i="50"/>
  <c r="L197" i="50"/>
  <c r="M197" i="50"/>
  <c r="P479" i="50"/>
  <c r="F356" i="50"/>
  <c r="D356" i="50"/>
  <c r="M356" i="50"/>
  <c r="G356" i="50"/>
  <c r="N356" i="50"/>
  <c r="H356" i="50"/>
  <c r="I356" i="50"/>
  <c r="J356" i="50"/>
  <c r="E356" i="50"/>
  <c r="K356" i="50"/>
  <c r="L356" i="50"/>
  <c r="O356" i="50"/>
  <c r="P138" i="50"/>
  <c r="P230" i="50"/>
  <c r="J91" i="38"/>
  <c r="B584" i="50" s="1"/>
  <c r="O550" i="50"/>
  <c r="D550" i="50"/>
  <c r="N550" i="50"/>
  <c r="M550" i="50"/>
  <c r="I550" i="50"/>
  <c r="K550" i="50"/>
  <c r="E550" i="50"/>
  <c r="J550" i="50"/>
  <c r="G550" i="50"/>
  <c r="H550" i="50"/>
  <c r="F550" i="50"/>
  <c r="L550" i="50"/>
  <c r="D55" i="50"/>
  <c r="I55" i="50"/>
  <c r="O55" i="50"/>
  <c r="K55" i="50"/>
  <c r="G55" i="50"/>
  <c r="E55" i="50"/>
  <c r="L55" i="50"/>
  <c r="M55" i="50"/>
  <c r="N55" i="50"/>
  <c r="H55" i="50"/>
  <c r="F55" i="50"/>
  <c r="J55" i="50"/>
  <c r="G34" i="36"/>
  <c r="J327" i="31"/>
  <c r="G59" i="34"/>
  <c r="G37" i="35"/>
  <c r="B320" i="50" l="1"/>
  <c r="I37" i="35"/>
  <c r="J37" i="35" s="1"/>
  <c r="F584" i="50"/>
  <c r="E584" i="50"/>
  <c r="J584" i="50"/>
  <c r="N584" i="50"/>
  <c r="D584" i="50"/>
  <c r="K584" i="50"/>
  <c r="I584" i="50"/>
  <c r="L584" i="50"/>
  <c r="M584" i="50"/>
  <c r="H584" i="50"/>
  <c r="O584" i="50"/>
  <c r="G584" i="50"/>
  <c r="P356" i="50"/>
  <c r="P197" i="50"/>
  <c r="P436" i="50"/>
  <c r="I59" i="34"/>
  <c r="J59" i="34" s="1"/>
  <c r="P55" i="50"/>
  <c r="P550" i="50"/>
  <c r="I34" i="36"/>
  <c r="J34" i="36" s="1"/>
  <c r="K74" i="50"/>
  <c r="L74" i="50"/>
  <c r="O74" i="50"/>
  <c r="G74" i="50"/>
  <c r="F74" i="50"/>
  <c r="D74" i="50"/>
  <c r="M74" i="50"/>
  <c r="N74" i="50"/>
  <c r="I74" i="50"/>
  <c r="H74" i="50"/>
  <c r="J74" i="50"/>
  <c r="E74" i="50"/>
  <c r="P391" i="50"/>
  <c r="R391" i="50"/>
  <c r="M25" i="50"/>
  <c r="N25" i="50"/>
  <c r="I25" i="50"/>
  <c r="J25" i="50"/>
  <c r="E25" i="50"/>
  <c r="D25" i="50"/>
  <c r="H25" i="50"/>
  <c r="F25" i="50"/>
  <c r="K25" i="50"/>
  <c r="G25" i="50"/>
  <c r="L25" i="50"/>
  <c r="O25" i="50"/>
  <c r="L498" i="50"/>
  <c r="H498" i="50"/>
  <c r="K498" i="50"/>
  <c r="J498" i="50"/>
  <c r="I498" i="50"/>
  <c r="G498" i="50"/>
  <c r="N498" i="50"/>
  <c r="E498" i="50"/>
  <c r="O498" i="50"/>
  <c r="F498" i="50"/>
  <c r="D498" i="50"/>
  <c r="M498" i="50"/>
  <c r="P314" i="50"/>
  <c r="J123" i="50"/>
  <c r="D123" i="50"/>
  <c r="I123" i="50"/>
  <c r="O123" i="50"/>
  <c r="M123" i="50"/>
  <c r="E123" i="50"/>
  <c r="H123" i="50"/>
  <c r="F123" i="50"/>
  <c r="L123" i="50"/>
  <c r="K123" i="50"/>
  <c r="N123" i="50"/>
  <c r="G123" i="50"/>
  <c r="L403" i="50"/>
  <c r="K403" i="50"/>
  <c r="G403" i="50"/>
  <c r="I403" i="50"/>
  <c r="M403" i="50"/>
  <c r="N403" i="50"/>
  <c r="O403" i="50"/>
  <c r="F403" i="50"/>
  <c r="E403" i="50"/>
  <c r="J403" i="50"/>
  <c r="H403" i="50"/>
  <c r="D403" i="50"/>
  <c r="I320" i="50" l="1"/>
  <c r="M320" i="50"/>
  <c r="K320" i="50"/>
  <c r="D320" i="50"/>
  <c r="P320" i="50" s="1"/>
  <c r="G320" i="50"/>
  <c r="J320" i="50"/>
  <c r="O320" i="50"/>
  <c r="N320" i="50"/>
  <c r="F320" i="50"/>
  <c r="H320" i="50"/>
  <c r="L320" i="50"/>
  <c r="E320" i="50"/>
  <c r="P74" i="50"/>
  <c r="P25" i="50"/>
  <c r="P403" i="50"/>
  <c r="P498" i="50"/>
  <c r="P123" i="50"/>
  <c r="P584" i="50"/>
  <c r="E324" i="31" l="1"/>
  <c r="G329" i="31"/>
  <c r="G328" i="31"/>
  <c r="G327" i="31"/>
  <c r="D326" i="31" l="1"/>
  <c r="D324" i="31"/>
  <c r="E323" i="31"/>
  <c r="D325" i="31"/>
  <c r="E325" i="31"/>
  <c r="D323" i="31"/>
  <c r="E326" i="31"/>
  <c r="L327" i="31"/>
  <c r="R327" i="31"/>
  <c r="R328" i="31"/>
  <c r="L328" i="31"/>
  <c r="L329" i="31"/>
  <c r="R329" i="31"/>
  <c r="G49" i="44"/>
  <c r="G29" i="33"/>
  <c r="G89" i="32"/>
  <c r="G63" i="38"/>
  <c r="G64" i="37"/>
  <c r="G82" i="36"/>
  <c r="J324" i="31"/>
  <c r="G111" i="34"/>
  <c r="G113" i="35"/>
  <c r="G324" i="31" l="1"/>
  <c r="G326" i="31"/>
  <c r="L326" i="31" s="1"/>
  <c r="G325" i="31"/>
  <c r="R325" i="31" s="1"/>
  <c r="G323" i="31"/>
  <c r="F62" i="34"/>
  <c r="L325" i="31"/>
  <c r="J326" i="31"/>
  <c r="G35" i="32"/>
  <c r="J323" i="31"/>
  <c r="G42" i="41"/>
  <c r="F42" i="41"/>
  <c r="R323" i="31"/>
  <c r="L323" i="31"/>
  <c r="F63" i="38"/>
  <c r="I63" i="38" s="1"/>
  <c r="J63" i="38" s="1"/>
  <c r="F64" i="37"/>
  <c r="F113" i="35"/>
  <c r="I113" i="35" s="1"/>
  <c r="J113" i="35" s="1"/>
  <c r="F82" i="36"/>
  <c r="I82" i="36" s="1"/>
  <c r="J82" i="36" s="1"/>
  <c r="F89" i="32"/>
  <c r="I89" i="32" s="1"/>
  <c r="J89" i="32" s="1"/>
  <c r="F49" i="44"/>
  <c r="I49" i="44" s="1"/>
  <c r="J49" i="44" s="1"/>
  <c r="F111" i="34"/>
  <c r="I111" i="34" s="1"/>
  <c r="J111" i="34" s="1"/>
  <c r="F29" i="33"/>
  <c r="I29" i="33" s="1"/>
  <c r="J29" i="33" s="1"/>
  <c r="L324" i="31"/>
  <c r="R324" i="31"/>
  <c r="G62" i="34"/>
  <c r="J325" i="31"/>
  <c r="F35" i="32"/>
  <c r="I35" i="32" s="1"/>
  <c r="J35" i="32" s="1"/>
  <c r="R326" i="31"/>
  <c r="I64" i="37" l="1"/>
  <c r="J64" i="37" s="1"/>
  <c r="E321" i="31"/>
  <c r="E320" i="31"/>
  <c r="E316" i="31"/>
  <c r="E317" i="31"/>
  <c r="E315" i="31"/>
  <c r="I42" i="41"/>
  <c r="J42" i="41" s="1"/>
  <c r="I62" i="34"/>
  <c r="J62" i="34" s="1"/>
  <c r="E319" i="31" l="1"/>
  <c r="E307" i="31"/>
  <c r="E318" i="31"/>
  <c r="D319" i="31"/>
  <c r="D322" i="31"/>
  <c r="E305" i="31"/>
  <c r="E309" i="31"/>
  <c r="E310" i="31"/>
  <c r="E313" i="31"/>
  <c r="E312" i="31"/>
  <c r="E314" i="31"/>
  <c r="D318" i="31"/>
  <c r="E304" i="31"/>
  <c r="E311" i="31"/>
  <c r="D321" i="31"/>
  <c r="E308" i="31"/>
  <c r="D316" i="31"/>
  <c r="E322" i="31"/>
  <c r="D317" i="31"/>
  <c r="E301" i="31"/>
  <c r="E302" i="31"/>
  <c r="E303" i="31"/>
  <c r="D315" i="31"/>
  <c r="D320" i="31"/>
  <c r="J109" i="31"/>
  <c r="G65" i="42"/>
  <c r="J317" i="31"/>
  <c r="J110" i="31"/>
  <c r="G64" i="42"/>
  <c r="J316" i="31"/>
  <c r="J320" i="31"/>
  <c r="G69" i="42"/>
  <c r="J111" i="31"/>
  <c r="G94" i="1"/>
  <c r="J315" i="31"/>
  <c r="G70" i="42"/>
  <c r="J321" i="31"/>
  <c r="D308" i="31" l="1"/>
  <c r="D310" i="31"/>
  <c r="D312" i="31"/>
  <c r="D304" i="31"/>
  <c r="D302" i="31"/>
  <c r="D311" i="31"/>
  <c r="D306" i="31"/>
  <c r="G319" i="31"/>
  <c r="R319" i="31" s="1"/>
  <c r="G322" i="31"/>
  <c r="L322" i="31" s="1"/>
  <c r="D309" i="31"/>
  <c r="G316" i="31"/>
  <c r="G317" i="31"/>
  <c r="L317" i="31" s="1"/>
  <c r="D314" i="31"/>
  <c r="G320" i="31"/>
  <c r="L320" i="31" s="1"/>
  <c r="D301" i="31"/>
  <c r="G318" i="31"/>
  <c r="L318" i="31" s="1"/>
  <c r="E306" i="31"/>
  <c r="D313" i="31"/>
  <c r="D303" i="31"/>
  <c r="G321" i="31"/>
  <c r="R321" i="31" s="1"/>
  <c r="G315" i="31"/>
  <c r="D307" i="31"/>
  <c r="D305" i="31"/>
  <c r="F69" i="42"/>
  <c r="I69" i="42" s="1"/>
  <c r="J69" i="42" s="1"/>
  <c r="R320" i="31"/>
  <c r="J125" i="31"/>
  <c r="J301" i="31"/>
  <c r="J118" i="31"/>
  <c r="G44" i="38"/>
  <c r="J308" i="31"/>
  <c r="F66" i="42"/>
  <c r="R318" i="31"/>
  <c r="J116" i="31"/>
  <c r="G46" i="38"/>
  <c r="J310" i="31"/>
  <c r="G55" i="37"/>
  <c r="F67" i="42"/>
  <c r="F94" i="1"/>
  <c r="I94" i="1" s="1"/>
  <c r="J94" i="1" s="1"/>
  <c r="L315" i="31"/>
  <c r="R315" i="31"/>
  <c r="F65" i="42"/>
  <c r="I65" i="42" s="1"/>
  <c r="J65" i="42" s="1"/>
  <c r="R317" i="31"/>
  <c r="F70" i="42"/>
  <c r="I70" i="42" s="1"/>
  <c r="J70" i="42" s="1"/>
  <c r="L321" i="31"/>
  <c r="J112" i="31"/>
  <c r="J314" i="31"/>
  <c r="G93" i="1"/>
  <c r="J117" i="31"/>
  <c r="G45" i="38"/>
  <c r="G32" i="39"/>
  <c r="J309" i="31"/>
  <c r="G40" i="38"/>
  <c r="J318" i="31"/>
  <c r="G66" i="42"/>
  <c r="J123" i="31"/>
  <c r="J303" i="31"/>
  <c r="G38" i="38"/>
  <c r="G82" i="32"/>
  <c r="G42" i="44"/>
  <c r="G104" i="34"/>
  <c r="J322" i="31"/>
  <c r="G75" i="36"/>
  <c r="G106" i="35"/>
  <c r="G56" i="38"/>
  <c r="J115" i="31"/>
  <c r="J311" i="31"/>
  <c r="G47" i="36"/>
  <c r="G49" i="35"/>
  <c r="G75" i="34"/>
  <c r="J114" i="31"/>
  <c r="G63" i="42"/>
  <c r="J312" i="31"/>
  <c r="G87" i="1"/>
  <c r="J121" i="31"/>
  <c r="J305" i="31"/>
  <c r="G54" i="42"/>
  <c r="J119" i="31"/>
  <c r="J307" i="31"/>
  <c r="G43" i="38"/>
  <c r="J124" i="31"/>
  <c r="G31" i="39"/>
  <c r="J302" i="31"/>
  <c r="F64" i="42"/>
  <c r="I64" i="42" s="1"/>
  <c r="J64" i="42" s="1"/>
  <c r="R316" i="31"/>
  <c r="L316" i="31"/>
  <c r="J122" i="31"/>
  <c r="J304" i="31"/>
  <c r="G39" i="38"/>
  <c r="J113" i="31"/>
  <c r="J313" i="31"/>
  <c r="G92" i="1"/>
  <c r="F56" i="38"/>
  <c r="I56" i="38" s="1"/>
  <c r="J56" i="38" s="1"/>
  <c r="F42" i="44"/>
  <c r="I42" i="44" s="1"/>
  <c r="J42" i="44" s="1"/>
  <c r="F75" i="36"/>
  <c r="F82" i="32"/>
  <c r="I82" i="32" s="1"/>
  <c r="J82" i="32" s="1"/>
  <c r="F104" i="34"/>
  <c r="F106" i="35"/>
  <c r="R322" i="31"/>
  <c r="J319" i="31"/>
  <c r="G67" i="42"/>
  <c r="I75" i="36" l="1"/>
  <c r="J75" i="36" s="1"/>
  <c r="I104" i="34"/>
  <c r="J104" i="34" s="1"/>
  <c r="I106" i="35"/>
  <c r="J106" i="35" s="1"/>
  <c r="L319" i="31"/>
  <c r="G307" i="31"/>
  <c r="G306" i="31"/>
  <c r="G312" i="31"/>
  <c r="R312" i="31" s="1"/>
  <c r="G304" i="31"/>
  <c r="G309" i="31"/>
  <c r="G310" i="31"/>
  <c r="G313" i="31"/>
  <c r="R313" i="31" s="1"/>
  <c r="G311" i="31"/>
  <c r="L311" i="31" s="1"/>
  <c r="G305" i="31"/>
  <c r="G308" i="31"/>
  <c r="G303" i="31"/>
  <c r="L303" i="31" s="1"/>
  <c r="G301" i="31"/>
  <c r="G302" i="31"/>
  <c r="G314" i="31"/>
  <c r="F39" i="38"/>
  <c r="I39" i="38" s="1"/>
  <c r="J39" i="38" s="1"/>
  <c r="L304" i="31"/>
  <c r="R304" i="31"/>
  <c r="I66" i="42"/>
  <c r="J66" i="42" s="1"/>
  <c r="F54" i="42"/>
  <c r="I54" i="42" s="1"/>
  <c r="J54" i="42" s="1"/>
  <c r="R305" i="31"/>
  <c r="L305" i="31"/>
  <c r="F38" i="38"/>
  <c r="I38" i="38" s="1"/>
  <c r="J38" i="38" s="1"/>
  <c r="R303" i="31"/>
  <c r="R301" i="31"/>
  <c r="L301" i="31"/>
  <c r="F78" i="1"/>
  <c r="L306" i="31"/>
  <c r="R306" i="31"/>
  <c r="F63" i="42"/>
  <c r="I63" i="42" s="1"/>
  <c r="J63" i="42" s="1"/>
  <c r="F87" i="1"/>
  <c r="I87" i="1" s="1"/>
  <c r="J87" i="1" s="1"/>
  <c r="F43" i="38"/>
  <c r="I43" i="38" s="1"/>
  <c r="J43" i="38" s="1"/>
  <c r="L307" i="31"/>
  <c r="R307" i="31"/>
  <c r="F92" i="1"/>
  <c r="I92" i="1" s="1"/>
  <c r="J92" i="1" s="1"/>
  <c r="L313" i="31"/>
  <c r="F45" i="38"/>
  <c r="I45" i="38" s="1"/>
  <c r="J45" i="38" s="1"/>
  <c r="F40" i="38"/>
  <c r="I40" i="38" s="1"/>
  <c r="J40" i="38" s="1"/>
  <c r="F32" i="39"/>
  <c r="I32" i="39" s="1"/>
  <c r="J32" i="39" s="1"/>
  <c r="R309" i="31"/>
  <c r="L309" i="31"/>
  <c r="F49" i="35"/>
  <c r="I49" i="35" s="1"/>
  <c r="J49" i="35" s="1"/>
  <c r="F75" i="34"/>
  <c r="I75" i="34" s="1"/>
  <c r="J75" i="34" s="1"/>
  <c r="F47" i="36"/>
  <c r="I47" i="36" s="1"/>
  <c r="J47" i="36" s="1"/>
  <c r="R311" i="31"/>
  <c r="F46" i="38"/>
  <c r="I46" i="38" s="1"/>
  <c r="J46" i="38" s="1"/>
  <c r="F55" i="37"/>
  <c r="L310" i="31"/>
  <c r="R310" i="31"/>
  <c r="I67" i="42"/>
  <c r="J67" i="42" s="1"/>
  <c r="J120" i="31"/>
  <c r="J306" i="31"/>
  <c r="G78" i="1"/>
  <c r="F93" i="1"/>
  <c r="I93" i="1" s="1"/>
  <c r="J93" i="1" s="1"/>
  <c r="L314" i="31"/>
  <c r="R314" i="31"/>
  <c r="F31" i="39"/>
  <c r="I31" i="39" s="1"/>
  <c r="J31" i="39" s="1"/>
  <c r="L302" i="31"/>
  <c r="R302" i="31"/>
  <c r="F44" i="38"/>
  <c r="I44" i="38" s="1"/>
  <c r="J44" i="38" s="1"/>
  <c r="L308" i="31"/>
  <c r="R308" i="31"/>
  <c r="I55" i="37" l="1"/>
  <c r="J55" i="37" s="1"/>
  <c r="L312" i="31"/>
  <c r="E300" i="31"/>
  <c r="D288" i="31"/>
  <c r="I78" i="1"/>
  <c r="J78" i="1" s="1"/>
  <c r="D299" i="31" l="1"/>
  <c r="D296" i="31"/>
  <c r="E279" i="31"/>
  <c r="D273" i="31"/>
  <c r="D298" i="31"/>
  <c r="D268" i="31"/>
  <c r="E266" i="31"/>
  <c r="D294" i="31"/>
  <c r="E284" i="31"/>
  <c r="D263" i="31"/>
  <c r="D272" i="31"/>
  <c r="E267" i="31"/>
  <c r="D297" i="31"/>
  <c r="E275" i="31"/>
  <c r="E288" i="31"/>
  <c r="D270" i="31"/>
  <c r="E261" i="31"/>
  <c r="E274" i="31"/>
  <c r="D271" i="31"/>
  <c r="E282" i="31"/>
  <c r="E298" i="31"/>
  <c r="D264" i="31"/>
  <c r="E272" i="31"/>
  <c r="E276" i="31"/>
  <c r="D286" i="31"/>
  <c r="D281" i="31"/>
  <c r="D275" i="31"/>
  <c r="D283" i="31"/>
  <c r="D277" i="31"/>
  <c r="D300" i="31"/>
  <c r="D290" i="31"/>
  <c r="E295" i="31"/>
  <c r="E277" i="31"/>
  <c r="D284" i="31"/>
  <c r="D292" i="31"/>
  <c r="D282" i="31"/>
  <c r="E299" i="31"/>
  <c r="D266" i="31"/>
  <c r="D278" i="31"/>
  <c r="D261" i="31"/>
  <c r="E262" i="31"/>
  <c r="D265" i="31"/>
  <c r="D291" i="31"/>
  <c r="E280" i="31"/>
  <c r="E268" i="31"/>
  <c r="D269" i="31"/>
  <c r="E270" i="31"/>
  <c r="D274" i="31"/>
  <c r="E278" i="31"/>
  <c r="D279" i="31"/>
  <c r="E292" i="31"/>
  <c r="D280" i="31"/>
  <c r="D262" i="31"/>
  <c r="E285" i="31"/>
  <c r="E289" i="31"/>
  <c r="E281" i="31"/>
  <c r="E271" i="31"/>
  <c r="E293" i="31"/>
  <c r="E294" i="31"/>
  <c r="D267" i="31"/>
  <c r="E287" i="31"/>
  <c r="E269" i="31"/>
  <c r="D287" i="31"/>
  <c r="E291" i="31"/>
  <c r="E297" i="31"/>
  <c r="E283" i="31"/>
  <c r="D276" i="31"/>
  <c r="E264" i="31"/>
  <c r="D295" i="31"/>
  <c r="D289" i="31"/>
  <c r="E296" i="31"/>
  <c r="E265" i="31"/>
  <c r="E286" i="31"/>
  <c r="E263" i="31"/>
  <c r="D285" i="31"/>
  <c r="E273" i="31"/>
  <c r="D293" i="31"/>
  <c r="E290" i="31"/>
  <c r="F50" i="42"/>
  <c r="G62" i="42"/>
  <c r="J300" i="31"/>
  <c r="G265" i="31" l="1"/>
  <c r="G287" i="31"/>
  <c r="G300" i="31"/>
  <c r="R300" i="31" s="1"/>
  <c r="G281" i="31"/>
  <c r="G276" i="31"/>
  <c r="G291" i="31"/>
  <c r="G292" i="31"/>
  <c r="G263" i="31"/>
  <c r="G285" i="31"/>
  <c r="G274" i="31"/>
  <c r="G267" i="31"/>
  <c r="G279" i="31"/>
  <c r="G289" i="31"/>
  <c r="G293" i="31"/>
  <c r="G261" i="31"/>
  <c r="L261" i="31" s="1"/>
  <c r="G273" i="31"/>
  <c r="L273" i="31" s="1"/>
  <c r="G264" i="31"/>
  <c r="G295" i="31"/>
  <c r="G268" i="31"/>
  <c r="G297" i="31"/>
  <c r="G283" i="31"/>
  <c r="G269" i="31"/>
  <c r="G262" i="31"/>
  <c r="L262" i="31" s="1"/>
  <c r="G298" i="31"/>
  <c r="R293" i="31" s="1"/>
  <c r="G296" i="31"/>
  <c r="G272" i="31"/>
  <c r="G290" i="31"/>
  <c r="G271" i="31"/>
  <c r="G288" i="31"/>
  <c r="G278" i="31"/>
  <c r="G286" i="31"/>
  <c r="G294" i="31"/>
  <c r="L294" i="31" s="1"/>
  <c r="G277" i="31"/>
  <c r="G266" i="31"/>
  <c r="G270" i="31"/>
  <c r="G299" i="31"/>
  <c r="G275" i="31"/>
  <c r="G282" i="31"/>
  <c r="G280" i="31"/>
  <c r="G284" i="31"/>
  <c r="R288" i="31"/>
  <c r="F38" i="35"/>
  <c r="L293" i="31"/>
  <c r="F55" i="42"/>
  <c r="R295" i="31"/>
  <c r="L295" i="31"/>
  <c r="J139" i="31"/>
  <c r="J287" i="31"/>
  <c r="G48" i="42"/>
  <c r="F28" i="42"/>
  <c r="R262" i="31"/>
  <c r="J158" i="31"/>
  <c r="J268" i="31"/>
  <c r="G24" i="39"/>
  <c r="J149" i="31"/>
  <c r="G29" i="32"/>
  <c r="G88" i="1"/>
  <c r="J277" i="31"/>
  <c r="J153" i="31"/>
  <c r="G34" i="42"/>
  <c r="J273" i="31"/>
  <c r="J161" i="31"/>
  <c r="J265" i="31"/>
  <c r="G31" i="42"/>
  <c r="J162" i="31"/>
  <c r="G30" i="42"/>
  <c r="J264" i="31"/>
  <c r="J135" i="31"/>
  <c r="G30" i="39"/>
  <c r="J291" i="31"/>
  <c r="F24" i="33"/>
  <c r="F98" i="34"/>
  <c r="F100" i="35"/>
  <c r="F50" i="38"/>
  <c r="F69" i="36"/>
  <c r="F36" i="44"/>
  <c r="F32" i="42"/>
  <c r="F59" i="37"/>
  <c r="J90" i="37" s="1"/>
  <c r="F76" i="32"/>
  <c r="L267" i="31"/>
  <c r="R267" i="31"/>
  <c r="J145" i="31"/>
  <c r="G42" i="42"/>
  <c r="J281" i="31"/>
  <c r="F33" i="36"/>
  <c r="F36" i="35"/>
  <c r="F58" i="34"/>
  <c r="R280" i="31"/>
  <c r="L280" i="31"/>
  <c r="F27" i="39"/>
  <c r="R274" i="31"/>
  <c r="L274" i="31"/>
  <c r="J146" i="31"/>
  <c r="G36" i="35"/>
  <c r="J280" i="31"/>
  <c r="G33" i="36"/>
  <c r="G58" i="34"/>
  <c r="F27" i="42"/>
  <c r="R261" i="31"/>
  <c r="F43" i="42"/>
  <c r="I43" i="42" s="1"/>
  <c r="J43" i="42" s="1"/>
  <c r="R282" i="31"/>
  <c r="L282" i="31"/>
  <c r="J131" i="31"/>
  <c r="J295" i="31"/>
  <c r="G55" i="42"/>
  <c r="F44" i="42"/>
  <c r="R283" i="31"/>
  <c r="L283" i="31"/>
  <c r="J150" i="31"/>
  <c r="G37" i="42"/>
  <c r="J276" i="31"/>
  <c r="J144" i="31"/>
  <c r="G43" i="42"/>
  <c r="J282" i="31"/>
  <c r="R270" i="31"/>
  <c r="L270" i="31"/>
  <c r="J159" i="31"/>
  <c r="G24" i="33"/>
  <c r="G69" i="36"/>
  <c r="G32" i="42"/>
  <c r="G98" i="34"/>
  <c r="J267" i="31"/>
  <c r="G76" i="32"/>
  <c r="G100" i="35"/>
  <c r="G59" i="37"/>
  <c r="J91" i="37" s="1"/>
  <c r="G50" i="38"/>
  <c r="G36" i="44"/>
  <c r="F52" i="42"/>
  <c r="R294" i="31"/>
  <c r="F34" i="42"/>
  <c r="R273" i="31"/>
  <c r="L285" i="31"/>
  <c r="R285" i="31"/>
  <c r="F37" i="42"/>
  <c r="I37" i="42" s="1"/>
  <c r="J37" i="42" s="1"/>
  <c r="R276" i="31"/>
  <c r="L276" i="31"/>
  <c r="J132" i="31"/>
  <c r="G52" i="42"/>
  <c r="J294" i="31"/>
  <c r="J137" i="31"/>
  <c r="J289" i="31"/>
  <c r="G51" i="42"/>
  <c r="J134" i="31"/>
  <c r="J292" i="31"/>
  <c r="G37" i="36"/>
  <c r="G89" i="1"/>
  <c r="J156" i="31"/>
  <c r="J270" i="31"/>
  <c r="F30" i="39"/>
  <c r="I30" i="39" s="1"/>
  <c r="J30" i="39" s="1"/>
  <c r="L291" i="31"/>
  <c r="R291" i="31"/>
  <c r="F39" i="42"/>
  <c r="L278" i="31"/>
  <c r="R278" i="31"/>
  <c r="F37" i="36"/>
  <c r="F89" i="1"/>
  <c r="R292" i="31"/>
  <c r="L292" i="31"/>
  <c r="F37" i="38"/>
  <c r="L290" i="31"/>
  <c r="F33" i="38"/>
  <c r="F54" i="40"/>
  <c r="F35" i="41"/>
  <c r="F36" i="42"/>
  <c r="L275" i="31"/>
  <c r="R275" i="31"/>
  <c r="J154" i="31"/>
  <c r="J272" i="31"/>
  <c r="G32" i="38"/>
  <c r="F30" i="38"/>
  <c r="L271" i="31"/>
  <c r="R271" i="31"/>
  <c r="J138" i="31"/>
  <c r="J288" i="31"/>
  <c r="G50" i="42"/>
  <c r="F32" i="38"/>
  <c r="I32" i="38" s="1"/>
  <c r="J32" i="38" s="1"/>
  <c r="L272" i="31"/>
  <c r="R272" i="31"/>
  <c r="J160" i="31"/>
  <c r="J266" i="31"/>
  <c r="G26" i="38"/>
  <c r="J147" i="31"/>
  <c r="J279" i="31"/>
  <c r="G41" i="42"/>
  <c r="I50" i="42"/>
  <c r="J50" i="42" s="1"/>
  <c r="J296" i="31"/>
  <c r="G37" i="41"/>
  <c r="F48" i="42"/>
  <c r="I48" i="42" s="1"/>
  <c r="J48" i="42" s="1"/>
  <c r="R287" i="31"/>
  <c r="L287" i="31"/>
  <c r="J136" i="31"/>
  <c r="G37" i="38"/>
  <c r="J290" i="31"/>
  <c r="J163" i="31"/>
  <c r="G74" i="1"/>
  <c r="J263" i="31"/>
  <c r="F51" i="42"/>
  <c r="L289" i="31"/>
  <c r="R289" i="31"/>
  <c r="J143" i="31"/>
  <c r="J283" i="31"/>
  <c r="G44" i="42"/>
  <c r="J157" i="31"/>
  <c r="G27" i="38"/>
  <c r="J269" i="31"/>
  <c r="J133" i="31"/>
  <c r="G38" i="35"/>
  <c r="J293" i="31"/>
  <c r="J141" i="31"/>
  <c r="J285" i="31"/>
  <c r="F41" i="42"/>
  <c r="L279" i="31"/>
  <c r="R279" i="31"/>
  <c r="F27" i="38"/>
  <c r="R269" i="31"/>
  <c r="L269" i="31"/>
  <c r="F31" i="42"/>
  <c r="L265" i="31"/>
  <c r="R265" i="31"/>
  <c r="F26" i="38"/>
  <c r="I26" i="38" s="1"/>
  <c r="J26" i="38" s="1"/>
  <c r="L266" i="31"/>
  <c r="R266" i="31"/>
  <c r="F45" i="42"/>
  <c r="R284" i="31"/>
  <c r="L284" i="31"/>
  <c r="F62" i="42"/>
  <c r="I62" i="42" s="1"/>
  <c r="J62" i="42" s="1"/>
  <c r="L300" i="31"/>
  <c r="F42" i="42"/>
  <c r="I42" i="42" s="1"/>
  <c r="J42" i="42" s="1"/>
  <c r="R281" i="31"/>
  <c r="L281" i="31"/>
  <c r="F30" i="42"/>
  <c r="I30" i="42" s="1"/>
  <c r="J30" i="42" s="1"/>
  <c r="R264" i="31"/>
  <c r="L264" i="31"/>
  <c r="J152" i="31"/>
  <c r="J274" i="31"/>
  <c r="G27" i="39"/>
  <c r="J151" i="31"/>
  <c r="G33" i="38"/>
  <c r="G54" i="40"/>
  <c r="J275" i="31"/>
  <c r="G36" i="42"/>
  <c r="G35" i="41"/>
  <c r="F74" i="1"/>
  <c r="I74" i="1" s="1"/>
  <c r="J74" i="1" s="1"/>
  <c r="L263" i="31"/>
  <c r="R263" i="31"/>
  <c r="F24" i="39"/>
  <c r="L268" i="31"/>
  <c r="R268" i="31"/>
  <c r="F37" i="41"/>
  <c r="I37" i="41" s="1"/>
  <c r="J37" i="41" s="1"/>
  <c r="L296" i="31"/>
  <c r="R296" i="31"/>
  <c r="J140" i="31"/>
  <c r="J286" i="31"/>
  <c r="J297" i="31"/>
  <c r="G57" i="42"/>
  <c r="J155" i="31"/>
  <c r="J271" i="31"/>
  <c r="G30" i="38"/>
  <c r="J148" i="31"/>
  <c r="G39" i="42"/>
  <c r="J278" i="31"/>
  <c r="J164" i="31"/>
  <c r="G28" i="42"/>
  <c r="J262" i="31"/>
  <c r="G30" i="32"/>
  <c r="G38" i="36"/>
  <c r="G63" i="34"/>
  <c r="G39" i="35"/>
  <c r="J299" i="31"/>
  <c r="F29" i="32"/>
  <c r="F88" i="1"/>
  <c r="I88" i="1" s="1"/>
  <c r="J88" i="1" s="1"/>
  <c r="R277" i="31"/>
  <c r="L277" i="31"/>
  <c r="L286" i="31"/>
  <c r="R286" i="31"/>
  <c r="G59" i="42"/>
  <c r="J298" i="31"/>
  <c r="J165" i="31"/>
  <c r="J261" i="31"/>
  <c r="G27" i="42"/>
  <c r="F57" i="42"/>
  <c r="L297" i="31"/>
  <c r="R297" i="31"/>
  <c r="J142" i="31"/>
  <c r="J284" i="31"/>
  <c r="G45" i="42"/>
  <c r="F59" i="42"/>
  <c r="R298" i="31"/>
  <c r="L298" i="31"/>
  <c r="F39" i="35"/>
  <c r="I39" i="35" s="1"/>
  <c r="J39" i="35" s="1"/>
  <c r="F63" i="34"/>
  <c r="I63" i="34" s="1"/>
  <c r="J63" i="34" s="1"/>
  <c r="F30" i="32"/>
  <c r="I30" i="32" s="1"/>
  <c r="J30" i="32" s="1"/>
  <c r="F38" i="36"/>
  <c r="L299" i="31"/>
  <c r="R299" i="31"/>
  <c r="I27" i="38" l="1"/>
  <c r="J27" i="38" s="1"/>
  <c r="I24" i="39"/>
  <c r="J24" i="39" s="1"/>
  <c r="I34" i="42"/>
  <c r="J34" i="42" s="1"/>
  <c r="I31" i="42"/>
  <c r="J31" i="42" s="1"/>
  <c r="J197" i="36"/>
  <c r="I29" i="32"/>
  <c r="J29" i="32" s="1"/>
  <c r="I41" i="42"/>
  <c r="J41" i="42" s="1"/>
  <c r="I59" i="42"/>
  <c r="J59" i="42" s="1"/>
  <c r="I45" i="42"/>
  <c r="J45" i="42" s="1"/>
  <c r="I35" i="41"/>
  <c r="J35" i="41" s="1"/>
  <c r="J43" i="41" s="1"/>
  <c r="I37" i="38"/>
  <c r="J37" i="38" s="1"/>
  <c r="I37" i="36"/>
  <c r="J37" i="36" s="1"/>
  <c r="I58" i="34"/>
  <c r="J58" i="34" s="1"/>
  <c r="I76" i="32"/>
  <c r="J76" i="32" s="1"/>
  <c r="I69" i="36"/>
  <c r="J69" i="36" s="1"/>
  <c r="I24" i="33"/>
  <c r="J24" i="33" s="1"/>
  <c r="J31" i="33" s="1"/>
  <c r="I55" i="42"/>
  <c r="J55" i="42" s="1"/>
  <c r="I30" i="38"/>
  <c r="J30" i="38" s="1"/>
  <c r="I54" i="40"/>
  <c r="J54" i="40" s="1"/>
  <c r="J61" i="40" s="1"/>
  <c r="I44" i="42"/>
  <c r="J44" i="42" s="1"/>
  <c r="I27" i="42"/>
  <c r="J27" i="42" s="1"/>
  <c r="I27" i="39"/>
  <c r="J27" i="39" s="1"/>
  <c r="J35" i="39" s="1"/>
  <c r="I36" i="35"/>
  <c r="J36" i="35" s="1"/>
  <c r="I59" i="37"/>
  <c r="J59" i="37" s="1"/>
  <c r="J66" i="37" s="1"/>
  <c r="I50" i="38"/>
  <c r="J50" i="38" s="1"/>
  <c r="I38" i="36"/>
  <c r="J38" i="36" s="1"/>
  <c r="I57" i="42"/>
  <c r="J57" i="42" s="1"/>
  <c r="I51" i="42"/>
  <c r="J51" i="42" s="1"/>
  <c r="I33" i="38"/>
  <c r="J33" i="38" s="1"/>
  <c r="I33" i="36"/>
  <c r="J33" i="36" s="1"/>
  <c r="I32" i="42"/>
  <c r="J32" i="42" s="1"/>
  <c r="I100" i="35"/>
  <c r="J100" i="35" s="1"/>
  <c r="I28" i="42"/>
  <c r="J28" i="42" s="1"/>
  <c r="I38" i="35"/>
  <c r="J38" i="35" s="1"/>
  <c r="R290" i="31"/>
  <c r="I36" i="42"/>
  <c r="J36" i="42" s="1"/>
  <c r="I89" i="1"/>
  <c r="J89" i="1" s="1"/>
  <c r="I39" i="42"/>
  <c r="J39" i="42" s="1"/>
  <c r="I52" i="42"/>
  <c r="J52" i="42" s="1"/>
  <c r="I36" i="44"/>
  <c r="J36" i="44" s="1"/>
  <c r="I98" i="34"/>
  <c r="J98" i="34" s="1"/>
  <c r="L138" i="31"/>
  <c r="L288" i="31"/>
  <c r="E260" i="31" l="1"/>
  <c r="E256" i="31"/>
  <c r="J256" i="31" s="1"/>
  <c r="D258" i="31"/>
  <c r="D259" i="31"/>
  <c r="E257" i="31"/>
  <c r="D257" i="31"/>
  <c r="E259" i="31"/>
  <c r="D256" i="31"/>
  <c r="D260" i="31"/>
  <c r="E258" i="31"/>
  <c r="B495" i="50"/>
  <c r="J111" i="39"/>
  <c r="B280" i="50"/>
  <c r="J92" i="37"/>
  <c r="B71" i="50"/>
  <c r="J158" i="41"/>
  <c r="B194" i="50"/>
  <c r="J165" i="40"/>
  <c r="B160" i="50"/>
  <c r="J54" i="33"/>
  <c r="H26" i="46"/>
  <c r="H36" i="46"/>
  <c r="G256" i="31" l="1"/>
  <c r="R251" i="31" s="1"/>
  <c r="G258" i="31"/>
  <c r="R253" i="31" s="1"/>
  <c r="G259" i="31"/>
  <c r="R254" i="31" s="1"/>
  <c r="G257" i="31"/>
  <c r="R252" i="31" s="1"/>
  <c r="G260" i="31"/>
  <c r="R255" i="31" s="1"/>
  <c r="M194" i="50"/>
  <c r="M233" i="50" s="1"/>
  <c r="F194" i="50"/>
  <c r="F233" i="50" s="1"/>
  <c r="O194" i="50"/>
  <c r="O233" i="50" s="1"/>
  <c r="L194" i="50"/>
  <c r="L233" i="50" s="1"/>
  <c r="J194" i="50"/>
  <c r="J233" i="50" s="1"/>
  <c r="D194" i="50"/>
  <c r="I194" i="50"/>
  <c r="I233" i="50" s="1"/>
  <c r="K194" i="50"/>
  <c r="K233" i="50" s="1"/>
  <c r="E194" i="50"/>
  <c r="E233" i="50" s="1"/>
  <c r="E234" i="50" s="1"/>
  <c r="N194" i="50"/>
  <c r="N233" i="50" s="1"/>
  <c r="H194" i="50"/>
  <c r="H233" i="50" s="1"/>
  <c r="G194" i="50"/>
  <c r="G233" i="50" s="1"/>
  <c r="C194" i="50"/>
  <c r="P196" i="50" s="1"/>
  <c r="B233" i="50"/>
  <c r="L280" i="50"/>
  <c r="L298" i="50" s="1"/>
  <c r="O280" i="50"/>
  <c r="O298" i="50" s="1"/>
  <c r="E280" i="50"/>
  <c r="E298" i="50" s="1"/>
  <c r="D280" i="50"/>
  <c r="N280" i="50"/>
  <c r="N298" i="50" s="1"/>
  <c r="H280" i="50"/>
  <c r="H298" i="50" s="1"/>
  <c r="K280" i="50"/>
  <c r="K298" i="50" s="1"/>
  <c r="M280" i="50"/>
  <c r="M298" i="50" s="1"/>
  <c r="J280" i="50"/>
  <c r="J298" i="50" s="1"/>
  <c r="F280" i="50"/>
  <c r="F298" i="50" s="1"/>
  <c r="I280" i="50"/>
  <c r="I298" i="50" s="1"/>
  <c r="G280" i="50"/>
  <c r="G298" i="50" s="1"/>
  <c r="B298" i="50"/>
  <c r="C280" i="50" s="1"/>
  <c r="P282" i="50" s="1"/>
  <c r="F24" i="38"/>
  <c r="I24" i="38" s="1"/>
  <c r="J24" i="38" s="1"/>
  <c r="F21" i="44"/>
  <c r="R260" i="31"/>
  <c r="G24" i="42"/>
  <c r="J257" i="31"/>
  <c r="J260" i="31"/>
  <c r="G24" i="38"/>
  <c r="G21" i="44"/>
  <c r="L256" i="31"/>
  <c r="F23" i="38"/>
  <c r="L259" i="31"/>
  <c r="L160" i="50"/>
  <c r="L175" i="50" s="1"/>
  <c r="G160" i="50"/>
  <c r="G175" i="50" s="1"/>
  <c r="H160" i="50"/>
  <c r="H175" i="50" s="1"/>
  <c r="N160" i="50"/>
  <c r="N175" i="50" s="1"/>
  <c r="F160" i="50"/>
  <c r="F175" i="50" s="1"/>
  <c r="I160" i="50"/>
  <c r="I175" i="50" s="1"/>
  <c r="K160" i="50"/>
  <c r="K175" i="50" s="1"/>
  <c r="J160" i="50"/>
  <c r="J175" i="50" s="1"/>
  <c r="E160" i="50"/>
  <c r="E175" i="50" s="1"/>
  <c r="M160" i="50"/>
  <c r="M175" i="50" s="1"/>
  <c r="D160" i="50"/>
  <c r="O160" i="50"/>
  <c r="O175" i="50" s="1"/>
  <c r="B175" i="50"/>
  <c r="C160" i="50" s="1"/>
  <c r="P162" i="50" s="1"/>
  <c r="N71" i="50"/>
  <c r="N110" i="50" s="1"/>
  <c r="L71" i="50"/>
  <c r="L110" i="50" s="1"/>
  <c r="I71" i="50"/>
  <c r="I110" i="50" s="1"/>
  <c r="E71" i="50"/>
  <c r="E110" i="50" s="1"/>
  <c r="K71" i="50"/>
  <c r="K110" i="50" s="1"/>
  <c r="M71" i="50"/>
  <c r="M110" i="50" s="1"/>
  <c r="H71" i="50"/>
  <c r="H110" i="50" s="1"/>
  <c r="D71" i="50"/>
  <c r="G71" i="50"/>
  <c r="G110" i="50" s="1"/>
  <c r="J71" i="50"/>
  <c r="J110" i="50" s="1"/>
  <c r="O71" i="50"/>
  <c r="O110" i="50" s="1"/>
  <c r="F71" i="50"/>
  <c r="F110" i="50" s="1"/>
  <c r="B110" i="50"/>
  <c r="C71" i="50" s="1"/>
  <c r="P73" i="50" s="1"/>
  <c r="J495" i="50"/>
  <c r="J528" i="50" s="1"/>
  <c r="H495" i="50"/>
  <c r="H528" i="50" s="1"/>
  <c r="K495" i="50"/>
  <c r="K528" i="50" s="1"/>
  <c r="D495" i="50"/>
  <c r="O495" i="50"/>
  <c r="O528" i="50" s="1"/>
  <c r="L495" i="50"/>
  <c r="L528" i="50" s="1"/>
  <c r="F495" i="50"/>
  <c r="F528" i="50" s="1"/>
  <c r="N495" i="50"/>
  <c r="N528" i="50" s="1"/>
  <c r="G495" i="50"/>
  <c r="G528" i="50" s="1"/>
  <c r="E495" i="50"/>
  <c r="E528" i="50" s="1"/>
  <c r="I495" i="50"/>
  <c r="I528" i="50" s="1"/>
  <c r="M495" i="50"/>
  <c r="M528" i="50" s="1"/>
  <c r="B528" i="50"/>
  <c r="C495" i="50" s="1"/>
  <c r="P497" i="50" s="1"/>
  <c r="J259" i="31"/>
  <c r="G23" i="38"/>
  <c r="F26" i="42"/>
  <c r="F76" i="1"/>
  <c r="R258" i="31"/>
  <c r="L258" i="31"/>
  <c r="G76" i="1"/>
  <c r="G26" i="42"/>
  <c r="J258" i="31"/>
  <c r="F24" i="42"/>
  <c r="L257" i="31"/>
  <c r="R257" i="31"/>
  <c r="I24" i="42" l="1"/>
  <c r="J24" i="42" s="1"/>
  <c r="I299" i="50"/>
  <c r="K299" i="50"/>
  <c r="E299" i="50"/>
  <c r="J299" i="50"/>
  <c r="N299" i="50"/>
  <c r="L299" i="50"/>
  <c r="J234" i="50"/>
  <c r="M234" i="50"/>
  <c r="H234" i="50"/>
  <c r="I234" i="50"/>
  <c r="O234" i="50"/>
  <c r="I529" i="50"/>
  <c r="F529" i="50"/>
  <c r="K529" i="50"/>
  <c r="G111" i="50"/>
  <c r="K111" i="50"/>
  <c r="N111" i="50"/>
  <c r="K176" i="50"/>
  <c r="H176" i="50"/>
  <c r="I26" i="42"/>
  <c r="J26" i="42" s="1"/>
  <c r="G529" i="50"/>
  <c r="O529" i="50"/>
  <c r="J529" i="50"/>
  <c r="O111" i="50"/>
  <c r="H111" i="50"/>
  <c r="I111" i="50"/>
  <c r="E176" i="50"/>
  <c r="F176" i="50"/>
  <c r="L176" i="50"/>
  <c r="J74" i="42"/>
  <c r="M529" i="50"/>
  <c r="N529" i="50"/>
  <c r="P495" i="50"/>
  <c r="P528" i="50" s="1"/>
  <c r="P529" i="50" s="1"/>
  <c r="D528" i="50"/>
  <c r="D529" i="50" s="1"/>
  <c r="C77" i="50"/>
  <c r="P79" i="50" s="1"/>
  <c r="C83" i="50"/>
  <c r="P85" i="50" s="1"/>
  <c r="C92" i="50"/>
  <c r="P94" i="50" s="1"/>
  <c r="C98" i="50"/>
  <c r="P100" i="50" s="1"/>
  <c r="C89" i="50"/>
  <c r="P91" i="50" s="1"/>
  <c r="C95" i="50"/>
  <c r="P97" i="50" s="1"/>
  <c r="C62" i="50"/>
  <c r="C68" i="50"/>
  <c r="P70" i="50" s="1"/>
  <c r="C86" i="50"/>
  <c r="P88" i="50" s="1"/>
  <c r="C101" i="50"/>
  <c r="P103" i="50" s="1"/>
  <c r="C65" i="50"/>
  <c r="P67" i="50" s="1"/>
  <c r="C80" i="50"/>
  <c r="P82" i="50" s="1"/>
  <c r="C104" i="50"/>
  <c r="P106" i="50" s="1"/>
  <c r="C107" i="50"/>
  <c r="P109" i="50" s="1"/>
  <c r="C74" i="50"/>
  <c r="P76" i="50" s="1"/>
  <c r="J111" i="50"/>
  <c r="M111" i="50"/>
  <c r="L111" i="50"/>
  <c r="O176" i="50"/>
  <c r="J176" i="50"/>
  <c r="N176" i="50"/>
  <c r="R259" i="31"/>
  <c r="R256" i="31"/>
  <c r="I21" i="44"/>
  <c r="J21" i="44" s="1"/>
  <c r="G299" i="50"/>
  <c r="M299" i="50"/>
  <c r="P280" i="50"/>
  <c r="D298" i="50"/>
  <c r="C221" i="50"/>
  <c r="P223" i="50" s="1"/>
  <c r="C212" i="50"/>
  <c r="P214" i="50" s="1"/>
  <c r="C206" i="50"/>
  <c r="P208" i="50" s="1"/>
  <c r="C218" i="50"/>
  <c r="P220" i="50" s="1"/>
  <c r="C215" i="50"/>
  <c r="P217" i="50" s="1"/>
  <c r="C200" i="50"/>
  <c r="P202" i="50" s="1"/>
  <c r="C182" i="50"/>
  <c r="P184" i="50" s="1"/>
  <c r="C185" i="50"/>
  <c r="P187" i="50" s="1"/>
  <c r="C209" i="50"/>
  <c r="P211" i="50" s="1"/>
  <c r="C227" i="50"/>
  <c r="P229" i="50" s="1"/>
  <c r="C179" i="50"/>
  <c r="C224" i="50"/>
  <c r="P226" i="50" s="1"/>
  <c r="C188" i="50"/>
  <c r="P190" i="50" s="1"/>
  <c r="C203" i="50"/>
  <c r="P205" i="50" s="1"/>
  <c r="C191" i="50"/>
  <c r="P193" i="50" s="1"/>
  <c r="C230" i="50"/>
  <c r="P232" i="50" s="1"/>
  <c r="C197" i="50"/>
  <c r="P199" i="50" s="1"/>
  <c r="N234" i="50"/>
  <c r="P194" i="50"/>
  <c r="D233" i="50"/>
  <c r="F234" i="50"/>
  <c r="P160" i="50"/>
  <c r="D175" i="50"/>
  <c r="I76" i="1"/>
  <c r="J76" i="1" s="1"/>
  <c r="J95" i="1" s="1"/>
  <c r="B547" i="50" s="1"/>
  <c r="C513" i="50"/>
  <c r="P515" i="50" s="1"/>
  <c r="C507" i="50"/>
  <c r="P509" i="50" s="1"/>
  <c r="C510" i="50"/>
  <c r="P512" i="50" s="1"/>
  <c r="C519" i="50"/>
  <c r="P521" i="50" s="1"/>
  <c r="C501" i="50"/>
  <c r="P503" i="50" s="1"/>
  <c r="C516" i="50"/>
  <c r="P518" i="50" s="1"/>
  <c r="C504" i="50"/>
  <c r="P506" i="50" s="1"/>
  <c r="C489" i="50"/>
  <c r="C492" i="50"/>
  <c r="P494" i="50" s="1"/>
  <c r="C522" i="50"/>
  <c r="P524" i="50" s="1"/>
  <c r="C525" i="50"/>
  <c r="P527" i="50" s="1"/>
  <c r="C498" i="50"/>
  <c r="P500" i="50" s="1"/>
  <c r="E529" i="50"/>
  <c r="L529" i="50"/>
  <c r="H529" i="50"/>
  <c r="F111" i="50"/>
  <c r="P71" i="50"/>
  <c r="D110" i="50"/>
  <c r="E111" i="50"/>
  <c r="C169" i="50"/>
  <c r="P171" i="50" s="1"/>
  <c r="C163" i="50"/>
  <c r="P165" i="50" s="1"/>
  <c r="C157" i="50"/>
  <c r="P159" i="50" s="1"/>
  <c r="C154" i="50"/>
  <c r="C166" i="50"/>
  <c r="P168" i="50" s="1"/>
  <c r="C172" i="50"/>
  <c r="P174" i="50" s="1"/>
  <c r="M176" i="50"/>
  <c r="I176" i="50"/>
  <c r="G176" i="50"/>
  <c r="I23" i="38"/>
  <c r="J23" i="38" s="1"/>
  <c r="L260" i="31"/>
  <c r="C286" i="50"/>
  <c r="P288" i="50" s="1"/>
  <c r="C283" i="50"/>
  <c r="P285" i="50" s="1"/>
  <c r="C274" i="50"/>
  <c r="C295" i="50"/>
  <c r="P297" i="50" s="1"/>
  <c r="C289" i="50"/>
  <c r="P291" i="50" s="1"/>
  <c r="C292" i="50"/>
  <c r="P294" i="50" s="1"/>
  <c r="C277" i="50"/>
  <c r="P279" i="50" s="1"/>
  <c r="F299" i="50"/>
  <c r="H299" i="50"/>
  <c r="O299" i="50"/>
  <c r="G234" i="50"/>
  <c r="K234" i="50"/>
  <c r="L234" i="50"/>
  <c r="E547" i="50" l="1"/>
  <c r="I547" i="50"/>
  <c r="J547" i="50"/>
  <c r="G547" i="50"/>
  <c r="H547" i="50"/>
  <c r="L547" i="50"/>
  <c r="N547" i="50"/>
  <c r="F547" i="50"/>
  <c r="D547" i="50"/>
  <c r="K547" i="50"/>
  <c r="M547" i="50"/>
  <c r="O547" i="50"/>
  <c r="D234" i="50"/>
  <c r="P233" i="50"/>
  <c r="P298" i="50"/>
  <c r="D299" i="50"/>
  <c r="R529" i="50"/>
  <c r="B449" i="50"/>
  <c r="P156" i="50"/>
  <c r="C175" i="50"/>
  <c r="D176" i="50"/>
  <c r="P175" i="50"/>
  <c r="P181" i="50"/>
  <c r="C233" i="50"/>
  <c r="P64" i="50"/>
  <c r="C110" i="50"/>
  <c r="P491" i="50"/>
  <c r="C528" i="50"/>
  <c r="P110" i="50"/>
  <c r="D111" i="50"/>
  <c r="C298" i="50"/>
  <c r="P276" i="50"/>
  <c r="H34" i="46"/>
  <c r="D424" i="31" l="1"/>
  <c r="D18" i="31"/>
  <c r="R234" i="50"/>
  <c r="P234" i="50"/>
  <c r="R299" i="50"/>
  <c r="P299" i="50"/>
  <c r="P547" i="50"/>
  <c r="R111" i="50"/>
  <c r="P111" i="50"/>
  <c r="R176" i="50"/>
  <c r="P176" i="50"/>
  <c r="O449" i="50"/>
  <c r="O485" i="50" s="1"/>
  <c r="J449" i="50"/>
  <c r="J485" i="50" s="1"/>
  <c r="D449" i="50"/>
  <c r="M449" i="50"/>
  <c r="M485" i="50" s="1"/>
  <c r="G449" i="50"/>
  <c r="G485" i="50" s="1"/>
  <c r="F449" i="50"/>
  <c r="F485" i="50" s="1"/>
  <c r="N449" i="50"/>
  <c r="N485" i="50" s="1"/>
  <c r="K449" i="50"/>
  <c r="K485" i="50" s="1"/>
  <c r="I449" i="50"/>
  <c r="I485" i="50" s="1"/>
  <c r="E449" i="50"/>
  <c r="E485" i="50" s="1"/>
  <c r="H449" i="50"/>
  <c r="H485" i="50" s="1"/>
  <c r="L449" i="50"/>
  <c r="L485" i="50" s="1"/>
  <c r="B485" i="50"/>
  <c r="C449" i="50" s="1"/>
  <c r="P451" i="50" s="1"/>
  <c r="H486" i="50" l="1"/>
  <c r="N486" i="50"/>
  <c r="I486" i="50"/>
  <c r="G486" i="50"/>
  <c r="O486" i="50"/>
  <c r="G424" i="31"/>
  <c r="R424" i="31" s="1"/>
  <c r="G18" i="31"/>
  <c r="R18" i="31" s="1"/>
  <c r="L486" i="50"/>
  <c r="K486" i="50"/>
  <c r="M486" i="50"/>
  <c r="P449" i="50"/>
  <c r="P485" i="50" s="1"/>
  <c r="P486" i="50" s="1"/>
  <c r="D485" i="50"/>
  <c r="D486" i="50" s="1"/>
  <c r="C461" i="50"/>
  <c r="P463" i="50" s="1"/>
  <c r="C455" i="50"/>
  <c r="P457" i="50" s="1"/>
  <c r="C473" i="50"/>
  <c r="P475" i="50" s="1"/>
  <c r="C452" i="50"/>
  <c r="P454" i="50" s="1"/>
  <c r="C443" i="50"/>
  <c r="C470" i="50"/>
  <c r="P472" i="50" s="1"/>
  <c r="C476" i="50"/>
  <c r="P478" i="50" s="1"/>
  <c r="C458" i="50"/>
  <c r="P460" i="50" s="1"/>
  <c r="C467" i="50"/>
  <c r="P469" i="50" s="1"/>
  <c r="C446" i="50"/>
  <c r="P448" i="50" s="1"/>
  <c r="C464" i="50"/>
  <c r="P466" i="50" s="1"/>
  <c r="C482" i="50"/>
  <c r="P484" i="50" s="1"/>
  <c r="C479" i="50"/>
  <c r="P481" i="50" s="1"/>
  <c r="E486" i="50"/>
  <c r="F486" i="50"/>
  <c r="J486" i="50"/>
  <c r="F15" i="1"/>
  <c r="F14" i="35"/>
  <c r="F14" i="34"/>
  <c r="I14" i="34" s="1"/>
  <c r="J14" i="34" s="1"/>
  <c r="J16" i="34" s="1"/>
  <c r="B302" i="50" s="1"/>
  <c r="L18" i="31"/>
  <c r="I15" i="1" l="1"/>
  <c r="J15" i="1" s="1"/>
  <c r="J18" i="1" s="1"/>
  <c r="B532" i="50" s="1"/>
  <c r="E532" i="50" s="1"/>
  <c r="I14" i="35"/>
  <c r="J14" i="35" s="1"/>
  <c r="J16" i="35" s="1"/>
  <c r="J213" i="35"/>
  <c r="D17" i="31"/>
  <c r="D12" i="31"/>
  <c r="B16" i="50"/>
  <c r="K532" i="50"/>
  <c r="J532" i="50"/>
  <c r="O532" i="50"/>
  <c r="I532" i="50"/>
  <c r="L532" i="50"/>
  <c r="H532" i="50"/>
  <c r="F532" i="50"/>
  <c r="N532" i="50"/>
  <c r="G532" i="50"/>
  <c r="C485" i="50"/>
  <c r="P445" i="50"/>
  <c r="R486" i="50"/>
  <c r="F302" i="50"/>
  <c r="K302" i="50"/>
  <c r="M302" i="50"/>
  <c r="L302" i="50"/>
  <c r="O302" i="50"/>
  <c r="D302" i="50"/>
  <c r="N302" i="50"/>
  <c r="G302" i="50"/>
  <c r="I302" i="50"/>
  <c r="E302" i="50"/>
  <c r="J302" i="50"/>
  <c r="H302" i="50"/>
  <c r="D532" i="50" l="1"/>
  <c r="M532" i="50"/>
  <c r="F193" i="1"/>
  <c r="I193" i="1" s="1"/>
  <c r="J193" i="1" s="1"/>
  <c r="J201" i="1" s="1"/>
  <c r="P532" i="50"/>
  <c r="P302" i="50"/>
  <c r="K16" i="50"/>
  <c r="D16" i="50"/>
  <c r="G16" i="50"/>
  <c r="M16" i="50"/>
  <c r="H16" i="50"/>
  <c r="I16" i="50"/>
  <c r="E16" i="50"/>
  <c r="F16" i="50"/>
  <c r="O16" i="50"/>
  <c r="N16" i="50"/>
  <c r="L16" i="50"/>
  <c r="J16" i="50"/>
  <c r="F104" i="38"/>
  <c r="I104" i="38" s="1"/>
  <c r="J104" i="38" s="1"/>
  <c r="F107" i="38"/>
  <c r="F108" i="38"/>
  <c r="I108" i="38" s="1"/>
  <c r="J108" i="38" s="1"/>
  <c r="F105" i="38"/>
  <c r="I105" i="38" s="1"/>
  <c r="J105" i="38" s="1"/>
  <c r="F106" i="38"/>
  <c r="I106" i="38" s="1"/>
  <c r="J106" i="38" s="1"/>
  <c r="I107" i="38" l="1"/>
  <c r="J107" i="38" s="1"/>
  <c r="G17" i="31"/>
  <c r="G12" i="31"/>
  <c r="P16" i="50"/>
  <c r="B568" i="50"/>
  <c r="J109" i="38"/>
  <c r="H38" i="46"/>
  <c r="R404" i="31" l="1"/>
  <c r="R17" i="31"/>
  <c r="L17" i="31"/>
  <c r="D568" i="50"/>
  <c r="M568" i="50"/>
  <c r="M571" i="50" s="1"/>
  <c r="K568" i="50"/>
  <c r="K571" i="50" s="1"/>
  <c r="G568" i="50"/>
  <c r="G571" i="50" s="1"/>
  <c r="L568" i="50"/>
  <c r="L571" i="50" s="1"/>
  <c r="N568" i="50"/>
  <c r="N571" i="50" s="1"/>
  <c r="H568" i="50"/>
  <c r="H571" i="50" s="1"/>
  <c r="I568" i="50"/>
  <c r="I571" i="50" s="1"/>
  <c r="E568" i="50"/>
  <c r="E571" i="50" s="1"/>
  <c r="F568" i="50"/>
  <c r="F571" i="50" s="1"/>
  <c r="J568" i="50"/>
  <c r="J571" i="50" s="1"/>
  <c r="O568" i="50"/>
  <c r="O571" i="50" s="1"/>
  <c r="B571" i="50"/>
  <c r="C568" i="50" s="1"/>
  <c r="P570" i="50" s="1"/>
  <c r="B593" i="50"/>
  <c r="L12" i="31"/>
  <c r="R12" i="31"/>
  <c r="J572" i="50" l="1"/>
  <c r="H572" i="50"/>
  <c r="K572" i="50"/>
  <c r="E572" i="50"/>
  <c r="L572" i="50"/>
  <c r="E216" i="31"/>
  <c r="P568" i="50"/>
  <c r="P571" i="50" s="1"/>
  <c r="P572" i="50" s="1"/>
  <c r="D571" i="50"/>
  <c r="D572" i="50" s="1"/>
  <c r="O572" i="50"/>
  <c r="I572" i="50"/>
  <c r="G572" i="50"/>
  <c r="D593" i="50"/>
  <c r="K593" i="50"/>
  <c r="E593" i="50"/>
  <c r="N593" i="50"/>
  <c r="L593" i="50"/>
  <c r="J593" i="50"/>
  <c r="H593" i="50"/>
  <c r="F593" i="50"/>
  <c r="I593" i="50"/>
  <c r="G593" i="50"/>
  <c r="O593" i="50"/>
  <c r="M593" i="50"/>
  <c r="C562" i="50"/>
  <c r="P564" i="50" s="1"/>
  <c r="C538" i="50"/>
  <c r="P540" i="50" s="1"/>
  <c r="C565" i="50"/>
  <c r="P567" i="50" s="1"/>
  <c r="C541" i="50"/>
  <c r="P543" i="50" s="1"/>
  <c r="C544" i="50"/>
  <c r="P546" i="50" s="1"/>
  <c r="C559" i="50"/>
  <c r="P561" i="50" s="1"/>
  <c r="C556" i="50"/>
  <c r="P558" i="50" s="1"/>
  <c r="C535" i="50"/>
  <c r="P537" i="50" s="1"/>
  <c r="C553" i="50"/>
  <c r="P555" i="50" s="1"/>
  <c r="C550" i="50"/>
  <c r="P552" i="50" s="1"/>
  <c r="C547" i="50"/>
  <c r="P549" i="50" s="1"/>
  <c r="C532" i="50"/>
  <c r="F572" i="50"/>
  <c r="N572" i="50"/>
  <c r="M572" i="50"/>
  <c r="G216" i="31" l="1"/>
  <c r="R212" i="31" s="1"/>
  <c r="J216" i="31"/>
  <c r="N3" i="31" s="1"/>
  <c r="G81" i="32"/>
  <c r="I81" i="32" s="1"/>
  <c r="J81" i="32" s="1"/>
  <c r="J93" i="32" s="1"/>
  <c r="G105" i="35"/>
  <c r="G103" i="34"/>
  <c r="I103" i="34" s="1"/>
  <c r="J103" i="34" s="1"/>
  <c r="J115" i="34" s="1"/>
  <c r="J248" i="34" s="1"/>
  <c r="G55" i="38"/>
  <c r="G74" i="36"/>
  <c r="G41" i="44"/>
  <c r="I41" i="44" s="1"/>
  <c r="J41" i="44" s="1"/>
  <c r="J52" i="44" s="1"/>
  <c r="R216" i="31"/>
  <c r="L216" i="31"/>
  <c r="P3" i="31" s="1"/>
  <c r="C571" i="50"/>
  <c r="P534" i="50"/>
  <c r="P593" i="50"/>
  <c r="R572" i="50"/>
  <c r="H28" i="46"/>
  <c r="I55" i="38" l="1"/>
  <c r="J55" i="38" s="1"/>
  <c r="J67" i="38" s="1"/>
  <c r="I74" i="36"/>
  <c r="J74" i="36" s="1"/>
  <c r="J86" i="36" s="1"/>
  <c r="B400" i="50" s="1"/>
  <c r="I105" i="35"/>
  <c r="J105" i="35" s="1"/>
  <c r="J117" i="35" s="1"/>
  <c r="B22" i="50" s="1"/>
  <c r="J214" i="35"/>
  <c r="B243" i="50"/>
  <c r="J215" i="35"/>
  <c r="B120" i="50"/>
  <c r="J166" i="32"/>
  <c r="B581" i="50"/>
  <c r="J141" i="38"/>
  <c r="B317" i="50"/>
  <c r="H32" i="46"/>
  <c r="H40" i="46"/>
  <c r="H43" i="46" l="1"/>
  <c r="G317" i="50"/>
  <c r="G359" i="50" s="1"/>
  <c r="K317" i="50"/>
  <c r="K359" i="50" s="1"/>
  <c r="E317" i="50"/>
  <c r="E359" i="50" s="1"/>
  <c r="M317" i="50"/>
  <c r="M359" i="50" s="1"/>
  <c r="N317" i="50"/>
  <c r="N359" i="50" s="1"/>
  <c r="L317" i="50"/>
  <c r="L359" i="50" s="1"/>
  <c r="I317" i="50"/>
  <c r="I359" i="50" s="1"/>
  <c r="F317" i="50"/>
  <c r="F359" i="50" s="1"/>
  <c r="J317" i="50"/>
  <c r="J359" i="50" s="1"/>
  <c r="O317" i="50"/>
  <c r="O359" i="50" s="1"/>
  <c r="D317" i="50"/>
  <c r="H317" i="50"/>
  <c r="H359" i="50" s="1"/>
  <c r="B359" i="50"/>
  <c r="I120" i="50"/>
  <c r="I150" i="50" s="1"/>
  <c r="O120" i="50"/>
  <c r="O150" i="50" s="1"/>
  <c r="H120" i="50"/>
  <c r="H150" i="50" s="1"/>
  <c r="F120" i="50"/>
  <c r="F150" i="50" s="1"/>
  <c r="M120" i="50"/>
  <c r="M150" i="50" s="1"/>
  <c r="N120" i="50"/>
  <c r="N150" i="50" s="1"/>
  <c r="N151" i="50" s="1"/>
  <c r="G120" i="50"/>
  <c r="G150" i="50" s="1"/>
  <c r="E120" i="50"/>
  <c r="E150" i="50" s="1"/>
  <c r="D120" i="50"/>
  <c r="K120" i="50"/>
  <c r="K150" i="50" s="1"/>
  <c r="K151" i="50" s="1"/>
  <c r="J120" i="50"/>
  <c r="J150" i="50" s="1"/>
  <c r="L120" i="50"/>
  <c r="L150" i="50" s="1"/>
  <c r="B150" i="50"/>
  <c r="O22" i="50"/>
  <c r="O58" i="50" s="1"/>
  <c r="D22" i="50"/>
  <c r="H22" i="50"/>
  <c r="H58" i="50" s="1"/>
  <c r="K22" i="50"/>
  <c r="K58" i="50" s="1"/>
  <c r="I22" i="50"/>
  <c r="I58" i="50" s="1"/>
  <c r="L22" i="50"/>
  <c r="L58" i="50" s="1"/>
  <c r="N22" i="50"/>
  <c r="N58" i="50" s="1"/>
  <c r="F22" i="50"/>
  <c r="F58" i="50" s="1"/>
  <c r="E22" i="50"/>
  <c r="E58" i="50" s="1"/>
  <c r="J22" i="50"/>
  <c r="J58" i="50" s="1"/>
  <c r="G22" i="50"/>
  <c r="G58" i="50" s="1"/>
  <c r="M22" i="50"/>
  <c r="M58" i="50" s="1"/>
  <c r="B58" i="50"/>
  <c r="C22" i="50" s="1"/>
  <c r="P24" i="50" s="1"/>
  <c r="E243" i="50"/>
  <c r="E270" i="50" s="1"/>
  <c r="I243" i="50"/>
  <c r="I270" i="50" s="1"/>
  <c r="O243" i="50"/>
  <c r="O270" i="50" s="1"/>
  <c r="K243" i="50"/>
  <c r="K270" i="50" s="1"/>
  <c r="G243" i="50"/>
  <c r="G270" i="50" s="1"/>
  <c r="N243" i="50"/>
  <c r="N270" i="50" s="1"/>
  <c r="F243" i="50"/>
  <c r="F270" i="50" s="1"/>
  <c r="L243" i="50"/>
  <c r="L270" i="50" s="1"/>
  <c r="M243" i="50"/>
  <c r="M270" i="50" s="1"/>
  <c r="D243" i="50"/>
  <c r="J243" i="50"/>
  <c r="J270" i="50" s="1"/>
  <c r="J271" i="50" s="1"/>
  <c r="H243" i="50"/>
  <c r="H270" i="50" s="1"/>
  <c r="B270" i="50"/>
  <c r="C243" i="50" s="1"/>
  <c r="P245" i="50" s="1"/>
  <c r="H581" i="50"/>
  <c r="H614" i="50" s="1"/>
  <c r="E581" i="50"/>
  <c r="E614" i="50" s="1"/>
  <c r="G581" i="50"/>
  <c r="G614" i="50" s="1"/>
  <c r="M581" i="50"/>
  <c r="M614" i="50" s="1"/>
  <c r="D581" i="50"/>
  <c r="L581" i="50"/>
  <c r="L614" i="50" s="1"/>
  <c r="N581" i="50"/>
  <c r="N614" i="50" s="1"/>
  <c r="K581" i="50"/>
  <c r="K614" i="50" s="1"/>
  <c r="F581" i="50"/>
  <c r="F614" i="50" s="1"/>
  <c r="I581" i="50"/>
  <c r="I614" i="50" s="1"/>
  <c r="J581" i="50"/>
  <c r="J614" i="50" s="1"/>
  <c r="O581" i="50"/>
  <c r="O614" i="50" s="1"/>
  <c r="B614" i="50"/>
  <c r="C581" i="50" s="1"/>
  <c r="P583" i="50" s="1"/>
  <c r="F400" i="50"/>
  <c r="F439" i="50" s="1"/>
  <c r="O400" i="50"/>
  <c r="O439" i="50" s="1"/>
  <c r="K400" i="50"/>
  <c r="K439" i="50" s="1"/>
  <c r="E400" i="50"/>
  <c r="E439" i="50" s="1"/>
  <c r="I400" i="50"/>
  <c r="I439" i="50" s="1"/>
  <c r="M400" i="50"/>
  <c r="M439" i="50" s="1"/>
  <c r="J400" i="50"/>
  <c r="J439" i="50" s="1"/>
  <c r="N400" i="50"/>
  <c r="N439" i="50" s="1"/>
  <c r="L400" i="50"/>
  <c r="L439" i="50" s="1"/>
  <c r="G400" i="50"/>
  <c r="G439" i="50" s="1"/>
  <c r="D400" i="50"/>
  <c r="H400" i="50"/>
  <c r="H439" i="50" s="1"/>
  <c r="B439" i="50"/>
  <c r="H52" i="46" l="1"/>
  <c r="H54" i="46" s="1"/>
  <c r="J615" i="50"/>
  <c r="F271" i="50"/>
  <c r="O271" i="50"/>
  <c r="M271" i="50"/>
  <c r="H271" i="50"/>
  <c r="G271" i="50"/>
  <c r="L151" i="50"/>
  <c r="E151" i="50"/>
  <c r="F151" i="50"/>
  <c r="O151" i="50"/>
  <c r="J151" i="50"/>
  <c r="L440" i="50"/>
  <c r="I440" i="50"/>
  <c r="F440" i="50"/>
  <c r="N615" i="50"/>
  <c r="G615" i="50"/>
  <c r="G59" i="50"/>
  <c r="G617" i="50"/>
  <c r="N617" i="50"/>
  <c r="N59" i="50"/>
  <c r="H59" i="50"/>
  <c r="H617" i="50"/>
  <c r="C344" i="50"/>
  <c r="P346" i="50" s="1"/>
  <c r="C338" i="50"/>
  <c r="P340" i="50" s="1"/>
  <c r="C323" i="50"/>
  <c r="P325" i="50" s="1"/>
  <c r="C350" i="50"/>
  <c r="P352" i="50" s="1"/>
  <c r="C305" i="50"/>
  <c r="P307" i="50" s="1"/>
  <c r="C335" i="50"/>
  <c r="P337" i="50" s="1"/>
  <c r="C311" i="50"/>
  <c r="P313" i="50" s="1"/>
  <c r="C341" i="50"/>
  <c r="P343" i="50" s="1"/>
  <c r="C308" i="50"/>
  <c r="P310" i="50" s="1"/>
  <c r="C332" i="50"/>
  <c r="P334" i="50" s="1"/>
  <c r="C353" i="50"/>
  <c r="P355" i="50" s="1"/>
  <c r="C329" i="50"/>
  <c r="P331" i="50" s="1"/>
  <c r="C347" i="50"/>
  <c r="P349" i="50" s="1"/>
  <c r="C326" i="50"/>
  <c r="P328" i="50" s="1"/>
  <c r="C320" i="50"/>
  <c r="P322" i="50" s="1"/>
  <c r="C314" i="50"/>
  <c r="P316" i="50" s="1"/>
  <c r="C356" i="50"/>
  <c r="P358" i="50" s="1"/>
  <c r="C302" i="50"/>
  <c r="O360" i="50"/>
  <c r="L360" i="50"/>
  <c r="K360" i="50"/>
  <c r="H440" i="50"/>
  <c r="N440" i="50"/>
  <c r="E440" i="50"/>
  <c r="C575" i="50"/>
  <c r="C605" i="50"/>
  <c r="P607" i="50" s="1"/>
  <c r="C587" i="50"/>
  <c r="C596" i="50"/>
  <c r="P598" i="50" s="1"/>
  <c r="C590" i="50"/>
  <c r="C578" i="50"/>
  <c r="P580" i="50" s="1"/>
  <c r="C608" i="50"/>
  <c r="P610" i="50" s="1"/>
  <c r="C599" i="50"/>
  <c r="P601" i="50" s="1"/>
  <c r="C602" i="50"/>
  <c r="P604" i="50" s="1"/>
  <c r="C611" i="50"/>
  <c r="P613" i="50" s="1"/>
  <c r="C584" i="50"/>
  <c r="P586" i="50" s="1"/>
  <c r="C593" i="50"/>
  <c r="I615" i="50"/>
  <c r="L615" i="50"/>
  <c r="E615" i="50"/>
  <c r="L271" i="50"/>
  <c r="K271" i="50"/>
  <c r="C46" i="50"/>
  <c r="P48" i="50" s="1"/>
  <c r="C37" i="50"/>
  <c r="P39" i="50" s="1"/>
  <c r="C40" i="50"/>
  <c r="P42" i="50" s="1"/>
  <c r="B617" i="50"/>
  <c r="C31" i="50"/>
  <c r="P33" i="50" s="1"/>
  <c r="C52" i="50"/>
  <c r="P54" i="50" s="1"/>
  <c r="C43" i="50"/>
  <c r="P45" i="50" s="1"/>
  <c r="C49" i="50"/>
  <c r="P51" i="50" s="1"/>
  <c r="C19" i="50"/>
  <c r="P21" i="50" s="1"/>
  <c r="C34" i="50"/>
  <c r="P36" i="50" s="1"/>
  <c r="C28" i="50"/>
  <c r="P30" i="50" s="1"/>
  <c r="C55" i="50"/>
  <c r="P57" i="50" s="1"/>
  <c r="C25" i="50"/>
  <c r="P27" i="50" s="1"/>
  <c r="C16" i="50"/>
  <c r="J617" i="50"/>
  <c r="J59" i="50"/>
  <c r="L617" i="50"/>
  <c r="L59" i="50"/>
  <c r="D58" i="50"/>
  <c r="P22" i="50"/>
  <c r="G151" i="50"/>
  <c r="H151" i="50"/>
  <c r="C317" i="50"/>
  <c r="P319" i="50" s="1"/>
  <c r="J360" i="50"/>
  <c r="N360" i="50"/>
  <c r="G360" i="50"/>
  <c r="C415" i="50"/>
  <c r="P417" i="50" s="1"/>
  <c r="C421" i="50"/>
  <c r="P423" i="50" s="1"/>
  <c r="C424" i="50"/>
  <c r="P426" i="50" s="1"/>
  <c r="C394" i="50"/>
  <c r="C406" i="50"/>
  <c r="P408" i="50" s="1"/>
  <c r="C430" i="50"/>
  <c r="P432" i="50" s="1"/>
  <c r="C409" i="50"/>
  <c r="P411" i="50" s="1"/>
  <c r="C433" i="50"/>
  <c r="P435" i="50" s="1"/>
  <c r="C418" i="50"/>
  <c r="P420" i="50" s="1"/>
  <c r="C397" i="50"/>
  <c r="P399" i="50" s="1"/>
  <c r="C412" i="50"/>
  <c r="P414" i="50" s="1"/>
  <c r="C427" i="50"/>
  <c r="P429" i="50" s="1"/>
  <c r="C436" i="50"/>
  <c r="P438" i="50" s="1"/>
  <c r="C403" i="50"/>
  <c r="P405" i="50" s="1"/>
  <c r="C400" i="50"/>
  <c r="P402" i="50" s="1"/>
  <c r="P400" i="50"/>
  <c r="P439" i="50" s="1"/>
  <c r="D439" i="50"/>
  <c r="D440" i="50" s="1"/>
  <c r="J440" i="50"/>
  <c r="K440" i="50"/>
  <c r="F615" i="50"/>
  <c r="P581" i="50"/>
  <c r="P614" i="50" s="1"/>
  <c r="P615" i="50" s="1"/>
  <c r="D614" i="50"/>
  <c r="D615" i="50" s="1"/>
  <c r="H615" i="50"/>
  <c r="E617" i="50"/>
  <c r="E59" i="50"/>
  <c r="I617" i="50"/>
  <c r="I59" i="50"/>
  <c r="O617" i="50"/>
  <c r="O59" i="50"/>
  <c r="H360" i="50"/>
  <c r="F360" i="50"/>
  <c r="M360" i="50"/>
  <c r="G440" i="50"/>
  <c r="M440" i="50"/>
  <c r="O440" i="50"/>
  <c r="O615" i="50"/>
  <c r="K615" i="50"/>
  <c r="M615" i="50"/>
  <c r="E271" i="50"/>
  <c r="C258" i="50"/>
  <c r="P260" i="50" s="1"/>
  <c r="C255" i="50"/>
  <c r="P257" i="50" s="1"/>
  <c r="C246" i="50"/>
  <c r="P248" i="50" s="1"/>
  <c r="C237" i="50"/>
  <c r="C261" i="50"/>
  <c r="P263" i="50" s="1"/>
  <c r="C267" i="50"/>
  <c r="P269" i="50" s="1"/>
  <c r="C249" i="50"/>
  <c r="P251" i="50" s="1"/>
  <c r="C252" i="50"/>
  <c r="P254" i="50" s="1"/>
  <c r="C240" i="50"/>
  <c r="P242" i="50" s="1"/>
  <c r="C264" i="50"/>
  <c r="P266" i="50" s="1"/>
  <c r="D270" i="50"/>
  <c r="P243" i="50"/>
  <c r="N271" i="50"/>
  <c r="I271" i="50"/>
  <c r="M59" i="50"/>
  <c r="M617" i="50"/>
  <c r="M618" i="50" s="1"/>
  <c r="F59" i="50"/>
  <c r="F617" i="50"/>
  <c r="K617" i="50"/>
  <c r="K59" i="50"/>
  <c r="C120" i="50"/>
  <c r="P122" i="50" s="1"/>
  <c r="C135" i="50"/>
  <c r="P137" i="50" s="1"/>
  <c r="C129" i="50"/>
  <c r="P131" i="50" s="1"/>
  <c r="C132" i="50"/>
  <c r="P134" i="50" s="1"/>
  <c r="C141" i="50"/>
  <c r="P143" i="50" s="1"/>
  <c r="C114" i="50"/>
  <c r="C126" i="50"/>
  <c r="P128" i="50" s="1"/>
  <c r="C117" i="50"/>
  <c r="P119" i="50" s="1"/>
  <c r="C144" i="50"/>
  <c r="P146" i="50" s="1"/>
  <c r="C138" i="50"/>
  <c r="P140" i="50" s="1"/>
  <c r="C147" i="50"/>
  <c r="P149" i="50" s="1"/>
  <c r="C123" i="50"/>
  <c r="P125" i="50" s="1"/>
  <c r="D150" i="50"/>
  <c r="P120" i="50"/>
  <c r="M151" i="50"/>
  <c r="I151" i="50"/>
  <c r="P317" i="50"/>
  <c r="D359" i="50"/>
  <c r="I360" i="50"/>
  <c r="E360" i="50"/>
  <c r="H55" i="46" l="1"/>
  <c r="H56" i="46" s="1"/>
  <c r="K618" i="50"/>
  <c r="D271" i="50"/>
  <c r="P270" i="50"/>
  <c r="I618" i="50"/>
  <c r="R615" i="50"/>
  <c r="C614" i="50"/>
  <c r="P577" i="50"/>
  <c r="N618" i="50"/>
  <c r="F618" i="50"/>
  <c r="P440" i="50"/>
  <c r="R440" i="50"/>
  <c r="P58" i="50"/>
  <c r="D59" i="50"/>
  <c r="D617" i="50"/>
  <c r="J618" i="50"/>
  <c r="H618" i="50"/>
  <c r="G618" i="50"/>
  <c r="C150" i="50"/>
  <c r="P116" i="50"/>
  <c r="P150" i="50"/>
  <c r="D151" i="50"/>
  <c r="O618" i="50"/>
  <c r="E618" i="50"/>
  <c r="C439" i="50"/>
  <c r="P396" i="50"/>
  <c r="P18" i="50"/>
  <c r="C58" i="50"/>
  <c r="D360" i="50"/>
  <c r="P359" i="50"/>
  <c r="P239" i="50"/>
  <c r="C270" i="50"/>
  <c r="L618" i="50"/>
  <c r="P304" i="50"/>
  <c r="C359" i="50"/>
  <c r="P360" i="50" l="1"/>
  <c r="R360" i="50"/>
  <c r="D618" i="50"/>
  <c r="R271" i="50"/>
  <c r="P271" i="50"/>
  <c r="B618" i="50"/>
  <c r="R59" i="50"/>
  <c r="P59" i="50"/>
  <c r="P151" i="50"/>
  <c r="R151" i="50"/>
  <c r="P617" i="50"/>
  <c r="B619" i="50" l="1"/>
  <c r="C618" i="50" s="1"/>
  <c r="P618" i="50"/>
  <c r="P619" i="50" l="1"/>
  <c r="M619" i="50"/>
  <c r="M620" i="50" s="1"/>
  <c r="J619" i="50"/>
  <c r="J620" i="50" s="1"/>
  <c r="G619" i="50"/>
  <c r="G620" i="50" s="1"/>
  <c r="O619" i="50"/>
  <c r="O620" i="50" s="1"/>
  <c r="L619" i="50"/>
  <c r="L620" i="50" s="1"/>
  <c r="K619" i="50"/>
  <c r="K620" i="50" s="1"/>
  <c r="I619" i="50"/>
  <c r="I620" i="50" s="1"/>
  <c r="F619" i="50"/>
  <c r="F620" i="50" s="1"/>
  <c r="H619" i="50"/>
  <c r="H620" i="50" s="1"/>
  <c r="E619" i="50"/>
  <c r="E620" i="50" s="1"/>
  <c r="C617" i="50"/>
  <c r="C619" i="50" s="1"/>
  <c r="N619" i="50"/>
  <c r="N620" i="50" s="1"/>
  <c r="D619" i="50"/>
  <c r="D620" i="50" l="1"/>
  <c r="D622" i="50" s="1"/>
  <c r="E622" i="50" s="1"/>
  <c r="F622" i="50" s="1"/>
  <c r="G622" i="50" s="1"/>
  <c r="H622" i="50" s="1"/>
  <c r="I622" i="50" s="1"/>
  <c r="J622" i="50" s="1"/>
  <c r="K622" i="50" s="1"/>
  <c r="L622" i="50" s="1"/>
  <c r="M622" i="50" s="1"/>
  <c r="N622" i="50" s="1"/>
  <c r="O622" i="50" s="1"/>
  <c r="D621" i="50"/>
  <c r="E621" i="50" s="1"/>
  <c r="F621" i="50" s="1"/>
  <c r="G621" i="50" s="1"/>
  <c r="H621" i="50" s="1"/>
  <c r="I621" i="50" s="1"/>
  <c r="J621" i="50" s="1"/>
  <c r="K621" i="50" s="1"/>
  <c r="L621" i="50" s="1"/>
  <c r="M621" i="50" s="1"/>
  <c r="N621" i="50" s="1"/>
  <c r="O621" i="5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Mailcon</author>
  </authors>
  <commentList>
    <comment ref="C73" authorId="0" shapeId="0" xr:uid="{00000000-0006-0000-0C00-000001000000}">
      <text>
        <r>
          <rPr>
            <b/>
            <sz val="9"/>
            <color indexed="81"/>
            <rFont val="Segoe UI"/>
            <family val="2"/>
          </rPr>
          <t>Mailcon:</t>
        </r>
        <r>
          <rPr>
            <sz val="9"/>
            <color indexed="81"/>
            <rFont val="Segoe UI"/>
            <family val="2"/>
          </rPr>
          <t xml:space="preserve">
EM COTAÇÃO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Mailcon</author>
  </authors>
  <commentList>
    <comment ref="C200" authorId="0" shapeId="0" xr:uid="{00000000-0006-0000-0E00-000001000000}">
      <text>
        <r>
          <rPr>
            <b/>
            <sz val="9"/>
            <color indexed="81"/>
            <rFont val="Segoe UI"/>
            <family val="2"/>
          </rPr>
          <t xml:space="preserve">GECOB: Não existe padrão na GOINFRA e projeto não detalha
</t>
        </r>
      </text>
    </comment>
  </commentList>
</comments>
</file>

<file path=xl/sharedStrings.xml><?xml version="1.0" encoding="utf-8"?>
<sst xmlns="http://schemas.openxmlformats.org/spreadsheetml/2006/main" count="16312" uniqueCount="7122">
  <si>
    <t>CÓDIGO</t>
  </si>
  <si>
    <t>DESCRIÇÃO</t>
  </si>
  <si>
    <t>DIVERSOS</t>
  </si>
  <si>
    <t>TOTAL</t>
  </si>
  <si>
    <t>UN</t>
  </si>
  <si>
    <t>M3</t>
  </si>
  <si>
    <t>M</t>
  </si>
  <si>
    <t>SINAPI</t>
  </si>
  <si>
    <t>L</t>
  </si>
  <si>
    <t>M2</t>
  </si>
  <si>
    <t>H</t>
  </si>
  <si>
    <t>KG</t>
  </si>
  <si>
    <t>ALMOXARIFE COM ENCARGOS COMPLEMENTARES</t>
  </si>
  <si>
    <t>APONTADOR OU APROPRIADOR COM ENCARGOS COMPLEMENTARES</t>
  </si>
  <si>
    <t>EXECUÇÃO DE RESERVATÓRIO ELEVADO DE ÁGUA (1000 LITROS) EM CANTEIRO DE OBRA, APOIADO EM ESTRUTURA DE MADEIRA. AF_02/2016</t>
  </si>
  <si>
    <t>MES</t>
  </si>
  <si>
    <t>CHP</t>
  </si>
  <si>
    <t>GRADE DE DISCO CONTROLE REMOTO REBOCÁVEL, COM 24 DISCOS 24 X 6 MM COM PNEUS PARA TRANSPORTE - CHP DIURNO. AF_06/2014</t>
  </si>
  <si>
    <t>MARTELETE OU ROMPEDOR PNEUMÁTICO MANUAL, 28 KG, COM SILENCIADOR - CHP DIURNO. AF_07/2016</t>
  </si>
  <si>
    <t>USINA DE CONCRETO FIXA, CAPACIDADE NOMINAL DE 90 A 120 M3/H, SEM SILO - CHP DIURNO. AF_07/2016</t>
  </si>
  <si>
    <t>TRATOR DE PNEUS, POTÊNCIA 122 CV, TRAÇÃO 4X4, PESO COM LASTRO DE 4.510 KG - CHP DIURNO. AF_06/2014</t>
  </si>
  <si>
    <t>TRATOR DE ESTEIRAS, POTÊNCIA 150 HP, PESO OPERACIONAL 16,7 T, COM RODA MOTRIZ ELEVADA E LÂMINA 3,18 M3 - CHP DIURNO. AF_06/2014</t>
  </si>
  <si>
    <t>CAMINHÃO TOCO, PESO BRUTO TOTAL 14.300 KG, CARGA ÚTIL MÁXIMA 9590 KG, DISTÂNCIA ENTRE EIXOS 4,76 M, POTÊNCIA 185 CV (NÃO INCLUI CARROCERIA) - CHP DIURNO. AF_06/2014</t>
  </si>
  <si>
    <t>ESPARGIDOR DE ASFALTO PRESSURIZADO COM TANQUE DE 2500 L, REBOCÁVEL COM MOTOR A GASOLINA POTÊNCIA 3,4 HP - CHP DIURNO. AF_07/2014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</si>
  <si>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</si>
  <si>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</si>
  <si>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VIBRATÓRIO PÉ DE CARNEIRO PARA SOLOS, POTÊNCIA 80 HP, PESO OPERACIONAL SEM/COM LASTRO 7,4 / 8,8 T, LARGURA DE TRABALHO 1,68 M - CHP DIURNO. AF_02/2016</t>
  </si>
  <si>
    <t>BETONEIRA CAPACIDADE NOMINAL 400 L, CAPACIDADE DE MISTURA 310 L, MOTOR A DIESEL POTÊNCIA 5,0 HP, SEM CARREGADOR - CHP DIURNO. AF_06/2014</t>
  </si>
  <si>
    <t>PROJETOR DE ARGAMASSA, CAPACIDADE DE PROJEÇÃO 1,5 M3/H, ALCANCE DE 30 ATÉ 60 M, MOTOR ELÉTRICO POTÊNCIA 7,5 HP - CHP DIURNO. AF_06/2014</t>
  </si>
  <si>
    <t>TANQUE DE ASFALTO ESTACIONÁRIO COM MAÇARICO, CAPACIDADE 20.000 L - CHP DIURNO. AF_06/2014</t>
  </si>
  <si>
    <t>TRATOR DE PNEUS, POTÊNCIA 85 CV, TRAÇÃO 4X4, PESO COM LASTRO DE 4.675 KG - CHP DIURNO. AF_06/2014</t>
  </si>
  <si>
    <t>RECICLADORA DE ASFALTO A FRIO SOBRE RODAS, LARGURA FRESAGEM DE 2,0 M, POTÊNCIA 422 HP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</si>
  <si>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</si>
  <si>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</si>
  <si>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</si>
  <si>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</si>
  <si>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</si>
  <si>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</si>
  <si>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DE PROJEÇÃO DE CONCRETO SECO, POTÊNCIA 10 CV, VAZÃO 3 M3/H - CHP DIURNO. AF_06/2015</t>
  </si>
  <si>
    <t>BOMBA DE PROJEÇÃO DE CONCRETO SECO, POTÊNCIA 10 CV, VAZÃO 6 M3/H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</si>
  <si>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</si>
  <si>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</si>
  <si>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CAMINHÃO TRUCADO (C/ TERCEIRO EIXO) ELETRÔNICO - POTÊNCIA 231CV - PBT = 22000KG - DIST. ENTRE EIXOS 5170 MM - INCLUI CARROCERIA FIXA ABERTA DE MADEIRA - CHP DIURNO. AF_06/2015</t>
  </si>
  <si>
    <t>PENEIRA ROTATIVA COM MOTOR ELÉTRICO TRIFÁSICO DE 2 CV, CILINDRO DE 1 M X 0,60 M, COM FUROS DE 3,17 MM - CHP DIURNO. AF_11/2015</t>
  </si>
  <si>
    <t>DOSADOR DE AREIA, CAPACIDADE DE 26 LITROS - CHP DIURNO. AF_11/2015</t>
  </si>
  <si>
    <t>CAMINHONETE CABINE SIMPLES COM MOTOR 1.6 FLEX, CÂMBIO MANUAL, POTÊNCIA 101/104 CV, 2 PORTAS - CHP DIURNO. AF_11/2015</t>
  </si>
  <si>
    <t>BETONEIRA CAPACIDADE NOMINAL 400 L, CAPACIDADE DE MISTURA 310 L, MOTOR A GASOLINA POTÊNCIA 5,5 HP, SEM CARREGADOR - CHP DIURNO. AF_02/2016</t>
  </si>
  <si>
    <t>GRUPO GERADOR REBOCÁVEL, POTÊNCIA 66 KVA, MOTOR A DIESEL - CHP DIURNO. AF_03/2016</t>
  </si>
  <si>
    <t>DISTRIBUIDOR DE AGREGADOS AUTOPROPELIDO, CAP 3 M3, A DIESEL, POTÊNCIA 176CV - CHP DIURNO. AF_07/2016</t>
  </si>
  <si>
    <t>MARTELO DEMOLIDOR PNEUMÁTICO MANUAL, 32 KG - CHP DIURNO. AF_09/2016</t>
  </si>
  <si>
    <t>CHI</t>
  </si>
  <si>
    <t>USINA DE CONCRETO FIXA, CAPACIDADE NOMINAL DE 90 A 120 M3/H, SEM SILO - CHI DIURNO. AF_07/2016</t>
  </si>
  <si>
    <t>TRATOR DE PNEUS, POTÊNCIA 122 CV, TRAÇÃO 4X4, PESO COM LASTRO DE 4.510 KG - CHI DIURNO. AF_06/2014</t>
  </si>
  <si>
    <t>TRATOR DE ESTEIRAS, POTÊNCIA 150 HP, PESO OPERACIONAL 16,7 T, COM RODA MOTRIZ ELEVADA E LÂMINA 3,18 M3 - CHI DIURNO. AF_06/2014</t>
  </si>
  <si>
    <t>CAMINHÃO TOCO, PESO BRUTO TOTAL 14.300 KG, CARGA ÚTIL MÁXIMA 9590 KG, DISTÂNCIA ENTRE EIXOS 4,76 M, POTÊNCIA 185 CV (NÃO INCLUI CARROCERIA) - CHI DIURNO. AF_06/2014</t>
  </si>
  <si>
    <t>ESPARGIDOR DE ASFALTO PRESSURIZADO COM TANQUE DE 2500 L, REBOCÁVEL COM MOTOR A GASOLINA POTÊNCIA 3,4 HP - CHI DIURNO. AF_07/2014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</si>
  <si>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</si>
  <si>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</si>
  <si>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</si>
  <si>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BETONEIRA CAPACIDADE NOMINAL 400 L, CAPACIDADE DE MISTURA 310 L, MOTOR A DIESEL POTÊNCIA 5,0 HP, SEM CARREGADOR - CHI DIURNO. AF_06/2014</t>
  </si>
  <si>
    <t>PROJETOR DE ARGAMASSA, CAPACIDADE DE PROJEÇÃO 1,5 M3/H, ALCANCE DE 30 ATÉ 60 M, MOTOR ELÉTRICO POTÊNCIA 7,5 HP - CHI DIURNO. AF_06/2014</t>
  </si>
  <si>
    <t>TANQUE DE ASFALTO ESTACIONÁRIO COM MAÇARICO, CAPACIDADE 20.000 L - CHI DIURNO. AF_06/2014</t>
  </si>
  <si>
    <t>TRATOR DE PNEUS, POTÊNCIA 85 CV, TRAÇÃO 4X4, PESO COM LASTRO DE 4.675 KG - CHI DIURNO. AF_06/2014</t>
  </si>
  <si>
    <t>BATE-ESTACAS POR GRAVIDADE, POTÊNCIA DE 160 HP, PESO DO MARTELO ATÉ 3 TONELADAS - CHI DIURNO. AF_11/2014</t>
  </si>
  <si>
    <t>RECICLADORA DE ASFALTO A FRIO SOBRE RODAS, LARGURA FRESAGEM DE 2,0 M, POTÊNCIA 422 HP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</si>
  <si>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</si>
  <si>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</si>
  <si>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</si>
  <si>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</si>
  <si>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</si>
  <si>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DE PROJEÇÃO DE CONCRETO SECO, POTÊNCIA 10 CV, VAZÃO 3 M3/H - CHI DIURNO. AF_06/2015</t>
  </si>
  <si>
    <t>BOMBA DE PROJEÇÃO DE CONCRETO SECO, POTÊNCIA 10 CV, VAZÃO 6 M3/H - CHI DIURNO. AF_06/2015</t>
  </si>
  <si>
    <t>COMPRESSOR DE AR REBOCÁVEL, VAZÃO 89 PCM, PRESSÃO EFETIVA DE TRABALHO 102 PSI, MOTOR DIESEL, POTÊNCIA 20 CV - CHI DIURNO. AF_06/2015</t>
  </si>
  <si>
    <t>COMPRESSOR DE AR REBOCÁVEL, VAZÃO 748 PCM, PRESSÃO EFETIVA DE TRABALHO 102 PSI, MOTOR DIESEL, POTÊNCIA 210 CV - CHI DIURNO. AF_06/2015</t>
  </si>
  <si>
    <t>CAMINHÃO TRUCADO (C/ TERCEIRO EIXO) ELETRÔNICO - POTÊNCIA 231CV - PBT = 22000KG - DIST. ENTRE EIXOS 5170 MM - INCLUI CARROCERIA FIXA ABERTA DE MADEIRA - CHI DIURNO. AF_06/2015</t>
  </si>
  <si>
    <t>PENEIRA ROTATIVA COM MOTOR ELÉTRICO TRIFÁSICO DE 2 CV, CILINDRO DE 1 M X 0,60 M, COM FUROS DE 3,17 MM - CHI DIURNO. AF_11/2015</t>
  </si>
  <si>
    <t>DOSADOR DE AREIA, CAPACIDADE DE 26 LITROS - CHI DIURNO. AF_11/2015</t>
  </si>
  <si>
    <t>CAMINHONETE CABINE SIMPLES COM MOTOR 1.6 FLEX, CÂMBIO MANUAL, POTÊNCIA 101/104 CV, 2 PORTAS - CHI DIURNO. AF_11/2015</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</si>
  <si>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</si>
  <si>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</si>
  <si>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GRUPO GERADOR REBOCÁVEL, POTÊNCIA 66 KVA, MOTOR A DIESEL - CHI DIURNO. AF_03/2016</t>
  </si>
  <si>
    <t>DISTRIBUIDOR DE AGREGADOS AUTOPROPELIDO, CAP 3 M3, A DIESEL, POTÊNCIA 176CV - CHI DIURNO. AF_07/2016</t>
  </si>
  <si>
    <t>MARTELO DEMOLIDOR PNEUMÁTICO MANUAL, 32 KG - CHI DIURNO. AF_09/2016</t>
  </si>
  <si>
    <t>ROLO COMPACTADOR VIBRATÓRIO PÉ DE CARNEIRO PARA SOLOS, POTÊNCIA 80 HP, PESO OPERACIONAL SEM/COM LASTRO 7,4 / 8,8 T, LARGURA DE TRABALHO 1,68 M - MANUTENÇÃO. AF_02/2016</t>
  </si>
  <si>
    <t>USINA DE CONCRETO FIXA, CAPACIDADE NOMINAL DE 90 A 120 M3/H, SEM SILO - MATERIAIS NA OPERAÇÃO. AF_07/2016</t>
  </si>
  <si>
    <t>TRATOR DE PNEUS, POTÊNCIA 85 CV, TRAÇÃO 4X4, PESO COM LASTRO DE 4.675 KG - MANUTENÇÃO. AF_06/2014</t>
  </si>
  <si>
    <t>TRATOR DE PNEUS, POTÊNCIA 85 CV, TRAÇÃO 4X4, PESO COM LASTRO DE 4.675 KG - MATERIAIS NA OPERAÇÃO. AF_06/2014</t>
  </si>
  <si>
    <t>TRATOR DE ESTEIRAS, POTÊNCIA 150 HP, PESO OPERACIONAL 16,7 T, COM RODA MOTRIZ ELEVADA E LÂMINA 3,18 M3 - MATERIAIS NA OPERAÇÃO. AF_06/2014</t>
  </si>
  <si>
    <t>CAMINHÃO TOCO, PESO BRUTO TOTAL 14.300 KG, CARGA ÚTIL MÁXIMA 9590 KG, DISTÂNCIA ENTRE EIXOS 4,76 M, POTÊNCIA 185 CV (NÃO INCLUI CARROCERIA)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</si>
  <si>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</si>
  <si>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</si>
  <si>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</si>
  <si>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</si>
  <si>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</si>
  <si>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</si>
  <si>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</si>
  <si>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</si>
  <si>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USINA DE CONCRETO FIXA, CAPACIDADE NOMINAL DE 90 A 120 M3/H, SEM SILO - MANUTENÇÃO. AF_07/2016</t>
  </si>
  <si>
    <t>TRATOR DE ESTEIRAS, POTÊNCIA 150 HP, PESO OPERACIONAL 16,7 T, COM RODA MOTRIZ ELEVADA E LÂMINA 3,18 M3 - MANUTENÇÃO. AF_06/2014</t>
  </si>
  <si>
    <t>CAMINHÃO TOCO, PESO BRUTO TOTAL 14.300 KG, CARGA ÚTIL MÁXIMA 9590 KG, DISTÂNCIA ENTRE EIXOS 4,76 M, POTÊNCIA 185 CV (NÃO INCLUI CARROCERIA) - MATERIAIS NA OPERAÇÃO. AF_06/2014</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</si>
  <si>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</si>
  <si>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</si>
  <si>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</si>
  <si>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</si>
  <si>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</si>
  <si>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</si>
  <si>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</si>
  <si>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</si>
  <si>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</si>
  <si>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</si>
  <si>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</si>
  <si>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</si>
  <si>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</si>
  <si>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</si>
  <si>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PNEUS, POTÊNCIA 85 CV, TRAÇÃO 4X4, PESO COM LASTRO DE 4.675 KG - DEPRECIAÇÃO. AF_06/2014</t>
  </si>
  <si>
    <t>TRATOR DE PNEUS, POTÊNCIA 85 CV, TRAÇÃO 4X4, PESO COM LASTRO DE 4.675 KG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</si>
  <si>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</si>
  <si>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</si>
  <si>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</si>
  <si>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</si>
  <si>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</si>
  <si>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</si>
  <si>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</si>
  <si>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</si>
  <si>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</si>
  <si>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</si>
  <si>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</si>
  <si>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JUROS. AF_11/2014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</si>
  <si>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</si>
  <si>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</si>
  <si>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</si>
  <si>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</si>
  <si>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</si>
  <si>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</si>
  <si>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</si>
  <si>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</si>
  <si>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</si>
  <si>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</si>
  <si>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</si>
  <si>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</si>
  <si>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</si>
  <si>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</si>
  <si>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</si>
  <si>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</si>
  <si>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</si>
  <si>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</si>
  <si>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</si>
  <si>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</si>
  <si>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</si>
  <si>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</si>
  <si>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</si>
  <si>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</si>
  <si>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</si>
  <si>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</si>
  <si>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</si>
  <si>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</si>
  <si>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</si>
  <si>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</si>
  <si>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</si>
  <si>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</si>
  <si>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</si>
  <si>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</si>
  <si>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</si>
  <si>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</si>
  <si>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</si>
  <si>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ESPARGIDOR DE ASFALTO PRESSURIZADO, TANQUE 6 M3 COM ISOLAÇÃO TÉRMICA, AQUECIDO COM 2 MAÇARICOS, COM BARRA ESPARGIDORA 3,60 M, MONTADO SOBRE CAMINHÃO  TOCO, PBT 14.300 KG, POTÊNCIA 185 CV - JUROS. AF_08/2015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</si>
  <si>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</si>
  <si>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</si>
  <si>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</si>
  <si>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</si>
  <si>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</si>
  <si>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</si>
  <si>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</si>
  <si>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</si>
  <si>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</si>
  <si>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</si>
  <si>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</si>
  <si>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</si>
  <si>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MARTELO PERFURADOR PNEUMÁTICO MANUAL, HASTE 25 X 75 MM, 21 KG - JUROS. AF_12/2015</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</si>
  <si>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</si>
  <si>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</si>
  <si>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</si>
  <si>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GRUPO GERADOR REBOCÁVEL, POTÊNCIA 66 KVA, MOTOR A DIESEL - MANUTENÇÃO. AF_03/2016</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</si>
  <si>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</si>
  <si>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</si>
  <si>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</si>
  <si>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</si>
  <si>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</si>
  <si>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MARTELO DEMOLIDOR PNEUMÁTICO MANUAL, 32 KG - DEPRECIAÇÃO. AF_09/2016</t>
  </si>
  <si>
    <t>MARTELO DEMOLIDOR PNEUMÁTICO MANUAL, 32 KG - JUROS. AF_09/2016</t>
  </si>
  <si>
    <t>MARTELO DEMOLIDOR PNEUMÁTICO MANUAL, 32 KG - MANUTENÇÃO. AF_09/2016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</si>
  <si>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</si>
  <si>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</si>
  <si>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</si>
  <si>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</si>
  <si>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</si>
  <si>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</si>
  <si>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(COMPOSIÇÃO REPRESENTATIVA) FABRICAÇÃO E INSTALAÇÃO DE TESOURA INTEIRA EM AÇO, PARA VÃOS DE 3 A 12 M E PARA QUALQUER TIPO DE TELHA, INCLUSO IÇAMENTO. AF_12/2015</t>
  </si>
  <si>
    <t>EXECUCAO DE DRENO COM MANTA GEOTEXTIL 200 G/M2</t>
  </si>
  <si>
    <t>EXECUCAO DE DRENO FRANCES COM BRITA NUM 2</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</si>
  <si>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</si>
  <si>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</si>
  <si>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</si>
  <si>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</si>
  <si>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</si>
  <si>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</si>
  <si>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</si>
  <si>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</si>
  <si>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</si>
  <si>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</si>
  <si>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SARJETÃO DE CONCRETO USINADO, MOLDADA  IN LOCO  EM TRECHO RETO, 100 CM BASE X 20 CM ALTURA. AF_06/2016</t>
  </si>
  <si>
    <t>VIDRO LISO COMUM TRANSPARENTE, ESPESSURA 4MM</t>
  </si>
  <si>
    <t>VIDRO ARAMADO, ESPESSURA 7MM</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</si>
  <si>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</si>
  <si>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</si>
  <si>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</si>
  <si>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</si>
  <si>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</si>
  <si>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GRAUTEAMENTO VERTICAL EM ALVENARIA ESTRUTURAL. AF_01/2015</t>
  </si>
  <si>
    <t>LANÇAMENTO COM USO DE BALDES, ADENSAMENTO E ACABAMENTO DE CONCRETO EM ESTRUTURAS. AF_12/2015</t>
  </si>
  <si>
    <t>CONCRETO FCK = 20MPA, TRAÇO 1:2,7:3 (CIMENTO/ AREIA MÉDIA/ BRITA 1)  - PREPARO MECÂNICO COM BETONEIRA 400 L. AF_07/2016</t>
  </si>
  <si>
    <t>CONCRETO FCK = 20MPA, TRAÇO 1:2,7:3 (CIMENTO/ AREIA MÉDIA/ BRITA 1)  - PREPARO MECÂNICO COM BETONEIRA 600 L. AF_07/2016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</si>
  <si>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</si>
  <si>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</si>
  <si>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</si>
  <si>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</si>
  <si>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CONTRAVERGA MOLDADA IN LOCO EM CONCRETO PARA VÃOS DE MAIS DE 1,5 M DE COMPRIMENTO. AF_03/2016</t>
  </si>
  <si>
    <t>FIXAÇÃO (ENCUNHAMENTO) DE ALVENARIA DE VEDAÇÃO COM ARGAMASSA APLICADA COM BISNAGA. AF_03/2016</t>
  </si>
  <si>
    <t>FIXAÇÃO (ENCUNHAMENTO) DE ALVENARIA DE VEDAÇÃO COM ARGAMASSA APLICADA COM COLHER. AF_03/2016</t>
  </si>
  <si>
    <t>LUVA PARA ELETRODUTO, PVC, ROSCÁVEL, DN 40 MM (1 1/4"), PARA CIRCUITOS TERMINAIS, INSTALADA EM FORRO - FORNECIMENTO E INSTALAÇÃO. AF_12/2015</t>
  </si>
  <si>
    <t>LUVA PARA ELETRODUTO, PVC, ROSCÁVEL, DN 40 MM (1 1/4"), PARA CIRCUITOS TERMINAIS, INSTALADA EM LAJE - FORNECIMENTO E INSTALAÇÃO. AF_12/2015</t>
  </si>
  <si>
    <t>CURVA 90 GRAUS PARA ELETRODUTO, PVC, ROSCÁVEL, DN 40 MM (1 1/4"), PARA CIRCUITOS TERMINAIS, INSTALADA EM FORRO - FORNECIMENTO E INSTALAÇÃO. AF_12/2015</t>
  </si>
  <si>
    <t>CURVA 180 GRAUS PARA ELETRODUTO, PVC, ROSCÁVEL, DN 20 MM (1/2"),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</si>
  <si>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</si>
  <si>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40 MM (1 1/4"), PARA CIRCUITOS TERMINAIS, INSTALADA EM PAREDE - FORNECIMENTO E INSTALAÇÃO. AF_12/2015</t>
  </si>
  <si>
    <t>LUVA PARA ELETRODUTO, PVC, ROSCÁVEL, DN 50 MM (1 1/2") - FORNECIMENTO E INSTALAÇÃO. AF_12/2015</t>
  </si>
  <si>
    <t>LUVA PARA ELETRODUTO, PVC, ROSCÁVEL, DN 75 MM (2 1/2")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</si>
  <si>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</si>
  <si>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</si>
  <si>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</si>
  <si>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4" ALTA (2,00 M DO PISO), METÁLICA, INSTALADA EM PAREDE - FORNECIMENTO E INSTALAÇÃO. AF_12/2015</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</si>
  <si>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</si>
  <si>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</si>
  <si>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</si>
  <si>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</si>
  <si>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</si>
  <si>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</si>
  <si>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INCLUINDO SUPORTE E PLACA - FORNECIMENTO E INSTALAÇÃO. AF_12/2015</t>
  </si>
  <si>
    <t>INTERRUPTOR PARALELO (1 MÓDULO), 10A/250V, INCLUINDO SUPORTE E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</si>
  <si>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</si>
  <si>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</si>
  <si>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</si>
  <si>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</si>
  <si>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</si>
  <si>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</si>
  <si>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(4 MÓDULOS), 10A/250V, INCLUINDO SUPORTE E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</si>
  <si>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</si>
  <si>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</si>
  <si>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</si>
  <si>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</si>
  <si>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</si>
  <si>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</si>
  <si>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</si>
  <si>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INTERRUPTOR SIMPLES (1 MÓDULO) COM 1 TOMADA DE EMBUTIR 2P+T 10 A,  SEM SUPORTE E SEM PLACA - FORNECIMENTO E INSTALAÇÃO. AF_12/2015</t>
  </si>
  <si>
    <t>PONTO DE TOMADA RESIDENCIAL INCLUINDO TOMADA 10A/250V, CAIXA ELÉTRICA, ELETRODUTO, CABO, RASGO, QUEBRA E CHUMBAMENTO. AF_01/2016</t>
  </si>
  <si>
    <t>PONTO DE TOMADA RESIDENCIAL INCLUINDO TOMADA 20A/250V, CAIXA ELÉTRICA, ELETRODUTO, CABO, RASGO, QUEBRA E CHUMBAMENTO. AF_01/2016</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</si>
  <si>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</si>
  <si>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</si>
  <si>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</si>
  <si>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</si>
  <si>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</si>
  <si>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</si>
  <si>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</si>
  <si>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</si>
  <si>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</si>
  <si>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</si>
  <si>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150 MM (INSTALADO EM CONDUTORES VERTICAIS), INCLUSIVE CONEXÕES, CORTES E FIXAÇÕES, PARA PRÉDIOS. AF_10/2015</t>
  </si>
  <si>
    <t>LUVA, PVC, SOLDÁVEL, DN 20MM, INSTALADO EM RAMAL OU SUB-RAMAL DE ÁGUA - FORNECIMENTO E INSTALAÇÃO. AF_12/2014</t>
  </si>
  <si>
    <t>LUVA DE REDUÇÃO, PVC, SOLDÁVEL, DN 25MM X 20MM, INSTALADO EM RAMAL OU SUB-RAMAL DE ÁGUA - FORNECIMENTO E INSTALAÇÃO. AF_12/2014</t>
  </si>
  <si>
    <t>UNIÃO, PVC, SOLDÁVEL, DN 20MM, INSTALADO EM RAMAL OU SUB-RAMAL DE ÁGUA - FORNECIMENTO E INSTALAÇÃO. AF_12/2014</t>
  </si>
  <si>
    <t>LUVA, PVC, SOLDÁVEL, DN 25MM, INSTALADO EM RAMAL OU SUB-RAMAL DE ÁGUA - FORNECIMENTO E INSTALAÇÃO. AF_12/2014</t>
  </si>
  <si>
    <t>LUVA DE REDUÇÃO, PVC, SOLDÁVEL, DN 32MM X 25MM, INSTALADO EM RAMAL OU SUB-RAMAL DE ÁGUA - FORNECIMENTO E INSTALAÇÃO. AF_12/2014</t>
  </si>
  <si>
    <t>UNIÃO, PVC, SOLDÁVEL, DN 25MM, INSTALADO EM RAMAL OU SUB-RAMAL DE ÁGUA - FORNECIMENTO E INSTALAÇÃO. AF_12/2014</t>
  </si>
  <si>
    <t>LUVA, PVC, SOLDÁVEL, DN 32MM, INSTALADO EM RAMAL OU SUB-RAMAL DE ÁGUA - FORNECIMENTO E INSTALAÇÃO. AF_12/2014</t>
  </si>
  <si>
    <t>LUVA DE REDUÇÃO, PVC, SOLDÁVEL, DN 40MM X 32MM, INSTALADO EM RAMAL OU SUB-RAMAL DE ÁGUA - FORNECIMENTO E INSTALAÇÃO. AF_12/2014</t>
  </si>
  <si>
    <t>UNIÃO, PVC, SOLDÁVEL, DN 32MM, INSTALADO EM RAMAL OU SUB-RAMAL DE ÁGUA - FORNECIMENTO E INSTALAÇÃO. AF_12/2014</t>
  </si>
  <si>
    <t>TE, PVC, SOLDÁVEL, DN 20MM, INSTALADO EM RAMAL OU SUB-RAMAL DE ÁGUA - FORNECIMENTO E INSTALAÇÃO. AF_12/2014</t>
  </si>
  <si>
    <t>TE, PVC, SOLDÁVEL, DN 25MM, INSTALADO EM RAMAL OU SUB-RAMAL DE ÁGUA - FORNECIMENTO E INSTALAÇÃO. AF_12/2014</t>
  </si>
  <si>
    <t>TE, PVC, SOLDÁVEL, DN 32MM, INSTALADO EM RAMAL OU SUB-RAMAL DE ÁGUA - FORNECIMENTO E INSTALAÇÃO. AF_12/2014</t>
  </si>
  <si>
    <t>LUVA DE REDUÇÃO, PVC, SOLDÁVEL, DN 25MM X 20MM, INSTALADO EM RAMAL DE DISTRIBUIÇÃO DE ÁGUA - FORNECIMENTO E INSTALAÇÃO. AF_12/2014</t>
  </si>
  <si>
    <t>LUVA DE REDUÇÃO, PVC, SOLDÁVEL, DN 32MM X 25MM, INSTALADO EM RAMAL DE DISTRIBUIÇÃO DE ÁGUA - FORNECIMENTO E INSTALAÇÃO. AF_12/2014</t>
  </si>
  <si>
    <t>LUVA DE REDUÇÃO, PVC, SOLDÁVEL, DN 40MM X 32MM, INSTALADO EM RAMAL DE DISTRIBUIÇÃO DE ÁGUA - FORNECIMENTO E INSTALAÇÃO. AF_12/2014</t>
  </si>
  <si>
    <t>TE, PVC, SOLDÁVEL, DN 20MM, INSTALADO EM RAMAL DE DISTRIBUIÇÃO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</si>
  <si>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</si>
  <si>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</si>
  <si>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</si>
  <si>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</si>
  <si>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</si>
  <si>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</si>
  <si>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</si>
  <si>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</si>
  <si>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</si>
  <si>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</si>
  <si>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</si>
  <si>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</si>
  <si>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</si>
  <si>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</si>
  <si>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</si>
  <si>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</si>
  <si>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</si>
  <si>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</si>
  <si>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</si>
  <si>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</si>
  <si>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</si>
  <si>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</si>
  <si>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</si>
  <si>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</si>
  <si>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</si>
  <si>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</si>
  <si>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</si>
  <si>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</si>
  <si>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</si>
  <si>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</si>
  <si>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</si>
  <si>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</si>
  <si>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</si>
  <si>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</si>
  <si>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</si>
  <si>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45 GRAUS, PVC, SOLDÁVEL, DN 85MM, INSTALADO EM PRUMADA DE ÁGUA - FORNECIMENTO E INSTALAÇÃO. AF_12/2014</t>
  </si>
  <si>
    <t>LUVA DE CORRER, PVC, SOLDÁVEL, DN 25MM, INSTALADO EM PRUMADA DE ÁGUA - FORNECIMENTO E INSTALAÇÃO. AF_12/2014</t>
  </si>
  <si>
    <t>JOELHO 45 GRAUS PARA PÉ DE COLUNA, PVC, SERIE R, ÁGUA PLUVIAL, DN 100 MM, JUNTA ELÁSTICA, FORNECIDO E INSTALADO EM RAMAL DE ENCAMINHAMENTO. AF_12/2014</t>
  </si>
  <si>
    <t>CURVA DE TRANSPOSIÇÃO, PVC, SOLDÁVEL, DN 25MM, INSTALADO EM PRUMADA DE ÁGUA  - FORNECIMENTO E INSTALAÇÃO. AF_12/2014</t>
  </si>
  <si>
    <t>LUVA DE CORRER, PVC, SOLDÁVEL, DN 32MM, INSTALADO EM PRUMADA DE ÁGUA - FORNECIMENTO E INSTALAÇÃO. AF_12/2014</t>
  </si>
  <si>
    <t>LUVA DE CORRER, PVC, SERIE R, ÁGUA PLUVIAL, DN 75 MM, JUNTA ELÁSTICA, FORNECIDO E INSTALADO EM RAMAL DE ENCAMINHAMENTO. AF_12/2014</t>
  </si>
  <si>
    <t>TÊ DE INSPEÇÃO, PVC, SERIE R, ÁGUA PLUVIAL, DN 75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</si>
  <si>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</si>
  <si>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</si>
  <si>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</si>
  <si>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</si>
  <si>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</si>
  <si>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</si>
  <si>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TÊ, PVC, SERIE R, ÁGUA PLUVIAL, DN 75 MM, JUNTA ELÁSTICA, FORNECIDO E INSTALADO EM RAMAL DE ENCAMINHAMENTO. AF_12/2014</t>
  </si>
  <si>
    <t>LUVA DE CORRER, PVC, SOLDÁVEL, DN 50MM, INSTALADO EM PRUMADA DE ÁGUA - FORNECIMENTO E INSTALAÇÃO. AF_12/2014</t>
  </si>
  <si>
    <t>TÊ DE REDUÇÃO, PVC, SOLDÁVEL, DN 25MM X 20MM,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</si>
  <si>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</si>
  <si>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</si>
  <si>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</si>
  <si>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</si>
  <si>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</si>
  <si>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DE REDUÇÃO, PVC, SOLDÁVEL, DN 85MM X 60MM, INSTALADO EM PRUMADA DE ÁGUA - FORNECIMENTO E INSTALAÇÃO. AF_12/2014</t>
  </si>
  <si>
    <t>LUVA, CPVC, SOLDÁVEL, DN 15MM, INSTALADO EM RAMAL OU SUB-RAMAL DE ÁGUA - FORNECIMENTO E INSTALAÇÃO. AF_12/2014</t>
  </si>
  <si>
    <t>TE, CPVC, SOLDÁVEL, DN 15MM, INSTALADO EM RAMAL OU SUB-RAMAL DE ÁGUA - FORNECIMENTO E INSTALAÇÃO. AF_12/2014</t>
  </si>
  <si>
    <t>TE, CPVC, SOLDÁVEL, DN 22MM, INSTALADO EM RAMAL OU SUB-RAMAL DE ÁGUA - FORNECIMENTO E INSTALAÇÃO. AF_12/2014</t>
  </si>
  <si>
    <t>TE MISTURADOR DE TRANSIÇÃO, CPVC, SOLDÁVEL, DN 22MM X 3/4", INSTALADO EM RAMAL OU SUB-RAMAL DE ÁGUA - FORNECIMENTO E INSTALAÇÃO.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</si>
  <si>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</si>
  <si>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</si>
  <si>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ADAPTADOR, CPVC, SOLDÁVEL, DN 22MM, INSTALADO EM RAMAL DE DISTRIBUIÇÃO DE ÁGUA   FORNECIMENTO E INSTALAÇÃO. AF_12/2014</t>
  </si>
  <si>
    <t>CURVA DE TRANSPOSIÇÃO, CPVC, SOLDÁVEL, DN 22MM, INSTALADO EM RAMAL DE DISTRIBUIÇÃO DE ÁGUA   FORNECIMENTO E INSTALAÇÃO. AF_12/2014</t>
  </si>
  <si>
    <t>UNIÃO, CPVC, SOLDÁVEL, DN 28MM, INSTALADO EM RAMAL DE DISTRIBUIÇÃO DE ÁGUA   FORNECIMENTO E INSTALAÇÃO. AF_12/2014</t>
  </si>
  <si>
    <t>BUCHA DE REDUÇÃO, CPVC, SOLDÁVEL, DN35MM X 28MM, INSTALADO EM RAMAL DE DISTRIBUIÇÃO DE ÁGUA - FORNECIMENTO E INSTALAÇÃO. AF_12/2014</t>
  </si>
  <si>
    <t>TE DE TRANSIÇÃO, CPVC, SOLDÁVEL, DN 22MM X 1/2 , INSTALADO EM RAMAL DE DISTRIBUIÇÃO DE ÁGUA   FORNECIMENTO E INSTALAÇÃO. AF_12/2014</t>
  </si>
  <si>
    <t>TÊ, CPVC, SOLDÁVEL, DN35MM, INSTALADO EM RAMAL DE DISTRIBUIÇÃO DE ÁGUA - FORNECIMENTO E INSTALAÇÃO. AF_12/2014</t>
  </si>
  <si>
    <t>JOELHO 45 GRAUS, CPVC, SOLDÁVEL, DN 35MM, INSTALADO EM PRUMADA DE ÁGUA - FORNECIMENTO E INSTALAÇÃO. AF_12/2014</t>
  </si>
  <si>
    <t>LUVA, PVC, SOLDÁVEL, DN 25MM, INSTALADO EM DRENO DE AR-CONDICIONADO - FORNECIMENTO E INSTALAÇÃO. AF_12/2014</t>
  </si>
  <si>
    <t>BUCHA DE REDUÇÃO, PVC, SOLDÁVEL, DN 40MM X 32MM, INSTALADO EM RAMAL OU SUB-RAMAL DE ÁGUA - FORNECIMENTO E INSTALAÇÃO. AF_03/2015</t>
  </si>
  <si>
    <t>ADAPTADOR COM FLANGE E ANEL DE VEDAÇÃO, PVC, SOLDÁVEL, DN 32 MM X 1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</si>
  <si>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</si>
  <si>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</si>
  <si>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</si>
  <si>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</si>
  <si>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CURVA 90 GRAUS, PVC, SERIE R, ÁGUA PLUVIAL, DN 100 MM, JUNTA ELÁSTICA, FORNECIDO E INSTALADO EM RAMAL DE ENCAMINHAMENTO. AF_12/2014</t>
  </si>
  <si>
    <t>CAIXA D´ÁGUA EM POLIETILENO, 1000 LITROS, COM ACESSÓRIOS</t>
  </si>
  <si>
    <t>CAIXA D´AGUA EM POLIETILENO, 500 LITROS, COM ACESSÓRIOS</t>
  </si>
  <si>
    <t>RALO SECO, PVC, DN 100 X 40 MM, JUNTA SOLDÁVEL, FORNECIDO E INSTALADO EM RAMAL DE DESCARGA OU EM RAMAL DE ESGOTO SANITÁRIO.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</si>
  <si>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</si>
  <si>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</si>
  <si>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</si>
  <si>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HIDRÔMETRO DN 25 (¾ ), 5,0 M³/H FORNECIMENTO E INSTALAÇÃO.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</si>
  <si>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</si>
  <si>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</si>
  <si>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</si>
  <si>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</si>
  <si>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</si>
  <si>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</si>
  <si>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</si>
  <si>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</si>
  <si>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ALVENARIA PARA ELETRODUTOS COM DIAMETROS MENORES OU IGUAIS A 40 MM.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</si>
  <si>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</si>
  <si>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</si>
  <si>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</si>
  <si>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</si>
  <si>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</si>
  <si>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</si>
  <si>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</si>
  <si>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</si>
  <si>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</si>
  <si>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</si>
  <si>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</si>
  <si>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</si>
  <si>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</si>
  <si>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ATÉ 0,8 M, PROFUNDIDADE DE 1,5 A 3,0 M, COM AREIA PARA ATERRO. AF_05/2016</t>
  </si>
  <si>
    <t>ATERRO MANUAL DE VALAS COM AREIA PARA ATERRO E COMPACTAÇÃO MECANIZADA. AF_05/2016</t>
  </si>
  <si>
    <t>REATERRO MANUAL DE VALAS COM COMPACTAÇÃO MECANIZADA. AF_04/2016</t>
  </si>
  <si>
    <t>TXKM</t>
  </si>
  <si>
    <t>T</t>
  </si>
  <si>
    <t>M3XKM</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</si>
  <si>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</si>
  <si>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</si>
  <si>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</si>
  <si>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</si>
  <si>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</si>
  <si>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VIA EM PISO INTERTRAVADO, COM BLOCO RETANGULAR COR NATURAL DE 20 X 10 CM, ESPESSURA 8 CM. AF_12/2015</t>
  </si>
  <si>
    <t>EXECUÇÃO DE VIA EM PISO INTERTRAVADO, COM BLOCO RETANGULAR DE 20 X 10 CM, ESPESSURA 10 CM. AF_12/2015</t>
  </si>
  <si>
    <t>EXECUÇÃO DE VIA EM PISO INTERTRAVADO, COM BLOCO RETANGULAR COLORIDO DE 20 X 10 CM, ESPESSURA 8 CM. AF_12/2015</t>
  </si>
  <si>
    <t>CAIACAO EM MEIO FIO</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</si>
  <si>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</si>
  <si>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</si>
  <si>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PINTURA COM TINTA TEXTURIZADA ACRÍLICA EM PAREDES EXTERNAS DE CASAS, UMA COR.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</si>
  <si>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</si>
  <si>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</si>
  <si>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</si>
  <si>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</si>
  <si>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</si>
  <si>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</si>
  <si>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</si>
  <si>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</si>
  <si>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</si>
  <si>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</si>
  <si>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</si>
  <si>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</si>
  <si>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</si>
  <si>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</si>
  <si>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</si>
  <si>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PAREDE EXTERNAS DE CASAS, DUAS DEMÃOS. AF_11/2016</t>
  </si>
  <si>
    <t>PINTURA ACRILICA DE FAIXAS DE DEMARCACAO EM QUADRA POLIESPORTIVA, 5 CM DE LARGURA</t>
  </si>
  <si>
    <t>PINTURA ACRILICA EM PISO CIMENTADO DUAS DEMAOS</t>
  </si>
  <si>
    <t>ML</t>
  </si>
  <si>
    <t>PINTURA ACRILICA EM PISO CIMENTADO, TRES DEMAOS</t>
  </si>
  <si>
    <t>PINTURA ACRILICA PARA SINALIZAÇÃO HORIZONTAL EM PISO CIMENTADO</t>
  </si>
  <si>
    <t>APLICACAO DE TINTA A BASE DE EPOXI SOBRE PISO</t>
  </si>
  <si>
    <t>EXECUÇÃO DE PASSEIO (CALÇADA) OU PISO DE CONCRETO COM CONCRETO MOLDADO IN LOCO, USINADO, ACABAMENTO CONVENCIONAL, NÃO ARMADO. AF_07/2016</t>
  </si>
  <si>
    <t>CONTRAPISO EM ARGAMASSA TRAÇO 1:4 (CIMENTO E AREIA), PREPARO MECÂNICO COM BETONEIRA 400 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</si>
  <si>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</si>
  <si>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MECÂNICO COM BETONEIRA 400 L, APLICADO EM ÁREAS SECAS SOBRE LAJE, NÃO ADERIDO, ESPESSURA 6CM.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</si>
  <si>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</si>
  <si>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</si>
  <si>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</si>
  <si>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</si>
  <si>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</si>
  <si>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</si>
  <si>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</si>
  <si>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</si>
  <si>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</si>
  <si>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</si>
  <si>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</si>
  <si>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MECÂNICO COM BETONEIRA 400L, APLICADO EM ÁREAS SECAS MAIORES QUE 15M2, ESPESSURA 7CM. AF_10/2014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</si>
  <si>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</si>
  <si>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</si>
  <si>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</si>
  <si>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</si>
  <si>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</si>
  <si>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</si>
  <si>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</si>
  <si>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</si>
  <si>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</si>
  <si>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</si>
  <si>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</si>
  <si>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</si>
  <si>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</si>
  <si>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</si>
  <si>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MENOR QUE 5M², SARRAFEADO (COM TALISCAS), ESPESSURA DE 1,5CM. AF_06/2014</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</si>
  <si>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</si>
  <si>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</si>
  <si>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ESTUCAMENTO, PARA QUALQUER REVESTIMENTO, EM TETO DO SISTEMA DE PAREDES DE CONCRETO. AF_06/2015</t>
  </si>
  <si>
    <t>ARGAMASSA PARA REVESTIMENTO DECORATIVO MONOCAMADA (MONOCAPA), MISTURA E PROJEÇÃO DE 2 M3/H DE ARGAMASSA. AF_06/2014</t>
  </si>
  <si>
    <t>ARGAMASSA INDUSTRIALIZADA PARA REVESTIMENTOS, MISTURA E PROJEÇÃO DE 2 M³/H DE ARGAMASSA. AF_06/2014</t>
  </si>
  <si>
    <t>PENEIRAMENTO DE AREIA COM PENEIRA ELÉTRICA. AF_11/2015</t>
  </si>
  <si>
    <t>PENEIRAMENTO DE AREIA COM PENEIRA MANUAL. AF_11/2015</t>
  </si>
  <si>
    <t>ENSACAMENTO DE AREIA. AF_11/2015</t>
  </si>
  <si>
    <t>CONCRETO CICLOPICO FCK=10MPA 30% PEDRA DE MAO INCLUSIVE LANCAMENTO</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</si>
  <si>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</si>
  <si>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</si>
  <si>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</si>
  <si>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</si>
  <si>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</si>
  <si>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</si>
  <si>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</si>
  <si>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</si>
  <si>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</si>
  <si>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</si>
  <si>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</si>
  <si>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</si>
  <si>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</si>
  <si>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</si>
  <si>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</si>
  <si>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</si>
  <si>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</si>
  <si>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</si>
  <si>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</si>
  <si>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</si>
  <si>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CARPINTEIRO DE FORMAS COM ENCARGOS COMPLEMENTARES</t>
  </si>
  <si>
    <t>ELETRICISTA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</si>
  <si>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</si>
  <si>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</si>
  <si>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</si>
  <si>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</si>
  <si>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</si>
  <si>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</si>
  <si>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</si>
  <si>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</si>
  <si>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</si>
  <si>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</si>
  <si>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</si>
  <si>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</si>
  <si>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</si>
  <si>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</si>
  <si>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</si>
  <si>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</si>
  <si>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</si>
  <si>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</si>
  <si>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</si>
  <si>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</si>
  <si>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</si>
  <si>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</si>
  <si>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</si>
  <si>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</si>
  <si>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</si>
  <si>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</si>
  <si>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</si>
  <si>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</si>
  <si>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</si>
  <si>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</si>
  <si>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</si>
  <si>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</si>
  <si>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</si>
  <si>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</si>
  <si>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</si>
  <si>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</si>
  <si>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</si>
  <si>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</si>
  <si>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</si>
  <si>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</si>
  <si>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</si>
  <si>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</si>
  <si>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</si>
  <si>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</si>
  <si>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</si>
  <si>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</si>
  <si>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</si>
  <si>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</si>
  <si>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</si>
  <si>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</si>
  <si>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</si>
  <si>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</si>
  <si>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JARDINEIRO COM ENCARGOS COMPLEMENTARES</t>
  </si>
  <si>
    <t>DESENHISTA DETALHISTA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</si>
  <si>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</si>
  <si>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</si>
  <si>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</si>
  <si>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</si>
  <si>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</si>
  <si>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</si>
  <si>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</si>
  <si>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</si>
  <si>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</si>
  <si>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</si>
  <si>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</si>
  <si>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</si>
  <si>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</si>
  <si>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</si>
  <si>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</si>
  <si>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</si>
  <si>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</si>
  <si>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</si>
  <si>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</si>
  <si>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</si>
  <si>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ARMADOR (ENCARGOS COMPLEMENTARES) - HORISTA</t>
  </si>
  <si>
    <t>CURSO DE CAPACITAÇÃO PARA GESSEIRO (ENCARGOS COMPLEMENTARES) - HORISTA</t>
  </si>
  <si>
    <t>CURSO DE CAPACITAÇÃO PARA PEDREIRO (ENCARGOS COMPLEMENTARES) - HORISTA</t>
  </si>
  <si>
    <t>CURSO DE CAPACITAÇÃO PARA PINTOR (ENCARGOS COMPLEMENTARES) - HORISTA</t>
  </si>
  <si>
    <t>CURSO DE CAPACITAÇÃO PARA POCEIRO (ENCARGOS COMPLEMENTARES) - HORISTA</t>
  </si>
  <si>
    <t>CURSO DE CAPACITAÇÃO PARA SERVENTE (ENCARGOS COMPLEMENTARES) - HORISTA</t>
  </si>
  <si>
    <t>CURSO DE CAPACITAÇÃO PARA SOLDADOR (ENCARGOS COMPLEMENTARES) - HORISTA</t>
  </si>
  <si>
    <t>CUSTO TOTAL</t>
  </si>
  <si>
    <t>CODIGO</t>
  </si>
  <si>
    <t>MÃO DE OBRA</t>
  </si>
  <si>
    <t>MATERIAL</t>
  </si>
  <si>
    <t>PINTURA</t>
  </si>
  <si>
    <t>ADMINISTRAÇÃO - MENSALISTAS</t>
  </si>
  <si>
    <t>MARCENARIA</t>
  </si>
  <si>
    <t>FERRAGENS</t>
  </si>
  <si>
    <t>REVESTIMENTO DE PISO</t>
  </si>
  <si>
    <t>FORROS</t>
  </si>
  <si>
    <t>REVESTIMENTO DE PAREDES</t>
  </si>
  <si>
    <t>VIDROS</t>
  </si>
  <si>
    <t>ESQUADRIAS METÁLICAS</t>
  </si>
  <si>
    <t>ESQUADRIAS DE MADEIRAS</t>
  </si>
  <si>
    <t>COBERTURAS</t>
  </si>
  <si>
    <t>ESTRUTURAS METÁLICAS</t>
  </si>
  <si>
    <t>ESTRUTURA DE MADEIRA</t>
  </si>
  <si>
    <t>ISOLAMENTO TÉRMICO E ACÚSTICO</t>
  </si>
  <si>
    <t>IMPERMEABILIZAÇÃO</t>
  </si>
  <si>
    <t>ALVENARIAS E DIVISÓRIAS</t>
  </si>
  <si>
    <t>INSTALAÇÕES ESPECIAIS</t>
  </si>
  <si>
    <t>INSTALAÇÕES HIDRO-SANITÁRIAS</t>
  </si>
  <si>
    <t>INST. ELÉT./TELEFÔNICA/CABEAMENTO ESTRUTURADO</t>
  </si>
  <si>
    <t>CORPO DE PROVA</t>
  </si>
  <si>
    <t>ESTRUTURA</t>
  </si>
  <si>
    <t>FUNDAÇÕES E SONDAGENS</t>
  </si>
  <si>
    <t>SERVIÇO EM TERRA</t>
  </si>
  <si>
    <t>TRANSPORTE DE ENTULHO EM CAÇAMBA ESTACIONÁRIA  INCLUSO A CARGA MANUAL</t>
  </si>
  <si>
    <t>TRANSPORTES</t>
  </si>
  <si>
    <t>SERVIÇOS PRELIMINARES</t>
  </si>
  <si>
    <t>DESCRICAO DA COMPOSICAO</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</si>
  <si>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</si>
  <si>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</si>
  <si>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</si>
  <si>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</si>
  <si>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</si>
  <si>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</si>
  <si>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</si>
  <si>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</si>
  <si>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</si>
  <si>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</si>
  <si>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</si>
  <si>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</si>
  <si>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</si>
  <si>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</si>
  <si>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</si>
  <si>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</si>
  <si>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</si>
  <si>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</si>
  <si>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</si>
  <si>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</si>
  <si>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</si>
  <si>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</si>
  <si>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</si>
  <si>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</si>
  <si>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</si>
  <si>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</si>
  <si>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</si>
  <si>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</si>
  <si>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</si>
  <si>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</si>
  <si>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</si>
  <si>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</si>
  <si>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</si>
  <si>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</si>
  <si>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</si>
  <si>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</si>
  <si>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</si>
  <si>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</si>
  <si>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</si>
  <si>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</si>
  <si>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</si>
  <si>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</si>
  <si>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</si>
  <si>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</si>
  <si>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</si>
  <si>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</si>
  <si>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</si>
  <si>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</si>
  <si>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</si>
  <si>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</si>
  <si>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</si>
  <si>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</si>
  <si>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</si>
  <si>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</si>
  <si>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</si>
  <si>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</si>
  <si>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</si>
  <si>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</si>
  <si>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</si>
  <si>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</si>
  <si>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</si>
  <si>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</si>
  <si>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</si>
  <si>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</si>
  <si>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</si>
  <si>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</si>
  <si>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</si>
  <si>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</si>
  <si>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</si>
  <si>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</si>
  <si>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</si>
  <si>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</si>
  <si>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</si>
  <si>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</si>
  <si>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</si>
  <si>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</si>
  <si>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</si>
  <si>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</si>
  <si>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</si>
  <si>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</si>
  <si>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</si>
  <si>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</si>
  <si>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</si>
  <si>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</si>
  <si>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</si>
  <si>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</si>
  <si>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</si>
  <si>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</si>
  <si>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</si>
  <si>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</si>
  <si>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</si>
  <si>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</si>
  <si>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</si>
  <si>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</si>
  <si>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</si>
  <si>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</si>
  <si>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</si>
  <si>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</si>
  <si>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</si>
  <si>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</si>
  <si>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</si>
  <si>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</si>
  <si>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</si>
  <si>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</si>
  <si>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</si>
  <si>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</si>
  <si>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</si>
  <si>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</si>
  <si>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</si>
  <si>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</si>
  <si>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</si>
  <si>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</si>
  <si>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</si>
  <si>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</si>
  <si>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</si>
  <si>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</si>
  <si>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</si>
  <si>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</si>
  <si>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</si>
  <si>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</si>
  <si>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</si>
  <si>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</si>
  <si>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</si>
  <si>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</si>
  <si>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</si>
  <si>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</si>
  <si>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</si>
  <si>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</si>
  <si>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</si>
  <si>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</si>
  <si>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</si>
  <si>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</si>
  <si>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</si>
  <si>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</si>
  <si>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</si>
  <si>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</si>
  <si>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</si>
  <si>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</si>
  <si>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</si>
  <si>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</si>
  <si>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</si>
  <si>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</si>
  <si>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</si>
  <si>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</si>
  <si>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</si>
  <si>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</si>
  <si>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</si>
  <si>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</si>
  <si>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</si>
  <si>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</si>
  <si>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</si>
  <si>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</si>
  <si>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</si>
  <si>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</si>
  <si>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</si>
  <si>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</si>
  <si>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</si>
  <si>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</si>
  <si>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</si>
  <si>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</si>
  <si>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</si>
  <si>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</si>
  <si>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</si>
  <si>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</si>
  <si>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</si>
  <si>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</si>
  <si>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</si>
  <si>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</si>
  <si>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</si>
  <si>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</si>
  <si>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</si>
  <si>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</si>
  <si>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</si>
  <si>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</si>
  <si>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</si>
  <si>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</si>
  <si>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</si>
  <si>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</si>
  <si>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</si>
  <si>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</si>
  <si>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</si>
  <si>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</si>
  <si>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</si>
  <si>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</si>
  <si>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</si>
  <si>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</si>
  <si>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</si>
  <si>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</si>
  <si>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</si>
  <si>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</si>
  <si>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</si>
  <si>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</si>
  <si>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</si>
  <si>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</si>
  <si>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CAMINHÃO BASCULANTE 6 M3, PESO BRUTO TOTAL 16.000 KG, CARGA ÚTIL MÁXIMA 13.071 KG, DISTÂNCIA ENTRE EIXOS 4,80 M, POTÊNCIA 230 CV INCLUSIVE CAÇAMBA METÁLICA - CHP DIURNO. AF_06/2014</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</si>
  <si>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</si>
  <si>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</si>
  <si>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</si>
  <si>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ESTEIRAS, POTÊNCIA 170 HP, PESO OPERACIONAL 19 T, CAÇAMBA 5,2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</si>
  <si>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</si>
  <si>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</si>
  <si>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</si>
  <si>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</si>
  <si>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</si>
  <si>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</si>
  <si>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</si>
  <si>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</si>
  <si>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</si>
  <si>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</si>
  <si>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</si>
  <si>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</si>
  <si>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</si>
  <si>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</si>
  <si>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</si>
  <si>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</si>
  <si>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</si>
  <si>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</si>
  <si>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</si>
  <si>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</si>
  <si>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</si>
  <si>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</si>
  <si>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</si>
  <si>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</si>
  <si>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</si>
  <si>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</si>
  <si>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</si>
  <si>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</si>
  <si>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</si>
  <si>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</si>
  <si>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</si>
  <si>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</si>
  <si>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</si>
  <si>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</si>
  <si>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</si>
  <si>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</si>
  <si>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</si>
  <si>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</si>
  <si>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VIBRADOR DE IMERSÃO, DIÂMETRO DE PONTEIRA 45MM, MOTOR ELÉTRICO TRIFÁSICO POTÊNCIA DE 2 CV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</si>
  <si>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</si>
  <si>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</si>
  <si>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</si>
  <si>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</si>
  <si>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</si>
  <si>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</si>
  <si>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</si>
  <si>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REBOCAVEL, VAZÃO 250 PCM, PRESSAO DE TRABALHO 102 PSI, MOTOR A DIESEL POTÊNCIA 81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</si>
  <si>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</si>
  <si>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</si>
  <si>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</si>
  <si>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</si>
  <si>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</si>
  <si>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</si>
  <si>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</si>
  <si>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</si>
  <si>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</si>
  <si>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</si>
  <si>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</si>
  <si>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CAMINHONETE COM MOTOR A DIESEL, POTÊNCIA 180 CV, CABINE DUPLA, 4X4 -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</si>
  <si>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</si>
  <si>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</si>
  <si>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</si>
  <si>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</si>
  <si>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</si>
  <si>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</si>
  <si>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</si>
  <si>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</si>
  <si>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</si>
  <si>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</si>
  <si>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</si>
  <si>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</si>
  <si>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</si>
  <si>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</si>
  <si>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</si>
  <si>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</si>
  <si>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</si>
  <si>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</si>
  <si>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</si>
  <si>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</si>
  <si>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</si>
  <si>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</si>
  <si>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</si>
  <si>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</si>
  <si>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</si>
  <si>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</si>
  <si>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</si>
  <si>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</si>
  <si>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</si>
  <si>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</si>
  <si>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</si>
  <si>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</si>
  <si>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</si>
  <si>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</si>
  <si>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</si>
  <si>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</si>
  <si>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</si>
  <si>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</si>
  <si>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</si>
  <si>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</si>
  <si>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</si>
  <si>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</si>
  <si>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</si>
  <si>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</si>
  <si>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</si>
  <si>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</si>
  <si>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</si>
  <si>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</si>
  <si>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</si>
  <si>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</si>
  <si>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</si>
  <si>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</si>
  <si>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ESTEIRAS, POTÊNCIA 170 HP, PESO OPERACIONAL 19 T, CAÇAMBA 5,2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</si>
  <si>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</si>
  <si>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</si>
  <si>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</si>
  <si>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</si>
  <si>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</si>
  <si>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</si>
  <si>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</si>
  <si>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</si>
  <si>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</si>
  <si>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</si>
  <si>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</si>
  <si>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</si>
  <si>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</si>
  <si>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</si>
  <si>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</si>
  <si>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</si>
  <si>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</si>
  <si>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</si>
  <si>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</si>
  <si>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</si>
  <si>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</si>
  <si>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</si>
  <si>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</si>
  <si>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</si>
  <si>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</si>
  <si>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</si>
  <si>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</si>
  <si>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</si>
  <si>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</si>
  <si>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</si>
  <si>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</si>
  <si>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</si>
  <si>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</si>
  <si>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</si>
  <si>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</si>
  <si>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</si>
  <si>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</si>
  <si>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VIBRADOR DE IMERSÃO, DIÂMETRO DE PONTEIRA 45MM, MOTOR ELÉTRICO TRIFÁSICO POTÊNCIA DE 2 CV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</si>
  <si>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</si>
  <si>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</si>
  <si>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</si>
  <si>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</si>
  <si>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</si>
  <si>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</si>
  <si>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</si>
  <si>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REBOCAVEL, VAZÃO 250 PCM, PRESSAO DE TRABALHO 102 PSI, MOTOR A DIESEL POTÊNCIA 81 CV - CHI DIURNO. AF_06/2015</t>
  </si>
  <si>
    <t>COMPRESSOR DE AR REBOCAVEL, VAZÃO 400 PCM, PRESSAO DE TRABALHO 102 PSI, MOTOR A DIESEL POTÊNCIA 110 CV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</si>
  <si>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</si>
  <si>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</si>
  <si>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</si>
  <si>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</si>
  <si>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</si>
  <si>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</si>
  <si>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</si>
  <si>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</si>
  <si>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</si>
  <si>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</si>
  <si>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</si>
  <si>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CAMINHONETE COM MOTOR A DIESEL, POTÊNCIA 180 CV, CABINE DUPLA, 4X4 -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</si>
  <si>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</si>
  <si>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</si>
  <si>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</si>
  <si>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</si>
  <si>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</si>
  <si>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</si>
  <si>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</si>
  <si>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</si>
  <si>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</si>
  <si>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</si>
  <si>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</si>
  <si>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</si>
  <si>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</si>
  <si>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</si>
  <si>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</si>
  <si>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</si>
  <si>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</si>
  <si>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</si>
  <si>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</si>
  <si>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</si>
  <si>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</si>
  <si>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</si>
  <si>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</si>
  <si>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</si>
  <si>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</si>
  <si>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</si>
  <si>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</si>
  <si>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</si>
  <si>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</si>
  <si>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</si>
  <si>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</si>
  <si>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</si>
  <si>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</si>
  <si>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</si>
  <si>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</si>
  <si>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</si>
  <si>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</si>
  <si>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</si>
  <si>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</si>
  <si>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</si>
  <si>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</si>
  <si>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</si>
  <si>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</si>
  <si>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</si>
  <si>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</si>
  <si>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</si>
  <si>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</si>
  <si>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</si>
  <si>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</si>
  <si>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</si>
  <si>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</si>
  <si>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</si>
  <si>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</si>
  <si>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</si>
  <si>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</si>
  <si>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</si>
  <si>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</si>
  <si>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</si>
  <si>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</si>
  <si>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ESTEIRAS, POTÊNCIA 170 HP, PESO OPERACIONAL 19 T, CAÇAMBA 5,2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</si>
  <si>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</si>
  <si>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</si>
  <si>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</si>
  <si>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</si>
  <si>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</si>
  <si>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</si>
  <si>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</si>
  <si>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</si>
  <si>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</si>
  <si>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</si>
  <si>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</si>
  <si>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</si>
  <si>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</si>
  <si>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</si>
  <si>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</si>
  <si>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</si>
  <si>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</si>
  <si>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</si>
  <si>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</si>
  <si>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</si>
  <si>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</si>
  <si>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</si>
  <si>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</si>
  <si>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</si>
  <si>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</si>
  <si>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</si>
  <si>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</si>
  <si>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</si>
  <si>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</si>
  <si>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</si>
  <si>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</si>
  <si>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</si>
  <si>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</si>
  <si>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</si>
  <si>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</si>
  <si>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</si>
  <si>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</si>
  <si>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</si>
  <si>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</si>
  <si>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</si>
  <si>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</si>
  <si>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</si>
  <si>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</si>
  <si>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</si>
  <si>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</si>
  <si>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</si>
  <si>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</si>
  <si>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</si>
  <si>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</si>
  <si>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</si>
  <si>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</si>
  <si>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</si>
  <si>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</si>
  <si>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</si>
  <si>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</si>
  <si>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</si>
  <si>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</si>
  <si>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</si>
  <si>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</si>
  <si>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</si>
  <si>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</si>
  <si>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</si>
  <si>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</si>
  <si>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</si>
  <si>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</si>
  <si>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</si>
  <si>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</si>
  <si>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</si>
  <si>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</si>
  <si>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</si>
  <si>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</si>
  <si>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</si>
  <si>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</si>
  <si>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</si>
  <si>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</si>
  <si>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</si>
  <si>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</si>
  <si>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</si>
  <si>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</si>
  <si>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</si>
  <si>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</si>
  <si>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</si>
  <si>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</si>
  <si>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</si>
  <si>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</si>
  <si>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</si>
  <si>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</si>
  <si>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</si>
  <si>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</si>
  <si>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</si>
  <si>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</si>
  <si>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</si>
  <si>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</si>
  <si>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</si>
  <si>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</si>
  <si>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</si>
  <si>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</si>
  <si>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</si>
  <si>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</si>
  <si>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</si>
  <si>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</si>
  <si>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</si>
  <si>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</si>
  <si>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</si>
  <si>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</si>
  <si>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</si>
  <si>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</si>
  <si>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</si>
  <si>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</si>
  <si>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</si>
  <si>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</si>
  <si>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</si>
  <si>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</si>
  <si>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</si>
  <si>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</si>
  <si>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</si>
  <si>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</si>
  <si>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</si>
  <si>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</si>
  <si>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</si>
  <si>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</si>
  <si>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</si>
  <si>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</si>
  <si>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</si>
  <si>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</si>
  <si>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</si>
  <si>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</si>
  <si>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</si>
  <si>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</si>
  <si>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</si>
  <si>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</si>
  <si>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</si>
  <si>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</si>
  <si>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</si>
  <si>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</si>
  <si>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</si>
  <si>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</si>
  <si>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</si>
  <si>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</si>
  <si>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</si>
  <si>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</si>
  <si>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</si>
  <si>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</si>
  <si>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</si>
  <si>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</si>
  <si>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</si>
  <si>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</si>
  <si>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</si>
  <si>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</si>
  <si>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</si>
  <si>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</si>
  <si>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</si>
  <si>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</si>
  <si>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</si>
  <si>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</si>
  <si>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</si>
  <si>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</si>
  <si>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</si>
  <si>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</si>
  <si>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</si>
  <si>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</si>
  <si>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</si>
  <si>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</si>
  <si>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</si>
  <si>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</si>
  <si>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</si>
  <si>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</si>
  <si>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</si>
  <si>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</si>
  <si>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</si>
  <si>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SOBRE ESTEIRA, TORQUE MÁXIMO 600 KGF, PESO MÉDIO 1000 KG, POTÊNCIA 20 HP, DIÂMETRO MÁXIMO 10"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</si>
  <si>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</si>
  <si>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</si>
  <si>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</si>
  <si>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</si>
  <si>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</si>
  <si>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</si>
  <si>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</si>
  <si>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</si>
  <si>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</si>
  <si>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</si>
  <si>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</si>
  <si>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</si>
  <si>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</si>
  <si>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</si>
  <si>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</si>
  <si>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</si>
  <si>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</si>
  <si>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</si>
  <si>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</si>
  <si>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</si>
  <si>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</si>
  <si>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</si>
  <si>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</si>
  <si>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</si>
  <si>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</si>
  <si>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</si>
  <si>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</si>
  <si>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</si>
  <si>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</si>
  <si>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</si>
  <si>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</si>
  <si>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</si>
  <si>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</si>
  <si>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</si>
  <si>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</si>
  <si>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</si>
  <si>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</si>
  <si>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</si>
  <si>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</si>
  <si>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</si>
  <si>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</si>
  <si>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</si>
  <si>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</si>
  <si>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</si>
  <si>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</si>
  <si>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</si>
  <si>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</si>
  <si>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</si>
  <si>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</si>
  <si>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</si>
  <si>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</si>
  <si>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</si>
  <si>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</si>
  <si>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</si>
  <si>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</si>
  <si>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</si>
  <si>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</si>
  <si>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</si>
  <si>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</si>
  <si>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</si>
  <si>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</si>
  <si>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</si>
  <si>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</si>
  <si>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</si>
  <si>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</si>
  <si>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</si>
  <si>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</si>
  <si>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</si>
  <si>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</si>
  <si>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</si>
  <si>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</si>
  <si>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</si>
  <si>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</si>
  <si>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</si>
  <si>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</si>
  <si>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</si>
  <si>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</si>
  <si>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</si>
  <si>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</si>
  <si>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</si>
  <si>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</si>
  <si>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</si>
  <si>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</si>
  <si>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</si>
  <si>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</si>
  <si>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</si>
  <si>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</si>
  <si>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</si>
  <si>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</si>
  <si>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</si>
  <si>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</si>
  <si>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</si>
  <si>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</si>
  <si>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</si>
  <si>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</si>
  <si>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</si>
  <si>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</si>
  <si>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</si>
  <si>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</si>
  <si>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</si>
  <si>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</si>
  <si>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</si>
  <si>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</si>
  <si>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</si>
  <si>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</si>
  <si>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</si>
  <si>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</si>
  <si>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</si>
  <si>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</si>
  <si>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</si>
  <si>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</si>
  <si>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</si>
  <si>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</si>
  <si>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</si>
  <si>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</si>
  <si>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</si>
  <si>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</si>
  <si>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</si>
  <si>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</si>
  <si>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</si>
  <si>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</si>
  <si>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</si>
  <si>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</si>
  <si>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</si>
  <si>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</si>
  <si>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</si>
  <si>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</si>
  <si>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</si>
  <si>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</si>
  <si>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</si>
  <si>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</si>
  <si>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</si>
  <si>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</si>
  <si>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</si>
  <si>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</si>
  <si>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</si>
  <si>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</si>
  <si>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</si>
  <si>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</si>
  <si>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</si>
  <si>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</si>
  <si>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</si>
  <si>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</si>
  <si>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</si>
  <si>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</si>
  <si>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</si>
  <si>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</si>
  <si>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</si>
  <si>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</si>
  <si>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</si>
  <si>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</si>
  <si>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</si>
  <si>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</si>
  <si>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</si>
  <si>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</si>
  <si>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</si>
  <si>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</si>
  <si>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</si>
  <si>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</si>
  <si>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</si>
  <si>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</si>
  <si>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</si>
  <si>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</si>
  <si>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</si>
  <si>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</si>
  <si>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</si>
  <si>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</si>
  <si>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</si>
  <si>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</si>
  <si>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</si>
  <si>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</si>
  <si>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</si>
  <si>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</si>
  <si>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</si>
  <si>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</si>
  <si>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</si>
  <si>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</si>
  <si>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</si>
  <si>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</si>
  <si>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</si>
  <si>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</si>
  <si>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</si>
  <si>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</si>
  <si>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</si>
  <si>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</si>
  <si>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</si>
  <si>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</si>
  <si>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</si>
  <si>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</si>
  <si>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</si>
  <si>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</si>
  <si>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</si>
  <si>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</si>
  <si>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</si>
  <si>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</si>
  <si>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</si>
  <si>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</si>
  <si>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</si>
  <si>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</si>
  <si>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</si>
  <si>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</si>
  <si>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</si>
  <si>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</si>
  <si>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</si>
  <si>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</si>
  <si>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</si>
  <si>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</si>
  <si>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</si>
  <si>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</si>
  <si>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</si>
  <si>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</si>
  <si>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</si>
  <si>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</si>
  <si>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</si>
  <si>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</si>
  <si>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</si>
  <si>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</si>
  <si>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</si>
  <si>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</si>
  <si>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</si>
  <si>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</si>
  <si>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</si>
  <si>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</si>
  <si>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</si>
  <si>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</si>
  <si>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</si>
  <si>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</si>
  <si>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</si>
  <si>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</si>
  <si>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</si>
  <si>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</si>
  <si>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</si>
  <si>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</si>
  <si>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</si>
  <si>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</si>
  <si>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</si>
  <si>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</si>
  <si>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</si>
  <si>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</si>
  <si>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</si>
  <si>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</si>
  <si>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</si>
  <si>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</si>
  <si>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</si>
  <si>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</si>
  <si>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</si>
  <si>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</si>
  <si>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</si>
  <si>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</si>
  <si>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</si>
  <si>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</si>
  <si>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</si>
  <si>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</si>
  <si>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</si>
  <si>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</si>
  <si>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</si>
  <si>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</si>
  <si>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</si>
  <si>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</si>
  <si>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</si>
  <si>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</si>
  <si>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</si>
  <si>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</si>
  <si>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</si>
  <si>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</si>
  <si>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</si>
  <si>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</si>
  <si>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</si>
  <si>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</si>
  <si>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</si>
  <si>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</si>
  <si>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</si>
  <si>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</si>
  <si>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</si>
  <si>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</si>
  <si>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</si>
  <si>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</si>
  <si>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</si>
  <si>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</si>
  <si>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</si>
  <si>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</si>
  <si>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</si>
  <si>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</si>
  <si>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</si>
  <si>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</si>
  <si>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</si>
  <si>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</si>
  <si>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</si>
  <si>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</si>
  <si>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</si>
  <si>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</si>
  <si>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</si>
  <si>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</si>
  <si>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</si>
  <si>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</si>
  <si>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</si>
  <si>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</si>
  <si>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</si>
  <si>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</si>
  <si>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</si>
  <si>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</si>
  <si>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</si>
  <si>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</si>
  <si>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</si>
  <si>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</si>
  <si>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</si>
  <si>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</si>
  <si>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</si>
  <si>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</si>
  <si>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</si>
  <si>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</si>
  <si>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</si>
  <si>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</si>
  <si>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</si>
  <si>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</si>
  <si>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</si>
  <si>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</si>
  <si>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</si>
  <si>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</si>
  <si>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</si>
  <si>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</si>
  <si>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</si>
  <si>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</si>
  <si>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</si>
  <si>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</si>
  <si>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</si>
  <si>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</si>
  <si>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</si>
  <si>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</si>
  <si>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</si>
  <si>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</si>
  <si>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</si>
  <si>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</si>
  <si>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</si>
  <si>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</si>
  <si>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</si>
  <si>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</si>
  <si>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</si>
  <si>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</si>
  <si>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</si>
  <si>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</si>
  <si>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</si>
  <si>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</si>
  <si>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</si>
  <si>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</si>
  <si>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</si>
  <si>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</si>
  <si>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</si>
  <si>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</si>
  <si>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</si>
  <si>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</si>
  <si>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</si>
  <si>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</si>
  <si>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</si>
  <si>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</si>
  <si>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</si>
  <si>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</si>
  <si>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</si>
  <si>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</si>
  <si>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</si>
  <si>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</si>
  <si>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</si>
  <si>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</si>
  <si>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</si>
  <si>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</si>
  <si>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</si>
  <si>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</si>
  <si>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</si>
  <si>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</si>
  <si>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</si>
  <si>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</si>
  <si>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</si>
  <si>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</si>
  <si>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</si>
  <si>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</si>
  <si>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</si>
  <si>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</si>
  <si>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</si>
  <si>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</si>
  <si>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</si>
  <si>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</si>
  <si>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</si>
  <si>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</si>
  <si>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</si>
  <si>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</si>
  <si>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</si>
  <si>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</si>
  <si>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</si>
  <si>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</si>
  <si>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</si>
  <si>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</si>
  <si>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</si>
  <si>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</si>
  <si>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</si>
  <si>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</si>
  <si>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</si>
  <si>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</si>
  <si>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</si>
  <si>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</si>
  <si>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</si>
  <si>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</si>
  <si>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</si>
  <si>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</si>
  <si>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</si>
  <si>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</si>
  <si>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</si>
  <si>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</si>
  <si>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</si>
  <si>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</si>
  <si>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</si>
  <si>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</si>
  <si>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</si>
  <si>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</si>
  <si>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</si>
  <si>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</si>
  <si>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</si>
  <si>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</si>
  <si>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</si>
  <si>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</si>
  <si>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</si>
  <si>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</si>
  <si>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</si>
  <si>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</si>
  <si>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</si>
  <si>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</si>
  <si>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</si>
  <si>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</si>
  <si>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</si>
  <si>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</si>
  <si>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</si>
  <si>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</si>
  <si>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</si>
  <si>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</si>
  <si>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</si>
  <si>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</si>
  <si>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</si>
  <si>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</si>
  <si>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</si>
  <si>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</si>
  <si>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</si>
  <si>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</si>
  <si>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</si>
  <si>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</si>
  <si>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</si>
  <si>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</si>
  <si>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</si>
  <si>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</si>
  <si>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</si>
  <si>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</si>
  <si>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</si>
  <si>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</si>
  <si>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</si>
  <si>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</si>
  <si>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</si>
  <si>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</si>
  <si>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</si>
  <si>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</si>
  <si>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</si>
  <si>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</si>
  <si>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</si>
  <si>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</si>
  <si>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</si>
  <si>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</si>
  <si>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</si>
  <si>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</si>
  <si>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</si>
  <si>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</si>
  <si>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</si>
  <si>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</si>
  <si>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</si>
  <si>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</si>
  <si>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</si>
  <si>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</si>
  <si>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</si>
  <si>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</si>
  <si>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</si>
  <si>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</si>
  <si>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</si>
  <si>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</si>
  <si>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</si>
  <si>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</si>
  <si>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</si>
  <si>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</si>
  <si>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</si>
  <si>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</si>
  <si>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</si>
  <si>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</si>
  <si>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</si>
  <si>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</si>
  <si>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</si>
  <si>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</si>
  <si>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</si>
  <si>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</si>
  <si>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</si>
  <si>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</si>
  <si>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</si>
  <si>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</si>
  <si>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</si>
  <si>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</si>
  <si>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</si>
  <si>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</si>
  <si>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</si>
  <si>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</si>
  <si>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</si>
  <si>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</si>
  <si>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</si>
  <si>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</si>
  <si>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</si>
  <si>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</si>
  <si>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</si>
  <si>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</si>
  <si>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</si>
  <si>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</si>
  <si>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</si>
  <si>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</si>
  <si>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</si>
  <si>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</si>
  <si>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</si>
  <si>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</si>
  <si>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</si>
  <si>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</si>
  <si>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</si>
  <si>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</si>
  <si>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</si>
  <si>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</si>
  <si>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</si>
  <si>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</si>
  <si>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</si>
  <si>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</si>
  <si>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</si>
  <si>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</si>
  <si>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</si>
  <si>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</si>
  <si>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</si>
  <si>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</si>
  <si>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</si>
  <si>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</si>
  <si>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</si>
  <si>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</si>
  <si>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</si>
  <si>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</si>
  <si>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</si>
  <si>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</si>
  <si>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</si>
  <si>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</si>
  <si>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</si>
  <si>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</si>
  <si>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</si>
  <si>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</si>
  <si>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</si>
  <si>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</si>
  <si>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</si>
  <si>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</si>
  <si>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</si>
  <si>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</si>
  <si>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</si>
  <si>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</si>
  <si>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</si>
  <si>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</si>
  <si>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</si>
  <si>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</si>
  <si>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</si>
  <si>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</si>
  <si>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</si>
  <si>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</si>
  <si>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</si>
  <si>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</si>
  <si>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</si>
  <si>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</si>
  <si>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</si>
  <si>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</si>
  <si>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</si>
  <si>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</si>
  <si>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</si>
  <si>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</si>
  <si>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</si>
  <si>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</si>
  <si>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</si>
  <si>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</si>
  <si>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</si>
  <si>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</si>
  <si>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</si>
  <si>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</si>
  <si>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</si>
  <si>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</si>
  <si>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</si>
  <si>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</si>
  <si>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</si>
  <si>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</si>
  <si>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</si>
  <si>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</si>
  <si>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</si>
  <si>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</si>
  <si>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</si>
  <si>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</si>
  <si>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</si>
  <si>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</si>
  <si>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</si>
  <si>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</si>
  <si>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</si>
  <si>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</si>
  <si>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</si>
  <si>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</si>
  <si>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</si>
  <si>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</si>
  <si>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</si>
  <si>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</si>
  <si>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</si>
  <si>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</si>
  <si>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</si>
  <si>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</si>
  <si>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</si>
  <si>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</si>
  <si>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</si>
  <si>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</si>
  <si>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</si>
  <si>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</si>
  <si>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</si>
  <si>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</si>
  <si>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</si>
  <si>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</si>
  <si>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</si>
  <si>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</si>
  <si>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</si>
  <si>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</si>
  <si>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</si>
  <si>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</si>
  <si>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</si>
  <si>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</si>
  <si>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</si>
  <si>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</si>
  <si>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</si>
  <si>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</si>
  <si>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</si>
  <si>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</si>
  <si>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</si>
  <si>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</si>
  <si>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</si>
  <si>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</si>
  <si>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</si>
  <si>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</si>
  <si>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</si>
  <si>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</si>
  <si>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</si>
  <si>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</si>
  <si>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</si>
  <si>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</si>
  <si>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</si>
  <si>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</si>
  <si>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</si>
  <si>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</si>
  <si>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</si>
  <si>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</si>
  <si>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</si>
  <si>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</si>
  <si>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</si>
  <si>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</si>
  <si>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</si>
  <si>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</si>
  <si>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</si>
  <si>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</si>
  <si>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</si>
  <si>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</si>
  <si>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</si>
  <si>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</si>
  <si>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</si>
  <si>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</si>
  <si>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</si>
  <si>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</si>
  <si>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</si>
  <si>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</si>
  <si>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</si>
  <si>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</si>
  <si>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</si>
  <si>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</si>
  <si>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</si>
  <si>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</si>
  <si>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</si>
  <si>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</si>
  <si>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</si>
  <si>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</si>
  <si>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</si>
  <si>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</si>
  <si>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</si>
  <si>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</si>
  <si>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</si>
  <si>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</si>
  <si>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</si>
  <si>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</si>
  <si>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</si>
  <si>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</si>
  <si>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</si>
  <si>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</si>
  <si>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</si>
  <si>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</si>
  <si>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</si>
  <si>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</si>
  <si>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</si>
  <si>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</si>
  <si>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</si>
  <si>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</si>
  <si>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</si>
  <si>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</si>
  <si>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</si>
  <si>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</si>
  <si>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</si>
  <si>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</si>
  <si>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</si>
  <si>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</si>
  <si>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</si>
  <si>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</si>
  <si>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</si>
  <si>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</si>
  <si>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</si>
  <si>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</si>
  <si>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</si>
  <si>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</si>
  <si>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</si>
  <si>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</si>
  <si>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</si>
  <si>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</si>
  <si>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</si>
  <si>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</si>
  <si>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</si>
  <si>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</si>
  <si>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</si>
  <si>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</si>
  <si>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</si>
  <si>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</si>
  <si>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</si>
  <si>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</si>
  <si>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</si>
  <si>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</si>
  <si>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</si>
  <si>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</si>
  <si>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</si>
  <si>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</si>
  <si>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</si>
  <si>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</si>
  <si>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</si>
  <si>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</si>
  <si>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</si>
  <si>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</si>
  <si>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</si>
  <si>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</si>
  <si>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</si>
  <si>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</si>
  <si>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</si>
  <si>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</si>
  <si>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</si>
  <si>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</si>
  <si>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</si>
  <si>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</si>
  <si>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</si>
  <si>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</si>
  <si>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</si>
  <si>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</si>
  <si>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</si>
  <si>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</si>
  <si>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</si>
  <si>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</si>
  <si>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</si>
  <si>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</si>
  <si>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</si>
  <si>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</si>
  <si>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</si>
  <si>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</si>
  <si>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</si>
  <si>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</si>
  <si>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</si>
  <si>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</si>
  <si>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</si>
  <si>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</si>
  <si>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</si>
  <si>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</si>
  <si>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</si>
  <si>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</si>
  <si>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</si>
  <si>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</si>
  <si>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</si>
  <si>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</si>
  <si>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</si>
  <si>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</si>
  <si>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</si>
  <si>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</si>
  <si>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</si>
  <si>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</si>
  <si>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</si>
  <si>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</si>
  <si>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</si>
  <si>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</si>
  <si>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</si>
  <si>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</si>
  <si>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</si>
  <si>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</si>
  <si>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</si>
  <si>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</si>
  <si>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</si>
  <si>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</si>
  <si>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</si>
  <si>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</si>
  <si>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</si>
  <si>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</si>
  <si>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</si>
  <si>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</si>
  <si>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</si>
  <si>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</si>
  <si>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</si>
  <si>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</si>
  <si>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</si>
  <si>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</si>
  <si>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</si>
  <si>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</si>
  <si>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</si>
  <si>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</si>
  <si>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</si>
  <si>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</si>
  <si>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</si>
  <si>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</si>
  <si>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</si>
  <si>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</si>
  <si>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</si>
  <si>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</si>
  <si>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</si>
  <si>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</si>
  <si>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</si>
  <si>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</si>
  <si>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</si>
  <si>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</si>
  <si>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</si>
  <si>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</si>
  <si>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</si>
  <si>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</si>
  <si>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</si>
  <si>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</si>
  <si>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</si>
  <si>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</si>
  <si>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</si>
  <si>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</si>
  <si>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</si>
  <si>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</si>
  <si>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</si>
  <si>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</si>
  <si>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</si>
  <si>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</si>
  <si>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</si>
  <si>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</si>
  <si>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</si>
  <si>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</si>
  <si>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</si>
  <si>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</si>
  <si>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</si>
  <si>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</si>
  <si>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</si>
  <si>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</si>
  <si>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</si>
  <si>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</si>
  <si>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</si>
  <si>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</si>
  <si>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</si>
  <si>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</si>
  <si>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</si>
  <si>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</si>
  <si>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</si>
  <si>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</si>
  <si>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</si>
  <si>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</si>
  <si>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</si>
  <si>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</si>
  <si>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</si>
  <si>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</si>
  <si>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</si>
  <si>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</si>
  <si>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</si>
  <si>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</si>
  <si>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</si>
  <si>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</si>
  <si>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</si>
  <si>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</si>
  <si>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</si>
  <si>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</si>
  <si>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</si>
  <si>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</si>
  <si>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</si>
  <si>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</si>
  <si>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</si>
  <si>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</si>
  <si>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</si>
  <si>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</si>
  <si>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</si>
  <si>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</si>
  <si>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</si>
  <si>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</si>
  <si>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</si>
  <si>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</si>
  <si>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</si>
  <si>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</si>
  <si>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</si>
  <si>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</si>
  <si>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</si>
  <si>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</si>
  <si>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</si>
  <si>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</si>
  <si>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</si>
  <si>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</si>
  <si>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</si>
  <si>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</si>
  <si>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</si>
  <si>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</si>
  <si>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</si>
  <si>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</si>
  <si>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</si>
  <si>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</si>
  <si>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</si>
  <si>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</si>
  <si>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</si>
  <si>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</si>
  <si>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</si>
  <si>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</si>
  <si>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</si>
  <si>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</si>
  <si>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</si>
  <si>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</si>
  <si>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</si>
  <si>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</si>
  <si>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</si>
  <si>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</si>
  <si>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</si>
  <si>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</si>
  <si>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</si>
  <si>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</si>
  <si>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</si>
  <si>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</si>
  <si>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</si>
  <si>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</si>
  <si>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</si>
  <si>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</si>
  <si>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</si>
  <si>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</si>
  <si>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</si>
  <si>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</si>
  <si>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</si>
  <si>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</si>
  <si>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</si>
  <si>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</si>
  <si>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</si>
  <si>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</si>
  <si>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</si>
  <si>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</si>
  <si>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</si>
  <si>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</si>
  <si>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</si>
  <si>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</si>
  <si>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</si>
  <si>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</si>
  <si>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</si>
  <si>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</si>
  <si>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</si>
  <si>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</si>
  <si>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</si>
  <si>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</si>
  <si>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</si>
  <si>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</si>
  <si>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</si>
  <si>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</si>
  <si>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</si>
  <si>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</si>
  <si>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</si>
  <si>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</si>
  <si>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BOMBA, ADENSAMENTO E ACABAMENTO DE CONCRETO EM ESTRUTURAS. AF_12/2015</t>
  </si>
  <si>
    <t>CONCRETO MAGRO PARA LASTRO, TRAÇO 1:4,5:4,5 (CIMENTO/ AREIA MÉDIA/ BRITA 1)  - PREPARO MECÂNICO COM BETONEIRA 400 L. AF_07/2016</t>
  </si>
  <si>
    <t>CONCRETO FCK = 15MPA, TRAÇO 1:3,4:3,5 (CIMENTO/ AREIA MÉDIA/ BRITA 1)  - PREPARO MECÂNICO COM BETONEIRA 400 L. AF_07/2016</t>
  </si>
  <si>
    <t>CONCRETO FCK = 25MPA, TRAÇO 1:2,3:2,7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</si>
  <si>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</si>
  <si>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</si>
  <si>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</si>
  <si>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</si>
  <si>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</si>
  <si>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</si>
  <si>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</si>
  <si>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</si>
  <si>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</si>
  <si>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</si>
  <si>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</si>
  <si>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</si>
  <si>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</si>
  <si>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</si>
  <si>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</si>
  <si>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</si>
  <si>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</si>
  <si>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</si>
  <si>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</si>
  <si>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</si>
  <si>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</si>
  <si>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</si>
  <si>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</si>
  <si>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</si>
  <si>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</si>
  <si>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</si>
  <si>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</si>
  <si>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</si>
  <si>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</si>
  <si>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</si>
  <si>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</si>
  <si>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</si>
  <si>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</si>
  <si>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</si>
  <si>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</si>
  <si>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</si>
  <si>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</si>
  <si>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</si>
  <si>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</si>
  <si>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</si>
  <si>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</si>
  <si>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</si>
  <si>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</si>
  <si>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</si>
  <si>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</si>
  <si>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</si>
  <si>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</si>
  <si>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</si>
  <si>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</si>
  <si>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</si>
  <si>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</si>
  <si>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</si>
  <si>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</si>
  <si>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</si>
  <si>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</si>
  <si>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</si>
  <si>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</si>
  <si>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</si>
  <si>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</si>
  <si>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</si>
  <si>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</si>
  <si>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</si>
  <si>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</si>
  <si>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</si>
  <si>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</si>
  <si>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</si>
  <si>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</si>
  <si>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</si>
  <si>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</si>
  <si>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</si>
  <si>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</si>
  <si>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</si>
  <si>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</si>
  <si>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</si>
  <si>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</si>
  <si>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</si>
  <si>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</si>
  <si>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</si>
  <si>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</si>
  <si>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</si>
  <si>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</si>
  <si>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</si>
  <si>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</si>
  <si>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</si>
  <si>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</si>
  <si>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</si>
  <si>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</si>
  <si>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</si>
  <si>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</si>
  <si>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</si>
  <si>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</si>
  <si>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</si>
  <si>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</si>
  <si>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</si>
  <si>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</si>
  <si>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</si>
  <si>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</si>
  <si>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</si>
  <si>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</si>
  <si>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</si>
  <si>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</si>
  <si>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</si>
  <si>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</si>
  <si>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</si>
  <si>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</si>
  <si>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</si>
  <si>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</si>
  <si>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</si>
  <si>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</si>
  <si>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</si>
  <si>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</si>
  <si>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</si>
  <si>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</si>
  <si>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</si>
  <si>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</si>
  <si>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</si>
  <si>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</si>
  <si>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</si>
  <si>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</si>
  <si>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</si>
  <si>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</si>
  <si>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</si>
  <si>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</si>
  <si>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</si>
  <si>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</si>
  <si>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</si>
  <si>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</si>
  <si>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</si>
  <si>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</si>
  <si>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</si>
  <si>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</si>
  <si>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</si>
  <si>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</si>
  <si>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</si>
  <si>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</si>
  <si>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</si>
  <si>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</si>
  <si>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</si>
  <si>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</si>
  <si>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</si>
  <si>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</si>
  <si>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</si>
  <si>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</si>
  <si>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</si>
  <si>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</si>
  <si>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</si>
  <si>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</si>
  <si>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</si>
  <si>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</si>
  <si>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</si>
  <si>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</si>
  <si>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</si>
  <si>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</si>
  <si>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</si>
  <si>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</si>
  <si>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</si>
  <si>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</si>
  <si>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</si>
  <si>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</si>
  <si>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</si>
  <si>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</si>
  <si>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</si>
  <si>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</si>
  <si>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</si>
  <si>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</si>
  <si>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</si>
  <si>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</si>
  <si>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</si>
  <si>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</si>
  <si>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</si>
  <si>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</si>
  <si>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</si>
  <si>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</si>
  <si>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</si>
  <si>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</si>
  <si>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</si>
  <si>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</si>
  <si>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</si>
  <si>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</si>
  <si>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</si>
  <si>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</si>
  <si>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</si>
  <si>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</si>
  <si>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</si>
  <si>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</si>
  <si>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</si>
  <si>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</si>
  <si>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</si>
  <si>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</si>
  <si>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</si>
  <si>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</si>
  <si>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</si>
  <si>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</si>
  <si>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</si>
  <si>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</si>
  <si>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</si>
  <si>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</si>
  <si>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</si>
  <si>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</si>
  <si>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</si>
  <si>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</si>
  <si>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</si>
  <si>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</si>
  <si>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</si>
  <si>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</si>
  <si>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</si>
  <si>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</si>
  <si>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</si>
  <si>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</si>
  <si>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</si>
  <si>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</si>
  <si>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</si>
  <si>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60 MM (2")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</si>
  <si>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</si>
  <si>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</si>
  <si>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</si>
  <si>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</si>
  <si>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</si>
  <si>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</si>
  <si>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</si>
  <si>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</si>
  <si>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</si>
  <si>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</si>
  <si>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</si>
  <si>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</si>
  <si>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</si>
  <si>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</si>
  <si>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</si>
  <si>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</si>
  <si>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</si>
  <si>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</si>
  <si>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</si>
  <si>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</si>
  <si>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</si>
  <si>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</si>
  <si>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</si>
  <si>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</si>
  <si>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</si>
  <si>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</si>
  <si>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</si>
  <si>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</si>
  <si>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</si>
  <si>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</si>
  <si>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</si>
  <si>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</si>
  <si>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</si>
  <si>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</si>
  <si>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</si>
  <si>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</si>
  <si>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</si>
  <si>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</si>
  <si>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</si>
  <si>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</si>
  <si>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</si>
  <si>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</si>
  <si>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</si>
  <si>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</si>
  <si>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</si>
  <si>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</si>
  <si>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</si>
  <si>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</si>
  <si>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</si>
  <si>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</si>
  <si>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</si>
  <si>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</si>
  <si>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</si>
  <si>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</si>
  <si>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</si>
  <si>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</si>
  <si>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</si>
  <si>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</si>
  <si>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</si>
  <si>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</si>
  <si>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</si>
  <si>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</si>
  <si>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</si>
  <si>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</si>
  <si>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</si>
  <si>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</si>
  <si>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</si>
  <si>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</si>
  <si>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</si>
  <si>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</si>
  <si>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</si>
  <si>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</si>
  <si>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</si>
  <si>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</si>
  <si>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</si>
  <si>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</si>
  <si>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</si>
  <si>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</si>
  <si>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</si>
  <si>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</si>
  <si>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</si>
  <si>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</si>
  <si>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</si>
  <si>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</si>
  <si>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</si>
  <si>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</si>
  <si>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</si>
  <si>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</si>
  <si>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</si>
  <si>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</si>
  <si>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</si>
  <si>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</si>
  <si>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</si>
  <si>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</si>
  <si>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</si>
  <si>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</si>
  <si>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</si>
  <si>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</si>
  <si>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</si>
  <si>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</si>
  <si>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</si>
  <si>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</si>
  <si>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INTERRUPTOR SIMPLES (1 MÓDULO), 10A/250V, SEM SUPORTE E SEM PLACA - FORNECIMENTO E INSTALAÇÃO. AF_12/2015</t>
  </si>
  <si>
    <t>INTERRUPTOR PARALELO (1 MÓDULO), 10A/250V, SEM SUPORTE E SEM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</si>
  <si>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</si>
  <si>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</si>
  <si>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</si>
  <si>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</si>
  <si>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</si>
  <si>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</si>
  <si>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</si>
  <si>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</si>
  <si>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</si>
  <si>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</si>
  <si>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</si>
  <si>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</si>
  <si>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</si>
  <si>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(6 MÓDULOS), 10A/250V, SEM SUPORTE E SEM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</si>
  <si>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</si>
  <si>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</si>
  <si>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</si>
  <si>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</si>
  <si>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</si>
  <si>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</si>
  <si>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</si>
  <si>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</si>
  <si>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</si>
  <si>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</si>
  <si>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</si>
  <si>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</si>
  <si>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</si>
  <si>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</si>
  <si>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</si>
  <si>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</si>
  <si>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</si>
  <si>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</si>
  <si>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</si>
  <si>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</si>
  <si>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</si>
  <si>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</si>
  <si>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</si>
  <si>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</si>
  <si>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</si>
  <si>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</si>
  <si>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</si>
  <si>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</si>
  <si>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</si>
  <si>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</si>
  <si>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</si>
  <si>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</si>
  <si>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</si>
  <si>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</si>
  <si>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</si>
  <si>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</si>
  <si>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</si>
  <si>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</si>
  <si>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</si>
  <si>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</si>
  <si>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</si>
  <si>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</si>
  <si>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</si>
  <si>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</si>
  <si>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</si>
  <si>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</si>
  <si>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</si>
  <si>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</si>
  <si>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</si>
  <si>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</si>
  <si>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</si>
  <si>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</si>
  <si>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</si>
  <si>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</si>
  <si>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</si>
  <si>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</si>
  <si>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</si>
  <si>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</si>
  <si>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</si>
  <si>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</si>
  <si>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</si>
  <si>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</si>
  <si>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</si>
  <si>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</si>
  <si>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</si>
  <si>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</si>
  <si>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</si>
  <si>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</si>
  <si>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</si>
  <si>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</si>
  <si>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</si>
  <si>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</si>
  <si>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</si>
  <si>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</si>
  <si>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</si>
  <si>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</si>
  <si>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</si>
  <si>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</si>
  <si>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</si>
  <si>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</si>
  <si>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</si>
  <si>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</si>
  <si>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</si>
  <si>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</si>
  <si>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</si>
  <si>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</si>
  <si>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</si>
  <si>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</si>
  <si>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</si>
  <si>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</si>
  <si>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</si>
  <si>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</si>
  <si>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</si>
  <si>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</si>
  <si>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</si>
  <si>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</si>
  <si>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</si>
  <si>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</si>
  <si>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</si>
  <si>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</si>
  <si>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</si>
  <si>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</si>
  <si>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</si>
  <si>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</si>
  <si>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</si>
  <si>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</si>
  <si>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</si>
  <si>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</si>
  <si>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</si>
  <si>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</si>
  <si>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</si>
  <si>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</si>
  <si>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</si>
  <si>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</si>
  <si>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</si>
  <si>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</si>
  <si>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</si>
  <si>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</si>
  <si>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</si>
  <si>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</si>
  <si>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</si>
  <si>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</si>
  <si>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</si>
  <si>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</si>
  <si>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</si>
  <si>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</si>
  <si>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</si>
  <si>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</si>
  <si>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</si>
  <si>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</si>
  <si>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</si>
  <si>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</si>
  <si>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</si>
  <si>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</si>
  <si>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</si>
  <si>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</si>
  <si>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</si>
  <si>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</si>
  <si>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</si>
  <si>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</si>
  <si>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</si>
  <si>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</si>
  <si>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</si>
  <si>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</si>
  <si>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</si>
  <si>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</si>
  <si>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</si>
  <si>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</si>
  <si>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</si>
  <si>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</si>
  <si>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</si>
  <si>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</si>
  <si>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</si>
  <si>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</si>
  <si>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</si>
  <si>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</si>
  <si>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</si>
  <si>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</si>
  <si>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</si>
  <si>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</si>
  <si>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</si>
  <si>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</si>
  <si>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</si>
  <si>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</si>
  <si>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</si>
  <si>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</si>
  <si>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</si>
  <si>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</si>
  <si>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</si>
  <si>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</si>
  <si>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</si>
  <si>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</si>
  <si>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</si>
  <si>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</si>
  <si>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</si>
  <si>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</si>
  <si>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</si>
  <si>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</si>
  <si>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</si>
  <si>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</si>
  <si>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</si>
  <si>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</si>
  <si>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</si>
  <si>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</si>
  <si>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</si>
  <si>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</si>
  <si>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</si>
  <si>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</si>
  <si>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</si>
  <si>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</si>
  <si>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</si>
  <si>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</si>
  <si>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</si>
  <si>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</si>
  <si>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</si>
  <si>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</si>
  <si>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</si>
  <si>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</si>
  <si>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</si>
  <si>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</si>
  <si>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</si>
  <si>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</si>
  <si>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</si>
  <si>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</si>
  <si>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</si>
  <si>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</si>
  <si>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</si>
  <si>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</si>
  <si>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</si>
  <si>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</si>
  <si>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</si>
  <si>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</si>
  <si>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</si>
  <si>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</si>
  <si>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</si>
  <si>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</si>
  <si>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</si>
  <si>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(2 MÓDULOS) 10A/250V,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</si>
  <si>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</si>
  <si>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</si>
  <si>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</si>
  <si>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</si>
  <si>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</si>
  <si>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</si>
  <si>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</si>
  <si>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</si>
  <si>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</si>
  <si>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</si>
  <si>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</si>
  <si>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</si>
  <si>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</si>
  <si>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</si>
  <si>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</si>
  <si>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</si>
  <si>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</si>
  <si>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</si>
  <si>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</si>
  <si>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</si>
  <si>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</si>
  <si>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</si>
  <si>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</si>
  <si>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</si>
  <si>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</si>
  <si>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</si>
  <si>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</si>
  <si>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</si>
  <si>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</si>
  <si>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</si>
  <si>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</si>
  <si>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</si>
  <si>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</si>
  <si>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</si>
  <si>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</si>
  <si>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</si>
  <si>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</si>
  <si>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</si>
  <si>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</si>
  <si>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</si>
  <si>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</si>
  <si>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</si>
  <si>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</si>
  <si>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</si>
  <si>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</si>
  <si>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</si>
  <si>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</si>
  <si>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</si>
  <si>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</si>
  <si>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</si>
  <si>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</si>
  <si>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</si>
  <si>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</si>
  <si>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</si>
  <si>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</si>
  <si>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</si>
  <si>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</si>
  <si>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</si>
  <si>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</si>
  <si>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</si>
  <si>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</si>
  <si>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</si>
  <si>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</si>
  <si>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</si>
  <si>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</si>
  <si>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</si>
  <si>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</si>
  <si>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</si>
  <si>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</si>
  <si>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</si>
  <si>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</si>
  <si>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</si>
  <si>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</si>
  <si>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</si>
  <si>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</si>
  <si>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</si>
  <si>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</si>
  <si>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</si>
  <si>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</si>
  <si>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</si>
  <si>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</si>
  <si>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</si>
  <si>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</si>
  <si>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</si>
  <si>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</si>
  <si>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</si>
  <si>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</si>
  <si>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</si>
  <si>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</si>
  <si>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</si>
  <si>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</si>
  <si>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</si>
  <si>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</si>
  <si>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</si>
  <si>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</si>
  <si>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</si>
  <si>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</si>
  <si>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</si>
  <si>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</si>
  <si>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</si>
  <si>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</si>
  <si>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</si>
  <si>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</si>
  <si>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</si>
  <si>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</si>
  <si>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</si>
  <si>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</si>
  <si>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</si>
  <si>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</si>
  <si>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</si>
  <si>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</si>
  <si>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</si>
  <si>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</si>
  <si>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</si>
  <si>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</si>
  <si>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</si>
  <si>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</si>
  <si>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</si>
  <si>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</si>
  <si>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</si>
  <si>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</si>
  <si>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</si>
  <si>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</si>
  <si>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</si>
  <si>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</si>
  <si>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</si>
  <si>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</si>
  <si>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</si>
  <si>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</si>
  <si>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</si>
  <si>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</si>
  <si>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</si>
  <si>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</si>
  <si>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</si>
  <si>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</si>
  <si>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</si>
  <si>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</si>
  <si>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</si>
  <si>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</si>
  <si>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</si>
  <si>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</si>
  <si>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</si>
  <si>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</si>
  <si>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</si>
  <si>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</si>
  <si>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</si>
  <si>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</si>
  <si>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</si>
  <si>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</si>
  <si>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</si>
  <si>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</si>
  <si>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</si>
  <si>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</si>
  <si>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</si>
  <si>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</si>
  <si>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</si>
  <si>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</si>
  <si>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</si>
  <si>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</si>
  <si>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</si>
  <si>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</si>
  <si>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</si>
  <si>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</si>
  <si>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</si>
  <si>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</si>
  <si>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</si>
  <si>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</si>
  <si>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</si>
  <si>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</si>
  <si>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</si>
  <si>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</si>
  <si>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</si>
  <si>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</si>
  <si>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</si>
  <si>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</si>
  <si>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</si>
  <si>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</si>
  <si>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</si>
  <si>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</si>
  <si>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</si>
  <si>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</si>
  <si>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</si>
  <si>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</si>
  <si>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</si>
  <si>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</si>
  <si>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</si>
  <si>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</si>
  <si>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</si>
  <si>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</si>
  <si>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</si>
  <si>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</si>
  <si>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</si>
  <si>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</si>
  <si>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</si>
  <si>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</si>
  <si>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</si>
  <si>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</si>
  <si>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</si>
  <si>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</si>
  <si>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</si>
  <si>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</si>
  <si>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</si>
  <si>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</si>
  <si>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</si>
  <si>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</si>
  <si>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</si>
  <si>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</si>
  <si>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</si>
  <si>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</si>
  <si>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</si>
  <si>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</si>
  <si>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</si>
  <si>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</si>
  <si>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</si>
  <si>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</si>
  <si>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</si>
  <si>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</si>
  <si>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</si>
  <si>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</si>
  <si>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</si>
  <si>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</si>
  <si>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</si>
  <si>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</si>
  <si>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</si>
  <si>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</si>
  <si>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</si>
  <si>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</si>
  <si>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</si>
  <si>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</si>
  <si>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</si>
  <si>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</si>
  <si>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</si>
  <si>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</si>
  <si>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</si>
  <si>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</si>
  <si>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</si>
  <si>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</si>
  <si>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</si>
  <si>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</si>
  <si>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</si>
  <si>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</si>
  <si>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</si>
  <si>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</si>
  <si>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</si>
  <si>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</si>
  <si>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</si>
  <si>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</si>
  <si>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</si>
  <si>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</si>
  <si>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</si>
  <si>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</si>
  <si>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</si>
  <si>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</si>
  <si>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</si>
  <si>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</si>
  <si>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</si>
  <si>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</si>
  <si>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</si>
  <si>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</si>
  <si>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</si>
  <si>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</si>
  <si>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</si>
  <si>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</si>
  <si>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</si>
  <si>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</si>
  <si>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DE CORRER, PVC, SOLDÁVEL, DN 20MM, INSTALADO EM RAMAL OU SUB-RAMAL DE ÁGUA - FORNECIMENTO E INSTALAÇÃO. AF_12/2014</t>
  </si>
  <si>
    <t>LUVA COM BUCHA DE LATÃO, PVC, SOLDÁVEL, DN 20MM X 1/2,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</si>
  <si>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</si>
  <si>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</si>
  <si>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DE CORRER, PVC, SOLDÁVEL, DN 25MM, INSTALADO EM RAMAL OU SUB-RAMAL DE ÁGUA - FORNECIMENTO E INSTALAÇÃO. AF_12/2014</t>
  </si>
  <si>
    <t>LUVA COM BUCHA DE LATÃO, PVC, SOLDÁVEL, DN 25MM X 3/4,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</si>
  <si>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</si>
  <si>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</si>
  <si>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</si>
  <si>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DE CORRER, PVC, SOLDÁVEL, DN 32MM, INSTALADO EM RAMAL OU SUB-RAMAL DE ÁGUA   FORNECIMENTO E INSTALAÇÃO. AF_12/2014</t>
  </si>
  <si>
    <t>LUVA SOLDÁVEL E COM ROSCA, PVC, SOLDÁVEL, DN 32MM X 1,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</si>
  <si>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</si>
  <si>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</si>
  <si>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TÊ COM BUCHA DE LATÃO NA BOLSA CENTRAL, PVC, SOLDÁVEL, DN 20MM X 1/2,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</si>
  <si>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</si>
  <si>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</si>
  <si>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</si>
  <si>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</si>
  <si>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</si>
  <si>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</si>
  <si>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</si>
  <si>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</si>
  <si>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</si>
  <si>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</si>
  <si>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</si>
  <si>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</si>
  <si>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</si>
  <si>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</si>
  <si>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</si>
  <si>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</si>
  <si>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</si>
  <si>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</si>
  <si>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</si>
  <si>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</si>
  <si>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</si>
  <si>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</si>
  <si>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</si>
  <si>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</si>
  <si>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</si>
  <si>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</si>
  <si>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</si>
  <si>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</si>
  <si>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</si>
  <si>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</si>
  <si>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</si>
  <si>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</si>
  <si>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</si>
  <si>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</si>
  <si>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</si>
  <si>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</si>
  <si>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</si>
  <si>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</si>
  <si>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</si>
  <si>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</si>
  <si>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CURVA 87 GRAUS E 30 MINUTOS, PVC, SERIE R, ÁGUA PLUVIAL, DN 75 MM, JUNTA ELÁSTICA, FORNECIDO E INSTALADO EM RAMAL DE ENCAMINHAMENTO. AF_12/2014</t>
  </si>
  <si>
    <t>LUVA, PVC, SOLDÁVEL, DN 25MM, INSTALADO EM PRUMADA DE ÁGUA - FORNECIMENTO E INSTALAÇÃO. AF_12/2014</t>
  </si>
  <si>
    <t>JOELHO 90 GRAUS, PVC, SERIE R, ÁGUA PLUVIAL, DN 100 MM, JUNTA ELÁSTICA, FORNECIDO E INSTALADO EM RAMAL DE ENCAMINHAMENTO. AF_12/2014</t>
  </si>
  <si>
    <t>JOELHO 45 GRAUS, PVC, SERIE R, ÁGUA PLUVIAL, DN 100 MM, JUNTA ELÁSTICA, FORNECIDO E INSTALADO EM RAMAL DE ENCAMINHAMENTO. AF_12/2014</t>
  </si>
  <si>
    <t>LUVA DE REDUÇÃO, PVC, SOLDÁVEL, DN 32MM X 25MM, INSTALADO EM PRUMADA DE ÁGUA - FORNECIMENTO E INSTALAÇÃO.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</si>
  <si>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</si>
  <si>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</si>
  <si>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</si>
  <si>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</si>
  <si>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LUVA,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</si>
  <si>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</si>
  <si>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</si>
  <si>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</si>
  <si>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</si>
  <si>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REDUÇÃO EXCÊNTRICA, PVC, SERIE R, ÁGUA PLUVIAL, DN 75 X 50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</si>
  <si>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</si>
  <si>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</si>
  <si>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</si>
  <si>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</si>
  <si>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LUVA, PVC, SOLDÁVEL, DN 40MM, INSTALADO EM PRUMADA DE ÁGUA - FORNECIMENTO E INSTALAÇÃO. AF_12/2014</t>
  </si>
  <si>
    <t>LUVA DE REDUÇÃO, PVC, SOLDÁVEL, DN 40MM X 32MM, INSTALADO EM PRUMADA DE ÁGUA - FORNECIMENTO E INSTALAÇÃO.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</si>
  <si>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</si>
  <si>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</si>
  <si>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</si>
  <si>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</si>
  <si>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</si>
  <si>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</si>
  <si>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</si>
  <si>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</si>
  <si>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</si>
  <si>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</si>
  <si>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</si>
  <si>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</si>
  <si>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</si>
  <si>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</si>
  <si>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</si>
  <si>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</si>
  <si>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</si>
  <si>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</si>
  <si>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</si>
  <si>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</si>
  <si>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</si>
  <si>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</si>
  <si>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</si>
  <si>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</si>
  <si>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</si>
  <si>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</si>
  <si>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</si>
  <si>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</si>
  <si>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</si>
  <si>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</si>
  <si>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</si>
  <si>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</si>
  <si>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</si>
  <si>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</si>
  <si>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</si>
  <si>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</si>
  <si>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</si>
  <si>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</si>
  <si>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</si>
  <si>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</si>
  <si>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</si>
  <si>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</si>
  <si>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</si>
  <si>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</si>
  <si>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</si>
  <si>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</si>
  <si>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</si>
  <si>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PVC, SOLDÁVEL, DN 85MM,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</si>
  <si>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</si>
  <si>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</si>
  <si>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</si>
  <si>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</si>
  <si>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</si>
  <si>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</si>
  <si>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</si>
  <si>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</si>
  <si>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</si>
  <si>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</si>
  <si>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</si>
  <si>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</si>
  <si>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</si>
  <si>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</si>
  <si>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</si>
  <si>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</si>
  <si>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</si>
  <si>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</si>
  <si>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</si>
  <si>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</si>
  <si>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</si>
  <si>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</si>
  <si>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</si>
  <si>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</si>
  <si>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</si>
  <si>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</si>
  <si>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</si>
  <si>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</si>
  <si>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</si>
  <si>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</si>
  <si>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</si>
  <si>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</si>
  <si>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</si>
  <si>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</si>
  <si>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</si>
  <si>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</si>
  <si>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</si>
  <si>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</si>
  <si>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</si>
  <si>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</si>
  <si>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</si>
  <si>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</si>
  <si>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</si>
  <si>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</si>
  <si>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</si>
  <si>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</si>
  <si>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</si>
  <si>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</si>
  <si>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</si>
  <si>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</si>
  <si>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</si>
  <si>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</si>
  <si>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</si>
  <si>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</si>
  <si>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</si>
  <si>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</si>
  <si>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</si>
  <si>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</si>
  <si>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</si>
  <si>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</si>
  <si>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</si>
  <si>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</si>
  <si>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</si>
  <si>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</si>
  <si>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</si>
  <si>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</si>
  <si>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</si>
  <si>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</si>
  <si>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</si>
  <si>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</si>
  <si>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</si>
  <si>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</si>
  <si>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</si>
  <si>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</si>
  <si>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</si>
  <si>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</si>
  <si>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</si>
  <si>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</si>
  <si>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</si>
  <si>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</si>
  <si>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</si>
  <si>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</si>
  <si>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</si>
  <si>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</si>
  <si>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</si>
  <si>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</si>
  <si>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</si>
  <si>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</si>
  <si>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</si>
  <si>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</si>
  <si>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</si>
  <si>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</si>
  <si>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</si>
  <si>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</si>
  <si>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</si>
  <si>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</si>
  <si>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</si>
  <si>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</si>
  <si>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</si>
  <si>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</si>
  <si>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</si>
  <si>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</si>
  <si>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</si>
  <si>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</si>
  <si>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</si>
  <si>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TE, CPVC, SOLDÁVEL, DN 22MM, INSTALADO EM RAMAL DE DISTRIBUIÇÃO DE ÁGUA -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</si>
  <si>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</si>
  <si>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</si>
  <si>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</si>
  <si>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</si>
  <si>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</si>
  <si>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</si>
  <si>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</si>
  <si>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</si>
  <si>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</si>
  <si>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</si>
  <si>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</si>
  <si>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</si>
  <si>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</si>
  <si>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</si>
  <si>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</si>
  <si>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</si>
  <si>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</si>
  <si>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</si>
  <si>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</si>
  <si>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</si>
  <si>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</si>
  <si>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</si>
  <si>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</si>
  <si>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</si>
  <si>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</si>
  <si>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</si>
  <si>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</si>
  <si>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</si>
  <si>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</si>
  <si>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</si>
  <si>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</si>
  <si>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</si>
  <si>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</si>
  <si>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</si>
  <si>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</si>
  <si>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</si>
  <si>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</si>
  <si>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</si>
  <si>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</si>
  <si>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</si>
  <si>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</si>
  <si>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</si>
  <si>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</si>
  <si>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</si>
  <si>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</si>
  <si>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</si>
  <si>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</si>
  <si>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</si>
  <si>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</si>
  <si>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</si>
  <si>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</si>
  <si>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</si>
  <si>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</si>
  <si>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</si>
  <si>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</si>
  <si>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</si>
  <si>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</si>
  <si>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</si>
  <si>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</si>
  <si>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</si>
  <si>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</si>
  <si>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</si>
  <si>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</si>
  <si>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</si>
  <si>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</si>
  <si>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</si>
  <si>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</si>
  <si>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</si>
  <si>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</si>
  <si>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</si>
  <si>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</si>
  <si>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</si>
  <si>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</si>
  <si>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</si>
  <si>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</si>
  <si>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</si>
  <si>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</si>
  <si>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</si>
  <si>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</si>
  <si>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</si>
  <si>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</si>
  <si>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</si>
  <si>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</si>
  <si>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</si>
  <si>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</si>
  <si>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</si>
  <si>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</si>
  <si>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</si>
  <si>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</si>
  <si>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</si>
  <si>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</si>
  <si>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</si>
  <si>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</si>
  <si>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</si>
  <si>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</si>
  <si>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</si>
  <si>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</si>
  <si>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</si>
  <si>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</si>
  <si>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</si>
  <si>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</si>
  <si>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</si>
  <si>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</si>
  <si>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</si>
  <si>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</si>
  <si>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</si>
  <si>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</si>
  <si>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</si>
  <si>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</si>
  <si>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</si>
  <si>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</si>
  <si>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</si>
  <si>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</si>
  <si>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</si>
  <si>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</si>
  <si>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</si>
  <si>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</si>
  <si>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</si>
  <si>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</si>
  <si>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</si>
  <si>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</si>
  <si>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</si>
  <si>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</si>
  <si>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</si>
  <si>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</si>
  <si>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</si>
  <si>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</si>
  <si>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</si>
  <si>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</si>
  <si>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</si>
  <si>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</si>
  <si>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</si>
  <si>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</si>
  <si>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</si>
  <si>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</si>
  <si>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</si>
  <si>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</si>
  <si>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</si>
  <si>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</si>
  <si>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</si>
  <si>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</si>
  <si>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</si>
  <si>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</si>
  <si>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</si>
  <si>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</si>
  <si>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</si>
  <si>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</si>
  <si>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</si>
  <si>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</si>
  <si>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</si>
  <si>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</si>
  <si>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</si>
  <si>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</si>
  <si>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</si>
  <si>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</si>
  <si>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</si>
  <si>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</si>
  <si>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</si>
  <si>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</si>
  <si>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</si>
  <si>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</si>
  <si>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</si>
  <si>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</si>
  <si>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</si>
  <si>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</si>
  <si>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</si>
  <si>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</si>
  <si>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</si>
  <si>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</si>
  <si>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</si>
  <si>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</si>
  <si>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</si>
  <si>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</si>
  <si>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</si>
  <si>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</si>
  <si>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</si>
  <si>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</si>
  <si>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</si>
  <si>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</si>
  <si>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</si>
  <si>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</si>
  <si>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</si>
  <si>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</si>
  <si>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</si>
  <si>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</si>
  <si>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</si>
  <si>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</si>
  <si>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</si>
  <si>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</si>
  <si>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</si>
  <si>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</si>
  <si>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</si>
  <si>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</si>
  <si>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</si>
  <si>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</si>
  <si>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</si>
  <si>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</si>
  <si>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</si>
  <si>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</si>
  <si>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</si>
  <si>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</si>
  <si>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</si>
  <si>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</si>
  <si>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</si>
  <si>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</si>
  <si>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</si>
  <si>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</si>
  <si>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</si>
  <si>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</si>
  <si>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</si>
  <si>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</si>
  <si>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</si>
  <si>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</si>
  <si>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</si>
  <si>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</si>
  <si>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</si>
  <si>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</si>
  <si>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</si>
  <si>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</si>
  <si>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</si>
  <si>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</si>
  <si>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</si>
  <si>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</si>
  <si>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</si>
  <si>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</si>
  <si>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</si>
  <si>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</si>
  <si>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</si>
  <si>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</si>
  <si>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</si>
  <si>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</si>
  <si>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</si>
  <si>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</si>
  <si>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</si>
  <si>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</si>
  <si>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</si>
  <si>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</si>
  <si>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</si>
  <si>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</si>
  <si>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</si>
  <si>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</si>
  <si>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</si>
  <si>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</si>
  <si>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</si>
  <si>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</si>
  <si>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</si>
  <si>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</si>
  <si>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</si>
  <si>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</si>
  <si>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</si>
  <si>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</si>
  <si>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</si>
  <si>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</si>
  <si>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</si>
  <si>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</si>
  <si>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</si>
  <si>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</si>
  <si>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</si>
  <si>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</si>
  <si>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</si>
  <si>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</si>
  <si>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</si>
  <si>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</si>
  <si>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</si>
  <si>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</si>
  <si>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</si>
  <si>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</si>
  <si>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</si>
  <si>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</si>
  <si>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</si>
  <si>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</si>
  <si>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</si>
  <si>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</si>
  <si>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</si>
  <si>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</si>
  <si>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</si>
  <si>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</si>
  <si>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</si>
  <si>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</si>
  <si>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</si>
  <si>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</si>
  <si>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</si>
  <si>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</si>
  <si>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</si>
  <si>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</si>
  <si>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</si>
  <si>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</si>
  <si>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</si>
  <si>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</si>
  <si>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</si>
  <si>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</si>
  <si>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</si>
  <si>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</si>
  <si>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</si>
  <si>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</si>
  <si>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</si>
  <si>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</si>
  <si>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</si>
  <si>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</si>
  <si>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</si>
  <si>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</si>
  <si>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</si>
  <si>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</si>
  <si>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</si>
  <si>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</si>
  <si>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</si>
  <si>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</si>
  <si>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</si>
  <si>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</si>
  <si>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</si>
  <si>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</si>
  <si>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</si>
  <si>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</si>
  <si>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</si>
  <si>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</si>
  <si>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</si>
  <si>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</si>
  <si>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</si>
  <si>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</si>
  <si>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</si>
  <si>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</si>
  <si>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</si>
  <si>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</si>
  <si>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</si>
  <si>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</si>
  <si>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</si>
  <si>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</si>
  <si>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</si>
  <si>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</si>
  <si>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</si>
  <si>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</si>
  <si>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</si>
  <si>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</si>
  <si>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</si>
  <si>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</si>
  <si>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</si>
  <si>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</si>
  <si>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</si>
  <si>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</si>
  <si>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</si>
  <si>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</si>
  <si>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</si>
  <si>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</si>
  <si>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</si>
  <si>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</si>
  <si>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</si>
  <si>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</si>
  <si>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</si>
  <si>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</si>
  <si>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</si>
  <si>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</si>
  <si>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</si>
  <si>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</si>
  <si>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</si>
  <si>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</si>
  <si>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</si>
  <si>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</si>
  <si>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</si>
  <si>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</si>
  <si>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</si>
  <si>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</si>
  <si>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</si>
  <si>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</si>
  <si>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</si>
  <si>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</si>
  <si>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</si>
  <si>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</si>
  <si>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</si>
  <si>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</si>
  <si>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</si>
  <si>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</si>
  <si>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</si>
  <si>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</si>
  <si>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</si>
  <si>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</si>
  <si>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</si>
  <si>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</si>
  <si>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</si>
  <si>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</si>
  <si>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</si>
  <si>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</si>
  <si>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</si>
  <si>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</si>
  <si>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</si>
  <si>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</si>
  <si>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</si>
  <si>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</si>
  <si>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</si>
  <si>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</si>
  <si>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</si>
  <si>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</si>
  <si>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</si>
  <si>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</si>
  <si>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</si>
  <si>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</si>
  <si>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</si>
  <si>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</si>
  <si>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</si>
  <si>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</si>
  <si>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</si>
  <si>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</si>
  <si>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</si>
  <si>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</si>
  <si>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</si>
  <si>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</si>
  <si>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</si>
  <si>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</si>
  <si>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</si>
  <si>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</si>
  <si>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</si>
  <si>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</si>
  <si>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</si>
  <si>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</si>
  <si>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</si>
  <si>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</si>
  <si>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</si>
  <si>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</si>
  <si>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</si>
  <si>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</si>
  <si>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</si>
  <si>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</si>
  <si>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</si>
  <si>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</si>
  <si>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</si>
  <si>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</si>
  <si>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</si>
  <si>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</si>
  <si>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</si>
  <si>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</si>
  <si>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</si>
  <si>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</si>
  <si>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</si>
  <si>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</si>
  <si>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</si>
  <si>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</si>
  <si>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</si>
  <si>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</si>
  <si>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</si>
  <si>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</si>
  <si>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</si>
  <si>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</si>
  <si>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</si>
  <si>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</si>
  <si>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</si>
  <si>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</si>
  <si>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</si>
  <si>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</si>
  <si>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</si>
  <si>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</si>
  <si>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</si>
  <si>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</si>
  <si>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</si>
  <si>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</si>
  <si>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</si>
  <si>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</si>
  <si>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</si>
  <si>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</si>
  <si>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</si>
  <si>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</si>
  <si>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</si>
  <si>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</si>
  <si>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</si>
  <si>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</si>
  <si>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</si>
  <si>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</si>
  <si>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</si>
  <si>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</si>
  <si>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</si>
  <si>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</si>
  <si>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</si>
  <si>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</si>
  <si>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</si>
  <si>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</si>
  <si>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</si>
  <si>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</si>
  <si>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</si>
  <si>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</si>
  <si>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</si>
  <si>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</si>
  <si>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</si>
  <si>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</si>
  <si>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</si>
  <si>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</si>
  <si>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</si>
  <si>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</si>
  <si>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</si>
  <si>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</si>
  <si>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</si>
  <si>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</si>
  <si>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</si>
  <si>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</si>
  <si>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</si>
  <si>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</si>
  <si>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</si>
  <si>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</si>
  <si>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</si>
  <si>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</si>
  <si>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</si>
  <si>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</si>
  <si>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</si>
  <si>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</si>
  <si>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</si>
  <si>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</si>
  <si>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</si>
  <si>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</si>
  <si>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</si>
  <si>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</si>
  <si>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</si>
  <si>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</si>
  <si>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</si>
  <si>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</si>
  <si>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</si>
  <si>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</si>
  <si>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</si>
  <si>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</si>
  <si>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</si>
  <si>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</si>
  <si>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</si>
  <si>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</si>
  <si>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</si>
  <si>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</si>
  <si>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</si>
  <si>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</si>
  <si>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</si>
  <si>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</si>
  <si>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</si>
  <si>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</si>
  <si>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</si>
  <si>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</si>
  <si>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</si>
  <si>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</si>
  <si>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</si>
  <si>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</si>
  <si>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</si>
  <si>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</si>
  <si>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</si>
  <si>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</si>
  <si>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</si>
  <si>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</si>
  <si>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</si>
  <si>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</si>
  <si>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</si>
  <si>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</si>
  <si>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</si>
  <si>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</si>
  <si>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</si>
  <si>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</si>
  <si>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</si>
  <si>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</si>
  <si>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</si>
  <si>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</si>
  <si>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</si>
  <si>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</si>
  <si>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</si>
  <si>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</si>
  <si>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</si>
  <si>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</si>
  <si>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</si>
  <si>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</si>
  <si>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</si>
  <si>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</si>
  <si>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</si>
  <si>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</si>
  <si>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</si>
  <si>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</si>
  <si>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</si>
  <si>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</si>
  <si>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</si>
  <si>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</si>
  <si>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</si>
  <si>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</si>
  <si>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</si>
  <si>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</si>
  <si>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</si>
  <si>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</si>
  <si>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</si>
  <si>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</si>
  <si>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</si>
  <si>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</si>
  <si>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</si>
  <si>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</si>
  <si>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</si>
  <si>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</si>
  <si>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</si>
  <si>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</si>
  <si>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</si>
  <si>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</si>
  <si>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</si>
  <si>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</si>
  <si>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</si>
  <si>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</si>
  <si>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</si>
  <si>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</si>
  <si>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</si>
  <si>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</si>
  <si>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</si>
  <si>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</si>
  <si>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</si>
  <si>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</si>
  <si>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</si>
  <si>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</si>
  <si>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</si>
  <si>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</si>
  <si>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</si>
  <si>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</si>
  <si>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</si>
  <si>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</si>
  <si>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</si>
  <si>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</si>
  <si>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</si>
  <si>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</si>
  <si>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</si>
  <si>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</si>
  <si>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</si>
  <si>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</si>
  <si>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</si>
  <si>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</si>
  <si>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</si>
  <si>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</si>
  <si>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</si>
  <si>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</si>
  <si>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</si>
  <si>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</si>
  <si>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</si>
  <si>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</si>
  <si>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</si>
  <si>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</si>
  <si>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</si>
  <si>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</si>
  <si>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</si>
  <si>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</si>
  <si>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</si>
  <si>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</si>
  <si>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</si>
  <si>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</si>
  <si>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</si>
  <si>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</si>
  <si>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</si>
  <si>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</si>
  <si>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</si>
  <si>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</si>
  <si>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</si>
  <si>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</si>
  <si>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</si>
  <si>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</si>
  <si>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</si>
  <si>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</si>
  <si>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</si>
  <si>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</si>
  <si>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</si>
  <si>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</si>
  <si>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</si>
  <si>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</si>
  <si>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</si>
  <si>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</si>
  <si>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</si>
  <si>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</si>
  <si>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</si>
  <si>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</si>
  <si>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</si>
  <si>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</si>
  <si>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</si>
  <si>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</si>
  <si>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</si>
  <si>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</si>
  <si>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</si>
  <si>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</si>
  <si>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</si>
  <si>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</si>
  <si>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</si>
  <si>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</si>
  <si>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</si>
  <si>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</si>
  <si>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</si>
  <si>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</si>
  <si>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</si>
  <si>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</si>
  <si>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</si>
  <si>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</si>
  <si>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</si>
  <si>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</si>
  <si>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</si>
  <si>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</si>
  <si>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</si>
  <si>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</si>
  <si>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</si>
  <si>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</si>
  <si>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</si>
  <si>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</si>
  <si>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</si>
  <si>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</si>
  <si>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</si>
  <si>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</si>
  <si>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</si>
  <si>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</si>
  <si>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</si>
  <si>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</si>
  <si>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</si>
  <si>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</si>
  <si>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</si>
  <si>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</si>
  <si>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</si>
  <si>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</si>
  <si>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</si>
  <si>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</si>
  <si>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</si>
  <si>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</si>
  <si>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</si>
  <si>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</si>
  <si>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</si>
  <si>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</si>
  <si>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</si>
  <si>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</si>
  <si>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</si>
  <si>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</si>
  <si>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</si>
  <si>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</si>
  <si>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</si>
  <si>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</si>
  <si>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</si>
  <si>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</si>
  <si>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</si>
  <si>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</si>
  <si>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</si>
  <si>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</si>
  <si>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</si>
  <si>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</si>
  <si>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</si>
  <si>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</si>
  <si>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</si>
  <si>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</si>
  <si>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</si>
  <si>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</si>
  <si>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</si>
  <si>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</si>
  <si>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</si>
  <si>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</si>
  <si>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</si>
  <si>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</si>
  <si>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</si>
  <si>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</si>
  <si>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</si>
  <si>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</si>
  <si>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</si>
  <si>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</si>
  <si>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</si>
  <si>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</si>
  <si>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</si>
  <si>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</si>
  <si>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</si>
  <si>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</si>
  <si>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</si>
  <si>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</si>
  <si>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</si>
  <si>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</si>
  <si>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</si>
  <si>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</si>
  <si>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</si>
  <si>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</si>
  <si>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</si>
  <si>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</si>
  <si>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</si>
  <si>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</si>
  <si>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</si>
  <si>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</si>
  <si>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</si>
  <si>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</si>
  <si>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</si>
  <si>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</si>
  <si>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</si>
  <si>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</si>
  <si>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</si>
  <si>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</si>
  <si>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</si>
  <si>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</si>
  <si>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</si>
  <si>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</si>
  <si>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</si>
  <si>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</si>
  <si>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</si>
  <si>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</si>
  <si>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</si>
  <si>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</si>
  <si>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</si>
  <si>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</si>
  <si>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</si>
  <si>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</si>
  <si>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</si>
  <si>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</si>
  <si>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</si>
  <si>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</si>
  <si>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</si>
  <si>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</si>
  <si>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</si>
  <si>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</si>
  <si>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</si>
  <si>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</si>
  <si>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</si>
  <si>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</si>
  <si>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</si>
  <si>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</si>
  <si>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</si>
  <si>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</si>
  <si>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</si>
  <si>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</si>
  <si>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</si>
  <si>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</si>
  <si>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</si>
  <si>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</si>
  <si>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</si>
  <si>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</si>
  <si>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</si>
  <si>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</si>
  <si>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</si>
  <si>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</si>
  <si>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</si>
  <si>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</si>
  <si>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</si>
  <si>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</si>
  <si>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</si>
  <si>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</si>
  <si>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</si>
  <si>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</si>
  <si>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</si>
  <si>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</si>
  <si>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</si>
  <si>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</si>
  <si>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</si>
  <si>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</si>
  <si>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</si>
  <si>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</si>
  <si>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</si>
  <si>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</si>
  <si>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</si>
  <si>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</si>
  <si>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</si>
  <si>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</si>
  <si>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</si>
  <si>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</si>
  <si>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</si>
  <si>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</si>
  <si>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</si>
  <si>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</si>
  <si>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</si>
  <si>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</si>
  <si>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</si>
  <si>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</si>
  <si>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</si>
  <si>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</si>
  <si>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</si>
  <si>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</si>
  <si>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</si>
  <si>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</si>
  <si>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</si>
  <si>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</si>
  <si>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</si>
  <si>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</si>
  <si>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</si>
  <si>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</si>
  <si>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</si>
  <si>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</si>
  <si>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</si>
  <si>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</si>
  <si>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</si>
  <si>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</si>
  <si>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</si>
  <si>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</si>
  <si>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</si>
  <si>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</si>
  <si>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</si>
  <si>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</si>
  <si>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</si>
  <si>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</si>
  <si>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</si>
  <si>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</si>
  <si>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</si>
  <si>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</si>
  <si>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</si>
  <si>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</si>
  <si>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DE 0,8 A 1,5 M, PROFUNDIDADE DE 1,5 A 3,0 M, COM AREIA PARA ATERRO.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</si>
  <si>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</si>
  <si>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</si>
  <si>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</si>
  <si>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</si>
  <si>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</si>
  <si>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</si>
  <si>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</si>
  <si>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</si>
  <si>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</si>
  <si>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</si>
  <si>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</si>
  <si>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</si>
  <si>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</si>
  <si>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</si>
  <si>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</si>
  <si>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</si>
  <si>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</si>
  <si>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</si>
  <si>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</si>
  <si>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</si>
  <si>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</si>
  <si>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</si>
  <si>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</si>
  <si>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</si>
  <si>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</si>
  <si>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</si>
  <si>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</si>
  <si>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</si>
  <si>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</si>
  <si>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</si>
  <si>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</si>
  <si>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</si>
  <si>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</si>
  <si>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</si>
  <si>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</si>
  <si>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</si>
  <si>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</si>
  <si>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</si>
  <si>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</si>
  <si>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</si>
  <si>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</si>
  <si>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</si>
  <si>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</si>
  <si>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</si>
  <si>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</si>
  <si>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</si>
  <si>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</si>
  <si>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</si>
  <si>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</si>
  <si>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</si>
  <si>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</si>
  <si>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</si>
  <si>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</si>
  <si>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</si>
  <si>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</si>
  <si>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</si>
  <si>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</si>
  <si>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</si>
  <si>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</si>
  <si>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</si>
  <si>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</si>
  <si>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</si>
  <si>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</si>
  <si>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</si>
  <si>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</si>
  <si>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</si>
  <si>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</si>
  <si>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</si>
  <si>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</si>
  <si>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</si>
  <si>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</si>
  <si>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</si>
  <si>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</si>
  <si>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</si>
  <si>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</si>
  <si>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</si>
  <si>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</si>
  <si>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</si>
  <si>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</si>
  <si>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</si>
  <si>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</si>
  <si>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</si>
  <si>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</si>
  <si>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</si>
  <si>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</si>
  <si>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</si>
  <si>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</si>
  <si>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</si>
  <si>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</si>
  <si>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</si>
  <si>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</si>
  <si>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</si>
  <si>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</si>
  <si>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</si>
  <si>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</si>
  <si>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</si>
  <si>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</si>
  <si>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</si>
  <si>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</si>
  <si>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</si>
  <si>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</si>
  <si>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</si>
  <si>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</si>
  <si>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</si>
  <si>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</si>
  <si>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</si>
  <si>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</si>
  <si>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</si>
  <si>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</si>
  <si>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</si>
  <si>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</si>
  <si>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</si>
  <si>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</si>
  <si>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</si>
  <si>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</si>
  <si>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</si>
  <si>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</si>
  <si>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</si>
  <si>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</si>
  <si>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</si>
  <si>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</si>
  <si>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</si>
  <si>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</si>
  <si>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</si>
  <si>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</si>
  <si>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</si>
  <si>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</si>
  <si>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</si>
  <si>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</si>
  <si>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</si>
  <si>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</si>
  <si>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</si>
  <si>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</si>
  <si>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</si>
  <si>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</si>
  <si>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</si>
  <si>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</si>
  <si>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</si>
  <si>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</si>
  <si>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</si>
  <si>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</si>
  <si>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</si>
  <si>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</si>
  <si>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</si>
  <si>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</si>
  <si>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</si>
  <si>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</si>
  <si>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</si>
  <si>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</si>
  <si>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</si>
  <si>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</si>
  <si>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</si>
  <si>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</si>
  <si>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</si>
  <si>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</si>
  <si>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</si>
  <si>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</si>
  <si>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</si>
  <si>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</si>
  <si>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</si>
  <si>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</si>
  <si>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</si>
  <si>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</si>
  <si>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</si>
  <si>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</si>
  <si>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</si>
  <si>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</si>
  <si>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</si>
  <si>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</si>
  <si>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</si>
  <si>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</si>
  <si>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</si>
  <si>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</si>
  <si>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</si>
  <si>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</si>
  <si>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</si>
  <si>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</si>
  <si>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</si>
  <si>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</si>
  <si>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</si>
  <si>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</si>
  <si>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</si>
  <si>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</si>
  <si>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</si>
  <si>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</si>
  <si>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</si>
  <si>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</si>
  <si>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</si>
  <si>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</si>
  <si>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</si>
  <si>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</si>
  <si>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</si>
  <si>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</si>
  <si>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</si>
  <si>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</si>
  <si>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</si>
  <si>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</si>
  <si>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</si>
  <si>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</si>
  <si>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</si>
  <si>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</si>
  <si>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</si>
  <si>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</si>
  <si>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</si>
  <si>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</si>
  <si>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</si>
  <si>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</si>
  <si>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</si>
  <si>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</si>
  <si>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</si>
  <si>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</si>
  <si>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</si>
  <si>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</si>
  <si>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</si>
  <si>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</si>
  <si>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</si>
  <si>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</si>
  <si>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</si>
  <si>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</si>
  <si>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IMPRIMAÇÃO COM ASFALTO DILUÍDO CM-30.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</si>
  <si>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</si>
  <si>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</si>
  <si>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</si>
  <si>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</si>
  <si>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</si>
  <si>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</si>
  <si>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</si>
  <si>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</si>
  <si>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</si>
  <si>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</si>
  <si>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</si>
  <si>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</si>
  <si>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</si>
  <si>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</si>
  <si>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</si>
  <si>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</si>
  <si>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PÁTIO/ESTACIONAMENTO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</si>
  <si>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</si>
  <si>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</si>
  <si>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</si>
  <si>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</si>
  <si>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</si>
  <si>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</si>
  <si>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</si>
  <si>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</si>
  <si>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</si>
  <si>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</si>
  <si>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</si>
  <si>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</si>
  <si>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</si>
  <si>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</si>
  <si>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</si>
  <si>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</si>
  <si>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</si>
  <si>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</si>
  <si>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</si>
  <si>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</si>
  <si>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</si>
  <si>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</si>
  <si>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</si>
  <si>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</si>
  <si>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</si>
  <si>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</si>
  <si>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SINALIZACAO HORIZONTAL COM TINTA RETRORREFLETIVA A BASE DE RESINA ACRILICA COM MICROESFERAS DE VIDRO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</si>
  <si>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</si>
  <si>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</si>
  <si>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</si>
  <si>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</si>
  <si>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</si>
  <si>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</si>
  <si>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</si>
  <si>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</si>
  <si>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</si>
  <si>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</si>
  <si>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</si>
  <si>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</si>
  <si>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</si>
  <si>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</si>
  <si>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</si>
  <si>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</si>
  <si>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</si>
  <si>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</si>
  <si>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</si>
  <si>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</si>
  <si>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</si>
  <si>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</si>
  <si>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</si>
  <si>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</si>
  <si>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</si>
  <si>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</si>
  <si>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</si>
  <si>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LÁTEX PVA EM PAREDES, DUAS DEMÃOS. AF_06/2014</t>
  </si>
  <si>
    <t>APLICAÇÃO MANUAL DE PINTURA COM TINTA LÁTEX ACRÍLICA EM TETO,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</si>
  <si>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</si>
  <si>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</si>
  <si>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</si>
  <si>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</si>
  <si>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PAREDES, DUAS DEMÃOS. AF_06/2014</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</si>
  <si>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</si>
  <si>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</si>
  <si>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</si>
  <si>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</si>
  <si>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</si>
  <si>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</si>
  <si>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</si>
  <si>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</si>
  <si>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</si>
  <si>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</si>
  <si>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</si>
  <si>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</si>
  <si>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</si>
  <si>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</si>
  <si>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</si>
  <si>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</si>
  <si>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</si>
  <si>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</si>
  <si>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</si>
  <si>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</si>
  <si>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</si>
  <si>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</si>
  <si>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</si>
  <si>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</si>
  <si>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</si>
  <si>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</si>
  <si>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</si>
  <si>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</si>
  <si>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</si>
  <si>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</si>
  <si>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</si>
  <si>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</si>
  <si>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</si>
  <si>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</si>
  <si>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</si>
  <si>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</si>
  <si>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</si>
  <si>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</si>
  <si>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</si>
  <si>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</si>
  <si>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</si>
  <si>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</si>
  <si>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</si>
  <si>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</si>
  <si>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</si>
  <si>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</si>
  <si>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</si>
  <si>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</si>
  <si>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</si>
  <si>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</si>
  <si>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</si>
  <si>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</si>
  <si>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</si>
  <si>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74245/1</t>
  </si>
  <si>
    <t>PINTURA COM TINTA A BASE DE BORRACHA CLORADA , DE FAIXAS DE DEMARCACAO, EM QUADRA POLIESPORTIVA, 5 CM DE LARGURA.</t>
  </si>
  <si>
    <t>79500/2</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</si>
  <si>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</si>
  <si>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</si>
  <si>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</si>
  <si>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</si>
  <si>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</si>
  <si>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</si>
  <si>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</si>
  <si>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</si>
  <si>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</si>
  <si>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</si>
  <si>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</si>
  <si>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</si>
  <si>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</si>
  <si>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</si>
  <si>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</si>
  <si>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</si>
  <si>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</si>
  <si>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</si>
  <si>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</si>
  <si>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</si>
  <si>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</si>
  <si>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</si>
  <si>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</si>
  <si>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</si>
  <si>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</si>
  <si>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</si>
  <si>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</si>
  <si>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</si>
  <si>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</si>
  <si>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</si>
  <si>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</si>
  <si>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</si>
  <si>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</si>
  <si>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</si>
  <si>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</si>
  <si>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</si>
  <si>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</si>
  <si>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</si>
  <si>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</si>
  <si>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</si>
  <si>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</si>
  <si>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</si>
  <si>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</si>
  <si>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</si>
  <si>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</si>
  <si>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</si>
  <si>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</si>
  <si>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</si>
  <si>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</si>
  <si>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</si>
  <si>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</si>
  <si>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</si>
  <si>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</si>
  <si>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</si>
  <si>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</si>
  <si>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</si>
  <si>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</si>
  <si>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</si>
  <si>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</si>
  <si>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</si>
  <si>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</si>
  <si>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</si>
  <si>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</si>
  <si>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</si>
  <si>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</si>
  <si>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</si>
  <si>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</si>
  <si>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</si>
  <si>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</si>
  <si>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</si>
  <si>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</si>
  <si>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</si>
  <si>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</si>
  <si>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</si>
  <si>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</si>
  <si>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</si>
  <si>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</si>
  <si>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</si>
  <si>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</si>
  <si>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</si>
  <si>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</si>
  <si>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</si>
  <si>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</si>
  <si>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</si>
  <si>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</si>
  <si>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</si>
  <si>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</si>
  <si>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</si>
  <si>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</si>
  <si>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</si>
  <si>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</si>
  <si>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</si>
  <si>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</si>
  <si>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</si>
  <si>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</si>
  <si>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</si>
  <si>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</si>
  <si>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</si>
  <si>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</si>
  <si>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INDUSTRIALIZADA COM PREPARO MANUAL.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</si>
  <si>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</si>
  <si>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</si>
  <si>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</si>
  <si>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</si>
  <si>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</si>
  <si>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</si>
  <si>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</si>
  <si>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</si>
  <si>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</si>
  <si>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</si>
  <si>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</si>
  <si>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</si>
  <si>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</si>
  <si>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</si>
  <si>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</si>
  <si>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</si>
  <si>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</si>
  <si>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</si>
  <si>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</si>
  <si>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</si>
  <si>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</si>
  <si>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</si>
  <si>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</si>
  <si>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</si>
  <si>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</si>
  <si>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</si>
  <si>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</si>
  <si>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</si>
  <si>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</si>
  <si>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</si>
  <si>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</si>
  <si>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</si>
  <si>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</si>
  <si>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</si>
  <si>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</si>
  <si>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</si>
  <si>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</si>
  <si>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</si>
  <si>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</si>
  <si>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</si>
  <si>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</si>
  <si>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</si>
  <si>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</si>
  <si>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</si>
  <si>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</si>
  <si>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</si>
  <si>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</si>
  <si>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</si>
  <si>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</si>
  <si>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</si>
  <si>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</si>
  <si>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</si>
  <si>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</si>
  <si>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</si>
  <si>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</si>
  <si>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</si>
  <si>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</si>
  <si>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</si>
  <si>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</si>
  <si>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</si>
  <si>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</si>
  <si>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</si>
  <si>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</si>
  <si>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</si>
  <si>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</si>
  <si>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</si>
  <si>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</si>
  <si>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</si>
  <si>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</si>
  <si>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</si>
  <si>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</si>
  <si>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</si>
  <si>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</si>
  <si>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</si>
  <si>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</si>
  <si>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</si>
  <si>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</si>
  <si>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</si>
  <si>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</si>
  <si>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</si>
  <si>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</si>
  <si>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</si>
  <si>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</si>
  <si>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</si>
  <si>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</si>
  <si>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</si>
  <si>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</si>
  <si>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</si>
  <si>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</si>
  <si>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</si>
  <si>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</si>
  <si>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</si>
  <si>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</si>
  <si>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</si>
  <si>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</si>
  <si>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</si>
  <si>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</si>
  <si>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</si>
  <si>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</si>
  <si>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</si>
  <si>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</si>
  <si>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</si>
  <si>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</si>
  <si>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</si>
  <si>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</si>
  <si>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</si>
  <si>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</si>
  <si>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</si>
  <si>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</si>
  <si>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</si>
  <si>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</si>
  <si>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</si>
  <si>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</si>
  <si>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</si>
  <si>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</si>
  <si>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</si>
  <si>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</si>
  <si>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</si>
  <si>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</si>
  <si>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</si>
  <si>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</si>
  <si>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</si>
  <si>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</si>
  <si>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</si>
  <si>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</si>
  <si>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</si>
  <si>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</si>
  <si>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</si>
  <si>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</si>
  <si>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</si>
  <si>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</si>
  <si>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</si>
  <si>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</si>
  <si>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</si>
  <si>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</si>
  <si>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</si>
  <si>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</si>
  <si>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</si>
  <si>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</si>
  <si>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</si>
  <si>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</si>
  <si>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</si>
  <si>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</si>
  <si>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</si>
  <si>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</si>
  <si>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</si>
  <si>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</si>
  <si>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</si>
  <si>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</si>
  <si>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</si>
  <si>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</si>
  <si>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</si>
  <si>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</si>
  <si>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</si>
  <si>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</si>
  <si>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</si>
  <si>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</si>
  <si>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</si>
  <si>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</si>
  <si>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</si>
  <si>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</si>
  <si>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</si>
  <si>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</si>
  <si>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</si>
  <si>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</si>
  <si>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</si>
  <si>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</si>
  <si>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</si>
  <si>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</si>
  <si>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</si>
  <si>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</si>
  <si>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</si>
  <si>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</si>
  <si>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</si>
  <si>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</si>
  <si>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</si>
  <si>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</si>
  <si>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</si>
  <si>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</si>
  <si>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</si>
  <si>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</si>
  <si>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</si>
  <si>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</si>
  <si>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</si>
  <si>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</si>
  <si>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</si>
  <si>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</si>
  <si>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</si>
  <si>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</si>
  <si>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</si>
  <si>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</si>
  <si>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</si>
  <si>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</si>
  <si>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</si>
  <si>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</si>
  <si>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</si>
  <si>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</si>
  <si>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</si>
  <si>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</si>
  <si>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</si>
  <si>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</si>
  <si>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</si>
  <si>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</si>
  <si>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</si>
  <si>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</si>
  <si>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</si>
  <si>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</si>
  <si>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</si>
  <si>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</si>
  <si>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</si>
  <si>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</si>
  <si>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</si>
  <si>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</si>
  <si>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</si>
  <si>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</si>
  <si>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</si>
  <si>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</si>
  <si>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</si>
  <si>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</si>
  <si>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</si>
  <si>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</si>
  <si>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</si>
  <si>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</si>
  <si>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</si>
  <si>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</si>
  <si>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</si>
  <si>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</si>
  <si>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</si>
  <si>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</si>
  <si>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</si>
  <si>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</si>
  <si>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</si>
  <si>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</si>
  <si>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</si>
  <si>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</si>
  <si>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</si>
  <si>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</si>
  <si>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</si>
  <si>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</si>
  <si>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</si>
  <si>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</si>
  <si>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</si>
  <si>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</si>
  <si>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</si>
  <si>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</si>
  <si>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</si>
  <si>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</si>
  <si>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</si>
  <si>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</si>
  <si>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</si>
  <si>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</si>
  <si>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</si>
  <si>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</si>
  <si>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</si>
  <si>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</si>
  <si>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</si>
  <si>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</si>
  <si>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</si>
  <si>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</si>
  <si>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</si>
  <si>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</si>
  <si>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</si>
  <si>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</si>
  <si>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</si>
  <si>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</si>
  <si>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</si>
  <si>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</si>
  <si>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</si>
  <si>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</si>
  <si>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</si>
  <si>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</si>
  <si>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</si>
  <si>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</si>
  <si>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</si>
  <si>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</si>
  <si>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</si>
  <si>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</si>
  <si>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</si>
  <si>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</si>
  <si>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</si>
  <si>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</si>
  <si>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</si>
  <si>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</si>
  <si>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</si>
  <si>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</si>
  <si>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</si>
  <si>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</si>
  <si>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</si>
  <si>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</si>
  <si>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</si>
  <si>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</si>
  <si>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</si>
  <si>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</si>
  <si>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</si>
  <si>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</si>
  <si>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</si>
  <si>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</si>
  <si>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</si>
  <si>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</si>
  <si>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</si>
  <si>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</si>
  <si>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</si>
  <si>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</si>
  <si>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</si>
  <si>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</si>
  <si>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</si>
  <si>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</si>
  <si>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</si>
  <si>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</si>
  <si>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</si>
  <si>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</si>
  <si>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</si>
  <si>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</si>
  <si>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</si>
  <si>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</si>
  <si>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</si>
  <si>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</si>
  <si>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</si>
  <si>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</si>
  <si>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</si>
  <si>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</si>
  <si>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</si>
  <si>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</si>
  <si>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</si>
  <si>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</si>
  <si>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</si>
  <si>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</si>
  <si>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</si>
  <si>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</si>
  <si>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</si>
  <si>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</si>
  <si>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</si>
  <si>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</si>
  <si>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</si>
  <si>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</si>
  <si>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</si>
  <si>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</si>
  <si>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</si>
  <si>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</si>
  <si>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</si>
  <si>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</si>
  <si>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</si>
  <si>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</si>
  <si>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</si>
  <si>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</si>
  <si>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</si>
  <si>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</si>
  <si>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</si>
  <si>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</si>
  <si>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</si>
  <si>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</si>
  <si>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</si>
  <si>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</si>
  <si>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</si>
  <si>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</si>
  <si>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</si>
  <si>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</si>
  <si>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</si>
  <si>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</si>
  <si>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</si>
  <si>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</si>
  <si>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</si>
  <si>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</si>
  <si>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</si>
  <si>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</si>
  <si>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</si>
  <si>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</si>
  <si>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</si>
  <si>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</si>
  <si>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</si>
  <si>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</si>
  <si>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</si>
  <si>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</si>
  <si>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</si>
  <si>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</si>
  <si>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</si>
  <si>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</si>
  <si>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</si>
  <si>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</si>
  <si>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</si>
  <si>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</si>
  <si>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</si>
  <si>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</si>
  <si>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</si>
  <si>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</si>
  <si>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</si>
  <si>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</si>
  <si>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</si>
  <si>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</si>
  <si>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</si>
  <si>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</si>
  <si>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</si>
  <si>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</si>
  <si>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</si>
  <si>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</si>
  <si>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</si>
  <si>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</si>
  <si>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</si>
  <si>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</si>
  <si>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</si>
  <si>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</si>
  <si>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</si>
  <si>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</si>
  <si>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</si>
  <si>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</si>
  <si>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</si>
  <si>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</si>
  <si>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</si>
  <si>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</si>
  <si>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</si>
  <si>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</si>
  <si>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</si>
  <si>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</si>
  <si>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</si>
  <si>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</si>
  <si>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</si>
  <si>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</si>
  <si>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</si>
  <si>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</si>
  <si>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</si>
  <si>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</si>
  <si>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</si>
  <si>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</si>
  <si>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</si>
  <si>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</si>
  <si>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</si>
  <si>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</si>
  <si>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</si>
  <si>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</si>
  <si>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</si>
  <si>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</si>
  <si>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</si>
  <si>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</si>
  <si>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</si>
  <si>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</si>
  <si>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</si>
  <si>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</si>
  <si>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</si>
  <si>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</si>
  <si>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</si>
  <si>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</si>
  <si>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</si>
  <si>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</si>
  <si>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</si>
  <si>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</si>
  <si>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</si>
  <si>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</si>
  <si>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</si>
  <si>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</si>
  <si>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</si>
  <si>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</si>
  <si>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</si>
  <si>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</si>
  <si>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</si>
  <si>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</si>
  <si>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</si>
  <si>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</si>
  <si>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</si>
  <si>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</si>
  <si>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</si>
  <si>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</si>
  <si>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</si>
  <si>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</si>
  <si>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</si>
  <si>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</si>
  <si>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</si>
  <si>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</si>
  <si>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</si>
  <si>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</si>
  <si>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</si>
  <si>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</si>
  <si>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</si>
  <si>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</si>
  <si>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</si>
  <si>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</si>
  <si>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</si>
  <si>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</si>
  <si>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</si>
  <si>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</si>
  <si>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</si>
  <si>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</si>
  <si>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</si>
  <si>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</si>
  <si>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</si>
  <si>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</si>
  <si>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</si>
  <si>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</si>
  <si>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</si>
  <si>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</si>
  <si>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</si>
  <si>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</si>
  <si>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</si>
  <si>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</si>
  <si>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</si>
  <si>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</si>
  <si>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</si>
  <si>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</si>
  <si>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</si>
  <si>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</si>
  <si>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</si>
  <si>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</si>
  <si>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</si>
  <si>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</si>
  <si>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</si>
  <si>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</si>
  <si>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</si>
  <si>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</si>
  <si>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</si>
  <si>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</si>
  <si>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</si>
  <si>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</si>
  <si>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</si>
  <si>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</si>
  <si>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</si>
  <si>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</si>
  <si>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</si>
  <si>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</si>
  <si>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</si>
  <si>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</si>
  <si>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</si>
  <si>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</si>
  <si>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</si>
  <si>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</si>
  <si>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</si>
  <si>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</si>
  <si>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</si>
  <si>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</si>
  <si>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</si>
  <si>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</si>
  <si>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</si>
  <si>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</si>
  <si>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</si>
  <si>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</si>
  <si>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</si>
  <si>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</si>
  <si>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</si>
  <si>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</si>
  <si>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</si>
  <si>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</si>
  <si>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</si>
  <si>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</si>
  <si>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</si>
  <si>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</si>
  <si>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</si>
  <si>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</si>
  <si>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</si>
  <si>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</si>
  <si>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</si>
  <si>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</si>
  <si>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</si>
  <si>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</si>
  <si>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</si>
  <si>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</si>
  <si>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</si>
  <si>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</si>
  <si>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</si>
  <si>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</si>
  <si>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</si>
  <si>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</si>
  <si>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</si>
  <si>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</si>
  <si>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</si>
  <si>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</si>
  <si>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</si>
  <si>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</si>
  <si>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</si>
  <si>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</si>
  <si>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</si>
  <si>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</si>
  <si>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</si>
  <si>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</si>
  <si>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</si>
  <si>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</si>
  <si>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</si>
  <si>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</si>
  <si>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</si>
  <si>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</si>
  <si>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</si>
  <si>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</si>
  <si>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</si>
  <si>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</si>
  <si>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</si>
  <si>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</si>
  <si>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</si>
  <si>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</si>
  <si>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</si>
  <si>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</si>
  <si>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</si>
  <si>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</si>
  <si>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</si>
  <si>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</si>
  <si>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</si>
  <si>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</si>
  <si>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</si>
  <si>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</si>
  <si>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</si>
  <si>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</si>
  <si>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</si>
  <si>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</si>
  <si>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</si>
  <si>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</si>
  <si>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</si>
  <si>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</si>
  <si>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</si>
  <si>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</si>
  <si>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</si>
  <si>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</si>
  <si>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</si>
  <si>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</si>
  <si>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</si>
  <si>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</si>
  <si>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</si>
  <si>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</si>
  <si>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</si>
  <si>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</si>
  <si>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</si>
  <si>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</si>
  <si>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</si>
  <si>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</si>
  <si>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</si>
  <si>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</si>
  <si>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</si>
  <si>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</si>
  <si>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</si>
  <si>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</si>
  <si>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</si>
  <si>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</si>
  <si>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</si>
  <si>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</si>
  <si>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</si>
  <si>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</si>
  <si>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</si>
  <si>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</si>
  <si>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</si>
  <si>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</si>
  <si>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</si>
  <si>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</si>
  <si>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</si>
  <si>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</si>
  <si>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</si>
  <si>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</si>
  <si>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</si>
  <si>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</si>
  <si>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</si>
  <si>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</si>
  <si>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</si>
  <si>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</si>
  <si>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</si>
  <si>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</si>
  <si>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</si>
  <si>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</si>
  <si>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</si>
  <si>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</si>
  <si>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</si>
  <si>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</si>
  <si>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</si>
  <si>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</si>
  <si>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</si>
  <si>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</si>
  <si>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</si>
  <si>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</si>
  <si>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</si>
  <si>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</si>
  <si>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</si>
  <si>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</si>
  <si>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</si>
  <si>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</si>
  <si>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</si>
  <si>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</si>
  <si>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</si>
  <si>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</si>
  <si>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</si>
  <si>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</si>
  <si>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</si>
  <si>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</si>
  <si>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</si>
  <si>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</si>
  <si>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</si>
  <si>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</si>
  <si>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</si>
  <si>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</si>
  <si>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</si>
  <si>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</si>
  <si>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</si>
  <si>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</si>
  <si>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</si>
  <si>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</si>
  <si>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</si>
  <si>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</si>
  <si>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</si>
  <si>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</si>
  <si>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</si>
  <si>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</si>
  <si>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</si>
  <si>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</si>
  <si>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</si>
  <si>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</si>
  <si>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</si>
  <si>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</si>
  <si>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</si>
  <si>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AUXILIAR DE ENCANADOR OU BOMBEIRO HIDRÁULICO COM ENCARGOS COMPLEMENTARES</t>
  </si>
  <si>
    <t>CADASTRISTA DE REDES DE AGUA E ESGOTO COM ENCARGOS COMPLEMENTARES</t>
  </si>
  <si>
    <t>CAVOUQUEIRO OU OPERADOR PERFURATRIZ/ROMPEDOR COM ENCARGOS COMPLEMENTARES</t>
  </si>
  <si>
    <t>OPERADOR DE USINA DE ASFALTO, DE SOLOS OU DE CONCRETO COM ENCARGOS COMPLEMENTARES</t>
  </si>
  <si>
    <t>SOLDADOR A (PARA SOLDA A SER TESTADA COM RAIOS "X") COM ENCARGOS COMPLEMENTARES</t>
  </si>
  <si>
    <t>OPERADOR DE BETONEIRA ESTACIONÁRIA/MISTURADOR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</si>
  <si>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</si>
  <si>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</si>
  <si>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</si>
  <si>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</si>
  <si>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</si>
  <si>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</si>
  <si>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</si>
  <si>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</si>
  <si>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</si>
  <si>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</si>
  <si>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</si>
  <si>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</si>
  <si>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</si>
  <si>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</si>
  <si>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</si>
  <si>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</si>
  <si>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</si>
  <si>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</si>
  <si>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</si>
  <si>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</si>
  <si>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</si>
  <si>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</si>
  <si>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</si>
  <si>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</si>
  <si>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</si>
  <si>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</si>
  <si>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</si>
  <si>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</si>
  <si>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</si>
  <si>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</si>
  <si>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</si>
  <si>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</si>
  <si>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</si>
  <si>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</si>
  <si>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</si>
  <si>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</si>
  <si>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</si>
  <si>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</si>
  <si>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</si>
  <si>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</si>
  <si>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</si>
  <si>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</si>
  <si>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</si>
  <si>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</si>
  <si>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</si>
  <si>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</si>
  <si>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</si>
  <si>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</si>
  <si>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</si>
  <si>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</si>
  <si>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</si>
  <si>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</si>
  <si>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</si>
  <si>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</si>
  <si>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</si>
  <si>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</si>
  <si>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</si>
  <si>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</si>
  <si>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</si>
  <si>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</si>
  <si>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PINTOR DE LETREIROS (ENCARGOS COMPLEMENTARES) - HORISTA</t>
  </si>
  <si>
    <t>CURSO DE CAPACITAÇÃO PARA PINTOR PARA TINTA EPÓXI (ENCARGOS COMPLEMENTARES) - HORISTA</t>
  </si>
  <si>
    <t>CURSO DE CAPACITAÇÃO PARA RASTELEIRO (ENCARGOS COMPLEMENTARES) - HORISTA</t>
  </si>
  <si>
    <t>CURSO DE CAPACITAÇÃO PARA SERRALHEIRO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</si>
  <si>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</si>
  <si>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</si>
  <si>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</si>
  <si>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</si>
  <si>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</si>
  <si>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</si>
  <si>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</si>
  <si>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</si>
  <si>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</si>
  <si>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</si>
  <si>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</si>
  <si>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</si>
  <si>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</si>
  <si>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</si>
  <si>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</si>
  <si>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</si>
  <si>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</si>
  <si>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</si>
  <si>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</si>
  <si>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</si>
  <si>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</si>
  <si>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</si>
  <si>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</si>
  <si>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</si>
  <si>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</si>
  <si>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</si>
  <si>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</si>
  <si>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</si>
  <si>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</si>
  <si>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</si>
  <si>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</si>
  <si>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</si>
  <si>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</si>
  <si>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</si>
  <si>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</si>
  <si>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</si>
  <si>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</si>
  <si>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</si>
  <si>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</si>
  <si>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</si>
  <si>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</si>
  <si>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</si>
  <si>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</si>
  <si>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</si>
  <si>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</si>
  <si>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</si>
  <si>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</si>
  <si>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</si>
  <si>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</si>
  <si>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</si>
  <si>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</si>
  <si>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</si>
  <si>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</si>
  <si>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</si>
  <si>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</si>
  <si>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</si>
  <si>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</si>
  <si>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</si>
  <si>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</si>
  <si>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</si>
  <si>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</si>
  <si>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</si>
  <si>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</si>
  <si>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</si>
  <si>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</si>
  <si>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</si>
  <si>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</si>
  <si>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</si>
  <si>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</si>
  <si>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</si>
  <si>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</si>
  <si>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</si>
  <si>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</si>
  <si>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</si>
  <si>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</si>
  <si>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</si>
  <si>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</si>
  <si>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</si>
  <si>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</si>
  <si>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</si>
  <si>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</si>
  <si>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</si>
  <si>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</si>
  <si>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</si>
  <si>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</si>
  <si>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</si>
  <si>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</si>
  <si>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</si>
  <si>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</si>
  <si>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</si>
  <si>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</si>
  <si>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</si>
  <si>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</si>
  <si>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</si>
  <si>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</si>
  <si>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</si>
  <si>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</si>
  <si>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</si>
  <si>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</si>
  <si>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</si>
  <si>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</si>
  <si>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</si>
  <si>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</si>
  <si>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</si>
  <si>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</si>
  <si>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</si>
  <si>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</si>
  <si>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</si>
  <si>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</si>
  <si>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</si>
  <si>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</si>
  <si>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</si>
  <si>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</si>
  <si>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</si>
  <si>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</si>
  <si>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</si>
  <si>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</si>
  <si>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</si>
  <si>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</si>
  <si>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</si>
  <si>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</si>
  <si>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</si>
  <si>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</si>
  <si>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</si>
  <si>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</si>
  <si>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</si>
  <si>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</si>
  <si>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</si>
  <si>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</si>
  <si>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</si>
  <si>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</si>
  <si>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</si>
  <si>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</si>
  <si>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</si>
  <si>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</si>
  <si>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</si>
  <si>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</si>
  <si>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</si>
  <si>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</si>
  <si>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</si>
  <si>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</si>
  <si>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</si>
  <si>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</si>
  <si>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</si>
  <si>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</si>
  <si>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</si>
  <si>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</si>
  <si>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</si>
  <si>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</si>
  <si>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</si>
  <si>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</si>
  <si>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</si>
  <si>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</si>
  <si>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</si>
  <si>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</si>
  <si>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</si>
  <si>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</si>
  <si>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</si>
  <si>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</si>
  <si>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</si>
  <si>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</si>
  <si>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</si>
  <si>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</si>
  <si>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</si>
  <si>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</si>
  <si>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</si>
  <si>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</si>
  <si>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</si>
  <si>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</si>
  <si>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</si>
  <si>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</si>
  <si>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</si>
  <si>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</si>
  <si>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</si>
  <si>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</si>
  <si>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</si>
  <si>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</si>
  <si>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</si>
  <si>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</si>
  <si>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</si>
  <si>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</si>
  <si>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</si>
  <si>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</si>
  <si>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</si>
  <si>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</si>
  <si>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</si>
  <si>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</si>
  <si>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</si>
  <si>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</si>
  <si>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</si>
  <si>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</si>
  <si>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</si>
  <si>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</si>
  <si>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</si>
  <si>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</si>
  <si>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</si>
  <si>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</si>
  <si>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</si>
  <si>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</si>
  <si>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</si>
  <si>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</si>
  <si>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</si>
  <si>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</si>
  <si>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</si>
  <si>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</si>
  <si>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</si>
  <si>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</si>
  <si>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</si>
  <si>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</si>
  <si>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</si>
  <si>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DATA:</t>
  </si>
  <si>
    <t>REFERÊNCIA DE COLETA: MEDIANO</t>
  </si>
  <si>
    <t>CUSTO MAO DE OBRA</t>
  </si>
  <si>
    <t>CUSTO MATERIAL</t>
  </si>
  <si>
    <t>CUSTO EQUIPAMENTO</t>
  </si>
  <si>
    <t>CUSTO SERVICOS TERCEIROS</t>
  </si>
  <si>
    <t>TABELA</t>
  </si>
  <si>
    <t>BASE PARA POÇO DE VISITA CIRCULAR PARA DRENAGEM, EM CONCRETO PRÉ-MOLDADO, DIÂMETRO INTERNO = 1 M, PROFUNDIDADE = 1,45 M, EXCLUINDO TAMPÃO. AF_05/2018</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</si>
  <si>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</si>
  <si>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</si>
  <si>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</si>
  <si>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</si>
  <si>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</si>
  <si>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</si>
  <si>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</si>
  <si>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</si>
  <si>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</si>
  <si>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</si>
  <si>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</si>
  <si>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</si>
  <si>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</si>
  <si>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</si>
  <si>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</si>
  <si>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</si>
  <si>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</si>
  <si>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</si>
  <si>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</si>
  <si>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</si>
  <si>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</si>
  <si>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</si>
  <si>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</si>
  <si>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</si>
  <si>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</si>
  <si>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</si>
  <si>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</si>
  <si>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</si>
  <si>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</si>
  <si>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</si>
  <si>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</si>
  <si>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</si>
  <si>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</si>
  <si>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</si>
  <si>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</si>
  <si>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</si>
  <si>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</si>
  <si>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</si>
  <si>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</si>
  <si>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</si>
  <si>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</si>
  <si>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</si>
  <si>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</si>
  <si>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</si>
  <si>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</si>
  <si>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</si>
  <si>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</si>
  <si>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</si>
  <si>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</si>
  <si>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</si>
  <si>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</si>
  <si>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</si>
  <si>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</si>
  <si>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</si>
  <si>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</si>
  <si>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</si>
  <si>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</si>
  <si>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</si>
  <si>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</si>
  <si>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</si>
  <si>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</si>
  <si>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</si>
  <si>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</si>
  <si>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</si>
  <si>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</si>
  <si>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</si>
  <si>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</si>
  <si>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</si>
  <si>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</si>
  <si>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</si>
  <si>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</si>
  <si>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</si>
  <si>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</si>
  <si>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</si>
  <si>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</si>
  <si>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</si>
  <si>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</si>
  <si>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</si>
  <si>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</si>
  <si>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</si>
  <si>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</si>
  <si>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</si>
  <si>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</si>
  <si>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</si>
  <si>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</si>
  <si>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</si>
  <si>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</si>
  <si>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</si>
  <si>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</si>
  <si>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</si>
  <si>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</si>
  <si>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</si>
  <si>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</si>
  <si>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</si>
  <si>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</si>
  <si>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</si>
  <si>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</si>
  <si>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</si>
  <si>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</si>
  <si>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</si>
  <si>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</si>
  <si>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</si>
  <si>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</si>
  <si>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</si>
  <si>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</si>
  <si>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</si>
  <si>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</si>
  <si>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</si>
  <si>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</si>
  <si>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</si>
  <si>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</si>
  <si>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</si>
  <si>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</si>
  <si>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</si>
  <si>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</si>
  <si>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</si>
  <si>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</si>
  <si>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</si>
  <si>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</si>
  <si>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</si>
  <si>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</si>
  <si>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</si>
  <si>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</si>
  <si>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</si>
  <si>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</si>
  <si>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</si>
  <si>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</si>
  <si>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</si>
  <si>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</si>
  <si>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</si>
  <si>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</si>
  <si>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</si>
  <si>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</si>
  <si>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</si>
  <si>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</si>
  <si>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</si>
  <si>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</si>
  <si>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</si>
  <si>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</si>
  <si>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</si>
  <si>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</si>
  <si>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</si>
  <si>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</si>
  <si>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</si>
  <si>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</si>
  <si>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</si>
  <si>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</si>
  <si>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</si>
  <si>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</si>
  <si>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</si>
  <si>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</si>
  <si>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</si>
  <si>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</si>
  <si>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</si>
  <si>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</si>
  <si>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</si>
  <si>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</si>
  <si>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</si>
  <si>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</si>
  <si>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</si>
  <si>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</si>
  <si>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</si>
  <si>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</si>
  <si>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</si>
  <si>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</si>
  <si>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</si>
  <si>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</si>
  <si>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</si>
  <si>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</si>
  <si>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</si>
  <si>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</si>
  <si>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</si>
  <si>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</si>
  <si>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</si>
  <si>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</si>
  <si>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</si>
  <si>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</si>
  <si>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</si>
  <si>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</si>
  <si>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</si>
  <si>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</si>
  <si>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</si>
  <si>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</si>
  <si>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</si>
  <si>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</si>
  <si>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</si>
  <si>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</si>
  <si>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</si>
  <si>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</si>
  <si>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</si>
  <si>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</si>
  <si>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</si>
  <si>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</si>
  <si>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</si>
  <si>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</si>
  <si>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</si>
  <si>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</si>
  <si>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</si>
  <si>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</si>
  <si>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</si>
  <si>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</si>
  <si>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</si>
  <si>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</si>
  <si>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</si>
  <si>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</si>
  <si>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</si>
  <si>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</si>
  <si>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</si>
  <si>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</si>
  <si>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</si>
  <si>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</si>
  <si>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</si>
  <si>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</si>
  <si>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</si>
  <si>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</si>
  <si>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</si>
  <si>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</si>
  <si>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</si>
  <si>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</si>
  <si>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</si>
  <si>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</si>
  <si>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</si>
  <si>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</si>
  <si>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</si>
  <si>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</si>
  <si>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</si>
  <si>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</si>
  <si>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</si>
  <si>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</si>
  <si>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</si>
  <si>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</si>
  <si>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</si>
  <si>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</si>
  <si>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</si>
  <si>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</si>
  <si>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</si>
  <si>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</si>
  <si>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</si>
  <si>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</si>
  <si>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</si>
  <si>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</si>
  <si>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</si>
  <si>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</si>
  <si>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</si>
  <si>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</si>
  <si>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ELETRODUTO RÍGIDO ROSCÁVEL, PVC, DN 110 MM (4")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</si>
  <si>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</si>
  <si>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</si>
  <si>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</si>
  <si>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</si>
  <si>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</si>
  <si>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</si>
  <si>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</si>
  <si>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</si>
  <si>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</si>
  <si>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</si>
  <si>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</si>
  <si>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</si>
  <si>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</si>
  <si>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</si>
  <si>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</si>
  <si>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</si>
  <si>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</si>
  <si>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</si>
  <si>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</si>
  <si>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</si>
  <si>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</si>
  <si>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</si>
  <si>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</si>
  <si>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</si>
  <si>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</si>
  <si>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</si>
  <si>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</si>
  <si>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</si>
  <si>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</si>
  <si>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</si>
  <si>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</si>
  <si>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</si>
  <si>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</si>
  <si>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</si>
  <si>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</si>
  <si>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</si>
  <si>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</si>
  <si>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</si>
  <si>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</si>
  <si>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</si>
  <si>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</si>
  <si>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</si>
  <si>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</si>
  <si>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</si>
  <si>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</si>
  <si>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</si>
  <si>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</si>
  <si>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</si>
  <si>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</si>
  <si>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</si>
  <si>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</si>
  <si>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</si>
  <si>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</si>
  <si>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</si>
  <si>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</si>
  <si>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</si>
  <si>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</si>
  <si>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</si>
  <si>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</si>
  <si>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</si>
  <si>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</si>
  <si>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</si>
  <si>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</si>
  <si>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</si>
  <si>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</si>
  <si>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</si>
  <si>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</si>
  <si>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</si>
  <si>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</si>
  <si>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</si>
  <si>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</si>
  <si>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</si>
  <si>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</si>
  <si>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</si>
  <si>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</si>
  <si>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</si>
  <si>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</si>
  <si>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</si>
  <si>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</si>
  <si>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</si>
  <si>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</si>
  <si>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</si>
  <si>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</si>
  <si>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</si>
  <si>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</si>
  <si>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</si>
  <si>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</si>
  <si>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</si>
  <si>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</si>
  <si>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</si>
  <si>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</si>
  <si>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</si>
  <si>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</si>
  <si>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</si>
  <si>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</si>
  <si>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</si>
  <si>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</si>
  <si>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</si>
  <si>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</si>
  <si>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</si>
  <si>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</si>
  <si>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</si>
  <si>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</si>
  <si>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</si>
  <si>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</si>
  <si>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</si>
  <si>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</si>
  <si>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</si>
  <si>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</si>
  <si>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</si>
  <si>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</si>
  <si>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</si>
  <si>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</si>
  <si>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</si>
  <si>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</si>
  <si>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</si>
  <si>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</si>
  <si>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</si>
  <si>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</si>
  <si>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</si>
  <si>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</si>
  <si>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</si>
  <si>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</si>
  <si>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</si>
  <si>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</si>
  <si>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</si>
  <si>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</si>
  <si>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</si>
  <si>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</si>
  <si>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</si>
  <si>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</si>
  <si>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</si>
  <si>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</si>
  <si>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</si>
  <si>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</si>
  <si>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</si>
  <si>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</si>
  <si>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</si>
  <si>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</si>
  <si>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</si>
  <si>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</si>
  <si>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</si>
  <si>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</si>
  <si>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</si>
  <si>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</si>
  <si>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</si>
  <si>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</si>
  <si>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</si>
  <si>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</si>
  <si>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</si>
  <si>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</si>
  <si>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</si>
  <si>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</si>
  <si>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</si>
  <si>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</si>
  <si>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</si>
  <si>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</si>
  <si>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</si>
  <si>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</si>
  <si>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</si>
  <si>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</si>
  <si>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</si>
  <si>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</si>
  <si>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</si>
  <si>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</si>
  <si>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</si>
  <si>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</si>
  <si>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</si>
  <si>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</si>
  <si>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</si>
  <si>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</si>
  <si>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</si>
  <si>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</si>
  <si>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</si>
  <si>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</si>
  <si>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</si>
  <si>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</si>
  <si>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</si>
  <si>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</si>
  <si>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</si>
  <si>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</si>
  <si>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</si>
  <si>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</si>
  <si>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</si>
  <si>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</si>
  <si>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</si>
  <si>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</si>
  <si>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</si>
  <si>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</si>
  <si>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</si>
  <si>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</si>
  <si>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</si>
  <si>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</si>
  <si>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</si>
  <si>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</si>
  <si>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</si>
  <si>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</si>
  <si>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</si>
  <si>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</si>
  <si>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</si>
  <si>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</si>
  <si>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</si>
  <si>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</si>
  <si>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</si>
  <si>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</si>
  <si>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</si>
  <si>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</si>
  <si>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</si>
  <si>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</si>
  <si>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</si>
  <si>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</si>
  <si>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</si>
  <si>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</si>
  <si>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</si>
  <si>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</si>
  <si>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</si>
  <si>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</si>
  <si>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</si>
  <si>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</si>
  <si>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</si>
  <si>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</si>
  <si>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</si>
  <si>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</si>
  <si>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</si>
  <si>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</si>
  <si>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</si>
  <si>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</si>
  <si>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</si>
  <si>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</si>
  <si>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</si>
  <si>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</si>
  <si>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</si>
  <si>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</si>
  <si>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</si>
  <si>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</si>
  <si>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</si>
  <si>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</si>
  <si>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</si>
  <si>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</si>
  <si>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</si>
  <si>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</si>
  <si>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</si>
  <si>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</si>
  <si>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</si>
  <si>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</si>
  <si>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</si>
  <si>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</si>
  <si>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</si>
  <si>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</si>
  <si>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</si>
  <si>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</si>
  <si>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</si>
  <si>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</si>
  <si>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</si>
  <si>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</si>
  <si>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</si>
  <si>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</si>
  <si>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</si>
  <si>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</si>
  <si>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</si>
  <si>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</si>
  <si>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</si>
  <si>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</si>
  <si>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</si>
  <si>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</si>
  <si>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</si>
  <si>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</si>
  <si>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</si>
  <si>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</si>
  <si>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</si>
  <si>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</si>
  <si>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</si>
  <si>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</si>
  <si>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</si>
  <si>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</si>
  <si>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</si>
  <si>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</si>
  <si>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</si>
  <si>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</si>
  <si>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</si>
  <si>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</si>
  <si>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</si>
  <si>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</si>
  <si>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</si>
  <si>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</si>
  <si>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</si>
  <si>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</si>
  <si>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</si>
  <si>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</si>
  <si>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</si>
  <si>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</si>
  <si>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</si>
  <si>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</si>
  <si>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</si>
  <si>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</si>
  <si>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</si>
  <si>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</si>
  <si>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</si>
  <si>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</si>
  <si>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</si>
  <si>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</si>
  <si>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</si>
  <si>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</si>
  <si>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</si>
  <si>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</si>
  <si>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</si>
  <si>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</si>
  <si>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</si>
  <si>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</si>
  <si>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</si>
  <si>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</si>
  <si>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</si>
  <si>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</si>
  <si>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</si>
  <si>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</si>
  <si>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</si>
  <si>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</si>
  <si>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</si>
  <si>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</si>
  <si>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</si>
  <si>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</si>
  <si>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</si>
  <si>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</si>
  <si>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</si>
  <si>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</si>
  <si>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</si>
  <si>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</si>
  <si>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</si>
  <si>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</si>
  <si>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</si>
  <si>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</si>
  <si>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</si>
  <si>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</si>
  <si>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</si>
  <si>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</si>
  <si>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</si>
  <si>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</si>
  <si>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</si>
  <si>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</si>
  <si>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</si>
  <si>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</si>
  <si>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</si>
  <si>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</si>
  <si>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</si>
  <si>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</si>
  <si>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</si>
  <si>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</si>
  <si>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</si>
  <si>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</si>
  <si>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</si>
  <si>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</si>
  <si>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</si>
  <si>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</si>
  <si>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</si>
  <si>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</si>
  <si>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</si>
  <si>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</si>
  <si>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</si>
  <si>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</si>
  <si>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</si>
  <si>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</si>
  <si>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</si>
  <si>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</si>
  <si>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</si>
  <si>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</si>
  <si>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</si>
  <si>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</si>
  <si>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</si>
  <si>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</si>
  <si>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</si>
  <si>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</si>
  <si>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</si>
  <si>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</si>
  <si>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</si>
  <si>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</si>
  <si>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</si>
  <si>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</si>
  <si>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</si>
  <si>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</si>
  <si>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</si>
  <si>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</si>
  <si>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</si>
  <si>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</si>
  <si>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</si>
  <si>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</si>
  <si>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</si>
  <si>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</si>
  <si>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</si>
  <si>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</si>
  <si>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</si>
  <si>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</si>
  <si>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</si>
  <si>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</si>
  <si>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</si>
  <si>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</si>
  <si>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</si>
  <si>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</si>
  <si>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</si>
  <si>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</si>
  <si>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</si>
  <si>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</si>
  <si>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</si>
  <si>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</si>
  <si>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</si>
  <si>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</si>
  <si>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</si>
  <si>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</si>
  <si>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</si>
  <si>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</si>
  <si>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</si>
  <si>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</si>
  <si>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</si>
  <si>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</si>
  <si>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</si>
  <si>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</si>
  <si>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</si>
  <si>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</si>
  <si>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</si>
  <si>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</si>
  <si>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</si>
  <si>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</si>
  <si>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</si>
  <si>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</si>
  <si>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</si>
  <si>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</si>
  <si>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</si>
  <si>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</si>
  <si>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</si>
  <si>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</si>
  <si>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</si>
  <si>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</si>
  <si>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</si>
  <si>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</si>
  <si>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</si>
  <si>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</si>
  <si>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</si>
  <si>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</si>
  <si>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</si>
  <si>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</si>
  <si>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</si>
  <si>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</si>
  <si>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</si>
  <si>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</si>
  <si>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</si>
  <si>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</si>
  <si>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</si>
  <si>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</si>
  <si>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</si>
  <si>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</si>
  <si>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</si>
  <si>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</si>
  <si>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</si>
  <si>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</si>
  <si>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</si>
  <si>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</si>
  <si>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</si>
  <si>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</si>
  <si>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</si>
  <si>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</si>
  <si>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</si>
  <si>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</si>
  <si>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</si>
  <si>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</si>
  <si>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</si>
  <si>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</si>
  <si>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</si>
  <si>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</si>
  <si>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</si>
  <si>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</si>
  <si>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</si>
  <si>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</si>
  <si>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</si>
  <si>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</si>
  <si>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</si>
  <si>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</si>
  <si>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</si>
  <si>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</si>
  <si>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</si>
  <si>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</si>
  <si>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</si>
  <si>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</si>
  <si>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</si>
  <si>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</si>
  <si>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</si>
  <si>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</si>
  <si>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</si>
  <si>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M.OBRA</t>
  </si>
  <si>
    <t>EQUIP</t>
  </si>
  <si>
    <t>CUSTO TOTAL (R$)</t>
  </si>
  <si>
    <t>EQUIPAMENTOS</t>
  </si>
  <si>
    <t>PLANILHA Nº</t>
  </si>
  <si>
    <t>(E) Custo Unitário da Execução (B) / (D)</t>
  </si>
  <si>
    <t>(F)Total:</t>
  </si>
  <si>
    <t>(G)Total:</t>
  </si>
  <si>
    <t>INSTALAÇÕES DE COMBATE A INCÊNDIO</t>
  </si>
  <si>
    <t>IMPLANTAÇÃO</t>
  </si>
  <si>
    <t xml:space="preserve">OBRA: </t>
  </si>
  <si>
    <t>CONCLUSÃO DA CONSTRUÇÃO DO CENTRO DE ATENDIMENTO SÓCIO EDUCATIVO - CASE ITUMBIARA</t>
  </si>
  <si>
    <t>TABELA:</t>
  </si>
  <si>
    <t>PROCESSO:</t>
  </si>
  <si>
    <t>BLOCO:</t>
  </si>
  <si>
    <t>ÁREA:</t>
  </si>
  <si>
    <t>39.345,81m²</t>
  </si>
  <si>
    <t>DESCRIÇÃO DOS SERVIÇOS</t>
  </si>
  <si>
    <t xml:space="preserve">QTDE </t>
  </si>
  <si>
    <t>UNIDADE DE CONTROLE</t>
  </si>
  <si>
    <t xml:space="preserve">SERVIÇO </t>
  </si>
  <si>
    <t>UND</t>
  </si>
  <si>
    <t>COMPOS</t>
  </si>
  <si>
    <t>C. UNITÁRIO (R$)</t>
  </si>
  <si>
    <t>C. TOTAL (R$)</t>
  </si>
  <si>
    <t>90,00m²</t>
  </si>
  <si>
    <t>QTDE</t>
  </si>
  <si>
    <t>PROTEGIDA / COMPARTILHADA</t>
  </si>
  <si>
    <t>1.582,91m²</t>
  </si>
  <si>
    <t>ADMINISTRATIVA</t>
  </si>
  <si>
    <t>PG3 (Esquadria metálica com vidro 2F) 200x280</t>
  </si>
  <si>
    <t>PG4 (Esquadria metálica 2F) 150x280</t>
  </si>
  <si>
    <t>PG5 (Esquadria metálica) 100x280</t>
  </si>
  <si>
    <t>PS (Esquadria metálica) 90x210</t>
  </si>
  <si>
    <t>P3 (Esquadria metálica) 70x210</t>
  </si>
  <si>
    <t>P4 (Esquadria metálica) 60x180</t>
  </si>
  <si>
    <t>JANELA J3 180x70</t>
  </si>
  <si>
    <t>JANELA J5 245x70</t>
  </si>
  <si>
    <t>JANELA J6 120x70</t>
  </si>
  <si>
    <t>JANELA J8 160x70</t>
  </si>
  <si>
    <t>JANELA J10 250x70</t>
  </si>
  <si>
    <t>UNIDADE SERVIÇOS</t>
  </si>
  <si>
    <t>518,64m²</t>
  </si>
  <si>
    <t>INSTALAÇÕES ELÉTRICAS</t>
  </si>
  <si>
    <t xml:space="preserve">VIDROS </t>
  </si>
  <si>
    <t>REVESTIMENTOS DE PAREDES</t>
  </si>
  <si>
    <t>QUADRA</t>
  </si>
  <si>
    <t>743,43m²</t>
  </si>
  <si>
    <t>REVESTIMENTO DE PAREDE</t>
  </si>
  <si>
    <t>VESTIÁRIO</t>
  </si>
  <si>
    <t>52,24m²</t>
  </si>
  <si>
    <t>SERVIÇOS EM TERRA</t>
  </si>
  <si>
    <t>GUARITA</t>
  </si>
  <si>
    <t>13,35m²</t>
  </si>
  <si>
    <t xml:space="preserve">VISITA INTIMA </t>
  </si>
  <si>
    <t>45,04m²</t>
  </si>
  <si>
    <t>16,34m²</t>
  </si>
  <si>
    <t>PASSARELA</t>
  </si>
  <si>
    <t>59,29 m²</t>
  </si>
  <si>
    <t>CASA MOTOR BOMBA</t>
  </si>
  <si>
    <t>7,48m²</t>
  </si>
  <si>
    <t>ABRANGENCIA: NACIONAL                                                                           DATA REFERENCIA TECNICA: 15/12/2020 LOCALIDADE : GOIANIA                                                                            DATA DE PREÇO          :    11/2020</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</si>
  <si>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</si>
  <si>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</si>
  <si>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</si>
  <si>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</si>
  <si>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</si>
  <si>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</si>
  <si>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</si>
  <si>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</si>
  <si>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</si>
  <si>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</si>
  <si>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</si>
  <si>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</si>
  <si>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</si>
  <si>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</si>
  <si>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</si>
  <si>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</si>
  <si>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</si>
  <si>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</si>
  <si>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</si>
  <si>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</si>
  <si>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</si>
  <si>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</si>
  <si>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</si>
  <si>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</si>
  <si>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</si>
  <si>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</si>
  <si>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</si>
  <si>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</si>
  <si>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</si>
  <si>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</si>
  <si>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</si>
  <si>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</si>
  <si>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</si>
  <si>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</si>
  <si>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400 MM E O POÇO DE VISITA/ CAIXA DE CONCRETO OU ALVENARIA EM REDES DE ESGOTO. AF_06/2015</t>
  </si>
  <si>
    <t>JUNTA ARGAMASSADA ENTRE TUBO DN 450 MM E O POÇO DE VISITA/ CAIXA DE CONCRETO OU ALVENARIA EM REDES DE ESGOTO. AF_06/2015</t>
  </si>
  <si>
    <t>JUNTA ARGAMASSADA ENTRE TUBO DN 600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</si>
  <si>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</si>
  <si>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</si>
  <si>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</si>
  <si>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</si>
  <si>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</si>
  <si>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</si>
  <si>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</si>
  <si>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</si>
  <si>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</si>
  <si>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</si>
  <si>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</si>
  <si>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</si>
  <si>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</si>
  <si>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</si>
  <si>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</si>
  <si>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</si>
  <si>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</si>
  <si>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</si>
  <si>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</si>
  <si>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</si>
  <si>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</si>
  <si>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</si>
  <si>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</si>
  <si>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</si>
  <si>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</si>
  <si>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</si>
  <si>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</si>
  <si>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</si>
  <si>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</si>
  <si>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</si>
  <si>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</si>
  <si>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</si>
  <si>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</si>
  <si>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</si>
  <si>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</si>
  <si>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</si>
  <si>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</si>
  <si>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</si>
  <si>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</si>
  <si>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</si>
  <si>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</si>
  <si>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</si>
  <si>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</si>
  <si>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</si>
  <si>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</si>
  <si>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</si>
  <si>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</si>
  <si>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</si>
  <si>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IMUNIZACAO DE MADEIRAMENTO PARA COBERTURA UTILIZANDO CUPINICIDA INCOLOR</t>
  </si>
  <si>
    <t>73816/1</t>
  </si>
  <si>
    <t>EXECUCAO DE DRENO COM TUBOS DE PVC CORRUGADO FLEXIVEL PERFURADO - DN 100</t>
  </si>
  <si>
    <t>73881/3</t>
  </si>
  <si>
    <t>EXECUCAO DE DRENO COM MANTA GEOTEXTIL 400 G/M2</t>
  </si>
  <si>
    <t>73883/1</t>
  </si>
  <si>
    <t>EXECUCAO DE DRENO FRANCES COM AREIA MEDIA</t>
  </si>
  <si>
    <t>73883/3</t>
  </si>
  <si>
    <t>EXECUCAO DE DRENO FRANCES COM CASCALHO</t>
  </si>
  <si>
    <t>73969/1</t>
  </si>
  <si>
    <t>EXECUCAO DE DRENOS DE CHORUME EM TUBOS DRENANTES DE CONCRETO, DIAM=200MM, ENVOLTOS EM BRITA E GEOTEXTIL</t>
  </si>
  <si>
    <t>74017/1</t>
  </si>
  <si>
    <t>EXECUCAO DE DRENOS DE CHORUME EM TUBOS DRENANTES, PVC, DIAM=100 MM, ENVOLTOS EM BRITA E GEOTEXTIL</t>
  </si>
  <si>
    <t>74017/2</t>
  </si>
  <si>
    <t>EXECUCAO DE DRENOS DE CHORUME EM TUBOS DRENANTES, PVC, DIAM=150 MM, ENVOLTOS EM BRITA E GEOTEXTIL</t>
  </si>
  <si>
    <t>75029/1</t>
  </si>
  <si>
    <t>TUBO PVC CORRUGADO RIGIDO PERFURADO DN 150 PARA DRENAGEM - FORNECIMENTO E INSTALACAO</t>
  </si>
  <si>
    <t>TUBO PVC CORRUGADO PERFURADO 100 MM C/ JUNTA ELASTICA PARA DRENAGEM.</t>
  </si>
  <si>
    <t>EXECUCAO DRENO PROFUNDO, COM CORTE TRAPEZOIDAL EM SOLO, DE 70X80X150CM EXCL TUBO INCL MATERIAL EXECUCAO, COM SELO ENCHIMENTO MATERIAL DRENANTE E ESCAVACAO</t>
  </si>
  <si>
    <t>EXECUCAO DE DRENO PROFUNDO, CORTE EM SOLO, COM TUBO POROSO D=0,20M</t>
  </si>
  <si>
    <t>EXECUCAO DE DRENO CEGO</t>
  </si>
  <si>
    <t>EXECUCAO DE DRENO DE TUBO DE CONRETO SIMPLES POROSO D=0,20 M (0,5MX0,5M) PARA GALERIAS DE AGUAS PLUVIAIS</t>
  </si>
  <si>
    <t>TUBO PVC DN 75 MM PARA DRENAGEM - FORNECIMENTO E INSTALACAO</t>
  </si>
  <si>
    <t>TUBO PVC DN 100 MM PARA DRENAGEM - FORNECIMENTO E INSTALACAO</t>
  </si>
  <si>
    <t>TUBO PVC D=2 COM MATERIAL DRENANTE PARA DRENO/BARBACA - FORNECIMENTO E INSTALACAO</t>
  </si>
  <si>
    <t>TUBO PVC D=3" COM MATERIAL DRENANTE PARA DRENO/BARBACA - FORNECIMENTO E INSTALACAO</t>
  </si>
  <si>
    <t>TUBO PVC D=4" COM MATERIAL DRENANTE PARA DRENO/BARBACA - FORNECIMENTO E INSTALACAO</t>
  </si>
  <si>
    <t>73799/1</t>
  </si>
  <si>
    <t>GRELHA EM FERRO FUNDIDO SIMPLES COM REQUADRO, CARGA MÁXIMA 12,5 T,  300 X 1000 MM, E = 15 MM, FORNECIDA E ASSENTADA COM ARGAMASSA 1:4 CIMENTO:AREIA.</t>
  </si>
  <si>
    <t>73856/5</t>
  </si>
  <si>
    <t>BOCA PARA BUEIRO SIMPLES TUBULAR, DIAMETRO =1,20M, EM CONCRETO CICLOPICO, INCLUINDO FORMAS, ESCAVACAO, REATERRO E MATERIAIS, EXCLUINDO MATERIAL REATERRO JAZIDA E TRANSPORTE.</t>
  </si>
  <si>
    <t>73856/6</t>
  </si>
  <si>
    <t>BOCA PARA BUEIRO DUPLO TUBULAR, DIAMETRO =0,40M, EM CONCRETO CICLOPICO, INCLUINDO FORMAS, ESCAVACAO, REATERRO E MATERIAIS, EXCLUINDO MATERIAL REATERRO JAZIDA E TRANSPORTE.</t>
  </si>
  <si>
    <t>73856/7</t>
  </si>
  <si>
    <t>BOCA PARA BUEIRO DUPLO TUBULAR, DIAMETRO =0,60M, EM CONCRETO CICLOPICO, INCLUINDO FORMAS, ESCAVACAO, REATERRO E MATERIAIS, EXCLUINDO MATERIAL REATERRO JAZIDA E TRANSPORTE.</t>
  </si>
  <si>
    <t>73856/8</t>
  </si>
  <si>
    <t>BOCA PARA BUEIRO DUPLO TUBULAR, DIAMETRO =0,80M, EM CONCRETO CICLOPICO, INCLUINDO FORMAS, ESCAVACAO, REATERRO E MATERIAIS, EXCLUINDO MATERIAL REATERRO JAZIDA E TRANSPORTE.</t>
  </si>
  <si>
    <t>73856/9</t>
  </si>
  <si>
    <t>BOCA PARA BUEIRO DUPLO TUBULAR, DIAMETRO =1,00M, EM CONCRETO CICLOPICO, INCLUINDO FORMAS, ESCAVACAO, REATERRO E MATERIAIS, EXCLUINDO MATERIAL REATERRO JAZIDA E TRANSPORTE.</t>
  </si>
  <si>
    <t>73856/10</t>
  </si>
  <si>
    <t>BOCA PARA BUEIRO DUPLOTUBULAR, DIAMETRO =1,20M, EM CONCRETO CICLOPICO, INCLUINDO FORMAS, ESCAVACAO, REATERRO E MATERIAIS, EXCLUINDO MATERIAL REATERRO JAZIDA E TRANSPORTE.</t>
  </si>
  <si>
    <t>73856/11</t>
  </si>
  <si>
    <t>BOCA PARA BUEIRO TRIPLO TUBULAR, DIAMETRO =0,40M, EM CONCRETO CICLOPICO, INCLUINDO FORMAS, ESCAVACAO, REATERRO E MATERIAIS, EXCLUINDO MATERIAL REATERRO JAZIDA E TRANSPORTE.</t>
  </si>
  <si>
    <t>73856/12</t>
  </si>
  <si>
    <t>BOCA PARA BUEIRO TRIPLO TUBULAR, DIAMETRO =0,60M, EM CONCRETO CICLOPICO, INCLUINDO FORMAS, ESCAVACAO, REATERRO E MATERIAIS, EXCLUINDO MATERIAL REATERRO JAZIDA E TRANSPORTE.</t>
  </si>
  <si>
    <t>73856/13</t>
  </si>
  <si>
    <t>BOCA PARA BUEIRO TRIPLO TUBULAR, DIAMETRO =0,80M, EM CONCRETO CICLOPICO, INCLUINDO FORMAS, ESCAVACAO, REATERRO E MATERIAIS, EXCLUINDO MATERIAL REATERRO JAZIDA E TRANSPORTE.</t>
  </si>
  <si>
    <t>73856/14</t>
  </si>
  <si>
    <t>BOCA PARA BUEIRO TRIPLO TUBULAR, DIAMETRO =1,00M, EM CONCRETO CICLOPICO, INCLUINDO FORMAS, ESCAVACAO, REATERRO E MATERIAIS, EXCLUINDO MATERIAL REATERRO JAZIDA E TRANSPORTE.</t>
  </si>
  <si>
    <t>73856/15</t>
  </si>
  <si>
    <t>BOCA PARA BUEIRO TRIPLO TUBULAR, DIAMETRO =1,20M, EM CONCRETO CICLOPICO, INCLUINDO FORMAS, ESCAVACAO, REATERRO E MATERIAIS, EXCLUINDO MATERIAL REATERRO JAZIDA E TRANSPORTE.</t>
  </si>
  <si>
    <t>74224/1</t>
  </si>
  <si>
    <t>POCO DE VISITA PARA DRENAGEM PLUVIAL, EM CONCRETO ESTRUTURAL, DIMENSOES INTERNAS DE 90X150X80CM (LARGXCOMPXALT), PARA REDE DE 600 MM, EXCLUSOS TAMPAO E CHAMINE.</t>
  </si>
  <si>
    <t>BOCA DE LOBO EM ALVENARIA TIJOLO MACICO, REVESTIDA C/ ARGAMASSA DE CIMENTO E AREIA 1:3, SOBRE LASTRO DE CONCRETO 10CM E TAMPA DE CONCRETO ARMADO</t>
  </si>
  <si>
    <t>CAIXA COM GRELHA SIMPLES RETANGULAR, EM CONCRETO PRÉ-MOLDADO, DIMENSÕES INTERNAS: 0,6X1,0X1,0 M. AF_05/2018</t>
  </si>
  <si>
    <t>CAIXA COM GRELHA SIMPLES RETANGULAR, EM ALVENARIA COM TIJOLOS CERÂMICOS MACIÇOS, DIMENSÕES INTERNAS: 0,5X1X1 M. AF_05/2018</t>
  </si>
  <si>
    <t>CAIXA COM GRELHA DUPLA RETANGULAR, EM ALVENARIA COM TIJOLOS CERÂMICOS MACIÇOS, DIMENSÕES INTERNAS: 0,5X2,2X1 M. AF_05/2018</t>
  </si>
  <si>
    <t>CAIXA COM GRELHA SIMPLES RETANGULAR, EM ALVENARIA COM BLOCOS DE CONCRETO, DIMENSÕES INTERNAS: 0,5X1X1 M. AF_05/2018</t>
  </si>
  <si>
    <t>CAIXA COM GRELHA DUPLA RETANGULAR, EM ALVENARIA COM BLOCOS DE CONCRETO, DIMENSÕES INTERNAS: 0,5X2,2X1 M. AF_05/2018</t>
  </si>
  <si>
    <t>POÇO DE INSPEÇÃO CIRCULAR PARA ESGOTO, EM CONCRETO PRÉ-MOLDADO, DIÂMETRO INTERNO = 0,6 M, PROFUNDIDADE = 1 M, EXCLUINDO TAMPÃO. AF_05/2018</t>
  </si>
  <si>
    <t>POÇO DE INSPEÇÃO CIRCULAR PARA ESGOTO, EM CONCRETO PRÉ-MOLDADO, DIÂMETRO INTERNO = 0,6 M, PROFUNDIDADE = 1,5 M, EXCLUINDO TAMPÃO. AF_05/2018</t>
  </si>
  <si>
    <t>POÇO DE INSPEÇÃO CIRCULAR PARA ESGOTO, EM ALVENARIA COM TIJOLOS CERÂMICOS MACIÇOS, DIÂMETRO INTERNO = 0,6 M, PROFUNDIDADE = 1 M, EXCLUINDO TAMPÃO. AF_05/2018</t>
  </si>
  <si>
    <t>POÇO DE INSPEÇÃO CIRCULAR PARA ESGOTO, EM ALVENARIA COM TIJOLOS CERÂMICOS MACIÇOS, DIÂMETRO INTERNO = 0,6 M, PROFUNDIDADE = 1,5 M, EXCLUINDO TAMPÃO. AF_05/2018</t>
  </si>
  <si>
    <t>BASE PARA POÇO DE VISITA CIRCULAR PARA ESGOTO, EM CONCRETO PRÉ-MOLDADO, DIÂMETRO INTERNO = 0,8 M, PROFUNDIDADE = 1,45 M, EXCLUINDO TAMPÃO. AF_05/2018</t>
  </si>
  <si>
    <t>BASE PARA POÇO DE VISITA CIRCULAR PARA  ESGOTO, EM ALVENARIA COM TIJOLOS CERÂMICOS MACIÇOS, DIÂMETRO INTERNO = 0,8 M, PROFUNDIDADE = 1,45 M, EXCLUINDO TAMPÃO. AF_05/2018</t>
  </si>
  <si>
    <t>ACRÉSCIMO PARA POÇO DE VISITA CIRCULAR PARA ESGOTO, EM ALVENARIA COM TIJOLOS CERÂMICOS MACIÇOS, DIÂMETRO INTERNO = 0,8 M. AF_05/2018</t>
  </si>
  <si>
    <t>ACRÉSCIMO PARA POÇO DE VISITA CIRCULAR PARA ESGOTO, EM CONCRETO PRÉ-MOLDADO, DIÂMETRO INTERNO = 1 M. AF_05/2018</t>
  </si>
  <si>
    <t>ACRÉSCIMO PARA POÇO DE VISITA CIRCULAR PARA  ESGOTO, EM ALVENARIA COM TIJOLOS CERÂMICOS MACIÇOS, DIÂMETRO INTERNO = 1 M. AF_05/2018</t>
  </si>
  <si>
    <t>BASE PARA POÇO DE VISITA CIRCULAR PARA  ESGOTO, EM CONCRETO PRÉ-MOLDADO, DIÂMETRO INTERNO = 1,2 M, PROFUNDIDADE = 1,7 M, EXCLUINDO TAMPÃO. AF_05/2018</t>
  </si>
  <si>
    <t>ACRÉSCIMO PARA POÇO DE VISITA CIRCULAR PARA ESGOTO, EM CONCRETO PRÉ-MOLDADO, DIÂMETRO INTERNO = 1,2 M. AF_05/2018</t>
  </si>
  <si>
    <t>BASE PARA POÇO DE VISITA CIRCULAR PARA  ESGOTO, EM ALVENARIA COM TIJOLOS CERÂMICOS MACIÇOS, DIÂMETRO INTERNO = 1,2 M, PROFUNDIDADE = 1,45 M, EXCLUINDO TAMPÃO. AF_05/2018</t>
  </si>
  <si>
    <t>ACRÉSCIMO PARA POÇO DE VISITA CIRCULAR PARA ESGOTO, EM ALVENARIA COM TIJOLOS CERÂMICOS MACIÇOS, DIÂMETRO INTERNO = 1,2 M. AF_05/2018</t>
  </si>
  <si>
    <t>BASE PARA POÇO DE VISITA CIRCULAR PARA  ESGOTO, EM CONCRETO PRÉ-MOLDADO, DIÂMETRO INTERNO = 1,5 M, PROFUNDIDADE = 1,95 M, EXCLUINDO TAMPÃO. AF_05/2018</t>
  </si>
  <si>
    <t>ACRÉSCIMO PARA POÇO DE VISITA CIRCULAR PARA  ESGOTO, EM CONCRETO PRÉ-MOLDADO, DIÂMETRO INTERNO = 1,5 M. AF_05/2018</t>
  </si>
  <si>
    <t>BASE PARA POÇO DE VISITA CIRCULAR PARA  ESGOTO, EM ALVENARIA COM TIJOLOS CERÂMICOS MACIÇOS, DIÂMETRO INTERNO = 1,5 M, PROFUNDIDADE = 1,45 M, EXCLUINDO TAMPÃO. AF_05/2018</t>
  </si>
  <si>
    <t>ACRÉSCIMO PARA POÇO DE VISITA CIRCULAR PARA  ESGOTO, EM ALVENARIA COM TIJOLOS CERÂMICOS MACIÇOS, DIÂMETRO INTERNO = 1,5 M. AF_05/2018</t>
  </si>
  <si>
    <t>BASE PARA POÇO DE VISITA RETANGULAR PARA  ESGOTO, EM ALVENARIA COM BLOCOS DE CONCRETO, DIMENSÕES INTERNAS = 1X1 M, PROFUNDIDADE = 1,45 M, EXCLUINDO TAMPÃO. AF_05/2018</t>
  </si>
  <si>
    <t>ACRÉSCIMO PARA POÇO DE VISITA RETANGULAR PARA ESGOTO, EM ALVENARIA COM BLOCOS DE CONCRETO, DIMENSÕES INTERNAS = 1X1 M. AF_05/2018</t>
  </si>
  <si>
    <t>BASE PARA POÇO DE VISITA RETANGULAR PARA ESGOTO, EM ALVENARIA COM BLOCOS DE CONCRETO, DIMENSÕES INTERNAS = 1X1,5 M, PROFUNDIDADE = 1,45 M, EXCLUINDO TAMPÃO. AF_05/2018</t>
  </si>
  <si>
    <t>ACRÉSCIMO PARA POÇO DE VISITA RETANGULAR PARA ESGOTO, EM ALVENARIA COM BLOCOS DE CONCRETO, DIMENSÕES INTERNAS = 1X1,5 M. AF_05/2018</t>
  </si>
  <si>
    <t>ACRÉSCIMO PARA POÇO DE VISITA RETANGULAR PARA ESGOTO, EM ALVENARIA COM BLOCOS DE CONCRETO, DIMENSÕES INTERNAS = 1X2 M. AF_05/2018</t>
  </si>
  <si>
    <t>ACRÉSCIMO PARA POÇO DE VISITA RETANGULAR PARA ESGOTO, EM ALVENARIA COM BLOCOS DE CONCRETO, DIMENSÕES INTERNAS = 1X2,5 M. AF_05/2018</t>
  </si>
  <si>
    <t>BASE PARA POÇO DE VISITA RETANGULAR PARA ESGOTO, EM ALVENARIA COM BLOCOS DE CONCRETO, DIMENSÕES INTERNAS = 1X3 M, PROFUNDIDADE = 1,45 M, EXCLUINDO TAMPÃO. AF_05/2018</t>
  </si>
  <si>
    <t>ACRÉSCIMO PARA POÇO DE VISITA RETANGULAR PARA ESGOTO, EM ALVENARIA COM BLOCOS DE CONCRETO, DIMENSÕES INTERNAS = 1X3 M. AF_05/2018</t>
  </si>
  <si>
    <t>ACRÉSCIMO PARA POÇO DE VISITA RETANGULAR PARA ESGOTO, EM ALVENARIA COM BLOCOS DE CONCRETO, DIMENSÕES INTERNAS = 1X3,5 M. AF_05/2018</t>
  </si>
  <si>
    <t>BASE PARA POÇO DE VISITA RETANGULAR PARA ESGOTO, EM ALVENARIA COM BLOCOS DE CONCRETO, DIMENSÕES INTERNAS = 1X4 M, PROFUNDIDADE = 1,45 M, EXCLUINDO TAMPÃO. AF_05/2018</t>
  </si>
  <si>
    <t>ACRÉSCIMO PARA POÇO DE VISITA RETANGULAR PARA ESGOTO, EM ALVENARIA COM BLOCOS DE CONCRETO, DIMENSÕES INTERNAS = 1X4 M. AF_05/2018</t>
  </si>
  <si>
    <t>BASE PARA POÇO DE VISITA RETANGULAR PARA ESGOTO, EM ALVENARIA COM BLOCOS DE CONCRETO, DIMENSÕES INTERNAS = 1,5X1,5 M, PROFUNDIDADE = 1,45 M, EXCLUINDO TAMPÃO . AF_05/2018</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</si>
  <si>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</si>
  <si>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</si>
  <si>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</si>
  <si>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</si>
  <si>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</si>
  <si>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</si>
  <si>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</si>
  <si>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</si>
  <si>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</si>
  <si>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</si>
  <si>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ACRÉSCIMO PARA POÇO DE VISITA RETANGULAR PARA ESGOTO, EM ALVENARIA COM BLOCOS DE CONCRETO, DIMENSÕES INTERNAS = 1,5X4 M. AF_05/2018</t>
  </si>
  <si>
    <t>BASE PARA POÇO DE VISITA RETANGULAR PARA ESGOTO, EM ALVENARIA COM BLOCOS DE CONCRETO, DIMENSÕES INTERNAS = 2X2 M, PROFUNDIDADE = 1,45 M, EXCLUINDO TAMPÃO. AF_05/2018</t>
  </si>
  <si>
    <t>ACRÉSCIMO PARA POÇO DE VISITA RETANGULAR PARA ESGOTO, EM ALVENARIA COM BLOCOS DE CONCRETO, DIMENSÕES INTERNAS = 2X2 M. AF_05/2018</t>
  </si>
  <si>
    <t>BASE PARA POÇO DE VISITA RETANGULAR PARA ESGOTO, EM ALVENARIA COM BLOCOS DE CONCRETO, DIMENSÕES INTERNAS = 2X2,5 M, PROFUNDIDADE = 1,45 M, EXCLUINDO TAMPÃO. AF_05/2018</t>
  </si>
  <si>
    <t>ACRÉSCIMO PARA POÇO DE VISITA RETANGULAR PARA ESGOTO, EM ALVENARIA COM BLOCOS DE CONCRETO, DIMENSÕES INTERNAS = 2X2,5 M. AF_05/2018</t>
  </si>
  <si>
    <t>BASE PARA POÇO DE VISITA RETANGULAR PARA ESGOTO, EM ALVENARIA COM BLOCOS DE CONCRETO, DIMENSÕES INTERNAS = 2X3 M, PROFUNDIDADE = 1,45 M, EXCLUINDO TAMPÃO. AF_05/2018</t>
  </si>
  <si>
    <t>ACRÉSCIMO PARA POÇO DE VISITA RETANGULAR PARA ESGOTO, EM ALVENARIA COM BLOCOS DE CONCRETO, DIMENSÕES INTERNAS = 2X3 M. AF_05/2018</t>
  </si>
  <si>
    <t>BASE PARA POÇO DE VISITA RETANGULAR PARA ESGOTO, EM ALVENARIA COM BLOCOS DE CONCRETO, DIMENSÕES INTERNAS = 2X3,5 M, PROFUNDIDADE = 1,45 M, EXCLUINDO TAMPÃO. AF_05/2018</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</si>
  <si>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</si>
  <si>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</si>
  <si>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ACRÉSCIMO PARA POÇO DE VISITA RETANGULAR PARA ESGOTO, EM ALVENARIA COM BLOCOS DE CONCRETO, DIMENSÕES INTERNAS = 2X4 M. AF_05/2018</t>
  </si>
  <si>
    <t>BASE PARA POÇO DE VISITA RETANGULAR PARA ESGOTO, EM ALVENARIA COM BLOCOS DE CONCRETO, DIMENSÕES INTERNAS = 2,5X2,5 M, PROFUNDIDADE = 1,45 M, EXCLUINDO TAMPÃO. AF_05/2018</t>
  </si>
  <si>
    <t>ACRÉSCIMO PARA POÇO DE VISITA RETANGULAR PARA ESGOTO, EM ALVENARIA COM BLOCOS DE CONCRETO, DIMENSÕES INTERNAS = 2,5X2,5 M. AF_05/2018</t>
  </si>
  <si>
    <t>BASE PARA POÇO DE VISITA RETANGULAR PARA ESGOTO, EM ALVENARIA COM BLOCOS DE CONCRETO, DIMENSÕES INTERNAS = 2,5X3 M, PROFUNDIDADE = 1,45 M, EXCLUINDO TAMPÃO. AF_05/2018</t>
  </si>
  <si>
    <t>ACRÉSCIMO PARA POÇO DE VISITA RETANGULAR PARA ESGOTO, EM ALVENARIA COM BLOCOS DE CONCRETO, DIMENSÕES INTERNAS = 2,5X3 M. AF_05/2018</t>
  </si>
  <si>
    <t>BASE PARA POÇO DE VISITA RETANGULAR PARA ESGOTO, EM ALVENARIA COM BLOCOS DE CONCRETO, DIMENSÕES INTERNAS = 2,5X3,5 M, PROFUNDIDADE = 1,45 M, EXCLUINDO TAMPÃO. AF_05/2018</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</si>
  <si>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</si>
  <si>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</si>
  <si>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ACRÉSCIMO PARA POÇO DE VISITA RETANGULAR PARA ESGOTO, EM ALVENARIA COM BLOCOS DE CONCRETO, DIMENSÕES INTERNAS = 2,5X4 M. AF_05/2018</t>
  </si>
  <si>
    <t>BASE PARA POÇO DE VISITA RETANGULAR PARA ESGOTO, EM ALVENARIA COM BLOCOS DE CONCRETO, DIMENSÕES INTERNAS = 3X3 M, PROFUNDIDADE = 1,45 M, EXCLUINDO TAMPÃO. AF_05/2018</t>
  </si>
  <si>
    <t>ACRÉSCIMO PARA POÇO DE VISITA RETANGULAR PARA ESGOTO, EM ALVENARIA COM BLOCOS DE CONCRETO, DIMENSÕES INTERNAS = 3X3 M. AF_05/2018</t>
  </si>
  <si>
    <t>BASE PARA POÇO DE VISITA RETANGULAR PARA ESGOTO, EM ALVENARIA COM BLOCOS DE CONCRETO, DIMENSÕES INTERNAS = 3X3,5 M, PROFUNDIDADE = 1,45 M, EXCLUINDO TAMPÃO. AF_05/2018</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</si>
  <si>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</si>
  <si>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</si>
  <si>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ACRÉSCIMO PARA POÇO DE VISITA RETANGULAR PARA ESGOTO, EM ALVENARIA COM BLOCOS DE CONCRETO, DIMENSÕES INTERNAS = 3X4 M. AF_05/2018</t>
  </si>
  <si>
    <t>BASE PARA POÇO DE VISITA RETANGULAR PARA ESGOTO, EM ALVENARIA COM BLOCOS DE CONCRETO, DIMENSÕES INTERNAS = 3,5X3,5 M, PROFUNDIDADE = 1,45 M, EXCLUINDO TAMPÃO. AF_05/2018</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</si>
  <si>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</si>
  <si>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</si>
  <si>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ACRÉSCIMO PARA POÇO DE VISITA RETANGULAR PARA ESGOTO, EM ALVENARIA COM BLOCOS DE CONCRETO, DIMENSÕES INTERNAS = 3,5X4 M. AF_05/2018</t>
  </si>
  <si>
    <t>BASE PARA POÇO DE VISITA RETANGULAR PARA ESGOTO, EM ALVENARIA COM BLOCOS DE CONCRETO, DIMENSÕES INTERNAS = 4X4 M, PROFUNDIDADE = 1,45 M, EXCLUINDO TAMPÃO. AF_05/2018</t>
  </si>
  <si>
    <t>ACRÉSCIMO PARA POÇO DE VISITA RETANGULAR PARA ESGOTO, EM ALVENARIA COM BLOCOS DE CONCRETO, DIMENSÕES INTERNAS = 4X4 M. AF_05/2018</t>
  </si>
  <si>
    <t>CHAMINÉ CIRCULAR PARA POÇO DE VISITA PARA ESGOTO, EM CONCRETO PRÉ-MOLDADO, DIÂMETRO INTERNO = 0,6 M. AF_05/2018</t>
  </si>
  <si>
    <t>CHAMINÉ CIRCULAR PARA POÇO DE VISITA PARA ESGOTO, EM ALVENARIA COM TIJOLOS CERÂMICOS MACIÇOS, DIÂMETRO INTERNO = 0,6 M. AF_05/2018</t>
  </si>
  <si>
    <t>BASE PARA POÇO DE VISITA CIRCULAR PARA  ESGOTO, EM ALVENARIA COM TIJOLOS CERÂMICOS MACIÇOS, DIÂMETRO INTERNO = 1 M, PROFUNDIDADE = 1,45 M, EXCLUINDO TAMPÃO. AF_05/2018</t>
  </si>
  <si>
    <t>BASE PARA POÇO DE VISITA RETANGULAR PARA ESGOTO, EM ALVENARIA COM BLOCOS DE CONCRETO, DIMENSÕES INTERNAS = 1X3,5 M, PROFUNDIDADE = 1,45 M, EXCLUINDO TAMPÃO. AF_05/2018</t>
  </si>
  <si>
    <t>BASE PARA POÇO DE VISITA RETANGULAR PARA ESGOTO, EM ALVENARIA COM BLOCOS DE CONCRETO, DIMENSÕES INTERNAS = 1X2 M, PROFUNDIDADE = 1,45 M, EXCLUINDO TAMPÃO. AF_05/2018</t>
  </si>
  <si>
    <t>BASE PARA POÇO DE VISITA RETANGULAR PARA ESGOTO, EM ALVENARIA COM BLOCOS DE CONCRETO, DIMENSÕES INTERNAS = 1X2,5 M, PROFUNDIDADE = 1,45 M, EXCLUINDO TAMPÃO. AF_05/2018</t>
  </si>
  <si>
    <t>ACRÉSCIMO PARA POÇO DE VISITA CIRCULAR PARA ESGOTO, EM CONCRETO PRÉ-MOLDADO, DIÂMETRO INTERNO = 0,8 M. AF_05/2018</t>
  </si>
  <si>
    <t>BASE PARA POÇO DE VISITA CIRCULAR PARA ESGOTO, EM CONCRETO PRÉ-MOLDADO, DIÂMETRO INTERNO = 1 M, PROFUNDIDADE = 1,45 M, EXCLUINDO TAMPÃO. AF_05/2018</t>
  </si>
  <si>
    <t>BASE PARA POÇO DE VISITA CIRCULAR PARA  ESGOTO, EM CONCRETO PRÉ-MOLDADO, DIÂMETRO INTERNO = 1 M, PROFUNDIDADE = 1,45 M, EXCLUINDO TAMPÃO. AF_05/2018_P</t>
  </si>
  <si>
    <t>ACRÉSCIMO PARA POÇO DE VISITA CIRCULAR PARA DRENAGEM, EM CONCRETO PRÉ-MOLDADO, DIÂMETRO INTERNO = 1,2 M. AF_05/2018</t>
  </si>
  <si>
    <t>ACRÉSCIMO PARA POÇO DE VISITA RETANGULAR PARA DRENAGEM, EM ALVENARIA COM BLOCOS DE CONCRETO, DIMENSÕES INTERNAS = 1,5X1,5 M. AF_05/2018</t>
  </si>
  <si>
    <t>BASE PARA POÇO DE VISITA CIRCULAR PARA DRENAGEM, EM ALVENARIA COM TIJOLOS CERÂMICOS MACIÇOS, DIÂMETRO INTERNO = 1,2 M, PROFUNDIDADE = 1,45 M, EXCLUINDO TAMPÃO. AF_05/2018</t>
  </si>
  <si>
    <t>ACRÉSCIMO PARA POÇO DE VISITA CIRCULAR PARA DRENAGEM, EM ALVENARIA COM TIJOLOS CERÂMICOS MACIÇOS, DIÂMETRO INTERNO = 1,2 M. AF_05/2018</t>
  </si>
  <si>
    <t>BASE PARA POÇO DE VISITA RETANGULAR PARA DRENAGEM, EM ALVENARIA COM BLOCOS DE CONCRETO, DIMENSÕES INTERNAS = 1,5X2 M, PROFUNDIDADE = 1,45 M, EXCLUINDO TAMPÃO. AF_05/2018</t>
  </si>
  <si>
    <t>BASE PARA POÇO DE VISITA CIRCULAR PARA DRENAGEM, EM CONCRETO PRÉ-MOLDADO, DIÂMETRO INTERNO = 1,5 M, PROFUNDIDADE = 1,95 M, EXCLUINDO TAMPÃO. AF_05/2018</t>
  </si>
  <si>
    <t>ACRÉSCIMO PARA POÇO DE VISITA CIRCULAR PARA DRENAGEM, EM CONCRETO PRÉ-MOLDADO, DIÂMETRO INTERNO = 1,5 M. AF_05/2018</t>
  </si>
  <si>
    <t>ACRÉSCIMO PARA POÇO DE VISITA RETANGULAR PARA DRENAGEM, EM ALVENARIA COM BLOCOS DE CONCRETO, DIMENSÕES INTERNAS = 1,5X2 M. AF_05/2018</t>
  </si>
  <si>
    <t>BASE PARA POÇO DE VISITA CIRCULAR PARA DRENAGEM, EM ALVENARIA COM TIJOLOS CERÂMICOS MACIÇOS, DIÂMETRO INTERNO = 1,5 M, PROFUNDIDADE = 1,45 M, EXCLUINDO TAMPÃO. AF_05/2018</t>
  </si>
  <si>
    <t>ACRÉSCIMO PARA POÇO DE VISITA CIRCULAR PARA DRENAGEM, EM ALVENARIA COM TIJOLOS CERÂMICOS MACIÇOS, DIÂMETRO INTERNO = 1,5 M. AF_05/2018</t>
  </si>
  <si>
    <t>BASE PARA POÇO DE VISITA RETANGULAR PARA DRENAGEM, EM ALVENARIA COM BLOCOS DE CONCRETO, DIMENSÕES INTERNAS = 1X1 M, PROFUNDIDADE = 1,45 M, EXCLUINDO TAMPÃO. AF_05/2018</t>
  </si>
  <si>
    <t>ACRÉSCIMO PARA POÇO DE VISITA RETANGULAR PARA DRENAGEM, EM ALVENARIA COM BLOCOS DE CONCRETO, DIMENSÕES INTERNAS = 1X1 M. AF_05/2018</t>
  </si>
  <si>
    <t>BASE PARA POÇO DE VISITA RETANGULAR PARA DRENAGEM, EM ALVENARIA COM BLOCOS DE CONCRETO, DIMENSÕES INTERNAS = 1,5X2,5 M, PROFUNDIDADE = 1,45 M, EXCLUINDO TAMPÃO. AF_05/2018</t>
  </si>
  <si>
    <t>BASE PARA POÇO DE VISITA RETANGULAR PARA DRENAGEM, EM ALVENARIA COM BLOCOS DE CONCRETO, DIMENSÕES INTERNAS = 1X1,5 M, PROFUNDIDADE = 1,45 M, EXCLUINDO TAMPÃO. AF_05/2018</t>
  </si>
  <si>
    <t>ACRÉSCIMO PARA POÇO DE VISITA RETANGULAR PARA DRENAGEM, EM ALVENARIA COM BLOCOS DE CONCRETO, DIMENSÕES INTERNAS = 1X1,5 M. AF_05/2018</t>
  </si>
  <si>
    <t>ACRÉSCIMO PARA POÇO DE VISITA RETANGULAR PARA DRENAGEM, EM ALVENARIA COM BLOCOS DE CONCRETO, DIMENSÕES INTERNAS = 1,5X2,5 M. AF_05/2018</t>
  </si>
  <si>
    <t>BASE PARA POÇO DE VISITA RETANGULAR PARA DRENAGEM, EM ALVENARIA COM BLOCOS DE CONCRETO, DIMENSÕES INTERNAS = 1X2 M, PROFUNDIDADE = 1,45 M, EXCLUINDO TAMPÃO. AF_05/2018</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</si>
  <si>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</si>
  <si>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</si>
  <si>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POÇO DE INSPEÇÃO CIRCULAR PARA DRENAGEM, EM CONCRETO PRÉ-MOLDADO, DIÂMETRO INTERNO = 0,6 M, PROFUNDIDADE = 1 M, EXCLUINDO TAMPÃO. AF_05/2018</t>
  </si>
  <si>
    <t>ACRÉSCIMO PARA POÇO DE VISITA RETANGULAR PARA DRENAGEM, EM ALVENARIA COM BLOCOS DE CONCRETO, DIMENSÕES INTERNAS = 1X2,5 M. AF_05/2018</t>
  </si>
  <si>
    <t>POÇO DE INSPEÇÃO CIRCULAR PARA DRENAGEM, EM CONCRETO PRÉ-MOLDADO, DIÂMETRO INTERNO = 0,6 M, PROFUNDIDADE = 1,5 M, EXCLUINDO TAMPÃO. AF_05/2018</t>
  </si>
  <si>
    <t>BASE PARA POÇO DE VISITA RETANGULAR PARA DRENAGEM, EM ALVENARIA COM BLOCOS DE CONCRETO, DIMENSÕES INTERNAS = 1,5X3 M, PROFUNDIDADE = 1,45 M, EXCLUINDO TAMPÃO. AF_05/2018</t>
  </si>
  <si>
    <t>POÇO DE INSPEÇÃO CIRCULAR PARA DRENAGEM, EM ALVENARIA COM TIJOLOS CERÂMICOS MACIÇOS, DIÂMETRO INTERNO = 0,6 M, PROFUNDIDADE = 1 M, EXCLUINDO TAMPÃO. AF_05/2018</t>
  </si>
  <si>
    <t>POÇO DE INSPEÇÃO CIRCULAR PARA DRENAGEM, EM ALVENARIA COM TIJOLOS CERÂMICOS MACIÇOS, DIÂMETRO INTERNO = 0,6 M, PROFUNDIDADE = 1,5 M, EXCLUINDO TAMPÃO. AF_05/2018</t>
  </si>
  <si>
    <t>BASE PARA POÇO DE VISITA RETANGULAR PARA DRENAGEM, EM ALVENARIA COM BLOCOS DE CONCRETO, DIMENSÕES INTERNAS = 1X3 M, PROFUNDIDADE = 1,45 M, EXCLUINDO TAMPÃO. AF_05/2018</t>
  </si>
  <si>
    <t>BASE PARA POÇO DE VISITA CIRCULAR PARA DRENAGEM, EM CONCRETO PRÉ-MOLDADO, DIÂMETRO INTERNO = 0,8 M, PROFUNDIDADE = 1,45 M, EXCLUINDO TAMPÃO. AF_05/2018</t>
  </si>
  <si>
    <t>ACRÉSCIMO PARA POÇO DE VISITA RETANGULAR PARA DRENAGEM, EM ALVENARIA COM BLOCOS DE CONCRETO, DIMENSÕES INTERNAS = 1,5X3 M. AF_05/2018</t>
  </si>
  <si>
    <t>ACRÉSCIMO PARA POÇO DE VISITA RETANGULAR PARA DRENAGEM, EM ALVENARIA COM BLOCOS DE CONCRETO, DIMENSÕES INTERNAS = 1X3 M. AF_05/2018</t>
  </si>
  <si>
    <t>ACRÉSCIMO PARA POÇO DE VISITA CIRCULAR PARA DRENAGEM, EM CONCRETO PRÉ-MOLDADO, DIÂMETRO INTERNO = 0,8 M. AF_05/2018</t>
  </si>
  <si>
    <t>BASE PARA POÇO DE VISITA RETANGULAR PARA DRENAGEM, EM ALVENARIA COM BLOCOS DE CONCRETO, DIMENSÕES INTERNAS = 1X3,5 M, PROFUNDIDADE = 1,45 M, EXCLUINDO TAMPÃO. AF_05/2018</t>
  </si>
  <si>
    <t>BASE PARA POÇO DE VISITA CIRCULAR PARA DRENAGEM, EM ALVENARIA COM TIJOLOS CERÂMICOS MACIÇOS, DIÂMETRO INTERNO = 0,8 M, PROFUNDIDADE = 1,45 M, EXCLUINDO TAMPÃO. AF_05/2018</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</si>
  <si>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</si>
  <si>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</si>
  <si>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ACRÉSCIMO PARA POÇO DE VISITA CIRCULAR PARA DRENAGEM, EM ALVENARIA COM TIJOLOS CERÂMICOS MACIÇOS, DIÂMETRO INTERNO = 0,8 M. AF_05/2018</t>
  </si>
  <si>
    <t>BASE PARA POÇO DE VISITA RETANGULAR PARA DRENAGEM, EM ALVENARIA COM BLOCOS DE CONCRETO, DIMENSÕES INTERNAS = 1,5X3,5 M, PROFUNDIDADE = 1,45 M, EXCLUINDO TAMPÃO. AF_05/2018</t>
  </si>
  <si>
    <t>BASE PARA POÇO DE VISITA RETANGULAR PARA DRENAGEM, EM ALVENARIA COM BLOCOS DE CONCRETO, DIMENSÕES INTERNAS = 1X4 M, PROFUNDIDADE = 1,45 M, EXCLUINDO TAMPÃO. AF_05/2018</t>
  </si>
  <si>
    <t>BASE PARA POÇO DE VISITA RETANGULAR PARA DRENAGEM, EM ALVENARIA COM BLOCOS DE CONCRETO, DIMENSÕES INTERNAS = 2,5X3 M, PROFUNDIDADE = 1,45 M, EXCLUINDO TAMPÃO. AF_05/2018</t>
  </si>
  <si>
    <t>ACRÉSCIMO PARA POÇO DE VISITA CIRCULAR PARA DRENAGEM, EM CONCRETO PRÉ-MOLDADO, DIÂMETRO INTERNO = 1 M. AF_05/2018</t>
  </si>
  <si>
    <t>ACRÉSCIMO PARA POÇO DE VISITA RETANGULAR PARA DRENAGEM, EM ALVENARIA COM BLOCOS DE CONCRETO, DIMENSÕES INTERNAS = 1X4 M. AF_05/2018</t>
  </si>
  <si>
    <t>BASE PARA POÇO DE VISITA RETANGULAR PARA DRENAGEM, EM ALVENARIA COM BLOCOS DE CONCRETO, DIMENSÕES INTERNAS = 1,5X1,5 M, PROFUNDIDADE = 1,45 M, EXCLUINDO TAMPÃO. AF_05/2018</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</si>
  <si>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</si>
  <si>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</si>
  <si>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ACRÉSCIMO PARA POÇO DE VISITA CIRCULAR PARA DRENAGEM, EM ALVENARIA COM TIJOLOS CERÂMICOS MACIÇOS, DIÂMETRO INTERNO = 1 M. AF_05/2018</t>
  </si>
  <si>
    <t>BASE PARA POÇO DE VISITA RETANGULAR PARA DRENAGEM, EM ALVENARIA COM BLOCOS DE CONCRETO, DIMENSÕES INTERNAS = 1,5X4 M, PROFUNDIDADE = 1,45 M, EXCLUINDO TAMPÃO. AF_05/2018</t>
  </si>
  <si>
    <t>ACRÉSCIMO PARA POÇO DE VISITA RETANGULAR PARA DRENAGEM, EM ALVENARIA COM BLOCOS DE CONCRETO, DIMENSÕES INTERNAS = 2,5X3 M. AF_05/2018</t>
  </si>
  <si>
    <t>ACRÉSCIMO PARA POÇO DE VISITA RETANGULAR PARA DRENAGEM, EM ALVENARIA COM BLOCOS DE CONCRETO, DIMENSÕES INTERNAS = 1,5X4 M. AF_05/2018</t>
  </si>
  <si>
    <t>BASE PARA POÇO DE VISITA RETANGULAR PARA DRENAGEM, EM ALVENARIA COM BLOCOS DE CONCRETO, DIMENSÕES INTERNAS = 2,5X3,5 M, PROFUNDIDADE = 1,45 M, EXCLUINDO TAMPÃO. AF_05/2018</t>
  </si>
  <si>
    <t>ACRÉSCIMO PARA POÇO DE VISITA RETANGULAR PARA DRENAGEM, EM ALVENARIA COM BLOCOS DE CONCRETO, DIMENSÕES INTERNAS = 2,5X3,5 M. AF_05/2018</t>
  </si>
  <si>
    <t>BASE PARA POÇO DE VISITA RETANGULAR PARA DRENAGEM, EM ALVENARIA COM BLOCOS DE CONCRETO, DIMENSÕES INTERNAS = 2,5X4 M, PROFUNDIDADE = 1,45 M, EXCLUINDO TAMPÃO. AF_05/2018</t>
  </si>
  <si>
    <t>BASE PARA POÇO DE VISITA RETANGULAR PARA DRENAGEM, EM ALVENARIA COM BLOCOS DE CONCRETO, DIMENSÕES INTERNAS = 2X2 M, PROFUNDIDADE = 1,45 M, EXCLUINDO TAMPÃO. AF_05/2018</t>
  </si>
  <si>
    <t>ACRÉSCIMO PARA POÇO DE VISITA RETANGULAR PARA DRENAGEM, EM ALVENARIA COM BLOCOS DE CONCRETO, DIMENSÕES INTERNAS = 2,5X4 M. AF_05/2018</t>
  </si>
  <si>
    <t>BASE PARA POÇO DE VISITA RETANGULAR PARA DRENAGEM, EM ALVENARIA COM BLOCOS DE CONCRETO, DIMENSÕES INTERNAS = 3X3 M, PROFUNDIDADE = 1,45 M, EXCLUINDO TAMPÃO. AF_05/2018</t>
  </si>
  <si>
    <t>ACRÉSCIMO PARA POÇO DE VISITA RETANGULAR PARA DRENAGEM, EM ALVENARIA COM BLOCOS DE CONCRETO, DIMENSÕES INTERNAS = 3X3 M. AF_05/2018</t>
  </si>
  <si>
    <t>BASE PARA POÇO DE VISITA RETANGULAR PARA DRENAGEM, EM ALVENARIA COM BLOCOS DE CONCRETO, DIMENSÕES INTERNAS = 3X3,5 M, PROFUNDIDADE = 1,45 M, EXCLUINDO TAMPÃO. AF_05/2018</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</si>
  <si>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</si>
  <si>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</si>
  <si>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BASE PARA POÇO DE VISITA RETANGULAR PARA DRENAGEM, EM ALVENARIA COM BLOCOS DE CONCRETO, DIMENSÕES INTERNAS = 3X4 M, PROFUNDIDADE = 1,45 M, EXCLUINDO TAMPÃO. AF_05/2018</t>
  </si>
  <si>
    <t>ACRÉSCIMO PARA POÇO DE VISITA RETANGULAR PARA DRENAGEM, EM ALVENARIA COM BLOCOS DE CONCRETO, DIMENSÕES INTERNAS = 3X4 M. AF_05/2018</t>
  </si>
  <si>
    <t>BASE PARA POÇO DE VISITA RETANGULAR PARA DRENAGEM, EM ALVENARIA COM BLOCOS DE CONCRETO, DIMENSÕES INTERNAS = 3,5X3,5 M, PROFUNDIDADE = 1,45 M, EXCLUINDO TAMPÃO. AF_05/2018</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</si>
  <si>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</si>
  <si>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</si>
  <si>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BASE PARA POÇO DE VISITA RETANGULAR PARA DRENAGEM, EM ALVENARIA COM BLOCOS DE CONCRETO, DIMENSÕES INTERNAS = 3,5X4 M, PROFUNDIDADE = 1,45 M, EXCLUINDO TAMPÃO. AF_05/2018</t>
  </si>
  <si>
    <t>ACRÉSCIMO PARA POÇO DE VISITA RETANGULAR PARA DRENAGEM, EM ALVENARIA COM BLOCOS DE CONCRETO, DIMENSÕES INTERNAS = 3,5X4 M. AF_05/2018</t>
  </si>
  <si>
    <t>BASE PARA POÇO DE VISITA RETANGULAR PARA DRENAGEM, EM ALVENARIA COM BLOCOS DE CONCRETO, DIMENSÕES INTERNAS = 4X4 M, PROFUNDIDADE = 1,45 M, EXCLUINDO TAMPÃO. AF_05/2018</t>
  </si>
  <si>
    <t>ACRÉSCIMO PARA POÇO DE VISITA RETANGULAR PARA DRENAGEM, EM ALVENARIA COM BLOCOS DE CONCRETO, DIMENSÕES INTERNAS = 2X2,5 M. AF_05/2018</t>
  </si>
  <si>
    <t>CHAMINÉ CIRCULAR PARA POÇO DE VISITA PARA DRENAGEM, EM CONCRETO PRÉ-MOLDADO, DIÂMETRO INTERNO = 0,6 M. AF_05/2018</t>
  </si>
  <si>
    <t>CHAMINÉ CIRCULAR PARA POÇO DE VISITA PARA DRENAGEM, EM ALVENARIA COM TIJOLOS CERÂMICOS MACIÇOS, DIÂMETRO INTERNO = 0,6 M. AF_05/2018</t>
  </si>
  <si>
    <t>BASE PARA POÇO DE VISITA RETANGULAR PARA DRENAGEM, EM ALVENARIA COM BLOCOS DE CONCRETO, DIMENSÕES INTERNAS = 2X3 M, PROFUNDIDADE = 1,45 M, EXCLUINDO TAMPÃO. AF_05/2018</t>
  </si>
  <si>
    <t>ACRÉSCIMO PARA POÇO DE VISITA RETANGULAR PARA DRENAGEM, EM ALVENARIA COM BLOCOS DE CONCRETO, DIMENSÕES INTERNAS = 2X3 M. AF_05/2018</t>
  </si>
  <si>
    <t>BASE PARA POÇO DE VISITA RETANGULAR PARA DRENAGEM, EM ALVENARIA COM BLOCOS DE CONCRETO, DIMENSÕES INTERNAS = 2X3,5 M, PROFUNDIDADE = 1,45 M, EXCLUINDO TAMPÃO. AF_05/2018</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</si>
  <si>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</si>
  <si>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</si>
  <si>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</si>
  <si>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</si>
  <si>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ACRÉSCIMO PARA POÇO DE VISITA RETANGULAR PARA DRENAGEM, EM ALVENARIA COM BLOCOS DE CONCRETO, DIMENSÕES INTERNAS = 4X4 M. AF_05/2018</t>
  </si>
  <si>
    <t>JOGO DE FERRAGENS CROMADAS PARA PORTA DE VIDRO TEMPERADO, UMA FOLHA COMPOSTO DE DOBRADICAS SUPERIOR E INFERIOR, TRINCO, FECHADURA, CONTRA FECHADURA COM CAPUCHINHO SEM MOLA E PUXADOR</t>
  </si>
  <si>
    <t>MOLA HIDRAULICA DE PISO PARA PORTA DE VIDRO TEMPERADO</t>
  </si>
  <si>
    <t>VIDRO LISO COMUM TRANSPARENTE, ESPESSURA 3MM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</si>
  <si>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</si>
  <si>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</si>
  <si>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</si>
  <si>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</si>
  <si>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</si>
  <si>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</si>
  <si>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</si>
  <si>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</si>
  <si>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</si>
  <si>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</si>
  <si>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</si>
  <si>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</si>
  <si>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</si>
  <si>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</si>
  <si>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</si>
  <si>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</si>
  <si>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LASTRO DE CONCRETO MAGRO, APLICADO EM PISOS OU RADIERS, ESPESSURA DE 3 CM. AF_07/2016</t>
  </si>
  <si>
    <t>LASTRO DE CONCRETO MAGRO, APLICADO EM PISOS OU RADIERS, ESPESSURA DE 5 CM. AF_07/2016</t>
  </si>
  <si>
    <t>LASTRO DE CONCRETO MAGRO, APLICADO EM PISOS OU RADIERS. AF_08/2017</t>
  </si>
  <si>
    <t>LASTRO COM MATERIAL GRANULAR, APLICAÇÃO EM PISOS OU RADIERS, ESPESSURA DE *5 CM*. AF_08/2017</t>
  </si>
  <si>
    <t>LASTRO COM MATERIAL GRANULAR (PEDRA BRITADA N.2), APLICADO EM PISOS OU RADIERS, ESPESSURA DE *10 CM*. AF_08/2017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</si>
  <si>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</si>
  <si>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</si>
  <si>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</si>
  <si>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CAIXA DE PASSAGEM 30X30X40 COM TAMPA E DRENO BRITA</t>
  </si>
  <si>
    <t>CAIXA ENTERRADA ELÉTRICA RETANGULAR, EM CONCRETO PRÉ-MOLDADO, FUNDO COM BRITA, DIMENSÕES INTERNAS: 0,3X0,3X0,3 M. AF_05/2018</t>
  </si>
  <si>
    <t>CAIXA ENTERRADA ELÉTRICA RETANGULAR, EM CONCRETO PRÉ-MOLDADO, FUNDO COM BRITA, DIMENSÕES INTERNAS: 0,4X0,4X0,4 M. AF_05/2018</t>
  </si>
  <si>
    <t>CAIXA ENTERRADA ELÉTRICA RETANGULAR, EM CONCRETO PRÉ-MOLDADO, FUNDO COM BRITA, DIMENSÕES INTERNAS: 0,6X0,6X0,5 M. AF_05/2018</t>
  </si>
  <si>
    <t>CAIXA ENTERRADA ELÉTRICA RETANGULAR, EM CONCRETO PRÉ-MOLDADO, FUNDO COM BRITA, DIMENSÕES INTERNAS: 0,8X0,8X0,5 M. AF_05/2018</t>
  </si>
  <si>
    <t>CAIXA ENTERRADA ELÉTRICA RETANGULAR, EM CONCRETO PRÉ-MOLDADO, FUNDO COM BRITA, DIMENSÕES INTERNAS: 1X1X0,5 M. AF_05/2018</t>
  </si>
  <si>
    <t>CAIXA ENTERRADA ELÉTRICA RETANGULAR, EM ALVENARIA COM TIJOLOS CERÂMICOS MACIÇOS, FUNDO COM BRITA, DIMENSÕES INTERNAS: 0,3X0,3X0,3 M. AF_05/2018</t>
  </si>
  <si>
    <t>CAIXA ENTERRADA ELÉTRICA RETANGULAR, EM ALVENARIA COM TIJOLOS CERÂMICOS MACIÇOS, FUNDO COM BRITA, DIMENSÕES INTERNAS: 0,4X0,4X0,4 M. AF_05/2018</t>
  </si>
  <si>
    <t>CAIXA ENTERRADA ELÉTRICA RETANGULAR, EM ALVENARIA COM TIJOLOS CERÂMICOS MACIÇOS, FUNDO COM BRITA, DIMENSÕES INTERNAS: 0,6X0,6X0,6 M. AF_05/2018</t>
  </si>
  <si>
    <t>CAIXA ENTERRADA ELÉTRICA RETANGULAR, EM ALVENARIA COM TIJOLOS CERÂMICOS MACIÇOS, FUNDO COM BRITA, DIMENSÕES INTERNAS: 0,8X0,8X0,6 M. AF_05/2018</t>
  </si>
  <si>
    <t>CAIXA ENTERRADA ELÉTRICA RETANGULAR, EM ALVENARIA COM TIJOLOS CERÂMICOS MACIÇOS, FUNDO COM BRITA, DIMENSÕES INTERNAS: 1X1X0,6 M. AF_05/2018</t>
  </si>
  <si>
    <t>CAIXA ENTERRADA ELÉTRICA RETANGULAR, EM ALVENARIA COM BLOCOS DE CONCRETO, FUNDO COM BRITA, DIMENSÕES INTERNAS: 0,4X0,4X0,4 M. AF_05/2018</t>
  </si>
  <si>
    <t>CAIXA ENTERRADA ELÉTRICA RETANGULAR, EM ALVENARIA COM BLOCOS DE CONCRETO, FUNDO COM BRITA, DIMENSÕES INTERNAS: 0,6X0,6X0,6 M. AF_05/2018</t>
  </si>
  <si>
    <t>CAIXA ENTERRADA ELÉTRICA RETANGULAR, EM ALVENARIA COM BLOCOS DE CONCRETO, FUNDO COM BRITA, DIMENSÕES INTERNAS: 0,8X0,8X0,6 M. AF_05/2018</t>
  </si>
  <si>
    <t>CAIXA ENTERRADA ELÉTRICA RETANGULAR, EM ALVENARIA COM BLOCOS DE CONCRETO, FUNDO COM BRITA, DIMENSÕES INTERNAS: 1X1X0,6 M. AF_05/2018</t>
  </si>
  <si>
    <t>SUPORTE PARA TRANSFORMADOR EM POSTE DE CONCRETO CIRCULAR</t>
  </si>
  <si>
    <t>73857/1</t>
  </si>
  <si>
    <t>TRANSFORMADOR DISTRIBUICAO  75KVA TRIFASICO 60HZ CLASSE 15KV IMERSO EM ÓLEO MINERAL FORNECIMENTO E INSTALACAO</t>
  </si>
  <si>
    <t>73857/2</t>
  </si>
  <si>
    <t>TRANSFORMADOR DISTRIBUICAO  112,5KVA TRIFASICO 60HZ CLASSE 15KV IMERSO EM ÓLEO MINERAL FORNECIMENTO E INSTALACAO</t>
  </si>
  <si>
    <t>73857/3</t>
  </si>
  <si>
    <t>TRANSFORMADOR DISTRIBUICAO  150KVA TRIFASICO 60HZ CLASSE 15KV IMERSO EM ÓLEO MINERAL FORNECIMENTO E INSTALACAO</t>
  </si>
  <si>
    <t>73857/4</t>
  </si>
  <si>
    <t>TRANSFORMADOR DISTRIBUICAO  225KVA TRIFASICO 60HZ CLASSE 15KV IMERSO EM ÓLEO MINERAL FORNECIMENTO E INSTALACAO</t>
  </si>
  <si>
    <t>73857/5</t>
  </si>
  <si>
    <t>TRANSFORMADOR DISTRIBUICAO  300KVA TRIFASICO 60HZ CLASSE 15KV IMERSO EM ÓLEO MINERAL FORNECIMENTO E INSTALACAO</t>
  </si>
  <si>
    <t>73857/6</t>
  </si>
  <si>
    <t>TRANSFORMADOR DISTRIBUICAO  500KVA TRIFASICO 60HZ CLASSE 15KV IMERSO EM ÓLEO MINERAL FORNECIMENTO E INSTALACAO</t>
  </si>
  <si>
    <t>73857/7</t>
  </si>
  <si>
    <t>TRANSFORMADOR DISTRIBUICAO  30KVA TRIFASICO 60HZ CLASSE 15KV IMERSO EM ÓLEO MINERAL FORNECIMENTO E INSTALACAO</t>
  </si>
  <si>
    <t>73857/8</t>
  </si>
  <si>
    <t>TRANSFORMADOR DISTRIBUICAO  45KVA TRIFASICO 60HZ CLASSE 15KV IMERSO EM ÓLEO MINERAL FORNECIMENTO E INSTALACAO</t>
  </si>
  <si>
    <t>73857/9</t>
  </si>
  <si>
    <t>TRANSFORMADOR DISTRIBUICAO  750KVA TRIFASICO 60HZ CLASSE 15KV IMERSO EM ÓLEO MINERAL FORNECIMENTO E INSTALACAO</t>
  </si>
  <si>
    <t>73857/10</t>
  </si>
  <si>
    <t>TRANSFORMADOR DISTRIBUICAO  1000KVA TRIFASICO 60HZ CLASSE 15KV IMERSO EM ÓLEO MINERAL FORNECIMENTO E INSTALACAO</t>
  </si>
  <si>
    <t>CHAVE DE BOIA AUTOMÁTICA SUPERIOR 10A/250V - FORNECIMENTO E INSTALACAO</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</si>
  <si>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</si>
  <si>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</si>
  <si>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</si>
  <si>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</si>
  <si>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</si>
  <si>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</si>
  <si>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</si>
  <si>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</si>
  <si>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BOMBA CENTRIFUGA C/ MOTOR ELETRICO TRIFASICO 1CV</t>
  </si>
  <si>
    <t>BOMBA SUBMERSIVEL ELETRICA, TRIFASICA, POTÊNCIA 3,75 HP, DIAMETRO DO ROTOR 90 MM SEMIABERTO, BOCAL DE SAIDA DIAMETRO DE 2 POLEGADAS, HM/Q = 5 M / 61,2 M3/H A 25,5 M / 3,6 M3/H</t>
  </si>
  <si>
    <t>BOMBA RECALQUE D'AGUA TRIFASICA 10,0 HP</t>
  </si>
  <si>
    <t>BOMBA RECALQUE D'AGUA TRIFASICA 3,0 HP</t>
  </si>
  <si>
    <t>BOMBA RECALQUE D'AGUA DE ESTAGIOS TRIFASICA 2,0 HP</t>
  </si>
  <si>
    <t>BOMBA RECALQUE D'AGUA TRIFASICA 1,5HP</t>
  </si>
  <si>
    <t>BOMBA RECALQUE D'AGUA TRIFASICA 0,5 HP</t>
  </si>
  <si>
    <t>BOMBA RECALQUE D'AGUA PREDIO 6 A 10 PAVTOS - 2UD</t>
  </si>
  <si>
    <t>BOMBA RECALQUE D'AGUA PREDIO 3 A 5 PAVTOS - 2UD</t>
  </si>
  <si>
    <t>TAMPA DE CONCRETO ARMADO 60X60X5CM PARA CAIXA</t>
  </si>
  <si>
    <t>CAIXA ENTERRADA HIDRÁULICA RETANGULAR, EM CONCRETO PRÉ-MOLDADO, DIMENSÕES INTERNAS: 0,3X0,3X0,3 M. AF_05/2018</t>
  </si>
  <si>
    <t>CAIXA ENTERRADA HIDRÁULICA RETANGULAR, EM CONCRETO PRÉ-MOLDADO, DIMENSÕES INTERNAS: 0,4X0,4X0,4 M. AF_05/2018</t>
  </si>
  <si>
    <t>CAIXA ENTERRADA HIDRÁULICA RETANGULAR, EM CONCRETO PRÉ-MOLDADO, DIMENSÕES INTERNAS: 0,6X0,6X0,5 M. AF_05/2018</t>
  </si>
  <si>
    <t>CAIXA ENTERRADA HIDRÁULICA RETANGULAR, EM CONCRETO PRÉ-MOLDADO, DIMENSÕES INTERNAS: 0,8X0,8X0,5 M. AF_05/2018</t>
  </si>
  <si>
    <t>CAIXA ENTERRADA HIDRÁULICA RETANGULAR EM ALVENARIA COM TIJOLOS CERÂMICOS MACIÇOS, DIMENSÕES INTERNAS: 0,3X0,3X0,3 M PARA REDE DE ESGOTO. AF_05/2018</t>
  </si>
  <si>
    <t>CAIXA ENTERRADA HIDRÁULICA RETANGULAR EM ALVENARIA COM TIJOLOS CERÂMICOS MACIÇOS, DIMENSÕES INTERNAS: 0,4X0,4X0,4 M PARA REDE DE ESGOTO. AF_05/2018</t>
  </si>
  <si>
    <t>CAIXA ENTERRADA HIDRÁULICA RETANGULAR EM ALVENARIA COM TIJOLOS CERÂMICOS MACIÇOS, DIMENSÕES INTERNAS: 0,6X0,6X0,6 M PARA REDE DE ESGOTO. AF_05/2018</t>
  </si>
  <si>
    <t>CAIXA ENTERRADA HIDRÁULICA RETANGULAR EM ALVENARIA COM TIJOLOS CERÂMICOS MACIÇOS, DIMENSÕES INTERNAS: 0,8X0,8X0,6 M PARA REDE DE ESGOTO. AF_05/2018</t>
  </si>
  <si>
    <t>CAIXA ENTERRADA HIDRÁULICA RETANGULAR EM ALVENARIA COM TIJOLOS CERÂMICOS MACIÇOS, DIMENSÕES INTERNAS: 1X1X0,6 M PARA REDE DE ESGOTO. AF_05/2018</t>
  </si>
  <si>
    <t>CAIXA ENTERRADA HIDRÁULICA RETANGULAR, EM ALVENARIA COM BLOCOS DE CONCRETO, DIMENSÕES INTERNAS: 0,4X0,4X0,4 M PARA REDE DE ESGOTO. AF_05/2018</t>
  </si>
  <si>
    <t>CAIXA ENTERRADA HIDRÁULICA RETANGULAR, EM ALVENARIA COM BLOCOS DE CONCRETO, DIMENSÕES INTERNAS: 0,6X0,6X0,6 M PARA REDE DE ESGOTO. AF_05/2018</t>
  </si>
  <si>
    <t>CAIXA ENTERRADA HIDRÁULICA RETANGULAR, EM ALVENARIA COM BLOCOS DE CONCRETO, DIMENSÕES INTERNAS: 0,8X0,8X0,6 M PARA REDE DE ESGOTO. AF_05/2018</t>
  </si>
  <si>
    <t>CAIXA ENTERRADA HIDRÁULICA RETANGULAR, EM ALVENARIA COM BLOCOS DE CONCRETO, DIMENSÕES INTERNAS: 1X1X0,6 M PARA REDE DE ESGOTO. AF_05/2018</t>
  </si>
  <si>
    <t>CAIXA DE GORDURA SIMPLES, CIRCULAR, EM CONCRETO PRÉ-MOLDADO, DIÂMETRO INTERNO = 0,4 M, ALTURA INTERNA = 0,4 M. AF_05/2018</t>
  </si>
  <si>
    <t>CAIXA DE GORDURA SIMPLES (CAPACIDADE: 36L), RETANGULAR, EM ALVENARIA COM TIJOLOS CERÂMICOS MACIÇOS, DIMENSÕES INTERNAS = 0,2X0,4 M, ALTURA INTERNA = 0,8 M. AF_05/2018</t>
  </si>
  <si>
    <t>CAIXA DE GORDURA DUPLA (CAPACIDADE: 126 L), RETANGULAR, EM ALVENARIA COM TIJOLOS CERÂMICOS MACIÇOS, DIMENSÕES INTERNAS = 0,4X0,7 M, ALTURA INTERNA = 0,8 M. AF_05/2018</t>
  </si>
  <si>
    <t>CAIXA DE GORDURA ESPECIAL (CAPACIDADE: 312 L - PARA ATÉ 146 PESSOAS SERVIDAS NO PICO), RETANGULAR, EM ALVENARIA COM TIJOLOS CERÂMICOS MACIÇOS, DIMENSÕES INTERNAS = 0,4X1,2 M, ALTURA INTERNA = 1 M. AF_05/2018</t>
  </si>
  <si>
    <t>CAIXA DE GORDURA SIMPLES (CAPACIDADE: 36 L), RETANGULAR, EM ALVENARIA COM BLOCOS DE CONCRETO, DIMENSÕES INTERNAS = 0,2X0,4 M, ALTURA INTERNA = 0,8 M. AF_05/2018</t>
  </si>
  <si>
    <t>CAIXA DE GORDURA DUPLA (CAPACIDADE: 126 L), RETANGULAR, EM ALVENARIA COM BLOCOS DE CONCRETO, DIMENSÕES INTERNAS = 0,4X0,7 M, ALTURA INTERNA = 0,8 M. AF_05/2018</t>
  </si>
  <si>
    <t>CAIXA ENTERRADA HIDRÁULICA RETANGULAR EM ALVENARIA COM TIJOLOS CERÂMICOS MACIÇOS, DIMENSÕES INTERNAS: 0,3X0,3X0,3 M PARA REDE DE DRENAGEM. AF_05/2018</t>
  </si>
  <si>
    <t>CAIXA ENTERRADA HIDRÁULICA RETANGULAR EM ALVENARIA COM TIJOLOS CERÂMICOS MACIÇOS, DIMENSÕES INTERNAS: 0,4X0,4X0,4 M PARA REDE DE DRENAGEM. AF_05/2018</t>
  </si>
  <si>
    <t>CAIXA ENTERRADA HIDRÁULICA RETANGULAR EM ALVENARIA COM TIJOLOS CERÂMICOS MACIÇOS, DIMENSÕES INTERNAS: 0,6X0,6X0,6 M PARA REDE DE DRENAGEM. AF_05/2018</t>
  </si>
  <si>
    <t>CAIXA ENTERRADA HIDRÁULICA RETANGULAR EM ALVENARIA COM TIJOLOS CERÂMICOS MACIÇOS, DIMENSÕES INTERNAS: 0,8X0,8X0,6 M PARA REDE DE DRENAGEM. AF_05/2018</t>
  </si>
  <si>
    <t>CAIXA ENTERRADA HIDRÁULICA RETANGULAR EM ALVENARIA COM TIJOLOS CERÂMICOS MACIÇOS, DIMENSÕES INTERNAS: 1X1X0,6 M PARA REDE DE DRENAGEM. AF_05/2018</t>
  </si>
  <si>
    <t>CAIXA ENTERRADA HIDRÁULICA RETANGULAR, EM ALVENARIA COM BLOCOS DE CONCRETO, DIMENSÕES INTERNAS: 0,4X0,4X0,4 M PARA REDE DE DRENAGEM. AF_05/2018</t>
  </si>
  <si>
    <t>CAIXA ENTERRADA HIDRÁULICA RETANGULAR, EM ALVENARIA COM BLOCOS DE CONCRETO, DIMENSÕES INTERNAS: 0,6X0,6X0,6 M PARA REDE DE DRENAGEM. AF_05/2018</t>
  </si>
  <si>
    <t>CAIXA ENTERRADA HIDRÁULICA RETANGULAR, EM ALVENARIA COM BLOCOS DE CONCRETO, DIMENSÕES INTERNAS: 0,8X0,8X0,6 M PARA REDE DE DRENAGEM. AF_05/2018</t>
  </si>
  <si>
    <t>CAIXA ENTERRADA HIDRÁULICA RETANGULAR, EM ALVENARIA COM BLOCOS DE CONCRETO, DIMENSÕES INTERNAS: 1X1X0,6 M PARA REDE DE DRENAGEM. AF_05/2018</t>
  </si>
  <si>
    <t>TAMPA EM CONCRETO ARMADO 60X60X5CM P/CX INSPECAO/FOSSA SEPTICA</t>
  </si>
  <si>
    <t>TANQUE SÉPTICO CIRCULAR, EM CONCRETO PRÉ-MOLDADO, DIÂMETRO INTERNO = 1,10 M, ALTURA INTERNA = 2,50 M, VOLUME ÚTIL: 2138,2 L (PARA 5 CONTRIBUINTES). AF_05/2018</t>
  </si>
  <si>
    <t>TANQUE SÉPTICO CIRCULAR, EM CONCRETO PRÉ-MOLDADO, DIÂMETRO INTERNO = 1,40 M, ALTURA INTERNA = 2,50 M, VOLUME ÚTIL: 3463,6 L (PARA 13 CONTRIBUINTES). AF_05/2018</t>
  </si>
  <si>
    <t>TANQUE SÉPTICO CIRCULAR, EM CONCRETO PRÉ-MOLDADO, DIÂMETRO INTERNO = 1,88 M, ALTURA INTERNA = 2,50 M, VOLUME ÚTIL: 6245,8 L (PARA 32 CONTRIBUINTES). AF_05/2018</t>
  </si>
  <si>
    <t>TANQUE SÉPTICO CIRCULAR, EM CONCRETO PRÉ-MOLDADO, DIÂMETRO INTERNO = 2,38 M, ALTURA INTERNA = 2,50 M, VOLUME ÚTIL: 10009,8 L (PARA 69 CONTRIBUINTES). AF_05/2018</t>
  </si>
  <si>
    <t>TANQUE SÉPTICO CIRCULAR, EM CONCRETO PRÉ-MOLDADO, DIÂMETRO INTERNO = 2,38 M, ALTURA INTERNA = 3,0 M, VOLUME ÚTIL: 12234,2 L (PARA 86 CONTRIBUINTES). AF_05/2018</t>
  </si>
  <si>
    <t>TANQUE SÉPTICO CIRCULAR, EM CONCRETO PRÉ-MOLDADO, DIÂMETRO INTERNO = 2,88 M, ALTURA INTERNA = 2,50 M, VOLUME ÚTIL: 14657,4 L (PARA 105 CONTRIBUINTES). AF_05/2018</t>
  </si>
  <si>
    <t>FILTRO ANAERÓBIO CIRCULAR, EM CONCRETO PRÉ-MOLDADO, DIÂMETRO INTERNO = 1,10 M, ALTURA INTERNA = 1,50 M, VOLUME ÚTIL: 1140,4 L (PARA 5 CONTRIBUINTES). AF_05/2018</t>
  </si>
  <si>
    <t>FILTRO ANAERÓBIO CIRCULAR, EM CONCRETO PRÉ-MOLDADO, DIÂMETRO INTERNO = 1,88 M, ALTURA INTERNA = 1,50 M, VOLUME ÚTIL: 3331,1 L (PARA 19 CONTRIBUINTES). AF_05/2018</t>
  </si>
  <si>
    <t>FILTRO ANAERÓBIO CIRCULAR, EM CONCRETO PRÉ-MOLDADO, DIÂMETRO INTERNO = 2,38 M, ALTURA INTERNA = 1,50 M, VOLUME ÚTIL: 5338,6 L (PARA 34 CONTRIBUINTES). AF_05/2018</t>
  </si>
  <si>
    <t>FILTRO ANAERÓBIO CIRCULAR, EM CONCRETO PRÉ-MOLDADO, DIÂMETRO INTERNO = 2,88 M, ALTURA INTERNA = 1,50 M, VOLUME ÚTIL: 7817,3 L (PARA 75 CONTRIBUINTES). AF_05/2018</t>
  </si>
  <si>
    <t>SUMIDOURO CIRCULAR, EM CONCRETO PRÉ-MOLDADO, DIÂMETRO INTERNO = 1,88 M, ALTURA INTERNA = 2,00 M, ÁREA DE INFILTRAÇÃO: 13,1 M² (PARA 5 CONTRIBUINTES). AF_05/2018</t>
  </si>
  <si>
    <t>SUMIDOURO CIRCULAR, EM CONCRETO PRÉ-MOLDADO, DIÂMETRO INTERNO = 2,38 M, ALTURA INTERNA = 2,50 M, ÁREA DE INFILTRAÇÃO: 21,3 M² (PARA 8 CONTRIBUINTES). AF_05/2018</t>
  </si>
  <si>
    <t>SUMIDOURO CIRCULAR, EM CONCRETO PRÉ-MOLDADO, DIÂMETRO INTERNO = 2,38 M, ALTURA INTERNA = 3,0 M, ÁREA DE INFILTRAÇÃO: 25 M² (PARA 10 CONTRIBUINTES). AF_05/2018</t>
  </si>
  <si>
    <t>SUMIDOURO CIRCULAR, EM CONCRETO PRÉ-MOLDADO, DIÂMETRO INTERNO = 2,88 M, ALTURA INTERNA = 3,0 M, ÁREA DE INFILTRAÇÃO: 31,4 M² (PARA 12 CONTRIBUINTES). AF_05/2018</t>
  </si>
  <si>
    <t>TANQUE SÉPTICO RETANGULAR, EM ALVENARIA COM TIJOLOS CERÂMICOS MACIÇOS, DIMENSÕES INTERNAS: 1,0 X 2,0 X 1,4 M, VOLUME ÚTIL: 2000 L (PARA 5 CONTRIBUINTES). AF_05/2018</t>
  </si>
  <si>
    <t>TANQUE SÉPTICO RETANGULAR, EM ALVENARIA COM TIJOLOS CERÂMICOS MACIÇOS, DIMENSÕES INTERNAS: 1,2 X 2,4 X 1,6 M, VOLUME ÚTIL: 3456 L (PARA 13 CONTRIBUINTES). AF_05/2018</t>
  </si>
  <si>
    <t>TANQUE SÉPTICO RETANGULAR, EM ALVENARIA COM TIJOLOS CERÂMICOS MACIÇOS, DIMENSÕES INTERNAS: 1,4 X 3,2 X 1,8 M, VOLUME ÚTIL: 6272 L (PARA 32 CONTRIBUINTES). AF_05/2018</t>
  </si>
  <si>
    <t>TANQUE SÉPTICO RETANGULAR, EM ALVENARIA COM TIJOLOS CERÂMICOS MACIÇOS, DIMENSÕES INTERNAS: 1,6 X 4,4 X 1,8 M, VOLUME ÚTIL: 9856 L (PARA 68 CONTRIBUINTES). AF_05/2018</t>
  </si>
  <si>
    <t>TANQUE SÉPTICO RETANGULAR, EM ALVENARIA COM TIJOLOS CERÂMICOS MACIÇOS, DIMENSÕES INTERNAS: 1,6 X 4,8 X 2,0 M, VOLUME ÚTIL: 12288 L (PARA 86 CONTRIBUINTES). AF_05/2018</t>
  </si>
  <si>
    <t>TANQUE SÉPTICO RETANGULAR, EM ALVENARIA COM TIJOLOS CERÂMICOS MACIÇOS, DIMENSÕES INTERNAS: 1,6 X 4,6 X 2,4 M, VOLUME ÚTIL: 14720 L (PARA 105 CONTRIBUINTES). AF_05/2018</t>
  </si>
  <si>
    <t>FILTRO ANAERÓBIO RETANGULAR, EM ALVENARIA COM TIJOLOS CERÂMICOS MACIÇOS, DIMENSÕES INTERNAS: 0,8 X 1,2 X 1,67 M, VOLUME ÚTIL: 1152 L (PARA 5 CONTRIBUINTES). AF_05/2018</t>
  </si>
  <si>
    <t>FILTRO ANAERÓBIO RETANGULAR, EM ALVENARIA COM TIJOLOS CERÂMICOS MACIÇOS, DIMENSÕES INTERNAS: 1,2 X 1,8 X 1,67 M, VOLUME ÚTIL: 2592 L (PARA 13 CONTRIBUINTES). AF_05/2018</t>
  </si>
  <si>
    <t>FILTRO ANAERÓBIO RETANGULAR, EM ALVENARIA COM TIJOLOS CERÂMICOS MACIÇOS, DIMENSÕES INTERNAS: 1,4 X 3,0 X 1,67 M, VOLUME ÚTIL: 5040 L (PARA 32 CONTRIBUINTES). AF_05/2018</t>
  </si>
  <si>
    <t>FILTRO ANAERÓBIO RETANGULAR, EM ALVENARIA COM TIJOLOS CERÂMICOS MACIÇOS, DIMENSÕES INTERNAS: 1,4 X 4,2 X 1,67 M, VOLUME ÚTIL: 7056 L (PARA 67 CONTRIBUINTES). AF_05/2018</t>
  </si>
  <si>
    <t>FILTRO ANAERÓBIO RETANGULAR, EM ALVENARIA COM TIJOLOS CERÂMICOS MACIÇOS, DIMENSÕES INTERNAS: 1,6 X 4,6 X 1,67 M, VOLUME ÚTIL: 8832 L (PARA 84 CONTRIBUINTES). AF_05/2018</t>
  </si>
  <si>
    <t>FILTRO ANAERÓBIO RETANGULAR, EM ALVENARIA COM TIJOLOS CERÂMICOS MACIÇOS, DIMENSÕES INTERNAS: 1,6 X 5,6 X 1,67 M, VOLUME ÚTIL: 10752 L (PARA 103 CONTRIBUINTES). AF_05/2018</t>
  </si>
  <si>
    <t>SUMIDOURO RETANGULAR, EM ALVENARIA COM TIJOLOS CERÂMICOS MACIÇOS, DIMENSÕES INTERNAS: 0,8 X 1,4 X 3,0 M, ÁREA DE INFILTRAÇÃO: 13,2 M² (PARA 5 CONTRIBUINTES). AF_05/2018</t>
  </si>
  <si>
    <t>SUMIDOURO RETANGULAR, EM ALVENARIA COM TIJOLOS CERÂMICOS MACIÇOS, DIMENSÕES INTERNAS: 1,0 X 3,0 X 3,0 M, ÁREA DE INFILTRAÇÃO: 25 M² (PARA 10 CONTRIBUINTES). AF_05/2018</t>
  </si>
  <si>
    <t>SUMIDOURO RETANGULAR, EM ALVENARIA COM TIJOLOS CERÂMICOS MACIÇOS, DIMENSÕES INTERNAS: 1,6 X 3,4 X 3,0 M, ÁREA DE INFILTRAÇÃO: 32,9 M² (PARA 13 CONTRIBUINTES). AF_05/2018</t>
  </si>
  <si>
    <t>SUMIDOURO RETANGULAR, EM ALVENARIA COM TIJOLOS CERÂMICOS MACIÇOS, DIMENSÕES INTERNAS: 1,6 X 5,8 X 3,0 M, ÁREA DE INFILTRAÇÃO: 50 M² (PARA 20 CONTRIBUINTES). AF_05/2018</t>
  </si>
  <si>
    <t>TANQUE SÉPTICO RETANGULAR, EM ALVENARIA COM BLOCOS DE CONCRETO, DIMENSÕES INTERNAS: 1,0 X 2,0 X 1,4 M, VOLUME ÚTIL: 2000 L (PARA 5 CONTRIBUINTES). AF_05/2018</t>
  </si>
  <si>
    <t>TANQUE SÉPTICO RETANGULAR, EM ALVENARIA COM BLOCOS DE CONCRETO, DIMENSÕES INTERNAS: 1,2 X 2,4 X 1,6 M, VOLUME ÚTIL: 3456 L (PARA 13 CONTRIBUINTES). AF_05/2018</t>
  </si>
  <si>
    <t>TANQUE SÉPTICO RETANGULAR, EM ALVENARIA COM BLOCOS DE CONCRETO, DIMENSÕES INTERNAS: 1,4 X 3,2 X 1,8 M, VOLUME ÚTIL: 6272 L (PARA 32 CONTRIBUINTES). AF_05/2018</t>
  </si>
  <si>
    <t>TANQUE SÉPTICO RETANGULAR, EM ALVENARIA COM BLOCOS DE CONCRETO, DIMENSÕES INTERNAS: 1,6 X 4,4 X 1,8 M, VOLUME ÚTIL: 9856 L (PARA 68 CONTRIBUINTES). AF_05/2018</t>
  </si>
  <si>
    <t>TANQUE SÉPTICO RETANGULAR, EM ALVENARIA COM BLOCOS DE CONCRETO, DIMENSÕES INTERNAS: 1,6 X 4,8 X 2,0 M, VOLUME ÚTIL: 12288 L (PARA 86 CONTRIBUINTES). AF_05/2018</t>
  </si>
  <si>
    <t>TANQUE SÉPTICO RETANGULAR, EM ALVENARIA COM BLOCOS DE CONCRETO, DIMENSÕES INTERNAS: 1,6 X 4,6 X 2,4 M, VOLUME ÚTIL: 14720 L (PARA 105 CONTRIBUINTES). AF_05/2018</t>
  </si>
  <si>
    <t>FILTRO ANAERÓBIO RETANGULAR, EM ALVENARIA COM BLOCOS DE CONCRETO, DIMENSÕES INTERNAS: 0,8 X 1,2 X 1,67 M, VOLUME ÚTIL: 1152 L (PARA 5 CONTRIBUINTES). AF_05/2018</t>
  </si>
  <si>
    <t>FILTRO ANAERÓBIO RETANGULAR, EM ALVENARIA COM BLOCOS DE CONCRETO, DIMENSÕES INTERNAS: 1,2 X 1,8 X 1,67 M, VOLUME ÚTIL: 2592 L (PARA 13 CONTRIBUINTES). AF_05/2018</t>
  </si>
  <si>
    <t>FILTRO ANAERÓBIO RETANGULAR, EM ALVENARIA COM BLOCOS DE CONCRETO, DIMENSÕES INTERNAS: 1,4 X 3,0 X 1,67 M, VOLUME ÚTIL: 5040 L (PARA 32 CONTRIBUINTES). AF_05/2018</t>
  </si>
  <si>
    <t>FILTRO ANAERÓBIO RETANGULAR, EM ALVENARIA COM BLOCOS DE CONCRETO, DIMENSÕES INTERNAS: 1,4 X 4,2 X 1,67 M, VOLUME ÚTIL: 7056 L (PARA 67 CONTRIBUINTES). AF_05/2018</t>
  </si>
  <si>
    <t>FILTRO ANAERÓBIO RETANGULAR, EM ALVENARIA COM BLOCOS DE CONCRETO, DIMENSÕES INTERNAS: 1,6 X 4,6 X 1,67 M, VOLUME ÚTIL: 8832 L (PARA 84 CONTRIBUINTES). AF_05/2018</t>
  </si>
  <si>
    <t>FILTRO ANAERÓBIO RETANGULAR, EM ALVENARIA COM BLOCOS DE CONCRETO, DIMENSÕES INTERNAS: 1,6 X 5,6 X 1,67 M, VOLUME ÚTIL: 10752 L (PARA 103 CONTRIBUINTES). AF_05/2018</t>
  </si>
  <si>
    <t>SUMIDOURO RETANGULAR, EM ALVENARIA COM BLOCOS DE CONCRETO, DIMENSÕES INTERNAS: 0,8 X 1,4 X 3,0 M, ÁREA DE INFILTRAÇÃO: 13,2 M² (PARA 5 CONTRIBUINTES). AF_05/2018</t>
  </si>
  <si>
    <t>SUMIDOURO RETANGULAR, EM ALVENARIA COM BLOCOS DE CONCRETO, DIMENSÕES INTERNAS: 1,0 X 3,0 X 3,0 M, ÁREA DE INFILTRAÇÃO: 25 M² (PARA 10 CONTRIBUINTES). AF_05/2018</t>
  </si>
  <si>
    <t>SUMIDOURO RETANGULAR, EM ALVENARIA COM BLOCOS DE CONCRETO, DIMENSÕES INTERNAS: 1,6 X 3,4 X 3,0 M, ÁREA DE INFILTRAÇÃO: 32,9 M² (PARA 13 CONTRIBUINTES). AF_05/2018</t>
  </si>
  <si>
    <t>SUMIDOURO RETANGULAR, EM ALVENARIA COM BLOCOS DE CONCRETO, DIMENSÕES INTERNAS: 1,6 X 5,8 X 3,0 M, ÁREA DE INFILTRAÇÃO: 50 M² (PARA 20 CONTRIBUINTES). AF_05/2018</t>
  </si>
  <si>
    <t>CAIXA DE GORDURA ESPECIAL (CAPACIDADE: 312 L - PARA ATÉ 146 PESSOAS SERVIDAS NO PICO), RETANGULAR, EM ALVENARIA COM BLOCOS DE CONCRETO, DIMENSÕES INTERNAS = 0,4X1,2 M, ALTURA INTERNA = 1 M. AF_05/2018</t>
  </si>
  <si>
    <t>CAIXA DE GORDURA PEQUENA (CAPACIDADE: 19 L), CIRCULAR, EM PVC, DIÂMETRO INTERNO= 0,3 M. AF_05/2018</t>
  </si>
  <si>
    <t>CAIXA DE INSPEÇÃO PARA ATERRAMENTO, CIRCULAR, EM POLIETILENO, DIÂMETRO INTERNO = 0,3 M. AF_05/2018</t>
  </si>
  <si>
    <t>TIL (TUBO DE INSPEÇÃO E LIMPEZA) CONDOMINIAL PARA ESGOTO, EM PVC, DN 100 X 100 MM. AF_05/2018</t>
  </si>
  <si>
    <t>TAMPA CIRCULAR PARA ESGOTO E DRENAGEM, EM FERRO FUNDIDO, DIÂMETRO INTERNO = 0,6 M. AF_05/2018</t>
  </si>
  <si>
    <t>TAMPA CIRCULAR PARA ESGOTO E DRENAGEM, EM CONCRETO PRÉ-MOLDADO, DIÂMETRO INTERNO = 0,6 M. AF_05/2018</t>
  </si>
  <si>
    <t>CAIXA DE AREIA 40X40X40CM EM ALVENARIA - EXECUÇÃO</t>
  </si>
  <si>
    <t>73826/1</t>
  </si>
  <si>
    <t>INSTALACAO DE COMPRESSOR DE AR, POTENCIA &lt;= 5 CV</t>
  </si>
  <si>
    <t>73826/2</t>
  </si>
  <si>
    <t>INSTALACAO DE COMPRESSOR DE AR, POTENCIA &gt; 5 E &lt;= 10 CV</t>
  </si>
  <si>
    <t>73834/1</t>
  </si>
  <si>
    <t>INSTALACAO DE CONJ.MOTO BOMBA SUBMERSIVEL ATE 10 CV</t>
  </si>
  <si>
    <t>73834/2</t>
  </si>
  <si>
    <t>INSTALACAO DE CONJ.MOTO BOMBA SUBMERSIVEL DE 11 A 25 CV</t>
  </si>
  <si>
    <t>73834/3</t>
  </si>
  <si>
    <t>INSTALACAO DE CONJ.MOTO BOMBA SUBMERSIVEL DE 26 A 50 CV</t>
  </si>
  <si>
    <t>73834/4</t>
  </si>
  <si>
    <t>INSTALACAO DE CONJ.MOTO BOMBA SUBMERSIVEL DE 51 A 100 CV</t>
  </si>
  <si>
    <t>73835/1</t>
  </si>
  <si>
    <t>INSTALACAO DE CONJ.MOTO BOMBA VERTICAL POT &lt;= 100 CV</t>
  </si>
  <si>
    <t>73835/2</t>
  </si>
  <si>
    <t>INSTALACAO DE CONJ.MOTO BOMBA VERTICAL 100 &lt; POT &lt;= 200 CV</t>
  </si>
  <si>
    <t>73835/3</t>
  </si>
  <si>
    <t>INSTALACAO DE CONJ.MOTO BOMBA VERTICAL 200 &lt; POT &lt;= 300 CV</t>
  </si>
  <si>
    <t>73836/1</t>
  </si>
  <si>
    <t>INSTALACAO DE CONJ.MOTO BOMBA HORIZONTAL ATE 10 CV</t>
  </si>
  <si>
    <t>73836/2</t>
  </si>
  <si>
    <t>INSTALACAO DE CONJ.MOTO BOMBA HORIZONTAL DE 12,5 A 25 CV</t>
  </si>
  <si>
    <t>73836/3</t>
  </si>
  <si>
    <t>INSTALACAO DE CONJ.MOTO BOMBA HORIZONTAL DE 30 A 75 CV</t>
  </si>
  <si>
    <t>73836/4</t>
  </si>
  <si>
    <t>INSTALACAO DE CONJ.MOTO BOMBA HORIZONTAL DE 100 A 150 CV</t>
  </si>
  <si>
    <t>73837/1</t>
  </si>
  <si>
    <t>INSTALACAO DE CONJ.MOTO BOMBA SUBMERSO ATE 5 CV</t>
  </si>
  <si>
    <t>73837/2</t>
  </si>
  <si>
    <t>INSTALACAO DE CONJ.MOTO BOMBA SUBMERSO DE 6 A 25 CV</t>
  </si>
  <si>
    <t>73837/3</t>
  </si>
  <si>
    <t>INSTALACAO DE CONJ.MOTO BOMBA SUBMERSO DE 26 A 50 CV</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</si>
  <si>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</si>
  <si>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</si>
  <si>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</si>
  <si>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</si>
  <si>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</si>
  <si>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</si>
  <si>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</si>
  <si>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</si>
  <si>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MECANIZADA DE VALA COM PROF. ATÉ 1,5 M (MÉDIA ENTRE MONTANTE E JUSANTE/UMA COMPOSIÇÃO POR TRECHO), COM ESCAVADEIRA HIDRÁULICA (0,8 M3), LARG. DE 1,5 M A 2,5 M, EM SOLO DE 1A CATEGORIA, EM LOCAIS COM ALTO NÍVEL DE INTERFERÊNCIA. AF_01/2015</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</si>
  <si>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</si>
  <si>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</si>
  <si>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</si>
  <si>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</si>
  <si>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</si>
  <si>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</si>
  <si>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</si>
  <si>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</si>
  <si>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</si>
  <si>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</si>
  <si>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</si>
  <si>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</si>
  <si>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</si>
  <si>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</si>
  <si>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</si>
  <si>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</si>
  <si>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</si>
  <si>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</si>
  <si>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</si>
  <si>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</si>
  <si>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</si>
  <si>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ESCAVAÇÃO MANUAL DE VALA COM PROFUNDIDADE MENOR OU IGUAL A 1,30 M. AF_03/2016</t>
  </si>
  <si>
    <t>RETIRADA DE DIVISORIAS EM CHAPAS DE MADEIRA, COM MONTANTES METALICOS</t>
  </si>
  <si>
    <t>RECOLOCACAO DE PLACAS DIVISORIAS DE GRANILITE, CONSIDERANDO REAPROVEITAMENTO DO MATERIAL</t>
  </si>
  <si>
    <t>RECOLOCACAO DE DIVISORIAS TIPO CHAPAS OU TABUAS, EXCLUSIVE ENTARUGAMENTO, CONSIDERANDO REAPROVEITAMENTO DO MATERIAL</t>
  </si>
  <si>
    <t>RECOLOCACAO DE DIVISORIAS TIPO CHAPAS OU TABUAS, INCLUSIVE ENTARUGAMENTO, CONSIDERANDO REAPROVEITAMENTO DO MATERIAL</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</si>
  <si>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</si>
  <si>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</si>
  <si>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</si>
  <si>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</si>
  <si>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</si>
  <si>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</si>
  <si>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</si>
  <si>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73790/2</t>
  </si>
  <si>
    <t>REASSENTAMENTO DE PARALELEPIPEDO SOBRE COLCHAO DE PO DE PEDRA ESPESSURA 10CM, REJUNTADO COM BETUME E PEDRISCO, CONSIDERANDO APROVEITAMENTO DO PARALELEPIPEDO</t>
  </si>
  <si>
    <t>73790/4</t>
  </si>
  <si>
    <t>REASSENTAMENTO DE PARALELEPIPEDO SOBRE COLCHAO DE PO DE PEDRA ESPESSURA 10CM, REJUNTADO COM ARGAMASSA TRACO 1:3 (CIMENTO E AREIA), CONSIDERANDO APROVEITAMENTO DO PARALELEPIPEDO</t>
  </si>
  <si>
    <t>RECOMPOSICAO DE PAVIMENTACAO TIPO BLOKRET SOBRE COLCHAO DE AREIA COM REAPROVEITAMENTO DE MATERIAL</t>
  </si>
  <si>
    <t>83695/1</t>
  </si>
  <si>
    <t>REJUNTAMENTO PAVIMENTACAO PARALELEPIPEDO BETUME CASCALH INCL MATERIAIS</t>
  </si>
  <si>
    <t>RECOMPOSICAO DE REVESTIMENTO PRIMARIO MEDIDO P/ VOLUME COMPACTADO</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</si>
  <si>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</si>
  <si>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</si>
  <si>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</si>
  <si>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</si>
  <si>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</si>
  <si>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</si>
  <si>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</si>
  <si>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</si>
  <si>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</si>
  <si>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</si>
  <si>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</si>
  <si>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</si>
  <si>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</si>
  <si>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</si>
  <si>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</si>
  <si>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</si>
  <si>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</si>
  <si>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</si>
  <si>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</si>
  <si>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</si>
  <si>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73978/1</t>
  </si>
  <si>
    <t>PINTURA HIDROFUGANTE COM SILICONE SOBRE PISO CIMENTADO, UMA DEMAO</t>
  </si>
  <si>
    <t>APLICACAO DE VERNIZ POLIURETANO FOSCO SOBRE PISO DE PEDRAS DECORATIVAS, 3 DEMAOS</t>
  </si>
  <si>
    <t>POLIMENTO E ENCERAMENTO DE PISO EM MADEIRA</t>
  </si>
  <si>
    <t>CAIXA PARA RALO C OM GRELHA FOFO 135 KG DE ALV TIJOLO MACICO (7X10X20) PAREDES DE UMA VEZ (0.20 M) DE 0.90X1.20X1.50 M (EXTERNA) COM ARGAMASSA 1:4 CIMENTO:AREIA, BASE CONC FCK=10 MPA, EXCLUSIVE ESCAVACAO E REATERRO.</t>
  </si>
  <si>
    <t>REMOCAO DE VIDRO COMUM</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</si>
  <si>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</si>
  <si>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</si>
  <si>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</si>
  <si>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</si>
  <si>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
  </si>
  <si>
    <t>CASA GRUPO GERADOR / SUBESTAÇÃO</t>
  </si>
  <si>
    <t>ÍNDICE DE COMPOSIÇÕES ITUMBIARA - NOVAS</t>
  </si>
  <si>
    <t>Unidade:</t>
  </si>
  <si>
    <t>MAIO / 2021</t>
  </si>
  <si>
    <t>SUB-TOTAL</t>
  </si>
  <si>
    <t>CUSTO TOTAL DO ORÇAMENTO</t>
  </si>
  <si>
    <t>233,62 m²</t>
  </si>
  <si>
    <t>COBERTURA VISITANTES</t>
  </si>
  <si>
    <t>PROTEGIDA_COMPARTILHADA</t>
  </si>
  <si>
    <t>OBRA:</t>
  </si>
  <si>
    <t>RESUMO</t>
  </si>
  <si>
    <t>ITEM</t>
  </si>
  <si>
    <t>UNIDADE</t>
  </si>
  <si>
    <t xml:space="preserve"> </t>
  </si>
  <si>
    <t>GALPÃO</t>
  </si>
  <si>
    <t>UNID_ADMINISTRATIVA</t>
  </si>
  <si>
    <t>VISITA_ÍNTIMA</t>
  </si>
  <si>
    <t>UNID_CONTROLE</t>
  </si>
  <si>
    <t>COB_VISITANTES</t>
  </si>
  <si>
    <t>UNID_SERVIÇOS</t>
  </si>
  <si>
    <t>CASA_GRUPO_GERADOR</t>
  </si>
  <si>
    <t>CASA_MOTOR_BOMBA</t>
  </si>
  <si>
    <t>634,27m²</t>
  </si>
  <si>
    <t>SPDA/ATERRAMENTO</t>
  </si>
  <si>
    <t>SPDA/ATERRAMENTO (RESERVATÓRIO)</t>
  </si>
  <si>
    <t>Custo Direto Total (E) + (F) + (G):</t>
  </si>
  <si>
    <t>SINAPI – NOVEMBRO/2020 (ONERADA)</t>
  </si>
  <si>
    <t>PCI.818.01 - CUSTOS DE COMPOSIÇÕES ANALÍTICO                                                                      DATA DE EMISSÃO:16/12/2020 23:52:06         DATA DE RT: 15/12/2020</t>
  </si>
  <si>
    <t>ENCARGOS SOCIAIS SOBRE PREÇOS DA MÃO-DE-OBRA: 114,70%(HORA)   72,66%(MÊS)</t>
  </si>
  <si>
    <t>CAMPOS</t>
  </si>
  <si>
    <t>TRANSPORTE COMERCIAL DE MATERIAL BETUMINOSO</t>
  </si>
  <si>
    <t>FORNECIMENTO DE CM-30</t>
  </si>
  <si>
    <t>JANELA METÁLICA BASCULANTE 180X100 (JF1)</t>
  </si>
  <si>
    <t>JANELA METÁLICA BASCULANTE 300X40 (JF4)</t>
  </si>
  <si>
    <t>JANELA METÁLICA BASCULANTE 100X40 (JF5)</t>
  </si>
  <si>
    <t>nº</t>
  </si>
  <si>
    <t>nome</t>
  </si>
  <si>
    <t>meterial</t>
  </si>
  <si>
    <t>equipamento</t>
  </si>
  <si>
    <t>SERVIÇO EM TERRA/PAVIMENTAÇÃO</t>
  </si>
  <si>
    <t>ESGOTO SANITÁRIO</t>
  </si>
  <si>
    <t>JANELA METÁLICA BASCULANTE 160 X 120 (JF2)</t>
  </si>
  <si>
    <t>JANELA METÁLICA BASCULANTE 150X120 (JF3)</t>
  </si>
  <si>
    <t xml:space="preserve">DRENAGEM </t>
  </si>
  <si>
    <t>INST. TELEFÔNICA/CABEAMENTO ESTRUTURADO</t>
  </si>
  <si>
    <t>COTAÇÃO</t>
  </si>
  <si>
    <t xml:space="preserve">FORNECIMENTO DE EMULSÃO RR-2C </t>
  </si>
  <si>
    <t>BDI TOTAL:</t>
  </si>
  <si>
    <t>TOTAL GERAL:</t>
  </si>
  <si>
    <t>***DEMONSTRATIVO DOS BDI's ESTIMADOS NOS ORÇAMENTOS ONERADOS DE OBRAS CIVIS DA GOINFRA ***</t>
  </si>
  <si>
    <t>ACÓRDÃO 2.622/2013 – TCU – PLENÁRIO / PORTARIA 449/2015 PR-AGETOP</t>
  </si>
  <si>
    <t xml:space="preserve">1 -  BDI PARA OBRAS DE EDIFICAÇÕES </t>
  </si>
  <si>
    <t>Tributos</t>
  </si>
  <si>
    <t xml:space="preserve">  </t>
  </si>
  <si>
    <r>
      <t>Administração central</t>
    </r>
    <r>
      <rPr>
        <sz val="11"/>
        <color rgb="FF000000"/>
        <rFont val="Calibri"/>
        <family val="2"/>
        <scheme val="minor"/>
      </rPr>
      <t xml:space="preserve"> </t>
    </r>
    <r>
      <rPr>
        <vertAlign val="superscript"/>
        <sz val="14"/>
        <rFont val="Arial"/>
        <family val="2"/>
      </rPr>
      <t>(1)</t>
    </r>
  </si>
  <si>
    <r>
      <t xml:space="preserve">Lucro </t>
    </r>
    <r>
      <rPr>
        <vertAlign val="superscript"/>
        <sz val="14"/>
        <rFont val="Arial"/>
        <family val="2"/>
      </rPr>
      <t>(2)</t>
    </r>
  </si>
  <si>
    <r>
      <t xml:space="preserve">Despesas financeiras </t>
    </r>
    <r>
      <rPr>
        <vertAlign val="superscript"/>
        <sz val="14"/>
        <rFont val="Arial"/>
        <family val="2"/>
      </rPr>
      <t>(3)</t>
    </r>
  </si>
  <si>
    <r>
      <t xml:space="preserve">Seguros + Garantias </t>
    </r>
    <r>
      <rPr>
        <vertAlign val="superscript"/>
        <sz val="14"/>
        <rFont val="Arial"/>
        <family val="2"/>
      </rPr>
      <t>(4)</t>
    </r>
  </si>
  <si>
    <r>
      <t xml:space="preserve">Riscos </t>
    </r>
    <r>
      <rPr>
        <vertAlign val="superscript"/>
        <sz val="14"/>
        <rFont val="Arial"/>
        <family val="2"/>
      </rPr>
      <t>(5)</t>
    </r>
  </si>
  <si>
    <r>
      <t xml:space="preserve">ISS </t>
    </r>
    <r>
      <rPr>
        <vertAlign val="superscript"/>
        <sz val="14"/>
        <rFont val="Arial"/>
        <family val="2"/>
      </rPr>
      <t>(6)</t>
    </r>
  </si>
  <si>
    <t>ALÍQUOTA</t>
  </si>
  <si>
    <t>BASE DE CÁLCULO</t>
  </si>
  <si>
    <r>
      <t xml:space="preserve">PIS </t>
    </r>
    <r>
      <rPr>
        <vertAlign val="superscript"/>
        <sz val="14"/>
        <rFont val="Arial"/>
        <family val="2"/>
      </rPr>
      <t>(7)</t>
    </r>
  </si>
  <si>
    <r>
      <t>COFINS</t>
    </r>
    <r>
      <rPr>
        <b/>
        <sz val="14"/>
        <rFont val="Arial"/>
        <family val="2"/>
      </rPr>
      <t xml:space="preserve"> </t>
    </r>
    <r>
      <rPr>
        <vertAlign val="superscript"/>
        <sz val="14"/>
        <rFont val="Arial"/>
        <family val="2"/>
      </rPr>
      <t>(7)</t>
    </r>
  </si>
  <si>
    <r>
      <t xml:space="preserve">CPRB </t>
    </r>
    <r>
      <rPr>
        <vertAlign val="superscript"/>
        <sz val="14"/>
        <rFont val="Arial"/>
        <family val="2"/>
      </rPr>
      <t>(8)</t>
    </r>
  </si>
  <si>
    <r>
      <t xml:space="preserve">Resultado </t>
    </r>
    <r>
      <rPr>
        <b/>
        <vertAlign val="superscript"/>
        <sz val="14"/>
        <rFont val="Arial"/>
        <family val="2"/>
      </rPr>
      <t>(*)</t>
    </r>
  </si>
  <si>
    <t>BDI ESTIMADO</t>
  </si>
  <si>
    <t xml:space="preserve">2 – BDI REDUZIDO PARA OBRAS DE EDIFICAÇÕES – ITENS DE MERO FORNECIMENTO DE MATERIAIS E EQUIPAMENTOS </t>
  </si>
  <si>
    <t xml:space="preserve">               </t>
  </si>
  <si>
    <t>Resultado(*)</t>
  </si>
  <si>
    <t>BDI REDUZIDO ESTIMADO</t>
  </si>
  <si>
    <t>(1) Valores definidos a partir dos limites no Acórdão nº 2.622/2013  - TCU – Plenário. Valores médios.</t>
  </si>
  <si>
    <r>
      <t>(2) Valores definidos a partir dos limites definidos no Acórdão nº 2.622/2013  - TCU – Plenário. Valores adotados e praticados no mercado.( “</t>
    </r>
    <r>
      <rPr>
        <b/>
        <sz val="12"/>
        <rFont val="Arial"/>
        <family val="2"/>
      </rPr>
      <t xml:space="preserve"> ex ante</t>
    </r>
    <r>
      <rPr>
        <sz val="12"/>
        <rFont val="Arial"/>
        <family val="2"/>
      </rPr>
      <t xml:space="preserve"> ” )</t>
    </r>
  </si>
  <si>
    <t>(3) Valor calculado pela expressão matemática do acórdão 2.369/2011 – TCU – Plenário. (Foi utilizado para o cálculo a média da Taxa SELIC no período de 11/2019 a 10/2020)</t>
  </si>
  <si>
    <t xml:space="preserve">Onde: </t>
  </si>
  <si>
    <t>DF = taxa representativa das Despesas Financeiras;</t>
  </si>
  <si>
    <t>DU = Dias úteis.</t>
  </si>
  <si>
    <r>
      <t>(</t>
    </r>
    <r>
      <rPr>
        <sz val="12"/>
        <rFont val="Arial"/>
        <family val="2"/>
        <charset val="1"/>
      </rPr>
      <t>4) Valores definidos a partir dos limites no Acórdão nº 2.622/2013  - TCU – Plenário. Valores médios. (Seguros contra erros de execução, incêndio e explosão, danos da natureza (vendaval, destelhamento, alagamento, inundação, desmoronamento, geadas etc.), emprego de material defeituoso ou inadequado, roubo e/ou furto qualificado, quebra de equipamentos, desmoronamento de estrutura, nas modalidades de Obras Civis em Construção (OCC); Instalação e Montagem (IM); e Obras Civis em Construção e Instalação e Montagem (OCC/IM). Bem como coberturas adicionais para ampliação dessas coberturas básicas, como: cobertura de responsabilidade civil geral, cobertura de responsabilidade civil cruzada, cobertura de despesas extraordinárias, cobertura de tumultos, cobertura de desentulho do local, cobertura de riscos do fabricante, dentre outras, incluindo o seguro de vida em grupo regido pela convenção coletiva dos trabalhadores na indústria da construção civil).</t>
    </r>
    <r>
      <rPr>
        <i/>
        <sz val="12"/>
        <rFont val="Arial"/>
        <family val="2"/>
        <charset val="1"/>
      </rPr>
      <t xml:space="preserve"> </t>
    </r>
    <r>
      <rPr>
        <sz val="12"/>
        <rFont val="Arial"/>
        <family val="2"/>
        <charset val="1"/>
      </rPr>
      <t>A partir de 24/02/2015 por intermédio da Portaria 449/2015 a Presidência desta casa, na pessoa do Senhor Jayme Eduardo Rincon, determinou a exclusão dos valores referentes aos Seguros de Risco de Engenharia e Responsabilidade Civil do Profissional na composição do cálculo do B.D.I..</t>
    </r>
  </si>
  <si>
    <t>(5) Valores definidos a partir dos limites no Acórdão nº 2.622/2013  - TCU – Plenário. Valores 1º quartil.</t>
  </si>
  <si>
    <t>(6) Alíquota e base de cálculo definida pela legislação municipal.</t>
  </si>
  <si>
    <t>(7) Alíquota definida por lei (lucro presumido).</t>
  </si>
  <si>
    <t>(8) Alíquota definida pelas leis 12.546/11, 12844/13 e 13.161/15 (CPRB – contribuição previdenciária sobre a receita bruta). Neste caso ela vai ser zerada, pois estes valores de BDI são para orçamentos onerados (INSS=20% nas leis sociais)</t>
  </si>
  <si>
    <t>(*) A fórmula para estipulação da  taxa de  BDI estimado adotado é a mesma que foi aplicada para a obtenção das tabelas contidas no Acórdão n. 2.622/2013 – TCU- Plenário</t>
  </si>
  <si>
    <t>onde:</t>
  </si>
  <si>
    <t>AC = taxa de administração central</t>
  </si>
  <si>
    <t>S = taxa de seguros</t>
  </si>
  <si>
    <t>R = taxa de riscos</t>
  </si>
  <si>
    <t>G = taxa de garantias</t>
  </si>
  <si>
    <t>DF = taxa de despesas financeiras</t>
  </si>
  <si>
    <t>L = taxa de lucro/remuneração</t>
  </si>
  <si>
    <t>I = taxa de incidência de impostos (PIS, COFINS, CPRB e ISS)</t>
  </si>
  <si>
    <t>OBS.:</t>
  </si>
  <si>
    <r>
      <t xml:space="preserve">Para obras com valores superiores a R$ 20.000.000,00 sugere-se recalcular o BDI, dimensionando as taxas de </t>
    </r>
    <r>
      <rPr>
        <b/>
        <sz val="12"/>
        <rFont val="Arial"/>
        <family val="2"/>
      </rPr>
      <t>administração central</t>
    </r>
    <r>
      <rPr>
        <sz val="12"/>
        <rFont val="Arial"/>
        <family val="2"/>
      </rPr>
      <t xml:space="preserve"> e </t>
    </r>
    <r>
      <rPr>
        <b/>
        <sz val="12"/>
        <rFont val="Arial"/>
        <family val="2"/>
      </rPr>
      <t>lucro</t>
    </r>
    <r>
      <rPr>
        <sz val="12"/>
        <rFont val="Arial"/>
        <family val="2"/>
      </rPr>
      <t xml:space="preserve"> para patamares inferiores ao estipulado acima.</t>
    </r>
  </si>
  <si>
    <t>Obs.:</t>
  </si>
  <si>
    <t>Para os valores de garantia foram considerados os valores do acórdão 2622/2013 na página 25 que definem um percentual de 0,0225 a 0,2%,(decidiu-se pela média=0,11%) sobre o valor do contrato para garantias equivalentes a 5% ( maioria dos nossos contratos...), e como existem quatro tipos de modalidades de garantia e duas delas não geram custos para a empresa como é o caso da caução em dinheiro em espécie ou dos títulos da dívida pública, então vamos dividir a média por dois de novo gerando um valor de 0,06%, e com o acréscimo de 0,06% (pegamos várias obras onde o seguro era pago separado e fizemos a média de quanto ele representava em relação ao total de custo do orçamento), do seguro de vida em grupo garantido pela convenção coletiva de trabalho, totalizará um valor de 0,12%. Para o BDI reduzido como é para materiais e equipamentos pegamos somente a garantia de 0,06%.</t>
  </si>
  <si>
    <t>ÁGUA FRIA</t>
  </si>
  <si>
    <t>CRONOGRAMA - FÍSICO FINANCEIRO</t>
  </si>
  <si>
    <t>SERVIÇOS</t>
  </si>
  <si>
    <t>VALOR</t>
  </si>
  <si>
    <t>Dias:</t>
  </si>
  <si>
    <t>%</t>
  </si>
  <si>
    <t>1ª Parcela</t>
  </si>
  <si>
    <t>2ª Parcela</t>
  </si>
  <si>
    <t>3ª Parcela</t>
  </si>
  <si>
    <t>4ª Parcela</t>
  </si>
  <si>
    <t>5ª Parcela</t>
  </si>
  <si>
    <t>6ª Parcela</t>
  </si>
  <si>
    <t>7ª Parcela</t>
  </si>
  <si>
    <t>8ª Parcela</t>
  </si>
  <si>
    <t>9ª Parcela</t>
  </si>
  <si>
    <t>10ª Parcela</t>
  </si>
  <si>
    <t>11ª Parcela</t>
  </si>
  <si>
    <t>12ª Parcela</t>
  </si>
  <si>
    <t>UNIDADE ADMINISTRATIVA</t>
  </si>
  <si>
    <t>VISITA ÍNTIMA</t>
  </si>
  <si>
    <t>TOTAL VISITA ÍNTIMA</t>
  </si>
  <si>
    <t>TOTAL UNIDADE DE CONTROLE</t>
  </si>
  <si>
    <t>TOTAL COBERTURA VISITANTES</t>
  </si>
  <si>
    <t>TOTAL GUARITA</t>
  </si>
  <si>
    <t>TOTAL CASA MOTOR BOMBA</t>
  </si>
  <si>
    <t xml:space="preserve">QUADRA </t>
  </si>
  <si>
    <t>UNIDADE PROTEGIDA E COMPARTILHADA</t>
  </si>
  <si>
    <t xml:space="preserve">ALVENARIA E DIVISÓRIAS </t>
  </si>
  <si>
    <t>TOTAL PROTEGIDA E COMPARTILHADA</t>
  </si>
  <si>
    <t>ESQUADRIAS ME´TALICAS</t>
  </si>
  <si>
    <t>TOTAL PASSARELA</t>
  </si>
  <si>
    <t>UNIDADE DE SERVIÇOS</t>
  </si>
  <si>
    <t>TOTAL UNIDADE DE SERVIÇOS</t>
  </si>
  <si>
    <t>CASA DO GRUPO GERADOR</t>
  </si>
  <si>
    <t>TOTAL CASA DO GRUPO GERADOR</t>
  </si>
  <si>
    <t>TOTAL VESTIÁRIO</t>
  </si>
  <si>
    <t xml:space="preserve">IMPLANTAÇÃO </t>
  </si>
  <si>
    <t>TOTAL IMPLANTAÇÃO</t>
  </si>
  <si>
    <t>TOTAL GALPÃO</t>
  </si>
  <si>
    <t>CUSTO ORÇAMENTO</t>
  </si>
  <si>
    <t xml:space="preserve">TOTAL COM BDI </t>
  </si>
  <si>
    <t>PERCENTUAIS</t>
  </si>
  <si>
    <t>TOTAIS ACUMULADOS</t>
  </si>
  <si>
    <t>PERCENTUAIS  ACUMULADOS</t>
  </si>
  <si>
    <t>TOTAL QUADRA</t>
  </si>
  <si>
    <t>SINAPI – NOVEMBRO/2020 (SEM DESON)</t>
  </si>
  <si>
    <t>DEMOSTRATIVO DE PREÇOS DE LIGANTES ASFÁLTICOS – SEM DESONERAÇÃO</t>
  </si>
  <si>
    <t>Código</t>
  </si>
  <si>
    <t>ANP</t>
  </si>
  <si>
    <t>Custo / t</t>
  </si>
  <si>
    <t>ICMS</t>
  </si>
  <si>
    <t>BDI</t>
  </si>
  <si>
    <t>Preço (R$/t)</t>
  </si>
  <si>
    <t>Produto</t>
  </si>
  <si>
    <t>Custo / Kg</t>
  </si>
  <si>
    <t>Referencial</t>
  </si>
  <si>
    <t>CM 30</t>
  </si>
  <si>
    <t>EAI</t>
  </si>
  <si>
    <t>RR 2C</t>
  </si>
  <si>
    <t>RR 2C C/ POLIMERO</t>
  </si>
  <si>
    <t>RL 1C</t>
  </si>
  <si>
    <t>RL 1C C/ POLIMERO</t>
  </si>
  <si>
    <t>RM 1C</t>
  </si>
  <si>
    <t>RR 1C</t>
  </si>
  <si>
    <t>RC 1C C/ POLIMERO</t>
  </si>
  <si>
    <t>SBS 60-85</t>
  </si>
  <si>
    <t>CAP 30-45</t>
  </si>
  <si>
    <t>CAP 50-70</t>
  </si>
  <si>
    <t>AB 8</t>
  </si>
  <si>
    <t>DATA – BASE:</t>
  </si>
  <si>
    <t>INDICE DE PAVIMENTAÇÃO</t>
  </si>
  <si>
    <t>CÁLCULO DO TRANSPORTE</t>
  </si>
  <si>
    <r>
      <rPr>
        <sz val="10"/>
        <color rgb="FF000000"/>
        <rFont val="Arial"/>
        <family val="2"/>
      </rPr>
      <t>Ipav0</t>
    </r>
    <r>
      <rPr>
        <vertAlign val="subscript"/>
        <sz val="10"/>
        <rFont val="Arial"/>
        <family val="2"/>
      </rPr>
      <t xml:space="preserve"> </t>
    </r>
    <r>
      <rPr>
        <sz val="10"/>
        <rFont val="Arial"/>
        <family val="2"/>
      </rPr>
      <t>(Jul14) :</t>
    </r>
  </si>
  <si>
    <t xml:space="preserve">DT (KM) = </t>
  </si>
  <si>
    <t xml:space="preserve">40530 (R$/t) = </t>
  </si>
  <si>
    <t>PORTA DE ABRIR P4 - 60X210 CM</t>
  </si>
  <si>
    <t>JANELA METÁLICA CASE – J14/J15 – BASCULANTE – “150X40” CM</t>
  </si>
  <si>
    <t>JANELA J16 (02 FL. DE CORRER COM GRADE DE PROTEÇÃO) 294x120cm</t>
  </si>
  <si>
    <t>JANELA J18 (02 FL. DE CORRER) 160x120cm</t>
  </si>
  <si>
    <t>JANELA J19 (02 FL. DE CORRER) 193x120cm</t>
  </si>
  <si>
    <t>TOTAL UNIDADE ADMINISTRATIVA</t>
  </si>
  <si>
    <t>PORTA METÁLICA CASE – P3 – UMA FOLHA – (70/ 80 / 90) X210 CM</t>
  </si>
  <si>
    <t>C. UNIT. (R$)</t>
  </si>
  <si>
    <t>CUSTO UNIT. (R$)</t>
  </si>
  <si>
    <t>GALPÃO INDUSTRIAL</t>
  </si>
  <si>
    <t>CUSTO TOTAL DO MATERIAL</t>
  </si>
  <si>
    <t>CUSTO TOTAL DA MÃO DE OBRA</t>
  </si>
  <si>
    <t>GRUPO MOTOR GERADOR 200KVA 380V COM REDUTOR DE RUIDO MÍNIMO DE 75 dB E QUADRO DE TRANSFERÊNCIA AUTOMÁTICA</t>
  </si>
  <si>
    <t>CUSTO DE FORNECIMENTO DE MATERIAIS E EQUIPAMENTOS</t>
  </si>
  <si>
    <t>CUSTO TOTAL DE MATERIAIS E SERVIÇOS</t>
  </si>
  <si>
    <t>ITENS DE MERO FORNECIMENTO (MATERIAIS E EQUIPAMENTOS PARA BDI REDUZIDO)</t>
  </si>
  <si>
    <t>BDI REDUZIDO  (13,51%):</t>
  </si>
  <si>
    <t>Valor Total dos serviços (s/ BDI)</t>
  </si>
  <si>
    <t>Alíquota efetiva do ISS para a obra analisada</t>
  </si>
  <si>
    <t>Valor total do serviço com as deduções previstas</t>
  </si>
  <si>
    <t>Percentual de materiais e serviços com BDI reduzido em relação ao total dos serviços</t>
  </si>
  <si>
    <t>Base de cálculo de acordo com o art. 64 do Código tributário (dedução dos materiais fornecidos pelo prestador de serviços)</t>
  </si>
  <si>
    <t>*Considerou-se como materiais não incorporados à obra, os materais de serviços como: formas, tapumes, barracões, materiais de consumo, café, cantina, etc. Além desses itens notórios, ainda há algumas outras composições que podem conter materiais que não são incorporados à obra, como por exemplo, madeiras para formas e escoramentos em composições de estruturas de concreto armado. Para quantificar também esses materiais, foi realizada uma análise apenas sobre os itens da faixa A da curva ABC de serviços, tendo em vista a quantidade de serviços constantes no orçamento e a irrelevância dos valores para os serviços das faixas B e C.</t>
  </si>
  <si>
    <t>BDI PARA OBRA E SERVIÇOS (18,32%):</t>
  </si>
  <si>
    <t xml:space="preserve">Valor total dos materiais </t>
  </si>
  <si>
    <t>Varlor Total dos materiais e equipamentos com aplicação de BDI Reduzido</t>
  </si>
  <si>
    <t>Alíquota do ISS para os subitens 7.01 e 7.02 do Art. 52 do Código Tributário de Itumbiara</t>
  </si>
  <si>
    <t>Base de cálculo de acordo com art.1º  do Código Tributário de Itumbiara (Lei Complementar n.º 019/2001)</t>
  </si>
  <si>
    <t>BDI (18,32% | 13,51%)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</si>
</sst>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000000"/>
    <numFmt numFmtId="165" formatCode="_(&quot;R$ &quot;* #,##0.00_);_(&quot;R$ &quot;* \(#,##0.00\);_(&quot;R$ &quot;* &quot;-&quot;??_);_(@_)"/>
    <numFmt numFmtId="166" formatCode="_ * #,##0.00_ ;_ * \-#,##0.00_ ;_ * &quot;-&quot;??_ ;_ @_ "/>
    <numFmt numFmtId="167" formatCode="_(* #,##0.00_);_(* \(#,##0.00\);_(* \-??_);_(@_)"/>
    <numFmt numFmtId="168" formatCode="#,##0.00\ ;&quot; (&quot;#,##0.00\);&quot; -&quot;#\ ;@\ "/>
    <numFmt numFmtId="169" formatCode="_(* #,##0.00_);_(* \(#,##0.00\);_(* &quot;-&quot;??_);_(@_)"/>
    <numFmt numFmtId="170" formatCode="[$-416]General"/>
    <numFmt numFmtId="171" formatCode="[$-416]#,##0.00"/>
    <numFmt numFmtId="172" formatCode="_-* #,##0.00_-;\-* #,##0.00_-;_-* \-??_-;_-@_-"/>
    <numFmt numFmtId="173" formatCode="_-* #,##0_-;\-* #,##0_-;_-* &quot;-&quot;??_-;_-@_-"/>
    <numFmt numFmtId="174" formatCode="[$-416]0%"/>
    <numFmt numFmtId="175" formatCode="0.000"/>
    <numFmt numFmtId="176" formatCode="00000"/>
    <numFmt numFmtId="177" formatCode="0.00000"/>
    <numFmt numFmtId="178" formatCode="[$R$-416]\ #,##0.00;[Red]\-[$R$-416]\ #,##0.00"/>
    <numFmt numFmtId="179" formatCode="#,##0.000"/>
    <numFmt numFmtId="180" formatCode="_-* #,##0.00000000_-;\-* #,##0.00000000_-;_-* &quot;-&quot;??_-;_-@_-"/>
    <numFmt numFmtId="181" formatCode="0.0%"/>
  </numFmts>
  <fonts count="109">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color indexed="8"/>
      <name val="MS Sans Serif"/>
      <family val="2"/>
    </font>
    <font>
      <sz val="11"/>
      <color indexed="10"/>
      <name val="Calibri"/>
      <family val="2"/>
    </font>
    <font>
      <b/>
      <sz val="11"/>
      <color indexed="10"/>
      <name val="Calibri"/>
      <family val="2"/>
    </font>
    <font>
      <b/>
      <sz val="11"/>
      <color indexed="8"/>
      <name val="Calibri"/>
      <family val="2"/>
    </font>
    <font>
      <sz val="11"/>
      <color rgb="FF000000"/>
      <name val="Calibri"/>
      <family val="2"/>
      <scheme val="minor"/>
    </font>
    <font>
      <sz val="11"/>
      <color theme="1"/>
      <name val="Calibri"/>
      <family val="2"/>
      <scheme val="minor"/>
    </font>
    <font>
      <b/>
      <sz val="11"/>
      <color theme="1"/>
      <name val="Calibri"/>
      <family val="2"/>
      <scheme val="minor"/>
    </font>
    <font>
      <sz val="11"/>
      <color theme="1"/>
      <name val="Calibri"/>
      <family val="2"/>
    </font>
    <font>
      <b/>
      <sz val="11"/>
      <color rgb="FF3F3F3F"/>
      <name val="Calibri"/>
      <family val="2"/>
      <scheme val="minor"/>
    </font>
    <font>
      <sz val="11"/>
      <color theme="0"/>
      <name val="Calibri"/>
      <family val="2"/>
      <scheme val="minor"/>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9"/>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0"/>
      <name val="Arial"/>
      <family val="2"/>
    </font>
    <font>
      <sz val="10"/>
      <color indexed="8"/>
      <name val="Arial"/>
      <family val="2"/>
    </font>
    <font>
      <u/>
      <sz val="11"/>
      <color theme="10"/>
      <name val="Calibri"/>
      <family val="2"/>
      <scheme val="minor"/>
    </font>
    <font>
      <u/>
      <sz val="11"/>
      <color theme="11"/>
      <name val="Calibri"/>
      <family val="2"/>
      <scheme val="minor"/>
    </font>
    <font>
      <b/>
      <sz val="9"/>
      <name val="Arial"/>
      <family val="2"/>
    </font>
    <font>
      <sz val="9"/>
      <name val="Arial"/>
      <family val="2"/>
    </font>
    <font>
      <sz val="10"/>
      <color theme="3"/>
      <name val="Arial"/>
      <family val="2"/>
    </font>
    <font>
      <b/>
      <sz val="11"/>
      <name val="Arial"/>
      <family val="2"/>
    </font>
    <font>
      <sz val="10"/>
      <name val="Courier New"/>
      <family val="3"/>
    </font>
    <font>
      <sz val="10"/>
      <name val="Arial"/>
      <family val="2"/>
    </font>
    <font>
      <sz val="8"/>
      <name val="Calibri"/>
      <family val="2"/>
      <scheme val="minor"/>
    </font>
    <font>
      <sz val="8"/>
      <color indexed="8"/>
      <name val="Arial"/>
      <family val="2"/>
    </font>
    <font>
      <sz val="10"/>
      <color rgb="FF000000"/>
      <name val="Times New Roman"/>
      <family val="1"/>
    </font>
    <font>
      <b/>
      <sz val="10"/>
      <color indexed="8"/>
      <name val="Arial"/>
      <family val="2"/>
    </font>
    <font>
      <sz val="11"/>
      <color indexed="8"/>
      <name val="Arial"/>
      <family val="2"/>
    </font>
    <font>
      <b/>
      <sz val="8"/>
      <color indexed="8"/>
      <name val="Arial1"/>
    </font>
    <font>
      <sz val="8"/>
      <color indexed="8"/>
      <name val="Arial1"/>
    </font>
    <font>
      <sz val="9"/>
      <name val="Arial"/>
      <family val="2"/>
      <charset val="1"/>
    </font>
    <font>
      <b/>
      <sz val="11"/>
      <name val="Arial"/>
      <family val="2"/>
      <charset val="1"/>
    </font>
    <font>
      <sz val="10"/>
      <name val="Arial"/>
      <family val="2"/>
      <charset val="1"/>
    </font>
    <font>
      <b/>
      <sz val="9"/>
      <name val="Arial"/>
      <family val="2"/>
      <charset val="1"/>
    </font>
    <font>
      <b/>
      <sz val="8"/>
      <name val="Arial"/>
      <family val="2"/>
    </font>
    <font>
      <sz val="9"/>
      <color rgb="FF000000"/>
      <name val="Arial"/>
      <family val="2"/>
      <charset val="1"/>
    </font>
    <font>
      <sz val="9"/>
      <color rgb="FF010000"/>
      <name val="Arial"/>
      <family val="2"/>
      <charset val="1"/>
    </font>
    <font>
      <b/>
      <sz val="9"/>
      <color theme="1"/>
      <name val="Arial"/>
      <family val="2"/>
    </font>
    <font>
      <sz val="11"/>
      <color rgb="FF000000"/>
      <name val="Calibri"/>
      <family val="2"/>
    </font>
    <font>
      <sz val="10"/>
      <color rgb="FF000000"/>
      <name val="Arial"/>
      <family val="2"/>
    </font>
    <font>
      <sz val="10"/>
      <color rgb="FF000000"/>
      <name val="Arial1"/>
    </font>
    <font>
      <b/>
      <sz val="12"/>
      <name val="Arial1"/>
    </font>
    <font>
      <b/>
      <sz val="9"/>
      <color rgb="FF000000"/>
      <name val="Arial1"/>
    </font>
    <font>
      <sz val="9"/>
      <name val="Arial1"/>
    </font>
    <font>
      <sz val="9"/>
      <color rgb="FF000000"/>
      <name val="Arial1"/>
    </font>
    <font>
      <sz val="9"/>
      <color indexed="81"/>
      <name val="Segoe UI"/>
      <family val="2"/>
    </font>
    <font>
      <b/>
      <sz val="9"/>
      <color indexed="81"/>
      <name val="Segoe UI"/>
      <family val="2"/>
    </font>
    <font>
      <sz val="11"/>
      <color rgb="FF000000"/>
      <name val="Arial"/>
      <family val="2"/>
    </font>
    <font>
      <sz val="8"/>
      <name val="Arial"/>
      <family val="2"/>
    </font>
    <font>
      <b/>
      <u/>
      <sz val="13"/>
      <name val="Arial"/>
      <family val="2"/>
    </font>
    <font>
      <b/>
      <u/>
      <sz val="14"/>
      <name val="Arial"/>
      <family val="2"/>
    </font>
    <font>
      <b/>
      <sz val="13"/>
      <name val="Arial"/>
      <family val="2"/>
    </font>
    <font>
      <b/>
      <sz val="12"/>
      <name val="Arial"/>
      <family val="2"/>
    </font>
    <font>
      <sz val="12"/>
      <name val="Arial"/>
      <family val="2"/>
    </font>
    <font>
      <sz val="11"/>
      <name val="Arial"/>
      <family val="2"/>
    </font>
    <font>
      <vertAlign val="superscript"/>
      <sz val="14"/>
      <name val="Arial"/>
      <family val="2"/>
    </font>
    <font>
      <b/>
      <sz val="14"/>
      <name val="Arial"/>
      <family val="2"/>
    </font>
    <font>
      <b/>
      <vertAlign val="superscript"/>
      <sz val="14"/>
      <name val="Arial"/>
      <family val="2"/>
    </font>
    <font>
      <sz val="10.5"/>
      <name val="Arial"/>
      <family val="2"/>
    </font>
    <font>
      <sz val="12"/>
      <name val="Arial"/>
      <family val="2"/>
      <charset val="1"/>
    </font>
    <font>
      <i/>
      <sz val="12"/>
      <name val="Arial"/>
      <family val="2"/>
      <charset val="1"/>
    </font>
    <font>
      <sz val="12"/>
      <color indexed="8"/>
      <name val="Arial"/>
      <family val="2"/>
    </font>
    <font>
      <sz val="10.5"/>
      <color indexed="8"/>
      <name val="Arial"/>
      <family val="2"/>
    </font>
    <font>
      <sz val="9"/>
      <color rgb="FF010000"/>
      <name val="Arial"/>
      <family val="2"/>
    </font>
    <font>
      <sz val="9"/>
      <color indexed="8"/>
      <name val="Arial"/>
      <family val="2"/>
    </font>
    <font>
      <sz val="9"/>
      <color theme="1"/>
      <name val="Arial"/>
      <family val="2"/>
    </font>
    <font>
      <b/>
      <sz val="16"/>
      <name val="Arial"/>
      <family val="2"/>
    </font>
    <font>
      <b/>
      <sz val="10"/>
      <color rgb="FF000000"/>
      <name val="Arial1"/>
    </font>
    <font>
      <sz val="11"/>
      <name val="Arial"/>
      <family val="2"/>
      <charset val="1"/>
    </font>
    <font>
      <b/>
      <sz val="7"/>
      <name val="Arial"/>
      <family val="2"/>
    </font>
    <font>
      <sz val="8"/>
      <color rgb="FF000000"/>
      <name val="Arial"/>
      <family val="2"/>
    </font>
    <font>
      <sz val="8"/>
      <color theme="0"/>
      <name val="Arial"/>
      <family val="2"/>
    </font>
    <font>
      <b/>
      <sz val="11"/>
      <color rgb="FF000000"/>
      <name val="Arial"/>
      <family val="2"/>
    </font>
    <font>
      <b/>
      <sz val="10"/>
      <color rgb="FF000000"/>
      <name val="Arial"/>
      <family val="2"/>
    </font>
    <font>
      <vertAlign val="subscript"/>
      <sz val="10"/>
      <name val="Arial"/>
      <family val="2"/>
    </font>
    <font>
      <b/>
      <sz val="9"/>
      <name val="Arial1"/>
    </font>
    <font>
      <sz val="11"/>
      <color rgb="FFFF0000"/>
      <name val="Calibri"/>
      <family val="2"/>
      <scheme val="minor"/>
    </font>
    <font>
      <sz val="12"/>
      <color rgb="FFFF0000"/>
      <name val="Arial"/>
      <family val="2"/>
    </font>
    <font>
      <sz val="12"/>
      <color rgb="FF000000"/>
      <name val="Calibri"/>
      <family val="2"/>
      <scheme val="minor"/>
    </font>
    <font>
      <sz val="12"/>
      <color rgb="FF000000"/>
      <name val="Calibri"/>
      <family val="2"/>
    </font>
    <font>
      <b/>
      <sz val="12"/>
      <color rgb="FF000000"/>
      <name val="Calibri"/>
      <family val="2"/>
    </font>
    <font>
      <b/>
      <sz val="12"/>
      <color rgb="FF000000"/>
      <name val="Calibri"/>
      <family val="2"/>
      <scheme val="minor"/>
    </font>
    <font>
      <sz val="12"/>
      <color rgb="FF000000"/>
      <name val="Calibri"/>
      <family val="2"/>
      <charset val="1"/>
    </font>
  </fonts>
  <fills count="6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rgb="FFFFFFCC"/>
      </patternFill>
    </fill>
    <fill>
      <patternFill patternType="solid">
        <fgColor theme="0"/>
        <bgColor indexed="64"/>
      </patternFill>
    </fill>
    <fill>
      <patternFill patternType="solid">
        <fgColor rgb="FFF2F2F2"/>
      </patternFill>
    </fill>
    <fill>
      <patternFill patternType="solid">
        <fgColor theme="6" tint="0.39997558519241921"/>
        <bgColor indexed="65"/>
      </patternFill>
    </fill>
    <fill>
      <patternFill patternType="solid">
        <fgColor theme="7" tint="0.39997558519241921"/>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0" tint="-0.14999847407452621"/>
        <bgColor rgb="FF000000"/>
      </patternFill>
    </fill>
    <fill>
      <patternFill patternType="solid">
        <fgColor indexed="22"/>
        <bgColor indexed="31"/>
      </patternFill>
    </fill>
    <fill>
      <patternFill patternType="solid">
        <fgColor rgb="FFCCCCCC"/>
        <bgColor rgb="FFC0C0C0"/>
      </patternFill>
    </fill>
    <fill>
      <patternFill patternType="solid">
        <fgColor rgb="FFFFFFFF"/>
        <bgColor rgb="FFFFF2CC"/>
      </patternFill>
    </fill>
    <fill>
      <patternFill patternType="solid">
        <fgColor theme="0" tint="-0.14999847407452621"/>
        <bgColor rgb="FFC0C0C0"/>
      </patternFill>
    </fill>
    <fill>
      <patternFill patternType="solid">
        <fgColor theme="0"/>
        <bgColor rgb="FFFFFFFF"/>
      </patternFill>
    </fill>
    <fill>
      <patternFill patternType="solid">
        <fgColor rgb="FFFFFFFF"/>
        <bgColor rgb="FFFFFFFF"/>
      </patternFill>
    </fill>
    <fill>
      <patternFill patternType="solid">
        <fgColor theme="0"/>
        <bgColor rgb="FFA9D18E"/>
      </patternFill>
    </fill>
    <fill>
      <patternFill patternType="solid">
        <fgColor rgb="FFFFFF00"/>
        <bgColor indexed="64"/>
      </patternFill>
    </fill>
    <fill>
      <patternFill patternType="solid">
        <fgColor indexed="13"/>
        <bgColor indexed="34"/>
      </patternFill>
    </fill>
    <fill>
      <patternFill patternType="solid">
        <fgColor theme="2"/>
        <bgColor indexed="64"/>
      </patternFill>
    </fill>
    <fill>
      <patternFill patternType="solid">
        <fgColor theme="0" tint="-0.14999847407452621"/>
        <bgColor indexed="64"/>
      </patternFill>
    </fill>
    <fill>
      <patternFill patternType="solid">
        <fgColor rgb="FFDDDDDD"/>
        <bgColor rgb="FFCCFFCC"/>
      </patternFill>
    </fill>
    <fill>
      <patternFill patternType="solid">
        <fgColor rgb="FFB2B2B2"/>
        <bgColor rgb="FFB3B3B3"/>
      </patternFill>
    </fill>
    <fill>
      <patternFill patternType="solid">
        <fgColor rgb="FFFFFFFF"/>
        <bgColor rgb="FFFFFFCC"/>
      </patternFill>
    </fill>
    <fill>
      <patternFill patternType="solid">
        <fgColor rgb="FFB3B3B3"/>
        <bgColor rgb="FFB2B2B2"/>
      </patternFill>
    </fill>
    <fill>
      <patternFill patternType="solid">
        <fgColor theme="0" tint="-0.14999847407452621"/>
        <bgColor rgb="FFFFFF00"/>
      </patternFill>
    </fill>
    <fill>
      <patternFill patternType="solid">
        <fgColor theme="0" tint="-4.9989318521683403E-2"/>
        <bgColor rgb="FFF2F2F2"/>
      </patternFill>
    </fill>
    <fill>
      <patternFill patternType="solid">
        <fgColor theme="0" tint="-4.9989318521683403E-2"/>
        <bgColor rgb="FFFFFF99"/>
      </patternFill>
    </fill>
  </fills>
  <borders count="190">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auto="1"/>
      </bottom>
      <diagonal/>
    </border>
    <border>
      <left style="thin">
        <color indexed="64"/>
      </left>
      <right/>
      <top/>
      <bottom style="thin">
        <color indexed="64"/>
      </bottom>
      <diagonal/>
    </border>
    <border>
      <left/>
      <right/>
      <top style="thin">
        <color auto="1"/>
      </top>
      <bottom/>
      <diagonal/>
    </border>
    <border>
      <left style="hair">
        <color indexed="8"/>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thin">
        <color indexed="8"/>
      </left>
      <right style="thin">
        <color indexed="8"/>
      </right>
      <top style="hair">
        <color indexed="8"/>
      </top>
      <bottom style="hair">
        <color indexed="8"/>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hair">
        <color indexed="8"/>
      </left>
      <right style="hair">
        <color indexed="8"/>
      </right>
      <top style="hair">
        <color indexed="8"/>
      </top>
      <bottom/>
      <diagonal/>
    </border>
    <border diagonalDown="1">
      <left style="hair">
        <color indexed="8"/>
      </left>
      <right style="hair">
        <color indexed="8"/>
      </right>
      <top style="hair">
        <color indexed="8"/>
      </top>
      <bottom style="hair">
        <color indexed="8"/>
      </bottom>
      <diagonal style="hair">
        <color indexed="8"/>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8"/>
      </right>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8"/>
      </left>
      <right style="thin">
        <color indexed="8"/>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style="hair">
        <color auto="1"/>
      </left>
      <right style="hair">
        <color auto="1"/>
      </right>
      <top style="hair">
        <color auto="1"/>
      </top>
      <bottom style="hair">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style="thin">
        <color indexed="64"/>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style="thin">
        <color indexed="64"/>
      </top>
      <bottom style="thin">
        <color indexed="64"/>
      </bottom>
      <diagonal/>
    </border>
    <border>
      <left/>
      <right style="thin">
        <color indexed="64"/>
      </right>
      <top/>
      <bottom style="thin">
        <color indexed="8"/>
      </bottom>
      <diagonal/>
    </border>
    <border>
      <left style="thin">
        <color indexed="64"/>
      </left>
      <right style="thin">
        <color indexed="8"/>
      </right>
      <top style="thin">
        <color indexed="64"/>
      </top>
      <bottom/>
      <diagonal/>
    </border>
    <border>
      <left style="thin">
        <color indexed="64"/>
      </left>
      <right style="thin">
        <color indexed="8"/>
      </right>
      <top style="thin">
        <color indexed="8"/>
      </top>
      <bottom style="thin">
        <color indexed="8"/>
      </bottom>
      <diagonal/>
    </border>
    <border>
      <left style="thin">
        <color indexed="8"/>
      </left>
      <right style="thin">
        <color indexed="64"/>
      </right>
      <top/>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bottom style="thin">
        <color indexed="64"/>
      </bottom>
      <diagonal/>
    </border>
    <border>
      <left/>
      <right/>
      <top/>
      <bottom style="thin">
        <color indexed="8"/>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bottom style="thin">
        <color indexed="8"/>
      </bottom>
      <diagonal/>
    </border>
    <border>
      <left style="thin">
        <color indexed="8"/>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bottom style="thin">
        <color indexed="64"/>
      </bottom>
      <diagonal/>
    </border>
    <border>
      <left/>
      <right style="thin">
        <color rgb="FF000000"/>
      </right>
      <top/>
      <bottom style="thin">
        <color indexed="64"/>
      </bottom>
      <diagonal/>
    </border>
    <border>
      <left style="thin">
        <color rgb="FF000000"/>
      </left>
      <right/>
      <top/>
      <bottom/>
      <diagonal/>
    </border>
    <border>
      <left/>
      <right/>
      <top style="thin">
        <color indexed="64"/>
      </top>
      <bottom/>
      <diagonal/>
    </border>
    <border>
      <left/>
      <right style="thin">
        <color indexed="64"/>
      </right>
      <top/>
      <bottom style="thin">
        <color rgb="FF000000"/>
      </bottom>
      <diagonal/>
    </border>
    <border>
      <left/>
      <right style="thin">
        <color indexed="64"/>
      </right>
      <top style="thin">
        <color rgb="FF000000"/>
      </top>
      <bottom style="thin">
        <color auto="1"/>
      </bottom>
      <diagonal/>
    </border>
    <border>
      <left style="thin">
        <color rgb="FF000000"/>
      </left>
      <right/>
      <top style="thin">
        <color auto="1"/>
      </top>
      <bottom style="thin">
        <color auto="1"/>
      </bottom>
      <diagonal/>
    </border>
    <border>
      <left style="thin">
        <color rgb="FF000000"/>
      </left>
      <right/>
      <top style="thin">
        <color auto="1"/>
      </top>
      <bottom style="thin">
        <color rgb="FF000000"/>
      </bottom>
      <diagonal/>
    </border>
  </borders>
  <cellStyleXfs count="2293">
    <xf numFmtId="0" fontId="0"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3" fillId="0" borderId="0"/>
    <xf numFmtId="0" fontId="9" fillId="0" borderId="0"/>
    <xf numFmtId="0" fontId="9" fillId="0" borderId="0"/>
    <xf numFmtId="0" fontId="14" fillId="0" borderId="0"/>
    <xf numFmtId="0" fontId="14" fillId="14" borderId="3" applyNumberFormat="0" applyFont="0" applyAlignment="0" applyProtection="0"/>
    <xf numFmtId="0" fontId="14" fillId="14" borderId="3" applyNumberFormat="0" applyFont="0" applyAlignment="0" applyProtection="0"/>
    <xf numFmtId="0" fontId="15" fillId="0" borderId="4" applyNumberFormat="0" applyFill="0" applyAlignment="0" applyProtection="0"/>
    <xf numFmtId="43" fontId="14" fillId="0" borderId="0" applyFont="0" applyFill="0" applyBorder="0" applyAlignment="0" applyProtection="0"/>
    <xf numFmtId="43" fontId="14" fillId="0" borderId="0" applyFont="0" applyFill="0" applyBorder="0" applyAlignment="0" applyProtection="0"/>
    <xf numFmtId="0" fontId="17" fillId="16" borderId="5" applyNumberFormat="0" applyAlignment="0" applyProtection="0"/>
    <xf numFmtId="0" fontId="19" fillId="0" borderId="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5"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9"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20" fillId="32" borderId="0" applyNumberFormat="0" applyBorder="0" applyAlignment="0" applyProtection="0"/>
    <xf numFmtId="0" fontId="20" fillId="27" borderId="0" applyNumberFormat="0" applyBorder="0" applyAlignment="0" applyProtection="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5" borderId="0" applyNumberFormat="0" applyBorder="0" applyAlignment="0" applyProtection="0"/>
    <xf numFmtId="0" fontId="20" fillId="24" borderId="0" applyNumberFormat="0" applyBorder="0" applyAlignment="0" applyProtection="0"/>
    <xf numFmtId="0" fontId="20" fillId="36" borderId="0" applyNumberFormat="0" applyBorder="0" applyAlignment="0" applyProtection="0"/>
    <xf numFmtId="0" fontId="20" fillId="30" borderId="0" applyNumberFormat="0" applyBorder="0" applyAlignment="0" applyProtection="0"/>
    <xf numFmtId="0" fontId="20" fillId="21"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6" borderId="0" applyNumberFormat="0" applyBorder="0" applyAlignment="0" applyProtection="0"/>
    <xf numFmtId="0" fontId="21" fillId="21" borderId="0" applyNumberFormat="0" applyBorder="0" applyAlignment="0" applyProtection="0"/>
    <xf numFmtId="0" fontId="25" fillId="24" borderId="0" applyNumberFormat="0" applyBorder="0" applyAlignment="0" applyProtection="0"/>
    <xf numFmtId="0" fontId="22" fillId="40" borderId="6" applyNumberFormat="0" applyAlignment="0" applyProtection="0"/>
    <xf numFmtId="0" fontId="11" fillId="41" borderId="6" applyNumberFormat="0" applyAlignment="0" applyProtection="0"/>
    <xf numFmtId="0" fontId="23" fillId="42" borderId="7" applyNumberFormat="0" applyAlignment="0" applyProtection="0"/>
    <xf numFmtId="0" fontId="10" fillId="0" borderId="8" applyNumberFormat="0" applyFill="0" applyAlignment="0" applyProtection="0"/>
    <xf numFmtId="0" fontId="23" fillId="42" borderId="7" applyNumberFormat="0" applyAlignment="0" applyProtection="0"/>
    <xf numFmtId="0" fontId="20" fillId="43" borderId="0" applyNumberFormat="0" applyBorder="0" applyAlignment="0" applyProtection="0"/>
    <xf numFmtId="0" fontId="20" fillId="36" borderId="0" applyNumberFormat="0" applyBorder="0" applyAlignment="0" applyProtection="0"/>
    <xf numFmtId="0" fontId="20" fillId="30" borderId="0" applyNumberFormat="0" applyBorder="0" applyAlignment="0" applyProtection="0"/>
    <xf numFmtId="0" fontId="20" fillId="44" borderId="0" applyNumberFormat="0" applyBorder="0" applyAlignment="0" applyProtection="0"/>
    <xf numFmtId="0" fontId="20" fillId="34" borderId="0" applyNumberFormat="0" applyBorder="0" applyAlignment="0" applyProtection="0"/>
    <xf numFmtId="0" fontId="20" fillId="38" borderId="0" applyNumberFormat="0" applyBorder="0" applyAlignment="0" applyProtection="0"/>
    <xf numFmtId="0" fontId="29" fillId="31" borderId="6"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26" fillId="0" borderId="9" applyNumberFormat="0" applyFill="0" applyAlignment="0" applyProtection="0"/>
    <xf numFmtId="0" fontId="27" fillId="0" borderId="10" applyNumberFormat="0" applyFill="0" applyAlignment="0" applyProtection="0"/>
    <xf numFmtId="0" fontId="28" fillId="0" borderId="11" applyNumberFormat="0" applyFill="0" applyAlignment="0" applyProtection="0"/>
    <xf numFmtId="0" fontId="28" fillId="0" borderId="0" applyNumberFormat="0" applyFill="0" applyBorder="0" applyAlignment="0" applyProtection="0"/>
    <xf numFmtId="0" fontId="21" fillId="23" borderId="0" applyNumberFormat="0" applyBorder="0" applyAlignment="0" applyProtection="0"/>
    <xf numFmtId="0" fontId="29" fillId="25" borderId="6" applyNumberFormat="0" applyAlignment="0" applyProtection="0"/>
    <xf numFmtId="0" fontId="30" fillId="0" borderId="12" applyNumberFormat="0" applyFill="0" applyAlignment="0" applyProtection="0"/>
    <xf numFmtId="0" fontId="34" fillId="31" borderId="0" applyNumberFormat="0" applyBorder="0" applyAlignment="0" applyProtection="0"/>
    <xf numFmtId="0" fontId="31" fillId="31" borderId="0" applyNumberFormat="0" applyBorder="0" applyAlignment="0" applyProtection="0"/>
    <xf numFmtId="0" fontId="19" fillId="28" borderId="13" applyNumberFormat="0" applyFont="0" applyAlignment="0" applyProtection="0"/>
    <xf numFmtId="0" fontId="8" fillId="28" borderId="13" applyNumberFormat="0" applyFont="0" applyAlignment="0" applyProtection="0"/>
    <xf numFmtId="0" fontId="32" fillId="41" borderId="14" applyNumberFormat="0" applyAlignment="0" applyProtection="0"/>
    <xf numFmtId="0" fontId="10" fillId="0" borderId="0" applyNumberFormat="0" applyFill="0" applyBorder="0" applyAlignment="0" applyProtection="0"/>
    <xf numFmtId="0" fontId="24" fillId="0" borderId="0" applyNumberFormat="0" applyFill="0" applyBorder="0" applyAlignment="0" applyProtection="0"/>
    <xf numFmtId="0" fontId="33" fillId="0" borderId="0" applyNumberFormat="0" applyFill="0" applyBorder="0" applyAlignment="0" applyProtection="0"/>
    <xf numFmtId="0" fontId="35" fillId="0" borderId="0" applyNumberFormat="0" applyFill="0" applyBorder="0" applyAlignment="0" applyProtection="0"/>
    <xf numFmtId="0" fontId="36" fillId="0" borderId="15" applyNumberFormat="0" applyFill="0" applyAlignment="0" applyProtection="0"/>
    <xf numFmtId="0" fontId="37" fillId="0" borderId="16" applyNumberFormat="0" applyFill="0" applyAlignment="0" applyProtection="0"/>
    <xf numFmtId="0" fontId="38" fillId="0" borderId="17" applyNumberFormat="0" applyFill="0" applyAlignment="0" applyProtection="0"/>
    <xf numFmtId="0" fontId="38" fillId="0" borderId="0" applyNumberFormat="0" applyFill="0" applyBorder="0" applyAlignment="0" applyProtection="0"/>
    <xf numFmtId="0" fontId="12" fillId="0" borderId="18" applyNumberFormat="0" applyFill="0" applyAlignment="0" applyProtection="0"/>
    <xf numFmtId="0" fontId="10" fillId="0" borderId="0" applyNumberFormat="0" applyFill="0" applyBorder="0" applyAlignment="0" applyProtection="0"/>
    <xf numFmtId="0" fontId="7" fillId="20" borderId="0" applyNumberFormat="0" applyBorder="0" applyAlignment="0" applyProtection="0"/>
    <xf numFmtId="0" fontId="7" fillId="2" borderId="0" applyNumberFormat="0" applyBorder="0" applyAlignment="0" applyProtection="0"/>
    <xf numFmtId="0" fontId="7" fillId="20" borderId="0" applyNumberFormat="0" applyBorder="0" applyAlignment="0" applyProtection="0"/>
    <xf numFmtId="0" fontId="7" fillId="2"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3" borderId="0" applyNumberFormat="0" applyBorder="0" applyAlignment="0" applyProtection="0"/>
    <xf numFmtId="0" fontId="7" fillId="21" borderId="0" applyNumberFormat="0" applyBorder="0" applyAlignment="0" applyProtection="0"/>
    <xf numFmtId="0" fontId="7" fillId="3"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4" borderId="0" applyNumberFormat="0" applyBorder="0" applyAlignment="0" applyProtection="0"/>
    <xf numFmtId="0" fontId="7" fillId="22" borderId="0" applyNumberFormat="0" applyBorder="0" applyAlignment="0" applyProtection="0"/>
    <xf numFmtId="0" fontId="7" fillId="4"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5" borderId="0" applyNumberFormat="0" applyBorder="0" applyAlignment="0" applyProtection="0"/>
    <xf numFmtId="0" fontId="7" fillId="23" borderId="0" applyNumberFormat="0" applyBorder="0" applyAlignment="0" applyProtection="0"/>
    <xf numFmtId="0" fontId="7" fillId="5" borderId="0" applyNumberFormat="0" applyBorder="0" applyAlignment="0" applyProtection="0"/>
    <xf numFmtId="0" fontId="7" fillId="23"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29" borderId="0" applyNumberFormat="0" applyBorder="0" applyAlignment="0" applyProtection="0"/>
    <xf numFmtId="0" fontId="7" fillId="10" borderId="0" applyNumberFormat="0" applyBorder="0" applyAlignment="0" applyProtection="0"/>
    <xf numFmtId="0" fontId="7" fillId="29" borderId="0" applyNumberFormat="0" applyBorder="0" applyAlignment="0" applyProtection="0"/>
    <xf numFmtId="0" fontId="7" fillId="10" borderId="0" applyNumberFormat="0" applyBorder="0" applyAlignment="0" applyProtection="0"/>
    <xf numFmtId="0" fontId="7" fillId="2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40" fillId="0" borderId="0" applyNumberFormat="0" applyFont="0" applyFill="0" applyBorder="0" applyAlignment="0" applyProtection="0"/>
    <xf numFmtId="165" fontId="19" fillId="0" borderId="0" applyFont="0" applyFill="0" applyBorder="0" applyAlignment="0" applyProtection="0"/>
    <xf numFmtId="0" fontId="19" fillId="0" borderId="0"/>
    <xf numFmtId="0" fontId="13" fillId="0" borderId="0"/>
    <xf numFmtId="0" fontId="7" fillId="0" borderId="0"/>
    <xf numFmtId="0" fontId="9" fillId="0" borderId="0"/>
    <xf numFmtId="0" fontId="13" fillId="0" borderId="0"/>
    <xf numFmtId="0" fontId="19" fillId="0" borderId="0"/>
    <xf numFmtId="0" fontId="7" fillId="0" borderId="0"/>
    <xf numFmtId="0" fontId="9" fillId="0" borderId="0"/>
    <xf numFmtId="0" fontId="40" fillId="0" borderId="0" applyNumberFormat="0" applyFont="0" applyFill="0" applyBorder="0" applyAlignment="0" applyProtection="0"/>
    <xf numFmtId="0" fontId="8" fillId="14" borderId="3" applyNumberFormat="0" applyFont="0" applyAlignment="0" applyProtection="0"/>
    <xf numFmtId="0" fontId="7" fillId="14" borderId="3" applyNumberFormat="0" applyFont="0" applyAlignment="0" applyProtection="0"/>
    <xf numFmtId="0" fontId="8" fillId="14" borderId="3" applyNumberFormat="0" applyFont="0" applyAlignment="0" applyProtection="0"/>
    <xf numFmtId="0" fontId="7" fillId="14" borderId="3" applyNumberFormat="0" applyFont="0" applyAlignment="0" applyProtection="0"/>
    <xf numFmtId="0" fontId="8" fillId="14" borderId="3" applyNumberFormat="0" applyFont="0" applyAlignment="0" applyProtection="0"/>
    <xf numFmtId="9" fontId="19" fillId="0" borderId="0" applyFont="0" applyFill="0" applyBorder="0" applyAlignment="0" applyProtection="0"/>
    <xf numFmtId="9" fontId="39" fillId="0" borderId="0" applyFill="0" applyBorder="0" applyAlignment="0" applyProtection="0"/>
    <xf numFmtId="166" fontId="1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19" fillId="0" borderId="0"/>
    <xf numFmtId="0" fontId="48" fillId="0" borderId="0"/>
    <xf numFmtId="0" fontId="19" fillId="0" borderId="0" applyNumberFormat="0" applyFont="0" applyFill="0" applyBorder="0" applyAlignment="0" applyProtection="0"/>
    <xf numFmtId="0" fontId="19" fillId="0" borderId="0" applyNumberFormat="0" applyFont="0" applyFill="0" applyBorder="0" applyAlignment="0" applyProtection="0"/>
    <xf numFmtId="0" fontId="19" fillId="0" borderId="0"/>
    <xf numFmtId="0" fontId="19" fillId="0" borderId="0" applyNumberFormat="0" applyFont="0" applyFill="0" applyBorder="0" applyAlignment="0" applyProtection="0"/>
    <xf numFmtId="0" fontId="19" fillId="0" borderId="0"/>
    <xf numFmtId="0" fontId="19" fillId="0" borderId="0"/>
    <xf numFmtId="0" fontId="19" fillId="0" borderId="0"/>
    <xf numFmtId="0" fontId="19" fillId="0" borderId="0" applyNumberFormat="0" applyFont="0" applyFill="0" applyBorder="0" applyAlignment="0" applyProtection="0"/>
    <xf numFmtId="0" fontId="19" fillId="0" borderId="0" applyNumberFormat="0" applyFont="0" applyFill="0" applyBorder="0" applyAlignment="0" applyProtection="0"/>
    <xf numFmtId="0" fontId="19" fillId="0" borderId="0" applyNumberFormat="0" applyFont="0" applyFill="0" applyBorder="0" applyAlignment="0" applyProtection="0"/>
    <xf numFmtId="0" fontId="19" fillId="0" borderId="0" applyNumberFormat="0" applyFont="0" applyFill="0" applyBorder="0" applyAlignment="0" applyProtection="0"/>
    <xf numFmtId="0" fontId="19" fillId="0" borderId="0"/>
    <xf numFmtId="0" fontId="19" fillId="0" borderId="0"/>
    <xf numFmtId="9" fontId="19" fillId="0" borderId="0" applyFont="0" applyFill="0" applyBorder="0" applyAlignment="0" applyProtection="0"/>
    <xf numFmtId="9" fontId="19" fillId="0" borderId="0" applyFill="0" applyBorder="0" applyAlignment="0" applyProtection="0"/>
    <xf numFmtId="167" fontId="19" fillId="0" borderId="0" applyFont="0" applyFill="0" applyAlignment="0" applyProtection="0"/>
    <xf numFmtId="43" fontId="19" fillId="0" borderId="0" applyFont="0" applyFill="0" applyBorder="0" applyAlignment="0" applyProtection="0"/>
    <xf numFmtId="167" fontId="19" fillId="0" borderId="0" applyFont="0" applyFill="0" applyAlignment="0" applyProtection="0"/>
    <xf numFmtId="168" fontId="19" fillId="0" borderId="0" applyFill="0" applyAlignment="0" applyProtection="0"/>
    <xf numFmtId="167" fontId="19" fillId="0" borderId="0" applyFont="0" applyFill="0" applyAlignment="0" applyProtection="0"/>
    <xf numFmtId="167" fontId="19" fillId="0" borderId="0" applyFont="0" applyFill="0" applyAlignment="0" applyProtection="0"/>
    <xf numFmtId="0" fontId="6" fillId="0" borderId="0"/>
    <xf numFmtId="44" fontId="19" fillId="0" borderId="0" applyFont="0" applyFill="0" applyBorder="0" applyAlignment="0" applyProtection="0"/>
    <xf numFmtId="167" fontId="19" fillId="0" borderId="0" applyFont="0" applyFill="0" applyAlignment="0" applyProtection="0"/>
    <xf numFmtId="0" fontId="6" fillId="0" borderId="0"/>
    <xf numFmtId="44" fontId="19" fillId="0" borderId="0" applyFont="0" applyFill="0" applyBorder="0" applyAlignment="0" applyProtection="0"/>
    <xf numFmtId="0" fontId="6" fillId="0" borderId="0"/>
    <xf numFmtId="44" fontId="19" fillId="0" borderId="0" applyFont="0" applyFill="0" applyBorder="0" applyAlignment="0" applyProtection="0"/>
    <xf numFmtId="169" fontId="19" fillId="0" borderId="0" applyFont="0" applyFill="0" applyBorder="0" applyAlignment="0" applyProtection="0"/>
    <xf numFmtId="43" fontId="5" fillId="0" borderId="0" applyFont="0" applyFill="0" applyBorder="0" applyAlignment="0" applyProtection="0"/>
    <xf numFmtId="0" fontId="51" fillId="0" borderId="0"/>
    <xf numFmtId="43" fontId="4" fillId="0" borderId="0" applyFont="0" applyFill="0" applyBorder="0" applyAlignment="0" applyProtection="0"/>
    <xf numFmtId="170" fontId="53" fillId="0" borderId="0"/>
    <xf numFmtId="43" fontId="19" fillId="0" borderId="0" applyFill="0" applyBorder="0" applyAlignment="0" applyProtection="0"/>
    <xf numFmtId="170" fontId="24" fillId="0" borderId="0" applyFill="0" applyBorder="0" applyAlignment="0" applyProtection="0"/>
    <xf numFmtId="0" fontId="58" fillId="0" borderId="0"/>
    <xf numFmtId="168" fontId="58" fillId="0" borderId="0" applyBorder="0" applyProtection="0"/>
    <xf numFmtId="0" fontId="58" fillId="0" borderId="0"/>
    <xf numFmtId="172" fontId="58" fillId="0" borderId="0" applyBorder="0" applyProtection="0"/>
    <xf numFmtId="170" fontId="64" fillId="0" borderId="0" applyNumberFormat="0" applyBorder="0" applyProtection="0"/>
    <xf numFmtId="170" fontId="65" fillId="0" borderId="0"/>
    <xf numFmtId="170" fontId="73" fillId="0" borderId="0"/>
    <xf numFmtId="9" fontId="53" fillId="0" borderId="0" applyFont="0" applyFill="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0" borderId="0"/>
    <xf numFmtId="0" fontId="3" fillId="14" borderId="3" applyNumberFormat="0" applyFont="0" applyAlignment="0" applyProtection="0"/>
    <xf numFmtId="0" fontId="3" fillId="14" borderId="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29" fillId="25" borderId="53" applyNumberFormat="0" applyAlignment="0" applyProtection="0"/>
    <xf numFmtId="0" fontId="11" fillId="41" borderId="53" applyNumberFormat="0" applyAlignment="0" applyProtection="0"/>
    <xf numFmtId="0" fontId="22" fillId="40" borderId="53" applyNumberFormat="0" applyAlignment="0" applyProtection="0"/>
    <xf numFmtId="0" fontId="32" fillId="41" borderId="55" applyNumberFormat="0" applyAlignment="0" applyProtection="0"/>
    <xf numFmtId="0" fontId="8" fillId="28" borderId="54" applyNumberFormat="0" applyFont="0" applyAlignment="0" applyProtection="0"/>
    <xf numFmtId="0" fontId="8" fillId="28" borderId="50" applyNumberFormat="0" applyFont="0" applyAlignment="0" applyProtection="0"/>
    <xf numFmtId="0" fontId="8" fillId="28" borderId="62" applyNumberFormat="0" applyFont="0" applyAlignment="0" applyProtection="0"/>
    <xf numFmtId="0" fontId="22" fillId="40" borderId="37" applyNumberFormat="0" applyAlignment="0" applyProtection="0"/>
    <xf numFmtId="0" fontId="11" fillId="41" borderId="37" applyNumberFormat="0" applyAlignment="0" applyProtection="0"/>
    <xf numFmtId="0" fontId="29" fillId="25" borderId="57" applyNumberFormat="0" applyAlignment="0" applyProtection="0"/>
    <xf numFmtId="0" fontId="29" fillId="31" borderId="37" applyNumberFormat="0" applyAlignment="0" applyProtection="0"/>
    <xf numFmtId="0" fontId="32" fillId="41" borderId="51" applyNumberFormat="0" applyAlignment="0" applyProtection="0"/>
    <xf numFmtId="0" fontId="29" fillId="25" borderId="69" applyNumberFormat="0" applyAlignment="0" applyProtection="0"/>
    <xf numFmtId="0" fontId="29" fillId="25" borderId="37" applyNumberFormat="0" applyAlignment="0" applyProtection="0"/>
    <xf numFmtId="0" fontId="19" fillId="28" borderId="38" applyNumberFormat="0" applyFont="0" applyAlignment="0" applyProtection="0"/>
    <xf numFmtId="0" fontId="8" fillId="28" borderId="38" applyNumberFormat="0" applyFont="0" applyAlignment="0" applyProtection="0"/>
    <xf numFmtId="0" fontId="32" fillId="41" borderId="39" applyNumberFormat="0" applyAlignment="0" applyProtection="0"/>
    <xf numFmtId="0" fontId="12" fillId="0" borderId="40" applyNumberFormat="0" applyFill="0" applyAlignment="0" applyProtection="0"/>
    <xf numFmtId="0" fontId="3" fillId="20" borderId="0" applyNumberFormat="0" applyBorder="0" applyAlignment="0" applyProtection="0"/>
    <xf numFmtId="0" fontId="3" fillId="2" borderId="0" applyNumberFormat="0" applyBorder="0" applyAlignment="0" applyProtection="0"/>
    <xf numFmtId="0" fontId="3" fillId="20" borderId="0" applyNumberFormat="0" applyBorder="0" applyAlignment="0" applyProtection="0"/>
    <xf numFmtId="0" fontId="3" fillId="2"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3" borderId="0" applyNumberFormat="0" applyBorder="0" applyAlignment="0" applyProtection="0"/>
    <xf numFmtId="0" fontId="3" fillId="21" borderId="0" applyNumberFormat="0" applyBorder="0" applyAlignment="0" applyProtection="0"/>
    <xf numFmtId="0" fontId="3" fillId="3"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4" borderId="0" applyNumberFormat="0" applyBorder="0" applyAlignment="0" applyProtection="0"/>
    <xf numFmtId="0" fontId="3" fillId="22" borderId="0" applyNumberFormat="0" applyBorder="0" applyAlignment="0" applyProtection="0"/>
    <xf numFmtId="0" fontId="3" fillId="4"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5" borderId="0" applyNumberFormat="0" applyBorder="0" applyAlignment="0" applyProtection="0"/>
    <xf numFmtId="0" fontId="3" fillId="23" borderId="0" applyNumberFormat="0" applyBorder="0" applyAlignment="0" applyProtection="0"/>
    <xf numFmtId="0" fontId="3" fillId="5" borderId="0" applyNumberFormat="0" applyBorder="0" applyAlignment="0" applyProtection="0"/>
    <xf numFmtId="0" fontId="3" fillId="23"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29" borderId="0" applyNumberFormat="0" applyBorder="0" applyAlignment="0" applyProtection="0"/>
    <xf numFmtId="0" fontId="3" fillId="10" borderId="0" applyNumberFormat="0" applyBorder="0" applyAlignment="0" applyProtection="0"/>
    <xf numFmtId="0" fontId="3" fillId="29" borderId="0" applyNumberFormat="0" applyBorder="0" applyAlignment="0" applyProtection="0"/>
    <xf numFmtId="0" fontId="3" fillId="10" borderId="0" applyNumberFormat="0" applyBorder="0" applyAlignment="0" applyProtection="0"/>
    <xf numFmtId="0" fontId="3" fillId="2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11" fillId="41" borderId="69" applyNumberFormat="0" applyAlignment="0" applyProtection="0"/>
    <xf numFmtId="0" fontId="3" fillId="0" borderId="0"/>
    <xf numFmtId="0" fontId="3" fillId="0" borderId="0"/>
    <xf numFmtId="0" fontId="3" fillId="14" borderId="3" applyNumberFormat="0" applyFont="0" applyAlignment="0" applyProtection="0"/>
    <xf numFmtId="0" fontId="3" fillId="14" borderId="3"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0" fontId="22" fillId="40" borderId="69" applyNumberFormat="0" applyAlignment="0" applyProtection="0"/>
    <xf numFmtId="0" fontId="22" fillId="40" borderId="49" applyNumberFormat="0" applyAlignment="0" applyProtection="0"/>
    <xf numFmtId="0" fontId="11" fillId="41" borderId="49" applyNumberFormat="0" applyAlignment="0" applyProtection="0"/>
    <xf numFmtId="0" fontId="8" fillId="28" borderId="50" applyNumberFormat="0" applyFont="0" applyAlignment="0" applyProtection="0"/>
    <xf numFmtId="0" fontId="32" fillId="41" borderId="51" applyNumberFormat="0" applyAlignment="0" applyProtection="0"/>
    <xf numFmtId="0" fontId="29" fillId="31" borderId="49" applyNumberFormat="0" applyAlignment="0" applyProtection="0"/>
    <xf numFmtId="0" fontId="22" fillId="40" borderId="73" applyNumberFormat="0" applyAlignment="0" applyProtection="0"/>
    <xf numFmtId="0" fontId="12" fillId="0" borderId="76" applyNumberFormat="0" applyFill="0" applyAlignment="0" applyProtection="0"/>
    <xf numFmtId="0" fontId="22" fillId="40" borderId="61" applyNumberFormat="0" applyAlignment="0" applyProtection="0"/>
    <xf numFmtId="0" fontId="8" fillId="28" borderId="70" applyNumberFormat="0" applyFont="0" applyAlignment="0" applyProtection="0"/>
    <xf numFmtId="0" fontId="11" fillId="41" borderId="49" applyNumberFormat="0" applyAlignment="0" applyProtection="0"/>
    <xf numFmtId="0" fontId="19" fillId="28" borderId="50" applyNumberFormat="0" applyFont="0" applyAlignment="0" applyProtection="0"/>
    <xf numFmtId="0" fontId="32" fillId="41" borderId="75" applyNumberFormat="0" applyAlignment="0" applyProtection="0"/>
    <xf numFmtId="0" fontId="11" fillId="41" borderId="49" applyNumberFormat="0" applyAlignment="0" applyProtection="0"/>
    <xf numFmtId="0" fontId="19" fillId="0" borderId="0"/>
    <xf numFmtId="0" fontId="29" fillId="25" borderId="69" applyNumberFormat="0" applyAlignment="0" applyProtection="0"/>
    <xf numFmtId="0" fontId="32" fillId="41" borderId="63" applyNumberFormat="0" applyAlignment="0" applyProtection="0"/>
    <xf numFmtId="43" fontId="19" fillId="0" borderId="0" applyFont="0" applyFill="0" applyBorder="0" applyAlignment="0" applyProtection="0"/>
    <xf numFmtId="0" fontId="3" fillId="0" borderId="0"/>
    <xf numFmtId="44" fontId="19" fillId="0" borderId="0" applyFont="0" applyFill="0" applyBorder="0" applyAlignment="0" applyProtection="0"/>
    <xf numFmtId="0" fontId="22" fillId="40" borderId="57" applyNumberFormat="0" applyAlignment="0" applyProtection="0"/>
    <xf numFmtId="0" fontId="3" fillId="0" borderId="0"/>
    <xf numFmtId="44" fontId="19" fillId="0" borderId="0" applyFont="0" applyFill="0" applyBorder="0" applyAlignment="0" applyProtection="0"/>
    <xf numFmtId="0" fontId="3" fillId="0" borderId="0"/>
    <xf numFmtId="44" fontId="19" fillId="0" borderId="0" applyFont="0" applyFill="0" applyBorder="0" applyAlignment="0" applyProtection="0"/>
    <xf numFmtId="43" fontId="1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9" fillId="0" borderId="0" applyFill="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0" borderId="0"/>
    <xf numFmtId="0" fontId="3" fillId="14" borderId="3" applyNumberFormat="0" applyFont="0" applyAlignment="0" applyProtection="0"/>
    <xf numFmtId="0" fontId="3" fillId="14" borderId="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11" fillId="41" borderId="41" applyNumberFormat="0" applyAlignment="0" applyProtection="0"/>
    <xf numFmtId="0" fontId="22" fillId="40" borderId="41" applyNumberFormat="0" applyAlignment="0" applyProtection="0"/>
    <xf numFmtId="0" fontId="32" fillId="41" borderId="43" applyNumberFormat="0" applyAlignment="0" applyProtection="0"/>
    <xf numFmtId="0" fontId="8" fillId="28" borderId="42" applyNumberFormat="0" applyFont="0" applyAlignment="0" applyProtection="0"/>
    <xf numFmtId="0" fontId="19" fillId="28" borderId="42" applyNumberFormat="0" applyFont="0" applyAlignment="0" applyProtection="0"/>
    <xf numFmtId="0" fontId="29" fillId="25" borderId="41" applyNumberFormat="0" applyAlignment="0" applyProtection="0"/>
    <xf numFmtId="0" fontId="3" fillId="20" borderId="0" applyNumberFormat="0" applyBorder="0" applyAlignment="0" applyProtection="0"/>
    <xf numFmtId="0" fontId="3" fillId="2" borderId="0" applyNumberFormat="0" applyBorder="0" applyAlignment="0" applyProtection="0"/>
    <xf numFmtId="0" fontId="3" fillId="20" borderId="0" applyNumberFormat="0" applyBorder="0" applyAlignment="0" applyProtection="0"/>
    <xf numFmtId="0" fontId="3" fillId="2"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3" borderId="0" applyNumberFormat="0" applyBorder="0" applyAlignment="0" applyProtection="0"/>
    <xf numFmtId="0" fontId="3" fillId="21" borderId="0" applyNumberFormat="0" applyBorder="0" applyAlignment="0" applyProtection="0"/>
    <xf numFmtId="0" fontId="3" fillId="3"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4" borderId="0" applyNumberFormat="0" applyBorder="0" applyAlignment="0" applyProtection="0"/>
    <xf numFmtId="0" fontId="3" fillId="22" borderId="0" applyNumberFormat="0" applyBorder="0" applyAlignment="0" applyProtection="0"/>
    <xf numFmtId="0" fontId="3" fillId="4"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5" borderId="0" applyNumberFormat="0" applyBorder="0" applyAlignment="0" applyProtection="0"/>
    <xf numFmtId="0" fontId="3" fillId="23" borderId="0" applyNumberFormat="0" applyBorder="0" applyAlignment="0" applyProtection="0"/>
    <xf numFmtId="0" fontId="3" fillId="5" borderId="0" applyNumberFormat="0" applyBorder="0" applyAlignment="0" applyProtection="0"/>
    <xf numFmtId="0" fontId="3" fillId="23"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29" borderId="0" applyNumberFormat="0" applyBorder="0" applyAlignment="0" applyProtection="0"/>
    <xf numFmtId="0" fontId="3" fillId="10" borderId="0" applyNumberFormat="0" applyBorder="0" applyAlignment="0" applyProtection="0"/>
    <xf numFmtId="0" fontId="3" fillId="29" borderId="0" applyNumberFormat="0" applyBorder="0" applyAlignment="0" applyProtection="0"/>
    <xf numFmtId="0" fontId="3" fillId="10" borderId="0" applyNumberFormat="0" applyBorder="0" applyAlignment="0" applyProtection="0"/>
    <xf numFmtId="0" fontId="3" fillId="2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0" borderId="0"/>
    <xf numFmtId="0" fontId="3" fillId="0" borderId="0"/>
    <xf numFmtId="0" fontId="3" fillId="14" borderId="3" applyNumberFormat="0" applyFont="0" applyAlignment="0" applyProtection="0"/>
    <xf numFmtId="0" fontId="3" fillId="14" borderId="3" applyNumberFormat="0" applyFont="0" applyAlignment="0" applyProtection="0"/>
    <xf numFmtId="0" fontId="12" fillId="0" borderId="44" applyNumberFormat="0" applyFill="0" applyAlignment="0" applyProtection="0"/>
    <xf numFmtId="0" fontId="32" fillId="41" borderId="43"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0" fontId="11" fillId="41" borderId="41" applyNumberFormat="0" applyAlignment="0" applyProtection="0"/>
    <xf numFmtId="0" fontId="22" fillId="40" borderId="41" applyNumberFormat="0" applyAlignment="0" applyProtection="0"/>
    <xf numFmtId="0" fontId="11" fillId="41" borderId="41" applyNumberFormat="0" applyAlignment="0" applyProtection="0"/>
    <xf numFmtId="0" fontId="8" fillId="28" borderId="42" applyNumberFormat="0" applyFont="0" applyAlignment="0" applyProtection="0"/>
    <xf numFmtId="0" fontId="32" fillId="41" borderId="43" applyNumberFormat="0" applyAlignment="0" applyProtection="0"/>
    <xf numFmtId="0" fontId="29" fillId="31" borderId="41" applyNumberFormat="0" applyAlignment="0" applyProtection="0"/>
    <xf numFmtId="0" fontId="19" fillId="0" borderId="0"/>
    <xf numFmtId="0" fontId="8" fillId="28" borderId="42" applyNumberFormat="0" applyFont="0" applyAlignment="0" applyProtection="0"/>
    <xf numFmtId="0" fontId="19" fillId="28" borderId="42" applyNumberFormat="0" applyFont="0" applyAlignment="0" applyProtection="0"/>
    <xf numFmtId="43" fontId="19" fillId="0" borderId="0" applyFont="0" applyFill="0" applyBorder="0" applyAlignment="0" applyProtection="0"/>
    <xf numFmtId="0" fontId="29" fillId="25" borderId="41" applyNumberFormat="0" applyAlignment="0" applyProtection="0"/>
    <xf numFmtId="0" fontId="29" fillId="31" borderId="41" applyNumberFormat="0" applyAlignment="0" applyProtection="0"/>
    <xf numFmtId="0" fontId="3" fillId="0" borderId="0"/>
    <xf numFmtId="44" fontId="19" fillId="0" borderId="0" applyFont="0" applyFill="0" applyBorder="0" applyAlignment="0" applyProtection="0"/>
    <xf numFmtId="0" fontId="12" fillId="0" borderId="44" applyNumberFormat="0" applyFill="0" applyAlignment="0" applyProtection="0"/>
    <xf numFmtId="0" fontId="3" fillId="0" borderId="0"/>
    <xf numFmtId="44" fontId="19" fillId="0" borderId="0" applyFont="0" applyFill="0" applyBorder="0" applyAlignment="0" applyProtection="0"/>
    <xf numFmtId="0" fontId="3" fillId="0" borderId="0"/>
    <xf numFmtId="44" fontId="19" fillId="0" borderId="0" applyFont="0" applyFill="0" applyBorder="0" applyAlignment="0" applyProtection="0"/>
    <xf numFmtId="43" fontId="1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9" fillId="0" borderId="0" applyFill="0" applyBorder="0" applyAlignment="0" applyProtection="0"/>
    <xf numFmtId="0" fontId="12" fillId="0" borderId="44" applyNumberFormat="0" applyFill="0" applyAlignment="0" applyProtection="0"/>
    <xf numFmtId="0" fontId="29" fillId="31" borderId="41" applyNumberFormat="0" applyAlignment="0" applyProtection="0"/>
    <xf numFmtId="0" fontId="29" fillId="25" borderId="41" applyNumberFormat="0" applyAlignment="0" applyProtection="0"/>
    <xf numFmtId="0" fontId="19" fillId="28" borderId="42" applyNumberFormat="0" applyFont="0" applyAlignment="0" applyProtection="0"/>
    <xf numFmtId="0" fontId="22" fillId="40" borderId="41" applyNumberFormat="0" applyAlignment="0" applyProtection="0"/>
    <xf numFmtId="43" fontId="65" fillId="0" borderId="0" applyFont="0" applyFill="0" applyBorder="0" applyAlignment="0" applyProtection="0"/>
    <xf numFmtId="9" fontId="65" fillId="0" borderId="0" applyFont="0" applyFill="0" applyBorder="0" applyAlignment="0" applyProtection="0"/>
    <xf numFmtId="0" fontId="8" fillId="28" borderId="58" applyNumberFormat="0" applyFont="0" applyAlignment="0" applyProtection="0"/>
    <xf numFmtId="0" fontId="11" fillId="41" borderId="73" applyNumberFormat="0" applyAlignment="0" applyProtection="0"/>
    <xf numFmtId="0" fontId="11" fillId="41" borderId="73" applyNumberFormat="0" applyAlignment="0" applyProtection="0"/>
    <xf numFmtId="0" fontId="22" fillId="40" borderId="73" applyNumberFormat="0" applyAlignment="0" applyProtection="0"/>
    <xf numFmtId="0" fontId="32" fillId="41" borderId="75" applyNumberFormat="0" applyAlignment="0" applyProtection="0"/>
    <xf numFmtId="0" fontId="8" fillId="28" borderId="74" applyNumberFormat="0" applyFont="0" applyAlignment="0" applyProtection="0"/>
    <xf numFmtId="0" fontId="19" fillId="28" borderId="74" applyNumberFormat="0" applyFont="0" applyAlignment="0" applyProtection="0"/>
    <xf numFmtId="0" fontId="29" fillId="25" borderId="73" applyNumberFormat="0" applyAlignment="0" applyProtection="0"/>
    <xf numFmtId="0" fontId="11" fillId="41" borderId="61" applyNumberFormat="0" applyAlignment="0" applyProtection="0"/>
    <xf numFmtId="0" fontId="29" fillId="31" borderId="73" applyNumberFormat="0" applyAlignment="0" applyProtection="0"/>
    <xf numFmtId="0" fontId="29" fillId="31" borderId="73" applyNumberFormat="0" applyAlignment="0" applyProtection="0"/>
    <xf numFmtId="0" fontId="22" fillId="40" borderId="57" applyNumberFormat="0" applyAlignment="0" applyProtection="0"/>
    <xf numFmtId="0" fontId="11" fillId="41" borderId="57" applyNumberFormat="0" applyAlignment="0" applyProtection="0"/>
    <xf numFmtId="0" fontId="8" fillId="28" borderId="58" applyNumberFormat="0" applyFont="0" applyAlignment="0" applyProtection="0"/>
    <xf numFmtId="0" fontId="32" fillId="41" borderId="59" applyNumberFormat="0" applyAlignment="0" applyProtection="0"/>
    <xf numFmtId="0" fontId="29" fillId="31" borderId="57" applyNumberFormat="0" applyAlignment="0" applyProtection="0"/>
    <xf numFmtId="0" fontId="12" fillId="0" borderId="56" applyNumberFormat="0" applyFill="0" applyAlignment="0" applyProtection="0"/>
    <xf numFmtId="0" fontId="29" fillId="25" borderId="73" applyNumberFormat="0" applyAlignment="0" applyProtection="0"/>
    <xf numFmtId="0" fontId="19" fillId="28" borderId="78" applyNumberFormat="0" applyFont="0" applyAlignment="0" applyProtection="0"/>
    <xf numFmtId="0" fontId="19" fillId="28" borderId="74" applyNumberFormat="0" applyFont="0" applyAlignment="0" applyProtection="0"/>
    <xf numFmtId="0" fontId="11" fillId="41" borderId="57" applyNumberFormat="0" applyAlignment="0" applyProtection="0"/>
    <xf numFmtId="0" fontId="19" fillId="28" borderId="58" applyNumberFormat="0" applyFont="0" applyAlignment="0" applyProtection="0"/>
    <xf numFmtId="0" fontId="22" fillId="40" borderId="69" applyNumberFormat="0" applyAlignment="0" applyProtection="0"/>
    <xf numFmtId="0" fontId="11" fillId="41" borderId="57" applyNumberFormat="0" applyAlignment="0" applyProtection="0"/>
    <xf numFmtId="0" fontId="12" fillId="0" borderId="72" applyNumberFormat="0" applyFill="0" applyAlignment="0" applyProtection="0"/>
    <xf numFmtId="0" fontId="32" fillId="41" borderId="59" applyNumberFormat="0" applyAlignment="0" applyProtection="0"/>
    <xf numFmtId="0" fontId="32" fillId="41" borderId="67" applyNumberFormat="0" applyAlignment="0" applyProtection="0"/>
    <xf numFmtId="0" fontId="19" fillId="28" borderId="54" applyNumberFormat="0" applyFont="0" applyAlignment="0" applyProtection="0"/>
    <xf numFmtId="0" fontId="19" fillId="28" borderId="70" applyNumberFormat="0" applyFont="0" applyAlignment="0" applyProtection="0"/>
    <xf numFmtId="0" fontId="22" fillId="40" borderId="49" applyNumberFormat="0" applyAlignment="0" applyProtection="0"/>
    <xf numFmtId="0" fontId="8" fillId="28" borderId="74" applyNumberFormat="0" applyFont="0" applyAlignment="0" applyProtection="0"/>
    <xf numFmtId="0" fontId="8" fillId="28" borderId="78" applyNumberFormat="0" applyFont="0" applyAlignment="0" applyProtection="0"/>
    <xf numFmtId="0" fontId="11" fillId="41" borderId="45" applyNumberFormat="0" applyAlignment="0" applyProtection="0"/>
    <xf numFmtId="0" fontId="22" fillId="40" borderId="45" applyNumberFormat="0" applyAlignment="0" applyProtection="0"/>
    <xf numFmtId="0" fontId="32" fillId="41" borderId="47" applyNumberFormat="0" applyAlignment="0" applyProtection="0"/>
    <xf numFmtId="0" fontId="8" fillId="28" borderId="46" applyNumberFormat="0" applyFont="0" applyAlignment="0" applyProtection="0"/>
    <xf numFmtId="0" fontId="19" fillId="28" borderId="46" applyNumberFormat="0" applyFont="0" applyAlignment="0" applyProtection="0"/>
    <xf numFmtId="0" fontId="29" fillId="25" borderId="45" applyNumberFormat="0" applyAlignment="0" applyProtection="0"/>
    <xf numFmtId="0" fontId="12" fillId="0" borderId="52" applyNumberFormat="0" applyFill="0" applyAlignment="0" applyProtection="0"/>
    <xf numFmtId="0" fontId="32" fillId="41" borderId="59" applyNumberFormat="0" applyAlignment="0" applyProtection="0"/>
    <xf numFmtId="0" fontId="12" fillId="0" borderId="60" applyNumberFormat="0" applyFill="0" applyAlignment="0" applyProtection="0"/>
    <xf numFmtId="0" fontId="29" fillId="25" borderId="49" applyNumberFormat="0" applyAlignment="0" applyProtection="0"/>
    <xf numFmtId="0" fontId="32" fillId="41" borderId="51" applyNumberFormat="0" applyAlignment="0" applyProtection="0"/>
    <xf numFmtId="0" fontId="19" fillId="28" borderId="62" applyNumberFormat="0" applyFont="0" applyAlignment="0" applyProtection="0"/>
    <xf numFmtId="0" fontId="32" fillId="41" borderId="71" applyNumberFormat="0" applyAlignment="0" applyProtection="0"/>
    <xf numFmtId="0" fontId="29" fillId="25" borderId="61" applyNumberFormat="0" applyAlignment="0" applyProtection="0"/>
    <xf numFmtId="0" fontId="12" fillId="0" borderId="48" applyNumberFormat="0" applyFill="0" applyAlignment="0" applyProtection="0"/>
    <xf numFmtId="0" fontId="32" fillId="41" borderId="47" applyNumberFormat="0" applyAlignment="0" applyProtection="0"/>
    <xf numFmtId="0" fontId="11" fillId="41" borderId="45" applyNumberFormat="0" applyAlignment="0" applyProtection="0"/>
    <xf numFmtId="0" fontId="22" fillId="40" borderId="45" applyNumberFormat="0" applyAlignment="0" applyProtection="0"/>
    <xf numFmtId="0" fontId="11" fillId="41" borderId="45" applyNumberFormat="0" applyAlignment="0" applyProtection="0"/>
    <xf numFmtId="0" fontId="8" fillId="28" borderId="46" applyNumberFormat="0" applyFont="0" applyAlignment="0" applyProtection="0"/>
    <xf numFmtId="0" fontId="32" fillId="41" borderId="47" applyNumberFormat="0" applyAlignment="0" applyProtection="0"/>
    <xf numFmtId="0" fontId="29" fillId="31" borderId="45" applyNumberFormat="0" applyAlignment="0" applyProtection="0"/>
    <xf numFmtId="0" fontId="22" fillId="40" borderId="77" applyNumberFormat="0" applyAlignment="0" applyProtection="0"/>
    <xf numFmtId="0" fontId="8" fillId="28" borderId="46" applyNumberFormat="0" applyFont="0" applyAlignment="0" applyProtection="0"/>
    <xf numFmtId="0" fontId="19" fillId="28" borderId="46" applyNumberFormat="0" applyFont="0" applyAlignment="0" applyProtection="0"/>
    <xf numFmtId="0" fontId="29" fillId="25" borderId="45" applyNumberFormat="0" applyAlignment="0" applyProtection="0"/>
    <xf numFmtId="0" fontId="29" fillId="31" borderId="45" applyNumberFormat="0" applyAlignment="0" applyProtection="0"/>
    <xf numFmtId="0" fontId="12" fillId="0" borderId="48" applyNumberFormat="0" applyFill="0" applyAlignment="0" applyProtection="0"/>
    <xf numFmtId="0" fontId="12" fillId="0" borderId="64" applyNumberFormat="0" applyFill="0" applyAlignment="0" applyProtection="0"/>
    <xf numFmtId="0" fontId="12" fillId="0" borderId="48" applyNumberFormat="0" applyFill="0" applyAlignment="0" applyProtection="0"/>
    <xf numFmtId="0" fontId="29" fillId="31" borderId="45" applyNumberFormat="0" applyAlignment="0" applyProtection="0"/>
    <xf numFmtId="0" fontId="29" fillId="25" borderId="45" applyNumberFormat="0" applyAlignment="0" applyProtection="0"/>
    <xf numFmtId="0" fontId="19" fillId="28" borderId="46" applyNumberFormat="0" applyFont="0" applyAlignment="0" applyProtection="0"/>
    <xf numFmtId="0" fontId="22" fillId="40" borderId="45" applyNumberFormat="0" applyAlignment="0" applyProtection="0"/>
    <xf numFmtId="0" fontId="32" fillId="41" borderId="79" applyNumberFormat="0" applyAlignment="0" applyProtection="0"/>
    <xf numFmtId="0" fontId="8" fillId="28" borderId="50" applyNumberFormat="0" applyFont="0" applyAlignment="0" applyProtection="0"/>
    <xf numFmtId="0" fontId="19" fillId="28" borderId="50" applyNumberFormat="0" applyFont="0" applyAlignment="0" applyProtection="0"/>
    <xf numFmtId="0" fontId="32" fillId="41" borderId="63" applyNumberFormat="0" applyAlignment="0" applyProtection="0"/>
    <xf numFmtId="0" fontId="29" fillId="25" borderId="49" applyNumberFormat="0" applyAlignment="0" applyProtection="0"/>
    <xf numFmtId="0" fontId="29" fillId="31" borderId="49" applyNumberFormat="0" applyAlignment="0" applyProtection="0"/>
    <xf numFmtId="0" fontId="32" fillId="41" borderId="71" applyNumberFormat="0" applyAlignment="0" applyProtection="0"/>
    <xf numFmtId="0" fontId="11" fillId="41" borderId="69" applyNumberFormat="0" applyAlignment="0" applyProtection="0"/>
    <xf numFmtId="0" fontId="12" fillId="0" borderId="52" applyNumberFormat="0" applyFill="0" applyAlignment="0" applyProtection="0"/>
    <xf numFmtId="0" fontId="19" fillId="28" borderId="70" applyNumberFormat="0" applyFont="0" applyAlignment="0" applyProtection="0"/>
    <xf numFmtId="0" fontId="29" fillId="31" borderId="53" applyNumberFormat="0" applyAlignment="0" applyProtection="0"/>
    <xf numFmtId="0" fontId="12" fillId="0" borderId="52" applyNumberFormat="0" applyFill="0" applyAlignment="0" applyProtection="0"/>
    <xf numFmtId="0" fontId="29" fillId="31" borderId="49" applyNumberFormat="0" applyAlignment="0" applyProtection="0"/>
    <xf numFmtId="0" fontId="29" fillId="25" borderId="49" applyNumberFormat="0" applyAlignment="0" applyProtection="0"/>
    <xf numFmtId="0" fontId="19" fillId="28" borderId="50" applyNumberFormat="0" applyFont="0" applyAlignment="0" applyProtection="0"/>
    <xf numFmtId="0" fontId="22" fillId="40" borderId="49" applyNumberFormat="0" applyAlignment="0" applyProtection="0"/>
    <xf numFmtId="0" fontId="8" fillId="28" borderId="58" applyNumberFormat="0" applyFont="0" applyAlignment="0" applyProtection="0"/>
    <xf numFmtId="0" fontId="19" fillId="28" borderId="58" applyNumberFormat="0" applyFont="0" applyAlignment="0" applyProtection="0"/>
    <xf numFmtId="0" fontId="29" fillId="25" borderId="57" applyNumberFormat="0" applyAlignment="0" applyProtection="0"/>
    <xf numFmtId="0" fontId="29" fillId="31" borderId="57" applyNumberFormat="0" applyAlignment="0" applyProtection="0"/>
    <xf numFmtId="0" fontId="12" fillId="0" borderId="60" applyNumberFormat="0" applyFill="0" applyAlignment="0" applyProtection="0"/>
    <xf numFmtId="0" fontId="12" fillId="0" borderId="60" applyNumberFormat="0" applyFill="0" applyAlignment="0" applyProtection="0"/>
    <xf numFmtId="0" fontId="29" fillId="31" borderId="57" applyNumberFormat="0" applyAlignment="0" applyProtection="0"/>
    <xf numFmtId="0" fontId="29" fillId="25" borderId="57" applyNumberFormat="0" applyAlignment="0" applyProtection="0"/>
    <xf numFmtId="0" fontId="19" fillId="28" borderId="58" applyNumberFormat="0" applyFont="0" applyAlignment="0" applyProtection="0"/>
    <xf numFmtId="0" fontId="22" fillId="40" borderId="57" applyNumberFormat="0" applyAlignment="0" applyProtection="0"/>
    <xf numFmtId="0" fontId="12" fillId="0" borderId="76" applyNumberFormat="0" applyFill="0" applyAlignment="0" applyProtection="0"/>
    <xf numFmtId="0" fontId="11" fillId="41" borderId="61" applyNumberFormat="0" applyAlignment="0" applyProtection="0"/>
    <xf numFmtId="0" fontId="22" fillId="40" borderId="61" applyNumberFormat="0" applyAlignment="0" applyProtection="0"/>
    <xf numFmtId="0" fontId="11" fillId="41" borderId="61" applyNumberFormat="0" applyAlignment="0" applyProtection="0"/>
    <xf numFmtId="0" fontId="8" fillId="28" borderId="62" applyNumberFormat="0" applyFont="0" applyAlignment="0" applyProtection="0"/>
    <xf numFmtId="0" fontId="32" fillId="41" borderId="63" applyNumberFormat="0" applyAlignment="0" applyProtection="0"/>
    <xf numFmtId="0" fontId="29" fillId="31" borderId="61" applyNumberFormat="0" applyAlignment="0" applyProtection="0"/>
    <xf numFmtId="0" fontId="8" fillId="28" borderId="62" applyNumberFormat="0" applyFont="0" applyAlignment="0" applyProtection="0"/>
    <xf numFmtId="0" fontId="19" fillId="28" borderId="62" applyNumberFormat="0" applyFont="0" applyAlignment="0" applyProtection="0"/>
    <xf numFmtId="0" fontId="29" fillId="25" borderId="61" applyNumberFormat="0" applyAlignment="0" applyProtection="0"/>
    <xf numFmtId="0" fontId="29" fillId="31" borderId="61" applyNumberFormat="0" applyAlignment="0" applyProtection="0"/>
    <xf numFmtId="0" fontId="12" fillId="0" borderId="64" applyNumberFormat="0" applyFill="0" applyAlignment="0" applyProtection="0"/>
    <xf numFmtId="0" fontId="12" fillId="0" borderId="64" applyNumberFormat="0" applyFill="0" applyAlignment="0" applyProtection="0"/>
    <xf numFmtId="0" fontId="29" fillId="31" borderId="61" applyNumberFormat="0" applyAlignment="0" applyProtection="0"/>
    <xf numFmtId="0" fontId="29" fillId="25" borderId="61" applyNumberFormat="0" applyAlignment="0" applyProtection="0"/>
    <xf numFmtId="0" fontId="19" fillId="28" borderId="62" applyNumberFormat="0" applyFont="0" applyAlignment="0" applyProtection="0"/>
    <xf numFmtId="0" fontId="22" fillId="40" borderId="61" applyNumberFormat="0" applyAlignment="0" applyProtection="0"/>
    <xf numFmtId="0" fontId="32" fillId="41" borderId="79" applyNumberFormat="0" applyAlignment="0" applyProtection="0"/>
    <xf numFmtId="0" fontId="11" fillId="41" borderId="77" applyNumberFormat="0" applyAlignment="0" applyProtection="0"/>
    <xf numFmtId="0" fontId="11" fillId="41" borderId="65" applyNumberFormat="0" applyAlignment="0" applyProtection="0"/>
    <xf numFmtId="0" fontId="22" fillId="40" borderId="65" applyNumberFormat="0" applyAlignment="0" applyProtection="0"/>
    <xf numFmtId="0" fontId="32" fillId="41" borderId="67" applyNumberFormat="0" applyAlignment="0" applyProtection="0"/>
    <xf numFmtId="0" fontId="8" fillId="28" borderId="66" applyNumberFormat="0" applyFont="0" applyAlignment="0" applyProtection="0"/>
    <xf numFmtId="0" fontId="19" fillId="28" borderId="66" applyNumberFormat="0" applyFont="0" applyAlignment="0" applyProtection="0"/>
    <xf numFmtId="0" fontId="29" fillId="25" borderId="65" applyNumberFormat="0" applyAlignment="0" applyProtection="0"/>
    <xf numFmtId="0" fontId="8" fillId="28" borderId="70" applyNumberFormat="0" applyFont="0" applyAlignment="0" applyProtection="0"/>
    <xf numFmtId="0" fontId="12" fillId="0" borderId="68" applyNumberFormat="0" applyFill="0" applyAlignment="0" applyProtection="0"/>
    <xf numFmtId="0" fontId="11" fillId="41" borderId="65" applyNumberFormat="0" applyAlignment="0" applyProtection="0"/>
    <xf numFmtId="0" fontId="22" fillId="40" borderId="65" applyNumberFormat="0" applyAlignment="0" applyProtection="0"/>
    <xf numFmtId="0" fontId="8" fillId="28" borderId="66" applyNumberFormat="0" applyFont="0" applyAlignment="0" applyProtection="0"/>
    <xf numFmtId="0" fontId="32" fillId="41" borderId="67" applyNumberFormat="0" applyAlignment="0" applyProtection="0"/>
    <xf numFmtId="0" fontId="29" fillId="25" borderId="77" applyNumberFormat="0" applyAlignment="0" applyProtection="0"/>
    <xf numFmtId="0" fontId="29" fillId="31" borderId="65" applyNumberFormat="0" applyAlignment="0" applyProtection="0"/>
    <xf numFmtId="0" fontId="29" fillId="31" borderId="69" applyNumberFormat="0" applyAlignment="0" applyProtection="0"/>
    <xf numFmtId="0" fontId="12" fillId="0" borderId="80" applyNumberFormat="0" applyFill="0" applyAlignment="0" applyProtection="0"/>
    <xf numFmtId="0" fontId="12" fillId="0" borderId="72" applyNumberFormat="0" applyFill="0" applyAlignment="0" applyProtection="0"/>
    <xf numFmtId="0" fontId="12" fillId="0" borderId="68" applyNumberFormat="0" applyFill="0" applyAlignment="0" applyProtection="0"/>
    <xf numFmtId="0" fontId="29" fillId="31" borderId="65" applyNumberFormat="0" applyAlignment="0" applyProtection="0"/>
    <xf numFmtId="0" fontId="29" fillId="25" borderId="65" applyNumberFormat="0" applyAlignment="0" applyProtection="0"/>
    <xf numFmtId="0" fontId="19" fillId="28" borderId="66" applyNumberFormat="0" applyFont="0" applyAlignment="0" applyProtection="0"/>
    <xf numFmtId="0" fontId="29" fillId="31" borderId="69" applyNumberFormat="0" applyAlignment="0" applyProtection="0"/>
    <xf numFmtId="0" fontId="11" fillId="41" borderId="77" applyNumberFormat="0" applyAlignment="0" applyProtection="0"/>
    <xf numFmtId="0" fontId="22" fillId="40" borderId="77" applyNumberFormat="0" applyAlignment="0" applyProtection="0"/>
    <xf numFmtId="0" fontId="11" fillId="41" borderId="77" applyNumberFormat="0" applyAlignment="0" applyProtection="0"/>
    <xf numFmtId="0" fontId="8" fillId="28" borderId="78" applyNumberFormat="0" applyFont="0" applyAlignment="0" applyProtection="0"/>
    <xf numFmtId="0" fontId="32" fillId="41" borderId="79" applyNumberFormat="0" applyAlignment="0" applyProtection="0"/>
    <xf numFmtId="0" fontId="29" fillId="31" borderId="77" applyNumberFormat="0" applyAlignment="0" applyProtection="0"/>
    <xf numFmtId="0" fontId="8" fillId="28" borderId="78" applyNumberFormat="0" applyFont="0" applyAlignment="0" applyProtection="0"/>
    <xf numFmtId="0" fontId="19" fillId="28" borderId="78" applyNumberFormat="0" applyFont="0" applyAlignment="0" applyProtection="0"/>
    <xf numFmtId="0" fontId="29" fillId="25" borderId="77" applyNumberFormat="0" applyAlignment="0" applyProtection="0"/>
    <xf numFmtId="0" fontId="29" fillId="31" borderId="77" applyNumberFormat="0" applyAlignment="0" applyProtection="0"/>
    <xf numFmtId="0" fontId="12" fillId="0" borderId="80" applyNumberFormat="0" applyFill="0" applyAlignment="0" applyProtection="0"/>
    <xf numFmtId="0" fontId="12" fillId="0" borderId="80" applyNumberFormat="0" applyFill="0" applyAlignment="0" applyProtection="0"/>
    <xf numFmtId="0" fontId="29" fillId="31" borderId="77" applyNumberFormat="0" applyAlignment="0" applyProtection="0"/>
    <xf numFmtId="0" fontId="29" fillId="25" borderId="77" applyNumberFormat="0" applyAlignment="0" applyProtection="0"/>
    <xf numFmtId="0" fontId="19" fillId="28" borderId="78" applyNumberFormat="0" applyFont="0" applyAlignment="0" applyProtection="0"/>
    <xf numFmtId="0" fontId="22" fillId="40" borderId="77" applyNumberFormat="0" applyAlignment="0" applyProtection="0"/>
    <xf numFmtId="9" fontId="13" fillId="0" borderId="0" applyFont="0" applyFill="0" applyBorder="0" applyAlignment="0" applyProtection="0"/>
    <xf numFmtId="43" fontId="2" fillId="0" borderId="0" applyFont="0" applyFill="0" applyBorder="0" applyAlignment="0" applyProtection="0"/>
    <xf numFmtId="0" fontId="65"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14" borderId="3" applyNumberFormat="0" applyFont="0" applyAlignment="0" applyProtection="0"/>
    <xf numFmtId="0" fontId="1" fillId="14" borderId="3"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22" fillId="40" borderId="98" applyNumberFormat="0" applyAlignment="0" applyProtection="0"/>
    <xf numFmtId="0" fontId="11" fillId="41" borderId="98" applyNumberFormat="0" applyAlignment="0" applyProtection="0"/>
    <xf numFmtId="0" fontId="29" fillId="31" borderId="98" applyNumberFormat="0" applyAlignment="0" applyProtection="0"/>
    <xf numFmtId="0" fontId="29" fillId="25" borderId="98" applyNumberFormat="0" applyAlignment="0" applyProtection="0"/>
    <xf numFmtId="0" fontId="19" fillId="28" borderId="99" applyNumberFormat="0" applyFont="0" applyAlignment="0" applyProtection="0"/>
    <xf numFmtId="0" fontId="8" fillId="28" borderId="99" applyNumberFormat="0" applyFont="0" applyAlignment="0" applyProtection="0"/>
    <xf numFmtId="0" fontId="32" fillId="41" borderId="100" applyNumberFormat="0" applyAlignment="0" applyProtection="0"/>
    <xf numFmtId="0" fontId="12" fillId="0" borderId="101" applyNumberFormat="0" applyFill="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14" borderId="3" applyNumberFormat="0" applyFont="0" applyAlignment="0" applyProtection="0"/>
    <xf numFmtId="0" fontId="1" fillId="14" borderId="3"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0" fontId="1" fillId="0" borderId="0"/>
    <xf numFmtId="44" fontId="19" fillId="0" borderId="0" applyFont="0" applyFill="0" applyBorder="0" applyAlignment="0" applyProtection="0"/>
    <xf numFmtId="0" fontId="1" fillId="0" borderId="0"/>
    <xf numFmtId="44" fontId="19" fillId="0" borderId="0" applyFont="0" applyFill="0" applyBorder="0" applyAlignment="0" applyProtection="0"/>
    <xf numFmtId="0" fontId="1" fillId="0" borderId="0"/>
    <xf numFmtId="4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14" borderId="3" applyNumberFormat="0" applyFont="0" applyAlignment="0" applyProtection="0"/>
    <xf numFmtId="0" fontId="1" fillId="14" borderId="3"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29" fillId="25" borderId="102" applyNumberFormat="0" applyAlignment="0" applyProtection="0"/>
    <xf numFmtId="0" fontId="11" fillId="41" borderId="102" applyNumberFormat="0" applyAlignment="0" applyProtection="0"/>
    <xf numFmtId="0" fontId="22" fillId="40" borderId="102" applyNumberFormat="0" applyAlignment="0" applyProtection="0"/>
    <xf numFmtId="0" fontId="32" fillId="41" borderId="104" applyNumberFormat="0" applyAlignment="0" applyProtection="0"/>
    <xf numFmtId="0" fontId="8" fillId="28" borderId="103" applyNumberFormat="0" applyFont="0" applyAlignment="0" applyProtection="0"/>
    <xf numFmtId="0" fontId="8" fillId="28" borderId="103" applyNumberFormat="0" applyFont="0" applyAlignment="0" applyProtection="0"/>
    <xf numFmtId="0" fontId="8" fillId="28" borderId="99" applyNumberFormat="0" applyFont="0" applyAlignment="0" applyProtection="0"/>
    <xf numFmtId="0" fontId="22" fillId="40" borderId="102" applyNumberFormat="0" applyAlignment="0" applyProtection="0"/>
    <xf numFmtId="0" fontId="11" fillId="41" borderId="102" applyNumberFormat="0" applyAlignment="0" applyProtection="0"/>
    <xf numFmtId="0" fontId="29" fillId="25" borderId="98" applyNumberFormat="0" applyAlignment="0" applyProtection="0"/>
    <xf numFmtId="0" fontId="29" fillId="31" borderId="102" applyNumberFormat="0" applyAlignment="0" applyProtection="0"/>
    <xf numFmtId="0" fontId="32" fillId="41" borderId="104" applyNumberFormat="0" applyAlignment="0" applyProtection="0"/>
    <xf numFmtId="0" fontId="29" fillId="25" borderId="98" applyNumberFormat="0" applyAlignment="0" applyProtection="0"/>
    <xf numFmtId="0" fontId="29" fillId="25" borderId="102" applyNumberFormat="0" applyAlignment="0" applyProtection="0"/>
    <xf numFmtId="0" fontId="19" fillId="28" borderId="103" applyNumberFormat="0" applyFont="0" applyAlignment="0" applyProtection="0"/>
    <xf numFmtId="0" fontId="8" fillId="28" borderId="103" applyNumberFormat="0" applyFont="0" applyAlignment="0" applyProtection="0"/>
    <xf numFmtId="0" fontId="32" fillId="41" borderId="104" applyNumberFormat="0" applyAlignment="0" applyProtection="0"/>
    <xf numFmtId="0" fontId="12" fillId="0" borderId="105" applyNumberFormat="0" applyFill="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1" fillId="41" borderId="98" applyNumberFormat="0" applyAlignment="0" applyProtection="0"/>
    <xf numFmtId="0" fontId="1" fillId="0" borderId="0"/>
    <xf numFmtId="0" fontId="1" fillId="0" borderId="0"/>
    <xf numFmtId="0" fontId="1" fillId="14" borderId="3" applyNumberFormat="0" applyFont="0" applyAlignment="0" applyProtection="0"/>
    <xf numFmtId="0" fontId="1" fillId="14" borderId="3"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22" fillId="40" borderId="98" applyNumberFormat="0" applyAlignment="0" applyProtection="0"/>
    <xf numFmtId="0" fontId="22" fillId="40" borderId="102" applyNumberFormat="0" applyAlignment="0" applyProtection="0"/>
    <xf numFmtId="0" fontId="11" fillId="41" borderId="102" applyNumberFormat="0" applyAlignment="0" applyProtection="0"/>
    <xf numFmtId="0" fontId="8" fillId="28" borderId="103" applyNumberFormat="0" applyFont="0" applyAlignment="0" applyProtection="0"/>
    <xf numFmtId="0" fontId="32" fillId="41" borderId="104" applyNumberFormat="0" applyAlignment="0" applyProtection="0"/>
    <xf numFmtId="0" fontId="29" fillId="31" borderId="102" applyNumberFormat="0" applyAlignment="0" applyProtection="0"/>
    <xf numFmtId="0" fontId="22" fillId="40" borderId="98" applyNumberFormat="0" applyAlignment="0" applyProtection="0"/>
    <xf numFmtId="0" fontId="12" fillId="0" borderId="101" applyNumberFormat="0" applyFill="0" applyAlignment="0" applyProtection="0"/>
    <xf numFmtId="0" fontId="22" fillId="40" borderId="98" applyNumberFormat="0" applyAlignment="0" applyProtection="0"/>
    <xf numFmtId="0" fontId="8" fillId="28" borderId="99" applyNumberFormat="0" applyFont="0" applyAlignment="0" applyProtection="0"/>
    <xf numFmtId="0" fontId="11" fillId="41" borderId="102" applyNumberFormat="0" applyAlignment="0" applyProtection="0"/>
    <xf numFmtId="0" fontId="19" fillId="28" borderId="103" applyNumberFormat="0" applyFont="0" applyAlignment="0" applyProtection="0"/>
    <xf numFmtId="0" fontId="32" fillId="41" borderId="100" applyNumberFormat="0" applyAlignment="0" applyProtection="0"/>
    <xf numFmtId="0" fontId="11" fillId="41" borderId="102" applyNumberFormat="0" applyAlignment="0" applyProtection="0"/>
    <xf numFmtId="0" fontId="29" fillId="25" borderId="98" applyNumberFormat="0" applyAlignment="0" applyProtection="0"/>
    <xf numFmtId="0" fontId="32" fillId="41" borderId="100" applyNumberFormat="0" applyAlignment="0" applyProtection="0"/>
    <xf numFmtId="43" fontId="19" fillId="0" borderId="0" applyFont="0" applyFill="0" applyBorder="0" applyAlignment="0" applyProtection="0"/>
    <xf numFmtId="0" fontId="1" fillId="0" borderId="0"/>
    <xf numFmtId="44" fontId="19" fillId="0" borderId="0" applyFont="0" applyFill="0" applyBorder="0" applyAlignment="0" applyProtection="0"/>
    <xf numFmtId="0" fontId="22" fillId="40" borderId="98" applyNumberFormat="0" applyAlignment="0" applyProtection="0"/>
    <xf numFmtId="0" fontId="1" fillId="0" borderId="0"/>
    <xf numFmtId="44" fontId="19" fillId="0" borderId="0" applyFont="0" applyFill="0" applyBorder="0" applyAlignment="0" applyProtection="0"/>
    <xf numFmtId="0" fontId="1" fillId="0" borderId="0"/>
    <xf numFmtId="44"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14" borderId="3" applyNumberFormat="0" applyFont="0" applyAlignment="0" applyProtection="0"/>
    <xf numFmtId="0" fontId="1" fillId="14" borderId="3"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1" fillId="41" borderId="102" applyNumberFormat="0" applyAlignment="0" applyProtection="0"/>
    <xf numFmtId="0" fontId="22" fillId="40" borderId="102" applyNumberFormat="0" applyAlignment="0" applyProtection="0"/>
    <xf numFmtId="0" fontId="32" fillId="41" borderId="104" applyNumberFormat="0" applyAlignment="0" applyProtection="0"/>
    <xf numFmtId="0" fontId="8" fillId="28" borderId="103" applyNumberFormat="0" applyFont="0" applyAlignment="0" applyProtection="0"/>
    <xf numFmtId="0" fontId="19" fillId="28" borderId="103" applyNumberFormat="0" applyFont="0" applyAlignment="0" applyProtection="0"/>
    <xf numFmtId="0" fontId="29" fillId="25" borderId="102" applyNumberFormat="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3"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5" borderId="0" applyNumberFormat="0" applyBorder="0" applyAlignment="0" applyProtection="0"/>
    <xf numFmtId="0" fontId="1" fillId="23"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0" borderId="0" applyNumberFormat="0" applyBorder="0" applyAlignment="0" applyProtection="0"/>
    <xf numFmtId="0" fontId="1" fillId="2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14" borderId="3" applyNumberFormat="0" applyFont="0" applyAlignment="0" applyProtection="0"/>
    <xf numFmtId="0" fontId="1" fillId="14" borderId="3" applyNumberFormat="0" applyFont="0" applyAlignment="0" applyProtection="0"/>
    <xf numFmtId="0" fontId="12" fillId="0" borderId="105" applyNumberFormat="0" applyFill="0" applyAlignment="0" applyProtection="0"/>
    <xf numFmtId="0" fontId="32" fillId="41" borderId="104"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11" fillId="41" borderId="102" applyNumberFormat="0" applyAlignment="0" applyProtection="0"/>
    <xf numFmtId="0" fontId="22" fillId="40" borderId="102" applyNumberFormat="0" applyAlignment="0" applyProtection="0"/>
    <xf numFmtId="0" fontId="11" fillId="41" borderId="102" applyNumberFormat="0" applyAlignment="0" applyProtection="0"/>
    <xf numFmtId="0" fontId="8" fillId="28" borderId="103" applyNumberFormat="0" applyFont="0" applyAlignment="0" applyProtection="0"/>
    <xf numFmtId="0" fontId="32" fillId="41" borderId="104" applyNumberFormat="0" applyAlignment="0" applyProtection="0"/>
    <xf numFmtId="0" fontId="29" fillId="31" borderId="102" applyNumberFormat="0" applyAlignment="0" applyProtection="0"/>
    <xf numFmtId="0" fontId="8" fillId="28" borderId="103" applyNumberFormat="0" applyFont="0" applyAlignment="0" applyProtection="0"/>
    <xf numFmtId="0" fontId="19" fillId="28" borderId="103" applyNumberFormat="0" applyFont="0" applyAlignment="0" applyProtection="0"/>
    <xf numFmtId="43" fontId="19" fillId="0" borderId="0" applyFont="0" applyFill="0" applyBorder="0" applyAlignment="0" applyProtection="0"/>
    <xf numFmtId="0" fontId="29" fillId="25" borderId="102" applyNumberFormat="0" applyAlignment="0" applyProtection="0"/>
    <xf numFmtId="0" fontId="29" fillId="31" borderId="102" applyNumberFormat="0" applyAlignment="0" applyProtection="0"/>
    <xf numFmtId="0" fontId="1" fillId="0" borderId="0"/>
    <xf numFmtId="44" fontId="19" fillId="0" borderId="0" applyFont="0" applyFill="0" applyBorder="0" applyAlignment="0" applyProtection="0"/>
    <xf numFmtId="0" fontId="12" fillId="0" borderId="105" applyNumberFormat="0" applyFill="0" applyAlignment="0" applyProtection="0"/>
    <xf numFmtId="0" fontId="1" fillId="0" borderId="0"/>
    <xf numFmtId="44" fontId="19" fillId="0" borderId="0" applyFont="0" applyFill="0" applyBorder="0" applyAlignment="0" applyProtection="0"/>
    <xf numFmtId="0" fontId="1" fillId="0" borderId="0"/>
    <xf numFmtId="44"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ill="0" applyBorder="0" applyAlignment="0" applyProtection="0"/>
    <xf numFmtId="0" fontId="12" fillId="0" borderId="105" applyNumberFormat="0" applyFill="0" applyAlignment="0" applyProtection="0"/>
    <xf numFmtId="0" fontId="29" fillId="31" borderId="102" applyNumberFormat="0" applyAlignment="0" applyProtection="0"/>
    <xf numFmtId="0" fontId="29" fillId="25" borderId="102" applyNumberFormat="0" applyAlignment="0" applyProtection="0"/>
    <xf numFmtId="0" fontId="19" fillId="28" borderId="103" applyNumberFormat="0" applyFont="0" applyAlignment="0" applyProtection="0"/>
    <xf numFmtId="0" fontId="22" fillId="40" borderId="102" applyNumberFormat="0" applyAlignment="0" applyProtection="0"/>
    <xf numFmtId="43" fontId="65" fillId="0" borderId="0" applyFont="0" applyFill="0" applyBorder="0" applyAlignment="0" applyProtection="0"/>
    <xf numFmtId="0" fontId="8" fillId="28" borderId="99" applyNumberFormat="0" applyFont="0" applyAlignment="0" applyProtection="0"/>
    <xf numFmtId="0" fontId="11" fillId="41" borderId="98" applyNumberFormat="0" applyAlignment="0" applyProtection="0"/>
    <xf numFmtId="0" fontId="11" fillId="41" borderId="98" applyNumberFormat="0" applyAlignment="0" applyProtection="0"/>
    <xf numFmtId="0" fontId="22" fillId="40" borderId="98" applyNumberFormat="0" applyAlignment="0" applyProtection="0"/>
    <xf numFmtId="0" fontId="32" fillId="41" borderId="100" applyNumberFormat="0" applyAlignment="0" applyProtection="0"/>
    <xf numFmtId="0" fontId="8" fillId="28" borderId="99" applyNumberFormat="0" applyFont="0" applyAlignment="0" applyProtection="0"/>
    <xf numFmtId="0" fontId="19" fillId="28" borderId="99" applyNumberFormat="0" applyFont="0" applyAlignment="0" applyProtection="0"/>
    <xf numFmtId="0" fontId="29" fillId="25" borderId="98" applyNumberFormat="0" applyAlignment="0" applyProtection="0"/>
    <xf numFmtId="0" fontId="11" fillId="41" borderId="98" applyNumberFormat="0" applyAlignment="0" applyProtection="0"/>
    <xf numFmtId="0" fontId="29" fillId="31" borderId="98" applyNumberFormat="0" applyAlignment="0" applyProtection="0"/>
    <xf numFmtId="0" fontId="29" fillId="31" borderId="98" applyNumberFormat="0" applyAlignment="0" applyProtection="0"/>
    <xf numFmtId="0" fontId="22" fillId="40" borderId="98" applyNumberFormat="0" applyAlignment="0" applyProtection="0"/>
    <xf numFmtId="0" fontId="11" fillId="41" borderId="98" applyNumberFormat="0" applyAlignment="0" applyProtection="0"/>
    <xf numFmtId="0" fontId="8" fillId="28" borderId="99" applyNumberFormat="0" applyFont="0" applyAlignment="0" applyProtection="0"/>
    <xf numFmtId="0" fontId="32" fillId="41" borderId="100" applyNumberFormat="0" applyAlignment="0" applyProtection="0"/>
    <xf numFmtId="0" fontId="29" fillId="31" borderId="98" applyNumberFormat="0" applyAlignment="0" applyProtection="0"/>
    <xf numFmtId="0" fontId="12" fillId="0" borderId="105" applyNumberFormat="0" applyFill="0" applyAlignment="0" applyProtection="0"/>
    <xf numFmtId="0" fontId="29" fillId="25" borderId="98" applyNumberFormat="0" applyAlignment="0" applyProtection="0"/>
    <xf numFmtId="0" fontId="19" fillId="28" borderId="99" applyNumberFormat="0" applyFont="0" applyAlignment="0" applyProtection="0"/>
    <xf numFmtId="0" fontId="19" fillId="28" borderId="99" applyNumberFormat="0" applyFont="0" applyAlignment="0" applyProtection="0"/>
    <xf numFmtId="0" fontId="11" fillId="41" borderId="98" applyNumberFormat="0" applyAlignment="0" applyProtection="0"/>
    <xf numFmtId="0" fontId="19" fillId="28" borderId="99" applyNumberFormat="0" applyFont="0" applyAlignment="0" applyProtection="0"/>
    <xf numFmtId="0" fontId="22" fillId="40" borderId="98" applyNumberFormat="0" applyAlignment="0" applyProtection="0"/>
    <xf numFmtId="0" fontId="11" fillId="41" borderId="98" applyNumberFormat="0" applyAlignment="0" applyProtection="0"/>
    <xf numFmtId="0" fontId="12" fillId="0" borderId="101" applyNumberFormat="0" applyFill="0" applyAlignment="0" applyProtection="0"/>
    <xf numFmtId="0" fontId="32" fillId="41" borderId="100" applyNumberFormat="0" applyAlignment="0" applyProtection="0"/>
    <xf numFmtId="0" fontId="32" fillId="41" borderId="100" applyNumberFormat="0" applyAlignment="0" applyProtection="0"/>
    <xf numFmtId="0" fontId="19" fillId="28" borderId="103" applyNumberFormat="0" applyFont="0" applyAlignment="0" applyProtection="0"/>
    <xf numFmtId="0" fontId="19" fillId="28" borderId="99" applyNumberFormat="0" applyFont="0" applyAlignment="0" applyProtection="0"/>
    <xf numFmtId="0" fontId="22" fillId="40" borderId="102" applyNumberFormat="0" applyAlignment="0" applyProtection="0"/>
    <xf numFmtId="0" fontId="8" fillId="28" borderId="99" applyNumberFormat="0" applyFont="0" applyAlignment="0" applyProtection="0"/>
    <xf numFmtId="0" fontId="8" fillId="28" borderId="99" applyNumberFormat="0" applyFont="0" applyAlignment="0" applyProtection="0"/>
    <xf numFmtId="0" fontId="11" fillId="41" borderId="102" applyNumberFormat="0" applyAlignment="0" applyProtection="0"/>
    <xf numFmtId="0" fontId="22" fillId="40" borderId="102" applyNumberFormat="0" applyAlignment="0" applyProtection="0"/>
    <xf numFmtId="0" fontId="32" fillId="41" borderId="104" applyNumberFormat="0" applyAlignment="0" applyProtection="0"/>
    <xf numFmtId="0" fontId="8" fillId="28" borderId="103" applyNumberFormat="0" applyFont="0" applyAlignment="0" applyProtection="0"/>
    <xf numFmtId="0" fontId="19" fillId="28" borderId="103" applyNumberFormat="0" applyFont="0" applyAlignment="0" applyProtection="0"/>
    <xf numFmtId="0" fontId="29" fillId="25" borderId="102" applyNumberFormat="0" applyAlignment="0" applyProtection="0"/>
    <xf numFmtId="0" fontId="12" fillId="0" borderId="105" applyNumberFormat="0" applyFill="0" applyAlignment="0" applyProtection="0"/>
    <xf numFmtId="0" fontId="32" fillId="41" borderId="100" applyNumberFormat="0" applyAlignment="0" applyProtection="0"/>
    <xf numFmtId="0" fontId="12" fillId="0" borderId="101" applyNumberFormat="0" applyFill="0" applyAlignment="0" applyProtection="0"/>
    <xf numFmtId="0" fontId="29" fillId="25" borderId="102" applyNumberFormat="0" applyAlignment="0" applyProtection="0"/>
    <xf numFmtId="0" fontId="32" fillId="41" borderId="104" applyNumberFormat="0" applyAlignment="0" applyProtection="0"/>
    <xf numFmtId="0" fontId="19" fillId="28" borderId="99" applyNumberFormat="0" applyFont="0" applyAlignment="0" applyProtection="0"/>
    <xf numFmtId="0" fontId="32" fillId="41" borderId="100" applyNumberFormat="0" applyAlignment="0" applyProtection="0"/>
    <xf numFmtId="0" fontId="29" fillId="25" borderId="98" applyNumberFormat="0" applyAlignment="0" applyProtection="0"/>
    <xf numFmtId="0" fontId="12" fillId="0" borderId="105" applyNumberFormat="0" applyFill="0" applyAlignment="0" applyProtection="0"/>
    <xf numFmtId="0" fontId="32" fillId="41" borderId="104" applyNumberFormat="0" applyAlignment="0" applyProtection="0"/>
    <xf numFmtId="0" fontId="11" fillId="41" borderId="102" applyNumberFormat="0" applyAlignment="0" applyProtection="0"/>
    <xf numFmtId="0" fontId="22" fillId="40" borderId="102" applyNumberFormat="0" applyAlignment="0" applyProtection="0"/>
    <xf numFmtId="0" fontId="11" fillId="41" borderId="102" applyNumberFormat="0" applyAlignment="0" applyProtection="0"/>
    <xf numFmtId="0" fontId="8" fillId="28" borderId="103" applyNumberFormat="0" applyFont="0" applyAlignment="0" applyProtection="0"/>
    <xf numFmtId="0" fontId="32" fillId="41" borderId="104" applyNumberFormat="0" applyAlignment="0" applyProtection="0"/>
    <xf numFmtId="0" fontId="29" fillId="31" borderId="102" applyNumberFormat="0" applyAlignment="0" applyProtection="0"/>
    <xf numFmtId="0" fontId="22" fillId="40" borderId="98" applyNumberFormat="0" applyAlignment="0" applyProtection="0"/>
    <xf numFmtId="0" fontId="8" fillId="28" borderId="103" applyNumberFormat="0" applyFont="0" applyAlignment="0" applyProtection="0"/>
    <xf numFmtId="0" fontId="19" fillId="28" borderId="103" applyNumberFormat="0" applyFont="0" applyAlignment="0" applyProtection="0"/>
    <xf numFmtId="0" fontId="29" fillId="25" borderId="102" applyNumberFormat="0" applyAlignment="0" applyProtection="0"/>
    <xf numFmtId="0" fontId="29" fillId="31" borderId="102" applyNumberFormat="0" applyAlignment="0" applyProtection="0"/>
    <xf numFmtId="0" fontId="12" fillId="0" borderId="105" applyNumberFormat="0" applyFill="0" applyAlignment="0" applyProtection="0"/>
    <xf numFmtId="0" fontId="12" fillId="0" borderId="101" applyNumberFormat="0" applyFill="0" applyAlignment="0" applyProtection="0"/>
    <xf numFmtId="0" fontId="12" fillId="0" borderId="105" applyNumberFormat="0" applyFill="0" applyAlignment="0" applyProtection="0"/>
    <xf numFmtId="0" fontId="29" fillId="31" borderId="102" applyNumberFormat="0" applyAlignment="0" applyProtection="0"/>
    <xf numFmtId="0" fontId="29" fillId="25" borderId="102" applyNumberFormat="0" applyAlignment="0" applyProtection="0"/>
    <xf numFmtId="0" fontId="19" fillId="28" borderId="103" applyNumberFormat="0" applyFont="0" applyAlignment="0" applyProtection="0"/>
    <xf numFmtId="0" fontId="22" fillId="40" borderId="102" applyNumberFormat="0" applyAlignment="0" applyProtection="0"/>
    <xf numFmtId="0" fontId="32" fillId="41" borderId="100" applyNumberFormat="0" applyAlignment="0" applyProtection="0"/>
    <xf numFmtId="0" fontId="8" fillId="28" borderId="103" applyNumberFormat="0" applyFont="0" applyAlignment="0" applyProtection="0"/>
    <xf numFmtId="0" fontId="19" fillId="28" borderId="103" applyNumberFormat="0" applyFont="0" applyAlignment="0" applyProtection="0"/>
    <xf numFmtId="0" fontId="32" fillId="41" borderId="100" applyNumberFormat="0" applyAlignment="0" applyProtection="0"/>
    <xf numFmtId="0" fontId="29" fillId="25" borderId="102" applyNumberFormat="0" applyAlignment="0" applyProtection="0"/>
    <xf numFmtId="0" fontId="29" fillId="31" borderId="102" applyNumberFormat="0" applyAlignment="0" applyProtection="0"/>
    <xf numFmtId="0" fontId="32" fillId="41" borderId="100" applyNumberFormat="0" applyAlignment="0" applyProtection="0"/>
    <xf numFmtId="0" fontId="11" fillId="41" borderId="98" applyNumberFormat="0" applyAlignment="0" applyProtection="0"/>
    <xf numFmtId="0" fontId="12" fillId="0" borderId="105" applyNumberFormat="0" applyFill="0" applyAlignment="0" applyProtection="0"/>
    <xf numFmtId="0" fontId="19" fillId="28" borderId="99" applyNumberFormat="0" applyFont="0" applyAlignment="0" applyProtection="0"/>
    <xf numFmtId="0" fontId="29" fillId="31" borderId="102" applyNumberFormat="0" applyAlignment="0" applyProtection="0"/>
    <xf numFmtId="0" fontId="12" fillId="0" borderId="105" applyNumberFormat="0" applyFill="0" applyAlignment="0" applyProtection="0"/>
    <xf numFmtId="0" fontId="29" fillId="31" borderId="102" applyNumberFormat="0" applyAlignment="0" applyProtection="0"/>
    <xf numFmtId="0" fontId="29" fillId="25" borderId="102" applyNumberFormat="0" applyAlignment="0" applyProtection="0"/>
    <xf numFmtId="0" fontId="19" fillId="28" borderId="103" applyNumberFormat="0" applyFont="0" applyAlignment="0" applyProtection="0"/>
    <xf numFmtId="0" fontId="22" fillId="40" borderId="102" applyNumberFormat="0" applyAlignment="0" applyProtection="0"/>
    <xf numFmtId="0" fontId="8" fillId="28" borderId="99" applyNumberFormat="0" applyFont="0" applyAlignment="0" applyProtection="0"/>
    <xf numFmtId="0" fontId="19" fillId="28" borderId="99" applyNumberFormat="0" applyFont="0" applyAlignment="0" applyProtection="0"/>
    <xf numFmtId="0" fontId="29" fillId="25" borderId="98" applyNumberFormat="0" applyAlignment="0" applyProtection="0"/>
    <xf numFmtId="0" fontId="29" fillId="31" borderId="98" applyNumberFormat="0" applyAlignment="0" applyProtection="0"/>
    <xf numFmtId="0" fontId="12" fillId="0" borderId="101" applyNumberFormat="0" applyFill="0" applyAlignment="0" applyProtection="0"/>
    <xf numFmtId="0" fontId="12" fillId="0" borderId="101" applyNumberFormat="0" applyFill="0" applyAlignment="0" applyProtection="0"/>
    <xf numFmtId="0" fontId="29" fillId="31" borderId="98" applyNumberFormat="0" applyAlignment="0" applyProtection="0"/>
    <xf numFmtId="0" fontId="29" fillId="25" borderId="98" applyNumberFormat="0" applyAlignment="0" applyProtection="0"/>
    <xf numFmtId="0" fontId="19" fillId="28" borderId="99" applyNumberFormat="0" applyFont="0" applyAlignment="0" applyProtection="0"/>
    <xf numFmtId="0" fontId="22" fillId="40" borderId="98" applyNumberFormat="0" applyAlignment="0" applyProtection="0"/>
    <xf numFmtId="0" fontId="12" fillId="0" borderId="101" applyNumberFormat="0" applyFill="0" applyAlignment="0" applyProtection="0"/>
    <xf numFmtId="0" fontId="11" fillId="41" borderId="98" applyNumberFormat="0" applyAlignment="0" applyProtection="0"/>
    <xf numFmtId="0" fontId="22" fillId="40" borderId="98" applyNumberFormat="0" applyAlignment="0" applyProtection="0"/>
    <xf numFmtId="0" fontId="11" fillId="41" borderId="98" applyNumberFormat="0" applyAlignment="0" applyProtection="0"/>
    <xf numFmtId="0" fontId="8" fillId="28" borderId="99" applyNumberFormat="0" applyFont="0" applyAlignment="0" applyProtection="0"/>
    <xf numFmtId="0" fontId="32" fillId="41" borderId="100" applyNumberFormat="0" applyAlignment="0" applyProtection="0"/>
    <xf numFmtId="0" fontId="29" fillId="31" borderId="98" applyNumberFormat="0" applyAlignment="0" applyProtection="0"/>
    <xf numFmtId="0" fontId="8" fillId="28" borderId="99" applyNumberFormat="0" applyFont="0" applyAlignment="0" applyProtection="0"/>
    <xf numFmtId="0" fontId="19" fillId="28" borderId="99" applyNumberFormat="0" applyFont="0" applyAlignment="0" applyProtection="0"/>
    <xf numFmtId="0" fontId="29" fillId="25" borderId="98" applyNumberFormat="0" applyAlignment="0" applyProtection="0"/>
    <xf numFmtId="0" fontId="29" fillId="31" borderId="98" applyNumberFormat="0" applyAlignment="0" applyProtection="0"/>
    <xf numFmtId="0" fontId="12" fillId="0" borderId="101" applyNumberFormat="0" applyFill="0" applyAlignment="0" applyProtection="0"/>
    <xf numFmtId="0" fontId="12" fillId="0" borderId="101" applyNumberFormat="0" applyFill="0" applyAlignment="0" applyProtection="0"/>
    <xf numFmtId="0" fontId="29" fillId="31" borderId="98" applyNumberFormat="0" applyAlignment="0" applyProtection="0"/>
    <xf numFmtId="0" fontId="29" fillId="25" borderId="98" applyNumberFormat="0" applyAlignment="0" applyProtection="0"/>
    <xf numFmtId="0" fontId="19" fillId="28" borderId="99" applyNumberFormat="0" applyFont="0" applyAlignment="0" applyProtection="0"/>
    <xf numFmtId="0" fontId="22" fillId="40" borderId="98" applyNumberFormat="0" applyAlignment="0" applyProtection="0"/>
    <xf numFmtId="0" fontId="32" fillId="41" borderId="100" applyNumberFormat="0" applyAlignment="0" applyProtection="0"/>
    <xf numFmtId="0" fontId="11" fillId="41" borderId="98" applyNumberFormat="0" applyAlignment="0" applyProtection="0"/>
    <xf numFmtId="0" fontId="11" fillId="41" borderId="98" applyNumberFormat="0" applyAlignment="0" applyProtection="0"/>
    <xf numFmtId="0" fontId="22" fillId="40" borderId="98" applyNumberFormat="0" applyAlignment="0" applyProtection="0"/>
    <xf numFmtId="0" fontId="32" fillId="41" borderId="100" applyNumberFormat="0" applyAlignment="0" applyProtection="0"/>
    <xf numFmtId="0" fontId="8" fillId="28" borderId="99" applyNumberFormat="0" applyFont="0" applyAlignment="0" applyProtection="0"/>
    <xf numFmtId="0" fontId="19" fillId="28" borderId="99" applyNumberFormat="0" applyFont="0" applyAlignment="0" applyProtection="0"/>
    <xf numFmtId="0" fontId="29" fillId="25" borderId="98" applyNumberFormat="0" applyAlignment="0" applyProtection="0"/>
    <xf numFmtId="0" fontId="8" fillId="28" borderId="99" applyNumberFormat="0" applyFont="0" applyAlignment="0" applyProtection="0"/>
    <xf numFmtId="0" fontId="12" fillId="0" borderId="101" applyNumberFormat="0" applyFill="0" applyAlignment="0" applyProtection="0"/>
    <xf numFmtId="0" fontId="11" fillId="41" borderId="98" applyNumberFormat="0" applyAlignment="0" applyProtection="0"/>
    <xf numFmtId="0" fontId="22" fillId="40" borderId="98" applyNumberFormat="0" applyAlignment="0" applyProtection="0"/>
    <xf numFmtId="0" fontId="8" fillId="28" borderId="99" applyNumberFormat="0" applyFont="0" applyAlignment="0" applyProtection="0"/>
    <xf numFmtId="0" fontId="32" fillId="41" borderId="100" applyNumberFormat="0" applyAlignment="0" applyProtection="0"/>
    <xf numFmtId="0" fontId="29" fillId="25" borderId="98" applyNumberFormat="0" applyAlignment="0" applyProtection="0"/>
    <xf numFmtId="0" fontId="29" fillId="31" borderId="98" applyNumberFormat="0" applyAlignment="0" applyProtection="0"/>
    <xf numFmtId="0" fontId="29" fillId="31" borderId="98" applyNumberFormat="0" applyAlignment="0" applyProtection="0"/>
    <xf numFmtId="0" fontId="12" fillId="0" borderId="101" applyNumberFormat="0" applyFill="0" applyAlignment="0" applyProtection="0"/>
    <xf numFmtId="0" fontId="12" fillId="0" borderId="101" applyNumberFormat="0" applyFill="0" applyAlignment="0" applyProtection="0"/>
    <xf numFmtId="0" fontId="12" fillId="0" borderId="101" applyNumberFormat="0" applyFill="0" applyAlignment="0" applyProtection="0"/>
    <xf numFmtId="0" fontId="29" fillId="31" borderId="98" applyNumberFormat="0" applyAlignment="0" applyProtection="0"/>
    <xf numFmtId="0" fontId="29" fillId="25" borderId="98" applyNumberFormat="0" applyAlignment="0" applyProtection="0"/>
    <xf numFmtId="0" fontId="19" fillId="28" borderId="99" applyNumberFormat="0" applyFont="0" applyAlignment="0" applyProtection="0"/>
    <xf numFmtId="0" fontId="29" fillId="31" borderId="98" applyNumberFormat="0" applyAlignment="0" applyProtection="0"/>
    <xf numFmtId="0" fontId="11" fillId="41" borderId="98" applyNumberFormat="0" applyAlignment="0" applyProtection="0"/>
    <xf numFmtId="0" fontId="22" fillId="40" borderId="98" applyNumberFormat="0" applyAlignment="0" applyProtection="0"/>
    <xf numFmtId="0" fontId="11" fillId="41" borderId="98" applyNumberFormat="0" applyAlignment="0" applyProtection="0"/>
    <xf numFmtId="0" fontId="8" fillId="28" borderId="99" applyNumberFormat="0" applyFont="0" applyAlignment="0" applyProtection="0"/>
    <xf numFmtId="0" fontId="32" fillId="41" borderId="100" applyNumberFormat="0" applyAlignment="0" applyProtection="0"/>
    <xf numFmtId="0" fontId="29" fillId="31" borderId="98" applyNumberFormat="0" applyAlignment="0" applyProtection="0"/>
    <xf numFmtId="0" fontId="8" fillId="28" borderId="99" applyNumberFormat="0" applyFont="0" applyAlignment="0" applyProtection="0"/>
    <xf numFmtId="0" fontId="19" fillId="28" borderId="99" applyNumberFormat="0" applyFont="0" applyAlignment="0" applyProtection="0"/>
    <xf numFmtId="0" fontId="29" fillId="25" borderId="98" applyNumberFormat="0" applyAlignment="0" applyProtection="0"/>
    <xf numFmtId="0" fontId="29" fillId="31" borderId="98" applyNumberFormat="0" applyAlignment="0" applyProtection="0"/>
    <xf numFmtId="0" fontId="12" fillId="0" borderId="101" applyNumberFormat="0" applyFill="0" applyAlignment="0" applyProtection="0"/>
    <xf numFmtId="0" fontId="12" fillId="0" borderId="101" applyNumberFormat="0" applyFill="0" applyAlignment="0" applyProtection="0"/>
    <xf numFmtId="0" fontId="29" fillId="31" borderId="98" applyNumberFormat="0" applyAlignment="0" applyProtection="0"/>
    <xf numFmtId="0" fontId="29" fillId="25" borderId="98" applyNumberFormat="0" applyAlignment="0" applyProtection="0"/>
    <xf numFmtId="0" fontId="19" fillId="28" borderId="99" applyNumberFormat="0" applyFont="0" applyAlignment="0" applyProtection="0"/>
    <xf numFmtId="0" fontId="22" fillId="40" borderId="98" applyNumberFormat="0" applyAlignment="0" applyProtection="0"/>
    <xf numFmtId="0" fontId="8" fillId="28" borderId="127" applyNumberFormat="0" applyFont="0" applyAlignment="0" applyProtection="0"/>
    <xf numFmtId="0" fontId="32" fillId="41" borderId="120" applyNumberFormat="0" applyAlignment="0" applyProtection="0"/>
    <xf numFmtId="0" fontId="22" fillId="40" borderId="130" applyNumberFormat="0" applyAlignment="0" applyProtection="0"/>
    <xf numFmtId="0" fontId="29" fillId="25" borderId="118" applyNumberFormat="0" applyAlignment="0" applyProtection="0"/>
    <xf numFmtId="0" fontId="22" fillId="40" borderId="118" applyNumberFormat="0" applyAlignment="0" applyProtection="0"/>
    <xf numFmtId="0" fontId="32" fillId="41" borderId="116" applyNumberFormat="0" applyAlignment="0" applyProtection="0"/>
    <xf numFmtId="0" fontId="29" fillId="25" borderId="130" applyNumberFormat="0" applyAlignment="0" applyProtection="0"/>
    <xf numFmtId="0" fontId="11" fillId="41" borderId="118" applyNumberFormat="0" applyAlignment="0" applyProtection="0"/>
    <xf numFmtId="0" fontId="19" fillId="28" borderId="115" applyNumberFormat="0" applyFont="0" applyAlignment="0" applyProtection="0"/>
    <xf numFmtId="0" fontId="8" fillId="28" borderId="115" applyNumberFormat="0" applyFont="0" applyAlignment="0" applyProtection="0"/>
    <xf numFmtId="0" fontId="11" fillId="41" borderId="122" applyNumberFormat="0" applyAlignment="0" applyProtection="0"/>
    <xf numFmtId="0" fontId="32" fillId="41" borderId="120" applyNumberFormat="0" applyAlignment="0" applyProtection="0"/>
    <xf numFmtId="0" fontId="11" fillId="41" borderId="118" applyNumberFormat="0" applyAlignment="0" applyProtection="0"/>
    <xf numFmtId="0" fontId="11" fillId="41" borderId="130" applyNumberFormat="0" applyAlignment="0" applyProtection="0"/>
    <xf numFmtId="0" fontId="8" fillId="28" borderId="123" applyNumberFormat="0" applyFont="0" applyAlignment="0" applyProtection="0"/>
    <xf numFmtId="0" fontId="32" fillId="41" borderId="120" applyNumberFormat="0" applyAlignment="0" applyProtection="0"/>
    <xf numFmtId="0" fontId="8" fillId="28" borderId="119" applyNumberFormat="0" applyFont="0" applyAlignment="0" applyProtection="0"/>
    <xf numFmtId="0" fontId="22" fillId="40" borderId="122" applyNumberFormat="0" applyAlignment="0" applyProtection="0"/>
    <xf numFmtId="0" fontId="22" fillId="40" borderId="130" applyNumberFormat="0" applyAlignment="0" applyProtection="0"/>
    <xf numFmtId="0" fontId="8" fillId="28" borderId="115" applyNumberFormat="0" applyFont="0" applyAlignment="0" applyProtection="0"/>
    <xf numFmtId="0" fontId="19" fillId="28" borderId="119" applyNumberFormat="0" applyFont="0" applyAlignment="0" applyProtection="0"/>
    <xf numFmtId="0" fontId="29" fillId="25" borderId="126" applyNumberFormat="0" applyAlignment="0" applyProtection="0"/>
    <xf numFmtId="0" fontId="11" fillId="41" borderId="118" applyNumberFormat="0" applyAlignment="0" applyProtection="0"/>
    <xf numFmtId="0" fontId="11" fillId="41" borderId="114" applyNumberFormat="0" applyAlignment="0" applyProtection="0"/>
    <xf numFmtId="0" fontId="22" fillId="40" borderId="118" applyNumberFormat="0" applyAlignment="0" applyProtection="0"/>
    <xf numFmtId="0" fontId="29" fillId="25" borderId="126" applyNumberFormat="0" applyAlignment="0" applyProtection="0"/>
    <xf numFmtId="0" fontId="22" fillId="40" borderId="118" applyNumberFormat="0" applyAlignment="0" applyProtection="0"/>
    <xf numFmtId="0" fontId="22" fillId="40" borderId="122" applyNumberFormat="0" applyAlignment="0" applyProtection="0"/>
    <xf numFmtId="0" fontId="32" fillId="41" borderId="120" applyNumberFormat="0" applyAlignment="0" applyProtection="0"/>
    <xf numFmtId="0" fontId="8" fillId="28" borderId="115" applyNumberFormat="0" applyFont="0" applyAlignment="0" applyProtection="0"/>
    <xf numFmtId="0" fontId="11" fillId="41" borderId="130" applyNumberFormat="0" applyAlignment="0" applyProtection="0"/>
    <xf numFmtId="0" fontId="22" fillId="40" borderId="130" applyNumberFormat="0" applyAlignment="0" applyProtection="0"/>
    <xf numFmtId="0" fontId="22" fillId="40" borderId="114" applyNumberFormat="0" applyAlignment="0" applyProtection="0"/>
    <xf numFmtId="0" fontId="22" fillId="40" borderId="114" applyNumberFormat="0" applyAlignment="0" applyProtection="0"/>
    <xf numFmtId="0" fontId="19" fillId="28" borderId="115" applyNumberFormat="0" applyFont="0" applyAlignment="0" applyProtection="0"/>
    <xf numFmtId="0" fontId="11" fillId="41" borderId="114" applyNumberFormat="0" applyAlignment="0" applyProtection="0"/>
    <xf numFmtId="0" fontId="29" fillId="25" borderId="114" applyNumberFormat="0" applyAlignment="0" applyProtection="0"/>
    <xf numFmtId="0" fontId="22" fillId="40" borderId="114" applyNumberFormat="0" applyAlignment="0" applyProtection="0"/>
    <xf numFmtId="0" fontId="29" fillId="25" borderId="114" applyNumberFormat="0" applyAlignment="0" applyProtection="0"/>
    <xf numFmtId="0" fontId="32" fillId="41" borderId="116" applyNumberFormat="0" applyAlignment="0" applyProtection="0"/>
    <xf numFmtId="0" fontId="11" fillId="41" borderId="118" applyNumberFormat="0" applyAlignment="0" applyProtection="0"/>
    <xf numFmtId="0" fontId="11" fillId="41" borderId="122" applyNumberFormat="0" applyAlignment="0" applyProtection="0"/>
    <xf numFmtId="0" fontId="32" fillId="41" borderId="124" applyNumberFormat="0" applyAlignment="0" applyProtection="0"/>
    <xf numFmtId="0" fontId="19" fillId="28" borderId="111" applyNumberFormat="0" applyFont="0" applyAlignment="0" applyProtection="0"/>
    <xf numFmtId="0" fontId="8" fillId="28" borderId="123" applyNumberFormat="0" applyFont="0" applyAlignment="0" applyProtection="0"/>
    <xf numFmtId="0" fontId="11" fillId="41" borderId="130" applyNumberFormat="0" applyAlignment="0" applyProtection="0"/>
    <xf numFmtId="0" fontId="11" fillId="41" borderId="110" applyNumberFormat="0" applyAlignment="0" applyProtection="0"/>
    <xf numFmtId="0" fontId="22" fillId="40" borderId="110" applyNumberFormat="0" applyAlignment="0" applyProtection="0"/>
    <xf numFmtId="0" fontId="29" fillId="25" borderId="130" applyNumberFormat="0" applyAlignment="0" applyProtection="0"/>
    <xf numFmtId="0" fontId="32" fillId="41" borderId="132" applyNumberFormat="0" applyAlignment="0" applyProtection="0"/>
    <xf numFmtId="0" fontId="11" fillId="41" borderId="118" applyNumberFormat="0" applyAlignment="0" applyProtection="0"/>
    <xf numFmtId="0" fontId="12" fillId="0" borderId="121" applyNumberFormat="0" applyFill="0" applyAlignment="0" applyProtection="0"/>
    <xf numFmtId="0" fontId="32" fillId="41" borderId="128" applyNumberFormat="0" applyAlignment="0" applyProtection="0"/>
    <xf numFmtId="0" fontId="12" fillId="0" borderId="129" applyNumberFormat="0" applyFill="0" applyAlignment="0" applyProtection="0"/>
    <xf numFmtId="0" fontId="11" fillId="41" borderId="130" applyNumberFormat="0" applyAlignment="0" applyProtection="0"/>
    <xf numFmtId="0" fontId="8" fillId="28" borderId="131" applyNumberFormat="0" applyFont="0" applyAlignment="0" applyProtection="0"/>
    <xf numFmtId="0" fontId="19" fillId="28" borderId="119" applyNumberFormat="0" applyFont="0" applyAlignment="0" applyProtection="0"/>
    <xf numFmtId="0" fontId="22" fillId="40" borderId="126" applyNumberFormat="0" applyAlignment="0" applyProtection="0"/>
    <xf numFmtId="0" fontId="19" fillId="28" borderId="123" applyNumberFormat="0" applyFont="0" applyAlignment="0" applyProtection="0"/>
    <xf numFmtId="0" fontId="11" fillId="41" borderId="122" applyNumberFormat="0" applyAlignment="0" applyProtection="0"/>
    <xf numFmtId="0" fontId="8" fillId="28" borderId="127" applyNumberFormat="0" applyFont="0" applyAlignment="0" applyProtection="0"/>
    <xf numFmtId="0" fontId="32" fillId="41" borderId="128" applyNumberFormat="0" applyAlignment="0" applyProtection="0"/>
    <xf numFmtId="0" fontId="8" fillId="28" borderId="131" applyNumberFormat="0" applyFont="0" applyAlignment="0" applyProtection="0"/>
    <xf numFmtId="0" fontId="22" fillId="40" borderId="130" applyNumberFormat="0" applyAlignment="0" applyProtection="0"/>
    <xf numFmtId="0" fontId="22" fillId="40" borderId="118" applyNumberFormat="0" applyAlignment="0" applyProtection="0"/>
    <xf numFmtId="0" fontId="29" fillId="25" borderId="118" applyNumberFormat="0" applyAlignment="0" applyProtection="0"/>
    <xf numFmtId="0" fontId="32" fillId="41" borderId="124" applyNumberFormat="0" applyAlignment="0" applyProtection="0"/>
    <xf numFmtId="0" fontId="22" fillId="40" borderId="122" applyNumberFormat="0" applyAlignment="0" applyProtection="0"/>
    <xf numFmtId="0" fontId="29" fillId="31" borderId="118" applyNumberFormat="0" applyAlignment="0" applyProtection="0"/>
    <xf numFmtId="0" fontId="22" fillId="40" borderId="126" applyNumberFormat="0" applyAlignment="0" applyProtection="0"/>
    <xf numFmtId="0" fontId="11" fillId="41" borderId="118" applyNumberFormat="0" applyAlignment="0" applyProtection="0"/>
    <xf numFmtId="0" fontId="22" fillId="40" borderId="126" applyNumberFormat="0" applyAlignment="0" applyProtection="0"/>
    <xf numFmtId="0" fontId="29" fillId="25" borderId="130" applyNumberFormat="0" applyAlignment="0" applyProtection="0"/>
    <xf numFmtId="0" fontId="8" fillId="28" borderId="131" applyNumberFormat="0" applyFont="0" applyAlignment="0" applyProtection="0"/>
    <xf numFmtId="0" fontId="8" fillId="28" borderId="131" applyNumberFormat="0" applyFont="0" applyAlignment="0" applyProtection="0"/>
    <xf numFmtId="0" fontId="29" fillId="31" borderId="130" applyNumberFormat="0" applyAlignment="0" applyProtection="0"/>
    <xf numFmtId="0" fontId="29" fillId="25" borderId="118" applyNumberFormat="0" applyAlignment="0" applyProtection="0"/>
    <xf numFmtId="0" fontId="32" fillId="41" borderId="120" applyNumberFormat="0" applyAlignment="0" applyProtection="0"/>
    <xf numFmtId="0" fontId="29" fillId="25" borderId="110" applyNumberFormat="0" applyAlignment="0" applyProtection="0"/>
    <xf numFmtId="0" fontId="11" fillId="41" borderId="118" applyNumberFormat="0" applyAlignment="0" applyProtection="0"/>
    <xf numFmtId="0" fontId="29" fillId="31" borderId="122" applyNumberFormat="0" applyAlignment="0" applyProtection="0"/>
    <xf numFmtId="0" fontId="8" fillId="28" borderId="119" applyNumberFormat="0" applyFont="0" applyAlignment="0" applyProtection="0"/>
    <xf numFmtId="0" fontId="12" fillId="0" borderId="121" applyNumberFormat="0" applyFill="0" applyAlignment="0" applyProtection="0"/>
    <xf numFmtId="0" fontId="11" fillId="41" borderId="114" applyNumberFormat="0" applyAlignment="0" applyProtection="0"/>
    <xf numFmtId="0" fontId="32" fillId="41" borderId="116" applyNumberFormat="0" applyAlignment="0" applyProtection="0"/>
    <xf numFmtId="0" fontId="32" fillId="41" borderId="124" applyNumberFormat="0" applyAlignment="0" applyProtection="0"/>
    <xf numFmtId="0" fontId="29" fillId="31" borderId="118" applyNumberFormat="0" applyAlignment="0" applyProtection="0"/>
    <xf numFmtId="0" fontId="12" fillId="0" borderId="125" applyNumberFormat="0" applyFill="0" applyAlignment="0" applyProtection="0"/>
    <xf numFmtId="0" fontId="8" fillId="28" borderId="115" applyNumberFormat="0" applyFont="0" applyAlignment="0" applyProtection="0"/>
    <xf numFmtId="0" fontId="29" fillId="25" borderId="114" applyNumberFormat="0" applyAlignment="0" applyProtection="0"/>
    <xf numFmtId="0" fontId="29" fillId="31" borderId="130" applyNumberFormat="0" applyAlignment="0" applyProtection="0"/>
    <xf numFmtId="0" fontId="22" fillId="40" borderId="118" applyNumberFormat="0" applyAlignment="0" applyProtection="0"/>
    <xf numFmtId="0" fontId="29" fillId="25" borderId="130" applyNumberFormat="0" applyAlignment="0" applyProtection="0"/>
    <xf numFmtId="0" fontId="29" fillId="25" borderId="106" applyNumberFormat="0" applyAlignment="0" applyProtection="0"/>
    <xf numFmtId="0" fontId="11" fillId="41" borderId="106" applyNumberForma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8" fillId="28" borderId="107" applyNumberFormat="0" applyFont="0" applyAlignment="0" applyProtection="0"/>
    <xf numFmtId="0" fontId="8" fillId="28" borderId="107" applyNumberFormat="0" applyFont="0" applyAlignment="0" applyProtection="0"/>
    <xf numFmtId="0" fontId="22" fillId="40" borderId="106" applyNumberFormat="0" applyAlignment="0" applyProtection="0"/>
    <xf numFmtId="0" fontId="11" fillId="41" borderId="106" applyNumberFormat="0" applyAlignment="0" applyProtection="0"/>
    <xf numFmtId="0" fontId="29" fillId="25" borderId="106" applyNumberFormat="0" applyAlignment="0" applyProtection="0"/>
    <xf numFmtId="0" fontId="29" fillId="31" borderId="106" applyNumberFormat="0" applyAlignment="0" applyProtection="0"/>
    <xf numFmtId="0" fontId="32" fillId="41" borderId="108" applyNumberFormat="0" applyAlignment="0" applyProtection="0"/>
    <xf numFmtId="0" fontId="29" fillId="25"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8" fillId="28" borderId="107" applyNumberFormat="0" applyFont="0" applyAlignment="0" applyProtection="0"/>
    <xf numFmtId="0" fontId="32" fillId="41" borderId="108" applyNumberFormat="0" applyAlignment="0" applyProtection="0"/>
    <xf numFmtId="0" fontId="12" fillId="0" borderId="109" applyNumberFormat="0" applyFill="0" applyAlignment="0" applyProtection="0"/>
    <xf numFmtId="0" fontId="22" fillId="40" borderId="118" applyNumberFormat="0" applyAlignment="0" applyProtection="0"/>
    <xf numFmtId="0" fontId="22" fillId="40" borderId="114" applyNumberFormat="0" applyAlignment="0" applyProtection="0"/>
    <xf numFmtId="0" fontId="19" fillId="28" borderId="115" applyNumberFormat="0" applyFont="0" applyAlignment="0" applyProtection="0"/>
    <xf numFmtId="0" fontId="32" fillId="41" borderId="120" applyNumberFormat="0" applyAlignment="0" applyProtection="0"/>
    <xf numFmtId="0" fontId="29" fillId="25" borderId="114" applyNumberFormat="0" applyAlignment="0" applyProtection="0"/>
    <xf numFmtId="0" fontId="22" fillId="40" borderId="114" applyNumberFormat="0" applyAlignment="0" applyProtection="0"/>
    <xf numFmtId="0" fontId="8" fillId="28" borderId="115" applyNumberFormat="0" applyFont="0" applyAlignment="0" applyProtection="0"/>
    <xf numFmtId="0" fontId="22" fillId="40" borderId="114" applyNumberFormat="0" applyAlignment="0" applyProtection="0"/>
    <xf numFmtId="0" fontId="8" fillId="28" borderId="131" applyNumberFormat="0" applyFont="0" applyAlignment="0" applyProtection="0"/>
    <xf numFmtId="0" fontId="11" fillId="41" borderId="122" applyNumberFormat="0" applyAlignment="0" applyProtection="0"/>
    <xf numFmtId="0" fontId="22" fillId="40" borderId="118" applyNumberFormat="0" applyAlignment="0" applyProtection="0"/>
    <xf numFmtId="0" fontId="12" fillId="0" borderId="117" applyNumberFormat="0" applyFill="0" applyAlignment="0" applyProtection="0"/>
    <xf numFmtId="0" fontId="32" fillId="41" borderId="116" applyNumberFormat="0" applyAlignment="0" applyProtection="0"/>
    <xf numFmtId="0" fontId="8" fillId="28" borderId="115" applyNumberFormat="0" applyFont="0" applyAlignment="0" applyProtection="0"/>
    <xf numFmtId="0" fontId="11" fillId="41" borderId="114" applyNumberFormat="0" applyAlignment="0" applyProtection="0"/>
    <xf numFmtId="0" fontId="29" fillId="25" borderId="122" applyNumberFormat="0" applyAlignment="0" applyProtection="0"/>
    <xf numFmtId="0" fontId="11" fillId="41" borderId="106" applyNumberFormat="0" applyAlignment="0" applyProtection="0"/>
    <xf numFmtId="0" fontId="8" fillId="28" borderId="123" applyNumberFormat="0" applyFont="0" applyAlignment="0" applyProtection="0"/>
    <xf numFmtId="0" fontId="12" fillId="0" borderId="113" applyNumberFormat="0" applyFill="0" applyAlignment="0" applyProtection="0"/>
    <xf numFmtId="0" fontId="8" fillId="28" borderId="119" applyNumberFormat="0" applyFont="0" applyAlignment="0" applyProtection="0"/>
    <xf numFmtId="0" fontId="8" fillId="28" borderId="111" applyNumberFormat="0" applyFont="0" applyAlignment="0" applyProtection="0"/>
    <xf numFmtId="0" fontId="22" fillId="40"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22" fillId="40" borderId="106" applyNumberFormat="0" applyAlignment="0" applyProtection="0"/>
    <xf numFmtId="0" fontId="12" fillId="0" borderId="109" applyNumberFormat="0" applyFill="0" applyAlignment="0" applyProtection="0"/>
    <xf numFmtId="0" fontId="22" fillId="40" borderId="106" applyNumberFormat="0" applyAlignment="0" applyProtection="0"/>
    <xf numFmtId="0" fontId="8" fillId="28" borderId="107" applyNumberFormat="0" applyFont="0" applyAlignment="0" applyProtection="0"/>
    <xf numFmtId="0" fontId="11" fillId="41" borderId="106" applyNumberFormat="0" applyAlignment="0" applyProtection="0"/>
    <xf numFmtId="0" fontId="19" fillId="28" borderId="107" applyNumberFormat="0" applyFont="0" applyAlignment="0" applyProtection="0"/>
    <xf numFmtId="0" fontId="32" fillId="41" borderId="108" applyNumberFormat="0" applyAlignment="0" applyProtection="0"/>
    <xf numFmtId="0" fontId="11" fillId="41" borderId="106" applyNumberFormat="0" applyAlignment="0" applyProtection="0"/>
    <xf numFmtId="0" fontId="8" fillId="28" borderId="123" applyNumberFormat="0" applyFont="0" applyAlignment="0" applyProtection="0"/>
    <xf numFmtId="0" fontId="29" fillId="25" borderId="106" applyNumberFormat="0" applyAlignment="0" applyProtection="0"/>
    <xf numFmtId="0" fontId="32" fillId="41" borderId="108" applyNumberFormat="0" applyAlignment="0" applyProtection="0"/>
    <xf numFmtId="0" fontId="29" fillId="25" borderId="118" applyNumberFormat="0" applyAlignment="0" applyProtection="0"/>
    <xf numFmtId="0" fontId="22" fillId="40" borderId="106" applyNumberFormat="0" applyAlignment="0" applyProtection="0"/>
    <xf numFmtId="0" fontId="22" fillId="40" borderId="130" applyNumberFormat="0" applyAlignment="0" applyProtection="0"/>
    <xf numFmtId="0" fontId="29" fillId="31" borderId="110" applyNumberFormat="0" applyAlignment="0" applyProtection="0"/>
    <xf numFmtId="0" fontId="32" fillId="41" borderId="120" applyNumberFormat="0" applyAlignment="0" applyProtection="0"/>
    <xf numFmtId="0" fontId="32" fillId="41" borderId="124" applyNumberFormat="0" applyAlignment="0" applyProtection="0"/>
    <xf numFmtId="0" fontId="11" fillId="41" borderId="114" applyNumberFormat="0" applyAlignment="0" applyProtection="0"/>
    <xf numFmtId="0" fontId="29" fillId="31" borderId="114" applyNumberFormat="0" applyAlignment="0" applyProtection="0"/>
    <xf numFmtId="0" fontId="32" fillId="41" borderId="132" applyNumberFormat="0" applyAlignment="0" applyProtection="0"/>
    <xf numFmtId="0" fontId="11" fillId="41" borderId="114" applyNumberFormat="0" applyAlignment="0" applyProtection="0"/>
    <xf numFmtId="0" fontId="8" fillId="28" borderId="119" applyNumberFormat="0" applyFont="0" applyAlignment="0" applyProtection="0"/>
    <xf numFmtId="0" fontId="29" fillId="25" borderId="118" applyNumberFormat="0" applyAlignment="0" applyProtection="0"/>
    <xf numFmtId="0" fontId="32" fillId="41" borderId="116" applyNumberFormat="0" applyAlignment="0" applyProtection="0"/>
    <xf numFmtId="0" fontId="29" fillId="31" borderId="114" applyNumberFormat="0" applyAlignment="0" applyProtection="0"/>
    <xf numFmtId="0" fontId="11" fillId="41" borderId="126" applyNumberFormat="0" applyAlignment="0" applyProtection="0"/>
    <xf numFmtId="0" fontId="29" fillId="25" borderId="118" applyNumberFormat="0" applyAlignment="0" applyProtection="0"/>
    <xf numFmtId="0" fontId="29" fillId="25" borderId="126" applyNumberFormat="0" applyAlignment="0" applyProtection="0"/>
    <xf numFmtId="0" fontId="11" fillId="41" borderId="106" applyNumberForma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8" fillId="28" borderId="119" applyNumberFormat="0" applyFont="0" applyAlignment="0" applyProtection="0"/>
    <xf numFmtId="0" fontId="8" fillId="28" borderId="123" applyNumberFormat="0" applyFont="0" applyAlignment="0" applyProtection="0"/>
    <xf numFmtId="0" fontId="32" fillId="41" borderId="116" applyNumberFormat="0" applyAlignment="0" applyProtection="0"/>
    <xf numFmtId="0" fontId="29" fillId="25" borderId="114" applyNumberFormat="0" applyAlignment="0" applyProtection="0"/>
    <xf numFmtId="0" fontId="32" fillId="41" borderId="116" applyNumberFormat="0" applyAlignment="0" applyProtection="0"/>
    <xf numFmtId="0" fontId="8" fillId="28" borderId="131" applyNumberFormat="0" applyFont="0" applyAlignment="0" applyProtection="0"/>
    <xf numFmtId="0" fontId="12" fillId="0" borderId="117" applyNumberFormat="0" applyFill="0" applyAlignment="0" applyProtection="0"/>
    <xf numFmtId="0" fontId="11" fillId="41" borderId="114" applyNumberFormat="0" applyAlignment="0" applyProtection="0"/>
    <xf numFmtId="0" fontId="22" fillId="40" borderId="114" applyNumberFormat="0" applyAlignment="0" applyProtection="0"/>
    <xf numFmtId="0" fontId="11" fillId="41" borderId="130" applyNumberFormat="0" applyAlignment="0" applyProtection="0"/>
    <xf numFmtId="0" fontId="19" fillId="28" borderId="119" applyNumberFormat="0" applyFont="0" applyAlignment="0" applyProtection="0"/>
    <xf numFmtId="0" fontId="22" fillId="40" borderId="118" applyNumberFormat="0" applyAlignment="0" applyProtection="0"/>
    <xf numFmtId="0" fontId="29" fillId="25" borderId="114" applyNumberFormat="0" applyAlignment="0" applyProtection="0"/>
    <xf numFmtId="0" fontId="8" fillId="28" borderId="115" applyNumberFormat="0" applyFont="0" applyAlignment="0" applyProtection="0"/>
    <xf numFmtId="0" fontId="22" fillId="40" borderId="114" applyNumberFormat="0" applyAlignment="0" applyProtection="0"/>
    <xf numFmtId="0" fontId="19" fillId="28" borderId="131" applyNumberFormat="0" applyFont="0" applyAlignment="0" applyProtection="0"/>
    <xf numFmtId="0" fontId="32" fillId="41" borderId="132" applyNumberFormat="0" applyAlignment="0" applyProtection="0"/>
    <xf numFmtId="0" fontId="8" fillId="28" borderId="131" applyNumberFormat="0" applyFont="0" applyAlignment="0" applyProtection="0"/>
    <xf numFmtId="0" fontId="22" fillId="40" borderId="126" applyNumberFormat="0" applyAlignment="0" applyProtection="0"/>
    <xf numFmtId="0" fontId="11" fillId="41" borderId="122" applyNumberFormat="0" applyAlignment="0" applyProtection="0"/>
    <xf numFmtId="0" fontId="12" fillId="0" borderId="109" applyNumberFormat="0" applyFill="0" applyAlignment="0" applyProtection="0"/>
    <xf numFmtId="0" fontId="32" fillId="41" borderId="108" applyNumberFormat="0" applyAlignment="0" applyProtection="0"/>
    <xf numFmtId="0" fontId="32" fillId="41" borderId="112" applyNumberFormat="0" applyAlignment="0" applyProtection="0"/>
    <xf numFmtId="0" fontId="11" fillId="41"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8" fillId="28" borderId="119" applyNumberFormat="0" applyFont="0" applyAlignment="0" applyProtection="0"/>
    <xf numFmtId="0" fontId="29" fillId="25" borderId="106" applyNumberFormat="0" applyAlignment="0" applyProtection="0"/>
    <xf numFmtId="0" fontId="29" fillId="31" borderId="106" applyNumberFormat="0" applyAlignment="0" applyProtection="0"/>
    <xf numFmtId="0" fontId="29" fillId="25" borderId="130" applyNumberFormat="0" applyAlignment="0" applyProtection="0"/>
    <xf numFmtId="0" fontId="32" fillId="41" borderId="132" applyNumberFormat="0" applyAlignment="0" applyProtection="0"/>
    <xf numFmtId="0" fontId="12" fillId="0" borderId="109" applyNumberFormat="0" applyFill="0" applyAlignment="0" applyProtection="0"/>
    <xf numFmtId="0" fontId="22" fillId="40" borderId="130" applyNumberFormat="0" applyAlignment="0" applyProtection="0"/>
    <xf numFmtId="0" fontId="19" fillId="28" borderId="131" applyNumberFormat="0" applyFont="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8" fillId="28" borderId="107" applyNumberFormat="0" applyFont="0" applyAlignment="0" applyProtection="0"/>
    <xf numFmtId="0" fontId="11" fillId="41" borderId="106" applyNumberFormat="0" applyAlignment="0" applyProtection="0"/>
    <xf numFmtId="0" fontId="11" fillId="41" borderId="106" applyNumberForma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11" fillId="41" borderId="106" applyNumberFormat="0" applyAlignment="0" applyProtection="0"/>
    <xf numFmtId="0" fontId="29" fillId="31" borderId="106" applyNumberFormat="0" applyAlignment="0" applyProtection="0"/>
    <xf numFmtId="0" fontId="29" fillId="31"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12" fillId="0" borderId="109" applyNumberFormat="0" applyFill="0" applyAlignment="0" applyProtection="0"/>
    <xf numFmtId="0" fontId="29" fillId="25" borderId="106" applyNumberFormat="0" applyAlignment="0" applyProtection="0"/>
    <xf numFmtId="0" fontId="19" fillId="28" borderId="107" applyNumberFormat="0" applyFont="0" applyAlignment="0" applyProtection="0"/>
    <xf numFmtId="0" fontId="19" fillId="28" borderId="107" applyNumberFormat="0" applyFont="0" applyAlignment="0" applyProtection="0"/>
    <xf numFmtId="0" fontId="11" fillId="41"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11" fillId="41" borderId="106" applyNumberFormat="0" applyAlignment="0" applyProtection="0"/>
    <xf numFmtId="0" fontId="12" fillId="0" borderId="109" applyNumberFormat="0" applyFill="0" applyAlignment="0" applyProtection="0"/>
    <xf numFmtId="0" fontId="32" fillId="41" borderId="108" applyNumberFormat="0" applyAlignment="0" applyProtection="0"/>
    <xf numFmtId="0" fontId="32" fillId="41" borderId="108" applyNumberFormat="0" applyAlignment="0" applyProtection="0"/>
    <xf numFmtId="0" fontId="19" fillId="28" borderId="107" applyNumberFormat="0" applyFont="0" applyAlignment="0" applyProtection="0"/>
    <xf numFmtId="0" fontId="19" fillId="28" borderId="107" applyNumberFormat="0" applyFont="0" applyAlignment="0" applyProtection="0"/>
    <xf numFmtId="0" fontId="22" fillId="40" borderId="106" applyNumberFormat="0" applyAlignment="0" applyProtection="0"/>
    <xf numFmtId="0" fontId="8" fillId="28" borderId="107" applyNumberFormat="0" applyFont="0" applyAlignment="0" applyProtection="0"/>
    <xf numFmtId="0" fontId="8" fillId="28" borderId="107" applyNumberFormat="0" applyFont="0" applyAlignment="0" applyProtection="0"/>
    <xf numFmtId="0" fontId="11" fillId="41" borderId="106" applyNumberForma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12" fillId="0" borderId="109" applyNumberFormat="0" applyFill="0" applyAlignment="0" applyProtection="0"/>
    <xf numFmtId="0" fontId="32" fillId="41" borderId="108" applyNumberFormat="0" applyAlignment="0" applyProtection="0"/>
    <xf numFmtId="0" fontId="12" fillId="0" borderId="109" applyNumberFormat="0" applyFill="0" applyAlignment="0" applyProtection="0"/>
    <xf numFmtId="0" fontId="29" fillId="25" borderId="106" applyNumberFormat="0" applyAlignment="0" applyProtection="0"/>
    <xf numFmtId="0" fontId="32" fillId="41" borderId="108" applyNumberFormat="0" applyAlignment="0" applyProtection="0"/>
    <xf numFmtId="0" fontId="19" fillId="28" borderId="107" applyNumberFormat="0" applyFont="0" applyAlignment="0" applyProtection="0"/>
    <xf numFmtId="0" fontId="32" fillId="41" borderId="108" applyNumberFormat="0" applyAlignment="0" applyProtection="0"/>
    <xf numFmtId="0" fontId="29" fillId="25" borderId="106" applyNumberFormat="0" applyAlignment="0" applyProtection="0"/>
    <xf numFmtId="0" fontId="12" fillId="0" borderId="109" applyNumberFormat="0" applyFill="0" applyAlignment="0" applyProtection="0"/>
    <xf numFmtId="0" fontId="32" fillId="41" borderId="108" applyNumberFormat="0" applyAlignment="0" applyProtection="0"/>
    <xf numFmtId="0" fontId="11" fillId="41"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22" fillId="40" borderId="106"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29" fillId="31" borderId="106" applyNumberFormat="0" applyAlignment="0" applyProtection="0"/>
    <xf numFmtId="0" fontId="12" fillId="0" borderId="109" applyNumberFormat="0" applyFill="0" applyAlignment="0" applyProtection="0"/>
    <xf numFmtId="0" fontId="12" fillId="0" borderId="109" applyNumberFormat="0" applyFill="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32" fillId="41" borderId="108" applyNumberFormat="0" applyAlignment="0" applyProtection="0"/>
    <xf numFmtId="0" fontId="29" fillId="25" borderId="106" applyNumberFormat="0" applyAlignment="0" applyProtection="0"/>
    <xf numFmtId="0" fontId="29" fillId="31" borderId="106" applyNumberFormat="0" applyAlignment="0" applyProtection="0"/>
    <xf numFmtId="0" fontId="32" fillId="41" borderId="108" applyNumberFormat="0" applyAlignment="0" applyProtection="0"/>
    <xf numFmtId="0" fontId="11" fillId="41" borderId="106" applyNumberFormat="0" applyAlignment="0" applyProtection="0"/>
    <xf numFmtId="0" fontId="12" fillId="0" borderId="109" applyNumberFormat="0" applyFill="0" applyAlignment="0" applyProtection="0"/>
    <xf numFmtId="0" fontId="19" fillId="28" borderId="107" applyNumberFormat="0" applyFont="0" applyAlignment="0" applyProtection="0"/>
    <xf numFmtId="0" fontId="29" fillId="31" borderId="106" applyNumberFormat="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29" fillId="31" borderId="106" applyNumberFormat="0" applyAlignment="0" applyProtection="0"/>
    <xf numFmtId="0" fontId="12" fillId="0" borderId="109" applyNumberFormat="0" applyFill="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12" fillId="0" borderId="109" applyNumberFormat="0" applyFill="0" applyAlignment="0" applyProtection="0"/>
    <xf numFmtId="0" fontId="11" fillId="41"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29" fillId="31" borderId="106" applyNumberFormat="0" applyAlignment="0" applyProtection="0"/>
    <xf numFmtId="0" fontId="12" fillId="0" borderId="109" applyNumberFormat="0" applyFill="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0" fontId="32" fillId="41" borderId="108" applyNumberFormat="0" applyAlignment="0" applyProtection="0"/>
    <xf numFmtId="0" fontId="11" fillId="41" borderId="106" applyNumberFormat="0" applyAlignment="0" applyProtection="0"/>
    <xf numFmtId="0" fontId="11" fillId="41" borderId="106" applyNumberFormat="0" applyAlignment="0" applyProtection="0"/>
    <xf numFmtId="0" fontId="22" fillId="40" borderId="106" applyNumberFormat="0" applyAlignment="0" applyProtection="0"/>
    <xf numFmtId="0" fontId="32" fillId="41" borderId="108"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8" fillId="28" borderId="107" applyNumberFormat="0" applyFont="0" applyAlignment="0" applyProtection="0"/>
    <xf numFmtId="0" fontId="12" fillId="0" borderId="109" applyNumberFormat="0" applyFill="0" applyAlignment="0" applyProtection="0"/>
    <xf numFmtId="0" fontId="11" fillId="41" borderId="106" applyNumberFormat="0" applyAlignment="0" applyProtection="0"/>
    <xf numFmtId="0" fontId="22" fillId="40"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25" borderId="106" applyNumberFormat="0" applyAlignment="0" applyProtection="0"/>
    <xf numFmtId="0" fontId="29" fillId="31" borderId="106" applyNumberFormat="0" applyAlignment="0" applyProtection="0"/>
    <xf numFmtId="0" fontId="29" fillId="31" borderId="106" applyNumberFormat="0" applyAlignment="0" applyProtection="0"/>
    <xf numFmtId="0" fontId="12" fillId="0" borderId="109" applyNumberFormat="0" applyFill="0" applyAlignment="0" applyProtection="0"/>
    <xf numFmtId="0" fontId="12" fillId="0" borderId="109" applyNumberFormat="0" applyFill="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9" fillId="31" borderId="106" applyNumberFormat="0" applyAlignment="0" applyProtection="0"/>
    <xf numFmtId="0" fontId="11" fillId="41" borderId="106" applyNumberFormat="0" applyAlignment="0" applyProtection="0"/>
    <xf numFmtId="0" fontId="22" fillId="40" borderId="106" applyNumberFormat="0" applyAlignment="0" applyProtection="0"/>
    <xf numFmtId="0" fontId="11" fillId="41" borderId="106" applyNumberFormat="0" applyAlignment="0" applyProtection="0"/>
    <xf numFmtId="0" fontId="8" fillId="28" borderId="107" applyNumberFormat="0" applyFont="0" applyAlignment="0" applyProtection="0"/>
    <xf numFmtId="0" fontId="32" fillId="41" borderId="108" applyNumberFormat="0" applyAlignment="0" applyProtection="0"/>
    <xf numFmtId="0" fontId="29" fillId="31" borderId="106" applyNumberFormat="0" applyAlignment="0" applyProtection="0"/>
    <xf numFmtId="0" fontId="8" fillId="28" borderId="107" applyNumberFormat="0" applyFont="0" applyAlignment="0" applyProtection="0"/>
    <xf numFmtId="0" fontId="19" fillId="28" borderId="107" applyNumberFormat="0" applyFont="0" applyAlignment="0" applyProtection="0"/>
    <xf numFmtId="0" fontId="29" fillId="25" borderId="106" applyNumberFormat="0" applyAlignment="0" applyProtection="0"/>
    <xf numFmtId="0" fontId="29" fillId="31" borderId="106" applyNumberFormat="0" applyAlignment="0" applyProtection="0"/>
    <xf numFmtId="0" fontId="12" fillId="0" borderId="109" applyNumberFormat="0" applyFill="0" applyAlignment="0" applyProtection="0"/>
    <xf numFmtId="0" fontId="12" fillId="0" borderId="109" applyNumberFormat="0" applyFill="0" applyAlignment="0" applyProtection="0"/>
    <xf numFmtId="0" fontId="29" fillId="31" borderId="106" applyNumberFormat="0" applyAlignment="0" applyProtection="0"/>
    <xf numFmtId="0" fontId="29" fillId="25" borderId="106" applyNumberFormat="0" applyAlignment="0" applyProtection="0"/>
    <xf numFmtId="0" fontId="19" fillId="28" borderId="107" applyNumberFormat="0" applyFont="0" applyAlignment="0" applyProtection="0"/>
    <xf numFmtId="0" fontId="22" fillId="40" borderId="106" applyNumberFormat="0" applyAlignment="0" applyProtection="0"/>
    <xf numFmtId="43" fontId="1" fillId="0" borderId="0" applyFont="0" applyFill="0" applyBorder="0" applyAlignment="0" applyProtection="0"/>
    <xf numFmtId="0" fontId="8" fillId="28" borderId="119" applyNumberFormat="0" applyFont="0" applyAlignment="0" applyProtection="0"/>
    <xf numFmtId="0" fontId="29" fillId="31" borderId="122" applyNumberFormat="0" applyAlignment="0" applyProtection="0"/>
    <xf numFmtId="0" fontId="11" fillId="41" borderId="122" applyNumberFormat="0" applyAlignment="0" applyProtection="0"/>
    <xf numFmtId="0" fontId="11" fillId="41" borderId="130" applyNumberFormat="0" applyAlignment="0" applyProtection="0"/>
    <xf numFmtId="0" fontId="12" fillId="0" borderId="117" applyNumberFormat="0" applyFill="0" applyAlignment="0" applyProtection="0"/>
    <xf numFmtId="0" fontId="32" fillId="41" borderId="116" applyNumberFormat="0" applyAlignment="0" applyProtection="0"/>
    <xf numFmtId="0" fontId="19" fillId="28" borderId="123" applyNumberFormat="0" applyFont="0" applyAlignment="0" applyProtection="0"/>
    <xf numFmtId="0" fontId="11" fillId="41" borderId="114" applyNumberFormat="0" applyAlignment="0" applyProtection="0"/>
    <xf numFmtId="0" fontId="22" fillId="40" borderId="114" applyNumberFormat="0" applyAlignment="0" applyProtection="0"/>
    <xf numFmtId="0" fontId="11" fillId="41"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31" borderId="114"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19" fillId="28" borderId="123" applyNumberFormat="0" applyFont="0" applyAlignment="0" applyProtection="0"/>
    <xf numFmtId="0" fontId="29" fillId="25"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12" fillId="0" borderId="133" applyNumberFormat="0" applyFill="0" applyAlignment="0" applyProtection="0"/>
    <xf numFmtId="0" fontId="8" fillId="28" borderId="115" applyNumberFormat="0" applyFont="0" applyAlignment="0" applyProtection="0"/>
    <xf numFmtId="0" fontId="11" fillId="41" borderId="114" applyNumberFormat="0" applyAlignment="0" applyProtection="0"/>
    <xf numFmtId="0" fontId="11" fillId="41" borderId="114" applyNumberFormat="0" applyAlignment="0" applyProtection="0"/>
    <xf numFmtId="0" fontId="22" fillId="40" borderId="114" applyNumberFormat="0" applyAlignment="0" applyProtection="0"/>
    <xf numFmtId="0" fontId="32" fillId="41" borderId="116"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11" fillId="41" borderId="114" applyNumberFormat="0" applyAlignment="0" applyProtection="0"/>
    <xf numFmtId="0" fontId="29" fillId="31" borderId="114" applyNumberFormat="0" applyAlignment="0" applyProtection="0"/>
    <xf numFmtId="0" fontId="29" fillId="31" borderId="114" applyNumberFormat="0" applyAlignment="0" applyProtection="0"/>
    <xf numFmtId="0" fontId="22" fillId="40" borderId="114" applyNumberFormat="0" applyAlignment="0" applyProtection="0"/>
    <xf numFmtId="0" fontId="11" fillId="41"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31" borderId="114" applyNumberFormat="0" applyAlignment="0" applyProtection="0"/>
    <xf numFmtId="0" fontId="12" fillId="0" borderId="117" applyNumberFormat="0" applyFill="0" applyAlignment="0" applyProtection="0"/>
    <xf numFmtId="0" fontId="29" fillId="25" borderId="114" applyNumberFormat="0" applyAlignment="0" applyProtection="0"/>
    <xf numFmtId="0" fontId="19" fillId="28" borderId="115" applyNumberFormat="0" applyFont="0" applyAlignment="0" applyProtection="0"/>
    <xf numFmtId="0" fontId="19" fillId="28" borderId="115" applyNumberFormat="0" applyFont="0" applyAlignment="0" applyProtection="0"/>
    <xf numFmtId="0" fontId="11" fillId="41"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11" fillId="41" borderId="114" applyNumberFormat="0" applyAlignment="0" applyProtection="0"/>
    <xf numFmtId="0" fontId="12" fillId="0" borderId="117" applyNumberFormat="0" applyFill="0" applyAlignment="0" applyProtection="0"/>
    <xf numFmtId="0" fontId="32" fillId="41" borderId="116" applyNumberFormat="0" applyAlignment="0" applyProtection="0"/>
    <xf numFmtId="0" fontId="32" fillId="41" borderId="116" applyNumberFormat="0" applyAlignment="0" applyProtection="0"/>
    <xf numFmtId="0" fontId="19" fillId="28" borderId="115" applyNumberFormat="0" applyFont="0" applyAlignment="0" applyProtection="0"/>
    <xf numFmtId="0" fontId="19" fillId="28" borderId="115" applyNumberFormat="0" applyFont="0" applyAlignment="0" applyProtection="0"/>
    <xf numFmtId="0" fontId="22" fillId="40" borderId="114" applyNumberFormat="0" applyAlignment="0" applyProtection="0"/>
    <xf numFmtId="0" fontId="8" fillId="28" borderId="115" applyNumberFormat="0" applyFont="0" applyAlignment="0" applyProtection="0"/>
    <xf numFmtId="0" fontId="8" fillId="28" borderId="115" applyNumberFormat="0" applyFont="0" applyAlignment="0" applyProtection="0"/>
    <xf numFmtId="0" fontId="11" fillId="41" borderId="114" applyNumberFormat="0" applyAlignment="0" applyProtection="0"/>
    <xf numFmtId="0" fontId="22" fillId="40" borderId="114" applyNumberFormat="0" applyAlignment="0" applyProtection="0"/>
    <xf numFmtId="0" fontId="32" fillId="41" borderId="116"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12" fillId="0" borderId="117" applyNumberFormat="0" applyFill="0" applyAlignment="0" applyProtection="0"/>
    <xf numFmtId="0" fontId="32" fillId="41" borderId="116" applyNumberFormat="0" applyAlignment="0" applyProtection="0"/>
    <xf numFmtId="0" fontId="12" fillId="0" borderId="117" applyNumberFormat="0" applyFill="0" applyAlignment="0" applyProtection="0"/>
    <xf numFmtId="0" fontId="29" fillId="25" borderId="114" applyNumberFormat="0" applyAlignment="0" applyProtection="0"/>
    <xf numFmtId="0" fontId="32" fillId="41" borderId="116" applyNumberFormat="0" applyAlignment="0" applyProtection="0"/>
    <xf numFmtId="0" fontId="19" fillId="28" borderId="115" applyNumberFormat="0" applyFont="0" applyAlignment="0" applyProtection="0"/>
    <xf numFmtId="0" fontId="32" fillId="41" borderId="116" applyNumberFormat="0" applyAlignment="0" applyProtection="0"/>
    <xf numFmtId="0" fontId="29" fillId="25" borderId="114" applyNumberFormat="0" applyAlignment="0" applyProtection="0"/>
    <xf numFmtId="0" fontId="12" fillId="0" borderId="117" applyNumberFormat="0" applyFill="0" applyAlignment="0" applyProtection="0"/>
    <xf numFmtId="0" fontId="32" fillId="41" borderId="116" applyNumberFormat="0" applyAlignment="0" applyProtection="0"/>
    <xf numFmtId="0" fontId="11" fillId="41" borderId="114" applyNumberFormat="0" applyAlignment="0" applyProtection="0"/>
    <xf numFmtId="0" fontId="22" fillId="40" borderId="114" applyNumberFormat="0" applyAlignment="0" applyProtection="0"/>
    <xf numFmtId="0" fontId="11" fillId="41"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31" borderId="114" applyNumberFormat="0" applyAlignment="0" applyProtection="0"/>
    <xf numFmtId="0" fontId="22" fillId="40" borderId="114"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32" fillId="41" borderId="116"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32" fillId="41" borderId="116" applyNumberFormat="0" applyAlignment="0" applyProtection="0"/>
    <xf numFmtId="0" fontId="29" fillId="25" borderId="114" applyNumberFormat="0" applyAlignment="0" applyProtection="0"/>
    <xf numFmtId="0" fontId="29" fillId="31" borderId="114" applyNumberFormat="0" applyAlignment="0" applyProtection="0"/>
    <xf numFmtId="0" fontId="32" fillId="41" borderId="116" applyNumberFormat="0" applyAlignment="0" applyProtection="0"/>
    <xf numFmtId="0" fontId="11" fillId="41" borderId="114" applyNumberFormat="0" applyAlignment="0" applyProtection="0"/>
    <xf numFmtId="0" fontId="12" fillId="0" borderId="117" applyNumberFormat="0" applyFill="0" applyAlignment="0" applyProtection="0"/>
    <xf numFmtId="0" fontId="19" fillId="28" borderId="115" applyNumberFormat="0" applyFont="0" applyAlignment="0" applyProtection="0"/>
    <xf numFmtId="0" fontId="29" fillId="31" borderId="114" applyNumberFormat="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12" fillId="0" borderId="117" applyNumberFormat="0" applyFill="0" applyAlignment="0" applyProtection="0"/>
    <xf numFmtId="0" fontId="11" fillId="41" borderId="114" applyNumberFormat="0" applyAlignment="0" applyProtection="0"/>
    <xf numFmtId="0" fontId="22" fillId="40" borderId="114" applyNumberFormat="0" applyAlignment="0" applyProtection="0"/>
    <xf numFmtId="0" fontId="11" fillId="41"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31" borderId="114"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32" fillId="41" borderId="116" applyNumberFormat="0" applyAlignment="0" applyProtection="0"/>
    <xf numFmtId="0" fontId="11" fillId="41" borderId="114" applyNumberFormat="0" applyAlignment="0" applyProtection="0"/>
    <xf numFmtId="0" fontId="11" fillId="41" borderId="114" applyNumberFormat="0" applyAlignment="0" applyProtection="0"/>
    <xf numFmtId="0" fontId="22" fillId="40" borderId="114" applyNumberFormat="0" applyAlignment="0" applyProtection="0"/>
    <xf numFmtId="0" fontId="32" fillId="41" borderId="116"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8" fillId="28" borderId="115" applyNumberFormat="0" applyFont="0" applyAlignment="0" applyProtection="0"/>
    <xf numFmtId="0" fontId="12" fillId="0" borderId="117" applyNumberFormat="0" applyFill="0" applyAlignment="0" applyProtection="0"/>
    <xf numFmtId="0" fontId="11" fillId="41" borderId="114" applyNumberFormat="0" applyAlignment="0" applyProtection="0"/>
    <xf numFmtId="0" fontId="22" fillId="40"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25" borderId="114" applyNumberFormat="0" applyAlignment="0" applyProtection="0"/>
    <xf numFmtId="0" fontId="29" fillId="31"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9" fillId="31" borderId="114" applyNumberFormat="0" applyAlignment="0" applyProtection="0"/>
    <xf numFmtId="0" fontId="11" fillId="41" borderId="114" applyNumberFormat="0" applyAlignment="0" applyProtection="0"/>
    <xf numFmtId="0" fontId="22" fillId="40" borderId="114" applyNumberFormat="0" applyAlignment="0" applyProtection="0"/>
    <xf numFmtId="0" fontId="11" fillId="41" borderId="114" applyNumberFormat="0" applyAlignment="0" applyProtection="0"/>
    <xf numFmtId="0" fontId="8" fillId="28" borderId="115" applyNumberFormat="0" applyFont="0" applyAlignment="0" applyProtection="0"/>
    <xf numFmtId="0" fontId="32" fillId="41" borderId="116" applyNumberFormat="0" applyAlignment="0" applyProtection="0"/>
    <xf numFmtId="0" fontId="29" fillId="31" borderId="114" applyNumberFormat="0" applyAlignment="0" applyProtection="0"/>
    <xf numFmtId="0" fontId="8" fillId="28" borderId="115" applyNumberFormat="0" applyFont="0" applyAlignment="0" applyProtection="0"/>
    <xf numFmtId="0" fontId="19" fillId="28" borderId="115" applyNumberFormat="0" applyFont="0" applyAlignment="0" applyProtection="0"/>
    <xf numFmtId="0" fontId="29" fillId="25" borderId="114" applyNumberFormat="0" applyAlignment="0" applyProtection="0"/>
    <xf numFmtId="0" fontId="29" fillId="31" borderId="114" applyNumberFormat="0" applyAlignment="0" applyProtection="0"/>
    <xf numFmtId="0" fontId="12" fillId="0" borderId="117" applyNumberFormat="0" applyFill="0" applyAlignment="0" applyProtection="0"/>
    <xf numFmtId="0" fontId="12" fillId="0" borderId="117" applyNumberFormat="0" applyFill="0" applyAlignment="0" applyProtection="0"/>
    <xf numFmtId="0" fontId="29" fillId="31" borderId="114" applyNumberFormat="0" applyAlignment="0" applyProtection="0"/>
    <xf numFmtId="0" fontId="29" fillId="25" borderId="114" applyNumberFormat="0" applyAlignment="0" applyProtection="0"/>
    <xf numFmtId="0" fontId="19" fillId="28" borderId="115" applyNumberFormat="0" applyFont="0" applyAlignment="0" applyProtection="0"/>
    <xf numFmtId="0" fontId="22" fillId="40" borderId="114" applyNumberFormat="0" applyAlignment="0" applyProtection="0"/>
    <xf numFmtId="0" fontId="22" fillId="40" borderId="130" applyNumberFormat="0" applyAlignment="0" applyProtection="0"/>
    <xf numFmtId="0" fontId="12" fillId="0" borderId="133" applyNumberFormat="0" applyFill="0" applyAlignment="0" applyProtection="0"/>
    <xf numFmtId="0" fontId="32" fillId="41" borderId="132" applyNumberFormat="0" applyAlignment="0" applyProtection="0"/>
    <xf numFmtId="0" fontId="29" fillId="25" borderId="122" applyNumberFormat="0" applyAlignment="0" applyProtection="0"/>
    <xf numFmtId="0" fontId="22" fillId="40" borderId="122" applyNumberFormat="0" applyAlignment="0" applyProtection="0"/>
    <xf numFmtId="0" fontId="29" fillId="25" borderId="122" applyNumberFormat="0" applyAlignment="0" applyProtection="0"/>
    <xf numFmtId="0" fontId="32" fillId="41" borderId="124" applyNumberFormat="0" applyAlignment="0" applyProtection="0"/>
    <xf numFmtId="0" fontId="32" fillId="41" borderId="132" applyNumberFormat="0" applyAlignment="0" applyProtection="0"/>
    <xf numFmtId="0" fontId="12" fillId="0" borderId="121" applyNumberFormat="0" applyFill="0" applyAlignment="0" applyProtection="0"/>
    <xf numFmtId="0" fontId="32" fillId="41" borderId="120" applyNumberFormat="0" applyAlignment="0" applyProtection="0"/>
    <xf numFmtId="0" fontId="19" fillId="28" borderId="131" applyNumberFormat="0" applyFont="0" applyAlignment="0" applyProtection="0"/>
    <xf numFmtId="0" fontId="11" fillId="41" borderId="118" applyNumberFormat="0" applyAlignment="0" applyProtection="0"/>
    <xf numFmtId="0" fontId="22" fillId="40" borderId="118" applyNumberFormat="0" applyAlignment="0" applyProtection="0"/>
    <xf numFmtId="0" fontId="11" fillId="41"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31" borderId="118"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11" fillId="41" borderId="130" applyNumberFormat="0" applyAlignment="0" applyProtection="0"/>
    <xf numFmtId="0" fontId="29" fillId="25"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8" fillId="28" borderId="119" applyNumberFormat="0" applyFont="0" applyAlignment="0" applyProtection="0"/>
    <xf numFmtId="0" fontId="11" fillId="41" borderId="118" applyNumberFormat="0" applyAlignment="0" applyProtection="0"/>
    <xf numFmtId="0" fontId="11" fillId="41" borderId="118" applyNumberFormat="0" applyAlignment="0" applyProtection="0"/>
    <xf numFmtId="0" fontId="22" fillId="40" borderId="118" applyNumberFormat="0" applyAlignment="0" applyProtection="0"/>
    <xf numFmtId="0" fontId="32" fillId="41" borderId="120"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11" fillId="41" borderId="118" applyNumberFormat="0" applyAlignment="0" applyProtection="0"/>
    <xf numFmtId="0" fontId="29" fillId="31" borderId="118" applyNumberFormat="0" applyAlignment="0" applyProtection="0"/>
    <xf numFmtId="0" fontId="29" fillId="31" borderId="118" applyNumberFormat="0" applyAlignment="0" applyProtection="0"/>
    <xf numFmtId="0" fontId="22" fillId="40" borderId="118" applyNumberFormat="0" applyAlignment="0" applyProtection="0"/>
    <xf numFmtId="0" fontId="11" fillId="41"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31" borderId="118" applyNumberFormat="0" applyAlignment="0" applyProtection="0"/>
    <xf numFmtId="0" fontId="12" fillId="0" borderId="121" applyNumberFormat="0" applyFill="0" applyAlignment="0" applyProtection="0"/>
    <xf numFmtId="0" fontId="29" fillId="25" borderId="118" applyNumberFormat="0" applyAlignment="0" applyProtection="0"/>
    <xf numFmtId="0" fontId="19" fillId="28" borderId="119" applyNumberFormat="0" applyFont="0" applyAlignment="0" applyProtection="0"/>
    <xf numFmtId="0" fontId="19" fillId="28" borderId="119" applyNumberFormat="0" applyFont="0" applyAlignment="0" applyProtection="0"/>
    <xf numFmtId="0" fontId="11" fillId="41"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11" fillId="41" borderId="118" applyNumberFormat="0" applyAlignment="0" applyProtection="0"/>
    <xf numFmtId="0" fontId="12" fillId="0" borderId="121" applyNumberFormat="0" applyFill="0" applyAlignment="0" applyProtection="0"/>
    <xf numFmtId="0" fontId="32" fillId="41" borderId="120" applyNumberFormat="0" applyAlignment="0" applyProtection="0"/>
    <xf numFmtId="0" fontId="32" fillId="41" borderId="120" applyNumberFormat="0" applyAlignment="0" applyProtection="0"/>
    <xf numFmtId="0" fontId="19" fillId="28" borderId="119" applyNumberFormat="0" applyFont="0" applyAlignment="0" applyProtection="0"/>
    <xf numFmtId="0" fontId="19" fillId="28" borderId="119" applyNumberFormat="0" applyFont="0" applyAlignment="0" applyProtection="0"/>
    <xf numFmtId="0" fontId="22" fillId="40" borderId="118" applyNumberFormat="0" applyAlignment="0" applyProtection="0"/>
    <xf numFmtId="0" fontId="8" fillId="28" borderId="119" applyNumberFormat="0" applyFont="0" applyAlignment="0" applyProtection="0"/>
    <xf numFmtId="0" fontId="8" fillId="28" borderId="119" applyNumberFormat="0" applyFont="0" applyAlignment="0" applyProtection="0"/>
    <xf numFmtId="0" fontId="11" fillId="41" borderId="118" applyNumberFormat="0" applyAlignment="0" applyProtection="0"/>
    <xf numFmtId="0" fontId="22" fillId="40" borderId="118" applyNumberFormat="0" applyAlignment="0" applyProtection="0"/>
    <xf numFmtId="0" fontId="32" fillId="41" borderId="120"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12" fillId="0" borderId="121" applyNumberFormat="0" applyFill="0" applyAlignment="0" applyProtection="0"/>
    <xf numFmtId="0" fontId="32" fillId="41" borderId="120" applyNumberFormat="0" applyAlignment="0" applyProtection="0"/>
    <xf numFmtId="0" fontId="12" fillId="0" borderId="121" applyNumberFormat="0" applyFill="0" applyAlignment="0" applyProtection="0"/>
    <xf numFmtId="0" fontId="29" fillId="25" borderId="118" applyNumberFormat="0" applyAlignment="0" applyProtection="0"/>
    <xf numFmtId="0" fontId="32" fillId="41" borderId="120" applyNumberFormat="0" applyAlignment="0" applyProtection="0"/>
    <xf numFmtId="0" fontId="19" fillId="28" borderId="119" applyNumberFormat="0" applyFont="0" applyAlignment="0" applyProtection="0"/>
    <xf numFmtId="0" fontId="32" fillId="41" borderId="120" applyNumberFormat="0" applyAlignment="0" applyProtection="0"/>
    <xf numFmtId="0" fontId="29" fillId="25" borderId="118" applyNumberFormat="0" applyAlignment="0" applyProtection="0"/>
    <xf numFmtId="0" fontId="12" fillId="0" borderId="121" applyNumberFormat="0" applyFill="0" applyAlignment="0" applyProtection="0"/>
    <xf numFmtId="0" fontId="32" fillId="41" borderId="120" applyNumberFormat="0" applyAlignment="0" applyProtection="0"/>
    <xf numFmtId="0" fontId="11" fillId="41" borderId="118" applyNumberFormat="0" applyAlignment="0" applyProtection="0"/>
    <xf numFmtId="0" fontId="22" fillId="40" borderId="118" applyNumberFormat="0" applyAlignment="0" applyProtection="0"/>
    <xf numFmtId="0" fontId="11" fillId="41"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31" borderId="118" applyNumberFormat="0" applyAlignment="0" applyProtection="0"/>
    <xf numFmtId="0" fontId="22" fillId="40" borderId="118"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32" fillId="41" borderId="120"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32" fillId="41" borderId="120" applyNumberFormat="0" applyAlignment="0" applyProtection="0"/>
    <xf numFmtId="0" fontId="29" fillId="25" borderId="118" applyNumberFormat="0" applyAlignment="0" applyProtection="0"/>
    <xf numFmtId="0" fontId="29" fillId="31" borderId="118" applyNumberFormat="0" applyAlignment="0" applyProtection="0"/>
    <xf numFmtId="0" fontId="32" fillId="41" borderId="120" applyNumberFormat="0" applyAlignment="0" applyProtection="0"/>
    <xf numFmtId="0" fontId="11" fillId="41" borderId="118" applyNumberFormat="0" applyAlignment="0" applyProtection="0"/>
    <xf numFmtId="0" fontId="12" fillId="0" borderId="121" applyNumberFormat="0" applyFill="0" applyAlignment="0" applyProtection="0"/>
    <xf numFmtId="0" fontId="19" fillId="28" borderId="119" applyNumberFormat="0" applyFont="0" applyAlignment="0" applyProtection="0"/>
    <xf numFmtId="0" fontId="29" fillId="31" borderId="118" applyNumberFormat="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12" fillId="0" borderId="121" applyNumberFormat="0" applyFill="0" applyAlignment="0" applyProtection="0"/>
    <xf numFmtId="0" fontId="11" fillId="41" borderId="118" applyNumberFormat="0" applyAlignment="0" applyProtection="0"/>
    <xf numFmtId="0" fontId="22" fillId="40" borderId="118" applyNumberFormat="0" applyAlignment="0" applyProtection="0"/>
    <xf numFmtId="0" fontId="11" fillId="41"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31" borderId="118"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32" fillId="41" borderId="120" applyNumberFormat="0" applyAlignment="0" applyProtection="0"/>
    <xf numFmtId="0" fontId="11" fillId="41" borderId="118" applyNumberFormat="0" applyAlignment="0" applyProtection="0"/>
    <xf numFmtId="0" fontId="11" fillId="41" borderId="118" applyNumberFormat="0" applyAlignment="0" applyProtection="0"/>
    <xf numFmtId="0" fontId="22" fillId="40" borderId="118" applyNumberFormat="0" applyAlignment="0" applyProtection="0"/>
    <xf numFmtId="0" fontId="32" fillId="41" borderId="120"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8" fillId="28" borderId="119" applyNumberFormat="0" applyFont="0" applyAlignment="0" applyProtection="0"/>
    <xf numFmtId="0" fontId="12" fillId="0" borderId="121" applyNumberFormat="0" applyFill="0" applyAlignment="0" applyProtection="0"/>
    <xf numFmtId="0" fontId="11" fillId="41" borderId="118" applyNumberFormat="0" applyAlignment="0" applyProtection="0"/>
    <xf numFmtId="0" fontId="22" fillId="40"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25" borderId="118" applyNumberFormat="0" applyAlignment="0" applyProtection="0"/>
    <xf numFmtId="0" fontId="29" fillId="31"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9" fillId="31" borderId="118" applyNumberFormat="0" applyAlignment="0" applyProtection="0"/>
    <xf numFmtId="0" fontId="11" fillId="41" borderId="118" applyNumberFormat="0" applyAlignment="0" applyProtection="0"/>
    <xf numFmtId="0" fontId="22" fillId="40" borderId="118" applyNumberFormat="0" applyAlignment="0" applyProtection="0"/>
    <xf numFmtId="0" fontId="11" fillId="41" borderId="118" applyNumberFormat="0" applyAlignment="0" applyProtection="0"/>
    <xf numFmtId="0" fontId="8" fillId="28" borderId="119" applyNumberFormat="0" applyFont="0" applyAlignment="0" applyProtection="0"/>
    <xf numFmtId="0" fontId="32" fillId="41" borderId="120" applyNumberFormat="0" applyAlignment="0" applyProtection="0"/>
    <xf numFmtId="0" fontId="29" fillId="31" borderId="118" applyNumberFormat="0" applyAlignment="0" applyProtection="0"/>
    <xf numFmtId="0" fontId="8" fillId="28" borderId="119" applyNumberFormat="0" applyFont="0" applyAlignment="0" applyProtection="0"/>
    <xf numFmtId="0" fontId="19" fillId="28" borderId="119" applyNumberFormat="0" applyFont="0" applyAlignment="0" applyProtection="0"/>
    <xf numFmtId="0" fontId="29" fillId="25" borderId="118" applyNumberFormat="0" applyAlignment="0" applyProtection="0"/>
    <xf numFmtId="0" fontId="29" fillId="31" borderId="118" applyNumberFormat="0" applyAlignment="0" applyProtection="0"/>
    <xf numFmtId="0" fontId="12" fillId="0" borderId="121" applyNumberFormat="0" applyFill="0" applyAlignment="0" applyProtection="0"/>
    <xf numFmtId="0" fontId="12" fillId="0" borderId="121" applyNumberFormat="0" applyFill="0" applyAlignment="0" applyProtection="0"/>
    <xf numFmtId="0" fontId="29" fillId="31" borderId="118" applyNumberFormat="0" applyAlignment="0" applyProtection="0"/>
    <xf numFmtId="0" fontId="29" fillId="25" borderId="118" applyNumberFormat="0" applyAlignment="0" applyProtection="0"/>
    <xf numFmtId="0" fontId="19" fillId="28" borderId="119" applyNumberFormat="0" applyFont="0" applyAlignment="0" applyProtection="0"/>
    <xf numFmtId="0" fontId="22" fillId="40" borderId="118" applyNumberFormat="0" applyAlignment="0" applyProtection="0"/>
    <xf numFmtId="0" fontId="22" fillId="40" borderId="130" applyNumberFormat="0" applyAlignment="0" applyProtection="0"/>
    <xf numFmtId="0" fontId="29" fillId="25" borderId="130" applyNumberFormat="0" applyAlignment="0" applyProtection="0"/>
    <xf numFmtId="0" fontId="32" fillId="41" borderId="132" applyNumberFormat="0" applyAlignment="0" applyProtection="0"/>
    <xf numFmtId="0" fontId="12" fillId="0" borderId="125" applyNumberFormat="0" applyFill="0" applyAlignment="0" applyProtection="0"/>
    <xf numFmtId="0" fontId="32" fillId="41" borderId="124" applyNumberFormat="0" applyAlignment="0" applyProtection="0"/>
    <xf numFmtId="0" fontId="11" fillId="41" borderId="122" applyNumberFormat="0" applyAlignment="0" applyProtection="0"/>
    <xf numFmtId="0" fontId="22" fillId="40" borderId="122" applyNumberFormat="0" applyAlignment="0" applyProtection="0"/>
    <xf numFmtId="0" fontId="11" fillId="41" borderId="122" applyNumberFormat="0" applyAlignment="0" applyProtection="0"/>
    <xf numFmtId="0" fontId="8" fillId="28" borderId="123" applyNumberFormat="0" applyFont="0" applyAlignment="0" applyProtection="0"/>
    <xf numFmtId="0" fontId="32" fillId="41" borderId="124" applyNumberFormat="0" applyAlignment="0" applyProtection="0"/>
    <xf numFmtId="0" fontId="29" fillId="31" borderId="122" applyNumberFormat="0" applyAlignment="0" applyProtection="0"/>
    <xf numFmtId="0" fontId="8" fillId="28" borderId="123" applyNumberFormat="0" applyFont="0" applyAlignment="0" applyProtection="0"/>
    <xf numFmtId="0" fontId="19" fillId="28" borderId="123" applyNumberFormat="0" applyFont="0" applyAlignment="0" applyProtection="0"/>
    <xf numFmtId="0" fontId="29" fillId="25" borderId="122" applyNumberFormat="0" applyAlignment="0" applyProtection="0"/>
    <xf numFmtId="0" fontId="29" fillId="31" borderId="122" applyNumberFormat="0" applyAlignment="0" applyProtection="0"/>
    <xf numFmtId="0" fontId="12" fillId="0" borderId="125" applyNumberFormat="0" applyFill="0" applyAlignment="0" applyProtection="0"/>
    <xf numFmtId="0" fontId="12" fillId="0" borderId="125" applyNumberFormat="0" applyFill="0" applyAlignment="0" applyProtection="0"/>
    <xf numFmtId="0" fontId="29" fillId="31" borderId="122" applyNumberFormat="0" applyAlignment="0" applyProtection="0"/>
    <xf numFmtId="0" fontId="29" fillId="25" borderId="122" applyNumberFormat="0" applyAlignment="0" applyProtection="0"/>
    <xf numFmtId="0" fontId="19" fillId="28" borderId="123" applyNumberFormat="0" applyFont="0" applyAlignment="0" applyProtection="0"/>
    <xf numFmtId="0" fontId="22" fillId="40" borderId="122" applyNumberFormat="0" applyAlignment="0" applyProtection="0"/>
    <xf numFmtId="0" fontId="8" fillId="28" borderId="127" applyNumberFormat="0" applyFont="0" applyAlignment="0" applyProtection="0"/>
    <xf numFmtId="0" fontId="11" fillId="41" borderId="126" applyNumberFormat="0" applyAlignment="0" applyProtection="0"/>
    <xf numFmtId="0" fontId="11" fillId="41" borderId="126" applyNumberFormat="0" applyAlignment="0" applyProtection="0"/>
    <xf numFmtId="0" fontId="22" fillId="40" borderId="126" applyNumberFormat="0" applyAlignment="0" applyProtection="0"/>
    <xf numFmtId="0" fontId="32" fillId="41" borderId="128" applyNumberFormat="0" applyAlignment="0" applyProtection="0"/>
    <xf numFmtId="0" fontId="8" fillId="28" borderId="127" applyNumberFormat="0" applyFont="0" applyAlignment="0" applyProtection="0"/>
    <xf numFmtId="0" fontId="19" fillId="28" borderId="127" applyNumberFormat="0" applyFont="0" applyAlignment="0" applyProtection="0"/>
    <xf numFmtId="0" fontId="29" fillId="25" borderId="126" applyNumberFormat="0" applyAlignment="0" applyProtection="0"/>
    <xf numFmtId="0" fontId="11" fillId="41" borderId="126" applyNumberFormat="0" applyAlignment="0" applyProtection="0"/>
    <xf numFmtId="0" fontId="29" fillId="31" borderId="126" applyNumberFormat="0" applyAlignment="0" applyProtection="0"/>
    <xf numFmtId="0" fontId="29" fillId="31" borderId="126" applyNumberFormat="0" applyAlignment="0" applyProtection="0"/>
    <xf numFmtId="0" fontId="22" fillId="40" borderId="126" applyNumberFormat="0" applyAlignment="0" applyProtection="0"/>
    <xf numFmtId="0" fontId="11" fillId="41" borderId="126" applyNumberFormat="0" applyAlignment="0" applyProtection="0"/>
    <xf numFmtId="0" fontId="8" fillId="28" borderId="127" applyNumberFormat="0" applyFont="0" applyAlignment="0" applyProtection="0"/>
    <xf numFmtId="0" fontId="32" fillId="41" borderId="128" applyNumberFormat="0" applyAlignment="0" applyProtection="0"/>
    <xf numFmtId="0" fontId="29" fillId="31" borderId="126" applyNumberFormat="0" applyAlignment="0" applyProtection="0"/>
    <xf numFmtId="0" fontId="12" fillId="0" borderId="125" applyNumberFormat="0" applyFill="0" applyAlignment="0" applyProtection="0"/>
    <xf numFmtId="0" fontId="29" fillId="25" borderId="126" applyNumberFormat="0" applyAlignment="0" applyProtection="0"/>
    <xf numFmtId="0" fontId="19" fillId="28" borderId="127" applyNumberFormat="0" applyFont="0" applyAlignment="0" applyProtection="0"/>
    <xf numFmtId="0" fontId="19" fillId="28" borderId="127" applyNumberFormat="0" applyFont="0" applyAlignment="0" applyProtection="0"/>
    <xf numFmtId="0" fontId="11" fillId="41" borderId="126" applyNumberFormat="0" applyAlignment="0" applyProtection="0"/>
    <xf numFmtId="0" fontId="19" fillId="28" borderId="127" applyNumberFormat="0" applyFont="0" applyAlignment="0" applyProtection="0"/>
    <xf numFmtId="0" fontId="22" fillId="40" borderId="126" applyNumberFormat="0" applyAlignment="0" applyProtection="0"/>
    <xf numFmtId="0" fontId="11" fillId="41" borderId="126" applyNumberFormat="0" applyAlignment="0" applyProtection="0"/>
    <xf numFmtId="0" fontId="12" fillId="0" borderId="129" applyNumberFormat="0" applyFill="0" applyAlignment="0" applyProtection="0"/>
    <xf numFmtId="0" fontId="32" fillId="41" borderId="128" applyNumberFormat="0" applyAlignment="0" applyProtection="0"/>
    <xf numFmtId="0" fontId="32" fillId="41" borderId="128" applyNumberFormat="0" applyAlignment="0" applyProtection="0"/>
    <xf numFmtId="0" fontId="19" fillId="28" borderId="123" applyNumberFormat="0" applyFont="0" applyAlignment="0" applyProtection="0"/>
    <xf numFmtId="0" fontId="19" fillId="28" borderId="127" applyNumberFormat="0" applyFont="0" applyAlignment="0" applyProtection="0"/>
    <xf numFmtId="0" fontId="22" fillId="40" borderId="122" applyNumberFormat="0" applyAlignment="0" applyProtection="0"/>
    <xf numFmtId="0" fontId="8" fillId="28" borderId="127" applyNumberFormat="0" applyFont="0" applyAlignment="0" applyProtection="0"/>
    <xf numFmtId="0" fontId="8" fillId="28" borderId="127" applyNumberFormat="0" applyFont="0" applyAlignment="0" applyProtection="0"/>
    <xf numFmtId="0" fontId="11" fillId="41" borderId="122" applyNumberFormat="0" applyAlignment="0" applyProtection="0"/>
    <xf numFmtId="0" fontId="22" fillId="40" borderId="122" applyNumberFormat="0" applyAlignment="0" applyProtection="0"/>
    <xf numFmtId="0" fontId="32" fillId="41" borderId="124" applyNumberFormat="0" applyAlignment="0" applyProtection="0"/>
    <xf numFmtId="0" fontId="8" fillId="28" borderId="123" applyNumberFormat="0" applyFont="0" applyAlignment="0" applyProtection="0"/>
    <xf numFmtId="0" fontId="19" fillId="28" borderId="123" applyNumberFormat="0" applyFont="0" applyAlignment="0" applyProtection="0"/>
    <xf numFmtId="0" fontId="29" fillId="25" borderId="122" applyNumberFormat="0" applyAlignment="0" applyProtection="0"/>
    <xf numFmtId="0" fontId="12" fillId="0" borderId="125" applyNumberFormat="0" applyFill="0" applyAlignment="0" applyProtection="0"/>
    <xf numFmtId="0" fontId="32" fillId="41" borderId="128" applyNumberFormat="0" applyAlignment="0" applyProtection="0"/>
    <xf numFmtId="0" fontId="12" fillId="0" borderId="129" applyNumberFormat="0" applyFill="0" applyAlignment="0" applyProtection="0"/>
    <xf numFmtId="0" fontId="29" fillId="25" borderId="122" applyNumberFormat="0" applyAlignment="0" applyProtection="0"/>
    <xf numFmtId="0" fontId="32" fillId="41" borderId="124" applyNumberFormat="0" applyAlignment="0" applyProtection="0"/>
    <xf numFmtId="0" fontId="19" fillId="28" borderId="127" applyNumberFormat="0" applyFont="0" applyAlignment="0" applyProtection="0"/>
    <xf numFmtId="0" fontId="32" fillId="41" borderId="128" applyNumberFormat="0" applyAlignment="0" applyProtection="0"/>
    <xf numFmtId="0" fontId="29" fillId="25" borderId="126" applyNumberFormat="0" applyAlignment="0" applyProtection="0"/>
    <xf numFmtId="0" fontId="12" fillId="0" borderId="125" applyNumberFormat="0" applyFill="0" applyAlignment="0" applyProtection="0"/>
    <xf numFmtId="0" fontId="32" fillId="41" borderId="124" applyNumberFormat="0" applyAlignment="0" applyProtection="0"/>
    <xf numFmtId="0" fontId="11" fillId="41" borderId="122" applyNumberFormat="0" applyAlignment="0" applyProtection="0"/>
    <xf numFmtId="0" fontId="22" fillId="40" borderId="122" applyNumberFormat="0" applyAlignment="0" applyProtection="0"/>
    <xf numFmtId="0" fontId="11" fillId="41" borderId="122" applyNumberFormat="0" applyAlignment="0" applyProtection="0"/>
    <xf numFmtId="0" fontId="8" fillId="28" borderId="123" applyNumberFormat="0" applyFont="0" applyAlignment="0" applyProtection="0"/>
    <xf numFmtId="0" fontId="32" fillId="41" borderId="124" applyNumberFormat="0" applyAlignment="0" applyProtection="0"/>
    <xf numFmtId="0" fontId="29" fillId="31" borderId="122" applyNumberFormat="0" applyAlignment="0" applyProtection="0"/>
    <xf numFmtId="0" fontId="22" fillId="40" borderId="126" applyNumberFormat="0" applyAlignment="0" applyProtection="0"/>
    <xf numFmtId="0" fontId="8" fillId="28" borderId="123" applyNumberFormat="0" applyFont="0" applyAlignment="0" applyProtection="0"/>
    <xf numFmtId="0" fontId="19" fillId="28" borderId="123" applyNumberFormat="0" applyFont="0" applyAlignment="0" applyProtection="0"/>
    <xf numFmtId="0" fontId="29" fillId="25" borderId="122" applyNumberFormat="0" applyAlignment="0" applyProtection="0"/>
    <xf numFmtId="0" fontId="29" fillId="31" borderId="122" applyNumberFormat="0" applyAlignment="0" applyProtection="0"/>
    <xf numFmtId="0" fontId="12" fillId="0" borderId="125" applyNumberFormat="0" applyFill="0" applyAlignment="0" applyProtection="0"/>
    <xf numFmtId="0" fontId="12" fillId="0" borderId="129" applyNumberFormat="0" applyFill="0" applyAlignment="0" applyProtection="0"/>
    <xf numFmtId="0" fontId="12" fillId="0" borderId="125" applyNumberFormat="0" applyFill="0" applyAlignment="0" applyProtection="0"/>
    <xf numFmtId="0" fontId="29" fillId="31" borderId="122" applyNumberFormat="0" applyAlignment="0" applyProtection="0"/>
    <xf numFmtId="0" fontId="29" fillId="25" borderId="122" applyNumberFormat="0" applyAlignment="0" applyProtection="0"/>
    <xf numFmtId="0" fontId="19" fillId="28" borderId="123" applyNumberFormat="0" applyFont="0" applyAlignment="0" applyProtection="0"/>
    <xf numFmtId="0" fontId="22" fillId="40" borderId="122" applyNumberFormat="0" applyAlignment="0" applyProtection="0"/>
    <xf numFmtId="0" fontId="32" fillId="41" borderId="128" applyNumberFormat="0" applyAlignment="0" applyProtection="0"/>
    <xf numFmtId="0" fontId="8" fillId="28" borderId="123" applyNumberFormat="0" applyFont="0" applyAlignment="0" applyProtection="0"/>
    <xf numFmtId="0" fontId="19" fillId="28" borderId="123" applyNumberFormat="0" applyFont="0" applyAlignment="0" applyProtection="0"/>
    <xf numFmtId="0" fontId="32" fillId="41" borderId="128" applyNumberFormat="0" applyAlignment="0" applyProtection="0"/>
    <xf numFmtId="0" fontId="29" fillId="25" borderId="122" applyNumberFormat="0" applyAlignment="0" applyProtection="0"/>
    <xf numFmtId="0" fontId="29" fillId="31" borderId="122" applyNumberFormat="0" applyAlignment="0" applyProtection="0"/>
    <xf numFmtId="0" fontId="32" fillId="41" borderId="128" applyNumberFormat="0" applyAlignment="0" applyProtection="0"/>
    <xf numFmtId="0" fontId="11" fillId="41" borderId="126" applyNumberFormat="0" applyAlignment="0" applyProtection="0"/>
    <xf numFmtId="0" fontId="12" fillId="0" borderId="125" applyNumberFormat="0" applyFill="0" applyAlignment="0" applyProtection="0"/>
    <xf numFmtId="0" fontId="19" fillId="28" borderId="127" applyNumberFormat="0" applyFont="0" applyAlignment="0" applyProtection="0"/>
    <xf numFmtId="0" fontId="29" fillId="31" borderId="122" applyNumberFormat="0" applyAlignment="0" applyProtection="0"/>
    <xf numFmtId="0" fontId="12" fillId="0" borderId="125" applyNumberFormat="0" applyFill="0" applyAlignment="0" applyProtection="0"/>
    <xf numFmtId="0" fontId="29" fillId="31" borderId="122" applyNumberFormat="0" applyAlignment="0" applyProtection="0"/>
    <xf numFmtId="0" fontId="29" fillId="25" borderId="122" applyNumberFormat="0" applyAlignment="0" applyProtection="0"/>
    <xf numFmtId="0" fontId="19" fillId="28" borderId="123" applyNumberFormat="0" applyFont="0" applyAlignment="0" applyProtection="0"/>
    <xf numFmtId="0" fontId="22" fillId="40" borderId="122" applyNumberFormat="0" applyAlignment="0" applyProtection="0"/>
    <xf numFmtId="0" fontId="8" fillId="28" borderId="127" applyNumberFormat="0" applyFont="0" applyAlignment="0" applyProtection="0"/>
    <xf numFmtId="0" fontId="19" fillId="28" borderId="127" applyNumberFormat="0" applyFont="0" applyAlignment="0" applyProtection="0"/>
    <xf numFmtId="0" fontId="29" fillId="25" borderId="126" applyNumberFormat="0" applyAlignment="0" applyProtection="0"/>
    <xf numFmtId="0" fontId="29" fillId="31" borderId="126" applyNumberFormat="0" applyAlignment="0" applyProtection="0"/>
    <xf numFmtId="0" fontId="12" fillId="0" borderId="129" applyNumberFormat="0" applyFill="0" applyAlignment="0" applyProtection="0"/>
    <xf numFmtId="0" fontId="12" fillId="0" borderId="129" applyNumberFormat="0" applyFill="0" applyAlignment="0" applyProtection="0"/>
    <xf numFmtId="0" fontId="29" fillId="31" borderId="126" applyNumberFormat="0" applyAlignment="0" applyProtection="0"/>
    <xf numFmtId="0" fontId="29" fillId="25" borderId="126" applyNumberFormat="0" applyAlignment="0" applyProtection="0"/>
    <xf numFmtId="0" fontId="19" fillId="28" borderId="127" applyNumberFormat="0" applyFont="0" applyAlignment="0" applyProtection="0"/>
    <xf numFmtId="0" fontId="22" fillId="40" borderId="126" applyNumberFormat="0" applyAlignment="0" applyProtection="0"/>
    <xf numFmtId="0" fontId="12" fillId="0" borderId="129" applyNumberFormat="0" applyFill="0" applyAlignment="0" applyProtection="0"/>
    <xf numFmtId="0" fontId="11" fillId="41" borderId="126" applyNumberFormat="0" applyAlignment="0" applyProtection="0"/>
    <xf numFmtId="0" fontId="22" fillId="40" borderId="126" applyNumberFormat="0" applyAlignment="0" applyProtection="0"/>
    <xf numFmtId="0" fontId="11" fillId="41" borderId="126" applyNumberFormat="0" applyAlignment="0" applyProtection="0"/>
    <xf numFmtId="0" fontId="8" fillId="28" borderId="127" applyNumberFormat="0" applyFont="0" applyAlignment="0" applyProtection="0"/>
    <xf numFmtId="0" fontId="32" fillId="41" borderId="128" applyNumberFormat="0" applyAlignment="0" applyProtection="0"/>
    <xf numFmtId="0" fontId="29" fillId="31" borderId="126" applyNumberFormat="0" applyAlignment="0" applyProtection="0"/>
    <xf numFmtId="0" fontId="8" fillId="28" borderId="127" applyNumberFormat="0" applyFont="0" applyAlignment="0" applyProtection="0"/>
    <xf numFmtId="0" fontId="19" fillId="28" borderId="127" applyNumberFormat="0" applyFont="0" applyAlignment="0" applyProtection="0"/>
    <xf numFmtId="0" fontId="29" fillId="25" borderId="126" applyNumberFormat="0" applyAlignment="0" applyProtection="0"/>
    <xf numFmtId="0" fontId="29" fillId="31" borderId="126" applyNumberFormat="0" applyAlignment="0" applyProtection="0"/>
    <xf numFmtId="0" fontId="12" fillId="0" borderId="129" applyNumberFormat="0" applyFill="0" applyAlignment="0" applyProtection="0"/>
    <xf numFmtId="0" fontId="12" fillId="0" borderId="129" applyNumberFormat="0" applyFill="0" applyAlignment="0" applyProtection="0"/>
    <xf numFmtId="0" fontId="29" fillId="31" borderId="126" applyNumberFormat="0" applyAlignment="0" applyProtection="0"/>
    <xf numFmtId="0" fontId="29" fillId="25" borderId="126" applyNumberFormat="0" applyAlignment="0" applyProtection="0"/>
    <xf numFmtId="0" fontId="19" fillId="28" borderId="127" applyNumberFormat="0" applyFont="0" applyAlignment="0" applyProtection="0"/>
    <xf numFmtId="0" fontId="22" fillId="40" borderId="126" applyNumberFormat="0" applyAlignment="0" applyProtection="0"/>
    <xf numFmtId="0" fontId="32" fillId="41" borderId="128" applyNumberFormat="0" applyAlignment="0" applyProtection="0"/>
    <xf numFmtId="0" fontId="11" fillId="41" borderId="126" applyNumberFormat="0" applyAlignment="0" applyProtection="0"/>
    <xf numFmtId="0" fontId="11" fillId="41" borderId="126" applyNumberFormat="0" applyAlignment="0" applyProtection="0"/>
    <xf numFmtId="0" fontId="22" fillId="40" borderId="126" applyNumberFormat="0" applyAlignment="0" applyProtection="0"/>
    <xf numFmtId="0" fontId="32" fillId="41" borderId="128" applyNumberFormat="0" applyAlignment="0" applyProtection="0"/>
    <xf numFmtId="0" fontId="8" fillId="28" borderId="127" applyNumberFormat="0" applyFont="0" applyAlignment="0" applyProtection="0"/>
    <xf numFmtId="0" fontId="19" fillId="28" borderId="127" applyNumberFormat="0" applyFont="0" applyAlignment="0" applyProtection="0"/>
    <xf numFmtId="0" fontId="29" fillId="25" borderId="126" applyNumberFormat="0" applyAlignment="0" applyProtection="0"/>
    <xf numFmtId="0" fontId="8" fillId="28" borderId="127" applyNumberFormat="0" applyFont="0" applyAlignment="0" applyProtection="0"/>
    <xf numFmtId="0" fontId="12" fillId="0" borderId="129" applyNumberFormat="0" applyFill="0" applyAlignment="0" applyProtection="0"/>
    <xf numFmtId="0" fontId="11" fillId="41" borderId="126" applyNumberFormat="0" applyAlignment="0" applyProtection="0"/>
    <xf numFmtId="0" fontId="22" fillId="40" borderId="126" applyNumberFormat="0" applyAlignment="0" applyProtection="0"/>
    <xf numFmtId="0" fontId="8" fillId="28" borderId="127" applyNumberFormat="0" applyFont="0" applyAlignment="0" applyProtection="0"/>
    <xf numFmtId="0" fontId="32" fillId="41" borderId="128" applyNumberFormat="0" applyAlignment="0" applyProtection="0"/>
    <xf numFmtId="0" fontId="29" fillId="25" borderId="126" applyNumberFormat="0" applyAlignment="0" applyProtection="0"/>
    <xf numFmtId="0" fontId="29" fillId="31" borderId="126" applyNumberFormat="0" applyAlignment="0" applyProtection="0"/>
    <xf numFmtId="0" fontId="29" fillId="31" borderId="126" applyNumberFormat="0" applyAlignment="0" applyProtection="0"/>
    <xf numFmtId="0" fontId="12" fillId="0" borderId="129" applyNumberFormat="0" applyFill="0" applyAlignment="0" applyProtection="0"/>
    <xf numFmtId="0" fontId="12" fillId="0" borderId="129" applyNumberFormat="0" applyFill="0" applyAlignment="0" applyProtection="0"/>
    <xf numFmtId="0" fontId="12" fillId="0" borderId="129" applyNumberFormat="0" applyFill="0" applyAlignment="0" applyProtection="0"/>
    <xf numFmtId="0" fontId="29" fillId="31" borderId="126" applyNumberFormat="0" applyAlignment="0" applyProtection="0"/>
    <xf numFmtId="0" fontId="29" fillId="25" borderId="126" applyNumberFormat="0" applyAlignment="0" applyProtection="0"/>
    <xf numFmtId="0" fontId="19" fillId="28" borderId="127" applyNumberFormat="0" applyFont="0" applyAlignment="0" applyProtection="0"/>
    <xf numFmtId="0" fontId="29" fillId="31" borderId="126" applyNumberFormat="0" applyAlignment="0" applyProtection="0"/>
    <xf numFmtId="0" fontId="11" fillId="41" borderId="126" applyNumberFormat="0" applyAlignment="0" applyProtection="0"/>
    <xf numFmtId="0" fontId="22" fillId="40" borderId="126" applyNumberFormat="0" applyAlignment="0" applyProtection="0"/>
    <xf numFmtId="0" fontId="11" fillId="41" borderId="126" applyNumberFormat="0" applyAlignment="0" applyProtection="0"/>
    <xf numFmtId="0" fontId="8" fillId="28" borderId="127" applyNumberFormat="0" applyFont="0" applyAlignment="0" applyProtection="0"/>
    <xf numFmtId="0" fontId="32" fillId="41" borderId="128" applyNumberFormat="0" applyAlignment="0" applyProtection="0"/>
    <xf numFmtId="0" fontId="29" fillId="31" borderId="126" applyNumberFormat="0" applyAlignment="0" applyProtection="0"/>
    <xf numFmtId="0" fontId="8" fillId="28" borderId="127" applyNumberFormat="0" applyFont="0" applyAlignment="0" applyProtection="0"/>
    <xf numFmtId="0" fontId="19" fillId="28" borderId="127" applyNumberFormat="0" applyFont="0" applyAlignment="0" applyProtection="0"/>
    <xf numFmtId="0" fontId="29" fillId="25" borderId="126" applyNumberFormat="0" applyAlignment="0" applyProtection="0"/>
    <xf numFmtId="0" fontId="29" fillId="31" borderId="126" applyNumberFormat="0" applyAlignment="0" applyProtection="0"/>
    <xf numFmtId="0" fontId="12" fillId="0" borderId="129" applyNumberFormat="0" applyFill="0" applyAlignment="0" applyProtection="0"/>
    <xf numFmtId="0" fontId="12" fillId="0" borderId="129" applyNumberFormat="0" applyFill="0" applyAlignment="0" applyProtection="0"/>
    <xf numFmtId="0" fontId="29" fillId="31" borderId="126" applyNumberFormat="0" applyAlignment="0" applyProtection="0"/>
    <xf numFmtId="0" fontId="29" fillId="25" borderId="126" applyNumberFormat="0" applyAlignment="0" applyProtection="0"/>
    <xf numFmtId="0" fontId="19" fillId="28" borderId="127" applyNumberFormat="0" applyFont="0" applyAlignment="0" applyProtection="0"/>
    <xf numFmtId="0" fontId="22" fillId="40" borderId="126" applyNumberFormat="0" applyAlignment="0" applyProtection="0"/>
    <xf numFmtId="0" fontId="12" fillId="0" borderId="133" applyNumberFormat="0" applyFill="0" applyAlignment="0" applyProtection="0"/>
    <xf numFmtId="0" fontId="32" fillId="41" borderId="132" applyNumberFormat="0" applyAlignment="0" applyProtection="0"/>
    <xf numFmtId="0" fontId="11" fillId="41" borderId="130" applyNumberFormat="0" applyAlignment="0" applyProtection="0"/>
    <xf numFmtId="0" fontId="22" fillId="40" borderId="130" applyNumberFormat="0" applyAlignment="0" applyProtection="0"/>
    <xf numFmtId="0" fontId="11" fillId="41"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31" borderId="130"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8" fillId="28" borderId="131" applyNumberFormat="0" applyFont="0" applyAlignment="0" applyProtection="0"/>
    <xf numFmtId="0" fontId="11" fillId="41" borderId="130" applyNumberFormat="0" applyAlignment="0" applyProtection="0"/>
    <xf numFmtId="0" fontId="11" fillId="41" borderId="130" applyNumberFormat="0" applyAlignment="0" applyProtection="0"/>
    <xf numFmtId="0" fontId="22" fillId="40" borderId="130" applyNumberFormat="0" applyAlignment="0" applyProtection="0"/>
    <xf numFmtId="0" fontId="32" fillId="41" borderId="132"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11" fillId="41" borderId="130" applyNumberFormat="0" applyAlignment="0" applyProtection="0"/>
    <xf numFmtId="0" fontId="29" fillId="31" borderId="130" applyNumberFormat="0" applyAlignment="0" applyProtection="0"/>
    <xf numFmtId="0" fontId="29" fillId="31" borderId="130" applyNumberFormat="0" applyAlignment="0" applyProtection="0"/>
    <xf numFmtId="0" fontId="22" fillId="40" borderId="130" applyNumberFormat="0" applyAlignment="0" applyProtection="0"/>
    <xf numFmtId="0" fontId="11" fillId="41"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31" borderId="130" applyNumberFormat="0" applyAlignment="0" applyProtection="0"/>
    <xf numFmtId="0" fontId="12" fillId="0" borderId="133" applyNumberFormat="0" applyFill="0" applyAlignment="0" applyProtection="0"/>
    <xf numFmtId="0" fontId="29" fillId="25" borderId="130" applyNumberFormat="0" applyAlignment="0" applyProtection="0"/>
    <xf numFmtId="0" fontId="19" fillId="28" borderId="131" applyNumberFormat="0" applyFont="0" applyAlignment="0" applyProtection="0"/>
    <xf numFmtId="0" fontId="19" fillId="28" borderId="131" applyNumberFormat="0" applyFont="0" applyAlignment="0" applyProtection="0"/>
    <xf numFmtId="0" fontId="11" fillId="41"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11" fillId="41" borderId="130" applyNumberFormat="0" applyAlignment="0" applyProtection="0"/>
    <xf numFmtId="0" fontId="12" fillId="0" borderId="133" applyNumberFormat="0" applyFill="0" applyAlignment="0" applyProtection="0"/>
    <xf numFmtId="0" fontId="32" fillId="41" borderId="132" applyNumberFormat="0" applyAlignment="0" applyProtection="0"/>
    <xf numFmtId="0" fontId="32" fillId="41" borderId="132" applyNumberFormat="0" applyAlignment="0" applyProtection="0"/>
    <xf numFmtId="0" fontId="19" fillId="28" borderId="131" applyNumberFormat="0" applyFont="0" applyAlignment="0" applyProtection="0"/>
    <xf numFmtId="0" fontId="19" fillId="28" borderId="131" applyNumberFormat="0" applyFont="0" applyAlignment="0" applyProtection="0"/>
    <xf numFmtId="0" fontId="22" fillId="40" borderId="130" applyNumberFormat="0" applyAlignment="0" applyProtection="0"/>
    <xf numFmtId="0" fontId="8" fillId="28" borderId="131" applyNumberFormat="0" applyFont="0" applyAlignment="0" applyProtection="0"/>
    <xf numFmtId="0" fontId="8" fillId="28" borderId="131" applyNumberFormat="0" applyFont="0" applyAlignment="0" applyProtection="0"/>
    <xf numFmtId="0" fontId="11" fillId="41" borderId="130" applyNumberFormat="0" applyAlignment="0" applyProtection="0"/>
    <xf numFmtId="0" fontId="22" fillId="40" borderId="130" applyNumberFormat="0" applyAlignment="0" applyProtection="0"/>
    <xf numFmtId="0" fontId="32" fillId="41" borderId="132"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12" fillId="0" borderId="133" applyNumberFormat="0" applyFill="0" applyAlignment="0" applyProtection="0"/>
    <xf numFmtId="0" fontId="32" fillId="41" borderId="132" applyNumberFormat="0" applyAlignment="0" applyProtection="0"/>
    <xf numFmtId="0" fontId="12" fillId="0" borderId="133" applyNumberFormat="0" applyFill="0" applyAlignment="0" applyProtection="0"/>
    <xf numFmtId="0" fontId="29" fillId="25" borderId="130" applyNumberFormat="0" applyAlignment="0" applyProtection="0"/>
    <xf numFmtId="0" fontId="32" fillId="41" borderId="132" applyNumberFormat="0" applyAlignment="0" applyProtection="0"/>
    <xf numFmtId="0" fontId="19" fillId="28" borderId="131" applyNumberFormat="0" applyFont="0" applyAlignment="0" applyProtection="0"/>
    <xf numFmtId="0" fontId="32" fillId="41" borderId="132" applyNumberFormat="0" applyAlignment="0" applyProtection="0"/>
    <xf numFmtId="0" fontId="29" fillId="25" borderId="130" applyNumberFormat="0" applyAlignment="0" applyProtection="0"/>
    <xf numFmtId="0" fontId="12" fillId="0" borderId="133" applyNumberFormat="0" applyFill="0" applyAlignment="0" applyProtection="0"/>
    <xf numFmtId="0" fontId="32" fillId="41" borderId="132" applyNumberFormat="0" applyAlignment="0" applyProtection="0"/>
    <xf numFmtId="0" fontId="11" fillId="41" borderId="130" applyNumberFormat="0" applyAlignment="0" applyProtection="0"/>
    <xf numFmtId="0" fontId="22" fillId="40" borderId="130" applyNumberFormat="0" applyAlignment="0" applyProtection="0"/>
    <xf numFmtId="0" fontId="11" fillId="41"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31" borderId="130" applyNumberFormat="0" applyAlignment="0" applyProtection="0"/>
    <xf numFmtId="0" fontId="22" fillId="40" borderId="130"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32" fillId="41" borderId="132"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32" fillId="41" borderId="132" applyNumberFormat="0" applyAlignment="0" applyProtection="0"/>
    <xf numFmtId="0" fontId="29" fillId="25" borderId="130" applyNumberFormat="0" applyAlignment="0" applyProtection="0"/>
    <xf numFmtId="0" fontId="29" fillId="31" borderId="130" applyNumberFormat="0" applyAlignment="0" applyProtection="0"/>
    <xf numFmtId="0" fontId="32" fillId="41" borderId="132" applyNumberFormat="0" applyAlignment="0" applyProtection="0"/>
    <xf numFmtId="0" fontId="11" fillId="41" borderId="130" applyNumberFormat="0" applyAlignment="0" applyProtection="0"/>
    <xf numFmtId="0" fontId="12" fillId="0" borderId="133" applyNumberFormat="0" applyFill="0" applyAlignment="0" applyProtection="0"/>
    <xf numFmtId="0" fontId="19" fillId="28" borderId="131" applyNumberFormat="0" applyFont="0" applyAlignment="0" applyProtection="0"/>
    <xf numFmtId="0" fontId="29" fillId="31" borderId="130" applyNumberFormat="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12" fillId="0" borderId="133" applyNumberFormat="0" applyFill="0" applyAlignment="0" applyProtection="0"/>
    <xf numFmtId="0" fontId="11" fillId="41" borderId="130" applyNumberFormat="0" applyAlignment="0" applyProtection="0"/>
    <xf numFmtId="0" fontId="22" fillId="40" borderId="130" applyNumberFormat="0" applyAlignment="0" applyProtection="0"/>
    <xf numFmtId="0" fontId="11" fillId="41"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31" borderId="130"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0" fontId="32" fillId="41" borderId="132" applyNumberFormat="0" applyAlignment="0" applyProtection="0"/>
    <xf numFmtId="0" fontId="11" fillId="41" borderId="130" applyNumberFormat="0" applyAlignment="0" applyProtection="0"/>
    <xf numFmtId="0" fontId="11" fillId="41" borderId="130" applyNumberFormat="0" applyAlignment="0" applyProtection="0"/>
    <xf numFmtId="0" fontId="22" fillId="40" borderId="130" applyNumberFormat="0" applyAlignment="0" applyProtection="0"/>
    <xf numFmtId="0" fontId="32" fillId="41" borderId="132"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8" fillId="28" borderId="131" applyNumberFormat="0" applyFont="0" applyAlignment="0" applyProtection="0"/>
    <xf numFmtId="0" fontId="12" fillId="0" borderId="133" applyNumberFormat="0" applyFill="0" applyAlignment="0" applyProtection="0"/>
    <xf numFmtId="0" fontId="11" fillId="41" borderId="130" applyNumberFormat="0" applyAlignment="0" applyProtection="0"/>
    <xf numFmtId="0" fontId="22" fillId="40"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25" borderId="130" applyNumberFormat="0" applyAlignment="0" applyProtection="0"/>
    <xf numFmtId="0" fontId="29" fillId="31"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9" fillId="31" borderId="130" applyNumberFormat="0" applyAlignment="0" applyProtection="0"/>
    <xf numFmtId="0" fontId="11" fillId="41" borderId="130" applyNumberFormat="0" applyAlignment="0" applyProtection="0"/>
    <xf numFmtId="0" fontId="22" fillId="40" borderId="130" applyNumberFormat="0" applyAlignment="0" applyProtection="0"/>
    <xf numFmtId="0" fontId="11" fillId="41" borderId="130" applyNumberFormat="0" applyAlignment="0" applyProtection="0"/>
    <xf numFmtId="0" fontId="8" fillId="28" borderId="131" applyNumberFormat="0" applyFont="0" applyAlignment="0" applyProtection="0"/>
    <xf numFmtId="0" fontId="32" fillId="41" borderId="132" applyNumberFormat="0" applyAlignment="0" applyProtection="0"/>
    <xf numFmtId="0" fontId="29" fillId="31" borderId="130" applyNumberFormat="0" applyAlignment="0" applyProtection="0"/>
    <xf numFmtId="0" fontId="8" fillId="28" borderId="131" applyNumberFormat="0" applyFont="0" applyAlignment="0" applyProtection="0"/>
    <xf numFmtId="0" fontId="19" fillId="28" borderId="131" applyNumberFormat="0" applyFont="0" applyAlignment="0" applyProtection="0"/>
    <xf numFmtId="0" fontId="29" fillId="25" borderId="130" applyNumberFormat="0" applyAlignment="0" applyProtection="0"/>
    <xf numFmtId="0" fontId="29" fillId="31" borderId="130" applyNumberFormat="0" applyAlignment="0" applyProtection="0"/>
    <xf numFmtId="0" fontId="12" fillId="0" borderId="133" applyNumberFormat="0" applyFill="0" applyAlignment="0" applyProtection="0"/>
    <xf numFmtId="0" fontId="12" fillId="0" borderId="133" applyNumberFormat="0" applyFill="0" applyAlignment="0" applyProtection="0"/>
    <xf numFmtId="0" fontId="29" fillId="31" borderId="130" applyNumberFormat="0" applyAlignment="0" applyProtection="0"/>
    <xf numFmtId="0" fontId="29" fillId="25" borderId="130" applyNumberFormat="0" applyAlignment="0" applyProtection="0"/>
    <xf numFmtId="0" fontId="19" fillId="28" borderId="131" applyNumberFormat="0" applyFont="0" applyAlignment="0" applyProtection="0"/>
    <xf numFmtId="0" fontId="22" fillId="40" borderId="130" applyNumberFormat="0" applyAlignment="0" applyProtection="0"/>
    <xf numFmtId="44" fontId="13" fillId="0" borderId="0" applyFont="0" applyFill="0" applyBorder="0" applyAlignment="0" applyProtection="0"/>
  </cellStyleXfs>
  <cellXfs count="840">
    <xf numFmtId="0" fontId="0" fillId="0" borderId="0" xfId="0"/>
    <xf numFmtId="0" fontId="16" fillId="0" borderId="0" xfId="0" applyFont="1" applyFill="1" applyAlignment="1">
      <alignment vertical="center"/>
    </xf>
    <xf numFmtId="164" fontId="44" fillId="0" borderId="0" xfId="0" applyNumberFormat="1" applyFont="1" applyBorder="1" applyAlignment="1">
      <alignment horizontal="center" vertical="center" wrapText="1"/>
    </xf>
    <xf numFmtId="0" fontId="43" fillId="0" borderId="0" xfId="0" applyFont="1" applyBorder="1" applyAlignment="1">
      <alignment horizontal="center" vertical="center"/>
    </xf>
    <xf numFmtId="0" fontId="43" fillId="0" borderId="0" xfId="0" applyFont="1" applyBorder="1" applyAlignment="1">
      <alignment horizontal="left" vertical="center" wrapText="1"/>
    </xf>
    <xf numFmtId="0" fontId="43" fillId="0" borderId="0" xfId="0" applyFont="1" applyBorder="1" applyAlignment="1">
      <alignment horizontal="center" vertical="center" wrapText="1"/>
    </xf>
    <xf numFmtId="43" fontId="43" fillId="0" borderId="0" xfId="32" applyFont="1" applyBorder="1" applyAlignment="1">
      <alignment vertical="center"/>
    </xf>
    <xf numFmtId="43" fontId="43" fillId="0" borderId="0" xfId="32" applyFont="1" applyBorder="1" applyAlignment="1">
      <alignment vertical="center" wrapText="1"/>
    </xf>
    <xf numFmtId="0" fontId="45" fillId="0" borderId="0" xfId="0" applyFont="1"/>
    <xf numFmtId="0" fontId="16" fillId="0" borderId="0" xfId="0" applyFont="1" applyFill="1" applyAlignment="1">
      <alignment horizontal="center" vertical="center" wrapText="1"/>
    </xf>
    <xf numFmtId="43" fontId="0" fillId="0" borderId="0" xfId="32" applyFont="1"/>
    <xf numFmtId="43" fontId="0" fillId="0" borderId="0" xfId="0" applyNumberFormat="1"/>
    <xf numFmtId="0" fontId="47" fillId="0" borderId="0" xfId="0" applyFont="1" applyAlignment="1">
      <alignment horizontal="center"/>
    </xf>
    <xf numFmtId="0" fontId="0" fillId="0" borderId="0" xfId="0"/>
    <xf numFmtId="0" fontId="56" fillId="0" borderId="0" xfId="317" applyFont="1" applyAlignment="1">
      <alignment vertical="center"/>
    </xf>
    <xf numFmtId="0" fontId="59" fillId="47" borderId="28" xfId="317" applyFont="1" applyFill="1" applyBorder="1" applyAlignment="1">
      <alignment horizontal="center" vertical="center"/>
    </xf>
    <xf numFmtId="0" fontId="56" fillId="0" borderId="0" xfId="317" applyFont="1" applyAlignment="1">
      <alignment horizontal="center" vertical="center"/>
    </xf>
    <xf numFmtId="4" fontId="56" fillId="0" borderId="0" xfId="318" applyNumberFormat="1" applyFont="1" applyBorder="1" applyAlignment="1" applyProtection="1">
      <alignment horizontal="center" vertical="center"/>
    </xf>
    <xf numFmtId="0" fontId="58" fillId="0" borderId="0" xfId="317"/>
    <xf numFmtId="9" fontId="56" fillId="0" borderId="21" xfId="317" applyNumberFormat="1" applyFont="1" applyBorder="1" applyAlignment="1">
      <alignment vertical="center"/>
    </xf>
    <xf numFmtId="9" fontId="56" fillId="0" borderId="20" xfId="317" applyNumberFormat="1" applyFont="1" applyBorder="1" applyAlignment="1">
      <alignment vertical="center"/>
    </xf>
    <xf numFmtId="0" fontId="60" fillId="47" borderId="1" xfId="317" applyFont="1" applyFill="1" applyBorder="1" applyAlignment="1">
      <alignment horizontal="center" vertical="center"/>
    </xf>
    <xf numFmtId="0" fontId="60" fillId="47" borderId="1" xfId="317" applyFont="1" applyFill="1" applyBorder="1" applyAlignment="1">
      <alignment vertical="center"/>
    </xf>
    <xf numFmtId="43" fontId="60" fillId="45" borderId="2" xfId="32" applyFont="1" applyFill="1" applyBorder="1" applyAlignment="1">
      <alignment horizontal="center" vertical="center" wrapText="1"/>
    </xf>
    <xf numFmtId="4" fontId="56" fillId="0" borderId="0" xfId="318" applyNumberFormat="1" applyFont="1" applyBorder="1" applyAlignment="1" applyProtection="1">
      <alignment horizontal="right" vertical="center"/>
    </xf>
    <xf numFmtId="0" fontId="43" fillId="45" borderId="28" xfId="0" applyFont="1" applyFill="1" applyBorder="1" applyAlignment="1">
      <alignment horizontal="center" vertical="center" wrapText="1"/>
    </xf>
    <xf numFmtId="164" fontId="43" fillId="45" borderId="28" xfId="0" applyNumberFormat="1" applyFont="1" applyFill="1" applyBorder="1" applyAlignment="1">
      <alignment horizontal="center" vertical="center" wrapText="1"/>
    </xf>
    <xf numFmtId="43" fontId="43" fillId="45" borderId="28" xfId="32" applyFont="1" applyFill="1" applyBorder="1" applyAlignment="1">
      <alignment horizontal="center" vertical="center" wrapText="1"/>
    </xf>
    <xf numFmtId="0" fontId="59" fillId="47" borderId="1" xfId="317" applyFont="1" applyFill="1" applyBorder="1" applyAlignment="1">
      <alignment horizontal="center" vertical="center"/>
    </xf>
    <xf numFmtId="49" fontId="59" fillId="47" borderId="1" xfId="317" applyNumberFormat="1" applyFont="1" applyFill="1" applyBorder="1" applyAlignment="1">
      <alignment horizontal="center" vertical="center"/>
    </xf>
    <xf numFmtId="0" fontId="56" fillId="48" borderId="0" xfId="317" applyFont="1" applyFill="1" applyAlignment="1">
      <alignment vertical="center"/>
    </xf>
    <xf numFmtId="0" fontId="56" fillId="48" borderId="0" xfId="317" applyFont="1" applyFill="1" applyAlignment="1">
      <alignment horizontal="justify" vertical="center"/>
    </xf>
    <xf numFmtId="0" fontId="56" fillId="48" borderId="0" xfId="317" applyFont="1" applyFill="1" applyAlignment="1">
      <alignment horizontal="center" vertical="center"/>
    </xf>
    <xf numFmtId="0" fontId="56" fillId="0" borderId="0" xfId="317" applyFont="1" applyAlignment="1">
      <alignment horizontal="justify" vertical="center"/>
    </xf>
    <xf numFmtId="4" fontId="56" fillId="0" borderId="0" xfId="318" applyNumberFormat="1" applyFont="1" applyBorder="1" applyAlignment="1" applyProtection="1">
      <alignment vertical="center"/>
    </xf>
    <xf numFmtId="0" fontId="43" fillId="47" borderId="1" xfId="317" applyFont="1" applyFill="1" applyBorder="1" applyAlignment="1">
      <alignment horizontal="center" vertical="center"/>
    </xf>
    <xf numFmtId="49" fontId="43" fillId="47" borderId="1" xfId="317" applyNumberFormat="1" applyFont="1" applyFill="1" applyBorder="1" applyAlignment="1">
      <alignment horizontal="center" vertical="center"/>
    </xf>
    <xf numFmtId="0" fontId="56" fillId="0" borderId="0" xfId="317" applyFont="1" applyBorder="1" applyAlignment="1">
      <alignment vertical="center"/>
    </xf>
    <xf numFmtId="9" fontId="56" fillId="0" borderId="0" xfId="317" applyNumberFormat="1" applyFont="1" applyBorder="1" applyAlignment="1">
      <alignment vertical="center"/>
    </xf>
    <xf numFmtId="0" fontId="56" fillId="0" borderId="0" xfId="317" applyFont="1" applyAlignment="1">
      <alignment horizontal="left" vertical="center"/>
    </xf>
    <xf numFmtId="0" fontId="59" fillId="47" borderId="1" xfId="317" applyFont="1" applyFill="1" applyBorder="1" applyAlignment="1">
      <alignment horizontal="left" vertical="center"/>
    </xf>
    <xf numFmtId="0" fontId="56" fillId="48" borderId="0" xfId="317" applyFont="1" applyFill="1" applyAlignment="1">
      <alignment horizontal="left" vertical="center"/>
    </xf>
    <xf numFmtId="0" fontId="56" fillId="0" borderId="0" xfId="317" applyFont="1"/>
    <xf numFmtId="0" fontId="56" fillId="0" borderId="22" xfId="317" applyFont="1" applyBorder="1" applyAlignment="1">
      <alignment vertical="center"/>
    </xf>
    <xf numFmtId="49" fontId="59" fillId="47" borderId="28" xfId="317" applyNumberFormat="1" applyFont="1" applyFill="1" applyBorder="1" applyAlignment="1">
      <alignment horizontal="center" vertical="center"/>
    </xf>
    <xf numFmtId="0" fontId="59" fillId="47" borderId="28" xfId="317" applyFont="1" applyFill="1" applyBorder="1" applyAlignment="1">
      <alignment horizontal="left" vertical="center"/>
    </xf>
    <xf numFmtId="43" fontId="60" fillId="45" borderId="28" xfId="32" applyFont="1" applyFill="1" applyBorder="1" applyAlignment="1">
      <alignment horizontal="center" vertical="center" wrapText="1"/>
    </xf>
    <xf numFmtId="0" fontId="59" fillId="49" borderId="28" xfId="317" applyFont="1" applyFill="1" applyBorder="1" applyAlignment="1">
      <alignment horizontal="center" vertical="center"/>
    </xf>
    <xf numFmtId="49" fontId="59" fillId="49" borderId="28" xfId="317" applyNumberFormat="1" applyFont="1" applyFill="1" applyBorder="1" applyAlignment="1">
      <alignment horizontal="center" vertical="center"/>
    </xf>
    <xf numFmtId="0" fontId="59" fillId="49" borderId="28" xfId="317" applyFont="1" applyFill="1" applyBorder="1" applyAlignment="1">
      <alignment horizontal="left" vertical="center"/>
    </xf>
    <xf numFmtId="0" fontId="43" fillId="47" borderId="28" xfId="317" applyFont="1" applyFill="1" applyBorder="1" applyAlignment="1">
      <alignment horizontal="center" vertical="center"/>
    </xf>
    <xf numFmtId="49" fontId="43" fillId="47" borderId="28" xfId="317" applyNumberFormat="1" applyFont="1" applyFill="1" applyBorder="1" applyAlignment="1">
      <alignment horizontal="center" vertical="center"/>
    </xf>
    <xf numFmtId="4" fontId="43" fillId="47" borderId="28" xfId="317" applyNumberFormat="1" applyFont="1" applyFill="1" applyBorder="1" applyAlignment="1">
      <alignment horizontal="center" vertical="center"/>
    </xf>
    <xf numFmtId="43" fontId="59" fillId="47" borderId="1" xfId="32" applyFont="1" applyFill="1" applyBorder="1" applyAlignment="1">
      <alignment horizontal="center" vertical="center"/>
    </xf>
    <xf numFmtId="43" fontId="56" fillId="0" borderId="0" xfId="32" applyFont="1" applyBorder="1" applyAlignment="1" applyProtection="1">
      <alignment horizontal="center" vertical="center"/>
    </xf>
    <xf numFmtId="0" fontId="56" fillId="0" borderId="0" xfId="318" applyNumberFormat="1" applyFont="1" applyBorder="1" applyAlignment="1" applyProtection="1">
      <alignment vertical="center"/>
    </xf>
    <xf numFmtId="43" fontId="56" fillId="0" borderId="22" xfId="32" applyFont="1" applyBorder="1" applyAlignment="1">
      <alignment vertical="center"/>
    </xf>
    <xf numFmtId="43" fontId="56" fillId="0" borderId="0" xfId="32" applyFont="1" applyBorder="1" applyAlignment="1">
      <alignment vertical="center"/>
    </xf>
    <xf numFmtId="43" fontId="56" fillId="0" borderId="20" xfId="32" applyFont="1" applyBorder="1" applyAlignment="1">
      <alignment vertical="center"/>
    </xf>
    <xf numFmtId="43" fontId="59" fillId="47" borderId="28" xfId="32" applyFont="1" applyFill="1" applyBorder="1" applyAlignment="1">
      <alignment horizontal="center" vertical="center"/>
    </xf>
    <xf numFmtId="43" fontId="56" fillId="48" borderId="0" xfId="32" applyFont="1" applyFill="1" applyBorder="1" applyAlignment="1" applyProtection="1">
      <alignment vertical="center"/>
    </xf>
    <xf numFmtId="0" fontId="0" fillId="0" borderId="0" xfId="0" applyBorder="1"/>
    <xf numFmtId="9" fontId="56" fillId="48" borderId="0" xfId="317" applyNumberFormat="1" applyFont="1" applyFill="1" applyBorder="1" applyAlignment="1">
      <alignment vertical="center"/>
    </xf>
    <xf numFmtId="43" fontId="56" fillId="48" borderId="0" xfId="32" applyFont="1" applyFill="1" applyBorder="1" applyAlignment="1">
      <alignment vertical="center"/>
    </xf>
    <xf numFmtId="43" fontId="56" fillId="0" borderId="0" xfId="32" applyFont="1" applyBorder="1" applyAlignment="1">
      <alignment horizontal="left" vertical="center" indent="1"/>
    </xf>
    <xf numFmtId="43" fontId="59" fillId="47" borderId="28" xfId="32" applyFont="1" applyFill="1" applyBorder="1" applyAlignment="1">
      <alignment horizontal="left" vertical="center" indent="1"/>
    </xf>
    <xf numFmtId="43" fontId="56" fillId="0" borderId="0" xfId="32" applyFont="1" applyBorder="1" applyAlignment="1" applyProtection="1">
      <alignment horizontal="left" vertical="center" indent="1"/>
    </xf>
    <xf numFmtId="0" fontId="56" fillId="48" borderId="0" xfId="317" applyFont="1" applyFill="1" applyAlignment="1">
      <alignment horizontal="right" vertical="center"/>
    </xf>
    <xf numFmtId="0" fontId="56" fillId="0" borderId="22" xfId="317" applyNumberFormat="1" applyFont="1" applyBorder="1" applyAlignment="1">
      <alignment vertical="center"/>
    </xf>
    <xf numFmtId="0" fontId="56" fillId="0" borderId="0" xfId="317" applyNumberFormat="1" applyFont="1" applyBorder="1" applyAlignment="1">
      <alignment vertical="center"/>
    </xf>
    <xf numFmtId="0" fontId="56" fillId="0" borderId="20" xfId="317" applyNumberFormat="1" applyFont="1" applyBorder="1" applyAlignment="1">
      <alignment vertical="center"/>
    </xf>
    <xf numFmtId="0" fontId="0" fillId="0" borderId="0" xfId="0" applyNumberFormat="1"/>
    <xf numFmtId="0" fontId="59" fillId="47" borderId="28" xfId="317" applyNumberFormat="1" applyFont="1" applyFill="1" applyBorder="1" applyAlignment="1">
      <alignment horizontal="center" vertical="center"/>
    </xf>
    <xf numFmtId="0" fontId="56" fillId="0" borderId="0" xfId="317" applyNumberFormat="1" applyFont="1" applyAlignment="1">
      <alignment horizontal="justify" vertical="center"/>
    </xf>
    <xf numFmtId="0" fontId="56" fillId="0" borderId="0" xfId="317" applyNumberFormat="1" applyFont="1" applyAlignment="1">
      <alignment horizontal="left" vertical="center"/>
    </xf>
    <xf numFmtId="43" fontId="56" fillId="0" borderId="0" xfId="32" applyFont="1" applyBorder="1" applyAlignment="1" applyProtection="1">
      <alignment vertical="center"/>
    </xf>
    <xf numFmtId="1" fontId="56" fillId="0" borderId="0" xfId="32" applyNumberFormat="1" applyFont="1" applyBorder="1" applyAlignment="1">
      <alignment horizontal="center" vertical="center"/>
    </xf>
    <xf numFmtId="1" fontId="0" fillId="0" borderId="0" xfId="32" applyNumberFormat="1" applyFont="1" applyAlignment="1">
      <alignment horizontal="center" vertical="center"/>
    </xf>
    <xf numFmtId="1" fontId="59" fillId="47" borderId="28" xfId="32" applyNumberFormat="1" applyFont="1" applyFill="1" applyBorder="1" applyAlignment="1">
      <alignment horizontal="center" vertical="center"/>
    </xf>
    <xf numFmtId="1" fontId="56" fillId="0" borderId="0" xfId="32" applyNumberFormat="1" applyFont="1" applyAlignment="1">
      <alignment horizontal="center" vertical="center"/>
    </xf>
    <xf numFmtId="0" fontId="56" fillId="48" borderId="0" xfId="317" applyNumberFormat="1" applyFont="1" applyFill="1" applyBorder="1" applyAlignment="1">
      <alignment vertical="center"/>
    </xf>
    <xf numFmtId="0" fontId="56" fillId="48" borderId="0" xfId="317" applyNumberFormat="1" applyFont="1" applyFill="1" applyAlignment="1">
      <alignment horizontal="justify" vertical="center"/>
    </xf>
    <xf numFmtId="0" fontId="56" fillId="0" borderId="0" xfId="317" applyNumberFormat="1" applyFont="1" applyBorder="1" applyAlignment="1">
      <alignment horizontal="center" vertical="center"/>
    </xf>
    <xf numFmtId="0" fontId="56" fillId="0" borderId="0" xfId="317" applyNumberFormat="1" applyFont="1" applyAlignment="1">
      <alignment horizontal="center" vertical="center"/>
    </xf>
    <xf numFmtId="0" fontId="43" fillId="47" borderId="1" xfId="317" applyNumberFormat="1" applyFont="1" applyFill="1" applyBorder="1" applyAlignment="1">
      <alignment horizontal="center" vertical="center"/>
    </xf>
    <xf numFmtId="43" fontId="43" fillId="47" borderId="1" xfId="32" applyFont="1" applyFill="1" applyBorder="1" applyAlignment="1">
      <alignment horizontal="center" vertical="center"/>
    </xf>
    <xf numFmtId="0" fontId="60" fillId="47" borderId="1" xfId="317" applyNumberFormat="1" applyFont="1" applyFill="1" applyBorder="1" applyAlignment="1">
      <alignment horizontal="center" vertical="center"/>
    </xf>
    <xf numFmtId="0" fontId="47" fillId="0" borderId="0" xfId="0" applyFont="1" applyAlignment="1">
      <alignment horizontal="left"/>
    </xf>
    <xf numFmtId="0" fontId="0" fillId="0" borderId="0" xfId="0"/>
    <xf numFmtId="43" fontId="56" fillId="0" borderId="20" xfId="32" applyFont="1" applyBorder="1" applyAlignment="1">
      <alignment horizontal="right" vertical="center"/>
    </xf>
    <xf numFmtId="43" fontId="56" fillId="0" borderId="0" xfId="32" applyFont="1" applyBorder="1" applyAlignment="1" applyProtection="1">
      <alignment horizontal="right" vertical="center"/>
    </xf>
    <xf numFmtId="0" fontId="52" fillId="46" borderId="24" xfId="25" applyFont="1" applyFill="1" applyBorder="1" applyAlignment="1">
      <alignment horizontal="center" vertical="center" wrapText="1"/>
    </xf>
    <xf numFmtId="173" fontId="47" fillId="0" borderId="0" xfId="32" applyNumberFormat="1" applyFont="1" applyAlignment="1">
      <alignment horizontal="right" vertical="center"/>
    </xf>
    <xf numFmtId="43" fontId="47" fillId="0" borderId="0" xfId="32" applyFont="1" applyAlignment="1">
      <alignment horizontal="left"/>
    </xf>
    <xf numFmtId="0" fontId="47" fillId="0" borderId="0" xfId="32" applyNumberFormat="1" applyFont="1" applyAlignment="1">
      <alignment horizontal="right"/>
    </xf>
    <xf numFmtId="173" fontId="47" fillId="0" borderId="0" xfId="32" applyNumberFormat="1" applyFont="1" applyAlignment="1">
      <alignment horizontal="right"/>
    </xf>
    <xf numFmtId="173" fontId="0" fillId="0" borderId="0" xfId="32" applyNumberFormat="1" applyFont="1"/>
    <xf numFmtId="43" fontId="19" fillId="0" borderId="25" xfId="315" applyFill="1" applyBorder="1"/>
    <xf numFmtId="0" fontId="47" fillId="0" borderId="0" xfId="187" applyNumberFormat="1" applyFont="1" applyAlignment="1">
      <alignment horizontal="right"/>
    </xf>
    <xf numFmtId="0" fontId="16" fillId="0" borderId="0" xfId="0" applyFont="1" applyFill="1" applyBorder="1" applyAlignment="1">
      <alignment vertical="center"/>
    </xf>
    <xf numFmtId="170" fontId="65" fillId="0" borderId="0" xfId="322"/>
    <xf numFmtId="164" fontId="69" fillId="51" borderId="29" xfId="322" applyNumberFormat="1" applyFont="1" applyFill="1" applyBorder="1" applyAlignment="1">
      <alignment horizontal="center" vertical="center"/>
    </xf>
    <xf numFmtId="170" fontId="69" fillId="51" borderId="29" xfId="322" applyFont="1" applyFill="1" applyBorder="1" applyAlignment="1">
      <alignment horizontal="center" vertical="center"/>
    </xf>
    <xf numFmtId="171" fontId="69" fillId="51" borderId="29" xfId="322" applyNumberFormat="1" applyFont="1" applyFill="1" applyBorder="1" applyAlignment="1">
      <alignment horizontal="justify" vertical="top" wrapText="1"/>
    </xf>
    <xf numFmtId="171" fontId="69" fillId="51" borderId="29" xfId="321" applyNumberFormat="1" applyFont="1" applyFill="1" applyBorder="1" applyAlignment="1">
      <alignment horizontal="center" vertical="center"/>
    </xf>
    <xf numFmtId="171" fontId="69" fillId="51" borderId="29" xfId="322" applyNumberFormat="1" applyFont="1" applyFill="1" applyBorder="1" applyAlignment="1">
      <alignment horizontal="justify" vertical="center" wrapText="1"/>
    </xf>
    <xf numFmtId="171" fontId="69" fillId="51" borderId="29" xfId="322" applyNumberFormat="1" applyFont="1" applyFill="1" applyBorder="1" applyAlignment="1">
      <alignment horizontal="left" vertical="center" wrapText="1"/>
    </xf>
    <xf numFmtId="164" fontId="69" fillId="52" borderId="29" xfId="322" applyNumberFormat="1" applyFont="1" applyFill="1" applyBorder="1" applyAlignment="1">
      <alignment horizontal="center" vertical="center"/>
    </xf>
    <xf numFmtId="164" fontId="69" fillId="50" borderId="29" xfId="322" applyNumberFormat="1" applyFont="1" applyFill="1" applyBorder="1" applyAlignment="1">
      <alignment horizontal="center" vertical="center"/>
    </xf>
    <xf numFmtId="9" fontId="57" fillId="0" borderId="33" xfId="0" applyNumberFormat="1" applyFont="1" applyBorder="1" applyAlignment="1">
      <alignment horizontal="left" vertical="center" indent="1"/>
    </xf>
    <xf numFmtId="9" fontId="57" fillId="0" borderId="34" xfId="0" applyNumberFormat="1" applyFont="1" applyBorder="1" applyAlignment="1">
      <alignment horizontal="left" vertical="center" indent="1"/>
    </xf>
    <xf numFmtId="0" fontId="0" fillId="0" borderId="0" xfId="0" applyAlignment="1">
      <alignment horizontal="center"/>
    </xf>
    <xf numFmtId="0" fontId="0" fillId="0" borderId="0" xfId="0"/>
    <xf numFmtId="0" fontId="50" fillId="0" borderId="0" xfId="0" applyFont="1" applyBorder="1" applyAlignment="1">
      <alignment vertical="center"/>
    </xf>
    <xf numFmtId="0" fontId="50" fillId="0" borderId="0" xfId="0" applyFont="1" applyBorder="1"/>
    <xf numFmtId="0" fontId="55" fillId="0" borderId="0" xfId="0" applyFont="1" applyBorder="1" applyAlignment="1">
      <alignment horizontal="center" vertical="center"/>
    </xf>
    <xf numFmtId="43" fontId="50" fillId="0" borderId="0" xfId="0" applyNumberFormat="1" applyFont="1" applyBorder="1" applyAlignment="1">
      <alignment vertical="center"/>
    </xf>
    <xf numFmtId="0" fontId="50" fillId="0" borderId="0" xfId="0" applyFont="1" applyBorder="1" applyAlignment="1">
      <alignment horizontal="center"/>
    </xf>
    <xf numFmtId="43" fontId="19" fillId="0" borderId="0" xfId="315" applyFill="1" applyBorder="1" applyAlignment="1">
      <alignment vertical="center"/>
    </xf>
    <xf numFmtId="0" fontId="54" fillId="0" borderId="28" xfId="0" applyFont="1" applyBorder="1" applyAlignment="1">
      <alignment horizontal="center" vertical="center"/>
    </xf>
    <xf numFmtId="43" fontId="39" fillId="0" borderId="28" xfId="315" applyFont="1" applyFill="1" applyBorder="1" applyAlignment="1">
      <alignment horizontal="center" vertical="center"/>
    </xf>
    <xf numFmtId="0" fontId="55" fillId="0" borderId="28" xfId="0" applyFont="1" applyBorder="1" applyAlignment="1">
      <alignment horizontal="center" vertical="center"/>
    </xf>
    <xf numFmtId="43" fontId="55" fillId="0" borderId="28" xfId="32" applyFont="1" applyBorder="1" applyAlignment="1">
      <alignment horizontal="left" vertical="center" wrapText="1"/>
    </xf>
    <xf numFmtId="0" fontId="55" fillId="53" borderId="28" xfId="0" applyFont="1" applyFill="1" applyBorder="1" applyAlignment="1">
      <alignment horizontal="center" vertical="center"/>
    </xf>
    <xf numFmtId="0" fontId="50" fillId="0" borderId="0" xfId="0" applyNumberFormat="1" applyFont="1" applyBorder="1" applyAlignment="1">
      <alignment vertical="center"/>
    </xf>
    <xf numFmtId="0" fontId="47" fillId="0" borderId="0" xfId="0" applyFont="1" applyAlignment="1">
      <alignment horizontal="left" wrapText="1"/>
    </xf>
    <xf numFmtId="43" fontId="65" fillId="0" borderId="0" xfId="32" applyFont="1"/>
    <xf numFmtId="0" fontId="0" fillId="0" borderId="0" xfId="0" applyAlignment="1"/>
    <xf numFmtId="43" fontId="56" fillId="48" borderId="0" xfId="32" applyFont="1" applyFill="1" applyAlignment="1">
      <alignment horizontal="right" vertical="center"/>
    </xf>
    <xf numFmtId="0" fontId="56" fillId="0" borderId="0" xfId="317" applyFont="1" applyBorder="1" applyAlignment="1">
      <alignment vertical="center" wrapText="1"/>
    </xf>
    <xf numFmtId="9" fontId="56" fillId="0" borderId="0" xfId="317" applyNumberFormat="1" applyFont="1" applyBorder="1" applyAlignment="1">
      <alignment vertical="center" wrapText="1"/>
    </xf>
    <xf numFmtId="0" fontId="59" fillId="47" borderId="28" xfId="317" applyFont="1" applyFill="1" applyBorder="1" applyAlignment="1">
      <alignment horizontal="center" vertical="center" wrapText="1"/>
    </xf>
    <xf numFmtId="0" fontId="56" fillId="0" borderId="0" xfId="317" applyFont="1" applyAlignment="1">
      <alignment horizontal="justify" vertical="center" wrapText="1"/>
    </xf>
    <xf numFmtId="171" fontId="68" fillId="51" borderId="29" xfId="321" applyNumberFormat="1" applyFont="1" applyFill="1" applyBorder="1" applyAlignment="1">
      <alignment horizontal="right" vertical="center"/>
    </xf>
    <xf numFmtId="0" fontId="75" fillId="0" borderId="0" xfId="284" applyFont="1" applyAlignment="1">
      <alignment horizontal="center" vertical="center"/>
    </xf>
    <xf numFmtId="0" fontId="19" fillId="0" borderId="0" xfId="284" applyAlignment="1">
      <alignment vertical="center"/>
    </xf>
    <xf numFmtId="0" fontId="19" fillId="0" borderId="0" xfId="284" applyFont="1" applyAlignment="1">
      <alignment vertical="center"/>
    </xf>
    <xf numFmtId="0" fontId="19" fillId="0" borderId="0" xfId="284"/>
    <xf numFmtId="0" fontId="19" fillId="0" borderId="0" xfId="284" applyAlignment="1"/>
    <xf numFmtId="0" fontId="79" fillId="0" borderId="0" xfId="284" applyFont="1" applyAlignment="1">
      <alignment vertical="center"/>
    </xf>
    <xf numFmtId="0" fontId="80" fillId="0" borderId="0" xfId="284" applyFont="1" applyAlignment="1">
      <alignment vertical="center"/>
    </xf>
    <xf numFmtId="0" fontId="80" fillId="0" borderId="23" xfId="284" applyFont="1" applyBorder="1" applyAlignment="1">
      <alignment horizontal="center" vertical="center"/>
    </xf>
    <xf numFmtId="0" fontId="46" fillId="0" borderId="36" xfId="284" applyFont="1" applyBorder="1" applyAlignment="1">
      <alignment vertical="center"/>
    </xf>
    <xf numFmtId="0" fontId="46" fillId="0" borderId="23" xfId="284" applyFont="1" applyBorder="1" applyAlignment="1">
      <alignment horizontal="center" vertical="center" wrapText="1"/>
    </xf>
    <xf numFmtId="0" fontId="46" fillId="0" borderId="23" xfId="284" applyFont="1" applyBorder="1" applyAlignment="1">
      <alignment horizontal="center" vertical="center"/>
    </xf>
    <xf numFmtId="0" fontId="46" fillId="46" borderId="23" xfId="284" applyFont="1" applyFill="1" applyBorder="1" applyAlignment="1">
      <alignment horizontal="center" vertical="center"/>
    </xf>
    <xf numFmtId="0" fontId="46" fillId="46" borderId="23" xfId="284" applyFont="1" applyFill="1" applyBorder="1" applyAlignment="1">
      <alignment horizontal="center" vertical="center" wrapText="1"/>
    </xf>
    <xf numFmtId="0" fontId="46" fillId="0" borderId="23" xfId="284" applyFont="1" applyBorder="1" applyAlignment="1">
      <alignment vertical="center"/>
    </xf>
    <xf numFmtId="10" fontId="46" fillId="0" borderId="23" xfId="284" applyNumberFormat="1" applyFont="1" applyBorder="1" applyAlignment="1">
      <alignment vertical="center"/>
    </xf>
    <xf numFmtId="10" fontId="46" fillId="46" borderId="23" xfId="284" applyNumberFormat="1" applyFont="1" applyFill="1" applyBorder="1" applyAlignment="1" applyProtection="1">
      <alignment vertical="center"/>
      <protection locked="0"/>
    </xf>
    <xf numFmtId="0" fontId="39" fillId="0" borderId="0" xfId="284" applyFont="1" applyAlignment="1">
      <alignment vertical="center"/>
    </xf>
    <xf numFmtId="10" fontId="46" fillId="46" borderId="23" xfId="284" applyNumberFormat="1" applyFont="1" applyFill="1" applyBorder="1" applyAlignment="1">
      <alignment vertical="center"/>
    </xf>
    <xf numFmtId="10" fontId="46" fillId="0" borderId="23" xfId="284" applyNumberFormat="1" applyFont="1" applyFill="1" applyBorder="1" applyAlignment="1">
      <alignment vertical="center"/>
    </xf>
    <xf numFmtId="0" fontId="79" fillId="0" borderId="0" xfId="284" applyFont="1" applyFill="1" applyBorder="1" applyAlignment="1">
      <alignment horizontal="left" vertical="center" wrapText="1"/>
    </xf>
    <xf numFmtId="0" fontId="79" fillId="0" borderId="0" xfId="284" applyFont="1" applyFill="1" applyAlignment="1">
      <alignment horizontal="left" vertical="center" wrapText="1"/>
    </xf>
    <xf numFmtId="0" fontId="84" fillId="0" borderId="0" xfId="284" applyFont="1" applyAlignment="1">
      <alignment horizontal="justify"/>
    </xf>
    <xf numFmtId="0" fontId="84" fillId="0" borderId="0" xfId="284" applyFont="1" applyAlignment="1">
      <alignment horizontal="left" vertical="center"/>
    </xf>
    <xf numFmtId="0" fontId="79" fillId="0" borderId="0" xfId="284" applyFont="1" applyFill="1" applyBorder="1" applyAlignment="1">
      <alignment horizontal="left" vertical="center"/>
    </xf>
    <xf numFmtId="0" fontId="88" fillId="0" borderId="0" xfId="284" applyFont="1" applyAlignment="1">
      <alignment horizontal="justify"/>
    </xf>
    <xf numFmtId="0" fontId="80" fillId="0" borderId="0" xfId="284" applyFont="1" applyAlignment="1">
      <alignment horizontal="left" vertical="center"/>
    </xf>
    <xf numFmtId="43" fontId="55" fillId="0" borderId="28" xfId="32" applyFont="1" applyBorder="1" applyAlignment="1">
      <alignment horizontal="center" vertical="center" wrapText="1"/>
    </xf>
    <xf numFmtId="43" fontId="90" fillId="0" borderId="0" xfId="0" applyNumberFormat="1" applyFont="1" applyBorder="1" applyAlignment="1">
      <alignment vertical="center"/>
    </xf>
    <xf numFmtId="0" fontId="90" fillId="0" borderId="0" xfId="0" applyFont="1" applyBorder="1" applyAlignment="1">
      <alignment vertical="center"/>
    </xf>
    <xf numFmtId="0" fontId="80" fillId="0" borderId="0" xfId="0" applyFont="1"/>
    <xf numFmtId="0" fontId="80" fillId="0" borderId="0" xfId="0" applyFont="1" applyFill="1" applyAlignment="1">
      <alignment vertical="center"/>
    </xf>
    <xf numFmtId="0" fontId="44" fillId="0" borderId="0" xfId="0" applyFont="1" applyAlignment="1">
      <alignment vertical="center"/>
    </xf>
    <xf numFmtId="43" fontId="80" fillId="0" borderId="0" xfId="32" applyFont="1" applyFill="1" applyAlignment="1">
      <alignment vertical="center"/>
    </xf>
    <xf numFmtId="0" fontId="80" fillId="0" borderId="0" xfId="0" applyFont="1" applyFill="1" applyAlignment="1">
      <alignment horizontal="center" vertical="center" wrapText="1"/>
    </xf>
    <xf numFmtId="0" fontId="44" fillId="0" borderId="0" xfId="317" applyFont="1" applyAlignment="1">
      <alignment vertical="center"/>
    </xf>
    <xf numFmtId="0" fontId="44" fillId="48" borderId="0" xfId="317" applyFont="1" applyFill="1" applyAlignment="1">
      <alignment vertical="center"/>
    </xf>
    <xf numFmtId="0" fontId="44" fillId="0" borderId="0" xfId="317" applyFont="1" applyFill="1" applyAlignment="1">
      <alignment vertical="center"/>
    </xf>
    <xf numFmtId="0" fontId="19" fillId="0" borderId="0" xfId="187" applyNumberFormat="1" applyFont="1" applyAlignment="1">
      <alignment horizontal="right"/>
    </xf>
    <xf numFmtId="0" fontId="19" fillId="0" borderId="0" xfId="0" applyFont="1" applyAlignment="1">
      <alignment horizontal="left"/>
    </xf>
    <xf numFmtId="0" fontId="19" fillId="0" borderId="0" xfId="0" applyFont="1" applyAlignment="1">
      <alignment horizontal="center"/>
    </xf>
    <xf numFmtId="0" fontId="80" fillId="0" borderId="0" xfId="0" applyFont="1" applyAlignment="1">
      <alignment horizontal="center" vertical="center" wrapText="1"/>
    </xf>
    <xf numFmtId="43" fontId="80" fillId="0" borderId="0" xfId="32" applyFont="1" applyAlignment="1">
      <alignment horizontal="center" vertical="center"/>
    </xf>
    <xf numFmtId="43" fontId="80" fillId="0" borderId="0" xfId="32" applyFont="1" applyAlignment="1">
      <alignment vertical="center"/>
    </xf>
    <xf numFmtId="164" fontId="80" fillId="0" borderId="0" xfId="0" applyNumberFormat="1" applyFont="1" applyAlignment="1">
      <alignment horizontal="center" vertical="center"/>
    </xf>
    <xf numFmtId="0" fontId="80" fillId="0" borderId="0" xfId="0" applyFont="1" applyAlignment="1">
      <alignment horizontal="center" vertical="center"/>
    </xf>
    <xf numFmtId="4" fontId="63" fillId="47" borderId="28" xfId="317" applyNumberFormat="1" applyFont="1" applyFill="1" applyBorder="1" applyAlignment="1">
      <alignment horizontal="center" vertical="center"/>
    </xf>
    <xf numFmtId="0" fontId="63" fillId="47" borderId="28" xfId="317" applyNumberFormat="1" applyFont="1" applyFill="1" applyBorder="1" applyAlignment="1">
      <alignment horizontal="center" vertical="center"/>
    </xf>
    <xf numFmtId="0" fontId="63" fillId="47" borderId="28" xfId="317" applyFont="1" applyFill="1" applyBorder="1" applyAlignment="1">
      <alignment horizontal="center" vertical="center"/>
    </xf>
    <xf numFmtId="0" fontId="91" fillId="0" borderId="0" xfId="317" applyFont="1" applyAlignment="1">
      <alignment vertical="center"/>
    </xf>
    <xf numFmtId="0" fontId="91" fillId="0" borderId="0" xfId="0" applyFont="1"/>
    <xf numFmtId="0" fontId="91" fillId="0" borderId="0" xfId="317" applyFont="1" applyAlignment="1">
      <alignment horizontal="justify" vertical="center"/>
    </xf>
    <xf numFmtId="0" fontId="91" fillId="0" borderId="0" xfId="317" applyNumberFormat="1" applyFont="1" applyAlignment="1">
      <alignment horizontal="justify" vertical="center"/>
    </xf>
    <xf numFmtId="0" fontId="91" fillId="0" borderId="0" xfId="0" applyNumberFormat="1" applyFont="1"/>
    <xf numFmtId="0" fontId="91" fillId="0" borderId="0" xfId="317" applyFont="1"/>
    <xf numFmtId="4" fontId="91" fillId="0" borderId="0" xfId="318" applyNumberFormat="1" applyFont="1" applyBorder="1" applyAlignment="1" applyProtection="1">
      <alignment vertical="center"/>
    </xf>
    <xf numFmtId="0" fontId="91" fillId="0" borderId="0" xfId="317" applyFont="1" applyAlignment="1">
      <alignment horizontal="center" vertical="center"/>
    </xf>
    <xf numFmtId="0" fontId="56" fillId="0" borderId="0" xfId="317" applyFont="1" applyAlignment="1">
      <alignment vertical="center"/>
    </xf>
    <xf numFmtId="0" fontId="58" fillId="0" borderId="0" xfId="317"/>
    <xf numFmtId="0" fontId="0" fillId="0" borderId="0" xfId="0"/>
    <xf numFmtId="0" fontId="45" fillId="0" borderId="0" xfId="0" applyFont="1" applyBorder="1"/>
    <xf numFmtId="170" fontId="74" fillId="0" borderId="0" xfId="322" applyFont="1" applyBorder="1"/>
    <xf numFmtId="170" fontId="39" fillId="0" borderId="0" xfId="322" applyFont="1" applyAlignment="1"/>
    <xf numFmtId="170" fontId="82" fillId="0" borderId="0" xfId="322" applyFont="1"/>
    <xf numFmtId="49" fontId="93" fillId="51" borderId="0" xfId="322" applyNumberFormat="1" applyFont="1" applyFill="1" applyBorder="1" applyAlignment="1">
      <alignment horizontal="right" vertical="center"/>
    </xf>
    <xf numFmtId="9" fontId="94" fillId="0" borderId="0" xfId="0" applyNumberFormat="1" applyFont="1" applyBorder="1" applyAlignment="1">
      <alignment vertical="center"/>
    </xf>
    <xf numFmtId="9" fontId="57" fillId="0" borderId="0" xfId="0" applyNumberFormat="1" applyFont="1" applyBorder="1" applyAlignment="1">
      <alignment vertical="center"/>
    </xf>
    <xf numFmtId="170" fontId="65" fillId="0" borderId="0" xfId="322" applyBorder="1" applyAlignment="1"/>
    <xf numFmtId="170" fontId="65" fillId="0" borderId="0" xfId="322" applyBorder="1"/>
    <xf numFmtId="174" fontId="93" fillId="51" borderId="0" xfId="322" applyNumberFormat="1" applyFont="1" applyFill="1" applyBorder="1" applyAlignment="1">
      <alignment horizontal="right" vertical="center"/>
    </xf>
    <xf numFmtId="49" fontId="80" fillId="0" borderId="0" xfId="0" applyNumberFormat="1" applyFont="1" applyBorder="1" applyAlignment="1">
      <alignment vertical="center"/>
    </xf>
    <xf numFmtId="49" fontId="46" fillId="0" borderId="0" xfId="0" applyNumberFormat="1" applyFont="1" applyBorder="1" applyAlignment="1">
      <alignment vertical="center"/>
    </xf>
    <xf numFmtId="9" fontId="65" fillId="0" borderId="0" xfId="730" applyFont="1"/>
    <xf numFmtId="4" fontId="60" fillId="0" borderId="19" xfId="579" applyNumberFormat="1" applyFont="1" applyFill="1" applyBorder="1" applyAlignment="1" applyProtection="1">
      <alignment vertical="center"/>
    </xf>
    <xf numFmtId="4" fontId="60" fillId="0" borderId="82" xfId="579" applyNumberFormat="1" applyFont="1" applyFill="1" applyBorder="1" applyAlignment="1" applyProtection="1">
      <alignment vertical="center"/>
    </xf>
    <xf numFmtId="43" fontId="56" fillId="0" borderId="82" xfId="731" applyFont="1" applyFill="1" applyBorder="1" applyAlignment="1" applyProtection="1">
      <alignment vertical="center"/>
    </xf>
    <xf numFmtId="43" fontId="56" fillId="0" borderId="0" xfId="731" applyFont="1" applyFill="1" applyBorder="1" applyAlignment="1" applyProtection="1">
      <alignment vertical="center"/>
    </xf>
    <xf numFmtId="43" fontId="43" fillId="0" borderId="19" xfId="731" applyFont="1" applyFill="1" applyBorder="1" applyAlignment="1" applyProtection="1">
      <alignment vertical="center"/>
    </xf>
    <xf numFmtId="4" fontId="60" fillId="0" borderId="85" xfId="579" applyNumberFormat="1" applyFont="1" applyFill="1" applyBorder="1" applyAlignment="1" applyProtection="1">
      <alignment vertical="center"/>
    </xf>
    <xf numFmtId="4" fontId="60" fillId="0" borderId="86" xfId="579" applyNumberFormat="1" applyFont="1" applyFill="1" applyBorder="1" applyAlignment="1" applyProtection="1">
      <alignment vertical="center"/>
    </xf>
    <xf numFmtId="167" fontId="74" fillId="0" borderId="87" xfId="579" applyNumberFormat="1" applyFont="1" applyFill="1" applyBorder="1" applyAlignment="1" applyProtection="1"/>
    <xf numFmtId="167" fontId="74" fillId="0" borderId="87" xfId="579" applyNumberFormat="1" applyFont="1" applyFill="1" applyBorder="1" applyAlignment="1" applyProtection="1">
      <alignment vertical="center"/>
    </xf>
    <xf numFmtId="43" fontId="96" fillId="0" borderId="91" xfId="731" applyFont="1" applyBorder="1" applyAlignment="1">
      <alignment vertical="center"/>
    </xf>
    <xf numFmtId="10" fontId="60" fillId="0" borderId="86" xfId="579" applyNumberFormat="1" applyFont="1" applyFill="1" applyBorder="1" applyAlignment="1" applyProtection="1">
      <alignment vertical="center"/>
    </xf>
    <xf numFmtId="43" fontId="96" fillId="0" borderId="0" xfId="731" applyFont="1" applyBorder="1" applyAlignment="1">
      <alignment vertical="center"/>
    </xf>
    <xf numFmtId="43" fontId="96" fillId="0" borderId="82" xfId="731" applyFont="1" applyBorder="1" applyAlignment="1">
      <alignment vertical="center"/>
    </xf>
    <xf numFmtId="10" fontId="60" fillId="0" borderId="83" xfId="580" applyNumberFormat="1" applyFont="1" applyFill="1" applyBorder="1" applyAlignment="1" applyProtection="1">
      <alignment vertical="center"/>
    </xf>
    <xf numFmtId="0" fontId="56" fillId="0" borderId="0" xfId="317" applyFont="1" applyBorder="1" applyAlignment="1">
      <alignment horizontal="right" vertical="center"/>
    </xf>
    <xf numFmtId="4" fontId="59" fillId="49" borderId="28" xfId="317" applyNumberFormat="1" applyFont="1" applyFill="1" applyBorder="1" applyAlignment="1">
      <alignment horizontal="right" vertical="center"/>
    </xf>
    <xf numFmtId="0" fontId="47" fillId="0" borderId="0" xfId="0" applyFont="1" applyAlignment="1">
      <alignment horizontal="left" wrapText="1"/>
    </xf>
    <xf numFmtId="43" fontId="56" fillId="0" borderId="0" xfId="32" applyFont="1" applyAlignment="1">
      <alignment vertical="center"/>
    </xf>
    <xf numFmtId="43" fontId="47" fillId="0" borderId="0" xfId="32" applyNumberFormat="1" applyFont="1" applyAlignment="1">
      <alignment horizontal="left"/>
    </xf>
    <xf numFmtId="0" fontId="0" fillId="0" borderId="0" xfId="0" applyAlignment="1">
      <alignment wrapText="1"/>
    </xf>
    <xf numFmtId="0" fontId="43" fillId="47" borderId="28" xfId="317" applyFont="1" applyFill="1" applyBorder="1" applyAlignment="1">
      <alignment horizontal="left" vertical="center" wrapText="1"/>
    </xf>
    <xf numFmtId="4" fontId="99" fillId="0" borderId="0" xfId="732" applyNumberFormat="1" applyFont="1" applyAlignment="1">
      <alignment horizontal="center" vertical="center" wrapText="1"/>
    </xf>
    <xf numFmtId="4" fontId="65" fillId="0" borderId="0" xfId="732" applyNumberFormat="1" applyFont="1" applyAlignment="1">
      <alignment horizontal="center"/>
    </xf>
    <xf numFmtId="4" fontId="65" fillId="0" borderId="0" xfId="732" applyNumberFormat="1" applyFont="1" applyAlignment="1"/>
    <xf numFmtId="0" fontId="65" fillId="0" borderId="0" xfId="732"/>
    <xf numFmtId="0" fontId="65" fillId="0" borderId="0" xfId="732" applyFont="1" applyAlignment="1">
      <alignment vertical="center"/>
    </xf>
    <xf numFmtId="4" fontId="65" fillId="0" borderId="0" xfId="732" applyNumberFormat="1" applyFont="1" applyAlignment="1">
      <alignment horizontal="center" vertical="center"/>
    </xf>
    <xf numFmtId="4" fontId="99" fillId="57" borderId="94" xfId="732" applyNumberFormat="1" applyFont="1" applyFill="1" applyBorder="1" applyAlignment="1">
      <alignment horizontal="center" vertical="center"/>
    </xf>
    <xf numFmtId="10" fontId="65" fillId="57" borderId="94" xfId="732" applyNumberFormat="1" applyFont="1" applyFill="1" applyBorder="1" applyAlignment="1">
      <alignment horizontal="center" vertical="center"/>
    </xf>
    <xf numFmtId="4" fontId="99" fillId="0" borderId="0" xfId="732" applyNumberFormat="1" applyFont="1" applyAlignment="1">
      <alignment horizontal="center"/>
    </xf>
    <xf numFmtId="4" fontId="65" fillId="0" borderId="0" xfId="732" applyNumberFormat="1" applyFont="1" applyAlignment="1">
      <alignment vertical="center"/>
    </xf>
    <xf numFmtId="0" fontId="65" fillId="0" borderId="0" xfId="732" applyFont="1" applyAlignment="1"/>
    <xf numFmtId="1" fontId="99" fillId="0" borderId="94" xfId="732" applyNumberFormat="1" applyFont="1" applyBorder="1" applyAlignment="1">
      <alignment horizontal="center" vertical="center"/>
    </xf>
    <xf numFmtId="4" fontId="99" fillId="0" borderId="94" xfId="732" applyNumberFormat="1" applyFont="1" applyBorder="1" applyAlignment="1">
      <alignment vertical="center"/>
    </xf>
    <xf numFmtId="177" fontId="65" fillId="59" borderId="94" xfId="732" applyNumberFormat="1" applyFont="1" applyFill="1" applyBorder="1" applyAlignment="1">
      <alignment horizontal="center" vertical="center"/>
    </xf>
    <xf numFmtId="4" fontId="65" fillId="0" borderId="94" xfId="732" applyNumberFormat="1" applyFont="1" applyBorder="1" applyAlignment="1">
      <alignment horizontal="center" vertical="center"/>
    </xf>
    <xf numFmtId="178" fontId="98" fillId="60" borderId="94" xfId="732" applyNumberFormat="1" applyFont="1" applyFill="1" applyBorder="1" applyAlignment="1">
      <alignment horizontal="center" vertical="center"/>
    </xf>
    <xf numFmtId="10" fontId="73" fillId="0" borderId="0" xfId="732" applyNumberFormat="1" applyFont="1" applyAlignment="1">
      <alignment horizontal="center"/>
    </xf>
    <xf numFmtId="179" fontId="65" fillId="0" borderId="94" xfId="732" applyNumberFormat="1" applyFont="1" applyBorder="1" applyAlignment="1">
      <alignment horizontal="center" vertical="center"/>
    </xf>
    <xf numFmtId="4" fontId="96" fillId="0" borderId="0" xfId="732" applyNumberFormat="1" applyFont="1" applyAlignment="1">
      <alignment horizontal="left" vertical="center" wrapText="1"/>
    </xf>
    <xf numFmtId="175" fontId="65" fillId="0" borderId="94" xfId="732" applyNumberFormat="1" applyFont="1" applyFill="1" applyBorder="1" applyAlignment="1">
      <alignment horizontal="center" vertical="center"/>
    </xf>
    <xf numFmtId="178" fontId="98" fillId="58" borderId="94" xfId="732" applyNumberFormat="1" applyFont="1" applyFill="1" applyBorder="1" applyAlignment="1">
      <alignment horizontal="center" vertical="center"/>
    </xf>
    <xf numFmtId="4" fontId="96" fillId="0" borderId="0" xfId="732" applyNumberFormat="1" applyFont="1" applyAlignment="1">
      <alignment vertical="center" wrapText="1"/>
    </xf>
    <xf numFmtId="43" fontId="62" fillId="0" borderId="96" xfId="32" applyFont="1" applyFill="1" applyBorder="1" applyAlignment="1">
      <alignment horizontal="right" vertical="center" wrapText="1"/>
    </xf>
    <xf numFmtId="0" fontId="61" fillId="0" borderId="96" xfId="317" applyFont="1" applyFill="1" applyBorder="1" applyAlignment="1">
      <alignment horizontal="center" vertical="center"/>
    </xf>
    <xf numFmtId="0" fontId="56" fillId="0" borderId="96" xfId="317" applyFont="1" applyFill="1" applyBorder="1" applyAlignment="1">
      <alignment horizontal="center" vertical="center"/>
    </xf>
    <xf numFmtId="49" fontId="62" fillId="0" borderId="96" xfId="317" applyNumberFormat="1" applyFont="1" applyFill="1" applyBorder="1" applyAlignment="1">
      <alignment horizontal="center" vertical="center" wrapText="1"/>
    </xf>
    <xf numFmtId="0" fontId="50" fillId="0" borderId="0" xfId="0" applyFont="1" applyBorder="1" applyAlignment="1">
      <alignment vertical="center"/>
    </xf>
    <xf numFmtId="43" fontId="65" fillId="0" borderId="0" xfId="760" applyFont="1"/>
    <xf numFmtId="0" fontId="56" fillId="0" borderId="0" xfId="317" applyFont="1" applyAlignment="1">
      <alignment vertical="center"/>
    </xf>
    <xf numFmtId="43" fontId="56" fillId="48" borderId="0" xfId="317" applyNumberFormat="1" applyFont="1" applyFill="1" applyAlignment="1">
      <alignment vertical="center"/>
    </xf>
    <xf numFmtId="43" fontId="56" fillId="0" borderId="0" xfId="317" applyNumberFormat="1" applyFont="1" applyAlignment="1">
      <alignment vertical="center"/>
    </xf>
    <xf numFmtId="43" fontId="56" fillId="48" borderId="0" xfId="32" applyFont="1" applyFill="1" applyAlignment="1">
      <alignment vertical="center"/>
    </xf>
    <xf numFmtId="43" fontId="44" fillId="0" borderId="0" xfId="32" applyFont="1" applyAlignment="1">
      <alignment vertical="center"/>
    </xf>
    <xf numFmtId="43" fontId="80" fillId="0" borderId="0" xfId="32" applyFont="1" applyFill="1" applyAlignment="1">
      <alignment horizontal="center" vertical="center" wrapText="1"/>
    </xf>
    <xf numFmtId="43" fontId="56" fillId="48" borderId="0" xfId="317" applyNumberFormat="1" applyFont="1" applyFill="1" applyAlignment="1">
      <alignment horizontal="left" vertical="center"/>
    </xf>
    <xf numFmtId="43" fontId="58" fillId="0" borderId="0" xfId="317" applyNumberFormat="1"/>
    <xf numFmtId="43" fontId="58" fillId="0" borderId="0" xfId="32" applyFont="1"/>
    <xf numFmtId="43" fontId="44" fillId="0" borderId="0" xfId="317" applyNumberFormat="1" applyFont="1" applyAlignment="1">
      <alignment vertical="center"/>
    </xf>
    <xf numFmtId="9" fontId="59" fillId="0" borderId="95" xfId="317" applyNumberFormat="1" applyFont="1" applyBorder="1" applyAlignment="1">
      <alignment horizontal="left" vertical="center" wrapText="1"/>
    </xf>
    <xf numFmtId="0" fontId="56" fillId="0" borderId="96" xfId="317" applyFont="1" applyBorder="1" applyAlignment="1">
      <alignment horizontal="center" vertical="center"/>
    </xf>
    <xf numFmtId="0" fontId="59" fillId="0" borderId="96" xfId="317" applyFont="1" applyBorder="1" applyAlignment="1">
      <alignment horizontal="justify" vertical="center"/>
    </xf>
    <xf numFmtId="0" fontId="59" fillId="0" borderId="96" xfId="317" applyFont="1" applyBorder="1" applyAlignment="1">
      <alignment horizontal="justify" vertical="center" wrapText="1"/>
    </xf>
    <xf numFmtId="4" fontId="56" fillId="0" borderId="96" xfId="317" applyNumberFormat="1" applyFont="1" applyBorder="1" applyAlignment="1">
      <alignment horizontal="center" vertical="center" wrapText="1"/>
    </xf>
    <xf numFmtId="4" fontId="56" fillId="0" borderId="96" xfId="318" applyNumberFormat="1" applyFont="1" applyBorder="1" applyAlignment="1" applyProtection="1">
      <alignment horizontal="center" vertical="center"/>
    </xf>
    <xf numFmtId="43" fontId="56" fillId="0" borderId="96" xfId="32" applyFont="1" applyBorder="1" applyAlignment="1" applyProtection="1">
      <alignment horizontal="center" vertical="center"/>
    </xf>
    <xf numFmtId="0" fontId="59" fillId="0" borderId="96" xfId="317" applyNumberFormat="1" applyFont="1" applyFill="1" applyBorder="1" applyAlignment="1">
      <alignment horizontal="center" vertical="center"/>
    </xf>
    <xf numFmtId="4" fontId="59" fillId="0" borderId="96" xfId="317" applyNumberFormat="1" applyFont="1" applyFill="1" applyBorder="1" applyAlignment="1">
      <alignment horizontal="left" vertical="center" wrapText="1"/>
    </xf>
    <xf numFmtId="4" fontId="56" fillId="0" borderId="96" xfId="317" applyNumberFormat="1" applyFont="1" applyFill="1" applyBorder="1" applyAlignment="1">
      <alignment horizontal="center" vertical="center" wrapText="1"/>
    </xf>
    <xf numFmtId="4" fontId="56" fillId="0" borderId="96" xfId="318" applyNumberFormat="1" applyFont="1" applyFill="1" applyBorder="1" applyAlignment="1" applyProtection="1">
      <alignment horizontal="center" vertical="center"/>
    </xf>
    <xf numFmtId="43" fontId="56" fillId="0" borderId="96" xfId="32" applyFont="1" applyFill="1" applyBorder="1" applyAlignment="1" applyProtection="1">
      <alignment horizontal="center" vertical="center"/>
    </xf>
    <xf numFmtId="1" fontId="56" fillId="0" borderId="96" xfId="317" applyNumberFormat="1" applyFont="1" applyFill="1" applyBorder="1" applyAlignment="1">
      <alignment horizontal="center" vertical="center"/>
    </xf>
    <xf numFmtId="4" fontId="56" fillId="0" borderId="96" xfId="317" applyNumberFormat="1" applyFont="1" applyFill="1" applyBorder="1" applyAlignment="1">
      <alignment horizontal="justify" vertical="center" wrapText="1"/>
    </xf>
    <xf numFmtId="4" fontId="56" fillId="0" borderId="96" xfId="318" applyNumberFormat="1" applyFont="1" applyFill="1" applyBorder="1" applyAlignment="1" applyProtection="1">
      <alignment horizontal="right" vertical="center"/>
    </xf>
    <xf numFmtId="43" fontId="56" fillId="0" borderId="96" xfId="32" applyFont="1" applyFill="1" applyBorder="1" applyAlignment="1" applyProtection="1">
      <alignment horizontal="right" vertical="center"/>
    </xf>
    <xf numFmtId="171" fontId="63" fillId="0" borderId="96" xfId="0" applyNumberFormat="1" applyFont="1" applyFill="1" applyBorder="1" applyAlignment="1">
      <alignment vertical="center" wrapText="1"/>
    </xf>
    <xf numFmtId="4" fontId="56" fillId="0" borderId="96" xfId="317" applyNumberFormat="1" applyFont="1" applyFill="1" applyBorder="1" applyAlignment="1">
      <alignment vertical="center" wrapText="1"/>
    </xf>
    <xf numFmtId="0" fontId="56" fillId="0" borderId="96" xfId="317" applyNumberFormat="1" applyFont="1" applyFill="1" applyBorder="1" applyAlignment="1">
      <alignment horizontal="center" vertical="center" wrapText="1"/>
    </xf>
    <xf numFmtId="4" fontId="43" fillId="0" borderId="96" xfId="317" applyNumberFormat="1" applyFont="1" applyFill="1" applyBorder="1" applyAlignment="1">
      <alignment vertical="center" wrapText="1"/>
    </xf>
    <xf numFmtId="0" fontId="56" fillId="15" borderId="96" xfId="317" applyFont="1" applyFill="1" applyBorder="1" applyAlignment="1">
      <alignment horizontal="center" vertical="center"/>
    </xf>
    <xf numFmtId="0" fontId="56" fillId="15" borderId="96" xfId="317" applyNumberFormat="1" applyFont="1" applyFill="1" applyBorder="1" applyAlignment="1">
      <alignment horizontal="center" vertical="center" wrapText="1"/>
    </xf>
    <xf numFmtId="43" fontId="56" fillId="15" borderId="96" xfId="32" applyFont="1" applyFill="1" applyBorder="1" applyAlignment="1" applyProtection="1">
      <alignment horizontal="center" vertical="center"/>
    </xf>
    <xf numFmtId="43" fontId="43" fillId="0" borderId="96" xfId="32" applyFont="1" applyFill="1" applyBorder="1" applyAlignment="1" applyProtection="1">
      <alignment horizontal="center" vertical="center"/>
    </xf>
    <xf numFmtId="164" fontId="56" fillId="0" borderId="96" xfId="317" applyNumberFormat="1" applyFont="1" applyFill="1" applyBorder="1" applyAlignment="1">
      <alignment horizontal="center" vertical="center"/>
    </xf>
    <xf numFmtId="0" fontId="56" fillId="0" borderId="96" xfId="317" applyNumberFormat="1" applyFont="1" applyFill="1" applyBorder="1" applyAlignment="1">
      <alignment horizontal="center" vertical="center"/>
    </xf>
    <xf numFmtId="4" fontId="56" fillId="0" borderId="96" xfId="317" applyNumberFormat="1" applyFont="1" applyFill="1" applyBorder="1" applyAlignment="1">
      <alignment horizontal="justify" vertical="top" wrapText="1"/>
    </xf>
    <xf numFmtId="0" fontId="61" fillId="0" borderId="96" xfId="317" quotePrefix="1" applyFont="1" applyFill="1" applyBorder="1" applyAlignment="1">
      <alignment horizontal="center" vertical="center"/>
    </xf>
    <xf numFmtId="0" fontId="62" fillId="0" borderId="96" xfId="317" applyFont="1" applyFill="1" applyBorder="1" applyAlignment="1">
      <alignment horizontal="center" vertical="center" wrapText="1"/>
    </xf>
    <xf numFmtId="0" fontId="56" fillId="48" borderId="96" xfId="317" applyFont="1" applyFill="1" applyBorder="1" applyAlignment="1">
      <alignment horizontal="center" vertical="center"/>
    </xf>
    <xf numFmtId="0" fontId="59" fillId="48" borderId="96" xfId="317" applyNumberFormat="1" applyFont="1" applyFill="1" applyBorder="1" applyAlignment="1">
      <alignment horizontal="justify" vertical="center"/>
    </xf>
    <xf numFmtId="0" fontId="59" fillId="48" borderId="96" xfId="317" applyFont="1" applyFill="1" applyBorder="1" applyAlignment="1">
      <alignment horizontal="justify" vertical="center"/>
    </xf>
    <xf numFmtId="4" fontId="56" fillId="48" borderId="96" xfId="317" applyNumberFormat="1" applyFont="1" applyFill="1" applyBorder="1" applyAlignment="1">
      <alignment horizontal="center" vertical="center" wrapText="1"/>
    </xf>
    <xf numFmtId="43" fontId="56" fillId="48" borderId="96" xfId="32" applyFont="1" applyFill="1" applyBorder="1" applyAlignment="1" applyProtection="1">
      <alignment horizontal="center" vertical="center"/>
    </xf>
    <xf numFmtId="0" fontId="43" fillId="0" borderId="96" xfId="317" applyNumberFormat="1" applyFont="1" applyFill="1" applyBorder="1" applyAlignment="1">
      <alignment horizontal="center" vertical="center"/>
    </xf>
    <xf numFmtId="4" fontId="59" fillId="0" borderId="96" xfId="317" applyNumberFormat="1" applyFont="1" applyFill="1" applyBorder="1" applyAlignment="1">
      <alignment horizontal="justify" vertical="center"/>
    </xf>
    <xf numFmtId="4" fontId="56" fillId="0" borderId="96" xfId="317" applyNumberFormat="1" applyFont="1" applyFill="1" applyBorder="1" applyAlignment="1">
      <alignment horizontal="justify" vertical="center"/>
    </xf>
    <xf numFmtId="0" fontId="61" fillId="0" borderId="96" xfId="317" applyNumberFormat="1" applyFont="1" applyFill="1" applyBorder="1" applyAlignment="1">
      <alignment horizontal="center" vertical="center"/>
    </xf>
    <xf numFmtId="43" fontId="56" fillId="0" borderId="96" xfId="32" applyFont="1" applyFill="1" applyBorder="1" applyAlignment="1">
      <alignment horizontal="center" vertical="center" wrapText="1"/>
    </xf>
    <xf numFmtId="0" fontId="59" fillId="0" borderId="96" xfId="317" applyNumberFormat="1" applyFont="1" applyFill="1" applyBorder="1" applyAlignment="1">
      <alignment horizontal="justify" vertical="center" wrapText="1"/>
    </xf>
    <xf numFmtId="4" fontId="59" fillId="0" borderId="96" xfId="317" applyNumberFormat="1" applyFont="1" applyFill="1" applyBorder="1" applyAlignment="1">
      <alignment horizontal="center" vertical="center" wrapText="1"/>
    </xf>
    <xf numFmtId="0" fontId="47" fillId="0" borderId="96" xfId="187" applyNumberFormat="1" applyFont="1" applyFill="1" applyBorder="1" applyAlignment="1">
      <alignment horizontal="right"/>
    </xf>
    <xf numFmtId="0" fontId="47" fillId="0" borderId="96" xfId="0" applyFont="1" applyFill="1" applyBorder="1" applyAlignment="1">
      <alignment horizontal="left"/>
    </xf>
    <xf numFmtId="0" fontId="47" fillId="0" borderId="96" xfId="0" applyFont="1" applyFill="1" applyBorder="1" applyAlignment="1">
      <alignment horizontal="center"/>
    </xf>
    <xf numFmtId="43" fontId="56" fillId="0" borderId="96" xfId="32" applyFont="1" applyFill="1" applyBorder="1" applyAlignment="1" applyProtection="1">
      <alignment vertical="center"/>
    </xf>
    <xf numFmtId="0" fontId="56" fillId="0" borderId="96" xfId="317" applyNumberFormat="1" applyFont="1" applyBorder="1" applyAlignment="1">
      <alignment horizontal="center" vertical="center" wrapText="1"/>
    </xf>
    <xf numFmtId="4" fontId="56" fillId="0" borderId="96" xfId="317" applyNumberFormat="1" applyFont="1" applyBorder="1" applyAlignment="1">
      <alignment vertical="center" wrapText="1"/>
    </xf>
    <xf numFmtId="43" fontId="56" fillId="0" borderId="96" xfId="32" applyFont="1" applyBorder="1" applyAlignment="1" applyProtection="1">
      <alignment horizontal="right" vertical="center"/>
    </xf>
    <xf numFmtId="0" fontId="56" fillId="0" borderId="96" xfId="317" quotePrefix="1" applyNumberFormat="1" applyFont="1" applyFill="1" applyBorder="1" applyAlignment="1">
      <alignment horizontal="center" vertical="center"/>
    </xf>
    <xf numFmtId="43" fontId="62" fillId="0" borderId="96" xfId="32" applyFont="1" applyFill="1" applyBorder="1" applyAlignment="1">
      <alignment horizontal="center" vertical="center" wrapText="1"/>
    </xf>
    <xf numFmtId="43" fontId="56" fillId="0" borderId="96" xfId="32" applyFont="1" applyFill="1" applyBorder="1" applyAlignment="1">
      <alignment horizontal="justify" vertical="center" wrapText="1"/>
    </xf>
    <xf numFmtId="43" fontId="44" fillId="0" borderId="96" xfId="32" applyFont="1" applyFill="1" applyBorder="1" applyAlignment="1" applyProtection="1">
      <alignment horizontal="center" vertical="center"/>
    </xf>
    <xf numFmtId="43" fontId="44" fillId="0" borderId="96" xfId="32" applyFont="1" applyFill="1" applyBorder="1" applyAlignment="1">
      <alignment horizontal="center" vertical="center" wrapText="1"/>
    </xf>
    <xf numFmtId="43" fontId="89" fillId="0" borderId="96" xfId="32" applyFont="1" applyFill="1" applyBorder="1" applyAlignment="1">
      <alignment horizontal="center" vertical="center" wrapText="1"/>
    </xf>
    <xf numFmtId="43" fontId="44" fillId="0" borderId="96" xfId="32" applyFont="1" applyFill="1" applyBorder="1" applyAlignment="1">
      <alignment horizontal="justify" vertical="center" wrapText="1"/>
    </xf>
    <xf numFmtId="43" fontId="44" fillId="0" borderId="96" xfId="32" applyFont="1" applyFill="1" applyBorder="1" applyAlignment="1" applyProtection="1">
      <alignment horizontal="right" vertical="center"/>
    </xf>
    <xf numFmtId="164" fontId="56" fillId="48" borderId="96" xfId="317" applyNumberFormat="1" applyFont="1" applyFill="1" applyBorder="1" applyAlignment="1">
      <alignment horizontal="center" vertical="center"/>
    </xf>
    <xf numFmtId="4" fontId="59" fillId="48" borderId="96" xfId="317" applyNumberFormat="1" applyFont="1" applyFill="1" applyBorder="1" applyAlignment="1">
      <alignment horizontal="justify" vertical="center"/>
    </xf>
    <xf numFmtId="4" fontId="56" fillId="48" borderId="96" xfId="318" applyNumberFormat="1" applyFont="1" applyFill="1" applyBorder="1" applyAlignment="1" applyProtection="1">
      <alignment horizontal="right" vertical="center"/>
    </xf>
    <xf numFmtId="43" fontId="56" fillId="48" borderId="96" xfId="32" applyFont="1" applyFill="1" applyBorder="1" applyAlignment="1" applyProtection="1">
      <alignment horizontal="right" vertical="center"/>
    </xf>
    <xf numFmtId="4" fontId="56" fillId="0" borderId="96" xfId="317" applyNumberFormat="1" applyFont="1" applyFill="1" applyBorder="1" applyAlignment="1">
      <alignment horizontal="right" vertical="center" wrapText="1"/>
    </xf>
    <xf numFmtId="4" fontId="44" fillId="0" borderId="96" xfId="318" applyNumberFormat="1" applyFont="1" applyFill="1" applyBorder="1" applyAlignment="1" applyProtection="1">
      <alignment horizontal="right" vertical="center"/>
    </xf>
    <xf numFmtId="1" fontId="59" fillId="0" borderId="96" xfId="32" applyNumberFormat="1" applyFont="1" applyBorder="1" applyAlignment="1">
      <alignment horizontal="center" vertical="center"/>
    </xf>
    <xf numFmtId="1" fontId="56" fillId="0" borderId="96" xfId="32" applyNumberFormat="1" applyFont="1" applyFill="1" applyBorder="1" applyAlignment="1">
      <alignment horizontal="center" vertical="center"/>
    </xf>
    <xf numFmtId="4" fontId="56" fillId="0" borderId="96" xfId="317" applyNumberFormat="1" applyFont="1" applyFill="1" applyBorder="1" applyAlignment="1">
      <alignment horizontal="justify" vertical="top"/>
    </xf>
    <xf numFmtId="1" fontId="61" fillId="0" borderId="96" xfId="32" applyNumberFormat="1" applyFont="1" applyFill="1" applyBorder="1" applyAlignment="1">
      <alignment horizontal="center" vertical="center"/>
    </xf>
    <xf numFmtId="4" fontId="59" fillId="0" borderId="96" xfId="317" applyNumberFormat="1" applyFont="1" applyFill="1" applyBorder="1" applyAlignment="1">
      <alignment horizontal="justify"/>
    </xf>
    <xf numFmtId="4" fontId="59" fillId="0" borderId="96" xfId="317" applyNumberFormat="1" applyFont="1" applyFill="1" applyBorder="1" applyAlignment="1">
      <alignment horizontal="justify" wrapText="1"/>
    </xf>
    <xf numFmtId="4" fontId="43" fillId="0" borderId="96" xfId="317" applyNumberFormat="1" applyFont="1" applyFill="1" applyBorder="1" applyAlignment="1">
      <alignment horizontal="justify" vertical="center"/>
    </xf>
    <xf numFmtId="0" fontId="56" fillId="0" borderId="96" xfId="317" applyFont="1" applyFill="1" applyBorder="1" applyAlignment="1">
      <alignment vertical="center"/>
    </xf>
    <xf numFmtId="43" fontId="56" fillId="0" borderId="96" xfId="317" applyNumberFormat="1" applyFont="1" applyFill="1" applyBorder="1" applyAlignment="1">
      <alignment vertical="center"/>
    </xf>
    <xf numFmtId="4" fontId="59" fillId="0" borderId="96" xfId="317" applyNumberFormat="1" applyFont="1" applyFill="1" applyBorder="1" applyAlignment="1">
      <alignment vertical="center"/>
    </xf>
    <xf numFmtId="0" fontId="59" fillId="0" borderId="96" xfId="317" applyFont="1" applyFill="1" applyBorder="1" applyAlignment="1">
      <alignment horizontal="center" vertical="center"/>
    </xf>
    <xf numFmtId="4" fontId="59" fillId="0" borderId="96" xfId="317" applyNumberFormat="1" applyFont="1" applyFill="1" applyBorder="1" applyAlignment="1">
      <alignment horizontal="left" vertical="center"/>
    </xf>
    <xf numFmtId="0" fontId="56" fillId="0" borderId="96" xfId="318" applyNumberFormat="1" applyFont="1" applyFill="1" applyBorder="1" applyAlignment="1" applyProtection="1">
      <alignment horizontal="center" vertical="center"/>
    </xf>
    <xf numFmtId="4" fontId="59" fillId="0" borderId="96" xfId="317" applyNumberFormat="1" applyFont="1" applyFill="1" applyBorder="1" applyAlignment="1">
      <alignment horizontal="justify" vertical="center" wrapText="1"/>
    </xf>
    <xf numFmtId="0" fontId="44" fillId="0" borderId="96" xfId="317" applyFont="1" applyFill="1" applyBorder="1" applyAlignment="1">
      <alignment horizontal="center" vertical="center"/>
    </xf>
    <xf numFmtId="171" fontId="63" fillId="0" borderId="96" xfId="0" applyNumberFormat="1" applyFont="1" applyFill="1" applyBorder="1" applyAlignment="1">
      <alignment vertical="center"/>
    </xf>
    <xf numFmtId="0" fontId="91" fillId="0" borderId="96" xfId="317" applyFont="1" applyBorder="1" applyAlignment="1">
      <alignment horizontal="center" vertical="center"/>
    </xf>
    <xf numFmtId="0" fontId="63" fillId="0" borderId="96" xfId="317" applyNumberFormat="1" applyFont="1" applyBorder="1" applyAlignment="1">
      <alignment horizontal="justify" vertical="center"/>
    </xf>
    <xf numFmtId="0" fontId="63" fillId="0" borderId="96" xfId="317" applyFont="1" applyBorder="1" applyAlignment="1">
      <alignment horizontal="justify" vertical="center"/>
    </xf>
    <xf numFmtId="4" fontId="91" fillId="0" borderId="96" xfId="317" applyNumberFormat="1" applyFont="1" applyBorder="1" applyAlignment="1">
      <alignment horizontal="center" vertical="center" wrapText="1"/>
    </xf>
    <xf numFmtId="4" fontId="91" fillId="0" borderId="96" xfId="318" applyNumberFormat="1" applyFont="1" applyBorder="1" applyAlignment="1" applyProtection="1">
      <alignment horizontal="center" vertical="center"/>
    </xf>
    <xf numFmtId="0" fontId="91" fillId="0" borderId="96" xfId="317" applyFont="1" applyFill="1" applyBorder="1" applyAlignment="1">
      <alignment horizontal="center" vertical="center"/>
    </xf>
    <xf numFmtId="0" fontId="91" fillId="0" borderId="96" xfId="317" applyNumberFormat="1" applyFont="1" applyFill="1" applyBorder="1" applyAlignment="1">
      <alignment horizontal="center" vertical="center"/>
    </xf>
    <xf numFmtId="4" fontId="63" fillId="0" borderId="96" xfId="317" applyNumberFormat="1" applyFont="1" applyFill="1" applyBorder="1" applyAlignment="1">
      <alignment horizontal="justify" wrapText="1"/>
    </xf>
    <xf numFmtId="4" fontId="91" fillId="0" borderId="96" xfId="317" applyNumberFormat="1" applyFont="1" applyFill="1" applyBorder="1" applyAlignment="1">
      <alignment horizontal="center" vertical="center" wrapText="1"/>
    </xf>
    <xf numFmtId="4" fontId="91" fillId="0" borderId="96" xfId="318" applyNumberFormat="1" applyFont="1" applyFill="1" applyBorder="1" applyAlignment="1" applyProtection="1">
      <alignment horizontal="center" vertical="center"/>
    </xf>
    <xf numFmtId="4" fontId="91" fillId="0" borderId="96" xfId="317" applyNumberFormat="1" applyFont="1" applyFill="1" applyBorder="1" applyAlignment="1">
      <alignment horizontal="justify" vertical="center"/>
    </xf>
    <xf numFmtId="4" fontId="91" fillId="0" borderId="96" xfId="318" applyNumberFormat="1" applyFont="1" applyFill="1" applyBorder="1" applyAlignment="1" applyProtection="1">
      <alignment horizontal="right" vertical="center"/>
    </xf>
    <xf numFmtId="43" fontId="91" fillId="0" borderId="96" xfId="32" applyFont="1" applyFill="1" applyBorder="1" applyAlignment="1" applyProtection="1">
      <alignment horizontal="right" vertical="center"/>
    </xf>
    <xf numFmtId="43" fontId="91" fillId="0" borderId="96" xfId="32" applyFont="1" applyFill="1" applyBorder="1" applyAlignment="1" applyProtection="1">
      <alignment horizontal="center" vertical="center"/>
    </xf>
    <xf numFmtId="0" fontId="91" fillId="0" borderId="96" xfId="317" applyNumberFormat="1" applyFont="1" applyFill="1" applyBorder="1" applyAlignment="1">
      <alignment horizontal="center" vertical="center" wrapText="1"/>
    </xf>
    <xf numFmtId="4" fontId="56" fillId="0" borderId="96" xfId="317" applyNumberFormat="1" applyFont="1" applyBorder="1" applyAlignment="1">
      <alignment horizontal="left" vertical="center"/>
    </xf>
    <xf numFmtId="4" fontId="56" fillId="0" borderId="96" xfId="318" applyNumberFormat="1" applyFont="1" applyBorder="1" applyAlignment="1" applyProtection="1">
      <alignment horizontal="right" vertical="center"/>
    </xf>
    <xf numFmtId="4" fontId="43" fillId="0" borderId="96" xfId="317" applyNumberFormat="1" applyFont="1" applyFill="1" applyBorder="1" applyAlignment="1">
      <alignment horizontal="left" vertical="center"/>
    </xf>
    <xf numFmtId="43" fontId="56" fillId="0" borderId="96" xfId="32" applyFont="1" applyFill="1" applyBorder="1" applyAlignment="1">
      <alignment horizontal="right" vertical="center" wrapText="1"/>
    </xf>
    <xf numFmtId="4" fontId="62" fillId="0" borderId="96" xfId="317" applyNumberFormat="1" applyFont="1" applyFill="1" applyBorder="1" applyAlignment="1">
      <alignment horizontal="right" vertical="center" wrapText="1"/>
    </xf>
    <xf numFmtId="4" fontId="56" fillId="0" borderId="96" xfId="317" applyNumberFormat="1" applyFont="1" applyBorder="1" applyAlignment="1">
      <alignment horizontal="left" vertical="center" wrapText="1"/>
    </xf>
    <xf numFmtId="0" fontId="56" fillId="0" borderId="96" xfId="317" applyNumberFormat="1" applyFont="1" applyBorder="1" applyAlignment="1">
      <alignment horizontal="center" vertical="center"/>
    </xf>
    <xf numFmtId="0" fontId="59" fillId="0" borderId="96" xfId="317" applyFont="1" applyFill="1" applyBorder="1" applyAlignment="1">
      <alignment horizontal="justify" vertical="center" wrapText="1"/>
    </xf>
    <xf numFmtId="43" fontId="56" fillId="0" borderId="96" xfId="32" applyFont="1" applyFill="1" applyBorder="1" applyAlignment="1" applyProtection="1">
      <alignment horizontal="left" vertical="center" indent="1"/>
    </xf>
    <xf numFmtId="0" fontId="56" fillId="0" borderId="96" xfId="317" applyFont="1" applyFill="1" applyBorder="1" applyAlignment="1">
      <alignment vertical="center" wrapText="1"/>
    </xf>
    <xf numFmtId="0" fontId="56" fillId="0" borderId="96" xfId="317" applyNumberFormat="1" applyFont="1" applyBorder="1" applyAlignment="1">
      <alignment horizontal="left" vertical="center"/>
    </xf>
    <xf numFmtId="0" fontId="56" fillId="0" borderId="96" xfId="317" applyFont="1" applyBorder="1" applyAlignment="1">
      <alignment horizontal="left" vertical="center"/>
    </xf>
    <xf numFmtId="0" fontId="59" fillId="0" borderId="96" xfId="317" applyNumberFormat="1" applyFont="1" applyFill="1" applyBorder="1" applyAlignment="1">
      <alignment horizontal="center" vertical="center" wrapText="1"/>
    </xf>
    <xf numFmtId="0" fontId="59" fillId="0" borderId="96" xfId="317" applyFont="1" applyFill="1" applyBorder="1" applyAlignment="1">
      <alignment horizontal="justify" vertical="center"/>
    </xf>
    <xf numFmtId="0" fontId="56" fillId="0" borderId="96" xfId="317" applyNumberFormat="1" applyFont="1" applyFill="1" applyBorder="1" applyAlignment="1">
      <alignment horizontal="justify" vertical="center"/>
    </xf>
    <xf numFmtId="0" fontId="56" fillId="0" borderId="96" xfId="317" applyFont="1" applyFill="1" applyBorder="1" applyAlignment="1">
      <alignment horizontal="justify" vertical="center"/>
    </xf>
    <xf numFmtId="4" fontId="44" fillId="0" borderId="96" xfId="317" applyNumberFormat="1" applyFont="1" applyFill="1" applyBorder="1" applyAlignment="1">
      <alignment horizontal="center" vertical="center" wrapText="1"/>
    </xf>
    <xf numFmtId="4" fontId="43" fillId="0" borderId="96" xfId="317" applyNumberFormat="1" applyFont="1" applyFill="1" applyBorder="1" applyAlignment="1">
      <alignment horizontal="justify" vertical="top" wrapText="1"/>
    </xf>
    <xf numFmtId="4" fontId="56" fillId="0" borderId="96" xfId="318" applyNumberFormat="1" applyFont="1" applyFill="1" applyBorder="1" applyAlignment="1" applyProtection="1">
      <alignment horizontal="left" vertical="center" wrapText="1"/>
    </xf>
    <xf numFmtId="164" fontId="44" fillId="0" borderId="96" xfId="317" applyNumberFormat="1" applyFont="1" applyBorder="1" applyAlignment="1">
      <alignment horizontal="center" vertical="center"/>
    </xf>
    <xf numFmtId="0" fontId="44" fillId="0" borderId="96" xfId="317" applyFont="1" applyBorder="1" applyAlignment="1">
      <alignment horizontal="center" vertical="center"/>
    </xf>
    <xf numFmtId="0" fontId="43" fillId="0" borderId="96" xfId="317" applyFont="1" applyBorder="1" applyAlignment="1">
      <alignment horizontal="left" vertical="center"/>
    </xf>
    <xf numFmtId="0" fontId="43" fillId="0" borderId="96" xfId="317" applyFont="1" applyBorder="1" applyAlignment="1">
      <alignment horizontal="center" vertical="center"/>
    </xf>
    <xf numFmtId="43" fontId="43" fillId="0" borderId="96" xfId="32" applyFont="1" applyBorder="1" applyAlignment="1">
      <alignment horizontal="left" vertical="center"/>
    </xf>
    <xf numFmtId="43" fontId="44" fillId="0" borderId="96" xfId="32" applyFont="1" applyBorder="1" applyAlignment="1">
      <alignment horizontal="center" vertical="center" wrapText="1"/>
    </xf>
    <xf numFmtId="43" fontId="44" fillId="0" borderId="96" xfId="32" applyFont="1" applyBorder="1" applyAlignment="1" applyProtection="1">
      <alignment horizontal="center" vertical="center"/>
    </xf>
    <xf numFmtId="43" fontId="44" fillId="0" borderId="96" xfId="32" applyFont="1" applyBorder="1" applyAlignment="1">
      <alignment horizontal="justify" vertical="center" wrapText="1"/>
    </xf>
    <xf numFmtId="164" fontId="44" fillId="0" borderId="96" xfId="317" applyNumberFormat="1" applyFont="1" applyFill="1" applyBorder="1" applyAlignment="1">
      <alignment horizontal="center" vertical="center"/>
    </xf>
    <xf numFmtId="0" fontId="43" fillId="0" borderId="96" xfId="317" applyFont="1" applyFill="1" applyBorder="1" applyAlignment="1">
      <alignment horizontal="center" vertical="center"/>
    </xf>
    <xf numFmtId="4" fontId="43" fillId="0" borderId="96" xfId="317" applyNumberFormat="1" applyFont="1" applyFill="1" applyBorder="1" applyAlignment="1">
      <alignment horizontal="left" vertical="center" wrapText="1"/>
    </xf>
    <xf numFmtId="43" fontId="43" fillId="0" borderId="96" xfId="32" applyFont="1" applyFill="1" applyBorder="1" applyAlignment="1">
      <alignment horizontal="justify" wrapText="1"/>
    </xf>
    <xf numFmtId="4" fontId="44" fillId="0" borderId="96" xfId="317" applyNumberFormat="1" applyFont="1" applyFill="1" applyBorder="1" applyAlignment="1">
      <alignment horizontal="justify" vertical="center" wrapText="1"/>
    </xf>
    <xf numFmtId="171" fontId="43" fillId="0" borderId="96" xfId="0" applyNumberFormat="1" applyFont="1" applyFill="1" applyBorder="1" applyAlignment="1">
      <alignment vertical="center" wrapText="1"/>
    </xf>
    <xf numFmtId="4" fontId="44" fillId="0" borderId="96" xfId="317" applyNumberFormat="1" applyFont="1" applyFill="1" applyBorder="1" applyAlignment="1">
      <alignment horizontal="left" vertical="center" wrapText="1"/>
    </xf>
    <xf numFmtId="43" fontId="43" fillId="0" borderId="96" xfId="32" applyFont="1" applyFill="1" applyBorder="1" applyAlignment="1">
      <alignment horizontal="justify" vertical="center" wrapText="1"/>
    </xf>
    <xf numFmtId="4" fontId="44" fillId="0" borderId="96" xfId="317" applyNumberFormat="1" applyFont="1" applyFill="1" applyBorder="1" applyAlignment="1">
      <alignment horizontal="justify" vertical="center"/>
    </xf>
    <xf numFmtId="4" fontId="44" fillId="0" borderId="96" xfId="318" applyNumberFormat="1" applyFont="1" applyFill="1" applyBorder="1" applyAlignment="1" applyProtection="1">
      <alignment horizontal="left" vertical="center" wrapText="1"/>
    </xf>
    <xf numFmtId="43" fontId="44" fillId="0" borderId="96" xfId="485" applyFont="1" applyFill="1" applyBorder="1" applyAlignment="1">
      <alignment horizontal="justify" wrapText="1"/>
    </xf>
    <xf numFmtId="43" fontId="43" fillId="0" borderId="96" xfId="32" applyFont="1" applyFill="1" applyBorder="1" applyAlignment="1">
      <alignment horizontal="left" vertical="center" wrapText="1"/>
    </xf>
    <xf numFmtId="43" fontId="44" fillId="15" borderId="96" xfId="32" applyFont="1" applyFill="1" applyBorder="1" applyAlignment="1">
      <alignment horizontal="left" vertical="center" wrapText="1"/>
    </xf>
    <xf numFmtId="0" fontId="44" fillId="0" borderId="96" xfId="317" applyNumberFormat="1" applyFont="1" applyFill="1" applyBorder="1" applyAlignment="1">
      <alignment horizontal="center" vertical="center"/>
    </xf>
    <xf numFmtId="43" fontId="44" fillId="0" borderId="96" xfId="32" applyFont="1" applyFill="1" applyBorder="1" applyAlignment="1">
      <alignment horizontal="left" vertical="center" wrapText="1"/>
    </xf>
    <xf numFmtId="4" fontId="43" fillId="0" borderId="96" xfId="317" applyNumberFormat="1" applyFont="1" applyFill="1" applyBorder="1" applyAlignment="1">
      <alignment horizontal="center" vertical="center" wrapText="1"/>
    </xf>
    <xf numFmtId="4" fontId="44" fillId="0" borderId="96" xfId="318" applyNumberFormat="1" applyFont="1" applyFill="1" applyBorder="1" applyAlignment="1" applyProtection="1">
      <alignment horizontal="center" vertical="center"/>
    </xf>
    <xf numFmtId="4" fontId="43" fillId="0" borderId="96" xfId="318" applyNumberFormat="1" applyFont="1" applyFill="1" applyBorder="1" applyAlignment="1" applyProtection="1">
      <alignment horizontal="left" vertical="center"/>
    </xf>
    <xf numFmtId="49" fontId="66" fillId="51" borderId="135" xfId="322" applyNumberFormat="1" applyFont="1" applyFill="1" applyBorder="1" applyAlignment="1">
      <alignment horizontal="right" vertical="center"/>
    </xf>
    <xf numFmtId="174" fontId="66" fillId="51" borderId="135" xfId="322" applyNumberFormat="1" applyFont="1" applyFill="1" applyBorder="1" applyAlignment="1">
      <alignment horizontal="right" vertical="center"/>
    </xf>
    <xf numFmtId="174" fontId="66" fillId="51" borderId="136" xfId="322" applyNumberFormat="1" applyFont="1" applyFill="1" applyBorder="1" applyAlignment="1">
      <alignment horizontal="right" vertical="center"/>
    </xf>
    <xf numFmtId="170" fontId="65" fillId="0" borderId="91" xfId="322" applyBorder="1"/>
    <xf numFmtId="49" fontId="56" fillId="0" borderId="137" xfId="317" applyNumberFormat="1" applyFont="1" applyBorder="1" applyAlignment="1">
      <alignment horizontal="left" vertical="center"/>
    </xf>
    <xf numFmtId="9" fontId="59" fillId="0" borderId="95" xfId="317" applyNumberFormat="1" applyFont="1" applyBorder="1" applyAlignment="1">
      <alignment horizontal="center" vertical="center"/>
    </xf>
    <xf numFmtId="43" fontId="59" fillId="0" borderId="95" xfId="32" applyFont="1" applyBorder="1" applyAlignment="1">
      <alignment horizontal="center" vertical="center"/>
    </xf>
    <xf numFmtId="43" fontId="59" fillId="0" borderId="97" xfId="32" applyFont="1" applyBorder="1" applyAlignment="1">
      <alignment horizontal="center" vertical="center"/>
    </xf>
    <xf numFmtId="9" fontId="56" fillId="0" borderId="137" xfId="317" applyNumberFormat="1" applyFont="1" applyBorder="1" applyAlignment="1">
      <alignment horizontal="left" vertical="center"/>
    </xf>
    <xf numFmtId="49" fontId="59" fillId="0" borderId="95" xfId="317" applyNumberFormat="1" applyFont="1" applyBorder="1" applyAlignment="1">
      <alignment horizontal="center" vertical="center"/>
    </xf>
    <xf numFmtId="176" fontId="59" fillId="0" borderId="95" xfId="317" applyNumberFormat="1" applyFont="1" applyBorder="1" applyAlignment="1">
      <alignment horizontal="left" vertical="center" wrapText="1"/>
    </xf>
    <xf numFmtId="9" fontId="56" fillId="48" borderId="137" xfId="317" applyNumberFormat="1" applyFont="1" applyFill="1" applyBorder="1" applyAlignment="1">
      <alignment vertical="center"/>
    </xf>
    <xf numFmtId="9" fontId="44" fillId="0" borderId="95" xfId="317" applyNumberFormat="1" applyFont="1" applyBorder="1" applyAlignment="1">
      <alignment vertical="center"/>
    </xf>
    <xf numFmtId="0" fontId="56" fillId="0" borderId="88" xfId="317" applyFont="1" applyBorder="1" applyAlignment="1">
      <alignment vertical="center"/>
    </xf>
    <xf numFmtId="43" fontId="56" fillId="0" borderId="84" xfId="32" applyFont="1" applyBorder="1" applyAlignment="1">
      <alignment vertical="center"/>
    </xf>
    <xf numFmtId="0" fontId="56" fillId="0" borderId="89" xfId="317" applyFont="1" applyBorder="1" applyAlignment="1">
      <alignment vertical="center"/>
    </xf>
    <xf numFmtId="43" fontId="56" fillId="0" borderId="85" xfId="32" applyFont="1" applyBorder="1" applyAlignment="1">
      <alignment vertical="center"/>
    </xf>
    <xf numFmtId="49" fontId="56" fillId="48" borderId="137" xfId="317" applyNumberFormat="1" applyFont="1" applyFill="1" applyBorder="1" applyAlignment="1">
      <alignment vertical="center"/>
    </xf>
    <xf numFmtId="0" fontId="59" fillId="48" borderId="95" xfId="317" applyNumberFormat="1" applyFont="1" applyFill="1" applyBorder="1" applyAlignment="1">
      <alignment vertical="center"/>
    </xf>
    <xf numFmtId="9" fontId="59" fillId="0" borderId="95" xfId="317" applyNumberFormat="1" applyFont="1" applyBorder="1" applyAlignment="1">
      <alignment vertical="center"/>
    </xf>
    <xf numFmtId="9" fontId="59" fillId="48" borderId="95" xfId="317" applyNumberFormat="1" applyFont="1" applyFill="1" applyBorder="1" applyAlignment="1">
      <alignment horizontal="center" vertical="center"/>
    </xf>
    <xf numFmtId="43" fontId="59" fillId="48" borderId="95" xfId="32" applyFont="1" applyFill="1" applyBorder="1" applyAlignment="1">
      <alignment vertical="center"/>
    </xf>
    <xf numFmtId="43" fontId="59" fillId="48" borderId="97" xfId="32" applyFont="1" applyFill="1" applyBorder="1" applyAlignment="1">
      <alignment vertical="center"/>
    </xf>
    <xf numFmtId="49" fontId="56" fillId="0" borderId="137" xfId="317" applyNumberFormat="1" applyFont="1" applyBorder="1" applyAlignment="1">
      <alignment vertical="center"/>
    </xf>
    <xf numFmtId="0" fontId="59" fillId="0" borderId="95" xfId="317" applyNumberFormat="1" applyFont="1" applyBorder="1" applyAlignment="1">
      <alignment vertical="center"/>
    </xf>
    <xf numFmtId="43" fontId="59" fillId="0" borderId="95" xfId="32" applyFont="1" applyBorder="1" applyAlignment="1">
      <alignment vertical="center"/>
    </xf>
    <xf numFmtId="43" fontId="59" fillId="0" borderId="97" xfId="32" applyFont="1" applyBorder="1" applyAlignment="1">
      <alignment vertical="center"/>
    </xf>
    <xf numFmtId="49" fontId="59" fillId="48" borderId="95" xfId="317" applyNumberFormat="1" applyFont="1" applyFill="1" applyBorder="1" applyAlignment="1">
      <alignment horizontal="center" vertical="center"/>
    </xf>
    <xf numFmtId="0" fontId="59" fillId="48" borderId="95" xfId="317" applyNumberFormat="1" applyFont="1" applyFill="1" applyBorder="1" applyAlignment="1">
      <alignment horizontal="left" vertical="center"/>
    </xf>
    <xf numFmtId="176" fontId="59" fillId="48" borderId="95" xfId="317" applyNumberFormat="1" applyFont="1" applyFill="1" applyBorder="1" applyAlignment="1">
      <alignment horizontal="left" vertical="center"/>
    </xf>
    <xf numFmtId="43" fontId="59" fillId="48" borderId="95" xfId="32" applyFont="1" applyFill="1" applyBorder="1" applyAlignment="1">
      <alignment horizontal="left" vertical="center"/>
    </xf>
    <xf numFmtId="43" fontId="59" fillId="48" borderId="97" xfId="32" applyFont="1" applyFill="1" applyBorder="1" applyAlignment="1">
      <alignment horizontal="left" vertical="center"/>
    </xf>
    <xf numFmtId="9" fontId="59" fillId="48" borderId="95" xfId="317" applyNumberFormat="1" applyFont="1" applyFill="1" applyBorder="1" applyAlignment="1">
      <alignment horizontal="left" vertical="center"/>
    </xf>
    <xf numFmtId="0" fontId="56" fillId="0" borderId="95" xfId="317" applyNumberFormat="1" applyFont="1" applyBorder="1" applyAlignment="1">
      <alignment vertical="center"/>
    </xf>
    <xf numFmtId="0" fontId="59" fillId="0" borderId="95" xfId="32" applyNumberFormat="1" applyFont="1" applyBorder="1" applyAlignment="1">
      <alignment vertical="center"/>
    </xf>
    <xf numFmtId="0" fontId="59" fillId="0" borderId="95" xfId="32" applyNumberFormat="1" applyFont="1" applyBorder="1" applyAlignment="1">
      <alignment horizontal="left" vertical="center"/>
    </xf>
    <xf numFmtId="43" fontId="59" fillId="0" borderId="95" xfId="32" applyFont="1" applyBorder="1" applyAlignment="1">
      <alignment horizontal="left" vertical="center"/>
    </xf>
    <xf numFmtId="0" fontId="59" fillId="0" borderId="95" xfId="32" applyNumberFormat="1" applyFont="1" applyBorder="1" applyAlignment="1">
      <alignment horizontal="right" vertical="center"/>
    </xf>
    <xf numFmtId="0" fontId="59" fillId="0" borderId="97" xfId="32" applyNumberFormat="1" applyFont="1" applyBorder="1" applyAlignment="1">
      <alignment horizontal="right" vertical="center"/>
    </xf>
    <xf numFmtId="176" fontId="59" fillId="0" borderId="95" xfId="317" applyNumberFormat="1" applyFont="1" applyBorder="1" applyAlignment="1">
      <alignment horizontal="left" vertical="center"/>
    </xf>
    <xf numFmtId="9" fontId="59" fillId="0" borderId="97" xfId="317" applyNumberFormat="1" applyFont="1" applyBorder="1" applyAlignment="1">
      <alignment vertical="center"/>
    </xf>
    <xf numFmtId="9" fontId="59" fillId="0" borderId="137" xfId="317" applyNumberFormat="1" applyFont="1" applyBorder="1" applyAlignment="1">
      <alignment vertical="center"/>
    </xf>
    <xf numFmtId="9" fontId="59" fillId="0" borderId="95" xfId="317" applyNumberFormat="1" applyFont="1" applyBorder="1" applyAlignment="1">
      <alignment horizontal="right" vertical="center"/>
    </xf>
    <xf numFmtId="43" fontId="59" fillId="0" borderId="95" xfId="32" applyFont="1" applyBorder="1" applyAlignment="1">
      <alignment horizontal="right" vertical="center"/>
    </xf>
    <xf numFmtId="9" fontId="59" fillId="0" borderId="97" xfId="317" applyNumberFormat="1" applyFont="1" applyBorder="1" applyAlignment="1">
      <alignment horizontal="right" vertical="center"/>
    </xf>
    <xf numFmtId="9" fontId="56" fillId="0" borderId="137" xfId="317" applyNumberFormat="1" applyFont="1" applyBorder="1" applyAlignment="1">
      <alignment vertical="center"/>
    </xf>
    <xf numFmtId="49" fontId="59" fillId="0" borderId="97" xfId="317" applyNumberFormat="1" applyFont="1" applyBorder="1" applyAlignment="1">
      <alignment vertical="center"/>
    </xf>
    <xf numFmtId="49" fontId="59" fillId="0" borderId="95" xfId="317" applyNumberFormat="1" applyFont="1" applyBorder="1" applyAlignment="1">
      <alignment vertical="center"/>
    </xf>
    <xf numFmtId="49" fontId="59" fillId="0" borderId="95" xfId="317" applyNumberFormat="1" applyFont="1" applyBorder="1" applyAlignment="1">
      <alignment horizontal="right" vertical="center"/>
    </xf>
    <xf numFmtId="49" fontId="59" fillId="0" borderId="97" xfId="317" applyNumberFormat="1" applyFont="1" applyBorder="1" applyAlignment="1">
      <alignment horizontal="right" vertical="center"/>
    </xf>
    <xf numFmtId="176" fontId="59" fillId="0" borderId="137" xfId="317" applyNumberFormat="1" applyFont="1" applyBorder="1" applyAlignment="1">
      <alignment horizontal="left" vertical="center"/>
    </xf>
    <xf numFmtId="1" fontId="56" fillId="0" borderId="22" xfId="32" applyNumberFormat="1" applyFont="1" applyBorder="1" applyAlignment="1">
      <alignment horizontal="center" vertical="center"/>
    </xf>
    <xf numFmtId="1" fontId="59" fillId="0" borderId="95" xfId="32" applyNumberFormat="1" applyFont="1" applyBorder="1" applyAlignment="1">
      <alignment horizontal="center" vertical="center"/>
    </xf>
    <xf numFmtId="43" fontId="59" fillId="0" borderId="97" xfId="32" applyFont="1" applyBorder="1" applyAlignment="1">
      <alignment horizontal="left" vertical="center"/>
    </xf>
    <xf numFmtId="9" fontId="59" fillId="0" borderId="95" xfId="317" applyNumberFormat="1" applyFont="1" applyBorder="1" applyAlignment="1">
      <alignment horizontal="left" vertical="center"/>
    </xf>
    <xf numFmtId="0" fontId="0" fillId="0" borderId="88" xfId="0" applyBorder="1"/>
    <xf numFmtId="0" fontId="0" fillId="0" borderId="22" xfId="0" applyNumberFormat="1" applyBorder="1"/>
    <xf numFmtId="0" fontId="0" fillId="0" borderId="22" xfId="0" applyBorder="1" applyAlignment="1"/>
    <xf numFmtId="0" fontId="0" fillId="0" borderId="22" xfId="0" applyBorder="1"/>
    <xf numFmtId="43" fontId="0" fillId="0" borderId="22" xfId="32" applyFont="1" applyBorder="1"/>
    <xf numFmtId="43" fontId="0" fillId="0" borderId="84" xfId="32" applyFont="1" applyBorder="1"/>
    <xf numFmtId="0" fontId="0" fillId="0" borderId="89" xfId="0" applyBorder="1"/>
    <xf numFmtId="0" fontId="0" fillId="0" borderId="0" xfId="0" applyNumberFormat="1" applyBorder="1"/>
    <xf numFmtId="0" fontId="0" fillId="0" borderId="0" xfId="0" applyBorder="1" applyAlignment="1"/>
    <xf numFmtId="43" fontId="0" fillId="0" borderId="0" xfId="32" applyFont="1" applyBorder="1"/>
    <xf numFmtId="43" fontId="0" fillId="0" borderId="85" xfId="32" applyFont="1" applyBorder="1"/>
    <xf numFmtId="0" fontId="59" fillId="0" borderId="97" xfId="317" applyNumberFormat="1" applyFont="1" applyBorder="1" applyAlignment="1">
      <alignment vertical="center"/>
    </xf>
    <xf numFmtId="0" fontId="59" fillId="0" borderId="97" xfId="317" applyNumberFormat="1" applyFont="1" applyBorder="1" applyAlignment="1">
      <alignment horizontal="center" vertical="center"/>
    </xf>
    <xf numFmtId="9" fontId="59" fillId="0" borderId="137" xfId="317" applyNumberFormat="1" applyFont="1" applyBorder="1" applyAlignment="1">
      <alignment horizontal="left" vertical="center"/>
    </xf>
    <xf numFmtId="0" fontId="91" fillId="0" borderId="88" xfId="0" applyFont="1" applyBorder="1"/>
    <xf numFmtId="0" fontId="91" fillId="0" borderId="22" xfId="0" applyNumberFormat="1" applyFont="1" applyBorder="1"/>
    <xf numFmtId="0" fontId="91" fillId="0" borderId="22" xfId="0" applyFont="1" applyBorder="1"/>
    <xf numFmtId="0" fontId="91" fillId="0" borderId="84" xfId="0" applyFont="1" applyBorder="1"/>
    <xf numFmtId="0" fontId="91" fillId="0" borderId="89" xfId="0" applyFont="1" applyBorder="1"/>
    <xf numFmtId="0" fontId="91" fillId="0" borderId="0" xfId="0" applyNumberFormat="1" applyFont="1" applyBorder="1"/>
    <xf numFmtId="0" fontId="91" fillId="0" borderId="0" xfId="0" applyFont="1" applyBorder="1"/>
    <xf numFmtId="0" fontId="91" fillId="0" borderId="85" xfId="0" applyFont="1" applyBorder="1"/>
    <xf numFmtId="49" fontId="91" fillId="0" borderId="137" xfId="317" applyNumberFormat="1" applyFont="1" applyBorder="1" applyAlignment="1">
      <alignment vertical="center"/>
    </xf>
    <xf numFmtId="0" fontId="63" fillId="0" borderId="97" xfId="317" applyNumberFormat="1" applyFont="1" applyBorder="1" applyAlignment="1">
      <alignment vertical="center"/>
    </xf>
    <xf numFmtId="9" fontId="63" fillId="0" borderId="95" xfId="317" applyNumberFormat="1" applyFont="1" applyBorder="1" applyAlignment="1">
      <alignment vertical="center"/>
    </xf>
    <xf numFmtId="9" fontId="63" fillId="0" borderId="97" xfId="317" applyNumberFormat="1" applyFont="1" applyBorder="1" applyAlignment="1">
      <alignment vertical="center"/>
    </xf>
    <xf numFmtId="9" fontId="91" fillId="0" borderId="137" xfId="317" applyNumberFormat="1" applyFont="1" applyBorder="1" applyAlignment="1">
      <alignment vertical="center"/>
    </xf>
    <xf numFmtId="49" fontId="63" fillId="0" borderId="95" xfId="317" applyNumberFormat="1" applyFont="1" applyBorder="1" applyAlignment="1">
      <alignment vertical="center"/>
    </xf>
    <xf numFmtId="49" fontId="63" fillId="0" borderId="97" xfId="317" applyNumberFormat="1" applyFont="1" applyBorder="1" applyAlignment="1">
      <alignment vertical="center"/>
    </xf>
    <xf numFmtId="0" fontId="63" fillId="0" borderId="97" xfId="317" applyNumberFormat="1" applyFont="1" applyBorder="1" applyAlignment="1">
      <alignment horizontal="left" vertical="center"/>
    </xf>
    <xf numFmtId="176" fontId="63" fillId="0" borderId="137" xfId="317" applyNumberFormat="1" applyFont="1" applyBorder="1" applyAlignment="1">
      <alignment horizontal="left" vertical="center"/>
    </xf>
    <xf numFmtId="9" fontId="63" fillId="0" borderId="95" xfId="317" applyNumberFormat="1" applyFont="1" applyBorder="1" applyAlignment="1">
      <alignment horizontal="left" vertical="center"/>
    </xf>
    <xf numFmtId="9" fontId="63" fillId="0" borderId="97" xfId="317" applyNumberFormat="1" applyFont="1" applyBorder="1" applyAlignment="1">
      <alignment horizontal="left" vertical="center"/>
    </xf>
    <xf numFmtId="9" fontId="63" fillId="0" borderId="137" xfId="317" applyNumberFormat="1" applyFont="1" applyBorder="1" applyAlignment="1">
      <alignment horizontal="left" vertical="center"/>
    </xf>
    <xf numFmtId="2" fontId="63" fillId="0" borderId="137" xfId="320" applyNumberFormat="1" applyFont="1" applyBorder="1" applyAlignment="1" applyProtection="1">
      <alignment horizontal="left"/>
    </xf>
    <xf numFmtId="0" fontId="56" fillId="0" borderId="22" xfId="317" applyFont="1" applyBorder="1" applyAlignment="1">
      <alignment horizontal="right" vertical="center"/>
    </xf>
    <xf numFmtId="0" fontId="56" fillId="0" borderId="84" xfId="317" applyFont="1" applyBorder="1" applyAlignment="1">
      <alignment vertical="center"/>
    </xf>
    <xf numFmtId="0" fontId="56" fillId="0" borderId="85" xfId="317" applyFont="1" applyBorder="1" applyAlignment="1">
      <alignment vertical="center"/>
    </xf>
    <xf numFmtId="49" fontId="56" fillId="0" borderId="137" xfId="317" applyNumberFormat="1" applyFont="1" applyBorder="1" applyAlignment="1">
      <alignment horizontal="center" vertical="center"/>
    </xf>
    <xf numFmtId="9" fontId="59" fillId="0" borderId="97" xfId="317" applyNumberFormat="1" applyFont="1" applyBorder="1" applyAlignment="1">
      <alignment horizontal="center" vertical="center"/>
    </xf>
    <xf numFmtId="9" fontId="56" fillId="0" borderId="137" xfId="317" applyNumberFormat="1" applyFont="1" applyBorder="1" applyAlignment="1">
      <alignment horizontal="center" vertical="center"/>
    </xf>
    <xf numFmtId="49" fontId="59" fillId="0" borderId="97" xfId="317" applyNumberFormat="1" applyFont="1" applyBorder="1" applyAlignment="1">
      <alignment horizontal="center" vertical="center"/>
    </xf>
    <xf numFmtId="0" fontId="56" fillId="0" borderId="90" xfId="317" applyFont="1" applyBorder="1" applyAlignment="1">
      <alignment vertical="center"/>
    </xf>
    <xf numFmtId="0" fontId="56" fillId="0" borderId="91" xfId="317" applyFont="1" applyBorder="1" applyAlignment="1">
      <alignment vertical="center"/>
    </xf>
    <xf numFmtId="0" fontId="56" fillId="0" borderId="86" xfId="317" applyFont="1" applyBorder="1" applyAlignment="1">
      <alignment vertical="center"/>
    </xf>
    <xf numFmtId="49" fontId="59" fillId="0" borderId="97" xfId="317" applyNumberFormat="1" applyFont="1" applyBorder="1" applyAlignment="1">
      <alignment horizontal="left" vertical="center"/>
    </xf>
    <xf numFmtId="9" fontId="59" fillId="0" borderId="97" xfId="317" applyNumberFormat="1" applyFont="1" applyBorder="1" applyAlignment="1">
      <alignment horizontal="left" vertical="center"/>
    </xf>
    <xf numFmtId="0" fontId="56" fillId="0" borderId="22" xfId="317" applyNumberFormat="1" applyFont="1" applyBorder="1" applyAlignment="1">
      <alignment horizontal="center" vertical="center"/>
    </xf>
    <xf numFmtId="0" fontId="56" fillId="0" borderId="22" xfId="317" applyFont="1" applyBorder="1" applyAlignment="1">
      <alignment vertical="center" wrapText="1"/>
    </xf>
    <xf numFmtId="43" fontId="56" fillId="0" borderId="84" xfId="32" applyFont="1" applyBorder="1" applyAlignment="1">
      <alignment horizontal="left" vertical="center" indent="1"/>
    </xf>
    <xf numFmtId="43" fontId="56" fillId="0" borderId="85" xfId="32" applyFont="1" applyBorder="1" applyAlignment="1">
      <alignment horizontal="left" vertical="center" indent="1"/>
    </xf>
    <xf numFmtId="9" fontId="59" fillId="0" borderId="95" xfId="317" applyNumberFormat="1" applyFont="1" applyBorder="1" applyAlignment="1">
      <alignment vertical="center" wrapText="1"/>
    </xf>
    <xf numFmtId="43" fontId="59" fillId="0" borderId="97" xfId="32" applyFont="1" applyBorder="1" applyAlignment="1">
      <alignment horizontal="left" vertical="center" indent="1"/>
    </xf>
    <xf numFmtId="176" fontId="59" fillId="0" borderId="137" xfId="317" applyNumberFormat="1" applyFont="1" applyBorder="1" applyAlignment="1">
      <alignment horizontal="left" vertical="center" wrapText="1"/>
    </xf>
    <xf numFmtId="9" fontId="59" fillId="0" borderId="137" xfId="317" applyNumberFormat="1" applyFont="1" applyBorder="1" applyAlignment="1">
      <alignment horizontal="left" vertical="center" wrapText="1"/>
    </xf>
    <xf numFmtId="0" fontId="59" fillId="0" borderId="95" xfId="317" applyNumberFormat="1" applyFont="1" applyBorder="1" applyAlignment="1">
      <alignment horizontal="left" vertical="center"/>
    </xf>
    <xf numFmtId="0" fontId="56" fillId="0" borderId="91" xfId="317" applyNumberFormat="1" applyFont="1" applyBorder="1" applyAlignment="1">
      <alignment vertical="center"/>
    </xf>
    <xf numFmtId="43" fontId="56" fillId="0" borderId="91" xfId="32" applyFont="1" applyBorder="1" applyAlignment="1">
      <alignment vertical="center"/>
    </xf>
    <xf numFmtId="43" fontId="56" fillId="0" borderId="86" xfId="32" applyFont="1" applyBorder="1" applyAlignment="1">
      <alignment vertical="center"/>
    </xf>
    <xf numFmtId="49" fontId="46" fillId="0" borderId="137" xfId="0" applyNumberFormat="1" applyFont="1" applyBorder="1" applyAlignment="1">
      <alignment vertical="center"/>
    </xf>
    <xf numFmtId="49" fontId="46" fillId="0" borderId="97" xfId="0" applyNumberFormat="1" applyFont="1" applyBorder="1" applyAlignment="1">
      <alignment vertical="center"/>
    </xf>
    <xf numFmtId="9" fontId="46" fillId="0" borderId="137" xfId="0" applyNumberFormat="1" applyFont="1" applyBorder="1" applyAlignment="1">
      <alignment horizontal="left" vertical="center" indent="1"/>
    </xf>
    <xf numFmtId="9" fontId="46" fillId="0" borderId="95" xfId="0" applyNumberFormat="1" applyFont="1" applyBorder="1" applyAlignment="1">
      <alignment horizontal="center" vertical="center"/>
    </xf>
    <xf numFmtId="43" fontId="80" fillId="0" borderId="95" xfId="32" applyFont="1" applyBorder="1" applyAlignment="1">
      <alignment vertical="center"/>
    </xf>
    <xf numFmtId="43" fontId="80" fillId="0" borderId="97" xfId="32" applyFont="1" applyBorder="1" applyAlignment="1">
      <alignment vertical="center"/>
    </xf>
    <xf numFmtId="9" fontId="46" fillId="0" borderId="137" xfId="0" applyNumberFormat="1" applyFont="1" applyBorder="1" applyAlignment="1">
      <alignment vertical="center"/>
    </xf>
    <xf numFmtId="9" fontId="46" fillId="0" borderId="97" xfId="0" applyNumberFormat="1" applyFont="1" applyBorder="1" applyAlignment="1">
      <alignment vertical="center"/>
    </xf>
    <xf numFmtId="43" fontId="46" fillId="0" borderId="95" xfId="32" applyFont="1" applyBorder="1" applyAlignment="1">
      <alignment horizontal="center" vertical="center"/>
    </xf>
    <xf numFmtId="176" fontId="46" fillId="0" borderId="137" xfId="0" applyNumberFormat="1" applyFont="1" applyBorder="1" applyAlignment="1">
      <alignment horizontal="left" vertical="center" indent="1"/>
    </xf>
    <xf numFmtId="0" fontId="0" fillId="0" borderId="0" xfId="0" applyAlignment="1">
      <alignment horizontal="right"/>
    </xf>
    <xf numFmtId="43" fontId="0" fillId="0" borderId="0" xfId="32" applyFont="1" applyAlignment="1">
      <alignment horizontal="right"/>
    </xf>
    <xf numFmtId="43" fontId="56" fillId="15" borderId="96" xfId="32" applyFont="1" applyFill="1" applyBorder="1" applyAlignment="1" applyProtection="1">
      <alignment horizontal="right" vertical="center"/>
    </xf>
    <xf numFmtId="4" fontId="56" fillId="15" borderId="96" xfId="318" applyNumberFormat="1" applyFont="1" applyFill="1" applyBorder="1" applyAlignment="1" applyProtection="1">
      <alignment horizontal="right" vertical="center"/>
    </xf>
    <xf numFmtId="0" fontId="95" fillId="0" borderId="142" xfId="322" applyNumberFormat="1" applyFont="1" applyBorder="1" applyAlignment="1">
      <alignment horizontal="center" vertical="center"/>
    </xf>
    <xf numFmtId="0" fontId="95" fillId="0" borderId="143" xfId="322" applyNumberFormat="1" applyFont="1" applyBorder="1" applyAlignment="1">
      <alignment horizontal="center" vertical="center"/>
    </xf>
    <xf numFmtId="0" fontId="95" fillId="0" borderId="146" xfId="322" applyNumberFormat="1" applyFont="1" applyBorder="1" applyAlignment="1">
      <alignment horizontal="center" vertical="center"/>
    </xf>
    <xf numFmtId="0" fontId="95" fillId="0" borderId="138" xfId="322" applyNumberFormat="1" applyFont="1" applyBorder="1" applyAlignment="1">
      <alignment vertical="center"/>
    </xf>
    <xf numFmtId="43" fontId="95" fillId="55" borderId="150" xfId="579" applyFont="1" applyFill="1" applyBorder="1" applyAlignment="1">
      <alignment horizontal="center" vertical="center"/>
    </xf>
    <xf numFmtId="167" fontId="74" fillId="0" borderId="138" xfId="579" applyNumberFormat="1" applyFont="1" applyFill="1" applyBorder="1" applyAlignment="1" applyProtection="1"/>
    <xf numFmtId="167" fontId="74" fillId="0" borderId="138" xfId="579" applyNumberFormat="1" applyFont="1" applyFill="1" applyBorder="1" applyAlignment="1" applyProtection="1">
      <alignment vertical="center"/>
    </xf>
    <xf numFmtId="4" fontId="74" fillId="0" borderId="147" xfId="322" applyNumberFormat="1" applyFont="1" applyBorder="1" applyAlignment="1">
      <alignment horizontal="center" vertical="center"/>
    </xf>
    <xf numFmtId="4" fontId="97" fillId="0" borderId="138" xfId="579" applyNumberFormat="1" applyFont="1" applyFill="1" applyBorder="1" applyAlignment="1" applyProtection="1">
      <alignment vertical="center"/>
    </xf>
    <xf numFmtId="10" fontId="74" fillId="0" borderId="138" xfId="580" applyNumberFormat="1" applyFont="1" applyFill="1" applyBorder="1" applyAlignment="1" applyProtection="1">
      <alignment vertical="center"/>
    </xf>
    <xf numFmtId="10" fontId="74" fillId="0" borderId="147" xfId="322" applyNumberFormat="1" applyFont="1" applyBorder="1" applyAlignment="1">
      <alignment horizontal="center" vertical="center"/>
    </xf>
    <xf numFmtId="10" fontId="60" fillId="0" borderId="152" xfId="579" applyNumberFormat="1" applyFont="1" applyFill="1" applyBorder="1" applyAlignment="1" applyProtection="1">
      <alignment vertical="center"/>
    </xf>
    <xf numFmtId="43" fontId="60" fillId="0" borderId="138" xfId="579" applyFont="1" applyFill="1" applyBorder="1" applyAlignment="1" applyProtection="1">
      <alignment vertical="center"/>
    </xf>
    <xf numFmtId="4" fontId="60" fillId="0" borderId="147" xfId="322" applyNumberFormat="1" applyFont="1" applyBorder="1" applyAlignment="1">
      <alignment horizontal="center" vertical="center"/>
    </xf>
    <xf numFmtId="0" fontId="0" fillId="0" borderId="85" xfId="0" applyBorder="1"/>
    <xf numFmtId="167" fontId="74" fillId="0" borderId="153" xfId="579" applyNumberFormat="1" applyFont="1" applyFill="1" applyBorder="1" applyAlignment="1" applyProtection="1">
      <alignment vertical="center"/>
    </xf>
    <xf numFmtId="43" fontId="43" fillId="0" borderId="141" xfId="731" applyFont="1" applyFill="1" applyBorder="1" applyAlignment="1" applyProtection="1">
      <alignment vertical="center"/>
    </xf>
    <xf numFmtId="10" fontId="74" fillId="0" borderId="150" xfId="322" applyNumberFormat="1" applyFont="1" applyBorder="1" applyAlignment="1">
      <alignment horizontal="center" vertical="center"/>
    </xf>
    <xf numFmtId="10" fontId="74" fillId="0" borderId="139" xfId="322" applyNumberFormat="1" applyFont="1" applyBorder="1" applyAlignment="1">
      <alignment horizontal="center" vertical="center"/>
    </xf>
    <xf numFmtId="10" fontId="60" fillId="0" borderId="154" xfId="579" applyNumberFormat="1" applyFont="1" applyFill="1" applyBorder="1" applyAlignment="1" applyProtection="1">
      <alignment vertical="center"/>
    </xf>
    <xf numFmtId="43" fontId="60" fillId="0" borderId="146" xfId="579" applyFont="1" applyFill="1" applyBorder="1" applyAlignment="1" applyProtection="1">
      <alignment vertical="center"/>
    </xf>
    <xf numFmtId="43" fontId="60" fillId="0" borderId="155" xfId="579" applyFont="1" applyFill="1" applyBorder="1" applyAlignment="1" applyProtection="1">
      <alignment vertical="center"/>
    </xf>
    <xf numFmtId="10" fontId="74" fillId="0" borderId="156" xfId="580" applyNumberFormat="1" applyFont="1" applyFill="1" applyBorder="1" applyAlignment="1" applyProtection="1">
      <alignment vertical="center"/>
    </xf>
    <xf numFmtId="4" fontId="60" fillId="0" borderId="157" xfId="579" applyNumberFormat="1" applyFont="1" applyFill="1" applyBorder="1" applyAlignment="1" applyProtection="1">
      <alignment vertical="center"/>
    </xf>
    <xf numFmtId="10" fontId="60" fillId="0" borderId="157" xfId="579" applyNumberFormat="1" applyFont="1" applyFill="1" applyBorder="1" applyAlignment="1" applyProtection="1">
      <alignment vertical="center"/>
    </xf>
    <xf numFmtId="43" fontId="60" fillId="0" borderId="158" xfId="579" applyFont="1" applyFill="1" applyBorder="1" applyAlignment="1" applyProtection="1">
      <alignment vertical="center"/>
    </xf>
    <xf numFmtId="43" fontId="60" fillId="0" borderId="157" xfId="579" applyFont="1" applyFill="1" applyBorder="1" applyAlignment="1" applyProtection="1">
      <alignment vertical="center"/>
    </xf>
    <xf numFmtId="10" fontId="60" fillId="0" borderId="159" xfId="580" applyNumberFormat="1" applyFont="1" applyFill="1" applyBorder="1" applyAlignment="1" applyProtection="1">
      <alignment vertical="center"/>
    </xf>
    <xf numFmtId="0" fontId="95" fillId="0" borderId="161" xfId="0" applyFont="1" applyBorder="1" applyAlignment="1">
      <alignment vertical="center" wrapText="1"/>
    </xf>
    <xf numFmtId="4" fontId="95" fillId="0" borderId="138" xfId="579" applyNumberFormat="1" applyFont="1" applyFill="1" applyBorder="1" applyAlignment="1" applyProtection="1">
      <alignment horizontal="right" vertical="center"/>
    </xf>
    <xf numFmtId="10" fontId="95" fillId="0" borderId="138" xfId="580" applyNumberFormat="1" applyFont="1" applyFill="1" applyBorder="1" applyAlignment="1" applyProtection="1">
      <alignment horizontal="center" vertical="center" wrapText="1"/>
    </xf>
    <xf numFmtId="4" fontId="95" fillId="0" borderId="138" xfId="579" applyNumberFormat="1" applyFont="1" applyFill="1" applyBorder="1" applyAlignment="1" applyProtection="1">
      <alignment horizontal="center" vertical="center"/>
    </xf>
    <xf numFmtId="4" fontId="95" fillId="0" borderId="147" xfId="579" applyNumberFormat="1" applyFont="1" applyFill="1" applyBorder="1" applyAlignment="1" applyProtection="1">
      <alignment horizontal="center" vertical="center"/>
    </xf>
    <xf numFmtId="0" fontId="95" fillId="0" borderId="161" xfId="0" applyFont="1" applyBorder="1" applyAlignment="1">
      <alignment horizontal="left" vertical="center"/>
    </xf>
    <xf numFmtId="0" fontId="95" fillId="0" borderId="161" xfId="0" applyFont="1" applyBorder="1" applyAlignment="1">
      <alignment horizontal="left" vertical="center" wrapText="1"/>
    </xf>
    <xf numFmtId="10" fontId="95" fillId="0" borderId="138" xfId="579" applyNumberFormat="1" applyFont="1" applyFill="1" applyBorder="1" applyAlignment="1" applyProtection="1">
      <alignment horizontal="center" vertical="center" wrapText="1"/>
    </xf>
    <xf numFmtId="0" fontId="95" fillId="0" borderId="148" xfId="0" applyFont="1" applyBorder="1" applyAlignment="1">
      <alignment vertical="center"/>
    </xf>
    <xf numFmtId="0" fontId="95" fillId="0" borderId="149" xfId="0" applyFont="1" applyBorder="1" applyAlignment="1">
      <alignment vertical="center"/>
    </xf>
    <xf numFmtId="0" fontId="95" fillId="0" borderId="146" xfId="0" applyFont="1" applyBorder="1" applyAlignment="1">
      <alignment vertical="center"/>
    </xf>
    <xf numFmtId="0" fontId="95" fillId="0" borderId="148" xfId="0" applyFont="1" applyBorder="1" applyAlignment="1">
      <alignment vertical="center" wrapText="1"/>
    </xf>
    <xf numFmtId="0" fontId="95" fillId="0" borderId="149" xfId="0" applyFont="1" applyBorder="1" applyAlignment="1">
      <alignment vertical="center" wrapText="1"/>
    </xf>
    <xf numFmtId="0" fontId="95" fillId="0" borderId="146" xfId="0" applyFont="1" applyBorder="1" applyAlignment="1">
      <alignment vertical="center" wrapText="1"/>
    </xf>
    <xf numFmtId="0" fontId="95" fillId="0" borderId="163" xfId="0" applyFont="1" applyBorder="1" applyAlignment="1">
      <alignment vertical="center"/>
    </xf>
    <xf numFmtId="0" fontId="95" fillId="0" borderId="164" xfId="0" applyFont="1" applyBorder="1" applyAlignment="1">
      <alignment vertical="center"/>
    </xf>
    <xf numFmtId="0" fontId="95" fillId="0" borderId="165" xfId="0" applyFont="1" applyBorder="1" applyAlignment="1">
      <alignment vertical="center"/>
    </xf>
    <xf numFmtId="10" fontId="95" fillId="0" borderId="166" xfId="580" applyNumberFormat="1" applyFont="1" applyFill="1" applyBorder="1" applyAlignment="1" applyProtection="1">
      <alignment horizontal="center" vertical="center" wrapText="1"/>
    </xf>
    <xf numFmtId="171" fontId="63" fillId="0" borderId="96" xfId="0" applyNumberFormat="1" applyFont="1" applyFill="1" applyBorder="1" applyAlignment="1">
      <alignment horizontal="right" vertical="center" wrapText="1"/>
    </xf>
    <xf numFmtId="43" fontId="95" fillId="55" borderId="85" xfId="579" applyFont="1" applyFill="1" applyBorder="1" applyAlignment="1">
      <alignment horizontal="center" vertical="center"/>
    </xf>
    <xf numFmtId="43" fontId="95" fillId="55" borderId="162" xfId="579" applyFont="1" applyFill="1" applyBorder="1" applyAlignment="1">
      <alignment horizontal="center" vertical="center"/>
    </xf>
    <xf numFmtId="9" fontId="65" fillId="0" borderId="0" xfId="730" applyFont="1" applyBorder="1"/>
    <xf numFmtId="10" fontId="60" fillId="0" borderId="172" xfId="579" applyNumberFormat="1" applyFont="1" applyFill="1" applyBorder="1" applyAlignment="1" applyProtection="1">
      <alignment vertical="center"/>
    </xf>
    <xf numFmtId="10" fontId="60" fillId="0" borderId="166" xfId="580" applyNumberFormat="1" applyFont="1" applyFill="1" applyBorder="1" applyAlignment="1" applyProtection="1">
      <alignment vertical="center"/>
    </xf>
    <xf numFmtId="9" fontId="60" fillId="0" borderId="173" xfId="580" applyFont="1" applyBorder="1" applyAlignment="1">
      <alignment horizontal="center" vertical="center"/>
    </xf>
    <xf numFmtId="4" fontId="74" fillId="0" borderId="174" xfId="322" applyNumberFormat="1" applyFont="1" applyBorder="1" applyAlignment="1">
      <alignment horizontal="center" vertical="center"/>
    </xf>
    <xf numFmtId="43" fontId="95" fillId="55" borderId="175" xfId="579" applyFont="1" applyFill="1" applyBorder="1" applyAlignment="1">
      <alignment horizontal="center" vertical="center"/>
    </xf>
    <xf numFmtId="10" fontId="60" fillId="0" borderId="165" xfId="580" applyNumberFormat="1" applyFont="1" applyFill="1" applyBorder="1" applyAlignment="1" applyProtection="1">
      <alignment vertical="center"/>
    </xf>
    <xf numFmtId="43" fontId="95" fillId="55" borderId="167" xfId="579" applyFont="1" applyFill="1" applyBorder="1" applyAlignment="1">
      <alignment horizontal="center" vertical="center"/>
    </xf>
    <xf numFmtId="10" fontId="60" fillId="0" borderId="176" xfId="580" applyNumberFormat="1" applyFont="1" applyFill="1" applyBorder="1" applyAlignment="1" applyProtection="1">
      <alignment vertical="center"/>
    </xf>
    <xf numFmtId="10" fontId="60" fillId="0" borderId="172" xfId="580" applyNumberFormat="1" applyFont="1" applyFill="1" applyBorder="1" applyAlignment="1" applyProtection="1">
      <alignment vertical="center"/>
    </xf>
    <xf numFmtId="10" fontId="60" fillId="0" borderId="86" xfId="580" applyNumberFormat="1" applyFont="1" applyFill="1" applyBorder="1" applyAlignment="1" applyProtection="1">
      <alignment vertical="center"/>
    </xf>
    <xf numFmtId="43" fontId="43" fillId="45" borderId="96" xfId="32" applyFont="1" applyFill="1" applyBorder="1" applyAlignment="1">
      <alignment horizontal="center" vertical="center" wrapText="1"/>
    </xf>
    <xf numFmtId="171" fontId="68" fillId="51" borderId="96" xfId="321" applyNumberFormat="1" applyFont="1" applyFill="1" applyBorder="1" applyAlignment="1">
      <alignment horizontal="right" vertical="center"/>
    </xf>
    <xf numFmtId="0" fontId="0" fillId="0" borderId="0" xfId="0"/>
    <xf numFmtId="170" fontId="65" fillId="0" borderId="139" xfId="322" applyBorder="1"/>
    <xf numFmtId="171" fontId="69" fillId="51" borderId="27" xfId="322" applyNumberFormat="1" applyFont="1" applyFill="1" applyBorder="1" applyAlignment="1">
      <alignment vertical="center" wrapText="1"/>
    </xf>
    <xf numFmtId="171" fontId="69" fillId="51" borderId="177" xfId="321" applyNumberFormat="1" applyFont="1" applyFill="1" applyBorder="1" applyAlignment="1">
      <alignment horizontal="center" vertical="center"/>
    </xf>
    <xf numFmtId="171" fontId="70" fillId="51" borderId="178" xfId="321" applyNumberFormat="1" applyFont="1" applyFill="1" applyBorder="1" applyAlignment="1">
      <alignment horizontal="right" vertical="center"/>
    </xf>
    <xf numFmtId="171" fontId="69" fillId="51" borderId="179" xfId="321" applyNumberFormat="1" applyFont="1" applyFill="1" applyBorder="1" applyAlignment="1">
      <alignment horizontal="center" vertical="center"/>
    </xf>
    <xf numFmtId="171" fontId="70" fillId="51" borderId="29" xfId="321" applyNumberFormat="1" applyFont="1" applyFill="1" applyBorder="1" applyAlignment="1">
      <alignment horizontal="right" vertical="center"/>
    </xf>
    <xf numFmtId="171" fontId="68" fillId="51" borderId="0" xfId="322" applyNumberFormat="1" applyFont="1" applyFill="1" applyBorder="1" applyAlignment="1">
      <alignment horizontal="center" vertical="center" wrapText="1"/>
    </xf>
    <xf numFmtId="171" fontId="68" fillId="51" borderId="0" xfId="322" applyNumberFormat="1" applyFont="1" applyFill="1" applyBorder="1" applyAlignment="1">
      <alignment horizontal="right" vertical="center" wrapText="1"/>
    </xf>
    <xf numFmtId="171" fontId="68" fillId="51" borderId="0" xfId="321" applyNumberFormat="1" applyFont="1" applyFill="1" applyBorder="1" applyAlignment="1">
      <alignment horizontal="right" vertical="center"/>
    </xf>
    <xf numFmtId="4" fontId="56" fillId="0" borderId="86" xfId="318" applyNumberFormat="1" applyFont="1" applyBorder="1" applyAlignment="1" applyProtection="1">
      <alignment horizontal="right" vertical="center"/>
    </xf>
    <xf numFmtId="4" fontId="56" fillId="0" borderId="97" xfId="318" applyNumberFormat="1" applyFont="1" applyBorder="1" applyAlignment="1" applyProtection="1">
      <alignment horizontal="right" vertical="center"/>
    </xf>
    <xf numFmtId="171" fontId="70" fillId="51" borderId="139" xfId="321" applyNumberFormat="1" applyFont="1" applyFill="1" applyBorder="1" applyAlignment="1">
      <alignment horizontal="right" vertical="center"/>
    </xf>
    <xf numFmtId="170" fontId="65" fillId="0" borderId="97" xfId="322" applyBorder="1"/>
    <xf numFmtId="170" fontId="65" fillId="0" borderId="1" xfId="322" applyBorder="1" applyAlignment="1"/>
    <xf numFmtId="170" fontId="65" fillId="0" borderId="19" xfId="322" applyBorder="1" applyAlignment="1"/>
    <xf numFmtId="170" fontId="65" fillId="0" borderId="82" xfId="322" applyBorder="1" applyAlignment="1"/>
    <xf numFmtId="171" fontId="63" fillId="0" borderId="96" xfId="0" applyNumberFormat="1" applyFont="1" applyFill="1" applyBorder="1" applyAlignment="1">
      <alignment horizontal="right" vertical="center" wrapText="1"/>
    </xf>
    <xf numFmtId="171" fontId="68" fillId="51" borderId="139" xfId="321" applyNumberFormat="1" applyFont="1" applyFill="1" applyBorder="1" applyAlignment="1">
      <alignment horizontal="right" vertical="center"/>
    </xf>
    <xf numFmtId="180" fontId="65" fillId="0" borderId="0" xfId="32" applyNumberFormat="1" applyFont="1"/>
    <xf numFmtId="0" fontId="0" fillId="0" borderId="0" xfId="0"/>
    <xf numFmtId="0" fontId="79" fillId="0" borderId="0" xfId="284" applyFont="1" applyBorder="1" applyAlignment="1">
      <alignment horizontal="justify" vertical="center"/>
    </xf>
    <xf numFmtId="181" fontId="46" fillId="0" borderId="23" xfId="730" applyNumberFormat="1" applyFont="1" applyFill="1" applyBorder="1" applyAlignment="1">
      <alignment vertical="center"/>
    </xf>
    <xf numFmtId="10" fontId="46" fillId="0" borderId="23" xfId="730" applyNumberFormat="1" applyFont="1" applyFill="1" applyBorder="1" applyAlignment="1">
      <alignment vertical="center"/>
    </xf>
    <xf numFmtId="9" fontId="57" fillId="0" borderId="187" xfId="0" applyNumberFormat="1" applyFont="1" applyBorder="1" applyAlignment="1">
      <alignment horizontal="left" vertical="center" indent="1"/>
    </xf>
    <xf numFmtId="9" fontId="57" fillId="0" borderId="188" xfId="0" applyNumberFormat="1" applyFont="1" applyBorder="1" applyAlignment="1">
      <alignment horizontal="left" vertical="center" indent="1"/>
    </xf>
    <xf numFmtId="9" fontId="57" fillId="0" borderId="171" xfId="0" applyNumberFormat="1" applyFont="1" applyBorder="1" applyAlignment="1">
      <alignment horizontal="left" vertical="center" indent="1"/>
    </xf>
    <xf numFmtId="9" fontId="57" fillId="0" borderId="157" xfId="0" applyNumberFormat="1" applyFont="1" applyBorder="1" applyAlignment="1">
      <alignment horizontal="left" vertical="center" indent="1"/>
    </xf>
    <xf numFmtId="49" fontId="46" fillId="0" borderId="189" xfId="0" applyNumberFormat="1" applyFont="1" applyBorder="1" applyAlignment="1">
      <alignment horizontal="left" vertical="center" indent="1"/>
    </xf>
    <xf numFmtId="49" fontId="46" fillId="0" borderId="180" xfId="0" applyNumberFormat="1" applyFont="1" applyBorder="1" applyAlignment="1">
      <alignment horizontal="left" vertical="center" indent="1"/>
    </xf>
    <xf numFmtId="49" fontId="46" fillId="0" borderId="181" xfId="0" applyNumberFormat="1" applyFont="1" applyBorder="1" applyAlignment="1">
      <alignment horizontal="left" vertical="center" indent="1"/>
    </xf>
    <xf numFmtId="176" fontId="57" fillId="0" borderId="188" xfId="0" applyNumberFormat="1" applyFont="1" applyBorder="1" applyAlignment="1">
      <alignment horizontal="left" vertical="center" indent="1"/>
    </xf>
    <xf numFmtId="170" fontId="65" fillId="0" borderId="86" xfId="322" applyBorder="1"/>
    <xf numFmtId="0" fontId="103" fillId="0" borderId="0" xfId="284" applyFont="1" applyBorder="1" applyAlignment="1">
      <alignment horizontal="justify" vertical="center"/>
    </xf>
    <xf numFmtId="0" fontId="102" fillId="0" borderId="0" xfId="0" applyFont="1"/>
    <xf numFmtId="10" fontId="104" fillId="0" borderId="139" xfId="730" applyNumberFormat="1" applyFont="1" applyBorder="1" applyAlignment="1">
      <alignment horizontal="right" vertical="center"/>
    </xf>
    <xf numFmtId="10" fontId="107" fillId="0" borderId="139" xfId="730" applyNumberFormat="1" applyFont="1" applyBorder="1" applyAlignment="1">
      <alignment horizontal="right" vertical="center"/>
    </xf>
    <xf numFmtId="9" fontId="57" fillId="0" borderId="95" xfId="317" applyNumberFormat="1" applyFont="1" applyBorder="1" applyAlignment="1">
      <alignment vertical="center"/>
    </xf>
    <xf numFmtId="9" fontId="57" fillId="0" borderId="95" xfId="317" applyNumberFormat="1" applyFont="1" applyBorder="1" applyAlignment="1">
      <alignment horizontal="left" vertical="center" wrapText="1" indent="1"/>
    </xf>
    <xf numFmtId="9" fontId="57" fillId="0" borderId="95" xfId="317" applyNumberFormat="1" applyFont="1" applyBorder="1" applyAlignment="1">
      <alignment horizontal="left" vertical="center" indent="1"/>
    </xf>
    <xf numFmtId="43" fontId="57" fillId="0" borderId="95" xfId="32" applyFont="1" applyBorder="1" applyAlignment="1">
      <alignment horizontal="left" vertical="center" indent="1"/>
    </xf>
    <xf numFmtId="43" fontId="57" fillId="0" borderId="97" xfId="32" applyFont="1" applyBorder="1" applyAlignment="1">
      <alignment horizontal="left" vertical="center" indent="1"/>
    </xf>
    <xf numFmtId="49" fontId="57" fillId="0" borderId="95" xfId="317" applyNumberFormat="1" applyFont="1" applyBorder="1" applyAlignment="1">
      <alignment horizontal="left" vertical="center" indent="1"/>
    </xf>
    <xf numFmtId="49" fontId="68" fillId="51" borderId="96" xfId="322" applyNumberFormat="1" applyFont="1" applyFill="1" applyBorder="1" applyAlignment="1">
      <alignment horizontal="right" vertical="center"/>
    </xf>
    <xf numFmtId="49" fontId="66" fillId="51" borderId="140" xfId="322" applyNumberFormat="1" applyFont="1" applyFill="1" applyBorder="1" applyAlignment="1">
      <alignment horizontal="center" vertical="center"/>
    </xf>
    <xf numFmtId="49" fontId="66" fillId="51" borderId="185" xfId="322" applyNumberFormat="1" applyFont="1" applyFill="1" applyBorder="1" applyAlignment="1">
      <alignment horizontal="center" vertical="center"/>
    </xf>
    <xf numFmtId="49" fontId="66" fillId="51" borderId="154" xfId="322" applyNumberFormat="1" applyFont="1" applyFill="1" applyBorder="1" applyAlignment="1">
      <alignment horizontal="center" vertical="center"/>
    </xf>
    <xf numFmtId="49" fontId="66" fillId="51" borderId="89" xfId="322" applyNumberFormat="1" applyFont="1" applyFill="1" applyBorder="1" applyAlignment="1">
      <alignment horizontal="center" vertical="center"/>
    </xf>
    <xf numFmtId="49" fontId="66" fillId="51" borderId="0" xfId="322" applyNumberFormat="1" applyFont="1" applyFill="1" applyBorder="1" applyAlignment="1">
      <alignment horizontal="center" vertical="center"/>
    </xf>
    <xf numFmtId="49" fontId="66" fillId="51" borderId="85" xfId="322" applyNumberFormat="1" applyFont="1" applyFill="1" applyBorder="1" applyAlignment="1">
      <alignment horizontal="center" vertical="center"/>
    </xf>
    <xf numFmtId="49" fontId="66" fillId="51" borderId="134" xfId="322" applyNumberFormat="1" applyFont="1" applyFill="1" applyBorder="1" applyAlignment="1">
      <alignment horizontal="center" vertical="center"/>
    </xf>
    <xf numFmtId="49" fontId="66" fillId="51" borderId="30" xfId="322" applyNumberFormat="1" applyFont="1" applyFill="1" applyBorder="1" applyAlignment="1">
      <alignment horizontal="center" vertical="center"/>
    </xf>
    <xf numFmtId="49" fontId="66" fillId="51" borderId="186" xfId="322" applyNumberFormat="1" applyFont="1" applyFill="1" applyBorder="1" applyAlignment="1">
      <alignment horizontal="center" vertical="center"/>
    </xf>
    <xf numFmtId="164" fontId="69" fillId="52" borderId="31" xfId="322" applyNumberFormat="1" applyFont="1" applyFill="1" applyBorder="1" applyAlignment="1">
      <alignment horizontal="center" vertical="center"/>
    </xf>
    <xf numFmtId="164" fontId="69" fillId="52" borderId="32" xfId="322" applyNumberFormat="1" applyFont="1" applyFill="1" applyBorder="1" applyAlignment="1">
      <alignment horizontal="center" vertical="center"/>
    </xf>
    <xf numFmtId="174" fontId="66" fillId="51" borderId="184" xfId="322" applyNumberFormat="1" applyFont="1" applyFill="1" applyBorder="1" applyAlignment="1">
      <alignment horizontal="left" vertical="center"/>
    </xf>
    <xf numFmtId="174" fontId="66" fillId="51" borderId="0" xfId="322" applyNumberFormat="1" applyFont="1" applyFill="1" applyBorder="1" applyAlignment="1">
      <alignment horizontal="left" vertical="center"/>
    </xf>
    <xf numFmtId="170" fontId="67" fillId="0" borderId="170" xfId="322" applyFont="1" applyFill="1" applyBorder="1" applyAlignment="1">
      <alignment horizontal="center" vertical="center"/>
    </xf>
    <xf numFmtId="170" fontId="67" fillId="0" borderId="171" xfId="322" applyFont="1" applyFill="1" applyBorder="1" applyAlignment="1">
      <alignment horizontal="center" vertical="center"/>
    </xf>
    <xf numFmtId="170" fontId="67" fillId="0" borderId="157" xfId="322" applyFont="1" applyFill="1" applyBorder="1" applyAlignment="1">
      <alignment horizontal="center" vertical="center"/>
    </xf>
    <xf numFmtId="49" fontId="68" fillId="51" borderId="31" xfId="322" applyNumberFormat="1" applyFont="1" applyFill="1" applyBorder="1" applyAlignment="1">
      <alignment horizontal="center" vertical="center"/>
    </xf>
    <xf numFmtId="49" fontId="68" fillId="51" borderId="32" xfId="322" applyNumberFormat="1" applyFont="1" applyFill="1" applyBorder="1" applyAlignment="1">
      <alignment horizontal="center" vertical="center"/>
    </xf>
    <xf numFmtId="171" fontId="69" fillId="51" borderId="31" xfId="322" applyNumberFormat="1" applyFont="1" applyFill="1" applyBorder="1" applyAlignment="1">
      <alignment horizontal="center" vertical="center" wrapText="1"/>
    </xf>
    <xf numFmtId="171" fontId="69" fillId="51" borderId="32" xfId="322" applyNumberFormat="1" applyFont="1" applyFill="1" applyBorder="1" applyAlignment="1">
      <alignment horizontal="center" vertical="center" wrapText="1"/>
    </xf>
    <xf numFmtId="164" fontId="69" fillId="51" borderId="31" xfId="322" applyNumberFormat="1" applyFont="1" applyFill="1" applyBorder="1" applyAlignment="1">
      <alignment horizontal="center" vertical="center"/>
    </xf>
    <xf numFmtId="164" fontId="69" fillId="51" borderId="32" xfId="322" applyNumberFormat="1" applyFont="1" applyFill="1" applyBorder="1" applyAlignment="1">
      <alignment horizontal="center" vertical="center"/>
    </xf>
    <xf numFmtId="170" fontId="69" fillId="51" borderId="31" xfId="322" applyFont="1" applyFill="1" applyBorder="1" applyAlignment="1">
      <alignment horizontal="center" vertical="center"/>
    </xf>
    <xf numFmtId="170" fontId="69" fillId="51" borderId="32" xfId="322" applyFont="1" applyFill="1" applyBorder="1" applyAlignment="1">
      <alignment horizontal="center" vertical="center"/>
    </xf>
    <xf numFmtId="49" fontId="70" fillId="51" borderId="31" xfId="322" applyNumberFormat="1" applyFont="1" applyFill="1" applyBorder="1" applyAlignment="1">
      <alignment horizontal="center" vertical="center"/>
    </xf>
    <xf numFmtId="49" fontId="70" fillId="51" borderId="32" xfId="322" applyNumberFormat="1" applyFont="1" applyFill="1" applyBorder="1" applyAlignment="1">
      <alignment horizontal="center" vertical="center"/>
    </xf>
    <xf numFmtId="49" fontId="68" fillId="51" borderId="137" xfId="322" applyNumberFormat="1" applyFont="1" applyFill="1" applyBorder="1" applyAlignment="1">
      <alignment horizontal="right" vertical="center"/>
    </xf>
    <xf numFmtId="49" fontId="68" fillId="51" borderId="95" xfId="322" applyNumberFormat="1" applyFont="1" applyFill="1" applyBorder="1" applyAlignment="1">
      <alignment horizontal="right" vertical="center"/>
    </xf>
    <xf numFmtId="49" fontId="68" fillId="51" borderId="97" xfId="322" applyNumberFormat="1" applyFont="1" applyFill="1" applyBorder="1" applyAlignment="1">
      <alignment horizontal="right" vertical="center"/>
    </xf>
    <xf numFmtId="0" fontId="74" fillId="0" borderId="27" xfId="0" applyFont="1" applyBorder="1" applyAlignment="1">
      <alignment horizontal="left" vertical="center" wrapText="1"/>
    </xf>
    <xf numFmtId="0" fontId="74" fillId="0" borderId="97" xfId="0" applyFont="1" applyBorder="1" applyAlignment="1">
      <alignment horizontal="left" vertical="center" wrapText="1"/>
    </xf>
    <xf numFmtId="4" fontId="74" fillId="0" borderId="27" xfId="0" applyNumberFormat="1" applyFont="1" applyBorder="1" applyAlignment="1">
      <alignment horizontal="left" vertical="center" wrapText="1"/>
    </xf>
    <xf numFmtId="4" fontId="74" fillId="0" borderId="97" xfId="0" applyNumberFormat="1" applyFont="1" applyBorder="1" applyAlignment="1">
      <alignment horizontal="left" vertical="center" wrapText="1"/>
    </xf>
    <xf numFmtId="4" fontId="74" fillId="0" borderId="180" xfId="0" applyNumberFormat="1" applyFont="1" applyBorder="1" applyAlignment="1">
      <alignment horizontal="left" vertical="center" wrapText="1"/>
    </xf>
    <xf numFmtId="4" fontId="74" fillId="0" borderId="181" xfId="0" applyNumberFormat="1" applyFont="1" applyBorder="1" applyAlignment="1">
      <alignment horizontal="left" vertical="center" wrapText="1"/>
    </xf>
    <xf numFmtId="171" fontId="68" fillId="51" borderId="31" xfId="322" applyNumberFormat="1" applyFont="1" applyFill="1" applyBorder="1" applyAlignment="1">
      <alignment horizontal="right" vertical="center" wrapText="1"/>
    </xf>
    <xf numFmtId="171" fontId="68" fillId="51" borderId="32" xfId="322" applyNumberFormat="1" applyFont="1" applyFill="1" applyBorder="1" applyAlignment="1">
      <alignment horizontal="right" vertical="center" wrapText="1"/>
    </xf>
    <xf numFmtId="171" fontId="68" fillId="51" borderId="179" xfId="322" applyNumberFormat="1" applyFont="1" applyFill="1" applyBorder="1" applyAlignment="1">
      <alignment horizontal="right" vertical="center" wrapText="1"/>
    </xf>
    <xf numFmtId="171" fontId="68" fillId="51" borderId="182" xfId="322" applyNumberFormat="1" applyFont="1" applyFill="1" applyBorder="1" applyAlignment="1">
      <alignment horizontal="right" vertical="center" wrapText="1"/>
    </xf>
    <xf numFmtId="171" fontId="68" fillId="51" borderId="20" xfId="322" applyNumberFormat="1" applyFont="1" applyFill="1" applyBorder="1" applyAlignment="1">
      <alignment horizontal="right" vertical="center" wrapText="1"/>
    </xf>
    <xf numFmtId="171" fontId="68" fillId="51" borderId="183" xfId="322" applyNumberFormat="1" applyFont="1" applyFill="1" applyBorder="1" applyAlignment="1">
      <alignment horizontal="right" vertical="center" wrapText="1"/>
    </xf>
    <xf numFmtId="171" fontId="101" fillId="51" borderId="137" xfId="322" applyNumberFormat="1" applyFont="1" applyFill="1" applyBorder="1" applyAlignment="1">
      <alignment horizontal="left" vertical="center" wrapText="1"/>
    </xf>
    <xf numFmtId="171" fontId="101" fillId="51" borderId="95" xfId="322" applyNumberFormat="1" applyFont="1" applyFill="1" applyBorder="1" applyAlignment="1">
      <alignment horizontal="left" vertical="center" wrapText="1"/>
    </xf>
    <xf numFmtId="171" fontId="63" fillId="0" borderId="96" xfId="0" applyNumberFormat="1" applyFont="1" applyFill="1" applyBorder="1" applyAlignment="1">
      <alignment horizontal="right" vertical="center" wrapText="1"/>
    </xf>
    <xf numFmtId="0" fontId="56" fillId="0" borderId="88" xfId="317" applyFont="1" applyBorder="1" applyAlignment="1">
      <alignment horizontal="center" vertical="center"/>
    </xf>
    <xf numFmtId="0" fontId="56" fillId="0" borderId="22" xfId="317" applyFont="1" applyBorder="1" applyAlignment="1">
      <alignment horizontal="center" vertical="center"/>
    </xf>
    <xf numFmtId="0" fontId="56" fillId="0" borderId="84" xfId="317" applyFont="1" applyBorder="1" applyAlignment="1">
      <alignment horizontal="center" vertical="center"/>
    </xf>
    <xf numFmtId="0" fontId="56" fillId="0" borderId="89" xfId="317" applyFont="1" applyBorder="1" applyAlignment="1">
      <alignment horizontal="center" vertical="center"/>
    </xf>
    <xf numFmtId="0" fontId="56" fillId="0" borderId="0" xfId="317" applyFont="1" applyBorder="1" applyAlignment="1">
      <alignment horizontal="center" vertical="center"/>
    </xf>
    <xf numFmtId="0" fontId="56" fillId="0" borderId="85" xfId="317" applyFont="1" applyBorder="1" applyAlignment="1">
      <alignment horizontal="center" vertical="center"/>
    </xf>
    <xf numFmtId="0" fontId="56" fillId="0" borderId="90" xfId="317" applyFont="1" applyBorder="1" applyAlignment="1">
      <alignment horizontal="center" vertical="center"/>
    </xf>
    <xf numFmtId="0" fontId="56" fillId="0" borderId="91" xfId="317" applyFont="1" applyBorder="1" applyAlignment="1">
      <alignment horizontal="center" vertical="center"/>
    </xf>
    <xf numFmtId="0" fontId="56" fillId="0" borderId="86" xfId="317" applyFont="1" applyBorder="1" applyAlignment="1">
      <alignment horizontal="center" vertical="center"/>
    </xf>
    <xf numFmtId="171" fontId="63" fillId="0" borderId="137" xfId="0" applyNumberFormat="1" applyFont="1" applyFill="1" applyBorder="1" applyAlignment="1">
      <alignment horizontal="right" vertical="center" wrapText="1"/>
    </xf>
    <xf numFmtId="171" fontId="63" fillId="0" borderId="95" xfId="0" applyNumberFormat="1" applyFont="1" applyFill="1" applyBorder="1" applyAlignment="1">
      <alignment horizontal="right" vertical="center" wrapText="1"/>
    </xf>
    <xf numFmtId="171" fontId="63" fillId="0" borderId="97" xfId="0" applyNumberFormat="1" applyFont="1" applyFill="1" applyBorder="1" applyAlignment="1">
      <alignment horizontal="right" vertical="center" wrapText="1"/>
    </xf>
    <xf numFmtId="9" fontId="56" fillId="0" borderId="26" xfId="317" applyNumberFormat="1" applyFont="1" applyBorder="1" applyAlignment="1">
      <alignment horizontal="center" vertical="center"/>
    </xf>
    <xf numFmtId="9" fontId="56" fillId="0" borderId="27" xfId="317" applyNumberFormat="1" applyFont="1" applyBorder="1" applyAlignment="1">
      <alignment horizontal="center" vertical="center"/>
    </xf>
    <xf numFmtId="0" fontId="0" fillId="0" borderId="96" xfId="0" applyFill="1" applyBorder="1" applyAlignment="1">
      <alignment horizontal="right" vertical="center" wrapText="1"/>
    </xf>
    <xf numFmtId="0" fontId="91" fillId="0" borderId="96" xfId="0" applyFont="1" applyFill="1" applyBorder="1" applyAlignment="1">
      <alignment horizontal="right" vertical="center" wrapText="1"/>
    </xf>
    <xf numFmtId="9" fontId="59" fillId="0" borderId="137" xfId="317" applyNumberFormat="1" applyFont="1" applyBorder="1" applyAlignment="1">
      <alignment horizontal="left" vertical="center" wrapText="1"/>
    </xf>
    <xf numFmtId="9" fontId="59" fillId="0" borderId="95" xfId="317" applyNumberFormat="1" applyFont="1" applyBorder="1" applyAlignment="1">
      <alignment horizontal="left" vertical="center" wrapText="1"/>
    </xf>
    <xf numFmtId="9" fontId="59" fillId="0" borderId="97" xfId="317" applyNumberFormat="1" applyFont="1" applyBorder="1" applyAlignment="1">
      <alignment horizontal="left" vertical="center" wrapText="1"/>
    </xf>
    <xf numFmtId="43" fontId="39" fillId="0" borderId="28" xfId="315" applyFont="1" applyFill="1" applyBorder="1" applyAlignment="1">
      <alignment horizontal="center" vertical="center" wrapText="1"/>
    </xf>
    <xf numFmtId="0" fontId="54" fillId="0" borderId="28" xfId="0" applyFont="1" applyBorder="1" applyAlignment="1">
      <alignment horizontal="left" vertical="center"/>
    </xf>
    <xf numFmtId="0" fontId="54" fillId="0" borderId="28" xfId="0" applyFont="1" applyBorder="1" applyAlignment="1">
      <alignment horizontal="center" vertical="center" wrapText="1"/>
    </xf>
    <xf numFmtId="0" fontId="54" fillId="0" borderId="28" xfId="0" applyFont="1" applyBorder="1" applyAlignment="1">
      <alignment horizontal="left" vertical="center" indent="1"/>
    </xf>
    <xf numFmtId="0" fontId="54" fillId="0" borderId="28" xfId="0" applyFont="1" applyBorder="1" applyAlignment="1">
      <alignment horizontal="center" vertical="center"/>
    </xf>
    <xf numFmtId="0" fontId="47" fillId="0" borderId="0" xfId="0" applyFont="1" applyAlignment="1">
      <alignment horizontal="left" wrapText="1"/>
    </xf>
    <xf numFmtId="0" fontId="0" fillId="0" borderId="0" xfId="0"/>
    <xf numFmtId="0" fontId="80" fillId="0" borderId="88" xfId="0" applyFont="1" applyBorder="1" applyAlignment="1">
      <alignment horizontal="center" vertical="center"/>
    </xf>
    <xf numFmtId="0" fontId="80" fillId="0" borderId="22" xfId="0" applyFont="1" applyBorder="1" applyAlignment="1">
      <alignment horizontal="center" vertical="center"/>
    </xf>
    <xf numFmtId="0" fontId="80" fillId="0" borderId="84" xfId="0" applyFont="1" applyBorder="1" applyAlignment="1">
      <alignment horizontal="center" vertical="center"/>
    </xf>
    <xf numFmtId="0" fontId="80" fillId="0" borderId="89" xfId="0" applyFont="1" applyBorder="1" applyAlignment="1">
      <alignment horizontal="center" vertical="center"/>
    </xf>
    <xf numFmtId="0" fontId="80" fillId="0" borderId="0" xfId="0" applyFont="1" applyBorder="1" applyAlignment="1">
      <alignment horizontal="center" vertical="center"/>
    </xf>
    <xf numFmtId="0" fontId="80" fillId="0" borderId="85" xfId="0" applyFont="1" applyBorder="1" applyAlignment="1">
      <alignment horizontal="center" vertical="center"/>
    </xf>
    <xf numFmtId="0" fontId="80" fillId="0" borderId="90" xfId="0" applyFont="1" applyBorder="1" applyAlignment="1">
      <alignment horizontal="center" vertical="center"/>
    </xf>
    <xf numFmtId="0" fontId="80" fillId="0" borderId="91" xfId="0" applyFont="1" applyBorder="1" applyAlignment="1">
      <alignment horizontal="center" vertical="center"/>
    </xf>
    <xf numFmtId="0" fontId="80" fillId="0" borderId="86" xfId="0" applyFont="1" applyBorder="1" applyAlignment="1">
      <alignment horizontal="center" vertical="center"/>
    </xf>
    <xf numFmtId="171" fontId="43" fillId="0" borderId="96" xfId="0" applyNumberFormat="1" applyFont="1" applyFill="1" applyBorder="1" applyAlignment="1">
      <alignment horizontal="right" vertical="center" wrapText="1"/>
    </xf>
    <xf numFmtId="9" fontId="57" fillId="0" borderId="137" xfId="317" applyNumberFormat="1" applyFont="1" applyBorder="1" applyAlignment="1">
      <alignment horizontal="left" vertical="center" wrapText="1" indent="1"/>
    </xf>
    <xf numFmtId="9" fontId="57" fillId="0" borderId="95" xfId="317" applyNumberFormat="1" applyFont="1" applyBorder="1" applyAlignment="1">
      <alignment horizontal="left" vertical="center" wrapText="1" indent="1"/>
    </xf>
    <xf numFmtId="9" fontId="57" fillId="0" borderId="97" xfId="317" applyNumberFormat="1" applyFont="1" applyBorder="1" applyAlignment="1">
      <alignment horizontal="left" vertical="center" wrapText="1" indent="1"/>
    </xf>
    <xf numFmtId="170" fontId="92" fillId="0" borderId="0" xfId="322" applyFont="1" applyAlignment="1">
      <alignment horizontal="center"/>
    </xf>
    <xf numFmtId="1" fontId="66" fillId="51" borderId="0" xfId="731" quotePrefix="1" applyNumberFormat="1" applyFont="1" applyFill="1" applyBorder="1" applyAlignment="1">
      <alignment horizontal="left" vertical="center" indent="1"/>
    </xf>
    <xf numFmtId="1" fontId="66" fillId="51" borderId="0" xfId="731" applyNumberFormat="1" applyFont="1" applyFill="1" applyBorder="1" applyAlignment="1">
      <alignment horizontal="left" vertical="center" indent="1"/>
    </xf>
    <xf numFmtId="0" fontId="95" fillId="0" borderId="140" xfId="322" applyNumberFormat="1" applyFont="1" applyBorder="1" applyAlignment="1">
      <alignment horizontal="center" vertical="center"/>
    </xf>
    <xf numFmtId="0" fontId="95" fillId="0" borderId="145" xfId="322" applyNumberFormat="1" applyFont="1" applyBorder="1" applyAlignment="1">
      <alignment horizontal="center" vertical="center"/>
    </xf>
    <xf numFmtId="0" fontId="95" fillId="0" borderId="141" xfId="322" applyNumberFormat="1" applyFont="1" applyBorder="1" applyAlignment="1">
      <alignment horizontal="center" vertical="center"/>
    </xf>
    <xf numFmtId="0" fontId="95" fillId="0" borderId="169" xfId="322" applyNumberFormat="1" applyFont="1" applyBorder="1" applyAlignment="1">
      <alignment horizontal="center" vertical="center"/>
    </xf>
    <xf numFmtId="0" fontId="95" fillId="0" borderId="144" xfId="322" applyNumberFormat="1" applyFont="1" applyBorder="1" applyAlignment="1">
      <alignment horizontal="center" vertical="center"/>
    </xf>
    <xf numFmtId="0" fontId="95" fillId="0" borderId="147" xfId="322" applyNumberFormat="1" applyFont="1" applyBorder="1" applyAlignment="1">
      <alignment horizontal="center" vertical="center"/>
    </xf>
    <xf numFmtId="0" fontId="43" fillId="55" borderId="148" xfId="322" applyNumberFormat="1" applyFont="1" applyFill="1" applyBorder="1" applyAlignment="1">
      <alignment horizontal="center" vertical="center"/>
    </xf>
    <xf numFmtId="0" fontId="43" fillId="55" borderId="0" xfId="322" applyNumberFormat="1" applyFont="1" applyFill="1" applyBorder="1" applyAlignment="1">
      <alignment horizontal="center" vertical="center"/>
    </xf>
    <xf numFmtId="0" fontId="43" fillId="55" borderId="149" xfId="322" applyNumberFormat="1" applyFont="1" applyFill="1" applyBorder="1" applyAlignment="1">
      <alignment horizontal="center" vertical="center"/>
    </xf>
    <xf numFmtId="0" fontId="43" fillId="55" borderId="146" xfId="322" applyNumberFormat="1" applyFont="1" applyFill="1" applyBorder="1" applyAlignment="1">
      <alignment horizontal="center" vertical="center"/>
    </xf>
    <xf numFmtId="4" fontId="74" fillId="0" borderId="151" xfId="322" applyNumberFormat="1" applyFont="1" applyBorder="1" applyAlignment="1">
      <alignment horizontal="left" vertical="center" wrapText="1"/>
    </xf>
    <xf numFmtId="4" fontId="74" fillId="0" borderId="89" xfId="322" applyNumberFormat="1" applyFont="1" applyBorder="1" applyAlignment="1">
      <alignment horizontal="left" vertical="center" wrapText="1"/>
    </xf>
    <xf numFmtId="4" fontId="74" fillId="0" borderId="145" xfId="322" applyNumberFormat="1" applyFont="1" applyBorder="1" applyAlignment="1">
      <alignment horizontal="left" vertical="center" wrapText="1"/>
    </xf>
    <xf numFmtId="43" fontId="96" fillId="0" borderId="141" xfId="731" applyFont="1" applyBorder="1" applyAlignment="1">
      <alignment horizontal="center" vertical="center"/>
    </xf>
    <xf numFmtId="43" fontId="96" fillId="0" borderId="19" xfId="731" applyFont="1" applyBorder="1" applyAlignment="1">
      <alignment horizontal="center" vertical="center"/>
    </xf>
    <xf numFmtId="43" fontId="96" fillId="0" borderId="82" xfId="731" applyFont="1" applyBorder="1" applyAlignment="1">
      <alignment horizontal="center" vertical="center"/>
    </xf>
    <xf numFmtId="10" fontId="74" fillId="0" borderId="152" xfId="580" applyNumberFormat="1" applyFont="1" applyFill="1" applyBorder="1" applyAlignment="1" applyProtection="1">
      <alignment horizontal="center" vertical="center"/>
    </xf>
    <xf numFmtId="10" fontId="74" fillId="0" borderId="81" xfId="580" applyNumberFormat="1" applyFont="1" applyFill="1" applyBorder="1" applyAlignment="1" applyProtection="1">
      <alignment horizontal="center" vertical="center"/>
    </xf>
    <xf numFmtId="10" fontId="74" fillId="0" borderId="83" xfId="580" applyNumberFormat="1" applyFont="1" applyFill="1" applyBorder="1" applyAlignment="1" applyProtection="1">
      <alignment horizontal="center" vertical="center"/>
    </xf>
    <xf numFmtId="0" fontId="74" fillId="0" borderId="151" xfId="322" applyNumberFormat="1" applyFont="1" applyBorder="1" applyAlignment="1">
      <alignment horizontal="left" vertical="center" wrapText="1"/>
    </xf>
    <xf numFmtId="0" fontId="74" fillId="0" borderId="89" xfId="322" applyNumberFormat="1" applyFont="1" applyBorder="1" applyAlignment="1">
      <alignment horizontal="left" vertical="center" wrapText="1"/>
    </xf>
    <xf numFmtId="0" fontId="74" fillId="0" borderId="145" xfId="322" applyNumberFormat="1" applyFont="1" applyBorder="1" applyAlignment="1">
      <alignment horizontal="left" vertical="center" wrapText="1"/>
    </xf>
    <xf numFmtId="0" fontId="74" fillId="0" borderId="151" xfId="322" applyNumberFormat="1" applyFont="1" applyBorder="1" applyAlignment="1">
      <alignment horizontal="left" vertical="center"/>
    </xf>
    <xf numFmtId="0" fontId="74" fillId="0" borderId="89" xfId="322" applyNumberFormat="1" applyFont="1" applyBorder="1" applyAlignment="1">
      <alignment horizontal="left" vertical="center"/>
    </xf>
    <xf numFmtId="0" fontId="74" fillId="0" borderId="145" xfId="322" applyNumberFormat="1" applyFont="1" applyBorder="1" applyAlignment="1">
      <alignment horizontal="left" vertical="center"/>
    </xf>
    <xf numFmtId="4" fontId="74" fillId="0" borderId="151" xfId="322" applyNumberFormat="1" applyFont="1" applyBorder="1" applyAlignment="1">
      <alignment horizontal="left" vertical="center"/>
    </xf>
    <xf numFmtId="4" fontId="74" fillId="0" borderId="89" xfId="322" applyNumberFormat="1" applyFont="1" applyBorder="1" applyAlignment="1">
      <alignment horizontal="left" vertical="center"/>
    </xf>
    <xf numFmtId="4" fontId="74" fillId="0" borderId="145" xfId="322" applyNumberFormat="1" applyFont="1" applyBorder="1" applyAlignment="1">
      <alignment horizontal="left" vertical="center"/>
    </xf>
    <xf numFmtId="0" fontId="60" fillId="0" borderId="151" xfId="322" applyNumberFormat="1" applyFont="1" applyBorder="1" applyAlignment="1">
      <alignment horizontal="center" vertical="center" wrapText="1"/>
    </xf>
    <xf numFmtId="0" fontId="60" fillId="0" borderId="90" xfId="322" applyNumberFormat="1" applyFont="1" applyBorder="1" applyAlignment="1">
      <alignment horizontal="center" vertical="center" wrapText="1"/>
    </xf>
    <xf numFmtId="0" fontId="43" fillId="55" borderId="145" xfId="322" applyNumberFormat="1" applyFont="1" applyFill="1" applyBorder="1" applyAlignment="1">
      <alignment horizontal="center" vertical="center"/>
    </xf>
    <xf numFmtId="0" fontId="43" fillId="55" borderId="168" xfId="322" applyNumberFormat="1" applyFont="1" applyFill="1" applyBorder="1" applyAlignment="1">
      <alignment horizontal="center" vertical="center"/>
    </xf>
    <xf numFmtId="0" fontId="43" fillId="55" borderId="83" xfId="322" applyNumberFormat="1" applyFont="1" applyFill="1" applyBorder="1" applyAlignment="1">
      <alignment horizontal="center" vertical="center"/>
    </xf>
    <xf numFmtId="43" fontId="56" fillId="0" borderId="141" xfId="731" applyFont="1" applyFill="1" applyBorder="1" applyAlignment="1" applyProtection="1">
      <alignment horizontal="center" vertical="center"/>
    </xf>
    <xf numFmtId="43" fontId="56" fillId="0" borderId="19" xfId="731" applyFont="1" applyFill="1" applyBorder="1" applyAlignment="1" applyProtection="1">
      <alignment horizontal="center" vertical="center"/>
    </xf>
    <xf numFmtId="43" fontId="56" fillId="0" borderId="82" xfId="731" applyFont="1" applyFill="1" applyBorder="1" applyAlignment="1" applyProtection="1">
      <alignment horizontal="center" vertical="center"/>
    </xf>
    <xf numFmtId="0" fontId="43" fillId="55" borderId="90" xfId="322" applyNumberFormat="1" applyFont="1" applyFill="1" applyBorder="1" applyAlignment="1">
      <alignment horizontal="center" vertical="center"/>
    </xf>
    <xf numFmtId="0" fontId="43" fillId="55" borderId="91" xfId="322" applyNumberFormat="1" applyFont="1" applyFill="1" applyBorder="1" applyAlignment="1">
      <alignment horizontal="center" vertical="center"/>
    </xf>
    <xf numFmtId="0" fontId="43" fillId="55" borderId="172" xfId="322" applyNumberFormat="1" applyFont="1" applyFill="1" applyBorder="1" applyAlignment="1">
      <alignment horizontal="center" vertical="center"/>
    </xf>
    <xf numFmtId="43" fontId="56" fillId="0" borderId="139" xfId="731" applyFont="1" applyFill="1" applyBorder="1" applyAlignment="1" applyProtection="1">
      <alignment horizontal="center" vertical="center"/>
    </xf>
    <xf numFmtId="0" fontId="43" fillId="55" borderId="89" xfId="322" applyNumberFormat="1" applyFont="1" applyFill="1" applyBorder="1" applyAlignment="1">
      <alignment horizontal="center" vertical="center"/>
    </xf>
    <xf numFmtId="4" fontId="74" fillId="0" borderId="141" xfId="322" applyNumberFormat="1" applyFont="1" applyBorder="1" applyAlignment="1">
      <alignment horizontal="left" vertical="center" wrapText="1"/>
    </xf>
    <xf numFmtId="4" fontId="74" fillId="0" borderId="19" xfId="322" applyNumberFormat="1" applyFont="1" applyBorder="1" applyAlignment="1">
      <alignment horizontal="left" vertical="center" wrapText="1"/>
    </xf>
    <xf numFmtId="4" fontId="74" fillId="0" borderId="82" xfId="322" applyNumberFormat="1" applyFont="1" applyBorder="1" applyAlignment="1">
      <alignment horizontal="left" vertical="center" wrapText="1"/>
    </xf>
    <xf numFmtId="0" fontId="74" fillId="0" borderId="141" xfId="322" applyNumberFormat="1" applyFont="1" applyBorder="1" applyAlignment="1">
      <alignment horizontal="left" vertical="center" wrapText="1"/>
    </xf>
    <xf numFmtId="0" fontId="74" fillId="0" borderId="19" xfId="322" applyNumberFormat="1" applyFont="1" applyBorder="1" applyAlignment="1">
      <alignment horizontal="left" vertical="center" wrapText="1"/>
    </xf>
    <xf numFmtId="0" fontId="74" fillId="0" borderId="82" xfId="322" applyNumberFormat="1" applyFont="1" applyBorder="1" applyAlignment="1">
      <alignment horizontal="left" vertical="center" wrapText="1"/>
    </xf>
    <xf numFmtId="0" fontId="74" fillId="0" borderId="141" xfId="322" applyNumberFormat="1" applyFont="1" applyBorder="1" applyAlignment="1">
      <alignment horizontal="left" vertical="center"/>
    </xf>
    <xf numFmtId="0" fontId="74" fillId="0" borderId="19" xfId="322" applyNumberFormat="1" applyFont="1" applyBorder="1" applyAlignment="1">
      <alignment horizontal="left" vertical="center"/>
    </xf>
    <xf numFmtId="0" fontId="74" fillId="0" borderId="82" xfId="322" applyNumberFormat="1" applyFont="1" applyBorder="1" applyAlignment="1">
      <alignment horizontal="left" vertical="center"/>
    </xf>
    <xf numFmtId="4" fontId="74" fillId="0" borderId="141" xfId="322" applyNumberFormat="1" applyFont="1" applyBorder="1" applyAlignment="1">
      <alignment horizontal="left" vertical="center"/>
    </xf>
    <xf numFmtId="4" fontId="74" fillId="0" borderId="19" xfId="322" applyNumberFormat="1" applyFont="1" applyBorder="1" applyAlignment="1">
      <alignment horizontal="left" vertical="center"/>
    </xf>
    <xf numFmtId="4" fontId="74" fillId="0" borderId="82" xfId="322" applyNumberFormat="1" applyFont="1" applyBorder="1" applyAlignment="1">
      <alignment horizontal="left" vertical="center"/>
    </xf>
    <xf numFmtId="0" fontId="60" fillId="0" borderId="139" xfId="322" applyNumberFormat="1" applyFont="1" applyBorder="1" applyAlignment="1">
      <alignment horizontal="center" vertical="center" wrapText="1"/>
    </xf>
    <xf numFmtId="0" fontId="43" fillId="55" borderId="170" xfId="322" applyNumberFormat="1" applyFont="1" applyFill="1" applyBorder="1" applyAlignment="1">
      <alignment horizontal="center" vertical="center"/>
    </xf>
    <xf numFmtId="0" fontId="43" fillId="55" borderId="171" xfId="322" applyNumberFormat="1" applyFont="1" applyFill="1" applyBorder="1" applyAlignment="1">
      <alignment horizontal="center" vertical="center"/>
    </xf>
    <xf numFmtId="0" fontId="43" fillId="55" borderId="158" xfId="322" applyNumberFormat="1" applyFont="1" applyFill="1" applyBorder="1" applyAlignment="1">
      <alignment horizontal="center" vertical="center"/>
    </xf>
    <xf numFmtId="0" fontId="74" fillId="0" borderId="141" xfId="322" applyNumberFormat="1" applyFont="1" applyFill="1" applyBorder="1" applyAlignment="1">
      <alignment horizontal="left" vertical="center"/>
    </xf>
    <xf numFmtId="0" fontId="74" fillId="0" borderId="19" xfId="322" applyNumberFormat="1" applyFont="1" applyFill="1" applyBorder="1" applyAlignment="1">
      <alignment horizontal="left" vertical="center"/>
    </xf>
    <xf numFmtId="0" fontId="74" fillId="0" borderId="82" xfId="322" applyNumberFormat="1" applyFont="1" applyFill="1" applyBorder="1" applyAlignment="1">
      <alignment horizontal="left" vertical="center"/>
    </xf>
    <xf numFmtId="0" fontId="43" fillId="55" borderId="82" xfId="322" applyNumberFormat="1" applyFont="1" applyFill="1" applyBorder="1" applyAlignment="1">
      <alignment horizontal="center" vertical="center"/>
    </xf>
    <xf numFmtId="0" fontId="74" fillId="0" borderId="90" xfId="322" applyNumberFormat="1" applyFont="1" applyBorder="1" applyAlignment="1">
      <alignment horizontal="left" vertical="center" wrapText="1"/>
    </xf>
    <xf numFmtId="10" fontId="74" fillId="0" borderId="81" xfId="580" applyNumberFormat="1" applyFont="1" applyFill="1" applyBorder="1" applyAlignment="1" applyProtection="1">
      <alignment horizontal="right" vertical="center"/>
    </xf>
    <xf numFmtId="10" fontId="74" fillId="0" borderId="83" xfId="580" applyNumberFormat="1" applyFont="1" applyFill="1" applyBorder="1" applyAlignment="1" applyProtection="1">
      <alignment horizontal="right" vertical="center"/>
    </xf>
    <xf numFmtId="4" fontId="74" fillId="0" borderId="140" xfId="322" applyNumberFormat="1" applyFont="1" applyBorder="1" applyAlignment="1">
      <alignment horizontal="left" vertical="center"/>
    </xf>
    <xf numFmtId="4" fontId="74" fillId="0" borderId="90" xfId="322" applyNumberFormat="1" applyFont="1" applyBorder="1" applyAlignment="1">
      <alignment horizontal="left" vertical="center"/>
    </xf>
    <xf numFmtId="10" fontId="74" fillId="0" borderId="152" xfId="580" applyNumberFormat="1" applyFont="1" applyFill="1" applyBorder="1" applyAlignment="1" applyProtection="1">
      <alignment horizontal="right" vertical="center"/>
    </xf>
    <xf numFmtId="4" fontId="74" fillId="0" borderId="140" xfId="322" applyNumberFormat="1" applyFont="1" applyBorder="1" applyAlignment="1">
      <alignment horizontal="left" vertical="center" wrapText="1"/>
    </xf>
    <xf numFmtId="4" fontId="74" fillId="0" borderId="90" xfId="322" applyNumberFormat="1" applyFont="1" applyBorder="1" applyAlignment="1">
      <alignment horizontal="left" vertical="center" wrapText="1"/>
    </xf>
    <xf numFmtId="0" fontId="74" fillId="0" borderId="140" xfId="322" applyNumberFormat="1" applyFont="1" applyBorder="1" applyAlignment="1">
      <alignment horizontal="left" vertical="center" wrapText="1"/>
    </xf>
    <xf numFmtId="43" fontId="96" fillId="0" borderId="139" xfId="731" applyFont="1" applyBorder="1" applyAlignment="1">
      <alignment horizontal="center" vertical="center"/>
    </xf>
    <xf numFmtId="0" fontId="60" fillId="0" borderId="82" xfId="322" applyNumberFormat="1" applyFont="1" applyBorder="1" applyAlignment="1">
      <alignment horizontal="center" vertical="center" wrapText="1"/>
    </xf>
    <xf numFmtId="10" fontId="74" fillId="0" borderId="160" xfId="580" applyNumberFormat="1" applyFont="1" applyFill="1" applyBorder="1" applyAlignment="1" applyProtection="1">
      <alignment horizontal="right" vertical="center"/>
    </xf>
    <xf numFmtId="10" fontId="74" fillId="0" borderId="92" xfId="580" applyNumberFormat="1" applyFont="1" applyFill="1" applyBorder="1" applyAlignment="1" applyProtection="1">
      <alignment horizontal="right" vertical="center"/>
    </xf>
    <xf numFmtId="10" fontId="74" fillId="0" borderId="93" xfId="580" applyNumberFormat="1" applyFont="1" applyFill="1" applyBorder="1" applyAlignment="1" applyProtection="1">
      <alignment horizontal="right" vertical="center"/>
    </xf>
    <xf numFmtId="10" fontId="95" fillId="56" borderId="150" xfId="580" applyNumberFormat="1" applyFont="1" applyFill="1" applyBorder="1" applyAlignment="1" applyProtection="1">
      <alignment horizontal="center" vertical="center" wrapText="1"/>
    </xf>
    <xf numFmtId="10" fontId="95" fillId="56" borderId="162" xfId="580" applyNumberFormat="1" applyFont="1" applyFill="1" applyBorder="1" applyAlignment="1" applyProtection="1">
      <alignment horizontal="center" vertical="center" wrapText="1"/>
    </xf>
    <xf numFmtId="10" fontId="95" fillId="56" borderId="167" xfId="580" applyNumberFormat="1" applyFont="1" applyFill="1" applyBorder="1" applyAlignment="1" applyProtection="1">
      <alignment horizontal="center" vertical="center" wrapText="1"/>
    </xf>
    <xf numFmtId="0" fontId="79" fillId="54" borderId="0" xfId="284" applyFont="1" applyFill="1" applyBorder="1" applyAlignment="1">
      <alignment horizontal="justify" vertical="center"/>
    </xf>
    <xf numFmtId="0" fontId="84" fillId="0" borderId="0" xfId="284" applyFont="1" applyBorder="1" applyAlignment="1">
      <alignment horizontal="left" vertical="center"/>
    </xf>
    <xf numFmtId="0" fontId="79" fillId="0" borderId="0" xfId="284" applyFont="1" applyBorder="1" applyAlignment="1">
      <alignment horizontal="justify" vertical="center"/>
    </xf>
    <xf numFmtId="0" fontId="104" fillId="63" borderId="139" xfId="0" applyFont="1" applyFill="1" applyBorder="1" applyAlignment="1">
      <alignment horizontal="left" vertical="center" wrapText="1" indent="1"/>
    </xf>
    <xf numFmtId="10" fontId="104" fillId="56" borderId="1" xfId="730" applyNumberFormat="1" applyFont="1" applyFill="1" applyBorder="1" applyAlignment="1">
      <alignment horizontal="center" vertical="center"/>
    </xf>
    <xf numFmtId="10" fontId="104" fillId="56" borderId="19" xfId="730" applyNumberFormat="1" applyFont="1" applyFill="1" applyBorder="1" applyAlignment="1">
      <alignment horizontal="center" vertical="center"/>
    </xf>
    <xf numFmtId="10" fontId="104" fillId="56" borderId="82" xfId="730" applyNumberFormat="1" applyFont="1" applyFill="1" applyBorder="1" applyAlignment="1">
      <alignment horizontal="center" vertical="center"/>
    </xf>
    <xf numFmtId="0" fontId="108" fillId="0" borderId="0" xfId="0" applyFont="1" applyAlignment="1">
      <alignment horizontal="left" vertical="center" wrapText="1" indent="1"/>
    </xf>
    <xf numFmtId="0" fontId="79" fillId="0" borderId="0" xfId="284" applyFont="1" applyFill="1" applyBorder="1" applyAlignment="1">
      <alignment horizontal="left" vertical="center" wrapText="1"/>
    </xf>
    <xf numFmtId="0" fontId="79" fillId="0" borderId="0" xfId="284" applyFont="1" applyFill="1" applyBorder="1" applyAlignment="1">
      <alignment horizontal="left" vertical="center"/>
    </xf>
    <xf numFmtId="0" fontId="79" fillId="0" borderId="0" xfId="284" applyFont="1" applyFill="1" applyBorder="1" applyAlignment="1">
      <alignment horizontal="justify" vertical="center" wrapText="1"/>
    </xf>
    <xf numFmtId="0" fontId="87" fillId="0" borderId="0" xfId="284" applyFont="1" applyBorder="1" applyAlignment="1">
      <alignment horizontal="justify" vertical="center"/>
    </xf>
    <xf numFmtId="0" fontId="46" fillId="46" borderId="35" xfId="284" applyFont="1" applyFill="1" applyBorder="1" applyAlignment="1">
      <alignment horizontal="center" vertical="center"/>
    </xf>
    <xf numFmtId="0" fontId="76" fillId="0" borderId="0" xfId="284" applyFont="1" applyBorder="1" applyAlignment="1">
      <alignment horizontal="center" vertical="center"/>
    </xf>
    <xf numFmtId="0" fontId="77" fillId="0" borderId="23" xfId="284" applyFont="1" applyFill="1" applyBorder="1" applyAlignment="1">
      <alignment horizontal="center" vertical="center"/>
    </xf>
    <xf numFmtId="0" fontId="78" fillId="0" borderId="23" xfId="284" applyFont="1" applyBorder="1" applyAlignment="1">
      <alignment horizontal="left" vertical="center"/>
    </xf>
    <xf numFmtId="10" fontId="106" fillId="62" borderId="170" xfId="730" applyNumberFormat="1" applyFont="1" applyFill="1" applyBorder="1" applyAlignment="1" applyProtection="1">
      <alignment vertical="center"/>
    </xf>
    <xf numFmtId="10" fontId="106" fillId="62" borderId="157" xfId="730" applyNumberFormat="1" applyFont="1" applyFill="1" applyBorder="1" applyAlignment="1" applyProtection="1">
      <alignment vertical="center"/>
    </xf>
    <xf numFmtId="10" fontId="106" fillId="61" borderId="170" xfId="0" applyNumberFormat="1" applyFont="1" applyFill="1" applyBorder="1" applyAlignment="1">
      <alignment vertical="center"/>
    </xf>
    <xf numFmtId="10" fontId="106" fillId="61" borderId="157" xfId="0" applyNumberFormat="1" applyFont="1" applyFill="1" applyBorder="1" applyAlignment="1">
      <alignment vertical="center"/>
    </xf>
    <xf numFmtId="0" fontId="104" fillId="0" borderId="170" xfId="0" applyFont="1" applyBorder="1" applyAlignment="1">
      <alignment horizontal="left" vertical="center" indent="2"/>
    </xf>
    <xf numFmtId="0" fontId="104" fillId="0" borderId="171" xfId="0" applyFont="1" applyBorder="1" applyAlignment="1">
      <alignment horizontal="left" vertical="center" indent="2"/>
    </xf>
    <xf numFmtId="0" fontId="104" fillId="0" borderId="157" xfId="0" applyFont="1" applyBorder="1" applyAlignment="1">
      <alignment horizontal="left" vertical="center" indent="2"/>
    </xf>
    <xf numFmtId="0" fontId="104" fillId="0" borderId="170" xfId="0" applyFont="1" applyBorder="1" applyAlignment="1">
      <alignment horizontal="left" vertical="center" wrapText="1" indent="2"/>
    </xf>
    <xf numFmtId="0" fontId="104" fillId="0" borderId="171" xfId="0" applyFont="1" applyBorder="1" applyAlignment="1">
      <alignment horizontal="left" vertical="center" wrapText="1" indent="2"/>
    </xf>
    <xf numFmtId="0" fontId="104" fillId="0" borderId="157" xfId="0" applyFont="1" applyBorder="1" applyAlignment="1">
      <alignment horizontal="left" vertical="center" wrapText="1" indent="2"/>
    </xf>
    <xf numFmtId="0" fontId="104" fillId="0" borderId="170" xfId="0" applyNumberFormat="1" applyFont="1" applyBorder="1" applyAlignment="1">
      <alignment horizontal="left" vertical="center" wrapText="1" indent="2"/>
    </xf>
    <xf numFmtId="0" fontId="104" fillId="0" borderId="171" xfId="0" applyNumberFormat="1" applyFont="1" applyBorder="1" applyAlignment="1">
      <alignment horizontal="left" vertical="center" wrapText="1" indent="2"/>
    </xf>
    <xf numFmtId="0" fontId="104" fillId="0" borderId="157" xfId="0" applyNumberFormat="1" applyFont="1" applyBorder="1" applyAlignment="1">
      <alignment horizontal="left" vertical="center" wrapText="1" indent="2"/>
    </xf>
    <xf numFmtId="44" fontId="104" fillId="0" borderId="170" xfId="2292" applyFont="1" applyBorder="1" applyAlignment="1">
      <alignment vertical="center"/>
    </xf>
    <xf numFmtId="44" fontId="104" fillId="0" borderId="157" xfId="2292" applyFont="1" applyBorder="1" applyAlignment="1">
      <alignment vertical="center"/>
    </xf>
    <xf numFmtId="10" fontId="105" fillId="0" borderId="170" xfId="730" applyNumberFormat="1" applyFont="1" applyBorder="1" applyAlignment="1" applyProtection="1">
      <alignment vertical="center"/>
    </xf>
    <xf numFmtId="10" fontId="105" fillId="0" borderId="157" xfId="730" applyNumberFormat="1" applyFont="1" applyBorder="1" applyAlignment="1" applyProtection="1">
      <alignment vertical="center"/>
    </xf>
    <xf numFmtId="10" fontId="65" fillId="0" borderId="94" xfId="732" applyNumberFormat="1" applyFont="1" applyBorder="1" applyAlignment="1">
      <alignment horizontal="center" vertical="center"/>
    </xf>
    <xf numFmtId="0" fontId="19" fillId="0" borderId="0" xfId="732" applyFont="1" applyFill="1" applyBorder="1" applyAlignment="1">
      <alignment horizontal="center" vertical="center"/>
    </xf>
    <xf numFmtId="4" fontId="98" fillId="0" borderId="0" xfId="732" applyNumberFormat="1" applyFont="1" applyBorder="1" applyAlignment="1">
      <alignment horizontal="center" vertical="center" wrapText="1"/>
    </xf>
    <xf numFmtId="4" fontId="99" fillId="57" borderId="94" xfId="732" applyNumberFormat="1" applyFont="1" applyFill="1" applyBorder="1" applyAlignment="1">
      <alignment horizontal="center" vertical="center"/>
    </xf>
    <xf numFmtId="4" fontId="99" fillId="58" borderId="94" xfId="732" applyNumberFormat="1" applyFont="1" applyFill="1" applyBorder="1" applyAlignment="1">
      <alignment horizontal="center" vertical="center"/>
    </xf>
    <xf numFmtId="0" fontId="99" fillId="57" borderId="94" xfId="732" applyFont="1" applyFill="1" applyBorder="1" applyAlignment="1">
      <alignment horizontal="center" vertical="center"/>
    </xf>
  </cellXfs>
  <cellStyles count="2293">
    <cellStyle name="20% - Accent1" xfId="36" xr:uid="{00000000-0005-0000-0000-000000000000}"/>
    <cellStyle name="20% - Accent2" xfId="37" xr:uid="{00000000-0005-0000-0000-000001000000}"/>
    <cellStyle name="20% - Accent3" xfId="38" xr:uid="{00000000-0005-0000-0000-000002000000}"/>
    <cellStyle name="20% - Accent4" xfId="39" xr:uid="{00000000-0005-0000-0000-000003000000}"/>
    <cellStyle name="20% - Accent5" xfId="40" xr:uid="{00000000-0005-0000-0000-000004000000}"/>
    <cellStyle name="20% - Accent6" xfId="41" xr:uid="{00000000-0005-0000-0000-000005000000}"/>
    <cellStyle name="20% - Ênfase1 2" xfId="1" xr:uid="{00000000-0005-0000-0000-000006000000}"/>
    <cellStyle name="20% - Ênfase1 2 2" xfId="117" xr:uid="{00000000-0005-0000-0000-000007000000}"/>
    <cellStyle name="20% - Ênfase1 2 2 2" xfId="494" xr:uid="{00000000-0005-0000-0000-000008000000}"/>
    <cellStyle name="20% - Ênfase1 2 2 2 2" xfId="1004" xr:uid="{00000000-0005-0000-0000-000009000000}"/>
    <cellStyle name="20% - Ênfase1 2 2 3" xfId="373" xr:uid="{00000000-0005-0000-0000-00000A000000}"/>
    <cellStyle name="20% - Ênfase1 2 2 3 2" xfId="884" xr:uid="{00000000-0005-0000-0000-00000B000000}"/>
    <cellStyle name="20% - Ênfase1 2 2 4" xfId="771" xr:uid="{00000000-0005-0000-0000-00000C000000}"/>
    <cellStyle name="20% - Ênfase1 2 3" xfId="116" xr:uid="{00000000-0005-0000-0000-00000D000000}"/>
    <cellStyle name="20% - Ênfase1 2 3 2" xfId="493" xr:uid="{00000000-0005-0000-0000-00000E000000}"/>
    <cellStyle name="20% - Ênfase1 2 3 2 2" xfId="1003" xr:uid="{00000000-0005-0000-0000-00000F000000}"/>
    <cellStyle name="20% - Ênfase1 2 3 3" xfId="372" xr:uid="{00000000-0005-0000-0000-000010000000}"/>
    <cellStyle name="20% - Ênfase1 2 3 3 2" xfId="883" xr:uid="{00000000-0005-0000-0000-000011000000}"/>
    <cellStyle name="20% - Ênfase1 2 3 4" xfId="770" xr:uid="{00000000-0005-0000-0000-000012000000}"/>
    <cellStyle name="20% - Ênfase1 2 4" xfId="458" xr:uid="{00000000-0005-0000-0000-000013000000}"/>
    <cellStyle name="20% - Ênfase1 2 4 2" xfId="968" xr:uid="{00000000-0005-0000-0000-000014000000}"/>
    <cellStyle name="20% - Ênfase1 2 5" xfId="325" xr:uid="{00000000-0005-0000-0000-000015000000}"/>
    <cellStyle name="20% - Ênfase1 2 5 2" xfId="836" xr:uid="{00000000-0005-0000-0000-000016000000}"/>
    <cellStyle name="20% - Ênfase1 2 6" xfId="733" xr:uid="{00000000-0005-0000-0000-000017000000}"/>
    <cellStyle name="20% - Ênfase1 3" xfId="2" xr:uid="{00000000-0005-0000-0000-000018000000}"/>
    <cellStyle name="20% - Ênfase1 3 2" xfId="119" xr:uid="{00000000-0005-0000-0000-000019000000}"/>
    <cellStyle name="20% - Ênfase1 3 2 2" xfId="496" xr:uid="{00000000-0005-0000-0000-00001A000000}"/>
    <cellStyle name="20% - Ênfase1 3 2 2 2" xfId="1006" xr:uid="{00000000-0005-0000-0000-00001B000000}"/>
    <cellStyle name="20% - Ênfase1 3 2 3" xfId="375" xr:uid="{00000000-0005-0000-0000-00001C000000}"/>
    <cellStyle name="20% - Ênfase1 3 2 3 2" xfId="886" xr:uid="{00000000-0005-0000-0000-00001D000000}"/>
    <cellStyle name="20% - Ênfase1 3 2 4" xfId="773" xr:uid="{00000000-0005-0000-0000-00001E000000}"/>
    <cellStyle name="20% - Ênfase1 3 3" xfId="118" xr:uid="{00000000-0005-0000-0000-00001F000000}"/>
    <cellStyle name="20% - Ênfase1 3 3 2" xfId="495" xr:uid="{00000000-0005-0000-0000-000020000000}"/>
    <cellStyle name="20% - Ênfase1 3 3 2 2" xfId="1005" xr:uid="{00000000-0005-0000-0000-000021000000}"/>
    <cellStyle name="20% - Ênfase1 3 3 3" xfId="374" xr:uid="{00000000-0005-0000-0000-000022000000}"/>
    <cellStyle name="20% - Ênfase1 3 3 3 2" xfId="885" xr:uid="{00000000-0005-0000-0000-000023000000}"/>
    <cellStyle name="20% - Ênfase1 3 3 4" xfId="772" xr:uid="{00000000-0005-0000-0000-000024000000}"/>
    <cellStyle name="20% - Ênfase1 3 4" xfId="459" xr:uid="{00000000-0005-0000-0000-000025000000}"/>
    <cellStyle name="20% - Ênfase1 3 4 2" xfId="969" xr:uid="{00000000-0005-0000-0000-000026000000}"/>
    <cellStyle name="20% - Ênfase1 3 5" xfId="326" xr:uid="{00000000-0005-0000-0000-000027000000}"/>
    <cellStyle name="20% - Ênfase1 3 5 2" xfId="837" xr:uid="{00000000-0005-0000-0000-000028000000}"/>
    <cellStyle name="20% - Ênfase1 3 6" xfId="734" xr:uid="{00000000-0005-0000-0000-000029000000}"/>
    <cellStyle name="20% - Ênfase1 4" xfId="42" xr:uid="{00000000-0005-0000-0000-00002A000000}"/>
    <cellStyle name="20% - Ênfase1 4 2" xfId="120" xr:uid="{00000000-0005-0000-0000-00002B000000}"/>
    <cellStyle name="20% - Ênfase1 4 2 2" xfId="497" xr:uid="{00000000-0005-0000-0000-00002C000000}"/>
    <cellStyle name="20% - Ênfase1 4 2 2 2" xfId="1007" xr:uid="{00000000-0005-0000-0000-00002D000000}"/>
    <cellStyle name="20% - Ênfase1 4 2 3" xfId="376" xr:uid="{00000000-0005-0000-0000-00002E000000}"/>
    <cellStyle name="20% - Ênfase1 4 2 3 2" xfId="887" xr:uid="{00000000-0005-0000-0000-00002F000000}"/>
    <cellStyle name="20% - Ênfase1 4 2 4" xfId="774" xr:uid="{00000000-0005-0000-0000-000030000000}"/>
    <cellStyle name="20% - Ênfase2 2" xfId="3" xr:uid="{00000000-0005-0000-0000-000031000000}"/>
    <cellStyle name="20% - Ênfase2 2 2" xfId="122" xr:uid="{00000000-0005-0000-0000-000032000000}"/>
    <cellStyle name="20% - Ênfase2 2 2 2" xfId="499" xr:uid="{00000000-0005-0000-0000-000033000000}"/>
    <cellStyle name="20% - Ênfase2 2 2 2 2" xfId="1009" xr:uid="{00000000-0005-0000-0000-000034000000}"/>
    <cellStyle name="20% - Ênfase2 2 2 3" xfId="378" xr:uid="{00000000-0005-0000-0000-000035000000}"/>
    <cellStyle name="20% - Ênfase2 2 2 3 2" xfId="889" xr:uid="{00000000-0005-0000-0000-000036000000}"/>
    <cellStyle name="20% - Ênfase2 2 2 4" xfId="776" xr:uid="{00000000-0005-0000-0000-000037000000}"/>
    <cellStyle name="20% - Ênfase2 2 3" xfId="121" xr:uid="{00000000-0005-0000-0000-000038000000}"/>
    <cellStyle name="20% - Ênfase2 2 3 2" xfId="498" xr:uid="{00000000-0005-0000-0000-000039000000}"/>
    <cellStyle name="20% - Ênfase2 2 3 2 2" xfId="1008" xr:uid="{00000000-0005-0000-0000-00003A000000}"/>
    <cellStyle name="20% - Ênfase2 2 3 3" xfId="377" xr:uid="{00000000-0005-0000-0000-00003B000000}"/>
    <cellStyle name="20% - Ênfase2 2 3 3 2" xfId="888" xr:uid="{00000000-0005-0000-0000-00003C000000}"/>
    <cellStyle name="20% - Ênfase2 2 3 4" xfId="775" xr:uid="{00000000-0005-0000-0000-00003D000000}"/>
    <cellStyle name="20% - Ênfase2 2 4" xfId="460" xr:uid="{00000000-0005-0000-0000-00003E000000}"/>
    <cellStyle name="20% - Ênfase2 2 4 2" xfId="970" xr:uid="{00000000-0005-0000-0000-00003F000000}"/>
    <cellStyle name="20% - Ênfase2 2 5" xfId="327" xr:uid="{00000000-0005-0000-0000-000040000000}"/>
    <cellStyle name="20% - Ênfase2 2 5 2" xfId="838" xr:uid="{00000000-0005-0000-0000-000041000000}"/>
    <cellStyle name="20% - Ênfase2 2 6" xfId="735" xr:uid="{00000000-0005-0000-0000-000042000000}"/>
    <cellStyle name="20% - Ênfase2 3" xfId="4" xr:uid="{00000000-0005-0000-0000-000043000000}"/>
    <cellStyle name="20% - Ênfase2 3 2" xfId="124" xr:uid="{00000000-0005-0000-0000-000044000000}"/>
    <cellStyle name="20% - Ênfase2 3 2 2" xfId="501" xr:uid="{00000000-0005-0000-0000-000045000000}"/>
    <cellStyle name="20% - Ênfase2 3 2 2 2" xfId="1011" xr:uid="{00000000-0005-0000-0000-000046000000}"/>
    <cellStyle name="20% - Ênfase2 3 2 3" xfId="380" xr:uid="{00000000-0005-0000-0000-000047000000}"/>
    <cellStyle name="20% - Ênfase2 3 2 3 2" xfId="891" xr:uid="{00000000-0005-0000-0000-000048000000}"/>
    <cellStyle name="20% - Ênfase2 3 2 4" xfId="778" xr:uid="{00000000-0005-0000-0000-000049000000}"/>
    <cellStyle name="20% - Ênfase2 3 3" xfId="123" xr:uid="{00000000-0005-0000-0000-00004A000000}"/>
    <cellStyle name="20% - Ênfase2 3 3 2" xfId="500" xr:uid="{00000000-0005-0000-0000-00004B000000}"/>
    <cellStyle name="20% - Ênfase2 3 3 2 2" xfId="1010" xr:uid="{00000000-0005-0000-0000-00004C000000}"/>
    <cellStyle name="20% - Ênfase2 3 3 3" xfId="379" xr:uid="{00000000-0005-0000-0000-00004D000000}"/>
    <cellStyle name="20% - Ênfase2 3 3 3 2" xfId="890" xr:uid="{00000000-0005-0000-0000-00004E000000}"/>
    <cellStyle name="20% - Ênfase2 3 3 4" xfId="777" xr:uid="{00000000-0005-0000-0000-00004F000000}"/>
    <cellStyle name="20% - Ênfase2 3 4" xfId="461" xr:uid="{00000000-0005-0000-0000-000050000000}"/>
    <cellStyle name="20% - Ênfase2 3 4 2" xfId="971" xr:uid="{00000000-0005-0000-0000-000051000000}"/>
    <cellStyle name="20% - Ênfase2 3 5" xfId="328" xr:uid="{00000000-0005-0000-0000-000052000000}"/>
    <cellStyle name="20% - Ênfase2 3 5 2" xfId="839" xr:uid="{00000000-0005-0000-0000-000053000000}"/>
    <cellStyle name="20% - Ênfase2 3 6" xfId="736" xr:uid="{00000000-0005-0000-0000-000054000000}"/>
    <cellStyle name="20% - Ênfase2 4" xfId="43" xr:uid="{00000000-0005-0000-0000-000055000000}"/>
    <cellStyle name="20% - Ênfase2 4 2" xfId="125" xr:uid="{00000000-0005-0000-0000-000056000000}"/>
    <cellStyle name="20% - Ênfase2 4 2 2" xfId="502" xr:uid="{00000000-0005-0000-0000-000057000000}"/>
    <cellStyle name="20% - Ênfase2 4 2 2 2" xfId="1012" xr:uid="{00000000-0005-0000-0000-000058000000}"/>
    <cellStyle name="20% - Ênfase2 4 2 3" xfId="381" xr:uid="{00000000-0005-0000-0000-000059000000}"/>
    <cellStyle name="20% - Ênfase2 4 2 3 2" xfId="892" xr:uid="{00000000-0005-0000-0000-00005A000000}"/>
    <cellStyle name="20% - Ênfase2 4 2 4" xfId="779" xr:uid="{00000000-0005-0000-0000-00005B000000}"/>
    <cellStyle name="20% - Ênfase3 2" xfId="5" xr:uid="{00000000-0005-0000-0000-00005C000000}"/>
    <cellStyle name="20% - Ênfase3 2 2" xfId="127" xr:uid="{00000000-0005-0000-0000-00005D000000}"/>
    <cellStyle name="20% - Ênfase3 2 2 2" xfId="504" xr:uid="{00000000-0005-0000-0000-00005E000000}"/>
    <cellStyle name="20% - Ênfase3 2 2 2 2" xfId="1014" xr:uid="{00000000-0005-0000-0000-00005F000000}"/>
    <cellStyle name="20% - Ênfase3 2 2 3" xfId="383" xr:uid="{00000000-0005-0000-0000-000060000000}"/>
    <cellStyle name="20% - Ênfase3 2 2 3 2" xfId="894" xr:uid="{00000000-0005-0000-0000-000061000000}"/>
    <cellStyle name="20% - Ênfase3 2 2 4" xfId="781" xr:uid="{00000000-0005-0000-0000-000062000000}"/>
    <cellStyle name="20% - Ênfase3 2 3" xfId="126" xr:uid="{00000000-0005-0000-0000-000063000000}"/>
    <cellStyle name="20% - Ênfase3 2 3 2" xfId="503" xr:uid="{00000000-0005-0000-0000-000064000000}"/>
    <cellStyle name="20% - Ênfase3 2 3 2 2" xfId="1013" xr:uid="{00000000-0005-0000-0000-000065000000}"/>
    <cellStyle name="20% - Ênfase3 2 3 3" xfId="382" xr:uid="{00000000-0005-0000-0000-000066000000}"/>
    <cellStyle name="20% - Ênfase3 2 3 3 2" xfId="893" xr:uid="{00000000-0005-0000-0000-000067000000}"/>
    <cellStyle name="20% - Ênfase3 2 3 4" xfId="780" xr:uid="{00000000-0005-0000-0000-000068000000}"/>
    <cellStyle name="20% - Ênfase3 2 4" xfId="462" xr:uid="{00000000-0005-0000-0000-000069000000}"/>
    <cellStyle name="20% - Ênfase3 2 4 2" xfId="972" xr:uid="{00000000-0005-0000-0000-00006A000000}"/>
    <cellStyle name="20% - Ênfase3 2 5" xfId="329" xr:uid="{00000000-0005-0000-0000-00006B000000}"/>
    <cellStyle name="20% - Ênfase3 2 5 2" xfId="840" xr:uid="{00000000-0005-0000-0000-00006C000000}"/>
    <cellStyle name="20% - Ênfase3 2 6" xfId="737" xr:uid="{00000000-0005-0000-0000-00006D000000}"/>
    <cellStyle name="20% - Ênfase3 3" xfId="6" xr:uid="{00000000-0005-0000-0000-00006E000000}"/>
    <cellStyle name="20% - Ênfase3 3 2" xfId="129" xr:uid="{00000000-0005-0000-0000-00006F000000}"/>
    <cellStyle name="20% - Ênfase3 3 2 2" xfId="506" xr:uid="{00000000-0005-0000-0000-000070000000}"/>
    <cellStyle name="20% - Ênfase3 3 2 2 2" xfId="1016" xr:uid="{00000000-0005-0000-0000-000071000000}"/>
    <cellStyle name="20% - Ênfase3 3 2 3" xfId="385" xr:uid="{00000000-0005-0000-0000-000072000000}"/>
    <cellStyle name="20% - Ênfase3 3 2 3 2" xfId="896" xr:uid="{00000000-0005-0000-0000-000073000000}"/>
    <cellStyle name="20% - Ênfase3 3 2 4" xfId="783" xr:uid="{00000000-0005-0000-0000-000074000000}"/>
    <cellStyle name="20% - Ênfase3 3 3" xfId="128" xr:uid="{00000000-0005-0000-0000-000075000000}"/>
    <cellStyle name="20% - Ênfase3 3 3 2" xfId="505" xr:uid="{00000000-0005-0000-0000-000076000000}"/>
    <cellStyle name="20% - Ênfase3 3 3 2 2" xfId="1015" xr:uid="{00000000-0005-0000-0000-000077000000}"/>
    <cellStyle name="20% - Ênfase3 3 3 3" xfId="384" xr:uid="{00000000-0005-0000-0000-000078000000}"/>
    <cellStyle name="20% - Ênfase3 3 3 3 2" xfId="895" xr:uid="{00000000-0005-0000-0000-000079000000}"/>
    <cellStyle name="20% - Ênfase3 3 3 4" xfId="782" xr:uid="{00000000-0005-0000-0000-00007A000000}"/>
    <cellStyle name="20% - Ênfase3 3 4" xfId="463" xr:uid="{00000000-0005-0000-0000-00007B000000}"/>
    <cellStyle name="20% - Ênfase3 3 4 2" xfId="973" xr:uid="{00000000-0005-0000-0000-00007C000000}"/>
    <cellStyle name="20% - Ênfase3 3 5" xfId="330" xr:uid="{00000000-0005-0000-0000-00007D000000}"/>
    <cellStyle name="20% - Ênfase3 3 5 2" xfId="841" xr:uid="{00000000-0005-0000-0000-00007E000000}"/>
    <cellStyle name="20% - Ênfase3 3 6" xfId="738" xr:uid="{00000000-0005-0000-0000-00007F000000}"/>
    <cellStyle name="20% - Ênfase3 4" xfId="44" xr:uid="{00000000-0005-0000-0000-000080000000}"/>
    <cellStyle name="20% - Ênfase3 4 2" xfId="130" xr:uid="{00000000-0005-0000-0000-000081000000}"/>
    <cellStyle name="20% - Ênfase3 4 2 2" xfId="507" xr:uid="{00000000-0005-0000-0000-000082000000}"/>
    <cellStyle name="20% - Ênfase3 4 2 2 2" xfId="1017" xr:uid="{00000000-0005-0000-0000-000083000000}"/>
    <cellStyle name="20% - Ênfase3 4 2 3" xfId="386" xr:uid="{00000000-0005-0000-0000-000084000000}"/>
    <cellStyle name="20% - Ênfase3 4 2 3 2" xfId="897" xr:uid="{00000000-0005-0000-0000-000085000000}"/>
    <cellStyle name="20% - Ênfase3 4 2 4" xfId="784" xr:uid="{00000000-0005-0000-0000-000086000000}"/>
    <cellStyle name="20% - Ênfase4 2" xfId="7" xr:uid="{00000000-0005-0000-0000-000087000000}"/>
    <cellStyle name="20% - Ênfase4 2 2" xfId="132" xr:uid="{00000000-0005-0000-0000-000088000000}"/>
    <cellStyle name="20% - Ênfase4 2 2 2" xfId="509" xr:uid="{00000000-0005-0000-0000-000089000000}"/>
    <cellStyle name="20% - Ênfase4 2 2 2 2" xfId="1019" xr:uid="{00000000-0005-0000-0000-00008A000000}"/>
    <cellStyle name="20% - Ênfase4 2 2 3" xfId="388" xr:uid="{00000000-0005-0000-0000-00008B000000}"/>
    <cellStyle name="20% - Ênfase4 2 2 3 2" xfId="899" xr:uid="{00000000-0005-0000-0000-00008C000000}"/>
    <cellStyle name="20% - Ênfase4 2 2 4" xfId="786" xr:uid="{00000000-0005-0000-0000-00008D000000}"/>
    <cellStyle name="20% - Ênfase4 2 3" xfId="131" xr:uid="{00000000-0005-0000-0000-00008E000000}"/>
    <cellStyle name="20% - Ênfase4 2 3 2" xfId="508" xr:uid="{00000000-0005-0000-0000-00008F000000}"/>
    <cellStyle name="20% - Ênfase4 2 3 2 2" xfId="1018" xr:uid="{00000000-0005-0000-0000-000090000000}"/>
    <cellStyle name="20% - Ênfase4 2 3 3" xfId="387" xr:uid="{00000000-0005-0000-0000-000091000000}"/>
    <cellStyle name="20% - Ênfase4 2 3 3 2" xfId="898" xr:uid="{00000000-0005-0000-0000-000092000000}"/>
    <cellStyle name="20% - Ênfase4 2 3 4" xfId="785" xr:uid="{00000000-0005-0000-0000-000093000000}"/>
    <cellStyle name="20% - Ênfase4 2 4" xfId="464" xr:uid="{00000000-0005-0000-0000-000094000000}"/>
    <cellStyle name="20% - Ênfase4 2 4 2" xfId="974" xr:uid="{00000000-0005-0000-0000-000095000000}"/>
    <cellStyle name="20% - Ênfase4 2 5" xfId="331" xr:uid="{00000000-0005-0000-0000-000096000000}"/>
    <cellStyle name="20% - Ênfase4 2 5 2" xfId="842" xr:uid="{00000000-0005-0000-0000-000097000000}"/>
    <cellStyle name="20% - Ênfase4 2 6" xfId="739" xr:uid="{00000000-0005-0000-0000-000098000000}"/>
    <cellStyle name="20% - Ênfase4 3" xfId="8" xr:uid="{00000000-0005-0000-0000-000099000000}"/>
    <cellStyle name="20% - Ênfase4 3 2" xfId="134" xr:uid="{00000000-0005-0000-0000-00009A000000}"/>
    <cellStyle name="20% - Ênfase4 3 2 2" xfId="511" xr:uid="{00000000-0005-0000-0000-00009B000000}"/>
    <cellStyle name="20% - Ênfase4 3 2 2 2" xfId="1021" xr:uid="{00000000-0005-0000-0000-00009C000000}"/>
    <cellStyle name="20% - Ênfase4 3 2 3" xfId="390" xr:uid="{00000000-0005-0000-0000-00009D000000}"/>
    <cellStyle name="20% - Ênfase4 3 2 3 2" xfId="901" xr:uid="{00000000-0005-0000-0000-00009E000000}"/>
    <cellStyle name="20% - Ênfase4 3 2 4" xfId="788" xr:uid="{00000000-0005-0000-0000-00009F000000}"/>
    <cellStyle name="20% - Ênfase4 3 3" xfId="133" xr:uid="{00000000-0005-0000-0000-0000A0000000}"/>
    <cellStyle name="20% - Ênfase4 3 3 2" xfId="510" xr:uid="{00000000-0005-0000-0000-0000A1000000}"/>
    <cellStyle name="20% - Ênfase4 3 3 2 2" xfId="1020" xr:uid="{00000000-0005-0000-0000-0000A2000000}"/>
    <cellStyle name="20% - Ênfase4 3 3 3" xfId="389" xr:uid="{00000000-0005-0000-0000-0000A3000000}"/>
    <cellStyle name="20% - Ênfase4 3 3 3 2" xfId="900" xr:uid="{00000000-0005-0000-0000-0000A4000000}"/>
    <cellStyle name="20% - Ênfase4 3 3 4" xfId="787" xr:uid="{00000000-0005-0000-0000-0000A5000000}"/>
    <cellStyle name="20% - Ênfase4 3 4" xfId="465" xr:uid="{00000000-0005-0000-0000-0000A6000000}"/>
    <cellStyle name="20% - Ênfase4 3 4 2" xfId="975" xr:uid="{00000000-0005-0000-0000-0000A7000000}"/>
    <cellStyle name="20% - Ênfase4 3 5" xfId="332" xr:uid="{00000000-0005-0000-0000-0000A8000000}"/>
    <cellStyle name="20% - Ênfase4 3 5 2" xfId="843" xr:uid="{00000000-0005-0000-0000-0000A9000000}"/>
    <cellStyle name="20% - Ênfase4 3 6" xfId="740" xr:uid="{00000000-0005-0000-0000-0000AA000000}"/>
    <cellStyle name="20% - Ênfase4 4" xfId="45" xr:uid="{00000000-0005-0000-0000-0000AB000000}"/>
    <cellStyle name="20% - Ênfase4 4 2" xfId="135" xr:uid="{00000000-0005-0000-0000-0000AC000000}"/>
    <cellStyle name="20% - Ênfase4 4 2 2" xfId="512" xr:uid="{00000000-0005-0000-0000-0000AD000000}"/>
    <cellStyle name="20% - Ênfase4 4 2 2 2" xfId="1022" xr:uid="{00000000-0005-0000-0000-0000AE000000}"/>
    <cellStyle name="20% - Ênfase4 4 2 3" xfId="391" xr:uid="{00000000-0005-0000-0000-0000AF000000}"/>
    <cellStyle name="20% - Ênfase4 4 2 3 2" xfId="902" xr:uid="{00000000-0005-0000-0000-0000B0000000}"/>
    <cellStyle name="20% - Ênfase4 4 2 4" xfId="789" xr:uid="{00000000-0005-0000-0000-0000B1000000}"/>
    <cellStyle name="20% - Ênfase5 2" xfId="9" xr:uid="{00000000-0005-0000-0000-0000B2000000}"/>
    <cellStyle name="20% - Ênfase5 2 2" xfId="136" xr:uid="{00000000-0005-0000-0000-0000B3000000}"/>
    <cellStyle name="20% - Ênfase5 2 2 2" xfId="513" xr:uid="{00000000-0005-0000-0000-0000B4000000}"/>
    <cellStyle name="20% - Ênfase5 2 2 2 2" xfId="1023" xr:uid="{00000000-0005-0000-0000-0000B5000000}"/>
    <cellStyle name="20% - Ênfase5 2 2 3" xfId="392" xr:uid="{00000000-0005-0000-0000-0000B6000000}"/>
    <cellStyle name="20% - Ênfase5 2 2 3 2" xfId="903" xr:uid="{00000000-0005-0000-0000-0000B7000000}"/>
    <cellStyle name="20% - Ênfase5 2 2 4" xfId="790" xr:uid="{00000000-0005-0000-0000-0000B8000000}"/>
    <cellStyle name="20% - Ênfase5 2 3" xfId="466" xr:uid="{00000000-0005-0000-0000-0000B9000000}"/>
    <cellStyle name="20% - Ênfase5 2 3 2" xfId="976" xr:uid="{00000000-0005-0000-0000-0000BA000000}"/>
    <cellStyle name="20% - Ênfase5 2 4" xfId="333" xr:uid="{00000000-0005-0000-0000-0000BB000000}"/>
    <cellStyle name="20% - Ênfase5 2 4 2" xfId="844" xr:uid="{00000000-0005-0000-0000-0000BC000000}"/>
    <cellStyle name="20% - Ênfase5 2 5" xfId="741" xr:uid="{00000000-0005-0000-0000-0000BD000000}"/>
    <cellStyle name="20% - Ênfase5 3" xfId="10" xr:uid="{00000000-0005-0000-0000-0000BE000000}"/>
    <cellStyle name="20% - Ênfase5 3 2" xfId="137" xr:uid="{00000000-0005-0000-0000-0000BF000000}"/>
    <cellStyle name="20% - Ênfase5 3 2 2" xfId="514" xr:uid="{00000000-0005-0000-0000-0000C0000000}"/>
    <cellStyle name="20% - Ênfase5 3 2 2 2" xfId="1024" xr:uid="{00000000-0005-0000-0000-0000C1000000}"/>
    <cellStyle name="20% - Ênfase5 3 2 3" xfId="393" xr:uid="{00000000-0005-0000-0000-0000C2000000}"/>
    <cellStyle name="20% - Ênfase5 3 2 3 2" xfId="904" xr:uid="{00000000-0005-0000-0000-0000C3000000}"/>
    <cellStyle name="20% - Ênfase5 3 2 4" xfId="791" xr:uid="{00000000-0005-0000-0000-0000C4000000}"/>
    <cellStyle name="20% - Ênfase5 3 3" xfId="467" xr:uid="{00000000-0005-0000-0000-0000C5000000}"/>
    <cellStyle name="20% - Ênfase5 3 3 2" xfId="977" xr:uid="{00000000-0005-0000-0000-0000C6000000}"/>
    <cellStyle name="20% - Ênfase5 3 4" xfId="334" xr:uid="{00000000-0005-0000-0000-0000C7000000}"/>
    <cellStyle name="20% - Ênfase5 3 4 2" xfId="845" xr:uid="{00000000-0005-0000-0000-0000C8000000}"/>
    <cellStyle name="20% - Ênfase5 3 5" xfId="742" xr:uid="{00000000-0005-0000-0000-0000C9000000}"/>
    <cellStyle name="20% - Ênfase5 4" xfId="46" xr:uid="{00000000-0005-0000-0000-0000CA000000}"/>
    <cellStyle name="20% - Ênfase5 4 2" xfId="138" xr:uid="{00000000-0005-0000-0000-0000CB000000}"/>
    <cellStyle name="20% - Ênfase5 4 2 2" xfId="515" xr:uid="{00000000-0005-0000-0000-0000CC000000}"/>
    <cellStyle name="20% - Ênfase5 4 2 2 2" xfId="1025" xr:uid="{00000000-0005-0000-0000-0000CD000000}"/>
    <cellStyle name="20% - Ênfase5 4 2 3" xfId="394" xr:uid="{00000000-0005-0000-0000-0000CE000000}"/>
    <cellStyle name="20% - Ênfase5 4 2 3 2" xfId="905" xr:uid="{00000000-0005-0000-0000-0000CF000000}"/>
    <cellStyle name="20% - Ênfase5 4 2 4" xfId="792" xr:uid="{00000000-0005-0000-0000-0000D0000000}"/>
    <cellStyle name="20% - Ênfase6 2" xfId="11" xr:uid="{00000000-0005-0000-0000-0000D1000000}"/>
    <cellStyle name="20% - Ênfase6 2 2" xfId="139" xr:uid="{00000000-0005-0000-0000-0000D2000000}"/>
    <cellStyle name="20% - Ênfase6 2 2 2" xfId="516" xr:uid="{00000000-0005-0000-0000-0000D3000000}"/>
    <cellStyle name="20% - Ênfase6 2 2 2 2" xfId="1026" xr:uid="{00000000-0005-0000-0000-0000D4000000}"/>
    <cellStyle name="20% - Ênfase6 2 2 3" xfId="395" xr:uid="{00000000-0005-0000-0000-0000D5000000}"/>
    <cellStyle name="20% - Ênfase6 2 2 3 2" xfId="906" xr:uid="{00000000-0005-0000-0000-0000D6000000}"/>
    <cellStyle name="20% - Ênfase6 2 2 4" xfId="793" xr:uid="{00000000-0005-0000-0000-0000D7000000}"/>
    <cellStyle name="20% - Ênfase6 2 3" xfId="468" xr:uid="{00000000-0005-0000-0000-0000D8000000}"/>
    <cellStyle name="20% - Ênfase6 2 3 2" xfId="978" xr:uid="{00000000-0005-0000-0000-0000D9000000}"/>
    <cellStyle name="20% - Ênfase6 2 4" xfId="335" xr:uid="{00000000-0005-0000-0000-0000DA000000}"/>
    <cellStyle name="20% - Ênfase6 2 4 2" xfId="846" xr:uid="{00000000-0005-0000-0000-0000DB000000}"/>
    <cellStyle name="20% - Ênfase6 2 5" xfId="743" xr:uid="{00000000-0005-0000-0000-0000DC000000}"/>
    <cellStyle name="20% - Ênfase6 3" xfId="12" xr:uid="{00000000-0005-0000-0000-0000DD000000}"/>
    <cellStyle name="20% - Ênfase6 3 2" xfId="140" xr:uid="{00000000-0005-0000-0000-0000DE000000}"/>
    <cellStyle name="20% - Ênfase6 3 2 2" xfId="517" xr:uid="{00000000-0005-0000-0000-0000DF000000}"/>
    <cellStyle name="20% - Ênfase6 3 2 2 2" xfId="1027" xr:uid="{00000000-0005-0000-0000-0000E0000000}"/>
    <cellStyle name="20% - Ênfase6 3 2 3" xfId="396" xr:uid="{00000000-0005-0000-0000-0000E1000000}"/>
    <cellStyle name="20% - Ênfase6 3 2 3 2" xfId="907" xr:uid="{00000000-0005-0000-0000-0000E2000000}"/>
    <cellStyle name="20% - Ênfase6 3 2 4" xfId="794" xr:uid="{00000000-0005-0000-0000-0000E3000000}"/>
    <cellStyle name="20% - Ênfase6 3 3" xfId="469" xr:uid="{00000000-0005-0000-0000-0000E4000000}"/>
    <cellStyle name="20% - Ênfase6 3 3 2" xfId="979" xr:uid="{00000000-0005-0000-0000-0000E5000000}"/>
    <cellStyle name="20% - Ênfase6 3 4" xfId="336" xr:uid="{00000000-0005-0000-0000-0000E6000000}"/>
    <cellStyle name="20% - Ênfase6 3 4 2" xfId="847" xr:uid="{00000000-0005-0000-0000-0000E7000000}"/>
    <cellStyle name="20% - Ênfase6 3 5" xfId="744" xr:uid="{00000000-0005-0000-0000-0000E8000000}"/>
    <cellStyle name="20% - Ênfase6 4" xfId="47" xr:uid="{00000000-0005-0000-0000-0000E9000000}"/>
    <cellStyle name="20% - Ênfase6 4 2" xfId="141" xr:uid="{00000000-0005-0000-0000-0000EA000000}"/>
    <cellStyle name="20% - Ênfase6 4 2 2" xfId="518" xr:uid="{00000000-0005-0000-0000-0000EB000000}"/>
    <cellStyle name="20% - Ênfase6 4 2 2 2" xfId="1028" xr:uid="{00000000-0005-0000-0000-0000EC000000}"/>
    <cellStyle name="20% - Ênfase6 4 2 3" xfId="397" xr:uid="{00000000-0005-0000-0000-0000ED000000}"/>
    <cellStyle name="20% - Ênfase6 4 2 3 2" xfId="908" xr:uid="{00000000-0005-0000-0000-0000EE000000}"/>
    <cellStyle name="20% - Ênfase6 4 2 4" xfId="795" xr:uid="{00000000-0005-0000-0000-0000EF000000}"/>
    <cellStyle name="40% - Accent1" xfId="48" xr:uid="{00000000-0005-0000-0000-0000F0000000}"/>
    <cellStyle name="40% - Accent2" xfId="49" xr:uid="{00000000-0005-0000-0000-0000F1000000}"/>
    <cellStyle name="40% - Accent3" xfId="50" xr:uid="{00000000-0005-0000-0000-0000F2000000}"/>
    <cellStyle name="40% - Accent4" xfId="51" xr:uid="{00000000-0005-0000-0000-0000F3000000}"/>
    <cellStyle name="40% - Accent5" xfId="52" xr:uid="{00000000-0005-0000-0000-0000F4000000}"/>
    <cellStyle name="40% - Accent6" xfId="53" xr:uid="{00000000-0005-0000-0000-0000F5000000}"/>
    <cellStyle name="40% - Ênfase1 2" xfId="13" xr:uid="{00000000-0005-0000-0000-0000F6000000}"/>
    <cellStyle name="40% - Ênfase1 2 2" xfId="142" xr:uid="{00000000-0005-0000-0000-0000F7000000}"/>
    <cellStyle name="40% - Ênfase1 2 2 2" xfId="519" xr:uid="{00000000-0005-0000-0000-0000F8000000}"/>
    <cellStyle name="40% - Ênfase1 2 2 2 2" xfId="1029" xr:uid="{00000000-0005-0000-0000-0000F9000000}"/>
    <cellStyle name="40% - Ênfase1 2 2 3" xfId="398" xr:uid="{00000000-0005-0000-0000-0000FA000000}"/>
    <cellStyle name="40% - Ênfase1 2 2 3 2" xfId="909" xr:uid="{00000000-0005-0000-0000-0000FB000000}"/>
    <cellStyle name="40% - Ênfase1 2 2 4" xfId="796" xr:uid="{00000000-0005-0000-0000-0000FC000000}"/>
    <cellStyle name="40% - Ênfase1 2 3" xfId="470" xr:uid="{00000000-0005-0000-0000-0000FD000000}"/>
    <cellStyle name="40% - Ênfase1 2 3 2" xfId="980" xr:uid="{00000000-0005-0000-0000-0000FE000000}"/>
    <cellStyle name="40% - Ênfase1 2 4" xfId="337" xr:uid="{00000000-0005-0000-0000-0000FF000000}"/>
    <cellStyle name="40% - Ênfase1 2 4 2" xfId="848" xr:uid="{00000000-0005-0000-0000-000000010000}"/>
    <cellStyle name="40% - Ênfase1 2 5" xfId="745" xr:uid="{00000000-0005-0000-0000-000001010000}"/>
    <cellStyle name="40% - Ênfase1 3" xfId="14" xr:uid="{00000000-0005-0000-0000-000002010000}"/>
    <cellStyle name="40% - Ênfase1 3 2" xfId="143" xr:uid="{00000000-0005-0000-0000-000003010000}"/>
    <cellStyle name="40% - Ênfase1 3 2 2" xfId="520" xr:uid="{00000000-0005-0000-0000-000004010000}"/>
    <cellStyle name="40% - Ênfase1 3 2 2 2" xfId="1030" xr:uid="{00000000-0005-0000-0000-000005010000}"/>
    <cellStyle name="40% - Ênfase1 3 2 3" xfId="399" xr:uid="{00000000-0005-0000-0000-000006010000}"/>
    <cellStyle name="40% - Ênfase1 3 2 3 2" xfId="910" xr:uid="{00000000-0005-0000-0000-000007010000}"/>
    <cellStyle name="40% - Ênfase1 3 2 4" xfId="797" xr:uid="{00000000-0005-0000-0000-000008010000}"/>
    <cellStyle name="40% - Ênfase1 3 3" xfId="471" xr:uid="{00000000-0005-0000-0000-000009010000}"/>
    <cellStyle name="40% - Ênfase1 3 3 2" xfId="981" xr:uid="{00000000-0005-0000-0000-00000A010000}"/>
    <cellStyle name="40% - Ênfase1 3 4" xfId="338" xr:uid="{00000000-0005-0000-0000-00000B010000}"/>
    <cellStyle name="40% - Ênfase1 3 4 2" xfId="849" xr:uid="{00000000-0005-0000-0000-00000C010000}"/>
    <cellStyle name="40% - Ênfase1 3 5" xfId="746" xr:uid="{00000000-0005-0000-0000-00000D010000}"/>
    <cellStyle name="40% - Ênfase1 4" xfId="54" xr:uid="{00000000-0005-0000-0000-00000E010000}"/>
    <cellStyle name="40% - Ênfase1 4 2" xfId="144" xr:uid="{00000000-0005-0000-0000-00000F010000}"/>
    <cellStyle name="40% - Ênfase1 4 2 2" xfId="521" xr:uid="{00000000-0005-0000-0000-000010010000}"/>
    <cellStyle name="40% - Ênfase1 4 2 2 2" xfId="1031" xr:uid="{00000000-0005-0000-0000-000011010000}"/>
    <cellStyle name="40% - Ênfase1 4 2 3" xfId="400" xr:uid="{00000000-0005-0000-0000-000012010000}"/>
    <cellStyle name="40% - Ênfase1 4 2 3 2" xfId="911" xr:uid="{00000000-0005-0000-0000-000013010000}"/>
    <cellStyle name="40% - Ênfase1 4 2 4" xfId="798" xr:uid="{00000000-0005-0000-0000-000014010000}"/>
    <cellStyle name="40% - Ênfase2 2" xfId="15" xr:uid="{00000000-0005-0000-0000-000015010000}"/>
    <cellStyle name="40% - Ênfase2 2 2" xfId="145" xr:uid="{00000000-0005-0000-0000-000016010000}"/>
    <cellStyle name="40% - Ênfase2 2 2 2" xfId="522" xr:uid="{00000000-0005-0000-0000-000017010000}"/>
    <cellStyle name="40% - Ênfase2 2 2 2 2" xfId="1032" xr:uid="{00000000-0005-0000-0000-000018010000}"/>
    <cellStyle name="40% - Ênfase2 2 2 3" xfId="401" xr:uid="{00000000-0005-0000-0000-000019010000}"/>
    <cellStyle name="40% - Ênfase2 2 2 3 2" xfId="912" xr:uid="{00000000-0005-0000-0000-00001A010000}"/>
    <cellStyle name="40% - Ênfase2 2 2 4" xfId="799" xr:uid="{00000000-0005-0000-0000-00001B010000}"/>
    <cellStyle name="40% - Ênfase2 2 3" xfId="472" xr:uid="{00000000-0005-0000-0000-00001C010000}"/>
    <cellStyle name="40% - Ênfase2 2 3 2" xfId="982" xr:uid="{00000000-0005-0000-0000-00001D010000}"/>
    <cellStyle name="40% - Ênfase2 2 4" xfId="339" xr:uid="{00000000-0005-0000-0000-00001E010000}"/>
    <cellStyle name="40% - Ênfase2 2 4 2" xfId="850" xr:uid="{00000000-0005-0000-0000-00001F010000}"/>
    <cellStyle name="40% - Ênfase2 2 5" xfId="747" xr:uid="{00000000-0005-0000-0000-000020010000}"/>
    <cellStyle name="40% - Ênfase2 3" xfId="16" xr:uid="{00000000-0005-0000-0000-000021010000}"/>
    <cellStyle name="40% - Ênfase2 3 2" xfId="146" xr:uid="{00000000-0005-0000-0000-000022010000}"/>
    <cellStyle name="40% - Ênfase2 3 2 2" xfId="523" xr:uid="{00000000-0005-0000-0000-000023010000}"/>
    <cellStyle name="40% - Ênfase2 3 2 2 2" xfId="1033" xr:uid="{00000000-0005-0000-0000-000024010000}"/>
    <cellStyle name="40% - Ênfase2 3 2 3" xfId="402" xr:uid="{00000000-0005-0000-0000-000025010000}"/>
    <cellStyle name="40% - Ênfase2 3 2 3 2" xfId="913" xr:uid="{00000000-0005-0000-0000-000026010000}"/>
    <cellStyle name="40% - Ênfase2 3 2 4" xfId="800" xr:uid="{00000000-0005-0000-0000-000027010000}"/>
    <cellStyle name="40% - Ênfase2 3 3" xfId="473" xr:uid="{00000000-0005-0000-0000-000028010000}"/>
    <cellStyle name="40% - Ênfase2 3 3 2" xfId="983" xr:uid="{00000000-0005-0000-0000-000029010000}"/>
    <cellStyle name="40% - Ênfase2 3 4" xfId="340" xr:uid="{00000000-0005-0000-0000-00002A010000}"/>
    <cellStyle name="40% - Ênfase2 3 4 2" xfId="851" xr:uid="{00000000-0005-0000-0000-00002B010000}"/>
    <cellStyle name="40% - Ênfase2 3 5" xfId="748" xr:uid="{00000000-0005-0000-0000-00002C010000}"/>
    <cellStyle name="40% - Ênfase2 4" xfId="55" xr:uid="{00000000-0005-0000-0000-00002D010000}"/>
    <cellStyle name="40% - Ênfase2 4 2" xfId="147" xr:uid="{00000000-0005-0000-0000-00002E010000}"/>
    <cellStyle name="40% - Ênfase2 4 2 2" xfId="524" xr:uid="{00000000-0005-0000-0000-00002F010000}"/>
    <cellStyle name="40% - Ênfase2 4 2 2 2" xfId="1034" xr:uid="{00000000-0005-0000-0000-000030010000}"/>
    <cellStyle name="40% - Ênfase2 4 2 3" xfId="403" xr:uid="{00000000-0005-0000-0000-000031010000}"/>
    <cellStyle name="40% - Ênfase2 4 2 3 2" xfId="914" xr:uid="{00000000-0005-0000-0000-000032010000}"/>
    <cellStyle name="40% - Ênfase2 4 2 4" xfId="801" xr:uid="{00000000-0005-0000-0000-000033010000}"/>
    <cellStyle name="40% - Ênfase3 2" xfId="17" xr:uid="{00000000-0005-0000-0000-000034010000}"/>
    <cellStyle name="40% - Ênfase3 2 2" xfId="149" xr:uid="{00000000-0005-0000-0000-000035010000}"/>
    <cellStyle name="40% - Ênfase3 2 2 2" xfId="526" xr:uid="{00000000-0005-0000-0000-000036010000}"/>
    <cellStyle name="40% - Ênfase3 2 2 2 2" xfId="1036" xr:uid="{00000000-0005-0000-0000-000037010000}"/>
    <cellStyle name="40% - Ênfase3 2 2 3" xfId="405" xr:uid="{00000000-0005-0000-0000-000038010000}"/>
    <cellStyle name="40% - Ênfase3 2 2 3 2" xfId="916" xr:uid="{00000000-0005-0000-0000-000039010000}"/>
    <cellStyle name="40% - Ênfase3 2 2 4" xfId="803" xr:uid="{00000000-0005-0000-0000-00003A010000}"/>
    <cellStyle name="40% - Ênfase3 2 3" xfId="148" xr:uid="{00000000-0005-0000-0000-00003B010000}"/>
    <cellStyle name="40% - Ênfase3 2 3 2" xfId="525" xr:uid="{00000000-0005-0000-0000-00003C010000}"/>
    <cellStyle name="40% - Ênfase3 2 3 2 2" xfId="1035" xr:uid="{00000000-0005-0000-0000-00003D010000}"/>
    <cellStyle name="40% - Ênfase3 2 3 3" xfId="404" xr:uid="{00000000-0005-0000-0000-00003E010000}"/>
    <cellStyle name="40% - Ênfase3 2 3 3 2" xfId="915" xr:uid="{00000000-0005-0000-0000-00003F010000}"/>
    <cellStyle name="40% - Ênfase3 2 3 4" xfId="802" xr:uid="{00000000-0005-0000-0000-000040010000}"/>
    <cellStyle name="40% - Ênfase3 2 4" xfId="474" xr:uid="{00000000-0005-0000-0000-000041010000}"/>
    <cellStyle name="40% - Ênfase3 2 4 2" xfId="984" xr:uid="{00000000-0005-0000-0000-000042010000}"/>
    <cellStyle name="40% - Ênfase3 2 5" xfId="341" xr:uid="{00000000-0005-0000-0000-000043010000}"/>
    <cellStyle name="40% - Ênfase3 2 5 2" xfId="852" xr:uid="{00000000-0005-0000-0000-000044010000}"/>
    <cellStyle name="40% - Ênfase3 2 6" xfId="749" xr:uid="{00000000-0005-0000-0000-000045010000}"/>
    <cellStyle name="40% - Ênfase3 3" xfId="18" xr:uid="{00000000-0005-0000-0000-000046010000}"/>
    <cellStyle name="40% - Ênfase3 3 2" xfId="151" xr:uid="{00000000-0005-0000-0000-000047010000}"/>
    <cellStyle name="40% - Ênfase3 3 2 2" xfId="528" xr:uid="{00000000-0005-0000-0000-000048010000}"/>
    <cellStyle name="40% - Ênfase3 3 2 2 2" xfId="1038" xr:uid="{00000000-0005-0000-0000-000049010000}"/>
    <cellStyle name="40% - Ênfase3 3 2 3" xfId="407" xr:uid="{00000000-0005-0000-0000-00004A010000}"/>
    <cellStyle name="40% - Ênfase3 3 2 3 2" xfId="918" xr:uid="{00000000-0005-0000-0000-00004B010000}"/>
    <cellStyle name="40% - Ênfase3 3 2 4" xfId="805" xr:uid="{00000000-0005-0000-0000-00004C010000}"/>
    <cellStyle name="40% - Ênfase3 3 3" xfId="150" xr:uid="{00000000-0005-0000-0000-00004D010000}"/>
    <cellStyle name="40% - Ênfase3 3 3 2" xfId="527" xr:uid="{00000000-0005-0000-0000-00004E010000}"/>
    <cellStyle name="40% - Ênfase3 3 3 2 2" xfId="1037" xr:uid="{00000000-0005-0000-0000-00004F010000}"/>
    <cellStyle name="40% - Ênfase3 3 3 3" xfId="406" xr:uid="{00000000-0005-0000-0000-000050010000}"/>
    <cellStyle name="40% - Ênfase3 3 3 3 2" xfId="917" xr:uid="{00000000-0005-0000-0000-000051010000}"/>
    <cellStyle name="40% - Ênfase3 3 3 4" xfId="804" xr:uid="{00000000-0005-0000-0000-000052010000}"/>
    <cellStyle name="40% - Ênfase3 3 4" xfId="475" xr:uid="{00000000-0005-0000-0000-000053010000}"/>
    <cellStyle name="40% - Ênfase3 3 4 2" xfId="985" xr:uid="{00000000-0005-0000-0000-000054010000}"/>
    <cellStyle name="40% - Ênfase3 3 5" xfId="342" xr:uid="{00000000-0005-0000-0000-000055010000}"/>
    <cellStyle name="40% - Ênfase3 3 5 2" xfId="853" xr:uid="{00000000-0005-0000-0000-000056010000}"/>
    <cellStyle name="40% - Ênfase3 3 6" xfId="750" xr:uid="{00000000-0005-0000-0000-000057010000}"/>
    <cellStyle name="40% - Ênfase3 4" xfId="56" xr:uid="{00000000-0005-0000-0000-000058010000}"/>
    <cellStyle name="40% - Ênfase3 4 2" xfId="152" xr:uid="{00000000-0005-0000-0000-000059010000}"/>
    <cellStyle name="40% - Ênfase3 4 2 2" xfId="529" xr:uid="{00000000-0005-0000-0000-00005A010000}"/>
    <cellStyle name="40% - Ênfase3 4 2 2 2" xfId="1039" xr:uid="{00000000-0005-0000-0000-00005B010000}"/>
    <cellStyle name="40% - Ênfase3 4 2 3" xfId="408" xr:uid="{00000000-0005-0000-0000-00005C010000}"/>
    <cellStyle name="40% - Ênfase3 4 2 3 2" xfId="919" xr:uid="{00000000-0005-0000-0000-00005D010000}"/>
    <cellStyle name="40% - Ênfase3 4 2 4" xfId="806" xr:uid="{00000000-0005-0000-0000-00005E010000}"/>
    <cellStyle name="40% - Ênfase4 2" xfId="19" xr:uid="{00000000-0005-0000-0000-00005F010000}"/>
    <cellStyle name="40% - Ênfase4 2 2" xfId="153" xr:uid="{00000000-0005-0000-0000-000060010000}"/>
    <cellStyle name="40% - Ênfase4 2 2 2" xfId="530" xr:uid="{00000000-0005-0000-0000-000061010000}"/>
    <cellStyle name="40% - Ênfase4 2 2 2 2" xfId="1040" xr:uid="{00000000-0005-0000-0000-000062010000}"/>
    <cellStyle name="40% - Ênfase4 2 2 3" xfId="409" xr:uid="{00000000-0005-0000-0000-000063010000}"/>
    <cellStyle name="40% - Ênfase4 2 2 3 2" xfId="920" xr:uid="{00000000-0005-0000-0000-000064010000}"/>
    <cellStyle name="40% - Ênfase4 2 2 4" xfId="807" xr:uid="{00000000-0005-0000-0000-000065010000}"/>
    <cellStyle name="40% - Ênfase4 2 3" xfId="476" xr:uid="{00000000-0005-0000-0000-000066010000}"/>
    <cellStyle name="40% - Ênfase4 2 3 2" xfId="986" xr:uid="{00000000-0005-0000-0000-000067010000}"/>
    <cellStyle name="40% - Ênfase4 2 4" xfId="343" xr:uid="{00000000-0005-0000-0000-000068010000}"/>
    <cellStyle name="40% - Ênfase4 2 4 2" xfId="854" xr:uid="{00000000-0005-0000-0000-000069010000}"/>
    <cellStyle name="40% - Ênfase4 2 5" xfId="751" xr:uid="{00000000-0005-0000-0000-00006A010000}"/>
    <cellStyle name="40% - Ênfase4 3" xfId="20" xr:uid="{00000000-0005-0000-0000-00006B010000}"/>
    <cellStyle name="40% - Ênfase4 3 2" xfId="154" xr:uid="{00000000-0005-0000-0000-00006C010000}"/>
    <cellStyle name="40% - Ênfase4 3 2 2" xfId="531" xr:uid="{00000000-0005-0000-0000-00006D010000}"/>
    <cellStyle name="40% - Ênfase4 3 2 2 2" xfId="1041" xr:uid="{00000000-0005-0000-0000-00006E010000}"/>
    <cellStyle name="40% - Ênfase4 3 2 3" xfId="410" xr:uid="{00000000-0005-0000-0000-00006F010000}"/>
    <cellStyle name="40% - Ênfase4 3 2 3 2" xfId="921" xr:uid="{00000000-0005-0000-0000-000070010000}"/>
    <cellStyle name="40% - Ênfase4 3 2 4" xfId="808" xr:uid="{00000000-0005-0000-0000-000071010000}"/>
    <cellStyle name="40% - Ênfase4 3 3" xfId="477" xr:uid="{00000000-0005-0000-0000-000072010000}"/>
    <cellStyle name="40% - Ênfase4 3 3 2" xfId="987" xr:uid="{00000000-0005-0000-0000-000073010000}"/>
    <cellStyle name="40% - Ênfase4 3 4" xfId="344" xr:uid="{00000000-0005-0000-0000-000074010000}"/>
    <cellStyle name="40% - Ênfase4 3 4 2" xfId="855" xr:uid="{00000000-0005-0000-0000-000075010000}"/>
    <cellStyle name="40% - Ênfase4 3 5" xfId="752" xr:uid="{00000000-0005-0000-0000-000076010000}"/>
    <cellStyle name="40% - Ênfase4 4" xfId="57" xr:uid="{00000000-0005-0000-0000-000077010000}"/>
    <cellStyle name="40% - Ênfase4 4 2" xfId="155" xr:uid="{00000000-0005-0000-0000-000078010000}"/>
    <cellStyle name="40% - Ênfase4 4 2 2" xfId="532" xr:uid="{00000000-0005-0000-0000-000079010000}"/>
    <cellStyle name="40% - Ênfase4 4 2 2 2" xfId="1042" xr:uid="{00000000-0005-0000-0000-00007A010000}"/>
    <cellStyle name="40% - Ênfase4 4 2 3" xfId="411" xr:uid="{00000000-0005-0000-0000-00007B010000}"/>
    <cellStyle name="40% - Ênfase4 4 2 3 2" xfId="922" xr:uid="{00000000-0005-0000-0000-00007C010000}"/>
    <cellStyle name="40% - Ênfase4 4 2 4" xfId="809" xr:uid="{00000000-0005-0000-0000-00007D010000}"/>
    <cellStyle name="40% - Ênfase5 2" xfId="21" xr:uid="{00000000-0005-0000-0000-00007E010000}"/>
    <cellStyle name="40% - Ênfase5 2 2" xfId="156" xr:uid="{00000000-0005-0000-0000-00007F010000}"/>
    <cellStyle name="40% - Ênfase5 2 2 2" xfId="533" xr:uid="{00000000-0005-0000-0000-000080010000}"/>
    <cellStyle name="40% - Ênfase5 2 2 2 2" xfId="1043" xr:uid="{00000000-0005-0000-0000-000081010000}"/>
    <cellStyle name="40% - Ênfase5 2 2 3" xfId="412" xr:uid="{00000000-0005-0000-0000-000082010000}"/>
    <cellStyle name="40% - Ênfase5 2 2 3 2" xfId="923" xr:uid="{00000000-0005-0000-0000-000083010000}"/>
    <cellStyle name="40% - Ênfase5 2 2 4" xfId="810" xr:uid="{00000000-0005-0000-0000-000084010000}"/>
    <cellStyle name="40% - Ênfase5 2 3" xfId="478" xr:uid="{00000000-0005-0000-0000-000085010000}"/>
    <cellStyle name="40% - Ênfase5 2 3 2" xfId="988" xr:uid="{00000000-0005-0000-0000-000086010000}"/>
    <cellStyle name="40% - Ênfase5 2 4" xfId="345" xr:uid="{00000000-0005-0000-0000-000087010000}"/>
    <cellStyle name="40% - Ênfase5 2 4 2" xfId="856" xr:uid="{00000000-0005-0000-0000-000088010000}"/>
    <cellStyle name="40% - Ênfase5 2 5" xfId="753" xr:uid="{00000000-0005-0000-0000-000089010000}"/>
    <cellStyle name="40% - Ênfase5 3" xfId="22" xr:uid="{00000000-0005-0000-0000-00008A010000}"/>
    <cellStyle name="40% - Ênfase5 3 2" xfId="157" xr:uid="{00000000-0005-0000-0000-00008B010000}"/>
    <cellStyle name="40% - Ênfase5 3 2 2" xfId="534" xr:uid="{00000000-0005-0000-0000-00008C010000}"/>
    <cellStyle name="40% - Ênfase5 3 2 2 2" xfId="1044" xr:uid="{00000000-0005-0000-0000-00008D010000}"/>
    <cellStyle name="40% - Ênfase5 3 2 3" xfId="413" xr:uid="{00000000-0005-0000-0000-00008E010000}"/>
    <cellStyle name="40% - Ênfase5 3 2 3 2" xfId="924" xr:uid="{00000000-0005-0000-0000-00008F010000}"/>
    <cellStyle name="40% - Ênfase5 3 2 4" xfId="811" xr:uid="{00000000-0005-0000-0000-000090010000}"/>
    <cellStyle name="40% - Ênfase5 3 3" xfId="479" xr:uid="{00000000-0005-0000-0000-000091010000}"/>
    <cellStyle name="40% - Ênfase5 3 3 2" xfId="989" xr:uid="{00000000-0005-0000-0000-000092010000}"/>
    <cellStyle name="40% - Ênfase5 3 4" xfId="346" xr:uid="{00000000-0005-0000-0000-000093010000}"/>
    <cellStyle name="40% - Ênfase5 3 4 2" xfId="857" xr:uid="{00000000-0005-0000-0000-000094010000}"/>
    <cellStyle name="40% - Ênfase5 3 5" xfId="754" xr:uid="{00000000-0005-0000-0000-000095010000}"/>
    <cellStyle name="40% - Ênfase5 4" xfId="58" xr:uid="{00000000-0005-0000-0000-000096010000}"/>
    <cellStyle name="40% - Ênfase5 4 2" xfId="158" xr:uid="{00000000-0005-0000-0000-000097010000}"/>
    <cellStyle name="40% - Ênfase5 4 2 2" xfId="535" xr:uid="{00000000-0005-0000-0000-000098010000}"/>
    <cellStyle name="40% - Ênfase5 4 2 2 2" xfId="1045" xr:uid="{00000000-0005-0000-0000-000099010000}"/>
    <cellStyle name="40% - Ênfase5 4 2 3" xfId="414" xr:uid="{00000000-0005-0000-0000-00009A010000}"/>
    <cellStyle name="40% - Ênfase5 4 2 3 2" xfId="925" xr:uid="{00000000-0005-0000-0000-00009B010000}"/>
    <cellStyle name="40% - Ênfase5 4 2 4" xfId="812" xr:uid="{00000000-0005-0000-0000-00009C010000}"/>
    <cellStyle name="40% - Ênfase6 2" xfId="23" xr:uid="{00000000-0005-0000-0000-00009D010000}"/>
    <cellStyle name="40% - Ênfase6 2 2" xfId="159" xr:uid="{00000000-0005-0000-0000-00009E010000}"/>
    <cellStyle name="40% - Ênfase6 2 2 2" xfId="536" xr:uid="{00000000-0005-0000-0000-00009F010000}"/>
    <cellStyle name="40% - Ênfase6 2 2 2 2" xfId="1046" xr:uid="{00000000-0005-0000-0000-0000A0010000}"/>
    <cellStyle name="40% - Ênfase6 2 2 3" xfId="415" xr:uid="{00000000-0005-0000-0000-0000A1010000}"/>
    <cellStyle name="40% - Ênfase6 2 2 3 2" xfId="926" xr:uid="{00000000-0005-0000-0000-0000A2010000}"/>
    <cellStyle name="40% - Ênfase6 2 2 4" xfId="813" xr:uid="{00000000-0005-0000-0000-0000A3010000}"/>
    <cellStyle name="40% - Ênfase6 2 3" xfId="480" xr:uid="{00000000-0005-0000-0000-0000A4010000}"/>
    <cellStyle name="40% - Ênfase6 2 3 2" xfId="990" xr:uid="{00000000-0005-0000-0000-0000A5010000}"/>
    <cellStyle name="40% - Ênfase6 2 4" xfId="347" xr:uid="{00000000-0005-0000-0000-0000A6010000}"/>
    <cellStyle name="40% - Ênfase6 2 4 2" xfId="858" xr:uid="{00000000-0005-0000-0000-0000A7010000}"/>
    <cellStyle name="40% - Ênfase6 2 5" xfId="755" xr:uid="{00000000-0005-0000-0000-0000A8010000}"/>
    <cellStyle name="40% - Ênfase6 3" xfId="24" xr:uid="{00000000-0005-0000-0000-0000A9010000}"/>
    <cellStyle name="40% - Ênfase6 3 2" xfId="160" xr:uid="{00000000-0005-0000-0000-0000AA010000}"/>
    <cellStyle name="40% - Ênfase6 3 2 2" xfId="537" xr:uid="{00000000-0005-0000-0000-0000AB010000}"/>
    <cellStyle name="40% - Ênfase6 3 2 2 2" xfId="1047" xr:uid="{00000000-0005-0000-0000-0000AC010000}"/>
    <cellStyle name="40% - Ênfase6 3 2 3" xfId="416" xr:uid="{00000000-0005-0000-0000-0000AD010000}"/>
    <cellStyle name="40% - Ênfase6 3 2 3 2" xfId="927" xr:uid="{00000000-0005-0000-0000-0000AE010000}"/>
    <cellStyle name="40% - Ênfase6 3 2 4" xfId="814" xr:uid="{00000000-0005-0000-0000-0000AF010000}"/>
    <cellStyle name="40% - Ênfase6 3 3" xfId="481" xr:uid="{00000000-0005-0000-0000-0000B0010000}"/>
    <cellStyle name="40% - Ênfase6 3 3 2" xfId="991" xr:uid="{00000000-0005-0000-0000-0000B1010000}"/>
    <cellStyle name="40% - Ênfase6 3 4" xfId="348" xr:uid="{00000000-0005-0000-0000-0000B2010000}"/>
    <cellStyle name="40% - Ênfase6 3 4 2" xfId="859" xr:uid="{00000000-0005-0000-0000-0000B3010000}"/>
    <cellStyle name="40% - Ênfase6 3 5" xfId="756" xr:uid="{00000000-0005-0000-0000-0000B4010000}"/>
    <cellStyle name="40% - Ênfase6 4" xfId="59" xr:uid="{00000000-0005-0000-0000-0000B5010000}"/>
    <cellStyle name="40% - Ênfase6 4 2" xfId="161" xr:uid="{00000000-0005-0000-0000-0000B6010000}"/>
    <cellStyle name="40% - Ênfase6 4 2 2" xfId="538" xr:uid="{00000000-0005-0000-0000-0000B7010000}"/>
    <cellStyle name="40% - Ênfase6 4 2 2 2" xfId="1048" xr:uid="{00000000-0005-0000-0000-0000B8010000}"/>
    <cellStyle name="40% - Ênfase6 4 2 3" xfId="417" xr:uid="{00000000-0005-0000-0000-0000B9010000}"/>
    <cellStyle name="40% - Ênfase6 4 2 3 2" xfId="928" xr:uid="{00000000-0005-0000-0000-0000BA010000}"/>
    <cellStyle name="40% - Ênfase6 4 2 4" xfId="815" xr:uid="{00000000-0005-0000-0000-0000BB010000}"/>
    <cellStyle name="60% - Accent1" xfId="60" xr:uid="{00000000-0005-0000-0000-0000BC010000}"/>
    <cellStyle name="60% - Accent2" xfId="61" xr:uid="{00000000-0005-0000-0000-0000BD010000}"/>
    <cellStyle name="60% - Accent3" xfId="62" xr:uid="{00000000-0005-0000-0000-0000BE010000}"/>
    <cellStyle name="60% - Accent4" xfId="63" xr:uid="{00000000-0005-0000-0000-0000BF010000}"/>
    <cellStyle name="60% - Accent5" xfId="64" xr:uid="{00000000-0005-0000-0000-0000C0010000}"/>
    <cellStyle name="60% - Accent6" xfId="65" xr:uid="{00000000-0005-0000-0000-0000C1010000}"/>
    <cellStyle name="60% - Ênfase1 2" xfId="66" xr:uid="{00000000-0005-0000-0000-0000C2010000}"/>
    <cellStyle name="60% - Ênfase2 2" xfId="67" xr:uid="{00000000-0005-0000-0000-0000C3010000}"/>
    <cellStyle name="60% - Ênfase3 2" xfId="68" xr:uid="{00000000-0005-0000-0000-0000C4010000}"/>
    <cellStyle name="60% - Ênfase3 2 2" xfId="162" xr:uid="{00000000-0005-0000-0000-0000C5010000}"/>
    <cellStyle name="60% - Ênfase4 2" xfId="69" xr:uid="{00000000-0005-0000-0000-0000C6010000}"/>
    <cellStyle name="60% - Ênfase4 2 2" xfId="163" xr:uid="{00000000-0005-0000-0000-0000C7010000}"/>
    <cellStyle name="60% - Ênfase5 2" xfId="70" xr:uid="{00000000-0005-0000-0000-0000C8010000}"/>
    <cellStyle name="60% - Ênfase6 2" xfId="71" xr:uid="{00000000-0005-0000-0000-0000C9010000}"/>
    <cellStyle name="60% - Ênfase6 2 2" xfId="164" xr:uid="{00000000-0005-0000-0000-0000CA010000}"/>
    <cellStyle name="Accent1" xfId="72" xr:uid="{00000000-0005-0000-0000-0000CB010000}"/>
    <cellStyle name="Accent2" xfId="73" xr:uid="{00000000-0005-0000-0000-0000CC010000}"/>
    <cellStyle name="Accent3" xfId="74" xr:uid="{00000000-0005-0000-0000-0000CD010000}"/>
    <cellStyle name="Accent4" xfId="75" xr:uid="{00000000-0005-0000-0000-0000CE010000}"/>
    <cellStyle name="Accent5" xfId="76" xr:uid="{00000000-0005-0000-0000-0000CF010000}"/>
    <cellStyle name="Accent6" xfId="77" xr:uid="{00000000-0005-0000-0000-0000D0010000}"/>
    <cellStyle name="Bad" xfId="78" xr:uid="{00000000-0005-0000-0000-0000D1010000}"/>
    <cellStyle name="Bom 2" xfId="79" xr:uid="{00000000-0005-0000-0000-0000D2010000}"/>
    <cellStyle name="Calculation" xfId="80" xr:uid="{00000000-0005-0000-0000-0000D3010000}"/>
    <cellStyle name="Calculation 2" xfId="552" xr:uid="{00000000-0005-0000-0000-0000D4010000}"/>
    <cellStyle name="Calculation 2 10" xfId="1434" xr:uid="{00000000-0005-0000-0000-0000D5010000}"/>
    <cellStyle name="Calculation 2 11" xfId="1612" xr:uid="{00000000-0005-0000-0000-0000D6010000}"/>
    <cellStyle name="Calculation 2 12" xfId="1790" xr:uid="{00000000-0005-0000-0000-0000D7010000}"/>
    <cellStyle name="Calculation 2 13" xfId="1961" xr:uid="{00000000-0005-0000-0000-0000D8010000}"/>
    <cellStyle name="Calculation 2 14" xfId="2128" xr:uid="{00000000-0005-0000-0000-0000D9010000}"/>
    <cellStyle name="Calculation 2 2" xfId="630" xr:uid="{00000000-0005-0000-0000-0000DA010000}"/>
    <cellStyle name="Calculation 2 2 2" xfId="1138" xr:uid="{00000000-0005-0000-0000-0000DB010000}"/>
    <cellStyle name="Calculation 2 2 3" xfId="1503" xr:uid="{00000000-0005-0000-0000-0000DC010000}"/>
    <cellStyle name="Calculation 2 2 4" xfId="1678" xr:uid="{00000000-0005-0000-0000-0000DD010000}"/>
    <cellStyle name="Calculation 2 2 5" xfId="1855" xr:uid="{00000000-0005-0000-0000-0000DE010000}"/>
    <cellStyle name="Calculation 2 2 6" xfId="2025" xr:uid="{00000000-0005-0000-0000-0000DF010000}"/>
    <cellStyle name="Calculation 2 2 7" xfId="2192" xr:uid="{00000000-0005-0000-0000-0000E0010000}"/>
    <cellStyle name="Calculation 2 3" xfId="430" xr:uid="{00000000-0005-0000-0000-0000E1010000}"/>
    <cellStyle name="Calculation 2 3 2" xfId="941" xr:uid="{00000000-0005-0000-0000-0000E2010000}"/>
    <cellStyle name="Calculation 2 3 3" xfId="1371" xr:uid="{00000000-0005-0000-0000-0000E3010000}"/>
    <cellStyle name="Calculation 2 3 4" xfId="1418" xr:uid="{00000000-0005-0000-0000-0000E4010000}"/>
    <cellStyle name="Calculation 2 3 5" xfId="1264" xr:uid="{00000000-0005-0000-0000-0000E5010000}"/>
    <cellStyle name="Calculation 2 3 6" xfId="1255" xr:uid="{00000000-0005-0000-0000-0000E6010000}"/>
    <cellStyle name="Calculation 2 3 7" xfId="1389" xr:uid="{00000000-0005-0000-0000-0000E7010000}"/>
    <cellStyle name="Calculation 2 4" xfId="592" xr:uid="{00000000-0005-0000-0000-0000E8010000}"/>
    <cellStyle name="Calculation 2 4 2" xfId="1100" xr:uid="{00000000-0005-0000-0000-0000E9010000}"/>
    <cellStyle name="Calculation 2 4 3" xfId="1465" xr:uid="{00000000-0005-0000-0000-0000EA010000}"/>
    <cellStyle name="Calculation 2 4 4" xfId="1640" xr:uid="{00000000-0005-0000-0000-0000EB010000}"/>
    <cellStyle name="Calculation 2 4 5" xfId="1817" xr:uid="{00000000-0005-0000-0000-0000EC010000}"/>
    <cellStyle name="Calculation 2 4 6" xfId="1987" xr:uid="{00000000-0005-0000-0000-0000ED010000}"/>
    <cellStyle name="Calculation 2 4 7" xfId="2154" xr:uid="{00000000-0005-0000-0000-0000EE010000}"/>
    <cellStyle name="Calculation 2 5" xfId="675" xr:uid="{00000000-0005-0000-0000-0000EF010000}"/>
    <cellStyle name="Calculation 2 5 2" xfId="1183" xr:uid="{00000000-0005-0000-0000-0000F0010000}"/>
    <cellStyle name="Calculation 2 5 3" xfId="1548" xr:uid="{00000000-0005-0000-0000-0000F1010000}"/>
    <cellStyle name="Calculation 2 5 4" xfId="1723" xr:uid="{00000000-0005-0000-0000-0000F2010000}"/>
    <cellStyle name="Calculation 2 5 5" xfId="1900" xr:uid="{00000000-0005-0000-0000-0000F3010000}"/>
    <cellStyle name="Calculation 2 5 6" xfId="2070" xr:uid="{00000000-0005-0000-0000-0000F4010000}"/>
    <cellStyle name="Calculation 2 5 7" xfId="2237" xr:uid="{00000000-0005-0000-0000-0000F5010000}"/>
    <cellStyle name="Calculation 2 6" xfId="701" xr:uid="{00000000-0005-0000-0000-0000F6010000}"/>
    <cellStyle name="Calculation 2 6 2" xfId="1209" xr:uid="{00000000-0005-0000-0000-0000F7010000}"/>
    <cellStyle name="Calculation 2 6 3" xfId="1574" xr:uid="{00000000-0005-0000-0000-0000F8010000}"/>
    <cellStyle name="Calculation 2 6 4" xfId="1749" xr:uid="{00000000-0005-0000-0000-0000F9010000}"/>
    <cellStyle name="Calculation 2 6 5" xfId="1926" xr:uid="{00000000-0005-0000-0000-0000FA010000}"/>
    <cellStyle name="Calculation 2 6 6" xfId="2096" xr:uid="{00000000-0005-0000-0000-0000FB010000}"/>
    <cellStyle name="Calculation 2 6 7" xfId="2263" xr:uid="{00000000-0005-0000-0000-0000FC010000}"/>
    <cellStyle name="Calculation 2 7" xfId="435" xr:uid="{00000000-0005-0000-0000-0000FD010000}"/>
    <cellStyle name="Calculation 2 7 2" xfId="946" xr:uid="{00000000-0005-0000-0000-0000FE010000}"/>
    <cellStyle name="Calculation 2 7 3" xfId="1376" xr:uid="{00000000-0005-0000-0000-0000FF010000}"/>
    <cellStyle name="Calculation 2 7 4" xfId="1354" xr:uid="{00000000-0005-0000-0000-000000020000}"/>
    <cellStyle name="Calculation 2 7 5" xfId="1329" xr:uid="{00000000-0005-0000-0000-000001020000}"/>
    <cellStyle name="Calculation 2 7 6" xfId="1307" xr:uid="{00000000-0005-0000-0000-000002020000}"/>
    <cellStyle name="Calculation 2 7 7" xfId="1301" xr:uid="{00000000-0005-0000-0000-000003020000}"/>
    <cellStyle name="Calculation 2 8" xfId="715" xr:uid="{00000000-0005-0000-0000-000004020000}"/>
    <cellStyle name="Calculation 2 8 2" xfId="1223" xr:uid="{00000000-0005-0000-0000-000005020000}"/>
    <cellStyle name="Calculation 2 8 3" xfId="1588" xr:uid="{00000000-0005-0000-0000-000006020000}"/>
    <cellStyle name="Calculation 2 8 4" xfId="1763" xr:uid="{00000000-0005-0000-0000-000007020000}"/>
    <cellStyle name="Calculation 2 8 5" xfId="1940" xr:uid="{00000000-0005-0000-0000-000008020000}"/>
    <cellStyle name="Calculation 2 8 6" xfId="2110" xr:uid="{00000000-0005-0000-0000-000009020000}"/>
    <cellStyle name="Calculation 2 8 7" xfId="2277" xr:uid="{00000000-0005-0000-0000-00000A020000}"/>
    <cellStyle name="Calculation 2 9" xfId="1062" xr:uid="{00000000-0005-0000-0000-00000B020000}"/>
    <cellStyle name="Calculation 3" xfId="488" xr:uid="{00000000-0005-0000-0000-00000C020000}"/>
    <cellStyle name="Calculation 3 10" xfId="1405" xr:uid="{00000000-0005-0000-0000-00000D020000}"/>
    <cellStyle name="Calculation 3 11" xfId="1350" xr:uid="{00000000-0005-0000-0000-00000E020000}"/>
    <cellStyle name="Calculation 3 12" xfId="1421" xr:uid="{00000000-0005-0000-0000-00000F020000}"/>
    <cellStyle name="Calculation 3 13" xfId="1265" xr:uid="{00000000-0005-0000-0000-000010020000}"/>
    <cellStyle name="Calculation 3 14" xfId="1240" xr:uid="{00000000-0005-0000-0000-000011020000}"/>
    <cellStyle name="Calculation 3 2" xfId="614" xr:uid="{00000000-0005-0000-0000-000012020000}"/>
    <cellStyle name="Calculation 3 2 2" xfId="1122" xr:uid="{00000000-0005-0000-0000-000013020000}"/>
    <cellStyle name="Calculation 3 2 3" xfId="1487" xr:uid="{00000000-0005-0000-0000-000014020000}"/>
    <cellStyle name="Calculation 3 2 4" xfId="1662" xr:uid="{00000000-0005-0000-0000-000015020000}"/>
    <cellStyle name="Calculation 3 2 5" xfId="1839" xr:uid="{00000000-0005-0000-0000-000016020000}"/>
    <cellStyle name="Calculation 3 2 6" xfId="2009" xr:uid="{00000000-0005-0000-0000-000017020000}"/>
    <cellStyle name="Calculation 3 2 7" xfId="2176" xr:uid="{00000000-0005-0000-0000-000018020000}"/>
    <cellStyle name="Calculation 3 3" xfId="610" xr:uid="{00000000-0005-0000-0000-000019020000}"/>
    <cellStyle name="Calculation 3 3 2" xfId="1118" xr:uid="{00000000-0005-0000-0000-00001A020000}"/>
    <cellStyle name="Calculation 3 3 3" xfId="1483" xr:uid="{00000000-0005-0000-0000-00001B020000}"/>
    <cellStyle name="Calculation 3 3 4" xfId="1658" xr:uid="{00000000-0005-0000-0000-00001C020000}"/>
    <cellStyle name="Calculation 3 3 5" xfId="1835" xr:uid="{00000000-0005-0000-0000-00001D020000}"/>
    <cellStyle name="Calculation 3 3 6" xfId="2005" xr:uid="{00000000-0005-0000-0000-00001E020000}"/>
    <cellStyle name="Calculation 3 3 7" xfId="2172" xr:uid="{00000000-0005-0000-0000-00001F020000}"/>
    <cellStyle name="Calculation 3 4" xfId="449" xr:uid="{00000000-0005-0000-0000-000020020000}"/>
    <cellStyle name="Calculation 3 4 2" xfId="959" xr:uid="{00000000-0005-0000-0000-000021020000}"/>
    <cellStyle name="Calculation 3 4 3" xfId="1388" xr:uid="{00000000-0005-0000-0000-000022020000}"/>
    <cellStyle name="Calculation 3 4 4" xfId="1270" xr:uid="{00000000-0005-0000-0000-000023020000}"/>
    <cellStyle name="Calculation 3 4 5" xfId="1242" xr:uid="{00000000-0005-0000-0000-000024020000}"/>
    <cellStyle name="Calculation 3 4 6" xfId="1309" xr:uid="{00000000-0005-0000-0000-000025020000}"/>
    <cellStyle name="Calculation 3 4 7" xfId="1256" xr:uid="{00000000-0005-0000-0000-000026020000}"/>
    <cellStyle name="Calculation 3 5" xfId="437" xr:uid="{00000000-0005-0000-0000-000027020000}"/>
    <cellStyle name="Calculation 3 5 2" xfId="948" xr:uid="{00000000-0005-0000-0000-000028020000}"/>
    <cellStyle name="Calculation 3 5 3" xfId="1378" xr:uid="{00000000-0005-0000-0000-000029020000}"/>
    <cellStyle name="Calculation 3 5 4" xfId="1271" xr:uid="{00000000-0005-0000-0000-00002A020000}"/>
    <cellStyle name="Calculation 3 5 5" xfId="1359" xr:uid="{00000000-0005-0000-0000-00002B020000}"/>
    <cellStyle name="Calculation 3 5 6" xfId="1295" xr:uid="{00000000-0005-0000-0000-00002C020000}"/>
    <cellStyle name="Calculation 3 5 7" xfId="1269" xr:uid="{00000000-0005-0000-0000-00002D020000}"/>
    <cellStyle name="Calculation 3 6" xfId="693" xr:uid="{00000000-0005-0000-0000-00002E020000}"/>
    <cellStyle name="Calculation 3 6 2" xfId="1201" xr:uid="{00000000-0005-0000-0000-00002F020000}"/>
    <cellStyle name="Calculation 3 6 3" xfId="1566" xr:uid="{00000000-0005-0000-0000-000030020000}"/>
    <cellStyle name="Calculation 3 6 4" xfId="1741" xr:uid="{00000000-0005-0000-0000-000031020000}"/>
    <cellStyle name="Calculation 3 6 5" xfId="1918" xr:uid="{00000000-0005-0000-0000-000032020000}"/>
    <cellStyle name="Calculation 3 6 6" xfId="2088" xr:uid="{00000000-0005-0000-0000-000033020000}"/>
    <cellStyle name="Calculation 3 6 7" xfId="2255" xr:uid="{00000000-0005-0000-0000-000034020000}"/>
    <cellStyle name="Calculation 3 7" xfId="584" xr:uid="{00000000-0005-0000-0000-000035020000}"/>
    <cellStyle name="Calculation 3 7 2" xfId="1092" xr:uid="{00000000-0005-0000-0000-000036020000}"/>
    <cellStyle name="Calculation 3 7 3" xfId="1457" xr:uid="{00000000-0005-0000-0000-000037020000}"/>
    <cellStyle name="Calculation 3 7 4" xfId="1632" xr:uid="{00000000-0005-0000-0000-000038020000}"/>
    <cellStyle name="Calculation 3 7 5" xfId="1809" xr:uid="{00000000-0005-0000-0000-000039020000}"/>
    <cellStyle name="Calculation 3 7 6" xfId="1979" xr:uid="{00000000-0005-0000-0000-00003A020000}"/>
    <cellStyle name="Calculation 3 7 7" xfId="2146" xr:uid="{00000000-0005-0000-0000-00003B020000}"/>
    <cellStyle name="Calculation 3 8" xfId="635" xr:uid="{00000000-0005-0000-0000-00003C020000}"/>
    <cellStyle name="Calculation 3 8 2" xfId="1143" xr:uid="{00000000-0005-0000-0000-00003D020000}"/>
    <cellStyle name="Calculation 3 8 3" xfId="1508" xr:uid="{00000000-0005-0000-0000-00003E020000}"/>
    <cellStyle name="Calculation 3 8 4" xfId="1683" xr:uid="{00000000-0005-0000-0000-00003F020000}"/>
    <cellStyle name="Calculation 3 8 5" xfId="1860" xr:uid="{00000000-0005-0000-0000-000040020000}"/>
    <cellStyle name="Calculation 3 8 6" xfId="2030" xr:uid="{00000000-0005-0000-0000-000041020000}"/>
    <cellStyle name="Calculation 3 8 7" xfId="2197" xr:uid="{00000000-0005-0000-0000-000042020000}"/>
    <cellStyle name="Calculation 3 9" xfId="998" xr:uid="{00000000-0005-0000-0000-000043020000}"/>
    <cellStyle name="Calculation 4" xfId="578" xr:uid="{00000000-0005-0000-0000-000044020000}"/>
    <cellStyle name="Calculation 4 10" xfId="1627" xr:uid="{00000000-0005-0000-0000-000045020000}"/>
    <cellStyle name="Calculation 4 11" xfId="1805" xr:uid="{00000000-0005-0000-0000-000046020000}"/>
    <cellStyle name="Calculation 4 12" xfId="1975" xr:uid="{00000000-0005-0000-0000-000047020000}"/>
    <cellStyle name="Calculation 4 13" xfId="2142" xr:uid="{00000000-0005-0000-0000-000048020000}"/>
    <cellStyle name="Calculation 4 2" xfId="646" xr:uid="{00000000-0005-0000-0000-000049020000}"/>
    <cellStyle name="Calculation 4 2 2" xfId="1154" xr:uid="{00000000-0005-0000-0000-00004A020000}"/>
    <cellStyle name="Calculation 4 2 3" xfId="1519" xr:uid="{00000000-0005-0000-0000-00004B020000}"/>
    <cellStyle name="Calculation 4 2 4" xfId="1694" xr:uid="{00000000-0005-0000-0000-00004C020000}"/>
    <cellStyle name="Calculation 4 2 5" xfId="1871" xr:uid="{00000000-0005-0000-0000-00004D020000}"/>
    <cellStyle name="Calculation 4 2 6" xfId="2041" xr:uid="{00000000-0005-0000-0000-00004E020000}"/>
    <cellStyle name="Calculation 4 2 7" xfId="2208" xr:uid="{00000000-0005-0000-0000-00004F020000}"/>
    <cellStyle name="Calculation 4 3" xfId="662" xr:uid="{00000000-0005-0000-0000-000050020000}"/>
    <cellStyle name="Calculation 4 3 2" xfId="1170" xr:uid="{00000000-0005-0000-0000-000051020000}"/>
    <cellStyle name="Calculation 4 3 3" xfId="1535" xr:uid="{00000000-0005-0000-0000-000052020000}"/>
    <cellStyle name="Calculation 4 3 4" xfId="1710" xr:uid="{00000000-0005-0000-0000-000053020000}"/>
    <cellStyle name="Calculation 4 3 5" xfId="1887" xr:uid="{00000000-0005-0000-0000-000054020000}"/>
    <cellStyle name="Calculation 4 3 6" xfId="2057" xr:uid="{00000000-0005-0000-0000-000055020000}"/>
    <cellStyle name="Calculation 4 3 7" xfId="2224" xr:uid="{00000000-0005-0000-0000-000056020000}"/>
    <cellStyle name="Calculation 4 4" xfId="672" xr:uid="{00000000-0005-0000-0000-000057020000}"/>
    <cellStyle name="Calculation 4 4 2" xfId="1180" xr:uid="{00000000-0005-0000-0000-000058020000}"/>
    <cellStyle name="Calculation 4 4 3" xfId="1545" xr:uid="{00000000-0005-0000-0000-000059020000}"/>
    <cellStyle name="Calculation 4 4 4" xfId="1720" xr:uid="{00000000-0005-0000-0000-00005A020000}"/>
    <cellStyle name="Calculation 4 4 5" xfId="1897" xr:uid="{00000000-0005-0000-0000-00005B020000}"/>
    <cellStyle name="Calculation 4 4 6" xfId="2067" xr:uid="{00000000-0005-0000-0000-00005C020000}"/>
    <cellStyle name="Calculation 4 4 7" xfId="2234" xr:uid="{00000000-0005-0000-0000-00005D020000}"/>
    <cellStyle name="Calculation 4 5" xfId="689" xr:uid="{00000000-0005-0000-0000-00005E020000}"/>
    <cellStyle name="Calculation 4 5 2" xfId="1197" xr:uid="{00000000-0005-0000-0000-00005F020000}"/>
    <cellStyle name="Calculation 4 5 3" xfId="1562" xr:uid="{00000000-0005-0000-0000-000060020000}"/>
    <cellStyle name="Calculation 4 5 4" xfId="1737" xr:uid="{00000000-0005-0000-0000-000061020000}"/>
    <cellStyle name="Calculation 4 5 5" xfId="1914" xr:uid="{00000000-0005-0000-0000-000062020000}"/>
    <cellStyle name="Calculation 4 5 6" xfId="2084" xr:uid="{00000000-0005-0000-0000-000063020000}"/>
    <cellStyle name="Calculation 4 5 7" xfId="2251" xr:uid="{00000000-0005-0000-0000-000064020000}"/>
    <cellStyle name="Calculation 4 6" xfId="603" xr:uid="{00000000-0005-0000-0000-000065020000}"/>
    <cellStyle name="Calculation 4 6 2" xfId="1111" xr:uid="{00000000-0005-0000-0000-000066020000}"/>
    <cellStyle name="Calculation 4 6 3" xfId="1476" xr:uid="{00000000-0005-0000-0000-000067020000}"/>
    <cellStyle name="Calculation 4 6 4" xfId="1651" xr:uid="{00000000-0005-0000-0000-000068020000}"/>
    <cellStyle name="Calculation 4 6 5" xfId="1828" xr:uid="{00000000-0005-0000-0000-000069020000}"/>
    <cellStyle name="Calculation 4 6 6" xfId="1998" xr:uid="{00000000-0005-0000-0000-00006A020000}"/>
    <cellStyle name="Calculation 4 6 7" xfId="2165" xr:uid="{00000000-0005-0000-0000-00006B020000}"/>
    <cellStyle name="Calculation 4 7" xfId="729" xr:uid="{00000000-0005-0000-0000-00006C020000}"/>
    <cellStyle name="Calculation 4 7 2" xfId="1237" xr:uid="{00000000-0005-0000-0000-00006D020000}"/>
    <cellStyle name="Calculation 4 7 3" xfId="1602" xr:uid="{00000000-0005-0000-0000-00006E020000}"/>
    <cellStyle name="Calculation 4 7 4" xfId="1777" xr:uid="{00000000-0005-0000-0000-00006F020000}"/>
    <cellStyle name="Calculation 4 7 5" xfId="1954" xr:uid="{00000000-0005-0000-0000-000070020000}"/>
    <cellStyle name="Calculation 4 7 6" xfId="2124" xr:uid="{00000000-0005-0000-0000-000071020000}"/>
    <cellStyle name="Calculation 4 7 7" xfId="2291" xr:uid="{00000000-0005-0000-0000-000072020000}"/>
    <cellStyle name="Calculation 4 8" xfId="1087" xr:uid="{00000000-0005-0000-0000-000073020000}"/>
    <cellStyle name="Calculation 4 9" xfId="1453" xr:uid="{00000000-0005-0000-0000-000074020000}"/>
    <cellStyle name="Calculation 5" xfId="361" xr:uid="{00000000-0005-0000-0000-000075020000}"/>
    <cellStyle name="Calculation 5 2" xfId="872" xr:uid="{00000000-0005-0000-0000-000076020000}"/>
    <cellStyle name="Calculation 5 3" xfId="1338" xr:uid="{00000000-0005-0000-0000-000077020000}"/>
    <cellStyle name="Calculation 5 4" xfId="1275" xr:uid="{00000000-0005-0000-0000-000078020000}"/>
    <cellStyle name="Calculation 5 5" xfId="1302" xr:uid="{00000000-0005-0000-0000-000079020000}"/>
    <cellStyle name="Calculation 5 6" xfId="1782" xr:uid="{00000000-0005-0000-0000-00007A020000}"/>
    <cellStyle name="Calculation 5 7" xfId="1955" xr:uid="{00000000-0005-0000-0000-00007B020000}"/>
    <cellStyle name="Calculation 6" xfId="356" xr:uid="{00000000-0005-0000-0000-00007C020000}"/>
    <cellStyle name="Calculation 6 2" xfId="867" xr:uid="{00000000-0005-0000-0000-00007D020000}"/>
    <cellStyle name="Calculation 6 3" xfId="1333" xr:uid="{00000000-0005-0000-0000-00007E020000}"/>
    <cellStyle name="Calculation 6 4" xfId="1424" xr:uid="{00000000-0005-0000-0000-00007F020000}"/>
    <cellStyle name="Calculation 6 5" xfId="1262" xr:uid="{00000000-0005-0000-0000-000080020000}"/>
    <cellStyle name="Calculation 6 6" xfId="1305" xr:uid="{00000000-0005-0000-0000-000081020000}"/>
    <cellStyle name="Calculation 6 7" xfId="1778" xr:uid="{00000000-0005-0000-0000-000082020000}"/>
    <cellStyle name="Calculation 7" xfId="429" xr:uid="{00000000-0005-0000-0000-000083020000}"/>
    <cellStyle name="Calculation 7 2" xfId="940" xr:uid="{00000000-0005-0000-0000-000084020000}"/>
    <cellStyle name="Calculation 7 3" xfId="1370" xr:uid="{00000000-0005-0000-0000-000085020000}"/>
    <cellStyle name="Calculation 7 4" xfId="1356" xr:uid="{00000000-0005-0000-0000-000086020000}"/>
    <cellStyle name="Calculation 7 5" xfId="1349" xr:uid="{00000000-0005-0000-0000-000087020000}"/>
    <cellStyle name="Calculation 7 6" xfId="1428" xr:uid="{00000000-0005-0000-0000-000088020000}"/>
    <cellStyle name="Calculation 7 7" xfId="1447" xr:uid="{00000000-0005-0000-0000-000089020000}"/>
    <cellStyle name="Calculation 8" xfId="762" xr:uid="{00000000-0005-0000-0000-00008A020000}"/>
    <cellStyle name="Calculation 9" xfId="1285" xr:uid="{00000000-0005-0000-0000-00008B020000}"/>
    <cellStyle name="Cálculo 2" xfId="81" xr:uid="{00000000-0005-0000-0000-00008C020000}"/>
    <cellStyle name="Cálculo 2 2" xfId="551" xr:uid="{00000000-0005-0000-0000-00008D020000}"/>
    <cellStyle name="Cálculo 2 2 10" xfId="1433" xr:uid="{00000000-0005-0000-0000-00008E020000}"/>
    <cellStyle name="Cálculo 2 2 11" xfId="1611" xr:uid="{00000000-0005-0000-0000-00008F020000}"/>
    <cellStyle name="Cálculo 2 2 12" xfId="1789" xr:uid="{00000000-0005-0000-0000-000090020000}"/>
    <cellStyle name="Cálculo 2 2 13" xfId="1960" xr:uid="{00000000-0005-0000-0000-000091020000}"/>
    <cellStyle name="Cálculo 2 2 14" xfId="2127" xr:uid="{00000000-0005-0000-0000-000092020000}"/>
    <cellStyle name="Cálculo 2 2 2" xfId="629" xr:uid="{00000000-0005-0000-0000-000093020000}"/>
    <cellStyle name="Cálculo 2 2 2 2" xfId="1137" xr:uid="{00000000-0005-0000-0000-000094020000}"/>
    <cellStyle name="Cálculo 2 2 2 3" xfId="1502" xr:uid="{00000000-0005-0000-0000-000095020000}"/>
    <cellStyle name="Cálculo 2 2 2 4" xfId="1677" xr:uid="{00000000-0005-0000-0000-000096020000}"/>
    <cellStyle name="Cálculo 2 2 2 5" xfId="1854" xr:uid="{00000000-0005-0000-0000-000097020000}"/>
    <cellStyle name="Cálculo 2 2 2 6" xfId="2024" xr:uid="{00000000-0005-0000-0000-000098020000}"/>
    <cellStyle name="Cálculo 2 2 2 7" xfId="2191" xr:uid="{00000000-0005-0000-0000-000099020000}"/>
    <cellStyle name="Cálculo 2 2 3" xfId="442" xr:uid="{00000000-0005-0000-0000-00009A020000}"/>
    <cellStyle name="Cálculo 2 2 3 2" xfId="953" xr:uid="{00000000-0005-0000-0000-00009B020000}"/>
    <cellStyle name="Cálculo 2 2 3 3" xfId="1383" xr:uid="{00000000-0005-0000-0000-00009C020000}"/>
    <cellStyle name="Cálculo 2 2 3 4" xfId="1321" xr:uid="{00000000-0005-0000-0000-00009D020000}"/>
    <cellStyle name="Cálculo 2 2 3 5" xfId="1250" xr:uid="{00000000-0005-0000-0000-00009E020000}"/>
    <cellStyle name="Cálculo 2 2 3 6" xfId="1429" xr:uid="{00000000-0005-0000-0000-00009F020000}"/>
    <cellStyle name="Cálculo 2 2 3 7" xfId="1607" xr:uid="{00000000-0005-0000-0000-0000A0020000}"/>
    <cellStyle name="Cálculo 2 2 4" xfId="604" xr:uid="{00000000-0005-0000-0000-0000A1020000}"/>
    <cellStyle name="Cálculo 2 2 4 2" xfId="1112" xr:uid="{00000000-0005-0000-0000-0000A2020000}"/>
    <cellStyle name="Cálculo 2 2 4 3" xfId="1477" xr:uid="{00000000-0005-0000-0000-0000A3020000}"/>
    <cellStyle name="Cálculo 2 2 4 4" xfId="1652" xr:uid="{00000000-0005-0000-0000-0000A4020000}"/>
    <cellStyle name="Cálculo 2 2 4 5" xfId="1829" xr:uid="{00000000-0005-0000-0000-0000A5020000}"/>
    <cellStyle name="Cálculo 2 2 4 6" xfId="1999" xr:uid="{00000000-0005-0000-0000-0000A6020000}"/>
    <cellStyle name="Cálculo 2 2 4 7" xfId="2166" xr:uid="{00000000-0005-0000-0000-0000A7020000}"/>
    <cellStyle name="Cálculo 2 2 5" xfId="674" xr:uid="{00000000-0005-0000-0000-0000A8020000}"/>
    <cellStyle name="Cálculo 2 2 5 2" xfId="1182" xr:uid="{00000000-0005-0000-0000-0000A9020000}"/>
    <cellStyle name="Cálculo 2 2 5 3" xfId="1547" xr:uid="{00000000-0005-0000-0000-0000AA020000}"/>
    <cellStyle name="Cálculo 2 2 5 4" xfId="1722" xr:uid="{00000000-0005-0000-0000-0000AB020000}"/>
    <cellStyle name="Cálculo 2 2 5 5" xfId="1899" xr:uid="{00000000-0005-0000-0000-0000AC020000}"/>
    <cellStyle name="Cálculo 2 2 5 6" xfId="2069" xr:uid="{00000000-0005-0000-0000-0000AD020000}"/>
    <cellStyle name="Cálculo 2 2 5 7" xfId="2236" xr:uid="{00000000-0005-0000-0000-0000AE020000}"/>
    <cellStyle name="Cálculo 2 2 6" xfId="700" xr:uid="{00000000-0005-0000-0000-0000AF020000}"/>
    <cellStyle name="Cálculo 2 2 6 2" xfId="1208" xr:uid="{00000000-0005-0000-0000-0000B0020000}"/>
    <cellStyle name="Cálculo 2 2 6 3" xfId="1573" xr:uid="{00000000-0005-0000-0000-0000B1020000}"/>
    <cellStyle name="Cálculo 2 2 6 4" xfId="1748" xr:uid="{00000000-0005-0000-0000-0000B2020000}"/>
    <cellStyle name="Cálculo 2 2 6 5" xfId="1925" xr:uid="{00000000-0005-0000-0000-0000B3020000}"/>
    <cellStyle name="Cálculo 2 2 6 6" xfId="2095" xr:uid="{00000000-0005-0000-0000-0000B4020000}"/>
    <cellStyle name="Cálculo 2 2 6 7" xfId="2262" xr:uid="{00000000-0005-0000-0000-0000B5020000}"/>
    <cellStyle name="Cálculo 2 2 7" xfId="582" xr:uid="{00000000-0005-0000-0000-0000B6020000}"/>
    <cellStyle name="Cálculo 2 2 7 2" xfId="1090" xr:uid="{00000000-0005-0000-0000-0000B7020000}"/>
    <cellStyle name="Cálculo 2 2 7 3" xfId="1455" xr:uid="{00000000-0005-0000-0000-0000B8020000}"/>
    <cellStyle name="Cálculo 2 2 7 4" xfId="1630" xr:uid="{00000000-0005-0000-0000-0000B9020000}"/>
    <cellStyle name="Cálculo 2 2 7 5" xfId="1807" xr:uid="{00000000-0005-0000-0000-0000BA020000}"/>
    <cellStyle name="Cálculo 2 2 7 6" xfId="1977" xr:uid="{00000000-0005-0000-0000-0000BB020000}"/>
    <cellStyle name="Cálculo 2 2 7 7" xfId="2144" xr:uid="{00000000-0005-0000-0000-0000BC020000}"/>
    <cellStyle name="Cálculo 2 2 8" xfId="714" xr:uid="{00000000-0005-0000-0000-0000BD020000}"/>
    <cellStyle name="Cálculo 2 2 8 2" xfId="1222" xr:uid="{00000000-0005-0000-0000-0000BE020000}"/>
    <cellStyle name="Cálculo 2 2 8 3" xfId="1587" xr:uid="{00000000-0005-0000-0000-0000BF020000}"/>
    <cellStyle name="Cálculo 2 2 8 4" xfId="1762" xr:uid="{00000000-0005-0000-0000-0000C0020000}"/>
    <cellStyle name="Cálculo 2 2 8 5" xfId="1939" xr:uid="{00000000-0005-0000-0000-0000C1020000}"/>
    <cellStyle name="Cálculo 2 2 8 6" xfId="2109" xr:uid="{00000000-0005-0000-0000-0000C2020000}"/>
    <cellStyle name="Cálculo 2 2 8 7" xfId="2276" xr:uid="{00000000-0005-0000-0000-0000C3020000}"/>
    <cellStyle name="Cálculo 2 2 9" xfId="1061" xr:uid="{00000000-0005-0000-0000-0000C4020000}"/>
    <cellStyle name="Cálculo 2 3" xfId="487" xr:uid="{00000000-0005-0000-0000-0000C5020000}"/>
    <cellStyle name="Cálculo 2 3 10" xfId="1404" xr:uid="{00000000-0005-0000-0000-0000C6020000}"/>
    <cellStyle name="Cálculo 2 3 11" xfId="1393" xr:uid="{00000000-0005-0000-0000-0000C7020000}"/>
    <cellStyle name="Cálculo 2 3 12" xfId="1308" xr:uid="{00000000-0005-0000-0000-0000C8020000}"/>
    <cellStyle name="Cálculo 2 3 13" xfId="1606" xr:uid="{00000000-0005-0000-0000-0000C9020000}"/>
    <cellStyle name="Cálculo 2 3 14" xfId="1251" xr:uid="{00000000-0005-0000-0000-0000CA020000}"/>
    <cellStyle name="Cálculo 2 3 2" xfId="613" xr:uid="{00000000-0005-0000-0000-0000CB020000}"/>
    <cellStyle name="Cálculo 2 3 2 2" xfId="1121" xr:uid="{00000000-0005-0000-0000-0000CC020000}"/>
    <cellStyle name="Cálculo 2 3 2 3" xfId="1486" xr:uid="{00000000-0005-0000-0000-0000CD020000}"/>
    <cellStyle name="Cálculo 2 3 2 4" xfId="1661" xr:uid="{00000000-0005-0000-0000-0000CE020000}"/>
    <cellStyle name="Cálculo 2 3 2 5" xfId="1838" xr:uid="{00000000-0005-0000-0000-0000CF020000}"/>
    <cellStyle name="Cálculo 2 3 2 6" xfId="2008" xr:uid="{00000000-0005-0000-0000-0000D0020000}"/>
    <cellStyle name="Cálculo 2 3 2 7" xfId="2175" xr:uid="{00000000-0005-0000-0000-0000D1020000}"/>
    <cellStyle name="Cálculo 2 3 3" xfId="439" xr:uid="{00000000-0005-0000-0000-0000D2020000}"/>
    <cellStyle name="Cálculo 2 3 3 2" xfId="950" xr:uid="{00000000-0005-0000-0000-0000D3020000}"/>
    <cellStyle name="Cálculo 2 3 3 3" xfId="1380" xr:uid="{00000000-0005-0000-0000-0000D4020000}"/>
    <cellStyle name="Cálculo 2 3 3 4" xfId="1417" xr:uid="{00000000-0005-0000-0000-0000D5020000}"/>
    <cellStyle name="Cálculo 2 3 3 5" xfId="1317" xr:uid="{00000000-0005-0000-0000-0000D6020000}"/>
    <cellStyle name="Cálculo 2 3 3 6" xfId="1358" xr:uid="{00000000-0005-0000-0000-0000D7020000}"/>
    <cellStyle name="Cálculo 2 3 3 7" xfId="1283" xr:uid="{00000000-0005-0000-0000-0000D8020000}"/>
    <cellStyle name="Cálculo 2 3 4" xfId="601" xr:uid="{00000000-0005-0000-0000-0000D9020000}"/>
    <cellStyle name="Cálculo 2 3 4 2" xfId="1109" xr:uid="{00000000-0005-0000-0000-0000DA020000}"/>
    <cellStyle name="Cálculo 2 3 4 3" xfId="1474" xr:uid="{00000000-0005-0000-0000-0000DB020000}"/>
    <cellStyle name="Cálculo 2 3 4 4" xfId="1649" xr:uid="{00000000-0005-0000-0000-0000DC020000}"/>
    <cellStyle name="Cálculo 2 3 4 5" xfId="1826" xr:uid="{00000000-0005-0000-0000-0000DD020000}"/>
    <cellStyle name="Cálculo 2 3 4 6" xfId="1996" xr:uid="{00000000-0005-0000-0000-0000DE020000}"/>
    <cellStyle name="Cálculo 2 3 4 7" xfId="2163" xr:uid="{00000000-0005-0000-0000-0000DF020000}"/>
    <cellStyle name="Cálculo 2 3 5" xfId="589" xr:uid="{00000000-0005-0000-0000-0000E0020000}"/>
    <cellStyle name="Cálculo 2 3 5 2" xfId="1097" xr:uid="{00000000-0005-0000-0000-0000E1020000}"/>
    <cellStyle name="Cálculo 2 3 5 3" xfId="1462" xr:uid="{00000000-0005-0000-0000-0000E2020000}"/>
    <cellStyle name="Cálculo 2 3 5 4" xfId="1637" xr:uid="{00000000-0005-0000-0000-0000E3020000}"/>
    <cellStyle name="Cálculo 2 3 5 5" xfId="1814" xr:uid="{00000000-0005-0000-0000-0000E4020000}"/>
    <cellStyle name="Cálculo 2 3 5 6" xfId="1984" xr:uid="{00000000-0005-0000-0000-0000E5020000}"/>
    <cellStyle name="Cálculo 2 3 5 7" xfId="2151" xr:uid="{00000000-0005-0000-0000-0000E6020000}"/>
    <cellStyle name="Cálculo 2 3 6" xfId="692" xr:uid="{00000000-0005-0000-0000-0000E7020000}"/>
    <cellStyle name="Cálculo 2 3 6 2" xfId="1200" xr:uid="{00000000-0005-0000-0000-0000E8020000}"/>
    <cellStyle name="Cálculo 2 3 6 3" xfId="1565" xr:uid="{00000000-0005-0000-0000-0000E9020000}"/>
    <cellStyle name="Cálculo 2 3 6 4" xfId="1740" xr:uid="{00000000-0005-0000-0000-0000EA020000}"/>
    <cellStyle name="Cálculo 2 3 6 5" xfId="1917" xr:uid="{00000000-0005-0000-0000-0000EB020000}"/>
    <cellStyle name="Cálculo 2 3 6 6" xfId="2087" xr:uid="{00000000-0005-0000-0000-0000EC020000}"/>
    <cellStyle name="Cálculo 2 3 6 7" xfId="2254" xr:uid="{00000000-0005-0000-0000-0000ED020000}"/>
    <cellStyle name="Cálculo 2 3 7" xfId="583" xr:uid="{00000000-0005-0000-0000-0000EE020000}"/>
    <cellStyle name="Cálculo 2 3 7 2" xfId="1091" xr:uid="{00000000-0005-0000-0000-0000EF020000}"/>
    <cellStyle name="Cálculo 2 3 7 3" xfId="1456" xr:uid="{00000000-0005-0000-0000-0000F0020000}"/>
    <cellStyle name="Cálculo 2 3 7 4" xfId="1631" xr:uid="{00000000-0005-0000-0000-0000F1020000}"/>
    <cellStyle name="Cálculo 2 3 7 5" xfId="1808" xr:uid="{00000000-0005-0000-0000-0000F2020000}"/>
    <cellStyle name="Cálculo 2 3 7 6" xfId="1978" xr:uid="{00000000-0005-0000-0000-0000F3020000}"/>
    <cellStyle name="Cálculo 2 3 7 7" xfId="2145" xr:uid="{00000000-0005-0000-0000-0000F4020000}"/>
    <cellStyle name="Cálculo 2 3 8" xfId="691" xr:uid="{00000000-0005-0000-0000-0000F5020000}"/>
    <cellStyle name="Cálculo 2 3 8 2" xfId="1199" xr:uid="{00000000-0005-0000-0000-0000F6020000}"/>
    <cellStyle name="Cálculo 2 3 8 3" xfId="1564" xr:uid="{00000000-0005-0000-0000-0000F7020000}"/>
    <cellStyle name="Cálculo 2 3 8 4" xfId="1739" xr:uid="{00000000-0005-0000-0000-0000F8020000}"/>
    <cellStyle name="Cálculo 2 3 8 5" xfId="1916" xr:uid="{00000000-0005-0000-0000-0000F9020000}"/>
    <cellStyle name="Cálculo 2 3 8 6" xfId="2086" xr:uid="{00000000-0005-0000-0000-0000FA020000}"/>
    <cellStyle name="Cálculo 2 3 8 7" xfId="2253" xr:uid="{00000000-0005-0000-0000-0000FB020000}"/>
    <cellStyle name="Cálculo 2 3 9" xfId="997" xr:uid="{00000000-0005-0000-0000-0000FC020000}"/>
    <cellStyle name="Cálculo 2 4" xfId="553" xr:uid="{00000000-0005-0000-0000-0000FD020000}"/>
    <cellStyle name="Cálculo 2 4 10" xfId="1613" xr:uid="{00000000-0005-0000-0000-0000FE020000}"/>
    <cellStyle name="Cálculo 2 4 11" xfId="1791" xr:uid="{00000000-0005-0000-0000-0000FF020000}"/>
    <cellStyle name="Cálculo 2 4 12" xfId="1962" xr:uid="{00000000-0005-0000-0000-000000030000}"/>
    <cellStyle name="Cálculo 2 4 13" xfId="2129" xr:uid="{00000000-0005-0000-0000-000001030000}"/>
    <cellStyle name="Cálculo 2 4 2" xfId="631" xr:uid="{00000000-0005-0000-0000-000002030000}"/>
    <cellStyle name="Cálculo 2 4 2 2" xfId="1139" xr:uid="{00000000-0005-0000-0000-000003030000}"/>
    <cellStyle name="Cálculo 2 4 2 3" xfId="1504" xr:uid="{00000000-0005-0000-0000-000004030000}"/>
    <cellStyle name="Cálculo 2 4 2 4" xfId="1679" xr:uid="{00000000-0005-0000-0000-000005030000}"/>
    <cellStyle name="Cálculo 2 4 2 5" xfId="1856" xr:uid="{00000000-0005-0000-0000-000006030000}"/>
    <cellStyle name="Cálculo 2 4 2 6" xfId="2026" xr:uid="{00000000-0005-0000-0000-000007030000}"/>
    <cellStyle name="Cálculo 2 4 2 7" xfId="2193" xr:uid="{00000000-0005-0000-0000-000008030000}"/>
    <cellStyle name="Cálculo 2 4 3" xfId="431" xr:uid="{00000000-0005-0000-0000-000009030000}"/>
    <cellStyle name="Cálculo 2 4 3 2" xfId="942" xr:uid="{00000000-0005-0000-0000-00000A030000}"/>
    <cellStyle name="Cálculo 2 4 3 3" xfId="1372" xr:uid="{00000000-0005-0000-0000-00000B030000}"/>
    <cellStyle name="Cálculo 2 4 3 4" xfId="1273" xr:uid="{00000000-0005-0000-0000-00000C030000}"/>
    <cellStyle name="Cálculo 2 4 3 5" xfId="1245" xr:uid="{00000000-0005-0000-0000-00000D030000}"/>
    <cellStyle name="Cálculo 2 4 3 6" xfId="1297" xr:uid="{00000000-0005-0000-0000-00000E030000}"/>
    <cellStyle name="Cálculo 2 4 3 7" xfId="1268" xr:uid="{00000000-0005-0000-0000-00000F030000}"/>
    <cellStyle name="Cálculo 2 4 4" xfId="593" xr:uid="{00000000-0005-0000-0000-000010030000}"/>
    <cellStyle name="Cálculo 2 4 4 2" xfId="1101" xr:uid="{00000000-0005-0000-0000-000011030000}"/>
    <cellStyle name="Cálculo 2 4 4 3" xfId="1466" xr:uid="{00000000-0005-0000-0000-000012030000}"/>
    <cellStyle name="Cálculo 2 4 4 4" xfId="1641" xr:uid="{00000000-0005-0000-0000-000013030000}"/>
    <cellStyle name="Cálculo 2 4 4 5" xfId="1818" xr:uid="{00000000-0005-0000-0000-000014030000}"/>
    <cellStyle name="Cálculo 2 4 4 6" xfId="1988" xr:uid="{00000000-0005-0000-0000-000015030000}"/>
    <cellStyle name="Cálculo 2 4 4 7" xfId="2155" xr:uid="{00000000-0005-0000-0000-000016030000}"/>
    <cellStyle name="Cálculo 2 4 5" xfId="676" xr:uid="{00000000-0005-0000-0000-000017030000}"/>
    <cellStyle name="Cálculo 2 4 5 2" xfId="1184" xr:uid="{00000000-0005-0000-0000-000018030000}"/>
    <cellStyle name="Cálculo 2 4 5 3" xfId="1549" xr:uid="{00000000-0005-0000-0000-000019030000}"/>
    <cellStyle name="Cálculo 2 4 5 4" xfId="1724" xr:uid="{00000000-0005-0000-0000-00001A030000}"/>
    <cellStyle name="Cálculo 2 4 5 5" xfId="1901" xr:uid="{00000000-0005-0000-0000-00001B030000}"/>
    <cellStyle name="Cálculo 2 4 5 6" xfId="2071" xr:uid="{00000000-0005-0000-0000-00001C030000}"/>
    <cellStyle name="Cálculo 2 4 5 7" xfId="2238" xr:uid="{00000000-0005-0000-0000-00001D030000}"/>
    <cellStyle name="Cálculo 2 4 6" xfId="654" xr:uid="{00000000-0005-0000-0000-00001E030000}"/>
    <cellStyle name="Cálculo 2 4 6 2" xfId="1162" xr:uid="{00000000-0005-0000-0000-00001F030000}"/>
    <cellStyle name="Cálculo 2 4 6 3" xfId="1527" xr:uid="{00000000-0005-0000-0000-000020030000}"/>
    <cellStyle name="Cálculo 2 4 6 4" xfId="1702" xr:uid="{00000000-0005-0000-0000-000021030000}"/>
    <cellStyle name="Cálculo 2 4 6 5" xfId="1879" xr:uid="{00000000-0005-0000-0000-000022030000}"/>
    <cellStyle name="Cálculo 2 4 6 6" xfId="2049" xr:uid="{00000000-0005-0000-0000-000023030000}"/>
    <cellStyle name="Cálculo 2 4 6 7" xfId="2216" xr:uid="{00000000-0005-0000-0000-000024030000}"/>
    <cellStyle name="Cálculo 2 4 7" xfId="716" xr:uid="{00000000-0005-0000-0000-000025030000}"/>
    <cellStyle name="Cálculo 2 4 7 2" xfId="1224" xr:uid="{00000000-0005-0000-0000-000026030000}"/>
    <cellStyle name="Cálculo 2 4 7 3" xfId="1589" xr:uid="{00000000-0005-0000-0000-000027030000}"/>
    <cellStyle name="Cálculo 2 4 7 4" xfId="1764" xr:uid="{00000000-0005-0000-0000-000028030000}"/>
    <cellStyle name="Cálculo 2 4 7 5" xfId="1941" xr:uid="{00000000-0005-0000-0000-000029030000}"/>
    <cellStyle name="Cálculo 2 4 7 6" xfId="2111" xr:uid="{00000000-0005-0000-0000-00002A030000}"/>
    <cellStyle name="Cálculo 2 4 7 7" xfId="2278" xr:uid="{00000000-0005-0000-0000-00002B030000}"/>
    <cellStyle name="Cálculo 2 4 8" xfId="1063" xr:uid="{00000000-0005-0000-0000-00002C030000}"/>
    <cellStyle name="Cálculo 2 4 9" xfId="1435" xr:uid="{00000000-0005-0000-0000-00002D030000}"/>
    <cellStyle name="Cálculo 2 5" xfId="362" xr:uid="{00000000-0005-0000-0000-00002E030000}"/>
    <cellStyle name="Cálculo 2 5 2" xfId="873" xr:uid="{00000000-0005-0000-0000-00002F030000}"/>
    <cellStyle name="Cálculo 2 5 3" xfId="1339" xr:uid="{00000000-0005-0000-0000-000030030000}"/>
    <cellStyle name="Cálculo 2 5 4" xfId="1261" xr:uid="{00000000-0005-0000-0000-000031030000}"/>
    <cellStyle name="Cálculo 2 5 5" xfId="1278" xr:uid="{00000000-0005-0000-0000-000032030000}"/>
    <cellStyle name="Cálculo 2 5 6" xfId="1248" xr:uid="{00000000-0005-0000-0000-000033030000}"/>
    <cellStyle name="Cálculo 2 5 7" xfId="1797" xr:uid="{00000000-0005-0000-0000-000034030000}"/>
    <cellStyle name="Cálculo 2 6" xfId="355" xr:uid="{00000000-0005-0000-0000-000035030000}"/>
    <cellStyle name="Cálculo 2 6 2" xfId="866" xr:uid="{00000000-0005-0000-0000-000036030000}"/>
    <cellStyle name="Cálculo 2 6 3" xfId="1332" xr:uid="{00000000-0005-0000-0000-000037030000}"/>
    <cellStyle name="Cálculo 2 6 4" xfId="1363" xr:uid="{00000000-0005-0000-0000-000038030000}"/>
    <cellStyle name="Cálculo 2 6 5" xfId="1288" xr:uid="{00000000-0005-0000-0000-000039030000}"/>
    <cellStyle name="Cálculo 2 6 6" xfId="1279" xr:uid="{00000000-0005-0000-0000-00003A030000}"/>
    <cellStyle name="Cálculo 2 6 7" xfId="1419" xr:uid="{00000000-0005-0000-0000-00003B030000}"/>
    <cellStyle name="Cálculo 2 7" xfId="418" xr:uid="{00000000-0005-0000-0000-00003C030000}"/>
    <cellStyle name="Cálculo 2 7 2" xfId="929" xr:uid="{00000000-0005-0000-0000-00003D030000}"/>
    <cellStyle name="Cálculo 2 7 3" xfId="1365" xr:uid="{00000000-0005-0000-0000-00003E030000}"/>
    <cellStyle name="Cálculo 2 7 4" xfId="1396" xr:uid="{00000000-0005-0000-0000-00003F030000}"/>
    <cellStyle name="Cálculo 2 7 5" xfId="1260" xr:uid="{00000000-0005-0000-0000-000040030000}"/>
    <cellStyle name="Cálculo 2 7 6" xfId="1401" xr:uid="{00000000-0005-0000-0000-000041030000}"/>
    <cellStyle name="Cálculo 2 7 7" xfId="1292" xr:uid="{00000000-0005-0000-0000-000042030000}"/>
    <cellStyle name="Cálculo 2 8" xfId="763" xr:uid="{00000000-0005-0000-0000-000043030000}"/>
    <cellStyle name="Cálculo 2 9" xfId="1284" xr:uid="{00000000-0005-0000-0000-000044030000}"/>
    <cellStyle name="Célula de Verificação 2" xfId="82" xr:uid="{00000000-0005-0000-0000-000045030000}"/>
    <cellStyle name="Célula Vinculada 2" xfId="83" xr:uid="{00000000-0005-0000-0000-000046030000}"/>
    <cellStyle name="Check Cell" xfId="84" xr:uid="{00000000-0005-0000-0000-000047030000}"/>
    <cellStyle name="Ênfase1 2" xfId="85" xr:uid="{00000000-0005-0000-0000-000048030000}"/>
    <cellStyle name="Ênfase2 2" xfId="86" xr:uid="{00000000-0005-0000-0000-000049030000}"/>
    <cellStyle name="Ênfase3 2" xfId="87" xr:uid="{00000000-0005-0000-0000-00004A030000}"/>
    <cellStyle name="Ênfase4 2" xfId="88" xr:uid="{00000000-0005-0000-0000-00004B030000}"/>
    <cellStyle name="Ênfase5 2" xfId="89" xr:uid="{00000000-0005-0000-0000-00004C030000}"/>
    <cellStyle name="Ênfase6 2" xfId="90" xr:uid="{00000000-0005-0000-0000-00004D030000}"/>
    <cellStyle name="Entrada 2" xfId="91" xr:uid="{00000000-0005-0000-0000-00004E030000}"/>
    <cellStyle name="Entrada 2 2" xfId="562" xr:uid="{00000000-0005-0000-0000-00004F030000}"/>
    <cellStyle name="Entrada 2 2 10" xfId="1443" xr:uid="{00000000-0005-0000-0000-000050030000}"/>
    <cellStyle name="Entrada 2 2 11" xfId="1621" xr:uid="{00000000-0005-0000-0000-000051030000}"/>
    <cellStyle name="Entrada 2 2 12" xfId="1799" xr:uid="{00000000-0005-0000-0000-000052030000}"/>
    <cellStyle name="Entrada 2 2 13" xfId="1969" xr:uid="{00000000-0005-0000-0000-000053030000}"/>
    <cellStyle name="Entrada 2 2 14" xfId="2136" xr:uid="{00000000-0005-0000-0000-000054030000}"/>
    <cellStyle name="Entrada 2 2 2" xfId="639" xr:uid="{00000000-0005-0000-0000-000055030000}"/>
    <cellStyle name="Entrada 2 2 2 2" xfId="1147" xr:uid="{00000000-0005-0000-0000-000056030000}"/>
    <cellStyle name="Entrada 2 2 2 3" xfId="1512" xr:uid="{00000000-0005-0000-0000-000057030000}"/>
    <cellStyle name="Entrada 2 2 2 4" xfId="1687" xr:uid="{00000000-0005-0000-0000-000058030000}"/>
    <cellStyle name="Entrada 2 2 2 5" xfId="1864" xr:uid="{00000000-0005-0000-0000-000059030000}"/>
    <cellStyle name="Entrada 2 2 2 6" xfId="2034" xr:uid="{00000000-0005-0000-0000-00005A030000}"/>
    <cellStyle name="Entrada 2 2 2 7" xfId="2201" xr:uid="{00000000-0005-0000-0000-00005B030000}"/>
    <cellStyle name="Entrada 2 2 3" xfId="652" xr:uid="{00000000-0005-0000-0000-00005C030000}"/>
    <cellStyle name="Entrada 2 2 3 2" xfId="1160" xr:uid="{00000000-0005-0000-0000-00005D030000}"/>
    <cellStyle name="Entrada 2 2 3 3" xfId="1525" xr:uid="{00000000-0005-0000-0000-00005E030000}"/>
    <cellStyle name="Entrada 2 2 3 4" xfId="1700" xr:uid="{00000000-0005-0000-0000-00005F030000}"/>
    <cellStyle name="Entrada 2 2 3 5" xfId="1877" xr:uid="{00000000-0005-0000-0000-000060030000}"/>
    <cellStyle name="Entrada 2 2 3 6" xfId="2047" xr:uid="{00000000-0005-0000-0000-000061030000}"/>
    <cellStyle name="Entrada 2 2 3 7" xfId="2214" xr:uid="{00000000-0005-0000-0000-000062030000}"/>
    <cellStyle name="Entrada 2 2 4" xfId="666" xr:uid="{00000000-0005-0000-0000-000063030000}"/>
    <cellStyle name="Entrada 2 2 4 2" xfId="1174" xr:uid="{00000000-0005-0000-0000-000064030000}"/>
    <cellStyle name="Entrada 2 2 4 3" xfId="1539" xr:uid="{00000000-0005-0000-0000-000065030000}"/>
    <cellStyle name="Entrada 2 2 4 4" xfId="1714" xr:uid="{00000000-0005-0000-0000-000066030000}"/>
    <cellStyle name="Entrada 2 2 4 5" xfId="1891" xr:uid="{00000000-0005-0000-0000-000067030000}"/>
    <cellStyle name="Entrada 2 2 4 6" xfId="2061" xr:uid="{00000000-0005-0000-0000-000068030000}"/>
    <cellStyle name="Entrada 2 2 4 7" xfId="2228" xr:uid="{00000000-0005-0000-0000-000069030000}"/>
    <cellStyle name="Entrada 2 2 5" xfId="683" xr:uid="{00000000-0005-0000-0000-00006A030000}"/>
    <cellStyle name="Entrada 2 2 5 2" xfId="1191" xr:uid="{00000000-0005-0000-0000-00006B030000}"/>
    <cellStyle name="Entrada 2 2 5 3" xfId="1556" xr:uid="{00000000-0005-0000-0000-00006C030000}"/>
    <cellStyle name="Entrada 2 2 5 4" xfId="1731" xr:uid="{00000000-0005-0000-0000-00006D030000}"/>
    <cellStyle name="Entrada 2 2 5 5" xfId="1908" xr:uid="{00000000-0005-0000-0000-00006E030000}"/>
    <cellStyle name="Entrada 2 2 5 6" xfId="2078" xr:uid="{00000000-0005-0000-0000-00006F030000}"/>
    <cellStyle name="Entrada 2 2 5 7" xfId="2245" xr:uid="{00000000-0005-0000-0000-000070030000}"/>
    <cellStyle name="Entrada 2 2 6" xfId="705" xr:uid="{00000000-0005-0000-0000-000071030000}"/>
    <cellStyle name="Entrada 2 2 6 2" xfId="1213" xr:uid="{00000000-0005-0000-0000-000072030000}"/>
    <cellStyle name="Entrada 2 2 6 3" xfId="1578" xr:uid="{00000000-0005-0000-0000-000073030000}"/>
    <cellStyle name="Entrada 2 2 6 4" xfId="1753" xr:uid="{00000000-0005-0000-0000-000074030000}"/>
    <cellStyle name="Entrada 2 2 6 5" xfId="1930" xr:uid="{00000000-0005-0000-0000-000075030000}"/>
    <cellStyle name="Entrada 2 2 6 6" xfId="2100" xr:uid="{00000000-0005-0000-0000-000076030000}"/>
    <cellStyle name="Entrada 2 2 6 7" xfId="2267" xr:uid="{00000000-0005-0000-0000-000077030000}"/>
    <cellStyle name="Entrada 2 2 7" xfId="590" xr:uid="{00000000-0005-0000-0000-000078030000}"/>
    <cellStyle name="Entrada 2 2 7 2" xfId="1098" xr:uid="{00000000-0005-0000-0000-000079030000}"/>
    <cellStyle name="Entrada 2 2 7 3" xfId="1463" xr:uid="{00000000-0005-0000-0000-00007A030000}"/>
    <cellStyle name="Entrada 2 2 7 4" xfId="1638" xr:uid="{00000000-0005-0000-0000-00007B030000}"/>
    <cellStyle name="Entrada 2 2 7 5" xfId="1815" xr:uid="{00000000-0005-0000-0000-00007C030000}"/>
    <cellStyle name="Entrada 2 2 7 6" xfId="1985" xr:uid="{00000000-0005-0000-0000-00007D030000}"/>
    <cellStyle name="Entrada 2 2 7 7" xfId="2152" xr:uid="{00000000-0005-0000-0000-00007E030000}"/>
    <cellStyle name="Entrada 2 2 8" xfId="723" xr:uid="{00000000-0005-0000-0000-00007F030000}"/>
    <cellStyle name="Entrada 2 2 8 2" xfId="1231" xr:uid="{00000000-0005-0000-0000-000080030000}"/>
    <cellStyle name="Entrada 2 2 8 3" xfId="1596" xr:uid="{00000000-0005-0000-0000-000081030000}"/>
    <cellStyle name="Entrada 2 2 8 4" xfId="1771" xr:uid="{00000000-0005-0000-0000-000082030000}"/>
    <cellStyle name="Entrada 2 2 8 5" xfId="1948" xr:uid="{00000000-0005-0000-0000-000083030000}"/>
    <cellStyle name="Entrada 2 2 8 6" xfId="2118" xr:uid="{00000000-0005-0000-0000-000084030000}"/>
    <cellStyle name="Entrada 2 2 8 7" xfId="2285" xr:uid="{00000000-0005-0000-0000-000085030000}"/>
    <cellStyle name="Entrada 2 2 9" xfId="1071" xr:uid="{00000000-0005-0000-0000-000086030000}"/>
    <cellStyle name="Entrada 2 3" xfId="575" xr:uid="{00000000-0005-0000-0000-000087030000}"/>
    <cellStyle name="Entrada 2 3 10" xfId="1450" xr:uid="{00000000-0005-0000-0000-000088030000}"/>
    <cellStyle name="Entrada 2 3 11" xfId="1624" xr:uid="{00000000-0005-0000-0000-000089030000}"/>
    <cellStyle name="Entrada 2 3 12" xfId="1802" xr:uid="{00000000-0005-0000-0000-00008A030000}"/>
    <cellStyle name="Entrada 2 3 13" xfId="1972" xr:uid="{00000000-0005-0000-0000-00008B030000}"/>
    <cellStyle name="Entrada 2 3 14" xfId="2139" xr:uid="{00000000-0005-0000-0000-00008C030000}"/>
    <cellStyle name="Entrada 2 3 2" xfId="643" xr:uid="{00000000-0005-0000-0000-00008D030000}"/>
    <cellStyle name="Entrada 2 3 2 2" xfId="1151" xr:uid="{00000000-0005-0000-0000-00008E030000}"/>
    <cellStyle name="Entrada 2 3 2 3" xfId="1516" xr:uid="{00000000-0005-0000-0000-00008F030000}"/>
    <cellStyle name="Entrada 2 3 2 4" xfId="1691" xr:uid="{00000000-0005-0000-0000-000090030000}"/>
    <cellStyle name="Entrada 2 3 2 5" xfId="1868" xr:uid="{00000000-0005-0000-0000-000091030000}"/>
    <cellStyle name="Entrada 2 3 2 6" xfId="2038" xr:uid="{00000000-0005-0000-0000-000092030000}"/>
    <cellStyle name="Entrada 2 3 2 7" xfId="2205" xr:uid="{00000000-0005-0000-0000-000093030000}"/>
    <cellStyle name="Entrada 2 3 3" xfId="659" xr:uid="{00000000-0005-0000-0000-000094030000}"/>
    <cellStyle name="Entrada 2 3 3 2" xfId="1167" xr:uid="{00000000-0005-0000-0000-000095030000}"/>
    <cellStyle name="Entrada 2 3 3 3" xfId="1532" xr:uid="{00000000-0005-0000-0000-000096030000}"/>
    <cellStyle name="Entrada 2 3 3 4" xfId="1707" xr:uid="{00000000-0005-0000-0000-000097030000}"/>
    <cellStyle name="Entrada 2 3 3 5" xfId="1884" xr:uid="{00000000-0005-0000-0000-000098030000}"/>
    <cellStyle name="Entrada 2 3 3 6" xfId="2054" xr:uid="{00000000-0005-0000-0000-000099030000}"/>
    <cellStyle name="Entrada 2 3 3 7" xfId="2221" xr:uid="{00000000-0005-0000-0000-00009A030000}"/>
    <cellStyle name="Entrada 2 3 4" xfId="669" xr:uid="{00000000-0005-0000-0000-00009B030000}"/>
    <cellStyle name="Entrada 2 3 4 2" xfId="1177" xr:uid="{00000000-0005-0000-0000-00009C030000}"/>
    <cellStyle name="Entrada 2 3 4 3" xfId="1542" xr:uid="{00000000-0005-0000-0000-00009D030000}"/>
    <cellStyle name="Entrada 2 3 4 4" xfId="1717" xr:uid="{00000000-0005-0000-0000-00009E030000}"/>
    <cellStyle name="Entrada 2 3 4 5" xfId="1894" xr:uid="{00000000-0005-0000-0000-00009F030000}"/>
    <cellStyle name="Entrada 2 3 4 6" xfId="2064" xr:uid="{00000000-0005-0000-0000-0000A0030000}"/>
    <cellStyle name="Entrada 2 3 4 7" xfId="2231" xr:uid="{00000000-0005-0000-0000-0000A1030000}"/>
    <cellStyle name="Entrada 2 3 5" xfId="686" xr:uid="{00000000-0005-0000-0000-0000A2030000}"/>
    <cellStyle name="Entrada 2 3 5 2" xfId="1194" xr:uid="{00000000-0005-0000-0000-0000A3030000}"/>
    <cellStyle name="Entrada 2 3 5 3" xfId="1559" xr:uid="{00000000-0005-0000-0000-0000A4030000}"/>
    <cellStyle name="Entrada 2 3 5 4" xfId="1734" xr:uid="{00000000-0005-0000-0000-0000A5030000}"/>
    <cellStyle name="Entrada 2 3 5 5" xfId="1911" xr:uid="{00000000-0005-0000-0000-0000A6030000}"/>
    <cellStyle name="Entrada 2 3 5 6" xfId="2081" xr:uid="{00000000-0005-0000-0000-0000A7030000}"/>
    <cellStyle name="Entrada 2 3 5 7" xfId="2248" xr:uid="{00000000-0005-0000-0000-0000A8030000}"/>
    <cellStyle name="Entrada 2 3 6" xfId="710" xr:uid="{00000000-0005-0000-0000-0000A9030000}"/>
    <cellStyle name="Entrada 2 3 6 2" xfId="1218" xr:uid="{00000000-0005-0000-0000-0000AA030000}"/>
    <cellStyle name="Entrada 2 3 6 3" xfId="1583" xr:uid="{00000000-0005-0000-0000-0000AB030000}"/>
    <cellStyle name="Entrada 2 3 6 4" xfId="1758" xr:uid="{00000000-0005-0000-0000-0000AC030000}"/>
    <cellStyle name="Entrada 2 3 6 5" xfId="1935" xr:uid="{00000000-0005-0000-0000-0000AD030000}"/>
    <cellStyle name="Entrada 2 3 6 6" xfId="2105" xr:uid="{00000000-0005-0000-0000-0000AE030000}"/>
    <cellStyle name="Entrada 2 3 6 7" xfId="2272" xr:uid="{00000000-0005-0000-0000-0000AF030000}"/>
    <cellStyle name="Entrada 2 3 7" xfId="591" xr:uid="{00000000-0005-0000-0000-0000B0030000}"/>
    <cellStyle name="Entrada 2 3 7 2" xfId="1099" xr:uid="{00000000-0005-0000-0000-0000B1030000}"/>
    <cellStyle name="Entrada 2 3 7 3" xfId="1464" xr:uid="{00000000-0005-0000-0000-0000B2030000}"/>
    <cellStyle name="Entrada 2 3 7 4" xfId="1639" xr:uid="{00000000-0005-0000-0000-0000B3030000}"/>
    <cellStyle name="Entrada 2 3 7 5" xfId="1816" xr:uid="{00000000-0005-0000-0000-0000B4030000}"/>
    <cellStyle name="Entrada 2 3 7 6" xfId="1986" xr:uid="{00000000-0005-0000-0000-0000B5030000}"/>
    <cellStyle name="Entrada 2 3 7 7" xfId="2153" xr:uid="{00000000-0005-0000-0000-0000B6030000}"/>
    <cellStyle name="Entrada 2 3 8" xfId="726" xr:uid="{00000000-0005-0000-0000-0000B7030000}"/>
    <cellStyle name="Entrada 2 3 8 2" xfId="1234" xr:uid="{00000000-0005-0000-0000-0000B8030000}"/>
    <cellStyle name="Entrada 2 3 8 3" xfId="1599" xr:uid="{00000000-0005-0000-0000-0000B9030000}"/>
    <cellStyle name="Entrada 2 3 8 4" xfId="1774" xr:uid="{00000000-0005-0000-0000-0000BA030000}"/>
    <cellStyle name="Entrada 2 3 8 5" xfId="1951" xr:uid="{00000000-0005-0000-0000-0000BB030000}"/>
    <cellStyle name="Entrada 2 3 8 6" xfId="2121" xr:uid="{00000000-0005-0000-0000-0000BC030000}"/>
    <cellStyle name="Entrada 2 3 8 7" xfId="2288" xr:uid="{00000000-0005-0000-0000-0000BD030000}"/>
    <cellStyle name="Entrada 2 3 9" xfId="1084" xr:uid="{00000000-0005-0000-0000-0000BE030000}"/>
    <cellStyle name="Entrada 2 4" xfId="556" xr:uid="{00000000-0005-0000-0000-0000BF030000}"/>
    <cellStyle name="Entrada 2 4 10" xfId="1616" xr:uid="{00000000-0005-0000-0000-0000C0030000}"/>
    <cellStyle name="Entrada 2 4 11" xfId="1794" xr:uid="{00000000-0005-0000-0000-0000C1030000}"/>
    <cellStyle name="Entrada 2 4 12" xfId="1965" xr:uid="{00000000-0005-0000-0000-0000C2030000}"/>
    <cellStyle name="Entrada 2 4 13" xfId="2132" xr:uid="{00000000-0005-0000-0000-0000C3030000}"/>
    <cellStyle name="Entrada 2 4 2" xfId="634" xr:uid="{00000000-0005-0000-0000-0000C4030000}"/>
    <cellStyle name="Entrada 2 4 2 2" xfId="1142" xr:uid="{00000000-0005-0000-0000-0000C5030000}"/>
    <cellStyle name="Entrada 2 4 2 3" xfId="1507" xr:uid="{00000000-0005-0000-0000-0000C6030000}"/>
    <cellStyle name="Entrada 2 4 2 4" xfId="1682" xr:uid="{00000000-0005-0000-0000-0000C7030000}"/>
    <cellStyle name="Entrada 2 4 2 5" xfId="1859" xr:uid="{00000000-0005-0000-0000-0000C8030000}"/>
    <cellStyle name="Entrada 2 4 2 6" xfId="2029" xr:uid="{00000000-0005-0000-0000-0000C9030000}"/>
    <cellStyle name="Entrada 2 4 2 7" xfId="2196" xr:uid="{00000000-0005-0000-0000-0000CA030000}"/>
    <cellStyle name="Entrada 2 4 3" xfId="434" xr:uid="{00000000-0005-0000-0000-0000CB030000}"/>
    <cellStyle name="Entrada 2 4 3 2" xfId="945" xr:uid="{00000000-0005-0000-0000-0000CC030000}"/>
    <cellStyle name="Entrada 2 4 3 3" xfId="1375" xr:uid="{00000000-0005-0000-0000-0000CD030000}"/>
    <cellStyle name="Entrada 2 4 3 4" xfId="1394" xr:uid="{00000000-0005-0000-0000-0000CE030000}"/>
    <cellStyle name="Entrada 2 4 3 5" xfId="1306" xr:uid="{00000000-0005-0000-0000-0000CF030000}"/>
    <cellStyle name="Entrada 2 4 3 6" xfId="1318" xr:uid="{00000000-0005-0000-0000-0000D0030000}"/>
    <cellStyle name="Entrada 2 4 3 7" xfId="1328" xr:uid="{00000000-0005-0000-0000-0000D1030000}"/>
    <cellStyle name="Entrada 2 4 4" xfId="596" xr:uid="{00000000-0005-0000-0000-0000D2030000}"/>
    <cellStyle name="Entrada 2 4 4 2" xfId="1104" xr:uid="{00000000-0005-0000-0000-0000D3030000}"/>
    <cellStyle name="Entrada 2 4 4 3" xfId="1469" xr:uid="{00000000-0005-0000-0000-0000D4030000}"/>
    <cellStyle name="Entrada 2 4 4 4" xfId="1644" xr:uid="{00000000-0005-0000-0000-0000D5030000}"/>
    <cellStyle name="Entrada 2 4 4 5" xfId="1821" xr:uid="{00000000-0005-0000-0000-0000D6030000}"/>
    <cellStyle name="Entrada 2 4 4 6" xfId="1991" xr:uid="{00000000-0005-0000-0000-0000D7030000}"/>
    <cellStyle name="Entrada 2 4 4 7" xfId="2158" xr:uid="{00000000-0005-0000-0000-0000D8030000}"/>
    <cellStyle name="Entrada 2 4 5" xfId="679" xr:uid="{00000000-0005-0000-0000-0000D9030000}"/>
    <cellStyle name="Entrada 2 4 5 2" xfId="1187" xr:uid="{00000000-0005-0000-0000-0000DA030000}"/>
    <cellStyle name="Entrada 2 4 5 3" xfId="1552" xr:uid="{00000000-0005-0000-0000-0000DB030000}"/>
    <cellStyle name="Entrada 2 4 5 4" xfId="1727" xr:uid="{00000000-0005-0000-0000-0000DC030000}"/>
    <cellStyle name="Entrada 2 4 5 5" xfId="1904" xr:uid="{00000000-0005-0000-0000-0000DD030000}"/>
    <cellStyle name="Entrada 2 4 5 6" xfId="2074" xr:uid="{00000000-0005-0000-0000-0000DE030000}"/>
    <cellStyle name="Entrada 2 4 5 7" xfId="2241" xr:uid="{00000000-0005-0000-0000-0000DF030000}"/>
    <cellStyle name="Entrada 2 4 6" xfId="706" xr:uid="{00000000-0005-0000-0000-0000E0030000}"/>
    <cellStyle name="Entrada 2 4 6 2" xfId="1214" xr:uid="{00000000-0005-0000-0000-0000E1030000}"/>
    <cellStyle name="Entrada 2 4 6 3" xfId="1579" xr:uid="{00000000-0005-0000-0000-0000E2030000}"/>
    <cellStyle name="Entrada 2 4 6 4" xfId="1754" xr:uid="{00000000-0005-0000-0000-0000E3030000}"/>
    <cellStyle name="Entrada 2 4 6 5" xfId="1931" xr:uid="{00000000-0005-0000-0000-0000E4030000}"/>
    <cellStyle name="Entrada 2 4 6 6" xfId="2101" xr:uid="{00000000-0005-0000-0000-0000E5030000}"/>
    <cellStyle name="Entrada 2 4 6 7" xfId="2268" xr:uid="{00000000-0005-0000-0000-0000E6030000}"/>
    <cellStyle name="Entrada 2 4 7" xfId="719" xr:uid="{00000000-0005-0000-0000-0000E7030000}"/>
    <cellStyle name="Entrada 2 4 7 2" xfId="1227" xr:uid="{00000000-0005-0000-0000-0000E8030000}"/>
    <cellStyle name="Entrada 2 4 7 3" xfId="1592" xr:uid="{00000000-0005-0000-0000-0000E9030000}"/>
    <cellStyle name="Entrada 2 4 7 4" xfId="1767" xr:uid="{00000000-0005-0000-0000-0000EA030000}"/>
    <cellStyle name="Entrada 2 4 7 5" xfId="1944" xr:uid="{00000000-0005-0000-0000-0000EB030000}"/>
    <cellStyle name="Entrada 2 4 7 6" xfId="2114" xr:uid="{00000000-0005-0000-0000-0000EC030000}"/>
    <cellStyle name="Entrada 2 4 7 7" xfId="2281" xr:uid="{00000000-0005-0000-0000-0000ED030000}"/>
    <cellStyle name="Entrada 2 4 8" xfId="1066" xr:uid="{00000000-0005-0000-0000-0000EE030000}"/>
    <cellStyle name="Entrada 2 4 9" xfId="1438" xr:uid="{00000000-0005-0000-0000-0000EF030000}"/>
    <cellStyle name="Entrada 2 5" xfId="364" xr:uid="{00000000-0005-0000-0000-0000F0030000}"/>
    <cellStyle name="Entrada 2 5 2" xfId="875" xr:uid="{00000000-0005-0000-0000-0000F1030000}"/>
    <cellStyle name="Entrada 2 5 3" xfId="1341" xr:uid="{00000000-0005-0000-0000-0000F2030000}"/>
    <cellStyle name="Entrada 2 5 4" xfId="1400" xr:uid="{00000000-0005-0000-0000-0000F3030000}"/>
    <cellStyle name="Entrada 2 5 5" xfId="1324" xr:uid="{00000000-0005-0000-0000-0000F4030000}"/>
    <cellStyle name="Entrada 2 5 6" xfId="1605" xr:uid="{00000000-0005-0000-0000-0000F5030000}"/>
    <cellStyle name="Entrada 2 5 7" xfId="1313" xr:uid="{00000000-0005-0000-0000-0000F6030000}"/>
    <cellStyle name="Entrada 2 6" xfId="657" xr:uid="{00000000-0005-0000-0000-0000F7030000}"/>
    <cellStyle name="Entrada 2 6 2" xfId="1165" xr:uid="{00000000-0005-0000-0000-0000F8030000}"/>
    <cellStyle name="Entrada 2 6 3" xfId="1530" xr:uid="{00000000-0005-0000-0000-0000F9030000}"/>
    <cellStyle name="Entrada 2 6 4" xfId="1705" xr:uid="{00000000-0005-0000-0000-0000FA030000}"/>
    <cellStyle name="Entrada 2 6 5" xfId="1882" xr:uid="{00000000-0005-0000-0000-0000FB030000}"/>
    <cellStyle name="Entrada 2 6 6" xfId="2052" xr:uid="{00000000-0005-0000-0000-0000FC030000}"/>
    <cellStyle name="Entrada 2 6 7" xfId="2219" xr:uid="{00000000-0005-0000-0000-0000FD030000}"/>
    <cellStyle name="Entrada 2 7" xfId="713" xr:uid="{00000000-0005-0000-0000-0000FE030000}"/>
    <cellStyle name="Entrada 2 7 2" xfId="1221" xr:uid="{00000000-0005-0000-0000-0000FF030000}"/>
    <cellStyle name="Entrada 2 7 3" xfId="1586" xr:uid="{00000000-0005-0000-0000-000000040000}"/>
    <cellStyle name="Entrada 2 7 4" xfId="1761" xr:uid="{00000000-0005-0000-0000-000001040000}"/>
    <cellStyle name="Entrada 2 7 5" xfId="1938" xr:uid="{00000000-0005-0000-0000-000002040000}"/>
    <cellStyle name="Entrada 2 7 6" xfId="2108" xr:uid="{00000000-0005-0000-0000-000003040000}"/>
    <cellStyle name="Entrada 2 7 7" xfId="2275" xr:uid="{00000000-0005-0000-0000-000004040000}"/>
    <cellStyle name="Entrada 2 8" xfId="764" xr:uid="{00000000-0005-0000-0000-000005040000}"/>
    <cellStyle name="Entrada 2 9" xfId="1390" xr:uid="{00000000-0005-0000-0000-000006040000}"/>
    <cellStyle name="Excel Built-in Explanatory Text" xfId="321" xr:uid="{00000000-0005-0000-0000-000007040000}"/>
    <cellStyle name="Excel_BuiltIn_Texto Explicativo" xfId="316" xr:uid="{00000000-0005-0000-0000-000008040000}"/>
    <cellStyle name="Explanatory Text" xfId="92" xr:uid="{00000000-0005-0000-0000-000009040000}"/>
    <cellStyle name="Good" xfId="93" xr:uid="{00000000-0005-0000-0000-00000A040000}"/>
    <cellStyle name="Heading 1" xfId="94" xr:uid="{00000000-0005-0000-0000-00000B040000}"/>
    <cellStyle name="Heading 2" xfId="95" xr:uid="{00000000-0005-0000-0000-00000C040000}"/>
    <cellStyle name="Heading 3" xfId="96" xr:uid="{00000000-0005-0000-0000-00000D040000}"/>
    <cellStyle name="Heading 4" xfId="97" xr:uid="{00000000-0005-0000-0000-00000E040000}"/>
    <cellStyle name="Hiperlink" xfId="236" builtinId="8" hidden="1"/>
    <cellStyle name="Hiperlink" xfId="238" builtinId="8" hidden="1"/>
    <cellStyle name="Hiperlink" xfId="240" builtinId="8" hidden="1"/>
    <cellStyle name="Hiperlink" xfId="244" builtinId="8" hidden="1"/>
    <cellStyle name="Hiperlink" xfId="246" builtinId="8" hidden="1"/>
    <cellStyle name="Hiperlink" xfId="248" builtinId="8" hidden="1"/>
    <cellStyle name="Hiperlink" xfId="250" builtinId="8" hidden="1"/>
    <cellStyle name="Hiperlink" xfId="252" builtinId="8" hidden="1"/>
    <cellStyle name="Hiperlink" xfId="254" builtinId="8" hidden="1"/>
    <cellStyle name="Hiperlink" xfId="256" builtinId="8" hidden="1"/>
    <cellStyle name="Hiperlink" xfId="260" builtinId="8" hidden="1"/>
    <cellStyle name="Hiperlink" xfId="262" builtinId="8" hidden="1"/>
    <cellStyle name="Hiperlink" xfId="264" builtinId="8" hidden="1"/>
    <cellStyle name="Hiperlink" xfId="266" builtinId="8" hidden="1"/>
    <cellStyle name="Hiperlink" xfId="268" builtinId="8" hidden="1"/>
    <cellStyle name="Hiperlink" xfId="270" builtinId="8" hidden="1"/>
    <cellStyle name="Hiperlink" xfId="272" builtinId="8" hidden="1"/>
    <cellStyle name="Hiperlink" xfId="276" builtinId="8" hidden="1"/>
    <cellStyle name="Hiperlink" xfId="278" builtinId="8" hidden="1"/>
    <cellStyle name="Hiperlink" xfId="274" builtinId="8" hidden="1"/>
    <cellStyle name="Hiperlink" xfId="258" builtinId="8" hidden="1"/>
    <cellStyle name="Hiperlink" xfId="242" builtinId="8" hidden="1"/>
    <cellStyle name="Hiperlink" xfId="212" builtinId="8" hidden="1"/>
    <cellStyle name="Hiperlink" xfId="214" builtinId="8" hidden="1"/>
    <cellStyle name="Hiperlink" xfId="216" builtinId="8" hidden="1"/>
    <cellStyle name="Hiperlink" xfId="218" builtinId="8" hidden="1"/>
    <cellStyle name="Hiperlink" xfId="220" builtinId="8" hidden="1"/>
    <cellStyle name="Hiperlink" xfId="222" builtinId="8" hidden="1"/>
    <cellStyle name="Hiperlink" xfId="224" builtinId="8" hidden="1"/>
    <cellStyle name="Hiperlink" xfId="226" builtinId="8" hidden="1"/>
    <cellStyle name="Hiperlink" xfId="228" builtinId="8" hidden="1"/>
    <cellStyle name="Hiperlink" xfId="230" builtinId="8" hidden="1"/>
    <cellStyle name="Hiperlink" xfId="232" builtinId="8" hidden="1"/>
    <cellStyle name="Hiperlink" xfId="234" builtinId="8" hidden="1"/>
    <cellStyle name="Hiperlink" xfId="210" builtinId="8" hidden="1"/>
    <cellStyle name="Hiperlink" xfId="200" builtinId="8" hidden="1"/>
    <cellStyle name="Hiperlink" xfId="202" builtinId="8" hidden="1"/>
    <cellStyle name="Hiperlink" xfId="204" builtinId="8" hidden="1"/>
    <cellStyle name="Hiperlink" xfId="206" builtinId="8" hidden="1"/>
    <cellStyle name="Hiperlink" xfId="208" builtinId="8" hidden="1"/>
    <cellStyle name="Hiperlink" xfId="194" builtinId="8" hidden="1"/>
    <cellStyle name="Hiperlink" xfId="196" builtinId="8" hidden="1"/>
    <cellStyle name="Hiperlink" xfId="198" builtinId="8" hidden="1"/>
    <cellStyle name="Hiperlink" xfId="192" builtinId="8" hidden="1"/>
    <cellStyle name="Hiperlink" xfId="190" builtinId="8" hidden="1"/>
    <cellStyle name="Hiperlink Visitado" xfId="251" builtinId="9" hidden="1"/>
    <cellStyle name="Hiperlink Visitado" xfId="253" builtinId="9" hidden="1"/>
    <cellStyle name="Hiperlink Visitado" xfId="255" builtinId="9" hidden="1"/>
    <cellStyle name="Hiperlink Visitado" xfId="257" builtinId="9" hidden="1"/>
    <cellStyle name="Hiperlink Visitado" xfId="259" builtinId="9" hidden="1"/>
    <cellStyle name="Hiperlink Visitado" xfId="261" builtinId="9" hidden="1"/>
    <cellStyle name="Hiperlink Visitado" xfId="263" builtinId="9" hidden="1"/>
    <cellStyle name="Hiperlink Visitado" xfId="267" builtinId="9" hidden="1"/>
    <cellStyle name="Hiperlink Visitado" xfId="269" builtinId="9" hidden="1"/>
    <cellStyle name="Hiperlink Visitado" xfId="271" builtinId="9" hidden="1"/>
    <cellStyle name="Hiperlink Visitado" xfId="273" builtinId="9" hidden="1"/>
    <cellStyle name="Hiperlink Visitado" xfId="275" builtinId="9" hidden="1"/>
    <cellStyle name="Hiperlink Visitado" xfId="277" builtinId="9" hidden="1"/>
    <cellStyle name="Hiperlink Visitado" xfId="279" builtinId="9" hidden="1"/>
    <cellStyle name="Hiperlink Visitado" xfId="265" builtinId="9" hidden="1"/>
    <cellStyle name="Hiperlink Visitado" xfId="249" builtinId="9" hidden="1"/>
    <cellStyle name="Hiperlink Visitado" xfId="219" builtinId="9" hidden="1"/>
    <cellStyle name="Hiperlink Visitado" xfId="221" builtinId="9" hidden="1"/>
    <cellStyle name="Hiperlink Visitado" xfId="223" builtinId="9" hidden="1"/>
    <cellStyle name="Hiperlink Visitado" xfId="225" builtinId="9" hidden="1"/>
    <cellStyle name="Hiperlink Visitado" xfId="227" builtinId="9" hidden="1"/>
    <cellStyle name="Hiperlink Visitado" xfId="229" builtinId="9" hidden="1"/>
    <cellStyle name="Hiperlink Visitado" xfId="231" builtinId="9" hidden="1"/>
    <cellStyle name="Hiperlink Visitado" xfId="233" builtinId="9" hidden="1"/>
    <cellStyle name="Hiperlink Visitado" xfId="235" builtinId="9" hidden="1"/>
    <cellStyle name="Hiperlink Visitado" xfId="237" builtinId="9" hidden="1"/>
    <cellStyle name="Hiperlink Visitado" xfId="239" builtinId="9" hidden="1"/>
    <cellStyle name="Hiperlink Visitado" xfId="241" builtinId="9" hidden="1"/>
    <cellStyle name="Hiperlink Visitado" xfId="243" builtinId="9" hidden="1"/>
    <cellStyle name="Hiperlink Visitado" xfId="245" builtinId="9" hidden="1"/>
    <cellStyle name="Hiperlink Visitado" xfId="247" builtinId="9" hidden="1"/>
    <cellStyle name="Hiperlink Visitado" xfId="217" builtinId="9" hidden="1"/>
    <cellStyle name="Hiperlink Visitado" xfId="203" builtinId="9" hidden="1"/>
    <cellStyle name="Hiperlink Visitado" xfId="205" builtinId="9" hidden="1"/>
    <cellStyle name="Hiperlink Visitado" xfId="207" builtinId="9" hidden="1"/>
    <cellStyle name="Hiperlink Visitado" xfId="209" builtinId="9" hidden="1"/>
    <cellStyle name="Hiperlink Visitado" xfId="211" builtinId="9" hidden="1"/>
    <cellStyle name="Hiperlink Visitado" xfId="213" builtinId="9" hidden="1"/>
    <cellStyle name="Hiperlink Visitado" xfId="215" builtinId="9" hidden="1"/>
    <cellStyle name="Hiperlink Visitado" xfId="197" builtinId="9" hidden="1"/>
    <cellStyle name="Hiperlink Visitado" xfId="199" builtinId="9" hidden="1"/>
    <cellStyle name="Hiperlink Visitado" xfId="201" builtinId="9" hidden="1"/>
    <cellStyle name="Hiperlink Visitado" xfId="193" builtinId="9" hidden="1"/>
    <cellStyle name="Hiperlink Visitado" xfId="195" builtinId="9" hidden="1"/>
    <cellStyle name="Hiperlink Visitado" xfId="191" builtinId="9" hidden="1"/>
    <cellStyle name="Incorreto 2" xfId="98" xr:uid="{00000000-0005-0000-0000-000069040000}"/>
    <cellStyle name="Input" xfId="99" xr:uid="{00000000-0005-0000-0000-00006A040000}"/>
    <cellStyle name="Input 2" xfId="492" xr:uid="{00000000-0005-0000-0000-00006B040000}"/>
    <cellStyle name="Input 2 10" xfId="1409" xr:uid="{00000000-0005-0000-0000-00006C040000}"/>
    <cellStyle name="Input 2 11" xfId="1413" xr:uid="{00000000-0005-0000-0000-00006D040000}"/>
    <cellStyle name="Input 2 12" xfId="1402" xr:uid="{00000000-0005-0000-0000-00006E040000}"/>
    <cellStyle name="Input 2 13" xfId="1364" xr:uid="{00000000-0005-0000-0000-00006F040000}"/>
    <cellStyle name="Input 2 14" xfId="1330" xr:uid="{00000000-0005-0000-0000-000070040000}"/>
    <cellStyle name="Input 2 2" xfId="618" xr:uid="{00000000-0005-0000-0000-000071040000}"/>
    <cellStyle name="Input 2 2 2" xfId="1126" xr:uid="{00000000-0005-0000-0000-000072040000}"/>
    <cellStyle name="Input 2 2 3" xfId="1491" xr:uid="{00000000-0005-0000-0000-000073040000}"/>
    <cellStyle name="Input 2 2 4" xfId="1666" xr:uid="{00000000-0005-0000-0000-000074040000}"/>
    <cellStyle name="Input 2 2 5" xfId="1843" xr:uid="{00000000-0005-0000-0000-000075040000}"/>
    <cellStyle name="Input 2 2 6" xfId="2013" xr:uid="{00000000-0005-0000-0000-000076040000}"/>
    <cellStyle name="Input 2 2 7" xfId="2180" xr:uid="{00000000-0005-0000-0000-000077040000}"/>
    <cellStyle name="Input 2 3" xfId="622" xr:uid="{00000000-0005-0000-0000-000078040000}"/>
    <cellStyle name="Input 2 3 2" xfId="1130" xr:uid="{00000000-0005-0000-0000-000079040000}"/>
    <cellStyle name="Input 2 3 3" xfId="1495" xr:uid="{00000000-0005-0000-0000-00007A040000}"/>
    <cellStyle name="Input 2 3 4" xfId="1670" xr:uid="{00000000-0005-0000-0000-00007B040000}"/>
    <cellStyle name="Input 2 3 5" xfId="1847" xr:uid="{00000000-0005-0000-0000-00007C040000}"/>
    <cellStyle name="Input 2 3 6" xfId="2017" xr:uid="{00000000-0005-0000-0000-00007D040000}"/>
    <cellStyle name="Input 2 3 7" xfId="2184" xr:uid="{00000000-0005-0000-0000-00007E040000}"/>
    <cellStyle name="Input 2 4" xfId="363" xr:uid="{00000000-0005-0000-0000-00007F040000}"/>
    <cellStyle name="Input 2 4 2" xfId="874" xr:uid="{00000000-0005-0000-0000-000080040000}"/>
    <cellStyle name="Input 2 4 3" xfId="1340" xr:uid="{00000000-0005-0000-0000-000081040000}"/>
    <cellStyle name="Input 2 4 4" xfId="1327" xr:uid="{00000000-0005-0000-0000-000082040000}"/>
    <cellStyle name="Input 2 4 5" xfId="1241" xr:uid="{00000000-0005-0000-0000-000083040000}"/>
    <cellStyle name="Input 2 4 6" xfId="1263" xr:uid="{00000000-0005-0000-0000-000084040000}"/>
    <cellStyle name="Input 2 4 7" xfId="1286" xr:uid="{00000000-0005-0000-0000-000085040000}"/>
    <cellStyle name="Input 2 5" xfId="626" xr:uid="{00000000-0005-0000-0000-000086040000}"/>
    <cellStyle name="Input 2 5 2" xfId="1134" xr:uid="{00000000-0005-0000-0000-000087040000}"/>
    <cellStyle name="Input 2 5 3" xfId="1499" xr:uid="{00000000-0005-0000-0000-000088040000}"/>
    <cellStyle name="Input 2 5 4" xfId="1674" xr:uid="{00000000-0005-0000-0000-000089040000}"/>
    <cellStyle name="Input 2 5 5" xfId="1851" xr:uid="{00000000-0005-0000-0000-00008A040000}"/>
    <cellStyle name="Input 2 5 6" xfId="2021" xr:uid="{00000000-0005-0000-0000-00008B040000}"/>
    <cellStyle name="Input 2 5 7" xfId="2188" xr:uid="{00000000-0005-0000-0000-00008C040000}"/>
    <cellStyle name="Input 2 6" xfId="697" xr:uid="{00000000-0005-0000-0000-00008D040000}"/>
    <cellStyle name="Input 2 6 2" xfId="1205" xr:uid="{00000000-0005-0000-0000-00008E040000}"/>
    <cellStyle name="Input 2 6 3" xfId="1570" xr:uid="{00000000-0005-0000-0000-00008F040000}"/>
    <cellStyle name="Input 2 6 4" xfId="1745" xr:uid="{00000000-0005-0000-0000-000090040000}"/>
    <cellStyle name="Input 2 6 5" xfId="1922" xr:uid="{00000000-0005-0000-0000-000091040000}"/>
    <cellStyle name="Input 2 6 6" xfId="2092" xr:uid="{00000000-0005-0000-0000-000092040000}"/>
    <cellStyle name="Input 2 6 7" xfId="2259" xr:uid="{00000000-0005-0000-0000-000093040000}"/>
    <cellStyle name="Input 2 7" xfId="588" xr:uid="{00000000-0005-0000-0000-000094040000}"/>
    <cellStyle name="Input 2 7 2" xfId="1096" xr:uid="{00000000-0005-0000-0000-000095040000}"/>
    <cellStyle name="Input 2 7 3" xfId="1461" xr:uid="{00000000-0005-0000-0000-000096040000}"/>
    <cellStyle name="Input 2 7 4" xfId="1636" xr:uid="{00000000-0005-0000-0000-000097040000}"/>
    <cellStyle name="Input 2 7 5" xfId="1813" xr:uid="{00000000-0005-0000-0000-000098040000}"/>
    <cellStyle name="Input 2 7 6" xfId="1983" xr:uid="{00000000-0005-0000-0000-000099040000}"/>
    <cellStyle name="Input 2 7 7" xfId="2150" xr:uid="{00000000-0005-0000-0000-00009A040000}"/>
    <cellStyle name="Input 2 8" xfId="704" xr:uid="{00000000-0005-0000-0000-00009B040000}"/>
    <cellStyle name="Input 2 8 2" xfId="1212" xr:uid="{00000000-0005-0000-0000-00009C040000}"/>
    <cellStyle name="Input 2 8 3" xfId="1577" xr:uid="{00000000-0005-0000-0000-00009D040000}"/>
    <cellStyle name="Input 2 8 4" xfId="1752" xr:uid="{00000000-0005-0000-0000-00009E040000}"/>
    <cellStyle name="Input 2 8 5" xfId="1929" xr:uid="{00000000-0005-0000-0000-00009F040000}"/>
    <cellStyle name="Input 2 8 6" xfId="2099" xr:uid="{00000000-0005-0000-0000-0000A0040000}"/>
    <cellStyle name="Input 2 8 7" xfId="2266" xr:uid="{00000000-0005-0000-0000-0000A1040000}"/>
    <cellStyle name="Input 2 9" xfId="1002" xr:uid="{00000000-0005-0000-0000-0000A2040000}"/>
    <cellStyle name="Input 3" xfId="576" xr:uid="{00000000-0005-0000-0000-0000A3040000}"/>
    <cellStyle name="Input 3 10" xfId="1451" xr:uid="{00000000-0005-0000-0000-0000A4040000}"/>
    <cellStyle name="Input 3 11" xfId="1625" xr:uid="{00000000-0005-0000-0000-0000A5040000}"/>
    <cellStyle name="Input 3 12" xfId="1803" xr:uid="{00000000-0005-0000-0000-0000A6040000}"/>
    <cellStyle name="Input 3 13" xfId="1973" xr:uid="{00000000-0005-0000-0000-0000A7040000}"/>
    <cellStyle name="Input 3 14" xfId="2140" xr:uid="{00000000-0005-0000-0000-0000A8040000}"/>
    <cellStyle name="Input 3 2" xfId="644" xr:uid="{00000000-0005-0000-0000-0000A9040000}"/>
    <cellStyle name="Input 3 2 2" xfId="1152" xr:uid="{00000000-0005-0000-0000-0000AA040000}"/>
    <cellStyle name="Input 3 2 3" xfId="1517" xr:uid="{00000000-0005-0000-0000-0000AB040000}"/>
    <cellStyle name="Input 3 2 4" xfId="1692" xr:uid="{00000000-0005-0000-0000-0000AC040000}"/>
    <cellStyle name="Input 3 2 5" xfId="1869" xr:uid="{00000000-0005-0000-0000-0000AD040000}"/>
    <cellStyle name="Input 3 2 6" xfId="2039" xr:uid="{00000000-0005-0000-0000-0000AE040000}"/>
    <cellStyle name="Input 3 2 7" xfId="2206" xr:uid="{00000000-0005-0000-0000-0000AF040000}"/>
    <cellStyle name="Input 3 3" xfId="660" xr:uid="{00000000-0005-0000-0000-0000B0040000}"/>
    <cellStyle name="Input 3 3 2" xfId="1168" xr:uid="{00000000-0005-0000-0000-0000B1040000}"/>
    <cellStyle name="Input 3 3 3" xfId="1533" xr:uid="{00000000-0005-0000-0000-0000B2040000}"/>
    <cellStyle name="Input 3 3 4" xfId="1708" xr:uid="{00000000-0005-0000-0000-0000B3040000}"/>
    <cellStyle name="Input 3 3 5" xfId="1885" xr:uid="{00000000-0005-0000-0000-0000B4040000}"/>
    <cellStyle name="Input 3 3 6" xfId="2055" xr:uid="{00000000-0005-0000-0000-0000B5040000}"/>
    <cellStyle name="Input 3 3 7" xfId="2222" xr:uid="{00000000-0005-0000-0000-0000B6040000}"/>
    <cellStyle name="Input 3 4" xfId="670" xr:uid="{00000000-0005-0000-0000-0000B7040000}"/>
    <cellStyle name="Input 3 4 2" xfId="1178" xr:uid="{00000000-0005-0000-0000-0000B8040000}"/>
    <cellStyle name="Input 3 4 3" xfId="1543" xr:uid="{00000000-0005-0000-0000-0000B9040000}"/>
    <cellStyle name="Input 3 4 4" xfId="1718" xr:uid="{00000000-0005-0000-0000-0000BA040000}"/>
    <cellStyle name="Input 3 4 5" xfId="1895" xr:uid="{00000000-0005-0000-0000-0000BB040000}"/>
    <cellStyle name="Input 3 4 6" xfId="2065" xr:uid="{00000000-0005-0000-0000-0000BC040000}"/>
    <cellStyle name="Input 3 4 7" xfId="2232" xr:uid="{00000000-0005-0000-0000-0000BD040000}"/>
    <cellStyle name="Input 3 5" xfId="687" xr:uid="{00000000-0005-0000-0000-0000BE040000}"/>
    <cellStyle name="Input 3 5 2" xfId="1195" xr:uid="{00000000-0005-0000-0000-0000BF040000}"/>
    <cellStyle name="Input 3 5 3" xfId="1560" xr:uid="{00000000-0005-0000-0000-0000C0040000}"/>
    <cellStyle name="Input 3 5 4" xfId="1735" xr:uid="{00000000-0005-0000-0000-0000C1040000}"/>
    <cellStyle name="Input 3 5 5" xfId="1912" xr:uid="{00000000-0005-0000-0000-0000C2040000}"/>
    <cellStyle name="Input 3 5 6" xfId="2082" xr:uid="{00000000-0005-0000-0000-0000C3040000}"/>
    <cellStyle name="Input 3 5 7" xfId="2249" xr:uid="{00000000-0005-0000-0000-0000C4040000}"/>
    <cellStyle name="Input 3 6" xfId="711" xr:uid="{00000000-0005-0000-0000-0000C5040000}"/>
    <cellStyle name="Input 3 6 2" xfId="1219" xr:uid="{00000000-0005-0000-0000-0000C6040000}"/>
    <cellStyle name="Input 3 6 3" xfId="1584" xr:uid="{00000000-0005-0000-0000-0000C7040000}"/>
    <cellStyle name="Input 3 6 4" xfId="1759" xr:uid="{00000000-0005-0000-0000-0000C8040000}"/>
    <cellStyle name="Input 3 6 5" xfId="1936" xr:uid="{00000000-0005-0000-0000-0000C9040000}"/>
    <cellStyle name="Input 3 6 6" xfId="2106" xr:uid="{00000000-0005-0000-0000-0000CA040000}"/>
    <cellStyle name="Input 3 6 7" xfId="2273" xr:uid="{00000000-0005-0000-0000-0000CB040000}"/>
    <cellStyle name="Input 3 7" xfId="598" xr:uid="{00000000-0005-0000-0000-0000CC040000}"/>
    <cellStyle name="Input 3 7 2" xfId="1106" xr:uid="{00000000-0005-0000-0000-0000CD040000}"/>
    <cellStyle name="Input 3 7 3" xfId="1471" xr:uid="{00000000-0005-0000-0000-0000CE040000}"/>
    <cellStyle name="Input 3 7 4" xfId="1646" xr:uid="{00000000-0005-0000-0000-0000CF040000}"/>
    <cellStyle name="Input 3 7 5" xfId="1823" xr:uid="{00000000-0005-0000-0000-0000D0040000}"/>
    <cellStyle name="Input 3 7 6" xfId="1993" xr:uid="{00000000-0005-0000-0000-0000D1040000}"/>
    <cellStyle name="Input 3 7 7" xfId="2160" xr:uid="{00000000-0005-0000-0000-0000D2040000}"/>
    <cellStyle name="Input 3 8" xfId="727" xr:uid="{00000000-0005-0000-0000-0000D3040000}"/>
    <cellStyle name="Input 3 8 2" xfId="1235" xr:uid="{00000000-0005-0000-0000-0000D4040000}"/>
    <cellStyle name="Input 3 8 3" xfId="1600" xr:uid="{00000000-0005-0000-0000-0000D5040000}"/>
    <cellStyle name="Input 3 8 4" xfId="1775" xr:uid="{00000000-0005-0000-0000-0000D6040000}"/>
    <cellStyle name="Input 3 8 5" xfId="1952" xr:uid="{00000000-0005-0000-0000-0000D7040000}"/>
    <cellStyle name="Input 3 8 6" xfId="2122" xr:uid="{00000000-0005-0000-0000-0000D8040000}"/>
    <cellStyle name="Input 3 8 7" xfId="2289" xr:uid="{00000000-0005-0000-0000-0000D9040000}"/>
    <cellStyle name="Input 3 9" xfId="1085" xr:uid="{00000000-0005-0000-0000-0000DA040000}"/>
    <cellStyle name="Input 4" xfId="561" xr:uid="{00000000-0005-0000-0000-0000DB040000}"/>
    <cellStyle name="Input 4 10" xfId="1620" xr:uid="{00000000-0005-0000-0000-0000DC040000}"/>
    <cellStyle name="Input 4 11" xfId="1798" xr:uid="{00000000-0005-0000-0000-0000DD040000}"/>
    <cellStyle name="Input 4 12" xfId="1968" xr:uid="{00000000-0005-0000-0000-0000DE040000}"/>
    <cellStyle name="Input 4 13" xfId="2135" xr:uid="{00000000-0005-0000-0000-0000DF040000}"/>
    <cellStyle name="Input 4 2" xfId="638" xr:uid="{00000000-0005-0000-0000-0000E0040000}"/>
    <cellStyle name="Input 4 2 2" xfId="1146" xr:uid="{00000000-0005-0000-0000-0000E1040000}"/>
    <cellStyle name="Input 4 2 3" xfId="1511" xr:uid="{00000000-0005-0000-0000-0000E2040000}"/>
    <cellStyle name="Input 4 2 4" xfId="1686" xr:uid="{00000000-0005-0000-0000-0000E3040000}"/>
    <cellStyle name="Input 4 2 5" xfId="1863" xr:uid="{00000000-0005-0000-0000-0000E4040000}"/>
    <cellStyle name="Input 4 2 6" xfId="2033" xr:uid="{00000000-0005-0000-0000-0000E5040000}"/>
    <cellStyle name="Input 4 2 7" xfId="2200" xr:uid="{00000000-0005-0000-0000-0000E6040000}"/>
    <cellStyle name="Input 4 3" xfId="651" xr:uid="{00000000-0005-0000-0000-0000E7040000}"/>
    <cellStyle name="Input 4 3 2" xfId="1159" xr:uid="{00000000-0005-0000-0000-0000E8040000}"/>
    <cellStyle name="Input 4 3 3" xfId="1524" xr:uid="{00000000-0005-0000-0000-0000E9040000}"/>
    <cellStyle name="Input 4 3 4" xfId="1699" xr:uid="{00000000-0005-0000-0000-0000EA040000}"/>
    <cellStyle name="Input 4 3 5" xfId="1876" xr:uid="{00000000-0005-0000-0000-0000EB040000}"/>
    <cellStyle name="Input 4 3 6" xfId="2046" xr:uid="{00000000-0005-0000-0000-0000EC040000}"/>
    <cellStyle name="Input 4 3 7" xfId="2213" xr:uid="{00000000-0005-0000-0000-0000ED040000}"/>
    <cellStyle name="Input 4 4" xfId="665" xr:uid="{00000000-0005-0000-0000-0000EE040000}"/>
    <cellStyle name="Input 4 4 2" xfId="1173" xr:uid="{00000000-0005-0000-0000-0000EF040000}"/>
    <cellStyle name="Input 4 4 3" xfId="1538" xr:uid="{00000000-0005-0000-0000-0000F0040000}"/>
    <cellStyle name="Input 4 4 4" xfId="1713" xr:uid="{00000000-0005-0000-0000-0000F1040000}"/>
    <cellStyle name="Input 4 4 5" xfId="1890" xr:uid="{00000000-0005-0000-0000-0000F2040000}"/>
    <cellStyle name="Input 4 4 6" xfId="2060" xr:uid="{00000000-0005-0000-0000-0000F3040000}"/>
    <cellStyle name="Input 4 4 7" xfId="2227" xr:uid="{00000000-0005-0000-0000-0000F4040000}"/>
    <cellStyle name="Input 4 5" xfId="682" xr:uid="{00000000-0005-0000-0000-0000F5040000}"/>
    <cellStyle name="Input 4 5 2" xfId="1190" xr:uid="{00000000-0005-0000-0000-0000F6040000}"/>
    <cellStyle name="Input 4 5 3" xfId="1555" xr:uid="{00000000-0005-0000-0000-0000F7040000}"/>
    <cellStyle name="Input 4 5 4" xfId="1730" xr:uid="{00000000-0005-0000-0000-0000F8040000}"/>
    <cellStyle name="Input 4 5 5" xfId="1907" xr:uid="{00000000-0005-0000-0000-0000F9040000}"/>
    <cellStyle name="Input 4 5 6" xfId="2077" xr:uid="{00000000-0005-0000-0000-0000FA040000}"/>
    <cellStyle name="Input 4 5 7" xfId="2244" xr:uid="{00000000-0005-0000-0000-0000FB040000}"/>
    <cellStyle name="Input 4 6" xfId="366" xr:uid="{00000000-0005-0000-0000-0000FC040000}"/>
    <cellStyle name="Input 4 6 2" xfId="877" xr:uid="{00000000-0005-0000-0000-0000FD040000}"/>
    <cellStyle name="Input 4 6 3" xfId="1343" xr:uid="{00000000-0005-0000-0000-0000FE040000}"/>
    <cellStyle name="Input 4 6 4" xfId="1422" xr:uid="{00000000-0005-0000-0000-0000FF040000}"/>
    <cellStyle name="Input 4 6 5" xfId="1387" xr:uid="{00000000-0005-0000-0000-000000050000}"/>
    <cellStyle name="Input 4 6 6" xfId="1259" xr:uid="{00000000-0005-0000-0000-000001050000}"/>
    <cellStyle name="Input 4 6 7" xfId="1244" xr:uid="{00000000-0005-0000-0000-000002050000}"/>
    <cellStyle name="Input 4 7" xfId="722" xr:uid="{00000000-0005-0000-0000-000003050000}"/>
    <cellStyle name="Input 4 7 2" xfId="1230" xr:uid="{00000000-0005-0000-0000-000004050000}"/>
    <cellStyle name="Input 4 7 3" xfId="1595" xr:uid="{00000000-0005-0000-0000-000005050000}"/>
    <cellStyle name="Input 4 7 4" xfId="1770" xr:uid="{00000000-0005-0000-0000-000006050000}"/>
    <cellStyle name="Input 4 7 5" xfId="1947" xr:uid="{00000000-0005-0000-0000-000007050000}"/>
    <cellStyle name="Input 4 7 6" xfId="2117" xr:uid="{00000000-0005-0000-0000-000008050000}"/>
    <cellStyle name="Input 4 7 7" xfId="2284" xr:uid="{00000000-0005-0000-0000-000009050000}"/>
    <cellStyle name="Input 4 8" xfId="1070" xr:uid="{00000000-0005-0000-0000-00000A050000}"/>
    <cellStyle name="Input 4 9" xfId="1442" xr:uid="{00000000-0005-0000-0000-00000B050000}"/>
    <cellStyle name="Input 5" xfId="367" xr:uid="{00000000-0005-0000-0000-00000C050000}"/>
    <cellStyle name="Input 5 2" xfId="878" xr:uid="{00000000-0005-0000-0000-00000D050000}"/>
    <cellStyle name="Input 5 3" xfId="1344" xr:uid="{00000000-0005-0000-0000-00000E050000}"/>
    <cellStyle name="Input 5 4" xfId="1274" xr:uid="{00000000-0005-0000-0000-00000F050000}"/>
    <cellStyle name="Input 5 5" xfId="1303" xr:uid="{00000000-0005-0000-0000-000010050000}"/>
    <cellStyle name="Input 5 6" xfId="1781" xr:uid="{00000000-0005-0000-0000-000011050000}"/>
    <cellStyle name="Input 5 7" xfId="1310" xr:uid="{00000000-0005-0000-0000-000012050000}"/>
    <cellStyle name="Input 6" xfId="354" xr:uid="{00000000-0005-0000-0000-000013050000}"/>
    <cellStyle name="Input 6 2" xfId="865" xr:uid="{00000000-0005-0000-0000-000014050000}"/>
    <cellStyle name="Input 6 3" xfId="1331" xr:uid="{00000000-0005-0000-0000-000015050000}"/>
    <cellStyle name="Input 6 4" xfId="1276" xr:uid="{00000000-0005-0000-0000-000016050000}"/>
    <cellStyle name="Input 6 5" xfId="1314" xr:uid="{00000000-0005-0000-0000-000017050000}"/>
    <cellStyle name="Input 6 6" xfId="1783" xr:uid="{00000000-0005-0000-0000-000018050000}"/>
    <cellStyle name="Input 6 7" xfId="1956" xr:uid="{00000000-0005-0000-0000-000019050000}"/>
    <cellStyle name="Input 7" xfId="444" xr:uid="{00000000-0005-0000-0000-00001A050000}"/>
    <cellStyle name="Input 7 2" xfId="954" xr:uid="{00000000-0005-0000-0000-00001B050000}"/>
    <cellStyle name="Input 7 3" xfId="1385" xr:uid="{00000000-0005-0000-0000-00001C050000}"/>
    <cellStyle name="Input 7 4" xfId="1353" xr:uid="{00000000-0005-0000-0000-00001D050000}"/>
    <cellStyle name="Input 7 5" xfId="1398" xr:uid="{00000000-0005-0000-0000-00001E050000}"/>
    <cellStyle name="Input 7 6" xfId="1403" xr:uid="{00000000-0005-0000-0000-00001F050000}"/>
    <cellStyle name="Input 7 7" xfId="1444" xr:uid="{00000000-0005-0000-0000-000020050000}"/>
    <cellStyle name="Input 8" xfId="765" xr:uid="{00000000-0005-0000-0000-000021050000}"/>
    <cellStyle name="Input 9" xfId="1316" xr:uid="{00000000-0005-0000-0000-000022050000}"/>
    <cellStyle name="Linked Cell" xfId="100" xr:uid="{00000000-0005-0000-0000-000023050000}"/>
    <cellStyle name="Moeda" xfId="2292" builtinId="4"/>
    <cellStyle name="Moeda [0] 2" xfId="165" xr:uid="{00000000-0005-0000-0000-000024050000}"/>
    <cellStyle name="Moeda 2" xfId="166" xr:uid="{00000000-0005-0000-0000-000025050000}"/>
    <cellStyle name="Moeda 2 2" xfId="307" xr:uid="{00000000-0005-0000-0000-000026050000}"/>
    <cellStyle name="Moeda 2 2 2" xfId="567" xr:uid="{00000000-0005-0000-0000-000027050000}"/>
    <cellStyle name="Moeda 2 2 2 2" xfId="1076" xr:uid="{00000000-0005-0000-0000-000028050000}"/>
    <cellStyle name="Moeda 2 2 3" xfId="451" xr:uid="{00000000-0005-0000-0000-000029050000}"/>
    <cellStyle name="Moeda 2 2 3 2" xfId="961" xr:uid="{00000000-0005-0000-0000-00002A050000}"/>
    <cellStyle name="Moeda 2 2 4" xfId="830" xr:uid="{00000000-0005-0000-0000-00002B050000}"/>
    <cellStyle name="Moeda 3" xfId="304" xr:uid="{00000000-0005-0000-0000-00002C050000}"/>
    <cellStyle name="Moeda 3 2" xfId="564" xr:uid="{00000000-0005-0000-0000-00002D050000}"/>
    <cellStyle name="Moeda 3 2 2" xfId="1073" xr:uid="{00000000-0005-0000-0000-00002E050000}"/>
    <cellStyle name="Moeda 3 3" xfId="448" xr:uid="{00000000-0005-0000-0000-00002F050000}"/>
    <cellStyle name="Moeda 3 3 2" xfId="958" xr:uid="{00000000-0005-0000-0000-000030050000}"/>
    <cellStyle name="Moeda 3 4" xfId="828" xr:uid="{00000000-0005-0000-0000-000031050000}"/>
    <cellStyle name="Moeda 4" xfId="309" xr:uid="{00000000-0005-0000-0000-000032050000}"/>
    <cellStyle name="Moeda 4 2" xfId="569" xr:uid="{00000000-0005-0000-0000-000033050000}"/>
    <cellStyle name="Moeda 4 2 2" xfId="1078" xr:uid="{00000000-0005-0000-0000-000034050000}"/>
    <cellStyle name="Moeda 4 3" xfId="453" xr:uid="{00000000-0005-0000-0000-000035050000}"/>
    <cellStyle name="Moeda 4 3 2" xfId="963" xr:uid="{00000000-0005-0000-0000-000036050000}"/>
    <cellStyle name="Moeda 4 4" xfId="832" xr:uid="{00000000-0005-0000-0000-000037050000}"/>
    <cellStyle name="Neutra 2" xfId="101" xr:uid="{00000000-0005-0000-0000-000038050000}"/>
    <cellStyle name="Neutral" xfId="102" xr:uid="{00000000-0005-0000-0000-000039050000}"/>
    <cellStyle name="Normal" xfId="0" builtinId="0"/>
    <cellStyle name="Normal 10" xfId="282" xr:uid="{00000000-0005-0000-0000-00003B050000}"/>
    <cellStyle name="Normal 10 2 2" xfId="283" xr:uid="{00000000-0005-0000-0000-00003C050000}"/>
    <cellStyle name="Normal 11" xfId="284" xr:uid="{00000000-0005-0000-0000-00003D050000}"/>
    <cellStyle name="Normal 12" xfId="285" xr:uid="{00000000-0005-0000-0000-00003E050000}"/>
    <cellStyle name="Normal 13" xfId="303" xr:uid="{00000000-0005-0000-0000-00003F050000}"/>
    <cellStyle name="Normal 13 2" xfId="563" xr:uid="{00000000-0005-0000-0000-000040050000}"/>
    <cellStyle name="Normal 13 2 2" xfId="1072" xr:uid="{00000000-0005-0000-0000-000041050000}"/>
    <cellStyle name="Normal 13 3" xfId="447" xr:uid="{00000000-0005-0000-0000-000042050000}"/>
    <cellStyle name="Normal 13 3 2" xfId="957" xr:uid="{00000000-0005-0000-0000-000043050000}"/>
    <cellStyle name="Normal 13 4" xfId="827" xr:uid="{00000000-0005-0000-0000-000044050000}"/>
    <cellStyle name="Normal 14" xfId="308" xr:uid="{00000000-0005-0000-0000-000045050000}"/>
    <cellStyle name="Normal 14 2" xfId="306" xr:uid="{00000000-0005-0000-0000-000046050000}"/>
    <cellStyle name="Normal 14 2 2" xfId="566" xr:uid="{00000000-0005-0000-0000-000047050000}"/>
    <cellStyle name="Normal 14 2 2 2" xfId="1075" xr:uid="{00000000-0005-0000-0000-000048050000}"/>
    <cellStyle name="Normal 14 2 3" xfId="450" xr:uid="{00000000-0005-0000-0000-000049050000}"/>
    <cellStyle name="Normal 14 2 3 2" xfId="960" xr:uid="{00000000-0005-0000-0000-00004A050000}"/>
    <cellStyle name="Normal 14 2 4" xfId="829" xr:uid="{00000000-0005-0000-0000-00004B050000}"/>
    <cellStyle name="Normal 14 3" xfId="568" xr:uid="{00000000-0005-0000-0000-00004C050000}"/>
    <cellStyle name="Normal 14 3 2" xfId="1077" xr:uid="{00000000-0005-0000-0000-00004D050000}"/>
    <cellStyle name="Normal 14 4" xfId="452" xr:uid="{00000000-0005-0000-0000-00004E050000}"/>
    <cellStyle name="Normal 14 4 2" xfId="962" xr:uid="{00000000-0005-0000-0000-00004F050000}"/>
    <cellStyle name="Normal 14 5" xfId="831" xr:uid="{00000000-0005-0000-0000-000050050000}"/>
    <cellStyle name="Normal 15" xfId="280" xr:uid="{00000000-0005-0000-0000-000051050000}"/>
    <cellStyle name="Normal 16" xfId="281" xr:uid="{00000000-0005-0000-0000-000052050000}"/>
    <cellStyle name="Normal 16 2" xfId="557" xr:uid="{00000000-0005-0000-0000-000053050000}"/>
    <cellStyle name="Normal 16 3" xfId="443" xr:uid="{00000000-0005-0000-0000-000054050000}"/>
    <cellStyle name="Normal 17" xfId="312" xr:uid="{00000000-0005-0000-0000-000055050000}"/>
    <cellStyle name="Normal 18" xfId="314" xr:uid="{00000000-0005-0000-0000-000056050000}"/>
    <cellStyle name="Normal 19" xfId="317" xr:uid="{00000000-0005-0000-0000-000057050000}"/>
    <cellStyle name="Normal 2" xfId="25" xr:uid="{00000000-0005-0000-0000-000058050000}"/>
    <cellStyle name="Normal 2 2" xfId="168" xr:uid="{00000000-0005-0000-0000-000059050000}"/>
    <cellStyle name="Normal 2 2 2" xfId="286" xr:uid="{00000000-0005-0000-0000-00005A050000}"/>
    <cellStyle name="Normal 2 3" xfId="167" xr:uid="{00000000-0005-0000-0000-00005B050000}"/>
    <cellStyle name="Normal 20" xfId="322" xr:uid="{00000000-0005-0000-0000-00005C050000}"/>
    <cellStyle name="Normal 21" xfId="732" xr:uid="{00000000-0005-0000-0000-00005D050000}"/>
    <cellStyle name="Normal 3" xfId="26" xr:uid="{00000000-0005-0000-0000-00005E050000}"/>
    <cellStyle name="Normal 3 2" xfId="170" xr:uid="{00000000-0005-0000-0000-00005F050000}"/>
    <cellStyle name="Normal 3 3" xfId="169" xr:uid="{00000000-0005-0000-0000-000060050000}"/>
    <cellStyle name="Normal 3 3 2" xfId="539" xr:uid="{00000000-0005-0000-0000-000061050000}"/>
    <cellStyle name="Normal 3 3 2 2" xfId="1049" xr:uid="{00000000-0005-0000-0000-000062050000}"/>
    <cellStyle name="Normal 3 3 3" xfId="419" xr:uid="{00000000-0005-0000-0000-000063050000}"/>
    <cellStyle name="Normal 3 3 3 2" xfId="930" xr:uid="{00000000-0005-0000-0000-000064050000}"/>
    <cellStyle name="Normal 3 3 4" xfId="816" xr:uid="{00000000-0005-0000-0000-000065050000}"/>
    <cellStyle name="Normal 3 4" xfId="287" xr:uid="{00000000-0005-0000-0000-000066050000}"/>
    <cellStyle name="Normal 3 5" xfId="323" xr:uid="{00000000-0005-0000-0000-000067050000}"/>
    <cellStyle name="Normal 4" xfId="27" xr:uid="{00000000-0005-0000-0000-000068050000}"/>
    <cellStyle name="Normal 4 2" xfId="171" xr:uid="{00000000-0005-0000-0000-000069050000}"/>
    <cellStyle name="Normal 4 3" xfId="172" xr:uid="{00000000-0005-0000-0000-00006A050000}"/>
    <cellStyle name="Normal 5" xfId="28" xr:uid="{00000000-0005-0000-0000-00006B050000}"/>
    <cellStyle name="Normal 5 2" xfId="173" xr:uid="{00000000-0005-0000-0000-00006C050000}"/>
    <cellStyle name="Normal 5 2 2" xfId="540" xr:uid="{00000000-0005-0000-0000-00006D050000}"/>
    <cellStyle name="Normal 5 2 2 2" xfId="1050" xr:uid="{00000000-0005-0000-0000-00006E050000}"/>
    <cellStyle name="Normal 5 2 3" xfId="420" xr:uid="{00000000-0005-0000-0000-00006F050000}"/>
    <cellStyle name="Normal 5 2 3 2" xfId="931" xr:uid="{00000000-0005-0000-0000-000070050000}"/>
    <cellStyle name="Normal 5 2 4" xfId="817" xr:uid="{00000000-0005-0000-0000-000071050000}"/>
    <cellStyle name="Normal 5 3" xfId="288" xr:uid="{00000000-0005-0000-0000-000072050000}"/>
    <cellStyle name="Normal 5 4" xfId="482" xr:uid="{00000000-0005-0000-0000-000073050000}"/>
    <cellStyle name="Normal 5 4 2" xfId="992" xr:uid="{00000000-0005-0000-0000-000074050000}"/>
    <cellStyle name="Normal 5 5" xfId="349" xr:uid="{00000000-0005-0000-0000-000075050000}"/>
    <cellStyle name="Normal 5 5 2" xfId="860" xr:uid="{00000000-0005-0000-0000-000076050000}"/>
    <cellStyle name="Normal 5 6" xfId="757" xr:uid="{00000000-0005-0000-0000-000077050000}"/>
    <cellStyle name="Normal 58" xfId="174" xr:uid="{00000000-0005-0000-0000-000078050000}"/>
    <cellStyle name="Normal 59" xfId="175" xr:uid="{00000000-0005-0000-0000-000079050000}"/>
    <cellStyle name="Normal 6" xfId="35" xr:uid="{00000000-0005-0000-0000-00007A050000}"/>
    <cellStyle name="Normal 6 2" xfId="289" xr:uid="{00000000-0005-0000-0000-00007B050000}"/>
    <cellStyle name="Normal 6 3" xfId="319" xr:uid="{00000000-0005-0000-0000-00007C050000}"/>
    <cellStyle name="Normal 7" xfId="290" xr:uid="{00000000-0005-0000-0000-00007D050000}"/>
    <cellStyle name="Normal 7 2 2" xfId="291" xr:uid="{00000000-0005-0000-0000-00007E050000}"/>
    <cellStyle name="Normal 8" xfId="292" xr:uid="{00000000-0005-0000-0000-00007F050000}"/>
    <cellStyle name="Normal 9" xfId="293" xr:uid="{00000000-0005-0000-0000-000080050000}"/>
    <cellStyle name="Normal 9 2" xfId="294" xr:uid="{00000000-0005-0000-0000-000081050000}"/>
    <cellStyle name="Nota 2" xfId="29" xr:uid="{00000000-0005-0000-0000-000082050000}"/>
    <cellStyle name="Nota 2 2" xfId="177" xr:uid="{00000000-0005-0000-0000-000083050000}"/>
    <cellStyle name="Nota 2 2 2" xfId="541" xr:uid="{00000000-0005-0000-0000-000084050000}"/>
    <cellStyle name="Nota 2 2 2 2" xfId="1051" xr:uid="{00000000-0005-0000-0000-000085050000}"/>
    <cellStyle name="Nota 2 2 3" xfId="421" xr:uid="{00000000-0005-0000-0000-000086050000}"/>
    <cellStyle name="Nota 2 2 3 2" xfId="932" xr:uid="{00000000-0005-0000-0000-000087050000}"/>
    <cellStyle name="Nota 2 2 4" xfId="818" xr:uid="{00000000-0005-0000-0000-000088050000}"/>
    <cellStyle name="Nota 2 3" xfId="176" xr:uid="{00000000-0005-0000-0000-000089050000}"/>
    <cellStyle name="Nota 2 4" xfId="483" xr:uid="{00000000-0005-0000-0000-00008A050000}"/>
    <cellStyle name="Nota 2 4 2" xfId="993" xr:uid="{00000000-0005-0000-0000-00008B050000}"/>
    <cellStyle name="Nota 2 5" xfId="350" xr:uid="{00000000-0005-0000-0000-00008C050000}"/>
    <cellStyle name="Nota 2 5 2" xfId="861" xr:uid="{00000000-0005-0000-0000-00008D050000}"/>
    <cellStyle name="Nota 2 6" xfId="758" xr:uid="{00000000-0005-0000-0000-00008E050000}"/>
    <cellStyle name="Nota 3" xfId="30" xr:uid="{00000000-0005-0000-0000-00008F050000}"/>
    <cellStyle name="Nota 3 2" xfId="179" xr:uid="{00000000-0005-0000-0000-000090050000}"/>
    <cellStyle name="Nota 3 2 2" xfId="542" xr:uid="{00000000-0005-0000-0000-000091050000}"/>
    <cellStyle name="Nota 3 2 2 2" xfId="1052" xr:uid="{00000000-0005-0000-0000-000092050000}"/>
    <cellStyle name="Nota 3 2 3" xfId="422" xr:uid="{00000000-0005-0000-0000-000093050000}"/>
    <cellStyle name="Nota 3 2 3 2" xfId="933" xr:uid="{00000000-0005-0000-0000-000094050000}"/>
    <cellStyle name="Nota 3 2 4" xfId="819" xr:uid="{00000000-0005-0000-0000-000095050000}"/>
    <cellStyle name="Nota 3 3" xfId="178" xr:uid="{00000000-0005-0000-0000-000096050000}"/>
    <cellStyle name="Nota 3 4" xfId="484" xr:uid="{00000000-0005-0000-0000-000097050000}"/>
    <cellStyle name="Nota 3 4 2" xfId="994" xr:uid="{00000000-0005-0000-0000-000098050000}"/>
    <cellStyle name="Nota 3 5" xfId="351" xr:uid="{00000000-0005-0000-0000-000099050000}"/>
    <cellStyle name="Nota 3 5 2" xfId="862" xr:uid="{00000000-0005-0000-0000-00009A050000}"/>
    <cellStyle name="Nota 3 6" xfId="759" xr:uid="{00000000-0005-0000-0000-00009B050000}"/>
    <cellStyle name="Nota 4" xfId="103" xr:uid="{00000000-0005-0000-0000-00009C050000}"/>
    <cellStyle name="Nota 4 10" xfId="1281" xr:uid="{00000000-0005-0000-0000-00009D050000}"/>
    <cellStyle name="Nota 4 2" xfId="180" xr:uid="{00000000-0005-0000-0000-00009E050000}"/>
    <cellStyle name="Nota 4 3" xfId="491" xr:uid="{00000000-0005-0000-0000-00009F050000}"/>
    <cellStyle name="Nota 4 3 10" xfId="1408" xr:uid="{00000000-0005-0000-0000-0000A0050000}"/>
    <cellStyle name="Nota 4 3 11" xfId="1351" xr:uid="{00000000-0005-0000-0000-0000A1050000}"/>
    <cellStyle name="Nota 4 3 12" xfId="1294" xr:uid="{00000000-0005-0000-0000-0000A2050000}"/>
    <cellStyle name="Nota 4 3 13" xfId="1610" xr:uid="{00000000-0005-0000-0000-0000A3050000}"/>
    <cellStyle name="Nota 4 3 14" xfId="1788" xr:uid="{00000000-0005-0000-0000-0000A4050000}"/>
    <cellStyle name="Nota 4 3 2" xfId="617" xr:uid="{00000000-0005-0000-0000-0000A5050000}"/>
    <cellStyle name="Nota 4 3 2 2" xfId="1125" xr:uid="{00000000-0005-0000-0000-0000A6050000}"/>
    <cellStyle name="Nota 4 3 2 3" xfId="1490" xr:uid="{00000000-0005-0000-0000-0000A7050000}"/>
    <cellStyle name="Nota 4 3 2 4" xfId="1665" xr:uid="{00000000-0005-0000-0000-0000A8050000}"/>
    <cellStyle name="Nota 4 3 2 5" xfId="1842" xr:uid="{00000000-0005-0000-0000-0000A9050000}"/>
    <cellStyle name="Nota 4 3 2 6" xfId="2012" xr:uid="{00000000-0005-0000-0000-0000AA050000}"/>
    <cellStyle name="Nota 4 3 2 7" xfId="2179" xr:uid="{00000000-0005-0000-0000-0000AB050000}"/>
    <cellStyle name="Nota 4 3 3" xfId="440" xr:uid="{00000000-0005-0000-0000-0000AC050000}"/>
    <cellStyle name="Nota 4 3 3 2" xfId="951" xr:uid="{00000000-0005-0000-0000-0000AD050000}"/>
    <cellStyle name="Nota 4 3 3 3" xfId="1381" xr:uid="{00000000-0005-0000-0000-0000AE050000}"/>
    <cellStyle name="Nota 4 3 3 4" xfId="1272" xr:uid="{00000000-0005-0000-0000-0000AF050000}"/>
    <cellStyle name="Nota 4 3 3 5" xfId="1420" xr:uid="{00000000-0005-0000-0000-0000B0050000}"/>
    <cellStyle name="Nota 4 3 3 6" xfId="1296" xr:uid="{00000000-0005-0000-0000-0000B1050000}"/>
    <cellStyle name="Nota 4 3 3 7" xfId="1425" xr:uid="{00000000-0005-0000-0000-0000B2050000}"/>
    <cellStyle name="Nota 4 3 4" xfId="602" xr:uid="{00000000-0005-0000-0000-0000B3050000}"/>
    <cellStyle name="Nota 4 3 4 2" xfId="1110" xr:uid="{00000000-0005-0000-0000-0000B4050000}"/>
    <cellStyle name="Nota 4 3 4 3" xfId="1475" xr:uid="{00000000-0005-0000-0000-0000B5050000}"/>
    <cellStyle name="Nota 4 3 4 4" xfId="1650" xr:uid="{00000000-0005-0000-0000-0000B6050000}"/>
    <cellStyle name="Nota 4 3 4 5" xfId="1827" xr:uid="{00000000-0005-0000-0000-0000B7050000}"/>
    <cellStyle name="Nota 4 3 4 6" xfId="1997" xr:uid="{00000000-0005-0000-0000-0000B8050000}"/>
    <cellStyle name="Nota 4 3 4 7" xfId="2164" xr:uid="{00000000-0005-0000-0000-0000B9050000}"/>
    <cellStyle name="Nota 4 3 5" xfId="624" xr:uid="{00000000-0005-0000-0000-0000BA050000}"/>
    <cellStyle name="Nota 4 3 5 2" xfId="1132" xr:uid="{00000000-0005-0000-0000-0000BB050000}"/>
    <cellStyle name="Nota 4 3 5 3" xfId="1497" xr:uid="{00000000-0005-0000-0000-0000BC050000}"/>
    <cellStyle name="Nota 4 3 5 4" xfId="1672" xr:uid="{00000000-0005-0000-0000-0000BD050000}"/>
    <cellStyle name="Nota 4 3 5 5" xfId="1849" xr:uid="{00000000-0005-0000-0000-0000BE050000}"/>
    <cellStyle name="Nota 4 3 5 6" xfId="2019" xr:uid="{00000000-0005-0000-0000-0000BF050000}"/>
    <cellStyle name="Nota 4 3 5 7" xfId="2186" xr:uid="{00000000-0005-0000-0000-0000C0050000}"/>
    <cellStyle name="Nota 4 3 6" xfId="696" xr:uid="{00000000-0005-0000-0000-0000C1050000}"/>
    <cellStyle name="Nota 4 3 6 2" xfId="1204" xr:uid="{00000000-0005-0000-0000-0000C2050000}"/>
    <cellStyle name="Nota 4 3 6 3" xfId="1569" xr:uid="{00000000-0005-0000-0000-0000C3050000}"/>
    <cellStyle name="Nota 4 3 6 4" xfId="1744" xr:uid="{00000000-0005-0000-0000-0000C4050000}"/>
    <cellStyle name="Nota 4 3 6 5" xfId="1921" xr:uid="{00000000-0005-0000-0000-0000C5050000}"/>
    <cellStyle name="Nota 4 3 6 6" xfId="2091" xr:uid="{00000000-0005-0000-0000-0000C6050000}"/>
    <cellStyle name="Nota 4 3 6 7" xfId="2258" xr:uid="{00000000-0005-0000-0000-0000C7050000}"/>
    <cellStyle name="Nota 4 3 7" xfId="587" xr:uid="{00000000-0005-0000-0000-0000C8050000}"/>
    <cellStyle name="Nota 4 3 7 2" xfId="1095" xr:uid="{00000000-0005-0000-0000-0000C9050000}"/>
    <cellStyle name="Nota 4 3 7 3" xfId="1460" xr:uid="{00000000-0005-0000-0000-0000CA050000}"/>
    <cellStyle name="Nota 4 3 7 4" xfId="1635" xr:uid="{00000000-0005-0000-0000-0000CB050000}"/>
    <cellStyle name="Nota 4 3 7 5" xfId="1812" xr:uid="{00000000-0005-0000-0000-0000CC050000}"/>
    <cellStyle name="Nota 4 3 7 6" xfId="1982" xr:uid="{00000000-0005-0000-0000-0000CD050000}"/>
    <cellStyle name="Nota 4 3 7 7" xfId="2149" xr:uid="{00000000-0005-0000-0000-0000CE050000}"/>
    <cellStyle name="Nota 4 3 8" xfId="599" xr:uid="{00000000-0005-0000-0000-0000CF050000}"/>
    <cellStyle name="Nota 4 3 8 2" xfId="1107" xr:uid="{00000000-0005-0000-0000-0000D0050000}"/>
    <cellStyle name="Nota 4 3 8 3" xfId="1472" xr:uid="{00000000-0005-0000-0000-0000D1050000}"/>
    <cellStyle name="Nota 4 3 8 4" xfId="1647" xr:uid="{00000000-0005-0000-0000-0000D2050000}"/>
    <cellStyle name="Nota 4 3 8 5" xfId="1824" xr:uid="{00000000-0005-0000-0000-0000D3050000}"/>
    <cellStyle name="Nota 4 3 8 6" xfId="1994" xr:uid="{00000000-0005-0000-0000-0000D4050000}"/>
    <cellStyle name="Nota 4 3 8 7" xfId="2161" xr:uid="{00000000-0005-0000-0000-0000D5050000}"/>
    <cellStyle name="Nota 4 3 9" xfId="1001" xr:uid="{00000000-0005-0000-0000-0000D6050000}"/>
    <cellStyle name="Nota 4 4" xfId="577" xr:uid="{00000000-0005-0000-0000-0000D7050000}"/>
    <cellStyle name="Nota 4 4 10" xfId="1452" xr:uid="{00000000-0005-0000-0000-0000D8050000}"/>
    <cellStyle name="Nota 4 4 11" xfId="1626" xr:uid="{00000000-0005-0000-0000-0000D9050000}"/>
    <cellStyle name="Nota 4 4 12" xfId="1804" xr:uid="{00000000-0005-0000-0000-0000DA050000}"/>
    <cellStyle name="Nota 4 4 13" xfId="1974" xr:uid="{00000000-0005-0000-0000-0000DB050000}"/>
    <cellStyle name="Nota 4 4 14" xfId="2141" xr:uid="{00000000-0005-0000-0000-0000DC050000}"/>
    <cellStyle name="Nota 4 4 2" xfId="645" xr:uid="{00000000-0005-0000-0000-0000DD050000}"/>
    <cellStyle name="Nota 4 4 2 2" xfId="1153" xr:uid="{00000000-0005-0000-0000-0000DE050000}"/>
    <cellStyle name="Nota 4 4 2 3" xfId="1518" xr:uid="{00000000-0005-0000-0000-0000DF050000}"/>
    <cellStyle name="Nota 4 4 2 4" xfId="1693" xr:uid="{00000000-0005-0000-0000-0000E0050000}"/>
    <cellStyle name="Nota 4 4 2 5" xfId="1870" xr:uid="{00000000-0005-0000-0000-0000E1050000}"/>
    <cellStyle name="Nota 4 4 2 6" xfId="2040" xr:uid="{00000000-0005-0000-0000-0000E2050000}"/>
    <cellStyle name="Nota 4 4 2 7" xfId="2207" xr:uid="{00000000-0005-0000-0000-0000E3050000}"/>
    <cellStyle name="Nota 4 4 3" xfId="661" xr:uid="{00000000-0005-0000-0000-0000E4050000}"/>
    <cellStyle name="Nota 4 4 3 2" xfId="1169" xr:uid="{00000000-0005-0000-0000-0000E5050000}"/>
    <cellStyle name="Nota 4 4 3 3" xfId="1534" xr:uid="{00000000-0005-0000-0000-0000E6050000}"/>
    <cellStyle name="Nota 4 4 3 4" xfId="1709" xr:uid="{00000000-0005-0000-0000-0000E7050000}"/>
    <cellStyle name="Nota 4 4 3 5" xfId="1886" xr:uid="{00000000-0005-0000-0000-0000E8050000}"/>
    <cellStyle name="Nota 4 4 3 6" xfId="2056" xr:uid="{00000000-0005-0000-0000-0000E9050000}"/>
    <cellStyle name="Nota 4 4 3 7" xfId="2223" xr:uid="{00000000-0005-0000-0000-0000EA050000}"/>
    <cellStyle name="Nota 4 4 4" xfId="671" xr:uid="{00000000-0005-0000-0000-0000EB050000}"/>
    <cellStyle name="Nota 4 4 4 2" xfId="1179" xr:uid="{00000000-0005-0000-0000-0000EC050000}"/>
    <cellStyle name="Nota 4 4 4 3" xfId="1544" xr:uid="{00000000-0005-0000-0000-0000ED050000}"/>
    <cellStyle name="Nota 4 4 4 4" xfId="1719" xr:uid="{00000000-0005-0000-0000-0000EE050000}"/>
    <cellStyle name="Nota 4 4 4 5" xfId="1896" xr:uid="{00000000-0005-0000-0000-0000EF050000}"/>
    <cellStyle name="Nota 4 4 4 6" xfId="2066" xr:uid="{00000000-0005-0000-0000-0000F0050000}"/>
    <cellStyle name="Nota 4 4 4 7" xfId="2233" xr:uid="{00000000-0005-0000-0000-0000F1050000}"/>
    <cellStyle name="Nota 4 4 5" xfId="688" xr:uid="{00000000-0005-0000-0000-0000F2050000}"/>
    <cellStyle name="Nota 4 4 5 2" xfId="1196" xr:uid="{00000000-0005-0000-0000-0000F3050000}"/>
    <cellStyle name="Nota 4 4 5 3" xfId="1561" xr:uid="{00000000-0005-0000-0000-0000F4050000}"/>
    <cellStyle name="Nota 4 4 5 4" xfId="1736" xr:uid="{00000000-0005-0000-0000-0000F5050000}"/>
    <cellStyle name="Nota 4 4 5 5" xfId="1913" xr:uid="{00000000-0005-0000-0000-0000F6050000}"/>
    <cellStyle name="Nota 4 4 5 6" xfId="2083" xr:uid="{00000000-0005-0000-0000-0000F7050000}"/>
    <cellStyle name="Nota 4 4 5 7" xfId="2250" xr:uid="{00000000-0005-0000-0000-0000F8050000}"/>
    <cellStyle name="Nota 4 4 6" xfId="712" xr:uid="{00000000-0005-0000-0000-0000F9050000}"/>
    <cellStyle name="Nota 4 4 6 2" xfId="1220" xr:uid="{00000000-0005-0000-0000-0000FA050000}"/>
    <cellStyle name="Nota 4 4 6 3" xfId="1585" xr:uid="{00000000-0005-0000-0000-0000FB050000}"/>
    <cellStyle name="Nota 4 4 6 4" xfId="1760" xr:uid="{00000000-0005-0000-0000-0000FC050000}"/>
    <cellStyle name="Nota 4 4 6 5" xfId="1937" xr:uid="{00000000-0005-0000-0000-0000FD050000}"/>
    <cellStyle name="Nota 4 4 6 6" xfId="2107" xr:uid="{00000000-0005-0000-0000-0000FE050000}"/>
    <cellStyle name="Nota 4 4 6 7" xfId="2274" xr:uid="{00000000-0005-0000-0000-0000FF050000}"/>
    <cellStyle name="Nota 4 4 7" xfId="600" xr:uid="{00000000-0005-0000-0000-000000060000}"/>
    <cellStyle name="Nota 4 4 7 2" xfId="1108" xr:uid="{00000000-0005-0000-0000-000001060000}"/>
    <cellStyle name="Nota 4 4 7 3" xfId="1473" xr:uid="{00000000-0005-0000-0000-000002060000}"/>
    <cellStyle name="Nota 4 4 7 4" xfId="1648" xr:uid="{00000000-0005-0000-0000-000003060000}"/>
    <cellStyle name="Nota 4 4 7 5" xfId="1825" xr:uid="{00000000-0005-0000-0000-000004060000}"/>
    <cellStyle name="Nota 4 4 7 6" xfId="1995" xr:uid="{00000000-0005-0000-0000-000005060000}"/>
    <cellStyle name="Nota 4 4 7 7" xfId="2162" xr:uid="{00000000-0005-0000-0000-000006060000}"/>
    <cellStyle name="Nota 4 4 8" xfId="728" xr:uid="{00000000-0005-0000-0000-000007060000}"/>
    <cellStyle name="Nota 4 4 8 2" xfId="1236" xr:uid="{00000000-0005-0000-0000-000008060000}"/>
    <cellStyle name="Nota 4 4 8 3" xfId="1601" xr:uid="{00000000-0005-0000-0000-000009060000}"/>
    <cellStyle name="Nota 4 4 8 4" xfId="1776" xr:uid="{00000000-0005-0000-0000-00000A060000}"/>
    <cellStyle name="Nota 4 4 8 5" xfId="1953" xr:uid="{00000000-0005-0000-0000-00000B060000}"/>
    <cellStyle name="Nota 4 4 8 6" xfId="2123" xr:uid="{00000000-0005-0000-0000-00000C060000}"/>
    <cellStyle name="Nota 4 4 8 7" xfId="2290" xr:uid="{00000000-0005-0000-0000-00000D060000}"/>
    <cellStyle name="Nota 4 4 9" xfId="1086" xr:uid="{00000000-0005-0000-0000-00000E060000}"/>
    <cellStyle name="Nota 4 5" xfId="559" xr:uid="{00000000-0005-0000-0000-00000F060000}"/>
    <cellStyle name="Nota 4 5 10" xfId="1618" xr:uid="{00000000-0005-0000-0000-000010060000}"/>
    <cellStyle name="Nota 4 5 11" xfId="1796" xr:uid="{00000000-0005-0000-0000-000011060000}"/>
    <cellStyle name="Nota 4 5 12" xfId="1967" xr:uid="{00000000-0005-0000-0000-000012060000}"/>
    <cellStyle name="Nota 4 5 13" xfId="2134" xr:uid="{00000000-0005-0000-0000-000013060000}"/>
    <cellStyle name="Nota 4 5 2" xfId="637" xr:uid="{00000000-0005-0000-0000-000014060000}"/>
    <cellStyle name="Nota 4 5 2 2" xfId="1145" xr:uid="{00000000-0005-0000-0000-000015060000}"/>
    <cellStyle name="Nota 4 5 2 3" xfId="1510" xr:uid="{00000000-0005-0000-0000-000016060000}"/>
    <cellStyle name="Nota 4 5 2 4" xfId="1685" xr:uid="{00000000-0005-0000-0000-000017060000}"/>
    <cellStyle name="Nota 4 5 2 5" xfId="1862" xr:uid="{00000000-0005-0000-0000-000018060000}"/>
    <cellStyle name="Nota 4 5 2 6" xfId="2032" xr:uid="{00000000-0005-0000-0000-000019060000}"/>
    <cellStyle name="Nota 4 5 2 7" xfId="2199" xr:uid="{00000000-0005-0000-0000-00001A060000}"/>
    <cellStyle name="Nota 4 5 3" xfId="649" xr:uid="{00000000-0005-0000-0000-00001B060000}"/>
    <cellStyle name="Nota 4 5 3 2" xfId="1157" xr:uid="{00000000-0005-0000-0000-00001C060000}"/>
    <cellStyle name="Nota 4 5 3 3" xfId="1522" xr:uid="{00000000-0005-0000-0000-00001D060000}"/>
    <cellStyle name="Nota 4 5 3 4" xfId="1697" xr:uid="{00000000-0005-0000-0000-00001E060000}"/>
    <cellStyle name="Nota 4 5 3 5" xfId="1874" xr:uid="{00000000-0005-0000-0000-00001F060000}"/>
    <cellStyle name="Nota 4 5 3 6" xfId="2044" xr:uid="{00000000-0005-0000-0000-000020060000}"/>
    <cellStyle name="Nota 4 5 3 7" xfId="2211" xr:uid="{00000000-0005-0000-0000-000021060000}"/>
    <cellStyle name="Nota 4 5 4" xfId="664" xr:uid="{00000000-0005-0000-0000-000022060000}"/>
    <cellStyle name="Nota 4 5 4 2" xfId="1172" xr:uid="{00000000-0005-0000-0000-000023060000}"/>
    <cellStyle name="Nota 4 5 4 3" xfId="1537" xr:uid="{00000000-0005-0000-0000-000024060000}"/>
    <cellStyle name="Nota 4 5 4 4" xfId="1712" xr:uid="{00000000-0005-0000-0000-000025060000}"/>
    <cellStyle name="Nota 4 5 4 5" xfId="1889" xr:uid="{00000000-0005-0000-0000-000026060000}"/>
    <cellStyle name="Nota 4 5 4 6" xfId="2059" xr:uid="{00000000-0005-0000-0000-000027060000}"/>
    <cellStyle name="Nota 4 5 4 7" xfId="2226" xr:uid="{00000000-0005-0000-0000-000028060000}"/>
    <cellStyle name="Nota 4 5 5" xfId="681" xr:uid="{00000000-0005-0000-0000-000029060000}"/>
    <cellStyle name="Nota 4 5 5 2" xfId="1189" xr:uid="{00000000-0005-0000-0000-00002A060000}"/>
    <cellStyle name="Nota 4 5 5 3" xfId="1554" xr:uid="{00000000-0005-0000-0000-00002B060000}"/>
    <cellStyle name="Nota 4 5 5 4" xfId="1729" xr:uid="{00000000-0005-0000-0000-00002C060000}"/>
    <cellStyle name="Nota 4 5 5 5" xfId="1906" xr:uid="{00000000-0005-0000-0000-00002D060000}"/>
    <cellStyle name="Nota 4 5 5 6" xfId="2076" xr:uid="{00000000-0005-0000-0000-00002E060000}"/>
    <cellStyle name="Nota 4 5 5 7" xfId="2243" xr:uid="{00000000-0005-0000-0000-00002F060000}"/>
    <cellStyle name="Nota 4 5 6" xfId="656" xr:uid="{00000000-0005-0000-0000-000030060000}"/>
    <cellStyle name="Nota 4 5 6 2" xfId="1164" xr:uid="{00000000-0005-0000-0000-000031060000}"/>
    <cellStyle name="Nota 4 5 6 3" xfId="1529" xr:uid="{00000000-0005-0000-0000-000032060000}"/>
    <cellStyle name="Nota 4 5 6 4" xfId="1704" xr:uid="{00000000-0005-0000-0000-000033060000}"/>
    <cellStyle name="Nota 4 5 6 5" xfId="1881" xr:uid="{00000000-0005-0000-0000-000034060000}"/>
    <cellStyle name="Nota 4 5 6 6" xfId="2051" xr:uid="{00000000-0005-0000-0000-000035060000}"/>
    <cellStyle name="Nota 4 5 6 7" xfId="2218" xr:uid="{00000000-0005-0000-0000-000036060000}"/>
    <cellStyle name="Nota 4 5 7" xfId="721" xr:uid="{00000000-0005-0000-0000-000037060000}"/>
    <cellStyle name="Nota 4 5 7 2" xfId="1229" xr:uid="{00000000-0005-0000-0000-000038060000}"/>
    <cellStyle name="Nota 4 5 7 3" xfId="1594" xr:uid="{00000000-0005-0000-0000-000039060000}"/>
    <cellStyle name="Nota 4 5 7 4" xfId="1769" xr:uid="{00000000-0005-0000-0000-00003A060000}"/>
    <cellStyle name="Nota 4 5 7 5" xfId="1946" xr:uid="{00000000-0005-0000-0000-00003B060000}"/>
    <cellStyle name="Nota 4 5 7 6" xfId="2116" xr:uid="{00000000-0005-0000-0000-00003C060000}"/>
    <cellStyle name="Nota 4 5 7 7" xfId="2283" xr:uid="{00000000-0005-0000-0000-00003D060000}"/>
    <cellStyle name="Nota 4 5 8" xfId="1068" xr:uid="{00000000-0005-0000-0000-00003E060000}"/>
    <cellStyle name="Nota 4 5 9" xfId="1440" xr:uid="{00000000-0005-0000-0000-00003F060000}"/>
    <cellStyle name="Nota 4 6" xfId="368" xr:uid="{00000000-0005-0000-0000-000040060000}"/>
    <cellStyle name="Nota 4 6 2" xfId="879" xr:uid="{00000000-0005-0000-0000-000041060000}"/>
    <cellStyle name="Nota 4 6 3" xfId="1345" xr:uid="{00000000-0005-0000-0000-000042060000}"/>
    <cellStyle name="Nota 4 6 4" xfId="1246" xr:uid="{00000000-0005-0000-0000-000043060000}"/>
    <cellStyle name="Nota 4 6 5" xfId="1258" xr:uid="{00000000-0005-0000-0000-000044060000}"/>
    <cellStyle name="Nota 4 6 6" xfId="1619" xr:uid="{00000000-0005-0000-0000-000045060000}"/>
    <cellStyle name="Nota 4 6 7" xfId="1448" xr:uid="{00000000-0005-0000-0000-000046060000}"/>
    <cellStyle name="Nota 4 7" xfId="608" xr:uid="{00000000-0005-0000-0000-000047060000}"/>
    <cellStyle name="Nota 4 7 2" xfId="1116" xr:uid="{00000000-0005-0000-0000-000048060000}"/>
    <cellStyle name="Nota 4 7 3" xfId="1481" xr:uid="{00000000-0005-0000-0000-000049060000}"/>
    <cellStyle name="Nota 4 7 4" xfId="1656" xr:uid="{00000000-0005-0000-0000-00004A060000}"/>
    <cellStyle name="Nota 4 7 5" xfId="1833" xr:uid="{00000000-0005-0000-0000-00004B060000}"/>
    <cellStyle name="Nota 4 7 6" xfId="2003" xr:uid="{00000000-0005-0000-0000-00004C060000}"/>
    <cellStyle name="Nota 4 7 7" xfId="2170" xr:uid="{00000000-0005-0000-0000-00004D060000}"/>
    <cellStyle name="Nota 4 8" xfId="609" xr:uid="{00000000-0005-0000-0000-00004E060000}"/>
    <cellStyle name="Nota 4 8 2" xfId="1117" xr:uid="{00000000-0005-0000-0000-00004F060000}"/>
    <cellStyle name="Nota 4 8 3" xfId="1482" xr:uid="{00000000-0005-0000-0000-000050060000}"/>
    <cellStyle name="Nota 4 8 4" xfId="1657" xr:uid="{00000000-0005-0000-0000-000051060000}"/>
    <cellStyle name="Nota 4 8 5" xfId="1834" xr:uid="{00000000-0005-0000-0000-000052060000}"/>
    <cellStyle name="Nota 4 8 6" xfId="2004" xr:uid="{00000000-0005-0000-0000-000053060000}"/>
    <cellStyle name="Nota 4 8 7" xfId="2171" xr:uid="{00000000-0005-0000-0000-000054060000}"/>
    <cellStyle name="Nota 4 9" xfId="766" xr:uid="{00000000-0005-0000-0000-000055060000}"/>
    <cellStyle name="Note" xfId="104" xr:uid="{00000000-0005-0000-0000-000056060000}"/>
    <cellStyle name="Note 2" xfId="490" xr:uid="{00000000-0005-0000-0000-000057060000}"/>
    <cellStyle name="Note 2 10" xfId="1407" xr:uid="{00000000-0005-0000-0000-000058060000}"/>
    <cellStyle name="Note 2 11" xfId="1267" xr:uid="{00000000-0005-0000-0000-000059060000}"/>
    <cellStyle name="Note 2 12" xfId="1368" xr:uid="{00000000-0005-0000-0000-00005A060000}"/>
    <cellStyle name="Note 2 13" xfId="1411" xr:uid="{00000000-0005-0000-0000-00005B060000}"/>
    <cellStyle name="Note 2 14" xfId="1357" xr:uid="{00000000-0005-0000-0000-00005C060000}"/>
    <cellStyle name="Note 2 2" xfId="616" xr:uid="{00000000-0005-0000-0000-00005D060000}"/>
    <cellStyle name="Note 2 2 2" xfId="1124" xr:uid="{00000000-0005-0000-0000-00005E060000}"/>
    <cellStyle name="Note 2 2 3" xfId="1489" xr:uid="{00000000-0005-0000-0000-00005F060000}"/>
    <cellStyle name="Note 2 2 4" xfId="1664" xr:uid="{00000000-0005-0000-0000-000060060000}"/>
    <cellStyle name="Note 2 2 5" xfId="1841" xr:uid="{00000000-0005-0000-0000-000061060000}"/>
    <cellStyle name="Note 2 2 6" xfId="2011" xr:uid="{00000000-0005-0000-0000-000062060000}"/>
    <cellStyle name="Note 2 2 7" xfId="2178" xr:uid="{00000000-0005-0000-0000-000063060000}"/>
    <cellStyle name="Note 2 3" xfId="359" xr:uid="{00000000-0005-0000-0000-000064060000}"/>
    <cellStyle name="Note 2 3 2" xfId="870" xr:uid="{00000000-0005-0000-0000-000065060000}"/>
    <cellStyle name="Note 2 3 3" xfId="1336" xr:uid="{00000000-0005-0000-0000-000066060000}"/>
    <cellStyle name="Note 2 3 4" xfId="1362" xr:uid="{00000000-0005-0000-0000-000067060000}"/>
    <cellStyle name="Note 2 3 5" xfId="1604" xr:uid="{00000000-0005-0000-0000-000068060000}"/>
    <cellStyle name="Note 2 3 6" xfId="1366" xr:uid="{00000000-0005-0000-0000-000069060000}"/>
    <cellStyle name="Note 2 3 7" xfId="1415" xr:uid="{00000000-0005-0000-0000-00006A060000}"/>
    <cellStyle name="Note 2 4" xfId="581" xr:uid="{00000000-0005-0000-0000-00006B060000}"/>
    <cellStyle name="Note 2 4 2" xfId="1089" xr:uid="{00000000-0005-0000-0000-00006C060000}"/>
    <cellStyle name="Note 2 4 3" xfId="1454" xr:uid="{00000000-0005-0000-0000-00006D060000}"/>
    <cellStyle name="Note 2 4 4" xfId="1629" xr:uid="{00000000-0005-0000-0000-00006E060000}"/>
    <cellStyle name="Note 2 4 5" xfId="1806" xr:uid="{00000000-0005-0000-0000-00006F060000}"/>
    <cellStyle name="Note 2 4 6" xfId="1976" xr:uid="{00000000-0005-0000-0000-000070060000}"/>
    <cellStyle name="Note 2 4 7" xfId="2143" xr:uid="{00000000-0005-0000-0000-000071060000}"/>
    <cellStyle name="Note 2 5" xfId="360" xr:uid="{00000000-0005-0000-0000-000072060000}"/>
    <cellStyle name="Note 2 5 2" xfId="871" xr:uid="{00000000-0005-0000-0000-000073060000}"/>
    <cellStyle name="Note 2 5 3" xfId="1337" xr:uid="{00000000-0005-0000-0000-000074060000}"/>
    <cellStyle name="Note 2 5 4" xfId="1423" xr:uid="{00000000-0005-0000-0000-000075060000}"/>
    <cellStyle name="Note 2 5 5" xfId="1441" xr:uid="{00000000-0005-0000-0000-000076060000}"/>
    <cellStyle name="Note 2 5 6" xfId="1238" xr:uid="{00000000-0005-0000-0000-000077060000}"/>
    <cellStyle name="Note 2 5 7" xfId="1293" xr:uid="{00000000-0005-0000-0000-000078060000}"/>
    <cellStyle name="Note 2 6" xfId="695" xr:uid="{00000000-0005-0000-0000-000079060000}"/>
    <cellStyle name="Note 2 6 2" xfId="1203" xr:uid="{00000000-0005-0000-0000-00007A060000}"/>
    <cellStyle name="Note 2 6 3" xfId="1568" xr:uid="{00000000-0005-0000-0000-00007B060000}"/>
    <cellStyle name="Note 2 6 4" xfId="1743" xr:uid="{00000000-0005-0000-0000-00007C060000}"/>
    <cellStyle name="Note 2 6 5" xfId="1920" xr:uid="{00000000-0005-0000-0000-00007D060000}"/>
    <cellStyle name="Note 2 6 6" xfId="2090" xr:uid="{00000000-0005-0000-0000-00007E060000}"/>
    <cellStyle name="Note 2 6 7" xfId="2257" xr:uid="{00000000-0005-0000-0000-00007F060000}"/>
    <cellStyle name="Note 2 7" xfId="586" xr:uid="{00000000-0005-0000-0000-000080060000}"/>
    <cellStyle name="Note 2 7 2" xfId="1094" xr:uid="{00000000-0005-0000-0000-000081060000}"/>
    <cellStyle name="Note 2 7 3" xfId="1459" xr:uid="{00000000-0005-0000-0000-000082060000}"/>
    <cellStyle name="Note 2 7 4" xfId="1634" xr:uid="{00000000-0005-0000-0000-000083060000}"/>
    <cellStyle name="Note 2 7 5" xfId="1811" xr:uid="{00000000-0005-0000-0000-000084060000}"/>
    <cellStyle name="Note 2 7 6" xfId="1981" xr:uid="{00000000-0005-0000-0000-000085060000}"/>
    <cellStyle name="Note 2 7 7" xfId="2148" xr:uid="{00000000-0005-0000-0000-000086060000}"/>
    <cellStyle name="Note 2 8" xfId="612" xr:uid="{00000000-0005-0000-0000-000087060000}"/>
    <cellStyle name="Note 2 8 2" xfId="1120" xr:uid="{00000000-0005-0000-0000-000088060000}"/>
    <cellStyle name="Note 2 8 3" xfId="1485" xr:uid="{00000000-0005-0000-0000-000089060000}"/>
    <cellStyle name="Note 2 8 4" xfId="1660" xr:uid="{00000000-0005-0000-0000-00008A060000}"/>
    <cellStyle name="Note 2 8 5" xfId="1837" xr:uid="{00000000-0005-0000-0000-00008B060000}"/>
    <cellStyle name="Note 2 8 6" xfId="2007" xr:uid="{00000000-0005-0000-0000-00008C060000}"/>
    <cellStyle name="Note 2 8 7" xfId="2174" xr:uid="{00000000-0005-0000-0000-00008D060000}"/>
    <cellStyle name="Note 2 9" xfId="1000" xr:uid="{00000000-0005-0000-0000-00008E060000}"/>
    <cellStyle name="Note 3" xfId="554" xr:uid="{00000000-0005-0000-0000-00008F060000}"/>
    <cellStyle name="Note 3 10" xfId="1436" xr:uid="{00000000-0005-0000-0000-000090060000}"/>
    <cellStyle name="Note 3 11" xfId="1614" xr:uid="{00000000-0005-0000-0000-000091060000}"/>
    <cellStyle name="Note 3 12" xfId="1792" xr:uid="{00000000-0005-0000-0000-000092060000}"/>
    <cellStyle name="Note 3 13" xfId="1963" xr:uid="{00000000-0005-0000-0000-000093060000}"/>
    <cellStyle name="Note 3 14" xfId="2130" xr:uid="{00000000-0005-0000-0000-000094060000}"/>
    <cellStyle name="Note 3 2" xfId="632" xr:uid="{00000000-0005-0000-0000-000095060000}"/>
    <cellStyle name="Note 3 2 2" xfId="1140" xr:uid="{00000000-0005-0000-0000-000096060000}"/>
    <cellStyle name="Note 3 2 3" xfId="1505" xr:uid="{00000000-0005-0000-0000-000097060000}"/>
    <cellStyle name="Note 3 2 4" xfId="1680" xr:uid="{00000000-0005-0000-0000-000098060000}"/>
    <cellStyle name="Note 3 2 5" xfId="1857" xr:uid="{00000000-0005-0000-0000-000099060000}"/>
    <cellStyle name="Note 3 2 6" xfId="2027" xr:uid="{00000000-0005-0000-0000-00009A060000}"/>
    <cellStyle name="Note 3 2 7" xfId="2194" xr:uid="{00000000-0005-0000-0000-00009B060000}"/>
    <cellStyle name="Note 3 3" xfId="432" xr:uid="{00000000-0005-0000-0000-00009C060000}"/>
    <cellStyle name="Note 3 3 2" xfId="943" xr:uid="{00000000-0005-0000-0000-00009D060000}"/>
    <cellStyle name="Note 3 3 3" xfId="1373" xr:uid="{00000000-0005-0000-0000-00009E060000}"/>
    <cellStyle name="Note 3 3 4" xfId="1257" xr:uid="{00000000-0005-0000-0000-00009F060000}"/>
    <cellStyle name="Note 3 3 5" xfId="1410" xr:uid="{00000000-0005-0000-0000-0000A0060000}"/>
    <cellStyle name="Note 3 3 6" xfId="1282" xr:uid="{00000000-0005-0000-0000-0000A1060000}"/>
    <cellStyle name="Note 3 3 7" xfId="1312" xr:uid="{00000000-0005-0000-0000-0000A2060000}"/>
    <cellStyle name="Note 3 4" xfId="594" xr:uid="{00000000-0005-0000-0000-0000A3060000}"/>
    <cellStyle name="Note 3 4 2" xfId="1102" xr:uid="{00000000-0005-0000-0000-0000A4060000}"/>
    <cellStyle name="Note 3 4 3" xfId="1467" xr:uid="{00000000-0005-0000-0000-0000A5060000}"/>
    <cellStyle name="Note 3 4 4" xfId="1642" xr:uid="{00000000-0005-0000-0000-0000A6060000}"/>
    <cellStyle name="Note 3 4 5" xfId="1819" xr:uid="{00000000-0005-0000-0000-0000A7060000}"/>
    <cellStyle name="Note 3 4 6" xfId="1989" xr:uid="{00000000-0005-0000-0000-0000A8060000}"/>
    <cellStyle name="Note 3 4 7" xfId="2156" xr:uid="{00000000-0005-0000-0000-0000A9060000}"/>
    <cellStyle name="Note 3 5" xfId="677" xr:uid="{00000000-0005-0000-0000-0000AA060000}"/>
    <cellStyle name="Note 3 5 2" xfId="1185" xr:uid="{00000000-0005-0000-0000-0000AB060000}"/>
    <cellStyle name="Note 3 5 3" xfId="1550" xr:uid="{00000000-0005-0000-0000-0000AC060000}"/>
    <cellStyle name="Note 3 5 4" xfId="1725" xr:uid="{00000000-0005-0000-0000-0000AD060000}"/>
    <cellStyle name="Note 3 5 5" xfId="1902" xr:uid="{00000000-0005-0000-0000-0000AE060000}"/>
    <cellStyle name="Note 3 5 6" xfId="2072" xr:uid="{00000000-0005-0000-0000-0000AF060000}"/>
    <cellStyle name="Note 3 5 7" xfId="2239" xr:uid="{00000000-0005-0000-0000-0000B0060000}"/>
    <cellStyle name="Note 3 6" xfId="702" xr:uid="{00000000-0005-0000-0000-0000B1060000}"/>
    <cellStyle name="Note 3 6 2" xfId="1210" xr:uid="{00000000-0005-0000-0000-0000B2060000}"/>
    <cellStyle name="Note 3 6 3" xfId="1575" xr:uid="{00000000-0005-0000-0000-0000B3060000}"/>
    <cellStyle name="Note 3 6 4" xfId="1750" xr:uid="{00000000-0005-0000-0000-0000B4060000}"/>
    <cellStyle name="Note 3 6 5" xfId="1927" xr:uid="{00000000-0005-0000-0000-0000B5060000}"/>
    <cellStyle name="Note 3 6 6" xfId="2097" xr:uid="{00000000-0005-0000-0000-0000B6060000}"/>
    <cellStyle name="Note 3 6 7" xfId="2264" xr:uid="{00000000-0005-0000-0000-0000B7060000}"/>
    <cellStyle name="Note 3 7" xfId="611" xr:uid="{00000000-0005-0000-0000-0000B8060000}"/>
    <cellStyle name="Note 3 7 2" xfId="1119" xr:uid="{00000000-0005-0000-0000-0000B9060000}"/>
    <cellStyle name="Note 3 7 3" xfId="1484" xr:uid="{00000000-0005-0000-0000-0000BA060000}"/>
    <cellStyle name="Note 3 7 4" xfId="1659" xr:uid="{00000000-0005-0000-0000-0000BB060000}"/>
    <cellStyle name="Note 3 7 5" xfId="1836" xr:uid="{00000000-0005-0000-0000-0000BC060000}"/>
    <cellStyle name="Note 3 7 6" xfId="2006" xr:uid="{00000000-0005-0000-0000-0000BD060000}"/>
    <cellStyle name="Note 3 7 7" xfId="2173" xr:uid="{00000000-0005-0000-0000-0000BE060000}"/>
    <cellStyle name="Note 3 8" xfId="717" xr:uid="{00000000-0005-0000-0000-0000BF060000}"/>
    <cellStyle name="Note 3 8 2" xfId="1225" xr:uid="{00000000-0005-0000-0000-0000C0060000}"/>
    <cellStyle name="Note 3 8 3" xfId="1590" xr:uid="{00000000-0005-0000-0000-0000C1060000}"/>
    <cellStyle name="Note 3 8 4" xfId="1765" xr:uid="{00000000-0005-0000-0000-0000C2060000}"/>
    <cellStyle name="Note 3 8 5" xfId="1942" xr:uid="{00000000-0005-0000-0000-0000C3060000}"/>
    <cellStyle name="Note 3 8 6" xfId="2112" xr:uid="{00000000-0005-0000-0000-0000C4060000}"/>
    <cellStyle name="Note 3 8 7" xfId="2279" xr:uid="{00000000-0005-0000-0000-0000C5060000}"/>
    <cellStyle name="Note 3 9" xfId="1064" xr:uid="{00000000-0005-0000-0000-0000C6060000}"/>
    <cellStyle name="Note 4" xfId="558" xr:uid="{00000000-0005-0000-0000-0000C7060000}"/>
    <cellStyle name="Note 4 10" xfId="1617" xr:uid="{00000000-0005-0000-0000-0000C8060000}"/>
    <cellStyle name="Note 4 11" xfId="1795" xr:uid="{00000000-0005-0000-0000-0000C9060000}"/>
    <cellStyle name="Note 4 12" xfId="1966" xr:uid="{00000000-0005-0000-0000-0000CA060000}"/>
    <cellStyle name="Note 4 13" xfId="2133" xr:uid="{00000000-0005-0000-0000-0000CB060000}"/>
    <cellStyle name="Note 4 2" xfId="636" xr:uid="{00000000-0005-0000-0000-0000CC060000}"/>
    <cellStyle name="Note 4 2 2" xfId="1144" xr:uid="{00000000-0005-0000-0000-0000CD060000}"/>
    <cellStyle name="Note 4 2 3" xfId="1509" xr:uid="{00000000-0005-0000-0000-0000CE060000}"/>
    <cellStyle name="Note 4 2 4" xfId="1684" xr:uid="{00000000-0005-0000-0000-0000CF060000}"/>
    <cellStyle name="Note 4 2 5" xfId="1861" xr:uid="{00000000-0005-0000-0000-0000D0060000}"/>
    <cellStyle name="Note 4 2 6" xfId="2031" xr:uid="{00000000-0005-0000-0000-0000D1060000}"/>
    <cellStyle name="Note 4 2 7" xfId="2198" xr:uid="{00000000-0005-0000-0000-0000D2060000}"/>
    <cellStyle name="Note 4 3" xfId="648" xr:uid="{00000000-0005-0000-0000-0000D3060000}"/>
    <cellStyle name="Note 4 3 2" xfId="1156" xr:uid="{00000000-0005-0000-0000-0000D4060000}"/>
    <cellStyle name="Note 4 3 3" xfId="1521" xr:uid="{00000000-0005-0000-0000-0000D5060000}"/>
    <cellStyle name="Note 4 3 4" xfId="1696" xr:uid="{00000000-0005-0000-0000-0000D6060000}"/>
    <cellStyle name="Note 4 3 5" xfId="1873" xr:uid="{00000000-0005-0000-0000-0000D7060000}"/>
    <cellStyle name="Note 4 3 6" xfId="2043" xr:uid="{00000000-0005-0000-0000-0000D8060000}"/>
    <cellStyle name="Note 4 3 7" xfId="2210" xr:uid="{00000000-0005-0000-0000-0000D9060000}"/>
    <cellStyle name="Note 4 4" xfId="663" xr:uid="{00000000-0005-0000-0000-0000DA060000}"/>
    <cellStyle name="Note 4 4 2" xfId="1171" xr:uid="{00000000-0005-0000-0000-0000DB060000}"/>
    <cellStyle name="Note 4 4 3" xfId="1536" xr:uid="{00000000-0005-0000-0000-0000DC060000}"/>
    <cellStyle name="Note 4 4 4" xfId="1711" xr:uid="{00000000-0005-0000-0000-0000DD060000}"/>
    <cellStyle name="Note 4 4 5" xfId="1888" xr:uid="{00000000-0005-0000-0000-0000DE060000}"/>
    <cellStyle name="Note 4 4 6" xfId="2058" xr:uid="{00000000-0005-0000-0000-0000DF060000}"/>
    <cellStyle name="Note 4 4 7" xfId="2225" xr:uid="{00000000-0005-0000-0000-0000E0060000}"/>
    <cellStyle name="Note 4 5" xfId="680" xr:uid="{00000000-0005-0000-0000-0000E1060000}"/>
    <cellStyle name="Note 4 5 2" xfId="1188" xr:uid="{00000000-0005-0000-0000-0000E2060000}"/>
    <cellStyle name="Note 4 5 3" xfId="1553" xr:uid="{00000000-0005-0000-0000-0000E3060000}"/>
    <cellStyle name="Note 4 5 4" xfId="1728" xr:uid="{00000000-0005-0000-0000-0000E4060000}"/>
    <cellStyle name="Note 4 5 5" xfId="1905" xr:uid="{00000000-0005-0000-0000-0000E5060000}"/>
    <cellStyle name="Note 4 5 6" xfId="2075" xr:uid="{00000000-0005-0000-0000-0000E6060000}"/>
    <cellStyle name="Note 4 5 7" xfId="2242" xr:uid="{00000000-0005-0000-0000-0000E7060000}"/>
    <cellStyle name="Note 4 6" xfId="438" xr:uid="{00000000-0005-0000-0000-0000E8060000}"/>
    <cellStyle name="Note 4 6 2" xfId="949" xr:uid="{00000000-0005-0000-0000-0000E9060000}"/>
    <cellStyle name="Note 4 6 3" xfId="1379" xr:uid="{00000000-0005-0000-0000-0000EA060000}"/>
    <cellStyle name="Note 4 6 4" xfId="1355" xr:uid="{00000000-0005-0000-0000-0000EB060000}"/>
    <cellStyle name="Note 4 6 5" xfId="1319" xr:uid="{00000000-0005-0000-0000-0000EC060000}"/>
    <cellStyle name="Note 4 6 6" xfId="1298" xr:uid="{00000000-0005-0000-0000-0000ED060000}"/>
    <cellStyle name="Note 4 6 7" xfId="1311" xr:uid="{00000000-0005-0000-0000-0000EE060000}"/>
    <cellStyle name="Note 4 7" xfId="720" xr:uid="{00000000-0005-0000-0000-0000EF060000}"/>
    <cellStyle name="Note 4 7 2" xfId="1228" xr:uid="{00000000-0005-0000-0000-0000F0060000}"/>
    <cellStyle name="Note 4 7 3" xfId="1593" xr:uid="{00000000-0005-0000-0000-0000F1060000}"/>
    <cellStyle name="Note 4 7 4" xfId="1768" xr:uid="{00000000-0005-0000-0000-0000F2060000}"/>
    <cellStyle name="Note 4 7 5" xfId="1945" xr:uid="{00000000-0005-0000-0000-0000F3060000}"/>
    <cellStyle name="Note 4 7 6" xfId="2115" xr:uid="{00000000-0005-0000-0000-0000F4060000}"/>
    <cellStyle name="Note 4 7 7" xfId="2282" xr:uid="{00000000-0005-0000-0000-0000F5060000}"/>
    <cellStyle name="Note 4 8" xfId="1067" xr:uid="{00000000-0005-0000-0000-0000F6060000}"/>
    <cellStyle name="Note 4 9" xfId="1439" xr:uid="{00000000-0005-0000-0000-0000F7060000}"/>
    <cellStyle name="Note 5" xfId="369" xr:uid="{00000000-0005-0000-0000-0000F8060000}"/>
    <cellStyle name="Note 5 2" xfId="880" xr:uid="{00000000-0005-0000-0000-0000F9060000}"/>
    <cellStyle name="Note 5 3" xfId="1346" xr:uid="{00000000-0005-0000-0000-0000FA060000}"/>
    <cellStyle name="Note 5 4" xfId="1326" xr:uid="{00000000-0005-0000-0000-0000FB060000}"/>
    <cellStyle name="Note 5 5" xfId="1254" xr:uid="{00000000-0005-0000-0000-0000FC060000}"/>
    <cellStyle name="Note 5 6" xfId="1384" xr:uid="{00000000-0005-0000-0000-0000FD060000}"/>
    <cellStyle name="Note 5 7" xfId="1427" xr:uid="{00000000-0005-0000-0000-0000FE060000}"/>
    <cellStyle name="Note 6" xfId="358" xr:uid="{00000000-0005-0000-0000-0000FF060000}"/>
    <cellStyle name="Note 6 2" xfId="869" xr:uid="{00000000-0005-0000-0000-000000070000}"/>
    <cellStyle name="Note 6 3" xfId="1335" xr:uid="{00000000-0005-0000-0000-000001070000}"/>
    <cellStyle name="Note 6 4" xfId="1247" xr:uid="{00000000-0005-0000-0000-000002070000}"/>
    <cellStyle name="Note 6 5" xfId="1397" xr:uid="{00000000-0005-0000-0000-000003070000}"/>
    <cellStyle name="Note 6 6" xfId="1252" xr:uid="{00000000-0005-0000-0000-000004070000}"/>
    <cellStyle name="Note 6 7" xfId="1300" xr:uid="{00000000-0005-0000-0000-000005070000}"/>
    <cellStyle name="Note 7" xfId="698" xr:uid="{00000000-0005-0000-0000-000006070000}"/>
    <cellStyle name="Note 7 2" xfId="1206" xr:uid="{00000000-0005-0000-0000-000007070000}"/>
    <cellStyle name="Note 7 3" xfId="1571" xr:uid="{00000000-0005-0000-0000-000008070000}"/>
    <cellStyle name="Note 7 4" xfId="1746" xr:uid="{00000000-0005-0000-0000-000009070000}"/>
    <cellStyle name="Note 7 5" xfId="1923" xr:uid="{00000000-0005-0000-0000-00000A070000}"/>
    <cellStyle name="Note 7 6" xfId="2093" xr:uid="{00000000-0005-0000-0000-00000B070000}"/>
    <cellStyle name="Note 7 7" xfId="2260" xr:uid="{00000000-0005-0000-0000-00000C070000}"/>
    <cellStyle name="Note 8" xfId="767" xr:uid="{00000000-0005-0000-0000-00000D070000}"/>
    <cellStyle name="Note 9" xfId="1369" xr:uid="{00000000-0005-0000-0000-00000E070000}"/>
    <cellStyle name="Output" xfId="34" xr:uid="{00000000-0005-0000-0000-00000F070000}"/>
    <cellStyle name="Porcentagem" xfId="730" builtinId="5"/>
    <cellStyle name="Porcentagem 2" xfId="181" xr:uid="{00000000-0005-0000-0000-000011070000}"/>
    <cellStyle name="Porcentagem 3" xfId="295" xr:uid="{00000000-0005-0000-0000-000012070000}"/>
    <cellStyle name="Porcentagem 4" xfId="296" xr:uid="{00000000-0005-0000-0000-000013070000}"/>
    <cellStyle name="Porcentagem 5" xfId="182" xr:uid="{00000000-0005-0000-0000-000014070000}"/>
    <cellStyle name="Porcentagem 6" xfId="324" xr:uid="{00000000-0005-0000-0000-000015070000}"/>
    <cellStyle name="Porcentagem 7" xfId="580" xr:uid="{00000000-0005-0000-0000-000016070000}"/>
    <cellStyle name="Saída 2" xfId="105" xr:uid="{00000000-0005-0000-0000-000017070000}"/>
    <cellStyle name="Saída 2 2" xfId="489" xr:uid="{00000000-0005-0000-0000-000018070000}"/>
    <cellStyle name="Saída 2 2 10" xfId="1406" xr:uid="{00000000-0005-0000-0000-000019070000}"/>
    <cellStyle name="Saída 2 2 11" xfId="1412" xr:uid="{00000000-0005-0000-0000-00001A070000}"/>
    <cellStyle name="Saída 2 2 12" xfId="1266" xr:uid="{00000000-0005-0000-0000-00001B070000}"/>
    <cellStyle name="Saída 2 2 13" xfId="1304" xr:uid="{00000000-0005-0000-0000-00001C070000}"/>
    <cellStyle name="Saída 2 2 14" xfId="1780" xr:uid="{00000000-0005-0000-0000-00001D070000}"/>
    <cellStyle name="Saída 2 2 2" xfId="615" xr:uid="{00000000-0005-0000-0000-00001E070000}"/>
    <cellStyle name="Saída 2 2 2 2" xfId="1123" xr:uid="{00000000-0005-0000-0000-00001F070000}"/>
    <cellStyle name="Saída 2 2 2 3" xfId="1488" xr:uid="{00000000-0005-0000-0000-000020070000}"/>
    <cellStyle name="Saída 2 2 2 4" xfId="1663" xr:uid="{00000000-0005-0000-0000-000021070000}"/>
    <cellStyle name="Saída 2 2 2 5" xfId="1840" xr:uid="{00000000-0005-0000-0000-000022070000}"/>
    <cellStyle name="Saída 2 2 2 6" xfId="2010" xr:uid="{00000000-0005-0000-0000-000023070000}"/>
    <cellStyle name="Saída 2 2 2 7" xfId="2177" xr:uid="{00000000-0005-0000-0000-000024070000}"/>
    <cellStyle name="Saída 2 2 3" xfId="623" xr:uid="{00000000-0005-0000-0000-000025070000}"/>
    <cellStyle name="Saída 2 2 3 2" xfId="1131" xr:uid="{00000000-0005-0000-0000-000026070000}"/>
    <cellStyle name="Saída 2 2 3 3" xfId="1496" xr:uid="{00000000-0005-0000-0000-000027070000}"/>
    <cellStyle name="Saída 2 2 3 4" xfId="1671" xr:uid="{00000000-0005-0000-0000-000028070000}"/>
    <cellStyle name="Saída 2 2 3 5" xfId="1848" xr:uid="{00000000-0005-0000-0000-000029070000}"/>
    <cellStyle name="Saída 2 2 3 6" xfId="2018" xr:uid="{00000000-0005-0000-0000-00002A070000}"/>
    <cellStyle name="Saída 2 2 3 7" xfId="2185" xr:uid="{00000000-0005-0000-0000-00002B070000}"/>
    <cellStyle name="Saída 2 2 4" xfId="620" xr:uid="{00000000-0005-0000-0000-00002C070000}"/>
    <cellStyle name="Saída 2 2 4 2" xfId="1128" xr:uid="{00000000-0005-0000-0000-00002D070000}"/>
    <cellStyle name="Saída 2 2 4 3" xfId="1493" xr:uid="{00000000-0005-0000-0000-00002E070000}"/>
    <cellStyle name="Saída 2 2 4 4" xfId="1668" xr:uid="{00000000-0005-0000-0000-00002F070000}"/>
    <cellStyle name="Saída 2 2 4 5" xfId="1845" xr:uid="{00000000-0005-0000-0000-000030070000}"/>
    <cellStyle name="Saída 2 2 4 6" xfId="2015" xr:uid="{00000000-0005-0000-0000-000031070000}"/>
    <cellStyle name="Saída 2 2 4 7" xfId="2182" xr:uid="{00000000-0005-0000-0000-000032070000}"/>
    <cellStyle name="Saída 2 2 5" xfId="650" xr:uid="{00000000-0005-0000-0000-000033070000}"/>
    <cellStyle name="Saída 2 2 5 2" xfId="1158" xr:uid="{00000000-0005-0000-0000-000034070000}"/>
    <cellStyle name="Saída 2 2 5 3" xfId="1523" xr:uid="{00000000-0005-0000-0000-000035070000}"/>
    <cellStyle name="Saída 2 2 5 4" xfId="1698" xr:uid="{00000000-0005-0000-0000-000036070000}"/>
    <cellStyle name="Saída 2 2 5 5" xfId="1875" xr:uid="{00000000-0005-0000-0000-000037070000}"/>
    <cellStyle name="Saída 2 2 5 6" xfId="2045" xr:uid="{00000000-0005-0000-0000-000038070000}"/>
    <cellStyle name="Saída 2 2 5 7" xfId="2212" xr:uid="{00000000-0005-0000-0000-000039070000}"/>
    <cellStyle name="Saída 2 2 6" xfId="694" xr:uid="{00000000-0005-0000-0000-00003A070000}"/>
    <cellStyle name="Saída 2 2 6 2" xfId="1202" xr:uid="{00000000-0005-0000-0000-00003B070000}"/>
    <cellStyle name="Saída 2 2 6 3" xfId="1567" xr:uid="{00000000-0005-0000-0000-00003C070000}"/>
    <cellStyle name="Saída 2 2 6 4" xfId="1742" xr:uid="{00000000-0005-0000-0000-00003D070000}"/>
    <cellStyle name="Saída 2 2 6 5" xfId="1919" xr:uid="{00000000-0005-0000-0000-00003E070000}"/>
    <cellStyle name="Saída 2 2 6 6" xfId="2089" xr:uid="{00000000-0005-0000-0000-00003F070000}"/>
    <cellStyle name="Saída 2 2 6 7" xfId="2256" xr:uid="{00000000-0005-0000-0000-000040070000}"/>
    <cellStyle name="Saída 2 2 7" xfId="585" xr:uid="{00000000-0005-0000-0000-000041070000}"/>
    <cellStyle name="Saída 2 2 7 2" xfId="1093" xr:uid="{00000000-0005-0000-0000-000042070000}"/>
    <cellStyle name="Saída 2 2 7 3" xfId="1458" xr:uid="{00000000-0005-0000-0000-000043070000}"/>
    <cellStyle name="Saída 2 2 7 4" xfId="1633" xr:uid="{00000000-0005-0000-0000-000044070000}"/>
    <cellStyle name="Saída 2 2 7 5" xfId="1810" xr:uid="{00000000-0005-0000-0000-000045070000}"/>
    <cellStyle name="Saída 2 2 7 6" xfId="1980" xr:uid="{00000000-0005-0000-0000-000046070000}"/>
    <cellStyle name="Saída 2 2 7 7" xfId="2147" xr:uid="{00000000-0005-0000-0000-000047070000}"/>
    <cellStyle name="Saída 2 2 8" xfId="690" xr:uid="{00000000-0005-0000-0000-000048070000}"/>
    <cellStyle name="Saída 2 2 8 2" xfId="1198" xr:uid="{00000000-0005-0000-0000-000049070000}"/>
    <cellStyle name="Saída 2 2 8 3" xfId="1563" xr:uid="{00000000-0005-0000-0000-00004A070000}"/>
    <cellStyle name="Saída 2 2 8 4" xfId="1738" xr:uid="{00000000-0005-0000-0000-00004B070000}"/>
    <cellStyle name="Saída 2 2 8 5" xfId="1915" xr:uid="{00000000-0005-0000-0000-00004C070000}"/>
    <cellStyle name="Saída 2 2 8 6" xfId="2085" xr:uid="{00000000-0005-0000-0000-00004D070000}"/>
    <cellStyle name="Saída 2 2 8 7" xfId="2252" xr:uid="{00000000-0005-0000-0000-00004E070000}"/>
    <cellStyle name="Saída 2 2 9" xfId="999" xr:uid="{00000000-0005-0000-0000-00004F070000}"/>
    <cellStyle name="Saída 2 3" xfId="555" xr:uid="{00000000-0005-0000-0000-000050070000}"/>
    <cellStyle name="Saída 2 3 10" xfId="1437" xr:uid="{00000000-0005-0000-0000-000051070000}"/>
    <cellStyle name="Saída 2 3 11" xfId="1615" xr:uid="{00000000-0005-0000-0000-000052070000}"/>
    <cellStyle name="Saída 2 3 12" xfId="1793" xr:uid="{00000000-0005-0000-0000-000053070000}"/>
    <cellStyle name="Saída 2 3 13" xfId="1964" xr:uid="{00000000-0005-0000-0000-000054070000}"/>
    <cellStyle name="Saída 2 3 14" xfId="2131" xr:uid="{00000000-0005-0000-0000-000055070000}"/>
    <cellStyle name="Saída 2 3 2" xfId="633" xr:uid="{00000000-0005-0000-0000-000056070000}"/>
    <cellStyle name="Saída 2 3 2 2" xfId="1141" xr:uid="{00000000-0005-0000-0000-000057070000}"/>
    <cellStyle name="Saída 2 3 2 3" xfId="1506" xr:uid="{00000000-0005-0000-0000-000058070000}"/>
    <cellStyle name="Saída 2 3 2 4" xfId="1681" xr:uid="{00000000-0005-0000-0000-000059070000}"/>
    <cellStyle name="Saída 2 3 2 5" xfId="1858" xr:uid="{00000000-0005-0000-0000-00005A070000}"/>
    <cellStyle name="Saída 2 3 2 6" xfId="2028" xr:uid="{00000000-0005-0000-0000-00005B070000}"/>
    <cellStyle name="Saída 2 3 2 7" xfId="2195" xr:uid="{00000000-0005-0000-0000-00005C070000}"/>
    <cellStyle name="Saída 2 3 3" xfId="433" xr:uid="{00000000-0005-0000-0000-00005D070000}"/>
    <cellStyle name="Saída 2 3 3 2" xfId="944" xr:uid="{00000000-0005-0000-0000-00005E070000}"/>
    <cellStyle name="Saída 2 3 3 3" xfId="1374" xr:uid="{00000000-0005-0000-0000-00005F070000}"/>
    <cellStyle name="Saída 2 3 3 4" xfId="1322" xr:uid="{00000000-0005-0000-0000-000060070000}"/>
    <cellStyle name="Saída 2 3 3 5" xfId="1249" xr:uid="{00000000-0005-0000-0000-000061070000}"/>
    <cellStyle name="Saída 2 3 3 6" xfId="1280" xr:uid="{00000000-0005-0000-0000-000062070000}"/>
    <cellStyle name="Saída 2 3 3 7" xfId="1287" xr:uid="{00000000-0005-0000-0000-000063070000}"/>
    <cellStyle name="Saída 2 3 4" xfId="595" xr:uid="{00000000-0005-0000-0000-000064070000}"/>
    <cellStyle name="Saída 2 3 4 2" xfId="1103" xr:uid="{00000000-0005-0000-0000-000065070000}"/>
    <cellStyle name="Saída 2 3 4 3" xfId="1468" xr:uid="{00000000-0005-0000-0000-000066070000}"/>
    <cellStyle name="Saída 2 3 4 4" xfId="1643" xr:uid="{00000000-0005-0000-0000-000067070000}"/>
    <cellStyle name="Saída 2 3 4 5" xfId="1820" xr:uid="{00000000-0005-0000-0000-000068070000}"/>
    <cellStyle name="Saída 2 3 4 6" xfId="1990" xr:uid="{00000000-0005-0000-0000-000069070000}"/>
    <cellStyle name="Saída 2 3 4 7" xfId="2157" xr:uid="{00000000-0005-0000-0000-00006A070000}"/>
    <cellStyle name="Saída 2 3 5" xfId="678" xr:uid="{00000000-0005-0000-0000-00006B070000}"/>
    <cellStyle name="Saída 2 3 5 2" xfId="1186" xr:uid="{00000000-0005-0000-0000-00006C070000}"/>
    <cellStyle name="Saída 2 3 5 3" xfId="1551" xr:uid="{00000000-0005-0000-0000-00006D070000}"/>
    <cellStyle name="Saída 2 3 5 4" xfId="1726" xr:uid="{00000000-0005-0000-0000-00006E070000}"/>
    <cellStyle name="Saída 2 3 5 5" xfId="1903" xr:uid="{00000000-0005-0000-0000-00006F070000}"/>
    <cellStyle name="Saída 2 3 5 6" xfId="2073" xr:uid="{00000000-0005-0000-0000-000070070000}"/>
    <cellStyle name="Saída 2 3 5 7" xfId="2240" xr:uid="{00000000-0005-0000-0000-000071070000}"/>
    <cellStyle name="Saída 2 3 6" xfId="703" xr:uid="{00000000-0005-0000-0000-000072070000}"/>
    <cellStyle name="Saída 2 3 6 2" xfId="1211" xr:uid="{00000000-0005-0000-0000-000073070000}"/>
    <cellStyle name="Saída 2 3 6 3" xfId="1576" xr:uid="{00000000-0005-0000-0000-000074070000}"/>
    <cellStyle name="Saída 2 3 6 4" xfId="1751" xr:uid="{00000000-0005-0000-0000-000075070000}"/>
    <cellStyle name="Saída 2 3 6 5" xfId="1928" xr:uid="{00000000-0005-0000-0000-000076070000}"/>
    <cellStyle name="Saída 2 3 6 6" xfId="2098" xr:uid="{00000000-0005-0000-0000-000077070000}"/>
    <cellStyle name="Saída 2 3 6 7" xfId="2265" xr:uid="{00000000-0005-0000-0000-000078070000}"/>
    <cellStyle name="Saída 2 3 7" xfId="441" xr:uid="{00000000-0005-0000-0000-000079070000}"/>
    <cellStyle name="Saída 2 3 7 2" xfId="952" xr:uid="{00000000-0005-0000-0000-00007A070000}"/>
    <cellStyle name="Saída 2 3 7 3" xfId="1382" xr:uid="{00000000-0005-0000-0000-00007B070000}"/>
    <cellStyle name="Saída 2 3 7 4" xfId="1243" xr:uid="{00000000-0005-0000-0000-00007C070000}"/>
    <cellStyle name="Saída 2 3 7 5" xfId="1391" xr:uid="{00000000-0005-0000-0000-00007D070000}"/>
    <cellStyle name="Saída 2 3 7 6" xfId="1299" xr:uid="{00000000-0005-0000-0000-00007E070000}"/>
    <cellStyle name="Saída 2 3 7 7" xfId="1395" xr:uid="{00000000-0005-0000-0000-00007F070000}"/>
    <cellStyle name="Saída 2 3 8" xfId="718" xr:uid="{00000000-0005-0000-0000-000080070000}"/>
    <cellStyle name="Saída 2 3 8 2" xfId="1226" xr:uid="{00000000-0005-0000-0000-000081070000}"/>
    <cellStyle name="Saída 2 3 8 3" xfId="1591" xr:uid="{00000000-0005-0000-0000-000082070000}"/>
    <cellStyle name="Saída 2 3 8 4" xfId="1766" xr:uid="{00000000-0005-0000-0000-000083070000}"/>
    <cellStyle name="Saída 2 3 8 5" xfId="1943" xr:uid="{00000000-0005-0000-0000-000084070000}"/>
    <cellStyle name="Saída 2 3 8 6" xfId="2113" xr:uid="{00000000-0005-0000-0000-000085070000}"/>
    <cellStyle name="Saída 2 3 8 7" xfId="2280" xr:uid="{00000000-0005-0000-0000-000086070000}"/>
    <cellStyle name="Saída 2 3 9" xfId="1065" xr:uid="{00000000-0005-0000-0000-000087070000}"/>
    <cellStyle name="Saída 2 4" xfId="544" xr:uid="{00000000-0005-0000-0000-000088070000}"/>
    <cellStyle name="Saída 2 4 10" xfId="1431" xr:uid="{00000000-0005-0000-0000-000089070000}"/>
    <cellStyle name="Saída 2 4 11" xfId="1609" xr:uid="{00000000-0005-0000-0000-00008A070000}"/>
    <cellStyle name="Saída 2 4 12" xfId="1787" xr:uid="{00000000-0005-0000-0000-00008B070000}"/>
    <cellStyle name="Saída 2 4 13" xfId="1959" xr:uid="{00000000-0005-0000-0000-00008C070000}"/>
    <cellStyle name="Saída 2 4 14" xfId="2126" xr:uid="{00000000-0005-0000-0000-00008D070000}"/>
    <cellStyle name="Saída 2 4 2" xfId="628" xr:uid="{00000000-0005-0000-0000-00008E070000}"/>
    <cellStyle name="Saída 2 4 2 2" xfId="1136" xr:uid="{00000000-0005-0000-0000-00008F070000}"/>
    <cellStyle name="Saída 2 4 2 3" xfId="1501" xr:uid="{00000000-0005-0000-0000-000090070000}"/>
    <cellStyle name="Saída 2 4 2 4" xfId="1676" xr:uid="{00000000-0005-0000-0000-000091070000}"/>
    <cellStyle name="Saída 2 4 2 5" xfId="1853" xr:uid="{00000000-0005-0000-0000-000092070000}"/>
    <cellStyle name="Saída 2 4 2 6" xfId="2023" xr:uid="{00000000-0005-0000-0000-000093070000}"/>
    <cellStyle name="Saída 2 4 2 7" xfId="2190" xr:uid="{00000000-0005-0000-0000-000094070000}"/>
    <cellStyle name="Saída 2 4 3" xfId="365" xr:uid="{00000000-0005-0000-0000-000095070000}"/>
    <cellStyle name="Saída 2 4 3 2" xfId="876" xr:uid="{00000000-0005-0000-0000-000096070000}"/>
    <cellStyle name="Saída 2 4 3 3" xfId="1342" xr:uid="{00000000-0005-0000-0000-000097070000}"/>
    <cellStyle name="Saída 2 4 3 4" xfId="1361" xr:uid="{00000000-0005-0000-0000-000098070000}"/>
    <cellStyle name="Saída 2 4 3 5" xfId="1253" xr:uid="{00000000-0005-0000-0000-000099070000}"/>
    <cellStyle name="Saída 2 4 3 6" xfId="1392" xr:uid="{00000000-0005-0000-0000-00009A070000}"/>
    <cellStyle name="Saída 2 4 3 7" xfId="1445" xr:uid="{00000000-0005-0000-0000-00009B070000}"/>
    <cellStyle name="Saída 2 4 4" xfId="606" xr:uid="{00000000-0005-0000-0000-00009C070000}"/>
    <cellStyle name="Saída 2 4 4 2" xfId="1114" xr:uid="{00000000-0005-0000-0000-00009D070000}"/>
    <cellStyle name="Saída 2 4 4 3" xfId="1479" xr:uid="{00000000-0005-0000-0000-00009E070000}"/>
    <cellStyle name="Saída 2 4 4 4" xfId="1654" xr:uid="{00000000-0005-0000-0000-00009F070000}"/>
    <cellStyle name="Saída 2 4 4 5" xfId="1831" xr:uid="{00000000-0005-0000-0000-0000A0070000}"/>
    <cellStyle name="Saída 2 4 4 6" xfId="2001" xr:uid="{00000000-0005-0000-0000-0000A1070000}"/>
    <cellStyle name="Saída 2 4 4 7" xfId="2168" xr:uid="{00000000-0005-0000-0000-0000A2070000}"/>
    <cellStyle name="Saída 2 4 5" xfId="445" xr:uid="{00000000-0005-0000-0000-0000A3070000}"/>
    <cellStyle name="Saída 2 4 5 2" xfId="955" xr:uid="{00000000-0005-0000-0000-0000A4070000}"/>
    <cellStyle name="Saída 2 4 5 3" xfId="1386" xr:uid="{00000000-0005-0000-0000-0000A5070000}"/>
    <cellStyle name="Saída 2 4 5 4" xfId="1414" xr:uid="{00000000-0005-0000-0000-0000A6070000}"/>
    <cellStyle name="Saída 2 4 5 5" xfId="1239" xr:uid="{00000000-0005-0000-0000-0000A7070000}"/>
    <cellStyle name="Saída 2 4 5 6" xfId="1290" xr:uid="{00000000-0005-0000-0000-0000A8070000}"/>
    <cellStyle name="Saída 2 4 5 7" xfId="1426" xr:uid="{00000000-0005-0000-0000-0000A9070000}"/>
    <cellStyle name="Saída 2 4 6" xfId="607" xr:uid="{00000000-0005-0000-0000-0000AA070000}"/>
    <cellStyle name="Saída 2 4 6 2" xfId="1115" xr:uid="{00000000-0005-0000-0000-0000AB070000}"/>
    <cellStyle name="Saída 2 4 6 3" xfId="1480" xr:uid="{00000000-0005-0000-0000-0000AC070000}"/>
    <cellStyle name="Saída 2 4 6 4" xfId="1655" xr:uid="{00000000-0005-0000-0000-0000AD070000}"/>
    <cellStyle name="Saída 2 4 6 5" xfId="1832" xr:uid="{00000000-0005-0000-0000-0000AE070000}"/>
    <cellStyle name="Saída 2 4 6 6" xfId="2002" xr:uid="{00000000-0005-0000-0000-0000AF070000}"/>
    <cellStyle name="Saída 2 4 6 7" xfId="2169" xr:uid="{00000000-0005-0000-0000-0000B0070000}"/>
    <cellStyle name="Saída 2 4 7" xfId="653" xr:uid="{00000000-0005-0000-0000-0000B1070000}"/>
    <cellStyle name="Saída 2 4 7 2" xfId="1161" xr:uid="{00000000-0005-0000-0000-0000B2070000}"/>
    <cellStyle name="Saída 2 4 7 3" xfId="1526" xr:uid="{00000000-0005-0000-0000-0000B3070000}"/>
    <cellStyle name="Saída 2 4 7 4" xfId="1701" xr:uid="{00000000-0005-0000-0000-0000B4070000}"/>
    <cellStyle name="Saída 2 4 7 5" xfId="1878" xr:uid="{00000000-0005-0000-0000-0000B5070000}"/>
    <cellStyle name="Saída 2 4 7 6" xfId="2048" xr:uid="{00000000-0005-0000-0000-0000B6070000}"/>
    <cellStyle name="Saída 2 4 7 7" xfId="2215" xr:uid="{00000000-0005-0000-0000-0000B7070000}"/>
    <cellStyle name="Saída 2 4 8" xfId="647" xr:uid="{00000000-0005-0000-0000-0000B8070000}"/>
    <cellStyle name="Saída 2 4 8 2" xfId="1155" xr:uid="{00000000-0005-0000-0000-0000B9070000}"/>
    <cellStyle name="Saída 2 4 8 3" xfId="1520" xr:uid="{00000000-0005-0000-0000-0000BA070000}"/>
    <cellStyle name="Saída 2 4 8 4" xfId="1695" xr:uid="{00000000-0005-0000-0000-0000BB070000}"/>
    <cellStyle name="Saída 2 4 8 5" xfId="1872" xr:uid="{00000000-0005-0000-0000-0000BC070000}"/>
    <cellStyle name="Saída 2 4 8 6" xfId="2042" xr:uid="{00000000-0005-0000-0000-0000BD070000}"/>
    <cellStyle name="Saída 2 4 8 7" xfId="2209" xr:uid="{00000000-0005-0000-0000-0000BE070000}"/>
    <cellStyle name="Saída 2 4 9" xfId="1054" xr:uid="{00000000-0005-0000-0000-0000BF070000}"/>
    <cellStyle name="Saída 2 5" xfId="370" xr:uid="{00000000-0005-0000-0000-0000C0070000}"/>
    <cellStyle name="Saída 2 5 2" xfId="881" xr:uid="{00000000-0005-0000-0000-0000C1070000}"/>
    <cellStyle name="Saída 2 5 3" xfId="1347" xr:uid="{00000000-0005-0000-0000-0000C2070000}"/>
    <cellStyle name="Saída 2 5 4" xfId="1399" xr:uid="{00000000-0005-0000-0000-0000C3070000}"/>
    <cellStyle name="Saída 2 5 5" xfId="1315" xr:uid="{00000000-0005-0000-0000-0000C4070000}"/>
    <cellStyle name="Saída 2 5 6" xfId="1323" xr:uid="{00000000-0005-0000-0000-0000C5070000}"/>
    <cellStyle name="Saída 2 5 7" xfId="1785" xr:uid="{00000000-0005-0000-0000-0000C6070000}"/>
    <cellStyle name="Saída 2 6" xfId="357" xr:uid="{00000000-0005-0000-0000-0000C7070000}"/>
    <cellStyle name="Saída 2 6 2" xfId="868" xr:uid="{00000000-0005-0000-0000-0000C8070000}"/>
    <cellStyle name="Saída 2 6 3" xfId="1334" xr:uid="{00000000-0005-0000-0000-0000C9070000}"/>
    <cellStyle name="Saída 2 6 4" xfId="1277" xr:uid="{00000000-0005-0000-0000-0000CA070000}"/>
    <cellStyle name="Saída 2 6 5" xfId="1352" xr:uid="{00000000-0005-0000-0000-0000CB070000}"/>
    <cellStyle name="Saída 2 6 6" xfId="1784" xr:uid="{00000000-0005-0000-0000-0000CC070000}"/>
    <cellStyle name="Saída 2 6 7" xfId="1957" xr:uid="{00000000-0005-0000-0000-0000CD070000}"/>
    <cellStyle name="Saída 2 7" xfId="625" xr:uid="{00000000-0005-0000-0000-0000CE070000}"/>
    <cellStyle name="Saída 2 7 2" xfId="1133" xr:uid="{00000000-0005-0000-0000-0000CF070000}"/>
    <cellStyle name="Saída 2 7 3" xfId="1498" xr:uid="{00000000-0005-0000-0000-0000D0070000}"/>
    <cellStyle name="Saída 2 7 4" xfId="1673" xr:uid="{00000000-0005-0000-0000-0000D1070000}"/>
    <cellStyle name="Saída 2 7 5" xfId="1850" xr:uid="{00000000-0005-0000-0000-0000D2070000}"/>
    <cellStyle name="Saída 2 7 6" xfId="2020" xr:uid="{00000000-0005-0000-0000-0000D3070000}"/>
    <cellStyle name="Saída 2 7 7" xfId="2187" xr:uid="{00000000-0005-0000-0000-0000D4070000}"/>
    <cellStyle name="Saída 2 8" xfId="768" xr:uid="{00000000-0005-0000-0000-0000D5070000}"/>
    <cellStyle name="Saída 2 9" xfId="1432" xr:uid="{00000000-0005-0000-0000-0000D6070000}"/>
    <cellStyle name="Separador de milhares 2" xfId="183" xr:uid="{00000000-0005-0000-0000-0000D7070000}"/>
    <cellStyle name="Separador de milhares 2 2" xfId="297" xr:uid="{00000000-0005-0000-0000-0000D8070000}"/>
    <cellStyle name="Separador de milhares 2 4" xfId="298" xr:uid="{00000000-0005-0000-0000-0000D9070000}"/>
    <cellStyle name="Separador de milhares 2 4 2" xfId="560" xr:uid="{00000000-0005-0000-0000-0000DA070000}"/>
    <cellStyle name="Separador de milhares 2 4 2 2" xfId="1069" xr:uid="{00000000-0005-0000-0000-0000DB070000}"/>
    <cellStyle name="Separador de milhares 2 4 3" xfId="446" xr:uid="{00000000-0005-0000-0000-0000DC070000}"/>
    <cellStyle name="Separador de milhares 2 4 3 2" xfId="956" xr:uid="{00000000-0005-0000-0000-0000DD070000}"/>
    <cellStyle name="Separador de milhares 2 4 4" xfId="826" xr:uid="{00000000-0005-0000-0000-0000DE070000}"/>
    <cellStyle name="Separador de milhares 3" xfId="299" xr:uid="{00000000-0005-0000-0000-0000DF070000}"/>
    <cellStyle name="Separador de milhares 4" xfId="300" xr:uid="{00000000-0005-0000-0000-0000E0070000}"/>
    <cellStyle name="Texto de Aviso 2" xfId="106" xr:uid="{00000000-0005-0000-0000-0000E1070000}"/>
    <cellStyle name="Texto Explicativo 2" xfId="107" xr:uid="{00000000-0005-0000-0000-0000E2070000}"/>
    <cellStyle name="Title" xfId="108" xr:uid="{00000000-0005-0000-0000-0000E3070000}"/>
    <cellStyle name="Título 1 2" xfId="110" xr:uid="{00000000-0005-0000-0000-0000E4070000}"/>
    <cellStyle name="Título 2 2" xfId="111" xr:uid="{00000000-0005-0000-0000-0000E5070000}"/>
    <cellStyle name="Título 3 2" xfId="112" xr:uid="{00000000-0005-0000-0000-0000E6070000}"/>
    <cellStyle name="Título 4 2" xfId="113" xr:uid="{00000000-0005-0000-0000-0000E7070000}"/>
    <cellStyle name="Título 5" xfId="109" xr:uid="{00000000-0005-0000-0000-0000E8070000}"/>
    <cellStyle name="Total" xfId="31" builtinId="25" customBuiltin="1"/>
    <cellStyle name="Total 2" xfId="114" xr:uid="{00000000-0005-0000-0000-0000EA070000}"/>
    <cellStyle name="Total 2 2" xfId="543" xr:uid="{00000000-0005-0000-0000-0000EB070000}"/>
    <cellStyle name="Total 2 2 10" xfId="1430" xr:uid="{00000000-0005-0000-0000-0000EC070000}"/>
    <cellStyle name="Total 2 2 11" xfId="1608" xr:uid="{00000000-0005-0000-0000-0000ED070000}"/>
    <cellStyle name="Total 2 2 12" xfId="1786" xr:uid="{00000000-0005-0000-0000-0000EE070000}"/>
    <cellStyle name="Total 2 2 13" xfId="1958" xr:uid="{00000000-0005-0000-0000-0000EF070000}"/>
    <cellStyle name="Total 2 2 14" xfId="2125" xr:uid="{00000000-0005-0000-0000-0000F0070000}"/>
    <cellStyle name="Total 2 2 2" xfId="627" xr:uid="{00000000-0005-0000-0000-0000F1070000}"/>
    <cellStyle name="Total 2 2 2 2" xfId="1135" xr:uid="{00000000-0005-0000-0000-0000F2070000}"/>
    <cellStyle name="Total 2 2 2 3" xfId="1500" xr:uid="{00000000-0005-0000-0000-0000F3070000}"/>
    <cellStyle name="Total 2 2 2 4" xfId="1675" xr:uid="{00000000-0005-0000-0000-0000F4070000}"/>
    <cellStyle name="Total 2 2 2 5" xfId="1852" xr:uid="{00000000-0005-0000-0000-0000F5070000}"/>
    <cellStyle name="Total 2 2 2 6" xfId="2022" xr:uid="{00000000-0005-0000-0000-0000F6070000}"/>
    <cellStyle name="Total 2 2 2 7" xfId="2189" xr:uid="{00000000-0005-0000-0000-0000F7070000}"/>
    <cellStyle name="Total 2 2 3" xfId="619" xr:uid="{00000000-0005-0000-0000-0000F8070000}"/>
    <cellStyle name="Total 2 2 3 2" xfId="1127" xr:uid="{00000000-0005-0000-0000-0000F9070000}"/>
    <cellStyle name="Total 2 2 3 3" xfId="1492" xr:uid="{00000000-0005-0000-0000-0000FA070000}"/>
    <cellStyle name="Total 2 2 3 4" xfId="1667" xr:uid="{00000000-0005-0000-0000-0000FB070000}"/>
    <cellStyle name="Total 2 2 3 5" xfId="1844" xr:uid="{00000000-0005-0000-0000-0000FC070000}"/>
    <cellStyle name="Total 2 2 3 6" xfId="2014" xr:uid="{00000000-0005-0000-0000-0000FD070000}"/>
    <cellStyle name="Total 2 2 3 7" xfId="2181" xr:uid="{00000000-0005-0000-0000-0000FE070000}"/>
    <cellStyle name="Total 2 2 4" xfId="621" xr:uid="{00000000-0005-0000-0000-0000FF070000}"/>
    <cellStyle name="Total 2 2 4 2" xfId="1129" xr:uid="{00000000-0005-0000-0000-000000080000}"/>
    <cellStyle name="Total 2 2 4 3" xfId="1494" xr:uid="{00000000-0005-0000-0000-000001080000}"/>
    <cellStyle name="Total 2 2 4 4" xfId="1669" xr:uid="{00000000-0005-0000-0000-000002080000}"/>
    <cellStyle name="Total 2 2 4 5" xfId="1846" xr:uid="{00000000-0005-0000-0000-000003080000}"/>
    <cellStyle name="Total 2 2 4 6" xfId="2016" xr:uid="{00000000-0005-0000-0000-000004080000}"/>
    <cellStyle name="Total 2 2 4 7" xfId="2183" xr:uid="{00000000-0005-0000-0000-000005080000}"/>
    <cellStyle name="Total 2 2 5" xfId="641" xr:uid="{00000000-0005-0000-0000-000006080000}"/>
    <cellStyle name="Total 2 2 5 2" xfId="1149" xr:uid="{00000000-0005-0000-0000-000007080000}"/>
    <cellStyle name="Total 2 2 5 3" xfId="1514" xr:uid="{00000000-0005-0000-0000-000008080000}"/>
    <cellStyle name="Total 2 2 5 4" xfId="1689" xr:uid="{00000000-0005-0000-0000-000009080000}"/>
    <cellStyle name="Total 2 2 5 5" xfId="1866" xr:uid="{00000000-0005-0000-0000-00000A080000}"/>
    <cellStyle name="Total 2 2 5 6" xfId="2036" xr:uid="{00000000-0005-0000-0000-00000B080000}"/>
    <cellStyle name="Total 2 2 5 7" xfId="2203" xr:uid="{00000000-0005-0000-0000-00000C080000}"/>
    <cellStyle name="Total 2 2 6" xfId="699" xr:uid="{00000000-0005-0000-0000-00000D080000}"/>
    <cellStyle name="Total 2 2 6 2" xfId="1207" xr:uid="{00000000-0005-0000-0000-00000E080000}"/>
    <cellStyle name="Total 2 2 6 3" xfId="1572" xr:uid="{00000000-0005-0000-0000-00000F080000}"/>
    <cellStyle name="Total 2 2 6 4" xfId="1747" xr:uid="{00000000-0005-0000-0000-000010080000}"/>
    <cellStyle name="Total 2 2 6 5" xfId="1924" xr:uid="{00000000-0005-0000-0000-000011080000}"/>
    <cellStyle name="Total 2 2 6 6" xfId="2094" xr:uid="{00000000-0005-0000-0000-000012080000}"/>
    <cellStyle name="Total 2 2 6 7" xfId="2261" xr:uid="{00000000-0005-0000-0000-000013080000}"/>
    <cellStyle name="Total 2 2 7" xfId="436" xr:uid="{00000000-0005-0000-0000-000014080000}"/>
    <cellStyle name="Total 2 2 7 2" xfId="947" xr:uid="{00000000-0005-0000-0000-000015080000}"/>
    <cellStyle name="Total 2 2 7 3" xfId="1377" xr:uid="{00000000-0005-0000-0000-000016080000}"/>
    <cellStyle name="Total 2 2 7 4" xfId="1416" xr:uid="{00000000-0005-0000-0000-000017080000}"/>
    <cellStyle name="Total 2 2 7 5" xfId="1320" xr:uid="{00000000-0005-0000-0000-000018080000}"/>
    <cellStyle name="Total 2 2 7 6" xfId="1291" xr:uid="{00000000-0005-0000-0000-000019080000}"/>
    <cellStyle name="Total 2 2 7 7" xfId="1779" xr:uid="{00000000-0005-0000-0000-00001A080000}"/>
    <cellStyle name="Total 2 2 8" xfId="707" xr:uid="{00000000-0005-0000-0000-00001B080000}"/>
    <cellStyle name="Total 2 2 8 2" xfId="1215" xr:uid="{00000000-0005-0000-0000-00001C080000}"/>
    <cellStyle name="Total 2 2 8 3" xfId="1580" xr:uid="{00000000-0005-0000-0000-00001D080000}"/>
    <cellStyle name="Total 2 2 8 4" xfId="1755" xr:uid="{00000000-0005-0000-0000-00001E080000}"/>
    <cellStyle name="Total 2 2 8 5" xfId="1932" xr:uid="{00000000-0005-0000-0000-00001F080000}"/>
    <cellStyle name="Total 2 2 8 6" xfId="2102" xr:uid="{00000000-0005-0000-0000-000020080000}"/>
    <cellStyle name="Total 2 2 8 7" xfId="2269" xr:uid="{00000000-0005-0000-0000-000021080000}"/>
    <cellStyle name="Total 2 2 9" xfId="1053" xr:uid="{00000000-0005-0000-0000-000022080000}"/>
    <cellStyle name="Total 2 3" xfId="574" xr:uid="{00000000-0005-0000-0000-000023080000}"/>
    <cellStyle name="Total 2 3 10" xfId="1449" xr:uid="{00000000-0005-0000-0000-000024080000}"/>
    <cellStyle name="Total 2 3 11" xfId="1623" xr:uid="{00000000-0005-0000-0000-000025080000}"/>
    <cellStyle name="Total 2 3 12" xfId="1801" xr:uid="{00000000-0005-0000-0000-000026080000}"/>
    <cellStyle name="Total 2 3 13" xfId="1971" xr:uid="{00000000-0005-0000-0000-000027080000}"/>
    <cellStyle name="Total 2 3 14" xfId="2138" xr:uid="{00000000-0005-0000-0000-000028080000}"/>
    <cellStyle name="Total 2 3 2" xfId="642" xr:uid="{00000000-0005-0000-0000-000029080000}"/>
    <cellStyle name="Total 2 3 2 2" xfId="1150" xr:uid="{00000000-0005-0000-0000-00002A080000}"/>
    <cellStyle name="Total 2 3 2 3" xfId="1515" xr:uid="{00000000-0005-0000-0000-00002B080000}"/>
    <cellStyle name="Total 2 3 2 4" xfId="1690" xr:uid="{00000000-0005-0000-0000-00002C080000}"/>
    <cellStyle name="Total 2 3 2 5" xfId="1867" xr:uid="{00000000-0005-0000-0000-00002D080000}"/>
    <cellStyle name="Total 2 3 2 6" xfId="2037" xr:uid="{00000000-0005-0000-0000-00002E080000}"/>
    <cellStyle name="Total 2 3 2 7" xfId="2204" xr:uid="{00000000-0005-0000-0000-00002F080000}"/>
    <cellStyle name="Total 2 3 3" xfId="658" xr:uid="{00000000-0005-0000-0000-000030080000}"/>
    <cellStyle name="Total 2 3 3 2" xfId="1166" xr:uid="{00000000-0005-0000-0000-000031080000}"/>
    <cellStyle name="Total 2 3 3 3" xfId="1531" xr:uid="{00000000-0005-0000-0000-000032080000}"/>
    <cellStyle name="Total 2 3 3 4" xfId="1706" xr:uid="{00000000-0005-0000-0000-000033080000}"/>
    <cellStyle name="Total 2 3 3 5" xfId="1883" xr:uid="{00000000-0005-0000-0000-000034080000}"/>
    <cellStyle name="Total 2 3 3 6" xfId="2053" xr:uid="{00000000-0005-0000-0000-000035080000}"/>
    <cellStyle name="Total 2 3 3 7" xfId="2220" xr:uid="{00000000-0005-0000-0000-000036080000}"/>
    <cellStyle name="Total 2 3 4" xfId="668" xr:uid="{00000000-0005-0000-0000-000037080000}"/>
    <cellStyle name="Total 2 3 4 2" xfId="1176" xr:uid="{00000000-0005-0000-0000-000038080000}"/>
    <cellStyle name="Total 2 3 4 3" xfId="1541" xr:uid="{00000000-0005-0000-0000-000039080000}"/>
    <cellStyle name="Total 2 3 4 4" xfId="1716" xr:uid="{00000000-0005-0000-0000-00003A080000}"/>
    <cellStyle name="Total 2 3 4 5" xfId="1893" xr:uid="{00000000-0005-0000-0000-00003B080000}"/>
    <cellStyle name="Total 2 3 4 6" xfId="2063" xr:uid="{00000000-0005-0000-0000-00003C080000}"/>
    <cellStyle name="Total 2 3 4 7" xfId="2230" xr:uid="{00000000-0005-0000-0000-00003D080000}"/>
    <cellStyle name="Total 2 3 5" xfId="685" xr:uid="{00000000-0005-0000-0000-00003E080000}"/>
    <cellStyle name="Total 2 3 5 2" xfId="1193" xr:uid="{00000000-0005-0000-0000-00003F080000}"/>
    <cellStyle name="Total 2 3 5 3" xfId="1558" xr:uid="{00000000-0005-0000-0000-000040080000}"/>
    <cellStyle name="Total 2 3 5 4" xfId="1733" xr:uid="{00000000-0005-0000-0000-000041080000}"/>
    <cellStyle name="Total 2 3 5 5" xfId="1910" xr:uid="{00000000-0005-0000-0000-000042080000}"/>
    <cellStyle name="Total 2 3 5 6" xfId="2080" xr:uid="{00000000-0005-0000-0000-000043080000}"/>
    <cellStyle name="Total 2 3 5 7" xfId="2247" xr:uid="{00000000-0005-0000-0000-000044080000}"/>
    <cellStyle name="Total 2 3 6" xfId="709" xr:uid="{00000000-0005-0000-0000-000045080000}"/>
    <cellStyle name="Total 2 3 6 2" xfId="1217" xr:uid="{00000000-0005-0000-0000-000046080000}"/>
    <cellStyle name="Total 2 3 6 3" xfId="1582" xr:uid="{00000000-0005-0000-0000-000047080000}"/>
    <cellStyle name="Total 2 3 6 4" xfId="1757" xr:uid="{00000000-0005-0000-0000-000048080000}"/>
    <cellStyle name="Total 2 3 6 5" xfId="1934" xr:uid="{00000000-0005-0000-0000-000049080000}"/>
    <cellStyle name="Total 2 3 6 6" xfId="2104" xr:uid="{00000000-0005-0000-0000-00004A080000}"/>
    <cellStyle name="Total 2 3 6 7" xfId="2271" xr:uid="{00000000-0005-0000-0000-00004B080000}"/>
    <cellStyle name="Total 2 3 7" xfId="673" xr:uid="{00000000-0005-0000-0000-00004C080000}"/>
    <cellStyle name="Total 2 3 7 2" xfId="1181" xr:uid="{00000000-0005-0000-0000-00004D080000}"/>
    <cellStyle name="Total 2 3 7 3" xfId="1546" xr:uid="{00000000-0005-0000-0000-00004E080000}"/>
    <cellStyle name="Total 2 3 7 4" xfId="1721" xr:uid="{00000000-0005-0000-0000-00004F080000}"/>
    <cellStyle name="Total 2 3 7 5" xfId="1898" xr:uid="{00000000-0005-0000-0000-000050080000}"/>
    <cellStyle name="Total 2 3 7 6" xfId="2068" xr:uid="{00000000-0005-0000-0000-000051080000}"/>
    <cellStyle name="Total 2 3 7 7" xfId="2235" xr:uid="{00000000-0005-0000-0000-000052080000}"/>
    <cellStyle name="Total 2 3 8" xfId="725" xr:uid="{00000000-0005-0000-0000-000053080000}"/>
    <cellStyle name="Total 2 3 8 2" xfId="1233" xr:uid="{00000000-0005-0000-0000-000054080000}"/>
    <cellStyle name="Total 2 3 8 3" xfId="1598" xr:uid="{00000000-0005-0000-0000-000055080000}"/>
    <cellStyle name="Total 2 3 8 4" xfId="1773" xr:uid="{00000000-0005-0000-0000-000056080000}"/>
    <cellStyle name="Total 2 3 8 5" xfId="1950" xr:uid="{00000000-0005-0000-0000-000057080000}"/>
    <cellStyle name="Total 2 3 8 6" xfId="2120" xr:uid="{00000000-0005-0000-0000-000058080000}"/>
    <cellStyle name="Total 2 3 8 7" xfId="2287" xr:uid="{00000000-0005-0000-0000-000059080000}"/>
    <cellStyle name="Total 2 3 9" xfId="1083" xr:uid="{00000000-0005-0000-0000-00005A080000}"/>
    <cellStyle name="Total 2 4" xfId="565" xr:uid="{00000000-0005-0000-0000-00005B080000}"/>
    <cellStyle name="Total 2 4 10" xfId="1622" xr:uid="{00000000-0005-0000-0000-00005C080000}"/>
    <cellStyle name="Total 2 4 11" xfId="1800" xr:uid="{00000000-0005-0000-0000-00005D080000}"/>
    <cellStyle name="Total 2 4 12" xfId="1970" xr:uid="{00000000-0005-0000-0000-00005E080000}"/>
    <cellStyle name="Total 2 4 13" xfId="2137" xr:uid="{00000000-0005-0000-0000-00005F080000}"/>
    <cellStyle name="Total 2 4 2" xfId="640" xr:uid="{00000000-0005-0000-0000-000060080000}"/>
    <cellStyle name="Total 2 4 2 2" xfId="1148" xr:uid="{00000000-0005-0000-0000-000061080000}"/>
    <cellStyle name="Total 2 4 2 3" xfId="1513" xr:uid="{00000000-0005-0000-0000-000062080000}"/>
    <cellStyle name="Total 2 4 2 4" xfId="1688" xr:uid="{00000000-0005-0000-0000-000063080000}"/>
    <cellStyle name="Total 2 4 2 5" xfId="1865" xr:uid="{00000000-0005-0000-0000-000064080000}"/>
    <cellStyle name="Total 2 4 2 6" xfId="2035" xr:uid="{00000000-0005-0000-0000-000065080000}"/>
    <cellStyle name="Total 2 4 2 7" xfId="2202" xr:uid="{00000000-0005-0000-0000-000066080000}"/>
    <cellStyle name="Total 2 4 3" xfId="655" xr:uid="{00000000-0005-0000-0000-000067080000}"/>
    <cellStyle name="Total 2 4 3 2" xfId="1163" xr:uid="{00000000-0005-0000-0000-000068080000}"/>
    <cellStyle name="Total 2 4 3 3" xfId="1528" xr:uid="{00000000-0005-0000-0000-000069080000}"/>
    <cellStyle name="Total 2 4 3 4" xfId="1703" xr:uid="{00000000-0005-0000-0000-00006A080000}"/>
    <cellStyle name="Total 2 4 3 5" xfId="1880" xr:uid="{00000000-0005-0000-0000-00006B080000}"/>
    <cellStyle name="Total 2 4 3 6" xfId="2050" xr:uid="{00000000-0005-0000-0000-00006C080000}"/>
    <cellStyle name="Total 2 4 3 7" xfId="2217" xr:uid="{00000000-0005-0000-0000-00006D080000}"/>
    <cellStyle name="Total 2 4 4" xfId="667" xr:uid="{00000000-0005-0000-0000-00006E080000}"/>
    <cellStyle name="Total 2 4 4 2" xfId="1175" xr:uid="{00000000-0005-0000-0000-00006F080000}"/>
    <cellStyle name="Total 2 4 4 3" xfId="1540" xr:uid="{00000000-0005-0000-0000-000070080000}"/>
    <cellStyle name="Total 2 4 4 4" xfId="1715" xr:uid="{00000000-0005-0000-0000-000071080000}"/>
    <cellStyle name="Total 2 4 4 5" xfId="1892" xr:uid="{00000000-0005-0000-0000-000072080000}"/>
    <cellStyle name="Total 2 4 4 6" xfId="2062" xr:uid="{00000000-0005-0000-0000-000073080000}"/>
    <cellStyle name="Total 2 4 4 7" xfId="2229" xr:uid="{00000000-0005-0000-0000-000074080000}"/>
    <cellStyle name="Total 2 4 5" xfId="684" xr:uid="{00000000-0005-0000-0000-000075080000}"/>
    <cellStyle name="Total 2 4 5 2" xfId="1192" xr:uid="{00000000-0005-0000-0000-000076080000}"/>
    <cellStyle name="Total 2 4 5 3" xfId="1557" xr:uid="{00000000-0005-0000-0000-000077080000}"/>
    <cellStyle name="Total 2 4 5 4" xfId="1732" xr:uid="{00000000-0005-0000-0000-000078080000}"/>
    <cellStyle name="Total 2 4 5 5" xfId="1909" xr:uid="{00000000-0005-0000-0000-000079080000}"/>
    <cellStyle name="Total 2 4 5 6" xfId="2079" xr:uid="{00000000-0005-0000-0000-00007A080000}"/>
    <cellStyle name="Total 2 4 5 7" xfId="2246" xr:uid="{00000000-0005-0000-0000-00007B080000}"/>
    <cellStyle name="Total 2 4 6" xfId="708" xr:uid="{00000000-0005-0000-0000-00007C080000}"/>
    <cellStyle name="Total 2 4 6 2" xfId="1216" xr:uid="{00000000-0005-0000-0000-00007D080000}"/>
    <cellStyle name="Total 2 4 6 3" xfId="1581" xr:uid="{00000000-0005-0000-0000-00007E080000}"/>
    <cellStyle name="Total 2 4 6 4" xfId="1756" xr:uid="{00000000-0005-0000-0000-00007F080000}"/>
    <cellStyle name="Total 2 4 6 5" xfId="1933" xr:uid="{00000000-0005-0000-0000-000080080000}"/>
    <cellStyle name="Total 2 4 6 6" xfId="2103" xr:uid="{00000000-0005-0000-0000-000081080000}"/>
    <cellStyle name="Total 2 4 6 7" xfId="2270" xr:uid="{00000000-0005-0000-0000-000082080000}"/>
    <cellStyle name="Total 2 4 7" xfId="724" xr:uid="{00000000-0005-0000-0000-000083080000}"/>
    <cellStyle name="Total 2 4 7 2" xfId="1232" xr:uid="{00000000-0005-0000-0000-000084080000}"/>
    <cellStyle name="Total 2 4 7 3" xfId="1597" xr:uid="{00000000-0005-0000-0000-000085080000}"/>
    <cellStyle name="Total 2 4 7 4" xfId="1772" xr:uid="{00000000-0005-0000-0000-000086080000}"/>
    <cellStyle name="Total 2 4 7 5" xfId="1949" xr:uid="{00000000-0005-0000-0000-000087080000}"/>
    <cellStyle name="Total 2 4 7 6" xfId="2119" xr:uid="{00000000-0005-0000-0000-000088080000}"/>
    <cellStyle name="Total 2 4 7 7" xfId="2286" xr:uid="{00000000-0005-0000-0000-000089080000}"/>
    <cellStyle name="Total 2 4 8" xfId="1074" xr:uid="{00000000-0005-0000-0000-00008A080000}"/>
    <cellStyle name="Total 2 4 9" xfId="1446" xr:uid="{00000000-0005-0000-0000-00008B080000}"/>
    <cellStyle name="Total 2 5" xfId="371" xr:uid="{00000000-0005-0000-0000-00008C080000}"/>
    <cellStyle name="Total 2 5 2" xfId="882" xr:uid="{00000000-0005-0000-0000-00008D080000}"/>
    <cellStyle name="Total 2 5 3" xfId="1348" xr:uid="{00000000-0005-0000-0000-00008E080000}"/>
    <cellStyle name="Total 2 5 4" xfId="1360" xr:uid="{00000000-0005-0000-0000-00008F080000}"/>
    <cellStyle name="Total 2 5 5" xfId="1289" xr:uid="{00000000-0005-0000-0000-000090080000}"/>
    <cellStyle name="Total 2 5 6" xfId="1325" xr:uid="{00000000-0005-0000-0000-000091080000}"/>
    <cellStyle name="Total 2 5 7" xfId="1628" xr:uid="{00000000-0005-0000-0000-000092080000}"/>
    <cellStyle name="Total 2 6" xfId="597" xr:uid="{00000000-0005-0000-0000-000093080000}"/>
    <cellStyle name="Total 2 6 2" xfId="1105" xr:uid="{00000000-0005-0000-0000-000094080000}"/>
    <cellStyle name="Total 2 6 3" xfId="1470" xr:uid="{00000000-0005-0000-0000-000095080000}"/>
    <cellStyle name="Total 2 6 4" xfId="1645" xr:uid="{00000000-0005-0000-0000-000096080000}"/>
    <cellStyle name="Total 2 6 5" xfId="1822" xr:uid="{00000000-0005-0000-0000-000097080000}"/>
    <cellStyle name="Total 2 6 6" xfId="1992" xr:uid="{00000000-0005-0000-0000-000098080000}"/>
    <cellStyle name="Total 2 6 7" xfId="2159" xr:uid="{00000000-0005-0000-0000-000099080000}"/>
    <cellStyle name="Total 2 7" xfId="605" xr:uid="{00000000-0005-0000-0000-00009A080000}"/>
    <cellStyle name="Total 2 7 2" xfId="1113" xr:uid="{00000000-0005-0000-0000-00009B080000}"/>
    <cellStyle name="Total 2 7 3" xfId="1478" xr:uid="{00000000-0005-0000-0000-00009C080000}"/>
    <cellStyle name="Total 2 7 4" xfId="1653" xr:uid="{00000000-0005-0000-0000-00009D080000}"/>
    <cellStyle name="Total 2 7 5" xfId="1830" xr:uid="{00000000-0005-0000-0000-00009E080000}"/>
    <cellStyle name="Total 2 7 6" xfId="2000" xr:uid="{00000000-0005-0000-0000-00009F080000}"/>
    <cellStyle name="Total 2 7 7" xfId="2167" xr:uid="{00000000-0005-0000-0000-0000A0080000}"/>
    <cellStyle name="Total 2 8" xfId="769" xr:uid="{00000000-0005-0000-0000-0000A1080000}"/>
    <cellStyle name="Total 2 9" xfId="1367" xr:uid="{00000000-0005-0000-0000-0000A2080000}"/>
    <cellStyle name="Vírgula" xfId="32" builtinId="3"/>
    <cellStyle name="Vírgula 10" xfId="315" xr:uid="{00000000-0005-0000-0000-0000A4080000}"/>
    <cellStyle name="Vírgula 10 2" xfId="573" xr:uid="{00000000-0005-0000-0000-0000A5080000}"/>
    <cellStyle name="Vírgula 10 2 2" xfId="1082" xr:uid="{00000000-0005-0000-0000-0000A6080000}"/>
    <cellStyle name="Vírgula 10 3" xfId="457" xr:uid="{00000000-0005-0000-0000-0000A7080000}"/>
    <cellStyle name="Vírgula 10 3 2" xfId="967" xr:uid="{00000000-0005-0000-0000-0000A8080000}"/>
    <cellStyle name="Vírgula 10 4" xfId="835" xr:uid="{00000000-0005-0000-0000-0000A9080000}"/>
    <cellStyle name="Vírgula 11" xfId="320" xr:uid="{00000000-0005-0000-0000-0000AA080000}"/>
    <cellStyle name="Vírgula 12" xfId="485" xr:uid="{00000000-0005-0000-0000-0000AB080000}"/>
    <cellStyle name="Vírgula 12 2" xfId="995" xr:uid="{00000000-0005-0000-0000-0000AC080000}"/>
    <cellStyle name="Vírgula 13" xfId="579" xr:uid="{00000000-0005-0000-0000-0000AD080000}"/>
    <cellStyle name="Vírgula 13 2" xfId="1088" xr:uid="{00000000-0005-0000-0000-0000AE080000}"/>
    <cellStyle name="Vírgula 14" xfId="352" xr:uid="{00000000-0005-0000-0000-0000AF080000}"/>
    <cellStyle name="Vírgula 14 2" xfId="863" xr:uid="{00000000-0005-0000-0000-0000B0080000}"/>
    <cellStyle name="Vírgula 15" xfId="731" xr:uid="{00000000-0005-0000-0000-0000B1080000}"/>
    <cellStyle name="Vírgula 15 2" xfId="1603" xr:uid="{00000000-0005-0000-0000-0000B2080000}"/>
    <cellStyle name="Vírgula 16" xfId="760" xr:uid="{00000000-0005-0000-0000-0000B3080000}"/>
    <cellStyle name="Vírgula 2" xfId="33" xr:uid="{00000000-0005-0000-0000-0000B4080000}"/>
    <cellStyle name="Vírgula 2 2" xfId="186" xr:uid="{00000000-0005-0000-0000-0000B5080000}"/>
    <cellStyle name="Vírgula 2 2 2" xfId="305" xr:uid="{00000000-0005-0000-0000-0000B6080000}"/>
    <cellStyle name="Vírgula 2 2 3" xfId="547" xr:uid="{00000000-0005-0000-0000-0000B7080000}"/>
    <cellStyle name="Vírgula 2 2 3 2" xfId="1057" xr:uid="{00000000-0005-0000-0000-0000B8080000}"/>
    <cellStyle name="Vírgula 2 2 4" xfId="425" xr:uid="{00000000-0005-0000-0000-0000B9080000}"/>
    <cellStyle name="Vírgula 2 2 4 2" xfId="936" xr:uid="{00000000-0005-0000-0000-0000BA080000}"/>
    <cellStyle name="Vírgula 2 2 5" xfId="822" xr:uid="{00000000-0005-0000-0000-0000BB080000}"/>
    <cellStyle name="Vírgula 2 3" xfId="187" xr:uid="{00000000-0005-0000-0000-0000BC080000}"/>
    <cellStyle name="Vírgula 2 3 2" xfId="548" xr:uid="{00000000-0005-0000-0000-0000BD080000}"/>
    <cellStyle name="Vírgula 2 3 2 2" xfId="1058" xr:uid="{00000000-0005-0000-0000-0000BE080000}"/>
    <cellStyle name="Vírgula 2 3 3" xfId="426" xr:uid="{00000000-0005-0000-0000-0000BF080000}"/>
    <cellStyle name="Vírgula 2 3 3 2" xfId="937" xr:uid="{00000000-0005-0000-0000-0000C0080000}"/>
    <cellStyle name="Vírgula 2 3 4" xfId="823" xr:uid="{00000000-0005-0000-0000-0000C1080000}"/>
    <cellStyle name="Vírgula 2 4" xfId="185" xr:uid="{00000000-0005-0000-0000-0000C2080000}"/>
    <cellStyle name="Vírgula 2 4 2" xfId="546" xr:uid="{00000000-0005-0000-0000-0000C3080000}"/>
    <cellStyle name="Vírgula 2 4 2 2" xfId="1056" xr:uid="{00000000-0005-0000-0000-0000C4080000}"/>
    <cellStyle name="Vírgula 2 4 3" xfId="424" xr:uid="{00000000-0005-0000-0000-0000C5080000}"/>
    <cellStyle name="Vírgula 2 4 3 2" xfId="935" xr:uid="{00000000-0005-0000-0000-0000C6080000}"/>
    <cellStyle name="Vírgula 2 4 4" xfId="821" xr:uid="{00000000-0005-0000-0000-0000C7080000}"/>
    <cellStyle name="Vírgula 2 5" xfId="302" xr:uid="{00000000-0005-0000-0000-0000C8080000}"/>
    <cellStyle name="Vírgula 2 6" xfId="318" xr:uid="{00000000-0005-0000-0000-0000C9080000}"/>
    <cellStyle name="Vírgula 2 7" xfId="486" xr:uid="{00000000-0005-0000-0000-0000CA080000}"/>
    <cellStyle name="Vírgula 2 7 2" xfId="996" xr:uid="{00000000-0005-0000-0000-0000CB080000}"/>
    <cellStyle name="Vírgula 2 8" xfId="353" xr:uid="{00000000-0005-0000-0000-0000CC080000}"/>
    <cellStyle name="Vírgula 2 8 2" xfId="864" xr:uid="{00000000-0005-0000-0000-0000CD080000}"/>
    <cellStyle name="Vírgula 2 9" xfId="761" xr:uid="{00000000-0005-0000-0000-0000CE080000}"/>
    <cellStyle name="Vírgula 3" xfId="188" xr:uid="{00000000-0005-0000-0000-0000CF080000}"/>
    <cellStyle name="Vírgula 3 2" xfId="549" xr:uid="{00000000-0005-0000-0000-0000D0080000}"/>
    <cellStyle name="Vírgula 3 2 2" xfId="1059" xr:uid="{00000000-0005-0000-0000-0000D1080000}"/>
    <cellStyle name="Vírgula 3 3" xfId="427" xr:uid="{00000000-0005-0000-0000-0000D2080000}"/>
    <cellStyle name="Vírgula 3 3 2" xfId="938" xr:uid="{00000000-0005-0000-0000-0000D3080000}"/>
    <cellStyle name="Vírgula 3 4" xfId="824" xr:uid="{00000000-0005-0000-0000-0000D4080000}"/>
    <cellStyle name="Vírgula 4" xfId="189" xr:uid="{00000000-0005-0000-0000-0000D5080000}"/>
    <cellStyle name="Vírgula 4 2" xfId="550" xr:uid="{00000000-0005-0000-0000-0000D6080000}"/>
    <cellStyle name="Vírgula 4 2 2" xfId="1060" xr:uid="{00000000-0005-0000-0000-0000D7080000}"/>
    <cellStyle name="Vírgula 4 3" xfId="428" xr:uid="{00000000-0005-0000-0000-0000D8080000}"/>
    <cellStyle name="Vírgula 4 3 2" xfId="939" xr:uid="{00000000-0005-0000-0000-0000D9080000}"/>
    <cellStyle name="Vírgula 4 4" xfId="825" xr:uid="{00000000-0005-0000-0000-0000DA080000}"/>
    <cellStyle name="Vírgula 5" xfId="184" xr:uid="{00000000-0005-0000-0000-0000DB080000}"/>
    <cellStyle name="Vírgula 5 2" xfId="545" xr:uid="{00000000-0005-0000-0000-0000DC080000}"/>
    <cellStyle name="Vírgula 5 2 2" xfId="1055" xr:uid="{00000000-0005-0000-0000-0000DD080000}"/>
    <cellStyle name="Vírgula 5 3" xfId="423" xr:uid="{00000000-0005-0000-0000-0000DE080000}"/>
    <cellStyle name="Vírgula 5 3 2" xfId="934" xr:uid="{00000000-0005-0000-0000-0000DF080000}"/>
    <cellStyle name="Vírgula 5 4" xfId="820" xr:uid="{00000000-0005-0000-0000-0000E0080000}"/>
    <cellStyle name="Vírgula 6" xfId="301" xr:uid="{00000000-0005-0000-0000-0000E1080000}"/>
    <cellStyle name="Vírgula 7" xfId="310" xr:uid="{00000000-0005-0000-0000-0000E2080000}"/>
    <cellStyle name="Vírgula 7 2" xfId="570" xr:uid="{00000000-0005-0000-0000-0000E3080000}"/>
    <cellStyle name="Vírgula 7 2 2" xfId="1079" xr:uid="{00000000-0005-0000-0000-0000E4080000}"/>
    <cellStyle name="Vírgula 7 3" xfId="454" xr:uid="{00000000-0005-0000-0000-0000E5080000}"/>
    <cellStyle name="Vírgula 7 3 2" xfId="964" xr:uid="{00000000-0005-0000-0000-0000E6080000}"/>
    <cellStyle name="Vírgula 8" xfId="311" xr:uid="{00000000-0005-0000-0000-0000E7080000}"/>
    <cellStyle name="Vírgula 8 2" xfId="571" xr:uid="{00000000-0005-0000-0000-0000E8080000}"/>
    <cellStyle name="Vírgula 8 2 2" xfId="1080" xr:uid="{00000000-0005-0000-0000-0000E9080000}"/>
    <cellStyle name="Vírgula 8 3" xfId="455" xr:uid="{00000000-0005-0000-0000-0000EA080000}"/>
    <cellStyle name="Vírgula 8 3 2" xfId="965" xr:uid="{00000000-0005-0000-0000-0000EB080000}"/>
    <cellStyle name="Vírgula 8 4" xfId="833" xr:uid="{00000000-0005-0000-0000-0000EC080000}"/>
    <cellStyle name="Vírgula 9" xfId="313" xr:uid="{00000000-0005-0000-0000-0000ED080000}"/>
    <cellStyle name="Vírgula 9 2" xfId="572" xr:uid="{00000000-0005-0000-0000-0000EE080000}"/>
    <cellStyle name="Vírgula 9 2 2" xfId="1081" xr:uid="{00000000-0005-0000-0000-0000EF080000}"/>
    <cellStyle name="Vírgula 9 3" xfId="456" xr:uid="{00000000-0005-0000-0000-0000F0080000}"/>
    <cellStyle name="Vírgula 9 3 2" xfId="966" xr:uid="{00000000-0005-0000-0000-0000F1080000}"/>
    <cellStyle name="Vírgula 9 4" xfId="834" xr:uid="{00000000-0005-0000-0000-0000F2080000}"/>
    <cellStyle name="Warning Text" xfId="115" xr:uid="{00000000-0005-0000-0000-0000F3080000}"/>
  </cellStyles>
  <dxfs count="182">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114300</xdr:rowOff>
    </xdr:from>
    <xdr:to>
      <xdr:col>1</xdr:col>
      <xdr:colOff>1095375</xdr:colOff>
      <xdr:row>3</xdr:row>
      <xdr:rowOff>190500</xdr:rowOff>
    </xdr:to>
    <xdr:pic>
      <xdr:nvPicPr>
        <xdr:cNvPr id="3" name="Imagem 2">
          <a:extLst>
            <a:ext uri="{FF2B5EF4-FFF2-40B4-BE49-F238E27FC236}">
              <a16:creationId xmlns:a16="http://schemas.microsoft.com/office/drawing/2014/main" id="{8E61688F-91BC-47EA-932E-75448BCDBE88}"/>
            </a:ext>
          </a:extLst>
        </xdr:cNvPr>
        <xdr:cNvPicPr/>
      </xdr:nvPicPr>
      <xdr:blipFill>
        <a:blip xmlns:r="http://schemas.openxmlformats.org/officeDocument/2006/relationships" r:embed="rId1"/>
        <a:stretch/>
      </xdr:blipFill>
      <xdr:spPr>
        <a:xfrm>
          <a:off x="323850" y="114300"/>
          <a:ext cx="1876425" cy="962025"/>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77363</xdr:colOff>
      <xdr:row>0</xdr:row>
      <xdr:rowOff>60175</xdr:rowOff>
    </xdr:from>
    <xdr:to>
      <xdr:col>2</xdr:col>
      <xdr:colOff>125369</xdr:colOff>
      <xdr:row>2</xdr:row>
      <xdr:rowOff>259057</xdr:rowOff>
    </xdr:to>
    <xdr:pic>
      <xdr:nvPicPr>
        <xdr:cNvPr id="2" name="Imagem 2">
          <a:extLst>
            <a:ext uri="{FF2B5EF4-FFF2-40B4-BE49-F238E27FC236}">
              <a16:creationId xmlns:a16="http://schemas.microsoft.com/office/drawing/2014/main" id="{4172502A-87A7-4CA2-8770-3E90EEC222B7}"/>
            </a:ext>
          </a:extLst>
        </xdr:cNvPr>
        <xdr:cNvPicPr>
          <a:picLocks noChangeAspect="1"/>
        </xdr:cNvPicPr>
      </xdr:nvPicPr>
      <xdr:blipFill>
        <a:blip xmlns:r="http://schemas.openxmlformats.org/officeDocument/2006/relationships" r:embed="rId1"/>
        <a:stretch/>
      </xdr:blipFill>
      <xdr:spPr>
        <a:xfrm>
          <a:off x="77363" y="60175"/>
          <a:ext cx="1476756" cy="827532"/>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69126</xdr:colOff>
      <xdr:row>0</xdr:row>
      <xdr:rowOff>69862</xdr:rowOff>
    </xdr:from>
    <xdr:to>
      <xdr:col>2</xdr:col>
      <xdr:colOff>112560</xdr:colOff>
      <xdr:row>2</xdr:row>
      <xdr:rowOff>268744</xdr:rowOff>
    </xdr:to>
    <xdr:pic>
      <xdr:nvPicPr>
        <xdr:cNvPr id="2" name="Imagem 2">
          <a:extLst>
            <a:ext uri="{FF2B5EF4-FFF2-40B4-BE49-F238E27FC236}">
              <a16:creationId xmlns:a16="http://schemas.microsoft.com/office/drawing/2014/main" id="{339C9624-330B-4903-9041-4D3B54AAC940}"/>
            </a:ext>
          </a:extLst>
        </xdr:cNvPr>
        <xdr:cNvPicPr>
          <a:picLocks noChangeAspect="1"/>
        </xdr:cNvPicPr>
      </xdr:nvPicPr>
      <xdr:blipFill>
        <a:blip xmlns:r="http://schemas.openxmlformats.org/officeDocument/2006/relationships" r:embed="rId1"/>
        <a:stretch/>
      </xdr:blipFill>
      <xdr:spPr>
        <a:xfrm>
          <a:off x="69126" y="69862"/>
          <a:ext cx="1472184" cy="827532"/>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95249</xdr:colOff>
      <xdr:row>0</xdr:row>
      <xdr:rowOff>57149</xdr:rowOff>
    </xdr:from>
    <xdr:to>
      <xdr:col>2</xdr:col>
      <xdr:colOff>142499</xdr:colOff>
      <xdr:row>2</xdr:row>
      <xdr:rowOff>256499</xdr:rowOff>
    </xdr:to>
    <xdr:pic>
      <xdr:nvPicPr>
        <xdr:cNvPr id="2" name="Imagem 2">
          <a:extLst>
            <a:ext uri="{FF2B5EF4-FFF2-40B4-BE49-F238E27FC236}">
              <a16:creationId xmlns:a16="http://schemas.microsoft.com/office/drawing/2014/main" id="{5F4CC3DC-CF80-43EE-8826-D01067FC7FB1}"/>
            </a:ext>
          </a:extLst>
        </xdr:cNvPr>
        <xdr:cNvPicPr>
          <a:picLocks noChangeAspect="1"/>
        </xdr:cNvPicPr>
      </xdr:nvPicPr>
      <xdr:blipFill>
        <a:blip xmlns:r="http://schemas.openxmlformats.org/officeDocument/2006/relationships" r:embed="rId1"/>
        <a:stretch/>
      </xdr:blipFill>
      <xdr:spPr>
        <a:xfrm>
          <a:off x="95249" y="57149"/>
          <a:ext cx="1476000" cy="828000"/>
        </a:xfrm>
        <a:prstGeom prst="rect">
          <a:avLst/>
        </a:prstGeom>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100851</xdr:colOff>
      <xdr:row>0</xdr:row>
      <xdr:rowOff>56030</xdr:rowOff>
    </xdr:from>
    <xdr:to>
      <xdr:col>2</xdr:col>
      <xdr:colOff>142498</xdr:colOff>
      <xdr:row>2</xdr:row>
      <xdr:rowOff>256501</xdr:rowOff>
    </xdr:to>
    <xdr:pic>
      <xdr:nvPicPr>
        <xdr:cNvPr id="2" name="Imagem 2">
          <a:extLst>
            <a:ext uri="{FF2B5EF4-FFF2-40B4-BE49-F238E27FC236}">
              <a16:creationId xmlns:a16="http://schemas.microsoft.com/office/drawing/2014/main" id="{B98DEE71-A9A9-46E5-866A-971132126023}"/>
            </a:ext>
          </a:extLst>
        </xdr:cNvPr>
        <xdr:cNvPicPr>
          <a:picLocks/>
        </xdr:cNvPicPr>
      </xdr:nvPicPr>
      <xdr:blipFill>
        <a:blip xmlns:r="http://schemas.openxmlformats.org/officeDocument/2006/relationships" r:embed="rId1"/>
        <a:stretch/>
      </xdr:blipFill>
      <xdr:spPr>
        <a:xfrm>
          <a:off x="100851" y="56030"/>
          <a:ext cx="1476000" cy="82800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239455</xdr:colOff>
      <xdr:row>0</xdr:row>
      <xdr:rowOff>70185</xdr:rowOff>
    </xdr:from>
    <xdr:to>
      <xdr:col>2</xdr:col>
      <xdr:colOff>56032</xdr:colOff>
      <xdr:row>2</xdr:row>
      <xdr:rowOff>230605</xdr:rowOff>
    </xdr:to>
    <xdr:pic>
      <xdr:nvPicPr>
        <xdr:cNvPr id="2" name="Imagem 2">
          <a:extLst>
            <a:ext uri="{FF2B5EF4-FFF2-40B4-BE49-F238E27FC236}">
              <a16:creationId xmlns:a16="http://schemas.microsoft.com/office/drawing/2014/main" id="{79A70FF6-00DF-4E21-9C31-6A50967D4EFD}"/>
            </a:ext>
          </a:extLst>
        </xdr:cNvPr>
        <xdr:cNvPicPr/>
      </xdr:nvPicPr>
      <xdr:blipFill>
        <a:blip xmlns:r="http://schemas.openxmlformats.org/officeDocument/2006/relationships" r:embed="rId1"/>
        <a:stretch/>
      </xdr:blipFill>
      <xdr:spPr>
        <a:xfrm>
          <a:off x="239455" y="70185"/>
          <a:ext cx="1250930" cy="698302"/>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100853</xdr:colOff>
      <xdr:row>0</xdr:row>
      <xdr:rowOff>56030</xdr:rowOff>
    </xdr:from>
    <xdr:to>
      <xdr:col>2</xdr:col>
      <xdr:colOff>142500</xdr:colOff>
      <xdr:row>2</xdr:row>
      <xdr:rowOff>256501</xdr:rowOff>
    </xdr:to>
    <xdr:pic>
      <xdr:nvPicPr>
        <xdr:cNvPr id="2" name="Imagem 2">
          <a:extLst>
            <a:ext uri="{FF2B5EF4-FFF2-40B4-BE49-F238E27FC236}">
              <a16:creationId xmlns:a16="http://schemas.microsoft.com/office/drawing/2014/main" id="{1E55799A-06DF-49A2-9C31-7E5001404488}"/>
            </a:ext>
          </a:extLst>
        </xdr:cNvPr>
        <xdr:cNvPicPr>
          <a:picLocks/>
        </xdr:cNvPicPr>
      </xdr:nvPicPr>
      <xdr:blipFill>
        <a:blip xmlns:r="http://schemas.openxmlformats.org/officeDocument/2006/relationships" r:embed="rId1"/>
        <a:stretch/>
      </xdr:blipFill>
      <xdr:spPr>
        <a:xfrm>
          <a:off x="100853" y="56030"/>
          <a:ext cx="1476000" cy="828000"/>
        </a:xfrm>
        <a:prstGeom prst="rect">
          <a:avLst/>
        </a:prstGeom>
        <a:ln>
          <a:noFill/>
        </a:ln>
      </xdr:spPr>
    </xdr:pic>
    <xdr:clientData/>
  </xdr:twoCellAnchor>
  <xdr:twoCellAnchor>
    <xdr:from>
      <xdr:col>0</xdr:col>
      <xdr:colOff>0</xdr:colOff>
      <xdr:row>0</xdr:row>
      <xdr:rowOff>0</xdr:rowOff>
    </xdr:from>
    <xdr:to>
      <xdr:col>10</xdr:col>
      <xdr:colOff>0</xdr:colOff>
      <xdr:row>30</xdr:row>
      <xdr:rowOff>95250</xdr:rowOff>
    </xdr:to>
    <xdr:sp macro="" textlink="">
      <xdr:nvSpPr>
        <xdr:cNvPr id="3" name="AutoShape 2">
          <a:extLst>
            <a:ext uri="{FF2B5EF4-FFF2-40B4-BE49-F238E27FC236}">
              <a16:creationId xmlns:a16="http://schemas.microsoft.com/office/drawing/2014/main" id="{72655FEF-EB43-4B4E-ACAB-E8CB31A164D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91298</xdr:colOff>
      <xdr:row>0</xdr:row>
      <xdr:rowOff>48628</xdr:rowOff>
    </xdr:from>
    <xdr:to>
      <xdr:col>2</xdr:col>
      <xdr:colOff>138548</xdr:colOff>
      <xdr:row>2</xdr:row>
      <xdr:rowOff>247978</xdr:rowOff>
    </xdr:to>
    <xdr:pic>
      <xdr:nvPicPr>
        <xdr:cNvPr id="2" name="Imagem 2">
          <a:extLst>
            <a:ext uri="{FF2B5EF4-FFF2-40B4-BE49-F238E27FC236}">
              <a16:creationId xmlns:a16="http://schemas.microsoft.com/office/drawing/2014/main" id="{0A99C1F7-5AD0-4A09-91F8-53EA510F89EC}"/>
            </a:ext>
          </a:extLst>
        </xdr:cNvPr>
        <xdr:cNvPicPr>
          <a:picLocks noChangeAspect="1"/>
        </xdr:cNvPicPr>
      </xdr:nvPicPr>
      <xdr:blipFill>
        <a:blip xmlns:r="http://schemas.openxmlformats.org/officeDocument/2006/relationships" r:embed="rId1"/>
        <a:stretch/>
      </xdr:blipFill>
      <xdr:spPr>
        <a:xfrm>
          <a:off x="91298" y="48628"/>
          <a:ext cx="1476000" cy="82800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95249</xdr:colOff>
      <xdr:row>0</xdr:row>
      <xdr:rowOff>56030</xdr:rowOff>
    </xdr:from>
    <xdr:to>
      <xdr:col>2</xdr:col>
      <xdr:colOff>142499</xdr:colOff>
      <xdr:row>2</xdr:row>
      <xdr:rowOff>255380</xdr:rowOff>
    </xdr:to>
    <xdr:pic>
      <xdr:nvPicPr>
        <xdr:cNvPr id="2" name="Imagem 3">
          <a:extLst>
            <a:ext uri="{FF2B5EF4-FFF2-40B4-BE49-F238E27FC236}">
              <a16:creationId xmlns:a16="http://schemas.microsoft.com/office/drawing/2014/main" id="{E5FF5845-CE7B-4B54-90EB-FF4CC7DE4C98}"/>
            </a:ext>
          </a:extLst>
        </xdr:cNvPr>
        <xdr:cNvPicPr/>
      </xdr:nvPicPr>
      <xdr:blipFill>
        <a:blip xmlns:r="http://schemas.openxmlformats.org/officeDocument/2006/relationships" r:embed="rId1"/>
        <a:stretch/>
      </xdr:blipFill>
      <xdr:spPr>
        <a:xfrm>
          <a:off x="95249" y="56030"/>
          <a:ext cx="1476000" cy="828000"/>
        </a:xfrm>
        <a:prstGeom prst="rect">
          <a:avLst/>
        </a:prstGeom>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82089</xdr:colOff>
      <xdr:row>0</xdr:row>
      <xdr:rowOff>59530</xdr:rowOff>
    </xdr:from>
    <xdr:to>
      <xdr:col>2</xdr:col>
      <xdr:colOff>129339</xdr:colOff>
      <xdr:row>2</xdr:row>
      <xdr:rowOff>268405</xdr:rowOff>
    </xdr:to>
    <xdr:pic>
      <xdr:nvPicPr>
        <xdr:cNvPr id="2" name="Imagem 2">
          <a:extLst>
            <a:ext uri="{FF2B5EF4-FFF2-40B4-BE49-F238E27FC236}">
              <a16:creationId xmlns:a16="http://schemas.microsoft.com/office/drawing/2014/main" id="{D6CE0D93-30C4-4CC5-A408-65B5EC56A441}"/>
            </a:ext>
          </a:extLst>
        </xdr:cNvPr>
        <xdr:cNvPicPr>
          <a:picLocks noChangeAspect="1"/>
        </xdr:cNvPicPr>
      </xdr:nvPicPr>
      <xdr:blipFill>
        <a:blip xmlns:r="http://schemas.openxmlformats.org/officeDocument/2006/relationships" r:embed="rId1"/>
        <a:stretch/>
      </xdr:blipFill>
      <xdr:spPr>
        <a:xfrm>
          <a:off x="82089" y="59530"/>
          <a:ext cx="1476000" cy="828000"/>
        </a:xfrm>
        <a:prstGeom prst="rect">
          <a:avLst/>
        </a:prstGeom>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168090</xdr:colOff>
      <xdr:row>0</xdr:row>
      <xdr:rowOff>22412</xdr:rowOff>
    </xdr:from>
    <xdr:to>
      <xdr:col>2</xdr:col>
      <xdr:colOff>49593</xdr:colOff>
      <xdr:row>2</xdr:row>
      <xdr:rowOff>247772</xdr:rowOff>
    </xdr:to>
    <xdr:pic>
      <xdr:nvPicPr>
        <xdr:cNvPr id="2" name="Imagem 2">
          <a:extLst>
            <a:ext uri="{FF2B5EF4-FFF2-40B4-BE49-F238E27FC236}">
              <a16:creationId xmlns:a16="http://schemas.microsoft.com/office/drawing/2014/main" id="{96ADEDAE-B0F3-4B46-8BC1-6391467DD0B5}"/>
            </a:ext>
          </a:extLst>
        </xdr:cNvPr>
        <xdr:cNvPicPr/>
      </xdr:nvPicPr>
      <xdr:blipFill>
        <a:blip xmlns:r="http://schemas.openxmlformats.org/officeDocument/2006/relationships" r:embed="rId1"/>
        <a:stretch/>
      </xdr:blipFill>
      <xdr:spPr>
        <a:xfrm>
          <a:off x="168090" y="22412"/>
          <a:ext cx="1315856" cy="763242"/>
        </a:xfrm>
        <a:prstGeom prst="rect">
          <a:avLst/>
        </a:prstGeom>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89648</xdr:colOff>
      <xdr:row>0</xdr:row>
      <xdr:rowOff>43644</xdr:rowOff>
    </xdr:from>
    <xdr:to>
      <xdr:col>2</xdr:col>
      <xdr:colOff>129614</xdr:colOff>
      <xdr:row>2</xdr:row>
      <xdr:rowOff>244115</xdr:rowOff>
    </xdr:to>
    <xdr:pic>
      <xdr:nvPicPr>
        <xdr:cNvPr id="2" name="Imagem 2">
          <a:extLst>
            <a:ext uri="{FF2B5EF4-FFF2-40B4-BE49-F238E27FC236}">
              <a16:creationId xmlns:a16="http://schemas.microsoft.com/office/drawing/2014/main" id="{7EA6330A-E1CD-4572-BCBE-78289EAAA7BD}"/>
            </a:ext>
          </a:extLst>
        </xdr:cNvPr>
        <xdr:cNvPicPr>
          <a:picLocks noChangeAspect="1"/>
        </xdr:cNvPicPr>
      </xdr:nvPicPr>
      <xdr:blipFill>
        <a:blip xmlns:r="http://schemas.openxmlformats.org/officeDocument/2006/relationships" r:embed="rId1"/>
        <a:stretch/>
      </xdr:blipFill>
      <xdr:spPr>
        <a:xfrm>
          <a:off x="89648" y="43644"/>
          <a:ext cx="1476000" cy="828000"/>
        </a:xfrm>
        <a:prstGeom prst="rect">
          <a:avLst/>
        </a:prstGeom>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87729</xdr:colOff>
      <xdr:row>0</xdr:row>
      <xdr:rowOff>43143</xdr:rowOff>
    </xdr:from>
    <xdr:to>
      <xdr:col>2</xdr:col>
      <xdr:colOff>134979</xdr:colOff>
      <xdr:row>2</xdr:row>
      <xdr:rowOff>242493</xdr:rowOff>
    </xdr:to>
    <xdr:pic>
      <xdr:nvPicPr>
        <xdr:cNvPr id="2" name="Imagem 2">
          <a:extLst>
            <a:ext uri="{FF2B5EF4-FFF2-40B4-BE49-F238E27FC236}">
              <a16:creationId xmlns:a16="http://schemas.microsoft.com/office/drawing/2014/main" id="{0EA1ADAD-597D-41C2-8B51-76E97E3F97CE}"/>
            </a:ext>
          </a:extLst>
        </xdr:cNvPr>
        <xdr:cNvPicPr/>
      </xdr:nvPicPr>
      <xdr:blipFill>
        <a:blip xmlns:r="http://schemas.openxmlformats.org/officeDocument/2006/relationships" r:embed="rId1"/>
        <a:stretch/>
      </xdr:blipFill>
      <xdr:spPr>
        <a:xfrm>
          <a:off x="87729" y="43143"/>
          <a:ext cx="1476000" cy="828000"/>
        </a:xfrm>
        <a:prstGeom prst="rect">
          <a:avLst/>
        </a:prstGeom>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57150</xdr:colOff>
      <xdr:row>0</xdr:row>
      <xdr:rowOff>66675</xdr:rowOff>
    </xdr:from>
    <xdr:to>
      <xdr:col>2</xdr:col>
      <xdr:colOff>176400</xdr:colOff>
      <xdr:row>2</xdr:row>
      <xdr:rowOff>266025</xdr:rowOff>
    </xdr:to>
    <xdr:pic>
      <xdr:nvPicPr>
        <xdr:cNvPr id="2" name="Imagem 2">
          <a:extLst>
            <a:ext uri="{FF2B5EF4-FFF2-40B4-BE49-F238E27FC236}">
              <a16:creationId xmlns:a16="http://schemas.microsoft.com/office/drawing/2014/main" id="{BAFE2132-FE4C-41F1-80F6-14DA00F4477F}"/>
            </a:ext>
          </a:extLst>
        </xdr:cNvPr>
        <xdr:cNvPicPr/>
      </xdr:nvPicPr>
      <xdr:blipFill>
        <a:blip xmlns:r="http://schemas.openxmlformats.org/officeDocument/2006/relationships" r:embed="rId1"/>
        <a:stretch/>
      </xdr:blipFill>
      <xdr:spPr>
        <a:xfrm>
          <a:off x="57150" y="66675"/>
          <a:ext cx="1548000" cy="828000"/>
        </a:xfrm>
        <a:prstGeom prst="rect">
          <a:avLst/>
        </a:prstGeom>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81162</xdr:colOff>
      <xdr:row>0</xdr:row>
      <xdr:rowOff>37862</xdr:rowOff>
    </xdr:from>
    <xdr:to>
      <xdr:col>2</xdr:col>
      <xdr:colOff>130653</xdr:colOff>
      <xdr:row>2</xdr:row>
      <xdr:rowOff>238333</xdr:rowOff>
    </xdr:to>
    <xdr:pic>
      <xdr:nvPicPr>
        <xdr:cNvPr id="4" name="Imagem 3">
          <a:extLst>
            <a:ext uri="{FF2B5EF4-FFF2-40B4-BE49-F238E27FC236}">
              <a16:creationId xmlns:a16="http://schemas.microsoft.com/office/drawing/2014/main" id="{31795FD8-2D93-4D6E-9AED-F7DD27356825}"/>
            </a:ext>
          </a:extLst>
        </xdr:cNvPr>
        <xdr:cNvPicPr/>
      </xdr:nvPicPr>
      <xdr:blipFill>
        <a:blip xmlns:r="http://schemas.openxmlformats.org/officeDocument/2006/relationships" r:embed="rId1"/>
        <a:stretch/>
      </xdr:blipFill>
      <xdr:spPr>
        <a:xfrm>
          <a:off x="81162" y="37862"/>
          <a:ext cx="1478241" cy="829121"/>
        </a:xfrm>
        <a:prstGeom prst="rect">
          <a:avLst/>
        </a:prstGeom>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54427</xdr:colOff>
      <xdr:row>0</xdr:row>
      <xdr:rowOff>105656</xdr:rowOff>
    </xdr:from>
    <xdr:to>
      <xdr:col>6</xdr:col>
      <xdr:colOff>704424</xdr:colOff>
      <xdr:row>4</xdr:row>
      <xdr:rowOff>133412</xdr:rowOff>
    </xdr:to>
    <xdr:pic>
      <xdr:nvPicPr>
        <xdr:cNvPr id="2" name="Imagem 1">
          <a:extLst>
            <a:ext uri="{FF2B5EF4-FFF2-40B4-BE49-F238E27FC236}">
              <a16:creationId xmlns:a16="http://schemas.microsoft.com/office/drawing/2014/main" id="{CA77BD3A-F0A5-4449-A661-136E6A82B0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69327" y="105656"/>
          <a:ext cx="1478672" cy="7897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1353552</xdr:colOff>
      <xdr:row>27</xdr:row>
      <xdr:rowOff>42611</xdr:rowOff>
    </xdr:from>
    <xdr:to>
      <xdr:col>2</xdr:col>
      <xdr:colOff>257735</xdr:colOff>
      <xdr:row>31</xdr:row>
      <xdr:rowOff>137821</xdr:rowOff>
    </xdr:to>
    <xdr:pic>
      <xdr:nvPicPr>
        <xdr:cNvPr id="2" name="Figuras 2">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3552" y="6418758"/>
          <a:ext cx="1918565" cy="85721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328511</xdr:colOff>
      <xdr:row>41</xdr:row>
      <xdr:rowOff>38099</xdr:rowOff>
    </xdr:from>
    <xdr:to>
      <xdr:col>3</xdr:col>
      <xdr:colOff>452194</xdr:colOff>
      <xdr:row>46</xdr:row>
      <xdr:rowOff>11205</xdr:rowOff>
    </xdr:to>
    <xdr:pic>
      <xdr:nvPicPr>
        <xdr:cNvPr id="3" name="Figuras 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8511" y="11143128"/>
          <a:ext cx="3810418" cy="84716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absolute">
    <xdr:from>
      <xdr:col>4</xdr:col>
      <xdr:colOff>870284</xdr:colOff>
      <xdr:row>0</xdr:row>
      <xdr:rowOff>170449</xdr:rowOff>
    </xdr:from>
    <xdr:to>
      <xdr:col>5</xdr:col>
      <xdr:colOff>942473</xdr:colOff>
      <xdr:row>5</xdr:row>
      <xdr:rowOff>104981</xdr:rowOff>
    </xdr:to>
    <xdr:pic>
      <xdr:nvPicPr>
        <xdr:cNvPr id="4" name="Figura 1">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7368"/>
        <a:stretch>
          <a:fillRect/>
        </a:stretch>
      </xdr:blipFill>
      <xdr:spPr bwMode="auto">
        <a:xfrm>
          <a:off x="5412205" y="170449"/>
          <a:ext cx="1074821" cy="1067506"/>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47368"/>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absolute">
    <xdr:from>
      <xdr:col>3</xdr:col>
      <xdr:colOff>509838</xdr:colOff>
      <xdr:row>1</xdr:row>
      <xdr:rowOff>76200</xdr:rowOff>
    </xdr:from>
    <xdr:to>
      <xdr:col>4</xdr:col>
      <xdr:colOff>860759</xdr:colOff>
      <xdr:row>4</xdr:row>
      <xdr:rowOff>190500</xdr:rowOff>
    </xdr:to>
    <xdr:pic>
      <xdr:nvPicPr>
        <xdr:cNvPr id="5" name="Figura 1">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200525" y="285750"/>
          <a:ext cx="12001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227;o%20Desonerada%20Composi&#231;&#245;es%20-%20Itumbiar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briel/Desktop/Nova%20pasta/Nova%20pasta/Nova%20pasta/composi&#231;&#245;es%20002a883%20-%20case%20itumbiar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abriel/Desktop/Nova%20pasta/Nova%20pasta/composi&#231;&#245;es%20002a883%20-%20case%20itumbiar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Gabriel/Desktop/Nova%20pasta/Nova%20pasta/Nova%20pasta/Nova%20pasta/TESTE/TESTE%202/DEMONSTRATIVO%20DE%20PRE&#199;OS%20DE%20PRODUTOS%20ASF&#193;LTICOS%20-%20MA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3"/>
      <sheetName val="6"/>
      <sheetName val="7"/>
      <sheetName val="8"/>
      <sheetName val="9"/>
      <sheetName val="10"/>
      <sheetName val="11"/>
      <sheetName val="12"/>
      <sheetName val="13"/>
      <sheetName val="14"/>
      <sheetName val="21"/>
      <sheetName val="22"/>
      <sheetName val="24"/>
      <sheetName val="30"/>
      <sheetName val="31"/>
      <sheetName val="32"/>
      <sheetName val="37"/>
      <sheetName val="38"/>
      <sheetName val="39"/>
      <sheetName val="40"/>
      <sheetName val="41"/>
      <sheetName val="42"/>
      <sheetName val="46"/>
      <sheetName val="47"/>
      <sheetName val="48"/>
      <sheetName val="49"/>
      <sheetName val="45"/>
      <sheetName val="50"/>
      <sheetName val="51"/>
      <sheetName val="54"/>
      <sheetName val="59"/>
      <sheetName val="60"/>
      <sheetName val="61"/>
      <sheetName val="62"/>
      <sheetName val="63"/>
      <sheetName val="64"/>
      <sheetName val="65"/>
      <sheetName val="72"/>
      <sheetName val="73"/>
      <sheetName val="92"/>
      <sheetName val="93"/>
      <sheetName val="96"/>
      <sheetName val="103"/>
      <sheetName val="104"/>
      <sheetName val="106"/>
      <sheetName val="107"/>
      <sheetName val="111"/>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5"/>
      <sheetName val="264"/>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2"/>
      <sheetName val="391"/>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4"/>
      <sheetName val="518"/>
      <sheetName val="524"/>
      <sheetName val="525"/>
      <sheetName val="526"/>
      <sheetName val="527"/>
      <sheetName val="528"/>
      <sheetName val="529"/>
      <sheetName val="530"/>
      <sheetName val="531"/>
      <sheetName val="532"/>
      <sheetName val="533"/>
      <sheetName val="534"/>
      <sheetName val="535"/>
      <sheetName val="536"/>
      <sheetName val="537"/>
      <sheetName val="538"/>
      <sheetName val="541"/>
      <sheetName val="542"/>
      <sheetName val="543"/>
      <sheetName val="544"/>
      <sheetName val="546"/>
      <sheetName val="547"/>
      <sheetName val="548"/>
      <sheetName val="549"/>
      <sheetName val="550"/>
      <sheetName val="552"/>
      <sheetName val="554"/>
      <sheetName val="556"/>
      <sheetName val="557"/>
      <sheetName val="558"/>
      <sheetName val="559"/>
      <sheetName val="555"/>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7"/>
      <sheetName val="576"/>
      <sheetName val="553"/>
      <sheetName val="600"/>
      <sheetName val="601"/>
      <sheetName val="602"/>
      <sheetName val="603"/>
      <sheetName val="604"/>
      <sheetName val="605"/>
      <sheetName val="606"/>
      <sheetName val="607"/>
      <sheetName val="608"/>
      <sheetName val="610"/>
      <sheetName val="609"/>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9"/>
      <sheetName val="640"/>
      <sheetName val="70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754"/>
      <sheetName val="755"/>
      <sheetName val="756"/>
      <sheetName val="757"/>
      <sheetName val="758"/>
      <sheetName val="759"/>
      <sheetName val="760"/>
      <sheetName val="761"/>
      <sheetName val="762"/>
      <sheetName val="763"/>
      <sheetName val="764"/>
      <sheetName val="765"/>
      <sheetName val="766"/>
      <sheetName val="767"/>
      <sheetName val="768"/>
      <sheetName val="769"/>
      <sheetName val="770"/>
      <sheetName val="771"/>
      <sheetName val="772"/>
      <sheetName val="773"/>
      <sheetName val="774"/>
      <sheetName val="775"/>
      <sheetName val="776"/>
      <sheetName val="777"/>
      <sheetName val="778"/>
      <sheetName val="779"/>
      <sheetName val="780"/>
      <sheetName val="781"/>
      <sheetName val="782"/>
      <sheetName val="783"/>
      <sheetName val="784"/>
      <sheetName val="785"/>
      <sheetName val="786"/>
      <sheetName val="787"/>
      <sheetName val="788"/>
      <sheetName val="789"/>
      <sheetName val="790"/>
      <sheetName val="791"/>
      <sheetName val="792"/>
      <sheetName val="793"/>
      <sheetName val="794"/>
      <sheetName val="795"/>
      <sheetName val="796"/>
      <sheetName val="797"/>
      <sheetName val="798"/>
      <sheetName val="799"/>
      <sheetName val="800"/>
      <sheetName val="801"/>
      <sheetName val="802"/>
      <sheetName val="803"/>
      <sheetName val="804"/>
      <sheetName val="805"/>
      <sheetName val="806"/>
      <sheetName val="807"/>
      <sheetName val="808"/>
      <sheetName val="809"/>
      <sheetName val="810"/>
      <sheetName val="811"/>
      <sheetName val="812"/>
      <sheetName val="815"/>
      <sheetName val="813"/>
      <sheetName val="816"/>
      <sheetName val="817"/>
      <sheetName val="818"/>
      <sheetName val="819"/>
      <sheetName val="820"/>
      <sheetName val="814"/>
      <sheetName val="821"/>
      <sheetName val="planilhanull"/>
      <sheetName val="INSUMO"/>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7"/>
      <sheetName val="858"/>
      <sheetName val="859"/>
      <sheetName val="860"/>
      <sheetName val="861"/>
      <sheetName val="862"/>
      <sheetName val="864"/>
      <sheetName val="868"/>
      <sheetName val="869"/>
      <sheetName val="870"/>
      <sheetName val="872"/>
      <sheetName val="876"/>
      <sheetName val="875"/>
      <sheetName val="878"/>
      <sheetName val="879"/>
      <sheetName val="880"/>
      <sheetName val="873"/>
      <sheetName val="881"/>
      <sheetName val="882"/>
      <sheetName val="883"/>
      <sheetName val="SINAPI_NOV2020_NDES"/>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ow r="4">
          <cell r="A4">
            <v>2</v>
          </cell>
          <cell r="B4" t="str">
            <v>JANELA METÁLICA CASE – J14/J15 – BASCULANTE – “100X40” CM</v>
          </cell>
          <cell r="C4" t="str">
            <v>M2</v>
          </cell>
          <cell r="D4">
            <v>134.02471</v>
          </cell>
          <cell r="E4">
            <v>253.4302035</v>
          </cell>
          <cell r="F4">
            <v>0</v>
          </cell>
          <cell r="G4">
            <v>387.45491349999998</v>
          </cell>
        </row>
        <row r="5">
          <cell r="A5">
            <v>3</v>
          </cell>
          <cell r="B5" t="e">
            <v>#N/A</v>
          </cell>
          <cell r="C5" t="e">
            <v>#N/A</v>
          </cell>
          <cell r="D5">
            <v>0</v>
          </cell>
          <cell r="E5">
            <v>0</v>
          </cell>
          <cell r="F5">
            <v>0</v>
          </cell>
          <cell r="G5">
            <v>0</v>
          </cell>
        </row>
        <row r="6">
          <cell r="A6">
            <v>6</v>
          </cell>
          <cell r="B6" t="str">
            <v>CHAPA XADREZ ANTIDERRAPANTE NAS CANALETAS</v>
          </cell>
          <cell r="C6" t="str">
            <v>M2</v>
          </cell>
          <cell r="D6">
            <v>26.223134999999999</v>
          </cell>
          <cell r="E6">
            <v>818.82899999999995</v>
          </cell>
          <cell r="F6">
            <v>0</v>
          </cell>
          <cell r="G6">
            <v>845.05213499999991</v>
          </cell>
        </row>
        <row r="7">
          <cell r="A7">
            <v>7</v>
          </cell>
          <cell r="B7" t="str">
            <v>PORTA GRADE EM FERRO MECÂNICO - ALOJAMENTOS</v>
          </cell>
          <cell r="C7" t="str">
            <v>M2</v>
          </cell>
          <cell r="D7">
            <v>80.953409999999991</v>
          </cell>
          <cell r="E7">
            <v>1237.0324167439437</v>
          </cell>
          <cell r="F7">
            <v>0</v>
          </cell>
          <cell r="G7">
            <v>1317.9858267439438</v>
          </cell>
        </row>
        <row r="8">
          <cell r="A8">
            <v>8</v>
          </cell>
          <cell r="B8" t="str">
            <v>JANELA METÁLICA CASE – J16/J18/J19 – DUAS FOLHAS DE CORRER – “193X120” CM</v>
          </cell>
          <cell r="C8" t="str">
            <v>M2</v>
          </cell>
          <cell r="D8">
            <v>134.02471</v>
          </cell>
          <cell r="E8">
            <v>766.88476449999996</v>
          </cell>
          <cell r="F8">
            <v>0</v>
          </cell>
          <cell r="G8">
            <v>900.90947449999999</v>
          </cell>
        </row>
        <row r="9">
          <cell r="A9">
            <v>9</v>
          </cell>
          <cell r="B9" t="str">
            <v>PORTA METÁLICA CASE – P/P3/PS – UMA FOLHA – 90X210 CM</v>
          </cell>
          <cell r="C9" t="str">
            <v>M2</v>
          </cell>
          <cell r="D9">
            <v>47.084742999999996</v>
          </cell>
          <cell r="E9">
            <v>544.33859599999994</v>
          </cell>
          <cell r="F9">
            <v>0</v>
          </cell>
          <cell r="G9">
            <v>591.42333899999994</v>
          </cell>
        </row>
        <row r="10">
          <cell r="A10">
            <v>10</v>
          </cell>
          <cell r="B10" t="str">
            <v>PORTÃO METÁLICO CASE – P1 – UMA FOLHA CORRER – 400X460 CM</v>
          </cell>
          <cell r="C10" t="str">
            <v xml:space="preserve"> M²</v>
          </cell>
          <cell r="D10">
            <v>48.115469999999995</v>
          </cell>
          <cell r="E10">
            <v>560.53029023619638</v>
          </cell>
          <cell r="F10">
            <v>0</v>
          </cell>
          <cell r="G10">
            <v>608.64576023619634</v>
          </cell>
        </row>
        <row r="11">
          <cell r="A11">
            <v>11</v>
          </cell>
          <cell r="B11" t="str">
            <v>PORTA METÁLICA CASE – P2 – UMA FOLHA/ VENEZIANA – 100X210 CM</v>
          </cell>
          <cell r="C11" t="str">
            <v xml:space="preserve"> M²</v>
          </cell>
          <cell r="D11">
            <v>47.084742999999996</v>
          </cell>
          <cell r="E11">
            <v>706.08712179999986</v>
          </cell>
          <cell r="F11">
            <v>0</v>
          </cell>
          <cell r="G11">
            <v>753.17186479999987</v>
          </cell>
        </row>
        <row r="12">
          <cell r="A12">
            <v>12</v>
          </cell>
          <cell r="B12" t="str">
            <v>PORTA METÁLICA CASE – PG1/PG5 - 100X280 CM</v>
          </cell>
          <cell r="C12" t="str">
            <v>M2</v>
          </cell>
          <cell r="D12">
            <v>47.084742999999996</v>
          </cell>
          <cell r="E12">
            <v>545.27531650000003</v>
          </cell>
          <cell r="F12">
            <v>0</v>
          </cell>
          <cell r="G12">
            <v>592.36005950000003</v>
          </cell>
        </row>
        <row r="13">
          <cell r="A13">
            <v>13</v>
          </cell>
          <cell r="B13" t="e">
            <v>#N/A</v>
          </cell>
          <cell r="C13" t="e">
            <v>#N/A</v>
          </cell>
          <cell r="D13">
            <v>0</v>
          </cell>
          <cell r="E13">
            <v>0</v>
          </cell>
          <cell r="F13">
            <v>0</v>
          </cell>
          <cell r="G13">
            <v>0</v>
          </cell>
        </row>
        <row r="14">
          <cell r="A14">
            <v>14</v>
          </cell>
          <cell r="B14" t="str">
            <v>JANELA METÁLICA BASCULANTE (JF1/JF2/JF3/JF4/JF5)</v>
          </cell>
          <cell r="C14" t="str">
            <v>M2</v>
          </cell>
          <cell r="D14">
            <v>50.378795999999994</v>
          </cell>
          <cell r="E14">
            <v>224.70615700000002</v>
          </cell>
          <cell r="F14">
            <v>0</v>
          </cell>
          <cell r="G14">
            <v>275.08495300000004</v>
          </cell>
        </row>
        <row r="15">
          <cell r="A15">
            <v>21</v>
          </cell>
          <cell r="B15" t="str">
            <v>ALAMBRADO PARA BOLA (MISTO) PADRÃO</v>
          </cell>
          <cell r="C15" t="str">
            <v>M2</v>
          </cell>
          <cell r="D15">
            <v>2.7208919999999996</v>
          </cell>
          <cell r="E15">
            <v>57.019657999999993</v>
          </cell>
          <cell r="F15">
            <v>0</v>
          </cell>
          <cell r="G15">
            <v>59.740549999999992</v>
          </cell>
        </row>
        <row r="16">
          <cell r="A16">
            <v>22</v>
          </cell>
          <cell r="B16" t="str">
            <v>TOMADA HEXAGONAL 2P + T - 20A – 250V</v>
          </cell>
          <cell r="C16" t="e">
            <v>#N/A</v>
          </cell>
          <cell r="D16">
            <v>0</v>
          </cell>
          <cell r="E16">
            <v>0</v>
          </cell>
          <cell r="F16">
            <v>0</v>
          </cell>
          <cell r="G16">
            <v>0</v>
          </cell>
        </row>
        <row r="17">
          <cell r="A17">
            <v>24</v>
          </cell>
          <cell r="B17" t="str">
            <v>BARRA DE FERRO GALVANIZADO 3/4" - PARA CORTINA</v>
          </cell>
          <cell r="C17" t="str">
            <v xml:space="preserve"> M</v>
          </cell>
          <cell r="D17">
            <v>16.102499999999999</v>
          </cell>
          <cell r="E17">
            <v>14.746</v>
          </cell>
          <cell r="F17">
            <v>0</v>
          </cell>
          <cell r="G17">
            <v>30.848500000000001</v>
          </cell>
        </row>
        <row r="18">
          <cell r="A18">
            <v>30</v>
          </cell>
          <cell r="B18" t="str">
            <v>MUDAS DE PALMEIRA REAL H=1,50 M</v>
          </cell>
          <cell r="C18" t="str">
            <v>UN</v>
          </cell>
          <cell r="D18">
            <v>90.255889999999994</v>
          </cell>
          <cell r="E18">
            <v>51.72</v>
          </cell>
          <cell r="F18">
            <v>0</v>
          </cell>
          <cell r="G18">
            <v>141.97588999999999</v>
          </cell>
        </row>
        <row r="19">
          <cell r="A19">
            <v>31</v>
          </cell>
          <cell r="B19" t="str">
            <v>MUDAS DE OITI H=1,50 M</v>
          </cell>
          <cell r="C19" t="str">
            <v>UN</v>
          </cell>
          <cell r="D19">
            <v>14.794883999999998</v>
          </cell>
          <cell r="E19">
            <v>25.51</v>
          </cell>
          <cell r="F19">
            <v>0</v>
          </cell>
          <cell r="G19">
            <v>40.304884000000001</v>
          </cell>
        </row>
        <row r="20">
          <cell r="A20">
            <v>32</v>
          </cell>
          <cell r="B20" t="str">
            <v>MUDAS DE PINGO DE OURO</v>
          </cell>
          <cell r="C20" t="str">
            <v>UN</v>
          </cell>
          <cell r="D20">
            <v>2.072168</v>
          </cell>
          <cell r="E20">
            <v>1.24</v>
          </cell>
          <cell r="F20">
            <v>0</v>
          </cell>
          <cell r="G20">
            <v>3.3121679999999998</v>
          </cell>
        </row>
        <row r="21">
          <cell r="A21">
            <v>37</v>
          </cell>
          <cell r="B21" t="str">
            <v>LOCAÇÃO DE PRAÇA, QUADRA, IMPLANTAÇÃO UTILIZANDO CAVALETE, INCLUSIVE PIQUET COM TESTEMUNHA</v>
          </cell>
          <cell r="C21" t="str">
            <v>M2</v>
          </cell>
          <cell r="D21">
            <v>2.117407</v>
          </cell>
          <cell r="E21">
            <v>0.20551599999999998</v>
          </cell>
          <cell r="F21">
            <v>0</v>
          </cell>
          <cell r="G21">
            <v>2.3229229999999998</v>
          </cell>
        </row>
        <row r="22">
          <cell r="A22">
            <v>38</v>
          </cell>
          <cell r="B22" t="str">
            <v>PORTA METÁLICA CASE – PG4 - 150X280 CM</v>
          </cell>
          <cell r="C22" t="str">
            <v xml:space="preserve"> M²</v>
          </cell>
          <cell r="D22">
            <v>47.084742999999996</v>
          </cell>
          <cell r="E22">
            <v>571.59619580000003</v>
          </cell>
          <cell r="F22">
            <v>0</v>
          </cell>
          <cell r="G22">
            <v>618.68093880000004</v>
          </cell>
        </row>
        <row r="23">
          <cell r="A23">
            <v>39</v>
          </cell>
          <cell r="B23" t="e">
            <v>#N/A</v>
          </cell>
          <cell r="C23" t="e">
            <v>#N/A</v>
          </cell>
          <cell r="D23">
            <v>0</v>
          </cell>
          <cell r="E23">
            <v>0</v>
          </cell>
          <cell r="F23">
            <v>0</v>
          </cell>
          <cell r="G23">
            <v>0</v>
          </cell>
        </row>
        <row r="24">
          <cell r="A24">
            <v>40</v>
          </cell>
          <cell r="B24" t="str">
            <v>MURO DE CANALETA H=3 M</v>
          </cell>
          <cell r="C24" t="str">
            <v>M</v>
          </cell>
          <cell r="D24">
            <v>395.41216799999995</v>
          </cell>
          <cell r="E24">
            <v>675.8391170000001</v>
          </cell>
          <cell r="F24">
            <v>291.79666100000003</v>
          </cell>
          <cell r="G24">
            <v>1363.0479460000001</v>
          </cell>
        </row>
        <row r="25">
          <cell r="A25">
            <v>41</v>
          </cell>
          <cell r="B25" t="str">
            <v>CAIXA DE PASSAGEM 70X70X80 CM FUNDO DE BRITA SEM TAMPA</v>
          </cell>
          <cell r="C25" t="str">
            <v>UN</v>
          </cell>
          <cell r="D25">
            <v>308.72905900000001</v>
          </cell>
          <cell r="E25">
            <v>181.59303067598</v>
          </cell>
          <cell r="F25">
            <v>0</v>
          </cell>
          <cell r="G25">
            <v>490.32208967598001</v>
          </cell>
        </row>
        <row r="26">
          <cell r="A26">
            <v>42</v>
          </cell>
          <cell r="B26" t="str">
            <v>SOLDA EXOTÉRMICA TAMANHO 115G</v>
          </cell>
          <cell r="C26" t="str">
            <v>UN</v>
          </cell>
          <cell r="D26">
            <v>2.1414880000000003</v>
          </cell>
          <cell r="E26">
            <v>7.91</v>
          </cell>
          <cell r="F26">
            <v>0</v>
          </cell>
          <cell r="G26">
            <v>10.051488000000001</v>
          </cell>
        </row>
        <row r="27">
          <cell r="A27">
            <v>43</v>
          </cell>
          <cell r="B27" t="e">
            <v>#REF!</v>
          </cell>
          <cell r="C27" t="e">
            <v>#REF!</v>
          </cell>
          <cell r="D27" t="e">
            <v>#REF!</v>
          </cell>
          <cell r="E27" t="e">
            <v>#REF!</v>
          </cell>
          <cell r="F27">
            <v>0</v>
          </cell>
          <cell r="G27" t="e">
            <v>#REF!</v>
          </cell>
        </row>
        <row r="28">
          <cell r="A28">
            <v>44</v>
          </cell>
          <cell r="B28" t="e">
            <v>#REF!</v>
          </cell>
          <cell r="C28" t="e">
            <v>#REF!</v>
          </cell>
          <cell r="D28" t="e">
            <v>#REF!</v>
          </cell>
          <cell r="E28" t="e">
            <v>#REF!</v>
          </cell>
          <cell r="F28">
            <v>0</v>
          </cell>
          <cell r="G28" t="e">
            <v>#REF!</v>
          </cell>
        </row>
        <row r="29">
          <cell r="A29">
            <v>45</v>
          </cell>
          <cell r="B29" t="str">
            <v>CABO RGC 59-75 OHMS</v>
          </cell>
          <cell r="C29" t="str">
            <v>M</v>
          </cell>
          <cell r="D29">
            <v>2.7041000000000004</v>
          </cell>
          <cell r="E29">
            <v>1.2036</v>
          </cell>
          <cell r="F29">
            <v>0</v>
          </cell>
          <cell r="G29">
            <v>3.9077000000000002</v>
          </cell>
        </row>
        <row r="30">
          <cell r="A30">
            <v>48</v>
          </cell>
          <cell r="B30" t="e">
            <v>#N/A</v>
          </cell>
          <cell r="C30" t="str">
            <v>UN</v>
          </cell>
          <cell r="D30">
            <v>0.77259999999999995</v>
          </cell>
          <cell r="E30">
            <v>2.13</v>
          </cell>
          <cell r="F30">
            <v>0</v>
          </cell>
          <cell r="G30">
            <v>2.9025999999999996</v>
          </cell>
        </row>
        <row r="31">
          <cell r="A31">
            <v>50</v>
          </cell>
          <cell r="B31" t="str">
            <v>PARAFUSO P/BUCHA S-7</v>
          </cell>
          <cell r="C31" t="str">
            <v>UN</v>
          </cell>
          <cell r="D31">
            <v>0.38629999999999998</v>
          </cell>
          <cell r="E31">
            <v>2.57</v>
          </cell>
          <cell r="F31">
            <v>0</v>
          </cell>
          <cell r="G31">
            <v>2.9562999999999997</v>
          </cell>
        </row>
        <row r="32">
          <cell r="A32">
            <v>51</v>
          </cell>
          <cell r="B32" t="e">
            <v>#N/A</v>
          </cell>
          <cell r="C32" t="str">
            <v>UN</v>
          </cell>
          <cell r="D32">
            <v>0.78803999999999996</v>
          </cell>
          <cell r="E32">
            <v>0.14000000000000001</v>
          </cell>
          <cell r="F32">
            <v>0</v>
          </cell>
          <cell r="G32">
            <v>0.92803999999999998</v>
          </cell>
        </row>
        <row r="33">
          <cell r="A33">
            <v>54</v>
          </cell>
          <cell r="B33" t="e">
            <v>#N/A</v>
          </cell>
          <cell r="C33" t="e">
            <v>#N/A</v>
          </cell>
          <cell r="D33">
            <v>0</v>
          </cell>
          <cell r="E33">
            <v>0</v>
          </cell>
          <cell r="F33">
            <v>0</v>
          </cell>
          <cell r="G33">
            <v>0</v>
          </cell>
        </row>
        <row r="34">
          <cell r="A34">
            <v>59</v>
          </cell>
          <cell r="B34" t="e">
            <v>#N/A</v>
          </cell>
          <cell r="C34" t="e">
            <v>#N/A</v>
          </cell>
          <cell r="D34">
            <v>0</v>
          </cell>
          <cell r="E34">
            <v>0</v>
          </cell>
          <cell r="F34">
            <v>0</v>
          </cell>
          <cell r="G34">
            <v>0</v>
          </cell>
        </row>
        <row r="35">
          <cell r="A35">
            <v>60</v>
          </cell>
          <cell r="B35" t="e">
            <v>#N/A</v>
          </cell>
          <cell r="C35" t="e">
            <v>#N/A</v>
          </cell>
          <cell r="D35">
            <v>0</v>
          </cell>
          <cell r="E35">
            <v>0</v>
          </cell>
          <cell r="F35">
            <v>0</v>
          </cell>
          <cell r="G35">
            <v>0</v>
          </cell>
        </row>
        <row r="36">
          <cell r="A36">
            <v>61</v>
          </cell>
          <cell r="B36" t="e">
            <v>#N/A</v>
          </cell>
          <cell r="C36" t="e">
            <v>#N/A</v>
          </cell>
          <cell r="D36">
            <v>0</v>
          </cell>
          <cell r="E36">
            <v>0</v>
          </cell>
          <cell r="F36">
            <v>0</v>
          </cell>
          <cell r="G36">
            <v>0</v>
          </cell>
        </row>
        <row r="37">
          <cell r="A37">
            <v>62</v>
          </cell>
          <cell r="B37" t="e">
            <v>#N/A</v>
          </cell>
          <cell r="C37" t="e">
            <v>#N/A</v>
          </cell>
          <cell r="D37">
            <v>0</v>
          </cell>
          <cell r="E37">
            <v>0</v>
          </cell>
          <cell r="F37">
            <v>0</v>
          </cell>
          <cell r="G37">
            <v>0</v>
          </cell>
        </row>
        <row r="38">
          <cell r="A38">
            <v>63</v>
          </cell>
          <cell r="B38" t="str">
            <v>PORTÃO METÁLICO DO TIPO NYLOFOR 3D OU EQUIVALENTE (3,50X 2,03 M) DE CORRER COM MOTOR SEMI INDUSTRIAL/ CREMALHEIRA / 2 CONTROLES REMOTOS</v>
          </cell>
          <cell r="C38" t="str">
            <v>UN</v>
          </cell>
          <cell r="D38">
            <v>205.22735899999998</v>
          </cell>
          <cell r="E38">
            <v>5581.5300000000007</v>
          </cell>
          <cell r="F38">
            <v>0</v>
          </cell>
          <cell r="G38">
            <v>5786.7573590000011</v>
          </cell>
        </row>
        <row r="39">
          <cell r="A39">
            <v>64</v>
          </cell>
          <cell r="B39" t="str">
            <v>PORTÃO METÁLICO DO TIPO NYLOFOR 3D OU EQUIVALENTE (1,00 X 2,03 M) DE ABRIR</v>
          </cell>
          <cell r="C39" t="str">
            <v>UN</v>
          </cell>
          <cell r="D39">
            <v>0</v>
          </cell>
          <cell r="E39">
            <v>1101.8666666666666</v>
          </cell>
          <cell r="F39">
            <v>0</v>
          </cell>
          <cell r="G39">
            <v>1101.8666666666666</v>
          </cell>
        </row>
        <row r="40">
          <cell r="A40">
            <v>65</v>
          </cell>
          <cell r="B40" t="str">
            <v>GRADIL METÁLICO TIPO NYLOFOR 3D H=2,03 M</v>
          </cell>
          <cell r="C40" t="str">
            <v>M</v>
          </cell>
          <cell r="D40">
            <v>64.198791999999997</v>
          </cell>
          <cell r="E40">
            <v>893.09490399999981</v>
          </cell>
          <cell r="F40">
            <v>0</v>
          </cell>
          <cell r="G40">
            <v>957.29369599999984</v>
          </cell>
        </row>
        <row r="41">
          <cell r="A41">
            <v>72</v>
          </cell>
          <cell r="B41" t="str">
            <v>ASFALTO PARA TRÁFEGO LEVE</v>
          </cell>
          <cell r="C41" t="str">
            <v xml:space="preserve"> M²</v>
          </cell>
          <cell r="D41">
            <v>0</v>
          </cell>
          <cell r="E41">
            <v>0</v>
          </cell>
          <cell r="F41">
            <v>28251.4182</v>
          </cell>
          <cell r="G41">
            <v>28251.4182</v>
          </cell>
        </row>
        <row r="42">
          <cell r="A42">
            <v>73</v>
          </cell>
          <cell r="B42" t="str">
            <v>TRAVES EM FERRO GALVANIZADO PARA CAMPO DE FUTEBOL (ASSENT/PINTADAS) - 7,56X2,56M</v>
          </cell>
          <cell r="C42" t="str">
            <v>CJ</v>
          </cell>
          <cell r="D42">
            <v>713.47351800000001</v>
          </cell>
          <cell r="E42">
            <v>6204.8318659999986</v>
          </cell>
          <cell r="F42">
            <v>0</v>
          </cell>
          <cell r="G42">
            <v>6918.3053839999984</v>
          </cell>
        </row>
        <row r="43">
          <cell r="A43">
            <v>92</v>
          </cell>
          <cell r="B43" t="e">
            <v>#N/A</v>
          </cell>
          <cell r="C43" t="str">
            <v>UN</v>
          </cell>
          <cell r="D43">
            <v>28.922280000000001</v>
          </cell>
          <cell r="E43">
            <v>26.85</v>
          </cell>
          <cell r="F43">
            <v>0</v>
          </cell>
          <cell r="G43">
            <v>55.772280000000002</v>
          </cell>
        </row>
        <row r="44">
          <cell r="A44">
            <v>93</v>
          </cell>
          <cell r="B44" t="e">
            <v>#N/A</v>
          </cell>
          <cell r="C44" t="str">
            <v>M2</v>
          </cell>
          <cell r="D44">
            <v>30.179729000000002</v>
          </cell>
          <cell r="E44">
            <v>22.483562000000006</v>
          </cell>
          <cell r="F44">
            <v>0</v>
          </cell>
          <cell r="G44">
            <v>52.663291000000008</v>
          </cell>
        </row>
        <row r="45">
          <cell r="A45">
            <v>96</v>
          </cell>
          <cell r="B45" t="str">
            <v>PORTA METÁLICA CASE – PG3 - 200X210 CM</v>
          </cell>
          <cell r="C45" t="str">
            <v>M2</v>
          </cell>
          <cell r="D45">
            <v>47.084742999999996</v>
          </cell>
          <cell r="E45">
            <v>474.43686159999993</v>
          </cell>
          <cell r="F45">
            <v>0</v>
          </cell>
          <cell r="G45">
            <v>521.52160459999993</v>
          </cell>
        </row>
        <row r="46">
          <cell r="A46">
            <v>103</v>
          </cell>
          <cell r="B46" t="str">
            <v>GRADE METÁLICA PARA J1/J7/J16 – 180X136 CM</v>
          </cell>
          <cell r="C46" t="str">
            <v>M2</v>
          </cell>
          <cell r="D46">
            <v>50.259299999999996</v>
          </cell>
          <cell r="E46">
            <v>457.28405224999995</v>
          </cell>
          <cell r="F46">
            <v>0</v>
          </cell>
          <cell r="G46">
            <v>507.54335224999994</v>
          </cell>
        </row>
        <row r="47">
          <cell r="A47">
            <v>104</v>
          </cell>
          <cell r="B47" t="str">
            <v>BRISE DE AÇO PREENCHIDO C/ CONCRETO 30 MPA</v>
          </cell>
          <cell r="C47" t="str">
            <v>M</v>
          </cell>
          <cell r="D47">
            <v>11.255039</v>
          </cell>
          <cell r="E47">
            <v>145.113471</v>
          </cell>
          <cell r="F47">
            <v>0</v>
          </cell>
          <cell r="G47">
            <v>156.36851000000001</v>
          </cell>
        </row>
        <row r="48">
          <cell r="A48">
            <v>106</v>
          </cell>
          <cell r="B48" t="str">
            <v>PORTA METÁLICA CASE – P5 - 140X210 CM</v>
          </cell>
          <cell r="C48" t="str">
            <v>M2</v>
          </cell>
          <cell r="D48">
            <v>47.084742999999996</v>
          </cell>
          <cell r="E48">
            <v>550.82830999999987</v>
          </cell>
          <cell r="F48">
            <v>0</v>
          </cell>
          <cell r="G48">
            <v>597.91305299999988</v>
          </cell>
        </row>
        <row r="49">
          <cell r="A49">
            <v>107</v>
          </cell>
          <cell r="B49" t="str">
            <v>PORTA METÁLICA CASE – P4 - 60X180 CM</v>
          </cell>
          <cell r="C49" t="str">
            <v>M2</v>
          </cell>
          <cell r="D49">
            <v>47.084742999999996</v>
          </cell>
          <cell r="E49">
            <v>433.56921126595739</v>
          </cell>
          <cell r="F49">
            <v>0</v>
          </cell>
          <cell r="G49">
            <v>480.6539542659574</v>
          </cell>
        </row>
        <row r="50">
          <cell r="A50">
            <v>111</v>
          </cell>
          <cell r="B50" t="str">
            <v>MOBILIZAÇÃO/DESMOBILIZAÇÃO</v>
          </cell>
          <cell r="C50" t="str">
            <v>VG</v>
          </cell>
          <cell r="D50">
            <v>185.599152</v>
          </cell>
          <cell r="E50">
            <v>0</v>
          </cell>
          <cell r="F50">
            <v>2131.2565298795184</v>
          </cell>
          <cell r="G50">
            <v>2316.8556818795187</v>
          </cell>
        </row>
        <row r="51">
          <cell r="A51">
            <v>134</v>
          </cell>
          <cell r="B51" t="e">
            <v>#N/A</v>
          </cell>
          <cell r="C51" t="str">
            <v>UM</v>
          </cell>
          <cell r="D51">
            <v>134.453351</v>
          </cell>
          <cell r="E51">
            <v>85.572334999999995</v>
          </cell>
          <cell r="F51">
            <v>0</v>
          </cell>
          <cell r="G51">
            <v>220.02568600000001</v>
          </cell>
        </row>
        <row r="52">
          <cell r="A52">
            <v>135</v>
          </cell>
          <cell r="B52" t="e">
            <v>#N/A</v>
          </cell>
          <cell r="C52" t="str">
            <v>M</v>
          </cell>
          <cell r="D52">
            <v>2.5109500000000002</v>
          </cell>
          <cell r="E52">
            <v>1.03</v>
          </cell>
          <cell r="F52">
            <v>0</v>
          </cell>
          <cell r="G52">
            <v>3.5409500000000005</v>
          </cell>
        </row>
        <row r="53">
          <cell r="A53">
            <v>136</v>
          </cell>
          <cell r="B53" t="str">
            <v>POTENCIÔMETRO PARA SISTEMA DE SONORIZAÇÃO</v>
          </cell>
          <cell r="C53" t="str">
            <v>UN</v>
          </cell>
          <cell r="D53">
            <v>9.8699650000000005</v>
          </cell>
          <cell r="E53">
            <v>4.53</v>
          </cell>
          <cell r="F53">
            <v>0</v>
          </cell>
          <cell r="G53">
            <v>14.399965000000002</v>
          </cell>
        </row>
        <row r="54">
          <cell r="A54">
            <v>137</v>
          </cell>
          <cell r="B54" t="str">
            <v>CAMA DE CONCRETO MACIÇO 100X235X40CM EMASSADA E PINTADA FCK 15 MPA</v>
          </cell>
          <cell r="C54" t="str">
            <v>UN</v>
          </cell>
          <cell r="D54">
            <v>339.84103400000004</v>
          </cell>
          <cell r="E54">
            <v>417.01884000000001</v>
          </cell>
          <cell r="F54">
            <v>3.8030539999999999</v>
          </cell>
          <cell r="G54">
            <v>760.66292799999997</v>
          </cell>
        </row>
        <row r="55">
          <cell r="A55">
            <v>138</v>
          </cell>
          <cell r="B55" t="e">
            <v>#N/A</v>
          </cell>
          <cell r="C55" t="str">
            <v>UNIDADE</v>
          </cell>
          <cell r="D55">
            <v>320.94294300000001</v>
          </cell>
          <cell r="E55">
            <v>402.30518599999999</v>
          </cell>
          <cell r="F55">
            <v>3.5985949999999995</v>
          </cell>
          <cell r="G55">
            <v>726.84672400000011</v>
          </cell>
        </row>
        <row r="56">
          <cell r="A56">
            <v>139</v>
          </cell>
          <cell r="B56" t="str">
            <v>BANCO DE CONCRETO POLIDO 2,0 X 0,4M</v>
          </cell>
          <cell r="C56" t="str">
            <v>UN</v>
          </cell>
          <cell r="D56">
            <v>90.359330000000014</v>
          </cell>
          <cell r="E56">
            <v>134.753849</v>
          </cell>
          <cell r="F56">
            <v>1.3320070000000002</v>
          </cell>
          <cell r="G56">
            <v>226.44518600000001</v>
          </cell>
        </row>
        <row r="57">
          <cell r="A57">
            <v>140</v>
          </cell>
          <cell r="B57" t="e">
            <v>#N/A</v>
          </cell>
          <cell r="C57" t="str">
            <v>UNIDADE</v>
          </cell>
          <cell r="D57">
            <v>118.15299</v>
          </cell>
          <cell r="E57">
            <v>147.98101800000001</v>
          </cell>
          <cell r="F57">
            <v>1.4512700000000001</v>
          </cell>
          <cell r="G57">
            <v>267.58527800000002</v>
          </cell>
        </row>
        <row r="58">
          <cell r="A58">
            <v>141</v>
          </cell>
          <cell r="B58" t="str">
            <v>BANCO DE CONCRETO POLIDO 1,20 X 0,40M</v>
          </cell>
          <cell r="C58" t="str">
            <v>UN</v>
          </cell>
          <cell r="D58">
            <v>68.73098499999999</v>
          </cell>
          <cell r="E58">
            <v>81.858417000000003</v>
          </cell>
          <cell r="F58">
            <v>0.84754700000000005</v>
          </cell>
          <cell r="G58">
            <v>151.436949</v>
          </cell>
        </row>
        <row r="59">
          <cell r="A59">
            <v>142</v>
          </cell>
          <cell r="B59" t="str">
            <v>ENVELOPAMENTO VASO FCK 15 MPA</v>
          </cell>
          <cell r="C59" t="str">
            <v>UN</v>
          </cell>
          <cell r="D59">
            <v>51.823134000000003</v>
          </cell>
          <cell r="E59">
            <v>24.876719000000001</v>
          </cell>
          <cell r="F59">
            <v>0.66736799999999996</v>
          </cell>
          <cell r="G59">
            <v>77.367221000000001</v>
          </cell>
        </row>
        <row r="60">
          <cell r="A60">
            <v>143</v>
          </cell>
          <cell r="B60" t="str">
            <v>ENVELOPAMENTO LAVATÓRIO FCK 15 MPA</v>
          </cell>
          <cell r="C60" t="str">
            <v>M2</v>
          </cell>
          <cell r="D60">
            <v>113.53423500000001</v>
          </cell>
          <cell r="E60">
            <v>72.938625000000002</v>
          </cell>
          <cell r="F60">
            <v>1.4497949999999999</v>
          </cell>
          <cell r="G60">
            <v>187.92265500000002</v>
          </cell>
        </row>
        <row r="61">
          <cell r="A61">
            <v>144</v>
          </cell>
          <cell r="B61" t="str">
            <v>PORTA METÁLICA CASE – PcD - 90X210 CM</v>
          </cell>
          <cell r="C61" t="str">
            <v>M2</v>
          </cell>
          <cell r="D61">
            <v>47.084742999999996</v>
          </cell>
          <cell r="E61">
            <v>410.39035100000001</v>
          </cell>
          <cell r="F61">
            <v>0</v>
          </cell>
          <cell r="G61">
            <v>457.47509400000001</v>
          </cell>
        </row>
        <row r="62">
          <cell r="A62">
            <v>145</v>
          </cell>
          <cell r="B62" t="str">
            <v>CAMA DE CONCRETO MACIÇO 140X190X40CM EMASSADA E PINTADA FCK 15 MPA</v>
          </cell>
          <cell r="C62" t="str">
            <v>UNIDADE</v>
          </cell>
          <cell r="D62">
            <v>364.43695500000001</v>
          </cell>
          <cell r="E62">
            <v>477.12241099999994</v>
          </cell>
          <cell r="F62">
            <v>3.9942669999999998</v>
          </cell>
          <cell r="G62">
            <v>845.55363299999999</v>
          </cell>
        </row>
        <row r="63">
          <cell r="A63">
            <v>146</v>
          </cell>
          <cell r="B63" t="str">
            <v>PORTA METÁLICA CASE – PS - 1 FOLHA 80X210 CM</v>
          </cell>
          <cell r="C63" t="str">
            <v>M2</v>
          </cell>
          <cell r="D63">
            <v>47.084742999999996</v>
          </cell>
          <cell r="E63">
            <v>314.37935849999997</v>
          </cell>
          <cell r="F63">
            <v>0</v>
          </cell>
          <cell r="G63">
            <v>361.46410149999997</v>
          </cell>
        </row>
        <row r="64">
          <cell r="A64">
            <v>147</v>
          </cell>
          <cell r="B64" t="e">
            <v>#N/A</v>
          </cell>
          <cell r="C64" t="e">
            <v>#N/A</v>
          </cell>
          <cell r="D64">
            <v>0</v>
          </cell>
          <cell r="E64">
            <v>0</v>
          </cell>
          <cell r="F64">
            <v>0</v>
          </cell>
          <cell r="G64">
            <v>0</v>
          </cell>
        </row>
        <row r="65">
          <cell r="A65">
            <v>148</v>
          </cell>
          <cell r="B65" t="str">
            <v>CENTRAL DE MONITORAMENTO - CFTV</v>
          </cell>
          <cell r="C65" t="str">
            <v>UNIDADE</v>
          </cell>
          <cell r="D65">
            <v>0</v>
          </cell>
          <cell r="E65">
            <v>0</v>
          </cell>
          <cell r="F65">
            <v>0</v>
          </cell>
          <cell r="G65">
            <v>0</v>
          </cell>
        </row>
        <row r="66">
          <cell r="A66">
            <v>149</v>
          </cell>
          <cell r="B66" t="str">
            <v>COBERTURA CURVADA EM POLICARBONATO 6MM, ESTRUTURA EM PERFIL METÁLICO 2,0 X 4,3M</v>
          </cell>
          <cell r="C66" t="str">
            <v>M2</v>
          </cell>
          <cell r="D66">
            <v>3.9206639999999999</v>
          </cell>
          <cell r="E66">
            <v>230.43469116402116</v>
          </cell>
          <cell r="F66">
            <v>0</v>
          </cell>
          <cell r="G66">
            <v>234.35535516402115</v>
          </cell>
        </row>
        <row r="67">
          <cell r="A67">
            <v>150</v>
          </cell>
          <cell r="B67" t="str">
            <v>CHUVEIRO ANTIVANDALISMO C/ÁLVULA</v>
          </cell>
          <cell r="C67" t="str">
            <v>UM</v>
          </cell>
          <cell r="D67">
            <v>43.860960000000006</v>
          </cell>
          <cell r="E67">
            <v>770.23320000000001</v>
          </cell>
          <cell r="F67">
            <v>0</v>
          </cell>
          <cell r="G67">
            <v>814.09415999999999</v>
          </cell>
        </row>
        <row r="68">
          <cell r="A68">
            <v>151</v>
          </cell>
          <cell r="B68" t="str">
            <v>PORTÃO EM TELA ARAME FºGº Nº 12 #2, MOLDURAS TUBO DE AÇO FºGº</v>
          </cell>
          <cell r="C68" t="str">
            <v>M2</v>
          </cell>
          <cell r="D68">
            <v>48.115469999999995</v>
          </cell>
          <cell r="E68">
            <v>394.87861899999996</v>
          </cell>
          <cell r="F68">
            <v>1.4512700000000001</v>
          </cell>
          <cell r="G68">
            <v>444.445359</v>
          </cell>
        </row>
        <row r="69">
          <cell r="A69">
            <v>152</v>
          </cell>
          <cell r="B69" t="str">
            <v>PORTA METÁLICA CASE – P – UMA FOLHA – 80X210 CM</v>
          </cell>
          <cell r="C69" t="str">
            <v>M2</v>
          </cell>
          <cell r="D69">
            <v>47.084742999999996</v>
          </cell>
          <cell r="E69">
            <v>486.76612480000006</v>
          </cell>
          <cell r="F69">
            <v>0</v>
          </cell>
          <cell r="G69">
            <v>533.85086780000006</v>
          </cell>
        </row>
        <row r="70">
          <cell r="A70">
            <v>153</v>
          </cell>
          <cell r="B70" t="str">
            <v>PORTA METÁLICA CASE – P3 – UMA FOLHA – 70X210 CM</v>
          </cell>
          <cell r="C70" t="str">
            <v>M2</v>
          </cell>
          <cell r="D70">
            <v>47.084742999999996</v>
          </cell>
          <cell r="E70">
            <v>436.37288639999997</v>
          </cell>
          <cell r="F70">
            <v>0</v>
          </cell>
          <cell r="G70">
            <v>483.45762939999997</v>
          </cell>
        </row>
        <row r="71">
          <cell r="A71">
            <v>154</v>
          </cell>
          <cell r="B71" t="e">
            <v>#N/A</v>
          </cell>
          <cell r="C71" t="str">
            <v>UNIDADE</v>
          </cell>
          <cell r="D71">
            <v>24.632553000000001</v>
          </cell>
          <cell r="E71">
            <v>290.35199999999998</v>
          </cell>
          <cell r="F71">
            <v>0</v>
          </cell>
          <cell r="G71">
            <v>314.98455300000001</v>
          </cell>
        </row>
        <row r="72">
          <cell r="A72">
            <v>155</v>
          </cell>
          <cell r="B72" t="str">
            <v>JANELA DE AÇO TIPO CORRER/BASCULANTE/VIDRO J -180X170 CM</v>
          </cell>
          <cell r="C72" t="str">
            <v>M2</v>
          </cell>
          <cell r="D72">
            <v>134.02471</v>
          </cell>
          <cell r="E72">
            <v>491.46804150000008</v>
          </cell>
          <cell r="F72">
            <v>0</v>
          </cell>
          <cell r="G72">
            <v>625.49275150000005</v>
          </cell>
        </row>
        <row r="73">
          <cell r="A73">
            <v>156</v>
          </cell>
          <cell r="B73" t="str">
            <v>JANELA DE AÇO TIPO CORRER/BASCULANTE/VIDRO J8/J9/J10/J11/J12/J13/J17/J20 - 200X70 CM</v>
          </cell>
          <cell r="C73" t="str">
            <v>M2</v>
          </cell>
          <cell r="D73">
            <v>134.02471</v>
          </cell>
          <cell r="E73">
            <v>503.49081699999999</v>
          </cell>
          <cell r="F73">
            <v>0</v>
          </cell>
          <cell r="G73">
            <v>637.51552700000002</v>
          </cell>
        </row>
        <row r="74">
          <cell r="A74">
            <v>157</v>
          </cell>
          <cell r="B74" t="str">
            <v>JANELA DE AÇO TIPO CORRER/BASCULANTE/VIDRO J3/J5/J6 - 120X70 CM</v>
          </cell>
          <cell r="C74" t="str">
            <v>M2</v>
          </cell>
          <cell r="D74">
            <v>134.02471</v>
          </cell>
          <cell r="E74">
            <v>624.43732750000015</v>
          </cell>
          <cell r="F74">
            <v>0</v>
          </cell>
          <cell r="G74">
            <v>758.46203750000018</v>
          </cell>
        </row>
        <row r="75">
          <cell r="A75">
            <v>158</v>
          </cell>
          <cell r="B75" t="str">
            <v>PORTA METÁLICA CASE – PG– UMA FOLHA – 80X210 CM</v>
          </cell>
          <cell r="C75" t="str">
            <v>M2</v>
          </cell>
          <cell r="D75">
            <v>47.084742999999996</v>
          </cell>
          <cell r="E75">
            <v>784.72375579999994</v>
          </cell>
          <cell r="F75">
            <v>0</v>
          </cell>
          <cell r="G75">
            <v>831.80849879999994</v>
          </cell>
        </row>
        <row r="76">
          <cell r="A76">
            <v>160</v>
          </cell>
          <cell r="B76" t="str">
            <v>PORTA METÁLICA CASE – PG2– UMA FOLHA – 230X210 CM</v>
          </cell>
          <cell r="C76" t="str">
            <v>M2</v>
          </cell>
          <cell r="D76">
            <v>47.084742999999996</v>
          </cell>
          <cell r="E76">
            <v>530.43523979999998</v>
          </cell>
          <cell r="F76">
            <v>0</v>
          </cell>
          <cell r="G76">
            <v>577.51998279999998</v>
          </cell>
        </row>
        <row r="77">
          <cell r="A77">
            <v>161</v>
          </cell>
          <cell r="B77" t="str">
            <v>PORTA METÁLICA CASE – PG4– UMA FOLHA – 150X280 CM</v>
          </cell>
          <cell r="C77" t="str">
            <v>M2</v>
          </cell>
          <cell r="D77">
            <v>47.084742999999996</v>
          </cell>
          <cell r="E77">
            <v>632.3175258</v>
          </cell>
          <cell r="F77">
            <v>0</v>
          </cell>
          <cell r="G77">
            <v>679.4022688</v>
          </cell>
        </row>
        <row r="78">
          <cell r="A78">
            <v>163</v>
          </cell>
          <cell r="B78" t="str">
            <v>CORRENTE DE AÇO D= 4,2MM, Nº10, P/SUSPENÇÃO DE LUMINÁRIAS</v>
          </cell>
          <cell r="C78" t="str">
            <v>M</v>
          </cell>
          <cell r="D78">
            <v>12.462038</v>
          </cell>
          <cell r="E78">
            <v>113.66784</v>
          </cell>
          <cell r="F78">
            <v>0</v>
          </cell>
          <cell r="G78">
            <v>126.12987799999999</v>
          </cell>
        </row>
        <row r="79">
          <cell r="A79">
            <v>164</v>
          </cell>
          <cell r="B79" t="e">
            <v>#N/A</v>
          </cell>
          <cell r="C79" t="str">
            <v>M</v>
          </cell>
          <cell r="D79">
            <v>1.1589</v>
          </cell>
          <cell r="E79">
            <v>2.04</v>
          </cell>
          <cell r="F79">
            <v>0</v>
          </cell>
          <cell r="G79">
            <v>3.1989000000000001</v>
          </cell>
        </row>
        <row r="80">
          <cell r="A80">
            <v>165</v>
          </cell>
          <cell r="B80" t="str">
            <v>SUPORTE P/LUMINÁRIA CHAPA DE AÇO DE 2" X 1/8"</v>
          </cell>
          <cell r="C80" t="str">
            <v>UN</v>
          </cell>
          <cell r="D80">
            <v>9.6574999999999989</v>
          </cell>
          <cell r="E80">
            <v>6.8588499999999994</v>
          </cell>
          <cell r="F80">
            <v>0</v>
          </cell>
          <cell r="G80">
            <v>16.516349999999999</v>
          </cell>
        </row>
        <row r="81">
          <cell r="A81">
            <v>166</v>
          </cell>
          <cell r="B81" t="str">
            <v>LOCAÇÃO DA OBRA, EXECUÇÃO DE GABARITO SEM REAPROVEITAMENTO, INCLUSO PINTURA (FACE INTERNA DO RIPÃO 15CM) E PIQUETE COM TESTEMUNHA</v>
          </cell>
          <cell r="C81" t="str">
            <v>M2</v>
          </cell>
          <cell r="D81">
            <v>1.6903229999999998</v>
          </cell>
          <cell r="E81">
            <v>2.6440060000000001</v>
          </cell>
          <cell r="F81">
            <v>0</v>
          </cell>
          <cell r="G81">
            <v>4.3343290000000003</v>
          </cell>
        </row>
        <row r="82">
          <cell r="A82">
            <v>167</v>
          </cell>
          <cell r="B82" t="str">
            <v>BARRACÃO DE OBRAS P/ALOJAMENTO/ESCRITÓRIO</v>
          </cell>
          <cell r="C82" t="str">
            <v>M2</v>
          </cell>
          <cell r="D82">
            <v>61.638916999999999</v>
          </cell>
          <cell r="E82">
            <v>168.12102499999995</v>
          </cell>
          <cell r="F82">
            <v>0</v>
          </cell>
          <cell r="G82">
            <v>229.75994199999994</v>
          </cell>
        </row>
        <row r="83">
          <cell r="A83">
            <v>168</v>
          </cell>
          <cell r="B83" t="str">
            <v>PLACA DE OBRA EM CHAPA DE AÇO GALVANIZADA</v>
          </cell>
          <cell r="C83" t="str">
            <v>M2</v>
          </cell>
          <cell r="D83">
            <v>3.557544</v>
          </cell>
          <cell r="E83">
            <v>143.12637000000001</v>
          </cell>
          <cell r="F83">
            <v>0</v>
          </cell>
          <cell r="G83">
            <v>146.68391400000002</v>
          </cell>
        </row>
        <row r="84">
          <cell r="A84">
            <v>169</v>
          </cell>
          <cell r="B84" t="e">
            <v>#N/A</v>
          </cell>
          <cell r="C84" t="str">
            <v>M3</v>
          </cell>
          <cell r="D84">
            <v>10.879199999999999</v>
          </cell>
          <cell r="E84">
            <v>23.988</v>
          </cell>
          <cell r="F84">
            <v>0</v>
          </cell>
          <cell r="G84">
            <v>34.867199999999997</v>
          </cell>
        </row>
        <row r="85">
          <cell r="A85">
            <v>170</v>
          </cell>
          <cell r="B85" t="e">
            <v>#N/A</v>
          </cell>
          <cell r="C85" t="str">
            <v>M3</v>
          </cell>
          <cell r="D85">
            <v>0</v>
          </cell>
          <cell r="E85">
            <v>0.88</v>
          </cell>
          <cell r="F85">
            <v>0</v>
          </cell>
          <cell r="G85">
            <v>0.88</v>
          </cell>
        </row>
        <row r="86">
          <cell r="A86">
            <v>171</v>
          </cell>
          <cell r="B86" t="str">
            <v>TRAÇO DE CONCRETO</v>
          </cell>
          <cell r="C86" t="str">
            <v>UN</v>
          </cell>
          <cell r="D86">
            <v>0</v>
          </cell>
          <cell r="E86">
            <v>842.24</v>
          </cell>
          <cell r="F86">
            <v>0</v>
          </cell>
          <cell r="G86">
            <v>842.24</v>
          </cell>
        </row>
        <row r="87">
          <cell r="A87">
            <v>172</v>
          </cell>
          <cell r="B87" t="str">
            <v>CORPO DE PROVA</v>
          </cell>
          <cell r="C87" t="str">
            <v>UN</v>
          </cell>
          <cell r="D87">
            <v>0</v>
          </cell>
          <cell r="E87">
            <v>10.8</v>
          </cell>
          <cell r="F87">
            <v>0</v>
          </cell>
          <cell r="G87">
            <v>10.8</v>
          </cell>
        </row>
        <row r="88">
          <cell r="A88">
            <v>173</v>
          </cell>
          <cell r="B88" t="e">
            <v>#N/A</v>
          </cell>
          <cell r="C88" t="str">
            <v>M2</v>
          </cell>
          <cell r="D88">
            <v>582.56277599999999</v>
          </cell>
          <cell r="E88">
            <v>219.038229</v>
          </cell>
          <cell r="F88">
            <v>0</v>
          </cell>
          <cell r="G88">
            <v>801.60100499999999</v>
          </cell>
        </row>
        <row r="89">
          <cell r="A89">
            <v>174</v>
          </cell>
          <cell r="B89" t="str">
            <v>CAIXA P/QUADRO DE COMANDO METÁLICA DE SOBREPOR 80 X70 X 20CM</v>
          </cell>
          <cell r="C89" t="str">
            <v>UN</v>
          </cell>
          <cell r="D89">
            <v>13.365979999999999</v>
          </cell>
          <cell r="E89">
            <v>265.54000000000002</v>
          </cell>
          <cell r="F89">
            <v>0</v>
          </cell>
          <cell r="G89">
            <v>278.90598</v>
          </cell>
        </row>
        <row r="90">
          <cell r="A90">
            <v>175</v>
          </cell>
          <cell r="B90" t="str">
            <v>DISJUNTOR TRIPOLAR DE 300 A 350A</v>
          </cell>
          <cell r="C90" t="str">
            <v>UN</v>
          </cell>
          <cell r="D90">
            <v>34.766999999999996</v>
          </cell>
          <cell r="E90">
            <v>1180.74</v>
          </cell>
          <cell r="F90">
            <v>0</v>
          </cell>
          <cell r="G90">
            <v>1215.5070000000001</v>
          </cell>
        </row>
        <row r="91">
          <cell r="A91">
            <v>176</v>
          </cell>
          <cell r="B91" t="str">
            <v>TERMINAL DE COMPRESSÃO P/CABO 10MM2</v>
          </cell>
          <cell r="C91" t="str">
            <v>UN</v>
          </cell>
          <cell r="D91">
            <v>13.520499999999998</v>
          </cell>
          <cell r="E91">
            <v>2.92</v>
          </cell>
          <cell r="F91">
            <v>0</v>
          </cell>
          <cell r="G91">
            <v>16.4405</v>
          </cell>
        </row>
        <row r="92">
          <cell r="A92">
            <v>179</v>
          </cell>
          <cell r="B92" t="e">
            <v>#N/A</v>
          </cell>
          <cell r="C92" t="str">
            <v>M</v>
          </cell>
          <cell r="D92">
            <v>25.882100000000001</v>
          </cell>
          <cell r="E92">
            <v>60.99</v>
          </cell>
          <cell r="F92">
            <v>0</v>
          </cell>
          <cell r="G92">
            <v>86.872100000000003</v>
          </cell>
        </row>
        <row r="93">
          <cell r="A93">
            <v>180</v>
          </cell>
          <cell r="B93" t="str">
            <v>CAIXA P/QUADRO DE COMANDO METÁLICA DE SOBREPOR 40 X 40 X 15 CM</v>
          </cell>
          <cell r="C93" t="str">
            <v>UN</v>
          </cell>
          <cell r="D93">
            <v>13.365979999999999</v>
          </cell>
          <cell r="E93">
            <v>86.84</v>
          </cell>
          <cell r="F93">
            <v>0</v>
          </cell>
          <cell r="G93">
            <v>100.20598</v>
          </cell>
        </row>
        <row r="94">
          <cell r="A94">
            <v>181</v>
          </cell>
          <cell r="B94" t="str">
            <v>TERMINAL DE COMPRESSÃO PARA CABO DE 50MM2</v>
          </cell>
          <cell r="C94" t="str">
            <v>UN</v>
          </cell>
          <cell r="D94">
            <v>15.452</v>
          </cell>
          <cell r="E94">
            <v>5.07</v>
          </cell>
          <cell r="F94">
            <v>0</v>
          </cell>
          <cell r="G94">
            <v>20.521999999999998</v>
          </cell>
        </row>
        <row r="95">
          <cell r="A95">
            <v>182</v>
          </cell>
          <cell r="B95" t="e">
            <v>#N/A</v>
          </cell>
          <cell r="C95" t="str">
            <v>UM</v>
          </cell>
          <cell r="D95">
            <v>15.452</v>
          </cell>
          <cell r="E95">
            <v>3.7</v>
          </cell>
          <cell r="F95">
            <v>0</v>
          </cell>
          <cell r="G95">
            <v>19.152000000000001</v>
          </cell>
        </row>
        <row r="96">
          <cell r="A96">
            <v>183</v>
          </cell>
          <cell r="B96" t="e">
            <v>#N/A</v>
          </cell>
          <cell r="C96" t="str">
            <v>UM</v>
          </cell>
          <cell r="D96">
            <v>13.520499999999998</v>
          </cell>
          <cell r="E96">
            <v>5.23</v>
          </cell>
          <cell r="F96">
            <v>0</v>
          </cell>
          <cell r="G96">
            <v>18.750499999999999</v>
          </cell>
        </row>
        <row r="97">
          <cell r="A97">
            <v>184</v>
          </cell>
          <cell r="B97" t="e">
            <v>#N/A</v>
          </cell>
          <cell r="C97" t="str">
            <v>UM</v>
          </cell>
          <cell r="D97">
            <v>13.520499999999998</v>
          </cell>
          <cell r="E97">
            <v>2.92</v>
          </cell>
          <cell r="F97">
            <v>0</v>
          </cell>
          <cell r="G97">
            <v>16.4405</v>
          </cell>
        </row>
        <row r="98">
          <cell r="A98">
            <v>185</v>
          </cell>
          <cell r="B98" t="e">
            <v>#N/A</v>
          </cell>
          <cell r="C98" t="str">
            <v>UM</v>
          </cell>
          <cell r="D98">
            <v>3.7440000000000002</v>
          </cell>
          <cell r="E98">
            <v>28.01</v>
          </cell>
          <cell r="F98">
            <v>0</v>
          </cell>
          <cell r="G98">
            <v>31.754000000000001</v>
          </cell>
        </row>
        <row r="99">
          <cell r="A99">
            <v>186</v>
          </cell>
          <cell r="B99" t="e">
            <v>#N/A</v>
          </cell>
          <cell r="C99" t="str">
            <v>UM</v>
          </cell>
          <cell r="D99">
            <v>7.4880000000000004</v>
          </cell>
          <cell r="E99">
            <v>16.29</v>
          </cell>
          <cell r="F99">
            <v>0</v>
          </cell>
          <cell r="G99">
            <v>23.777999999999999</v>
          </cell>
        </row>
        <row r="100">
          <cell r="A100">
            <v>187</v>
          </cell>
          <cell r="B100" t="e">
            <v>#N/A</v>
          </cell>
          <cell r="C100" t="str">
            <v>UM</v>
          </cell>
          <cell r="D100">
            <v>7.4880000000000004</v>
          </cell>
          <cell r="E100">
            <v>117.5</v>
          </cell>
          <cell r="F100">
            <v>0</v>
          </cell>
          <cell r="G100">
            <v>124.988</v>
          </cell>
        </row>
        <row r="101">
          <cell r="A101">
            <v>188</v>
          </cell>
          <cell r="B101" t="str">
            <v>TERMINAL DE COMPRESSÃO P/CABO 120MM2</v>
          </cell>
          <cell r="C101" t="str">
            <v>UN</v>
          </cell>
          <cell r="D101">
            <v>17.383499999999998</v>
          </cell>
          <cell r="E101">
            <v>13.66</v>
          </cell>
          <cell r="F101">
            <v>0</v>
          </cell>
          <cell r="G101">
            <v>31.043499999999998</v>
          </cell>
        </row>
        <row r="102">
          <cell r="A102">
            <v>189</v>
          </cell>
          <cell r="B102" t="e">
            <v>#N/A</v>
          </cell>
          <cell r="C102" t="str">
            <v>M</v>
          </cell>
          <cell r="D102">
            <v>2.5109500000000002</v>
          </cell>
          <cell r="E102">
            <v>4.34</v>
          </cell>
          <cell r="F102">
            <v>0</v>
          </cell>
          <cell r="G102">
            <v>6.8509500000000001</v>
          </cell>
        </row>
        <row r="103">
          <cell r="A103">
            <v>190</v>
          </cell>
          <cell r="B103" t="e">
            <v>#N/A</v>
          </cell>
          <cell r="C103" t="str">
            <v>M</v>
          </cell>
          <cell r="D103">
            <v>2.5109500000000002</v>
          </cell>
          <cell r="E103">
            <v>1.6206</v>
          </cell>
          <cell r="F103">
            <v>0</v>
          </cell>
          <cell r="G103">
            <v>4.1315500000000007</v>
          </cell>
        </row>
        <row r="104">
          <cell r="A104">
            <v>191</v>
          </cell>
          <cell r="B104" t="e">
            <v>#N/A</v>
          </cell>
          <cell r="C104" t="str">
            <v>UM</v>
          </cell>
          <cell r="D104">
            <v>17.383499999999998</v>
          </cell>
          <cell r="E104">
            <v>6.98</v>
          </cell>
          <cell r="F104">
            <v>0</v>
          </cell>
          <cell r="G104">
            <v>24.363499999999998</v>
          </cell>
        </row>
        <row r="105">
          <cell r="A105">
            <v>192</v>
          </cell>
          <cell r="B105" t="str">
            <v>CAIXA METÁLICA PARA MEDIDOR POLIFÁSICO</v>
          </cell>
          <cell r="C105" t="str">
            <v>UN</v>
          </cell>
          <cell r="D105">
            <v>30.544899999999998</v>
          </cell>
          <cell r="E105">
            <v>199.53900000000002</v>
          </cell>
          <cell r="F105">
            <v>0</v>
          </cell>
          <cell r="G105">
            <v>230.08390000000003</v>
          </cell>
        </row>
        <row r="106">
          <cell r="A106">
            <v>193</v>
          </cell>
          <cell r="B106" t="e">
            <v>#N/A</v>
          </cell>
          <cell r="C106" t="str">
            <v>M</v>
          </cell>
          <cell r="D106">
            <v>77.259999999999991</v>
          </cell>
          <cell r="E106">
            <v>75.23</v>
          </cell>
          <cell r="F106">
            <v>0</v>
          </cell>
          <cell r="G106">
            <v>152.49</v>
          </cell>
        </row>
        <row r="107">
          <cell r="A107">
            <v>194</v>
          </cell>
          <cell r="B107" t="e">
            <v>#N/A</v>
          </cell>
          <cell r="C107" t="str">
            <v>UM</v>
          </cell>
          <cell r="D107">
            <v>7.726</v>
          </cell>
          <cell r="E107">
            <v>3.58</v>
          </cell>
          <cell r="F107">
            <v>0</v>
          </cell>
          <cell r="G107">
            <v>11.306000000000001</v>
          </cell>
        </row>
        <row r="108">
          <cell r="A108">
            <v>195</v>
          </cell>
          <cell r="B108" t="e">
            <v>#N/A</v>
          </cell>
          <cell r="C108" t="str">
            <v>UM</v>
          </cell>
          <cell r="D108">
            <v>0.25495799999999996</v>
          </cell>
          <cell r="E108">
            <v>12.04</v>
          </cell>
          <cell r="F108">
            <v>0</v>
          </cell>
          <cell r="G108">
            <v>12.294957999999999</v>
          </cell>
        </row>
        <row r="109">
          <cell r="A109">
            <v>196</v>
          </cell>
          <cell r="B109" t="e">
            <v>#N/A</v>
          </cell>
          <cell r="C109" t="str">
            <v>UM</v>
          </cell>
          <cell r="D109">
            <v>19.314999999999998</v>
          </cell>
          <cell r="E109">
            <v>8.7799999999999994</v>
          </cell>
          <cell r="F109">
            <v>0</v>
          </cell>
          <cell r="G109">
            <v>28.094999999999999</v>
          </cell>
        </row>
        <row r="110">
          <cell r="A110">
            <v>197</v>
          </cell>
          <cell r="B110" t="e">
            <v>#N/A</v>
          </cell>
          <cell r="C110" t="str">
            <v>UM</v>
          </cell>
          <cell r="D110">
            <v>20.217600000000004</v>
          </cell>
          <cell r="E110">
            <v>119.65</v>
          </cell>
          <cell r="F110">
            <v>0</v>
          </cell>
          <cell r="G110">
            <v>139.86760000000001</v>
          </cell>
        </row>
        <row r="111">
          <cell r="A111">
            <v>198</v>
          </cell>
          <cell r="B111" t="e">
            <v>#N/A</v>
          </cell>
          <cell r="C111" t="str">
            <v>UM</v>
          </cell>
          <cell r="D111">
            <v>115.88099999999999</v>
          </cell>
          <cell r="E111">
            <v>340.99590000000001</v>
          </cell>
          <cell r="F111">
            <v>0</v>
          </cell>
          <cell r="G111">
            <v>456.87689999999998</v>
          </cell>
        </row>
        <row r="112">
          <cell r="A112">
            <v>199</v>
          </cell>
          <cell r="B112" t="e">
            <v>#N/A</v>
          </cell>
          <cell r="C112" t="str">
            <v>UM</v>
          </cell>
          <cell r="D112">
            <v>5.6159999999999997</v>
          </cell>
          <cell r="E112">
            <v>76.75</v>
          </cell>
          <cell r="F112">
            <v>0</v>
          </cell>
          <cell r="G112">
            <v>82.366</v>
          </cell>
        </row>
        <row r="113">
          <cell r="A113">
            <v>200</v>
          </cell>
          <cell r="B113" t="e">
            <v>#N/A</v>
          </cell>
          <cell r="C113" t="str">
            <v>UM</v>
          </cell>
          <cell r="D113">
            <v>24.335999999999999</v>
          </cell>
          <cell r="E113">
            <v>197.84</v>
          </cell>
          <cell r="F113">
            <v>0</v>
          </cell>
          <cell r="G113">
            <v>222.17599999999999</v>
          </cell>
        </row>
        <row r="114">
          <cell r="A114">
            <v>201</v>
          </cell>
          <cell r="B114" t="e">
            <v>#N/A</v>
          </cell>
          <cell r="C114" t="str">
            <v>UM</v>
          </cell>
          <cell r="D114">
            <v>24.335999999999999</v>
          </cell>
          <cell r="E114">
            <v>56.93</v>
          </cell>
          <cell r="F114">
            <v>0</v>
          </cell>
          <cell r="G114">
            <v>81.265999999999991</v>
          </cell>
        </row>
        <row r="115">
          <cell r="A115">
            <v>202</v>
          </cell>
          <cell r="B115" t="e">
            <v>#N/A</v>
          </cell>
          <cell r="C115" t="str">
            <v>UM</v>
          </cell>
          <cell r="D115">
            <v>8.6112000000000002</v>
          </cell>
          <cell r="E115">
            <v>66.833535999999995</v>
          </cell>
          <cell r="F115">
            <v>0</v>
          </cell>
          <cell r="G115">
            <v>75.444735999999992</v>
          </cell>
        </row>
        <row r="116">
          <cell r="A116">
            <v>203</v>
          </cell>
          <cell r="B116" t="e">
            <v>#N/A</v>
          </cell>
          <cell r="C116" t="str">
            <v>UM</v>
          </cell>
          <cell r="D116">
            <v>7.4880000000000004</v>
          </cell>
          <cell r="E116">
            <v>20.173536000000002</v>
          </cell>
          <cell r="F116">
            <v>0</v>
          </cell>
          <cell r="G116">
            <v>27.661536000000002</v>
          </cell>
        </row>
        <row r="117">
          <cell r="A117">
            <v>204</v>
          </cell>
          <cell r="B117" t="e">
            <v>#N/A</v>
          </cell>
          <cell r="C117" t="str">
            <v>UM</v>
          </cell>
          <cell r="D117">
            <v>6.3648000000000007</v>
          </cell>
          <cell r="E117">
            <v>6.7535360000000004</v>
          </cell>
          <cell r="F117">
            <v>0</v>
          </cell>
          <cell r="G117">
            <v>13.118336000000001</v>
          </cell>
        </row>
        <row r="118">
          <cell r="A118">
            <v>205</v>
          </cell>
          <cell r="B118" t="e">
            <v>#N/A</v>
          </cell>
          <cell r="C118" t="str">
            <v>UM</v>
          </cell>
          <cell r="D118">
            <v>26.245439999999999</v>
          </cell>
          <cell r="E118">
            <v>443.85353600000002</v>
          </cell>
          <cell r="F118">
            <v>0</v>
          </cell>
          <cell r="G118">
            <v>470.09897599999999</v>
          </cell>
        </row>
        <row r="119">
          <cell r="A119">
            <v>206</v>
          </cell>
          <cell r="B119" t="e">
            <v>#N/A</v>
          </cell>
          <cell r="C119" t="str">
            <v>UM</v>
          </cell>
          <cell r="D119">
            <v>26.245439999999999</v>
          </cell>
          <cell r="E119">
            <v>313.09353600000003</v>
          </cell>
          <cell r="F119">
            <v>0</v>
          </cell>
          <cell r="G119">
            <v>339.338976</v>
          </cell>
        </row>
        <row r="120">
          <cell r="A120">
            <v>207</v>
          </cell>
          <cell r="B120" t="e">
            <v>#N/A</v>
          </cell>
          <cell r="C120" t="str">
            <v>UM</v>
          </cell>
          <cell r="D120">
            <v>14.976000000000001</v>
          </cell>
          <cell r="E120">
            <v>146.183536</v>
          </cell>
          <cell r="F120">
            <v>0</v>
          </cell>
          <cell r="G120">
            <v>161.159536</v>
          </cell>
        </row>
        <row r="121">
          <cell r="A121">
            <v>208</v>
          </cell>
          <cell r="B121" t="e">
            <v>#N/A</v>
          </cell>
          <cell r="C121" t="str">
            <v>UM</v>
          </cell>
          <cell r="D121">
            <v>9.36</v>
          </cell>
          <cell r="E121">
            <v>60.693536000000002</v>
          </cell>
          <cell r="F121">
            <v>0</v>
          </cell>
          <cell r="G121">
            <v>70.053536000000008</v>
          </cell>
        </row>
        <row r="122">
          <cell r="A122">
            <v>209</v>
          </cell>
          <cell r="B122" t="e">
            <v>#N/A</v>
          </cell>
          <cell r="C122" t="str">
            <v>UM</v>
          </cell>
          <cell r="D122">
            <v>43.055999999999997</v>
          </cell>
          <cell r="E122">
            <v>697.96</v>
          </cell>
          <cell r="F122">
            <v>0</v>
          </cell>
          <cell r="G122">
            <v>741.01600000000008</v>
          </cell>
        </row>
        <row r="123">
          <cell r="A123">
            <v>210</v>
          </cell>
          <cell r="B123" t="e">
            <v>#N/A</v>
          </cell>
          <cell r="C123" t="str">
            <v>UM</v>
          </cell>
          <cell r="D123">
            <v>34.968960000000003</v>
          </cell>
          <cell r="E123">
            <v>501.18944000000005</v>
          </cell>
          <cell r="F123">
            <v>0</v>
          </cell>
          <cell r="G123">
            <v>536.15840000000003</v>
          </cell>
        </row>
        <row r="124">
          <cell r="A124">
            <v>211</v>
          </cell>
          <cell r="B124" t="e">
            <v>#N/A</v>
          </cell>
          <cell r="C124" t="str">
            <v>UM</v>
          </cell>
          <cell r="D124">
            <v>20.442240000000002</v>
          </cell>
          <cell r="E124">
            <v>355.428</v>
          </cell>
          <cell r="F124">
            <v>0</v>
          </cell>
          <cell r="G124">
            <v>375.87024000000002</v>
          </cell>
        </row>
        <row r="125">
          <cell r="A125">
            <v>212</v>
          </cell>
          <cell r="B125" t="e">
            <v>#N/A</v>
          </cell>
          <cell r="C125" t="str">
            <v>UM</v>
          </cell>
          <cell r="D125">
            <v>27.930240000000001</v>
          </cell>
          <cell r="E125">
            <v>931.09799999999996</v>
          </cell>
          <cell r="F125">
            <v>0</v>
          </cell>
          <cell r="G125">
            <v>959.02823999999998</v>
          </cell>
        </row>
        <row r="126">
          <cell r="A126">
            <v>213</v>
          </cell>
          <cell r="B126" t="e">
            <v>#N/A</v>
          </cell>
          <cell r="C126" t="str">
            <v>UM</v>
          </cell>
          <cell r="D126">
            <v>27.930240000000001</v>
          </cell>
          <cell r="E126">
            <v>959.9079999999999</v>
          </cell>
          <cell r="F126">
            <v>0</v>
          </cell>
          <cell r="G126">
            <v>987.83823999999993</v>
          </cell>
        </row>
        <row r="127">
          <cell r="A127">
            <v>214</v>
          </cell>
          <cell r="B127" t="e">
            <v>#N/A</v>
          </cell>
          <cell r="C127" t="str">
            <v>UM</v>
          </cell>
          <cell r="D127">
            <v>13.44096</v>
          </cell>
          <cell r="E127">
            <v>2256.538</v>
          </cell>
          <cell r="F127">
            <v>0</v>
          </cell>
          <cell r="G127">
            <v>2269.9789599999999</v>
          </cell>
        </row>
        <row r="128">
          <cell r="A128">
            <v>215</v>
          </cell>
          <cell r="B128" t="e">
            <v>#N/A</v>
          </cell>
          <cell r="C128" t="e">
            <v>#N/A</v>
          </cell>
          <cell r="D128">
            <v>0</v>
          </cell>
          <cell r="E128">
            <v>0</v>
          </cell>
          <cell r="F128">
            <v>0</v>
          </cell>
          <cell r="G128">
            <v>0</v>
          </cell>
        </row>
        <row r="129">
          <cell r="A129">
            <v>216</v>
          </cell>
          <cell r="B129" t="e">
            <v>#N/A</v>
          </cell>
          <cell r="C129" t="str">
            <v>UM</v>
          </cell>
          <cell r="D129">
            <v>149.76</v>
          </cell>
          <cell r="E129">
            <v>9712</v>
          </cell>
          <cell r="F129">
            <v>0</v>
          </cell>
          <cell r="G129">
            <v>9861.76</v>
          </cell>
        </row>
        <row r="130">
          <cell r="A130">
            <v>217</v>
          </cell>
          <cell r="B130" t="e">
            <v>#N/A</v>
          </cell>
          <cell r="C130" t="str">
            <v>UM</v>
          </cell>
          <cell r="D130">
            <v>1.8720000000000001</v>
          </cell>
          <cell r="E130">
            <v>13.28</v>
          </cell>
          <cell r="F130">
            <v>0</v>
          </cell>
          <cell r="G130">
            <v>15.151999999999999</v>
          </cell>
        </row>
        <row r="131">
          <cell r="A131">
            <v>218</v>
          </cell>
          <cell r="B131" t="e">
            <v>#N/A</v>
          </cell>
          <cell r="C131" t="str">
            <v>UM</v>
          </cell>
          <cell r="D131">
            <v>3.7440000000000002</v>
          </cell>
          <cell r="E131">
            <v>13.28</v>
          </cell>
          <cell r="F131">
            <v>0</v>
          </cell>
          <cell r="G131">
            <v>17.024000000000001</v>
          </cell>
        </row>
        <row r="132">
          <cell r="A132">
            <v>219</v>
          </cell>
          <cell r="B132" t="e">
            <v>#N/A</v>
          </cell>
          <cell r="C132" t="str">
            <v>UM</v>
          </cell>
          <cell r="D132">
            <v>44.927999999999997</v>
          </cell>
          <cell r="E132">
            <v>35.799999999999997</v>
          </cell>
          <cell r="F132">
            <v>0</v>
          </cell>
          <cell r="G132">
            <v>80.727999999999994</v>
          </cell>
        </row>
        <row r="133">
          <cell r="A133">
            <v>220</v>
          </cell>
          <cell r="B133" t="e">
            <v>#N/A</v>
          </cell>
          <cell r="C133" t="str">
            <v>UM</v>
          </cell>
          <cell r="D133">
            <v>13.103999999999999</v>
          </cell>
          <cell r="E133">
            <v>48.66</v>
          </cell>
          <cell r="F133">
            <v>0</v>
          </cell>
          <cell r="G133">
            <v>61.763999999999996</v>
          </cell>
        </row>
        <row r="134">
          <cell r="A134">
            <v>221</v>
          </cell>
          <cell r="B134" t="e">
            <v>#N/A</v>
          </cell>
          <cell r="C134" t="str">
            <v>UM</v>
          </cell>
          <cell r="D134">
            <v>9.36</v>
          </cell>
          <cell r="E134">
            <v>41.78</v>
          </cell>
          <cell r="F134">
            <v>0</v>
          </cell>
          <cell r="G134">
            <v>51.14</v>
          </cell>
        </row>
        <row r="135">
          <cell r="A135">
            <v>222</v>
          </cell>
          <cell r="B135" t="e">
            <v>#N/A</v>
          </cell>
          <cell r="C135" t="str">
            <v>UM</v>
          </cell>
          <cell r="D135">
            <v>13.103999999999999</v>
          </cell>
          <cell r="E135">
            <v>22.96</v>
          </cell>
          <cell r="F135">
            <v>0</v>
          </cell>
          <cell r="G135">
            <v>36.064</v>
          </cell>
        </row>
        <row r="136">
          <cell r="A136">
            <v>223</v>
          </cell>
          <cell r="B136" t="e">
            <v>#N/A</v>
          </cell>
          <cell r="C136" t="str">
            <v>UM</v>
          </cell>
          <cell r="D136">
            <v>5.8780800000000006</v>
          </cell>
          <cell r="E136">
            <v>2.25</v>
          </cell>
          <cell r="F136">
            <v>0</v>
          </cell>
          <cell r="G136">
            <v>8.1280800000000006</v>
          </cell>
        </row>
        <row r="137">
          <cell r="A137">
            <v>224</v>
          </cell>
          <cell r="B137" t="e">
            <v>#N/A</v>
          </cell>
          <cell r="C137" t="str">
            <v>UM</v>
          </cell>
          <cell r="D137">
            <v>7.4131200000000002</v>
          </cell>
          <cell r="E137">
            <v>4.55</v>
          </cell>
          <cell r="F137">
            <v>0</v>
          </cell>
          <cell r="G137">
            <v>11.96312</v>
          </cell>
        </row>
        <row r="138">
          <cell r="A138">
            <v>225</v>
          </cell>
          <cell r="B138" t="e">
            <v>#N/A</v>
          </cell>
          <cell r="C138" t="str">
            <v>UM</v>
          </cell>
          <cell r="D138">
            <v>18.72</v>
          </cell>
          <cell r="E138">
            <v>19.05</v>
          </cell>
          <cell r="F138">
            <v>0</v>
          </cell>
          <cell r="G138">
            <v>37.769999999999996</v>
          </cell>
        </row>
        <row r="139">
          <cell r="A139">
            <v>226</v>
          </cell>
          <cell r="B139" t="e">
            <v>#N/A</v>
          </cell>
          <cell r="C139" t="str">
            <v>UM</v>
          </cell>
          <cell r="D139">
            <v>9.36</v>
          </cell>
          <cell r="E139">
            <v>44.18</v>
          </cell>
          <cell r="F139">
            <v>0</v>
          </cell>
          <cell r="G139">
            <v>53.54</v>
          </cell>
        </row>
        <row r="140">
          <cell r="A140">
            <v>227</v>
          </cell>
          <cell r="B140" t="str">
            <v>GRADE METÁLICA PARA J1/J7/J16 – 180X136 CM</v>
          </cell>
          <cell r="C140" t="str">
            <v>M2</v>
          </cell>
          <cell r="D140">
            <v>39.801400000000001</v>
          </cell>
          <cell r="E140">
            <v>135.8090602</v>
          </cell>
          <cell r="F140">
            <v>0</v>
          </cell>
          <cell r="G140">
            <v>175.61046020000001</v>
          </cell>
        </row>
        <row r="141">
          <cell r="A141">
            <v>228</v>
          </cell>
          <cell r="B141" t="e">
            <v>#N/A</v>
          </cell>
          <cell r="C141" t="str">
            <v>M2</v>
          </cell>
          <cell r="D141">
            <v>50.259299999999996</v>
          </cell>
          <cell r="E141">
            <v>326.62951200000009</v>
          </cell>
          <cell r="F141">
            <v>0</v>
          </cell>
          <cell r="G141">
            <v>376.88881200000009</v>
          </cell>
        </row>
        <row r="142">
          <cell r="A142">
            <v>229</v>
          </cell>
          <cell r="B142" t="e">
            <v>#N/A</v>
          </cell>
          <cell r="C142" t="str">
            <v>M2</v>
          </cell>
          <cell r="D142">
            <v>35.763680999999998</v>
          </cell>
          <cell r="E142">
            <v>67.614396999999997</v>
          </cell>
          <cell r="F142">
            <v>0</v>
          </cell>
          <cell r="G142">
            <v>103.37807799999999</v>
          </cell>
        </row>
        <row r="143">
          <cell r="A143">
            <v>230</v>
          </cell>
          <cell r="B143" t="str">
            <v>PINTURA ESMALTE ESQUADRIAS METÁLICAS</v>
          </cell>
          <cell r="C143" t="str">
            <v>M2</v>
          </cell>
          <cell r="D143">
            <v>15.073703000000002</v>
          </cell>
          <cell r="E143">
            <v>7.2764049999999996</v>
          </cell>
          <cell r="F143">
            <v>0</v>
          </cell>
          <cell r="G143">
            <v>22.350108000000002</v>
          </cell>
        </row>
        <row r="144">
          <cell r="A144">
            <v>231</v>
          </cell>
          <cell r="B144" t="str">
            <v>MASTROS PARA BANDEIRAS EM FERRO GALVANIZADO (ASSENTADOS/PINTADOS) - 3 UNIDADES</v>
          </cell>
          <cell r="C144" t="str">
            <v>CJ</v>
          </cell>
          <cell r="D144">
            <v>104.94967700000001</v>
          </cell>
          <cell r="E144">
            <v>922.46763899999985</v>
          </cell>
          <cell r="F144">
            <v>0</v>
          </cell>
          <cell r="G144">
            <v>1027.4173159999998</v>
          </cell>
        </row>
        <row r="145">
          <cell r="A145">
            <v>232</v>
          </cell>
          <cell r="B145" t="str">
            <v>PLACA DE INAUGURAÇÃO AÇO ESCOVADO 60 X 120 CM</v>
          </cell>
          <cell r="C145" t="str">
            <v>UN</v>
          </cell>
          <cell r="D145">
            <v>5.4249999999999998</v>
          </cell>
          <cell r="E145">
            <v>1058.8400000000001</v>
          </cell>
          <cell r="F145">
            <v>0</v>
          </cell>
          <cell r="G145">
            <v>1064.2650000000001</v>
          </cell>
        </row>
        <row r="146">
          <cell r="A146">
            <v>233</v>
          </cell>
          <cell r="B146" t="e">
            <v>#N/A</v>
          </cell>
          <cell r="C146" t="str">
            <v>UM</v>
          </cell>
          <cell r="D146">
            <v>14.794883999999998</v>
          </cell>
          <cell r="E146">
            <v>7.35</v>
          </cell>
          <cell r="F146">
            <v>0</v>
          </cell>
          <cell r="G146">
            <v>22.144883999999998</v>
          </cell>
        </row>
        <row r="147">
          <cell r="A147">
            <v>234</v>
          </cell>
          <cell r="B147" t="e">
            <v>#N/A</v>
          </cell>
          <cell r="C147" t="str">
            <v>UM</v>
          </cell>
          <cell r="D147">
            <v>14.794883999999998</v>
          </cell>
          <cell r="E147">
            <v>12.75</v>
          </cell>
          <cell r="F147">
            <v>0</v>
          </cell>
          <cell r="G147">
            <v>27.544883999999996</v>
          </cell>
        </row>
        <row r="148">
          <cell r="A148">
            <v>235</v>
          </cell>
          <cell r="B148" t="str">
            <v>PALMEIRA ARECA BAMBÚ – H 3,00 MT</v>
          </cell>
          <cell r="C148" t="str">
            <v>UN</v>
          </cell>
          <cell r="D148">
            <v>88.744889999999998</v>
          </cell>
          <cell r="E148">
            <v>102.5</v>
          </cell>
          <cell r="F148">
            <v>0</v>
          </cell>
          <cell r="G148">
            <v>191.24489</v>
          </cell>
        </row>
        <row r="149">
          <cell r="A149">
            <v>236</v>
          </cell>
          <cell r="B149" t="e">
            <v>#N/A</v>
          </cell>
          <cell r="C149" t="str">
            <v>UM</v>
          </cell>
          <cell r="D149">
            <v>154.782465</v>
          </cell>
          <cell r="E149">
            <v>193.75</v>
          </cell>
          <cell r="F149">
            <v>0</v>
          </cell>
          <cell r="G149">
            <v>348.532465</v>
          </cell>
        </row>
        <row r="150">
          <cell r="A150">
            <v>237</v>
          </cell>
          <cell r="B150" t="e">
            <v>#N/A</v>
          </cell>
          <cell r="C150" t="str">
            <v>UM</v>
          </cell>
          <cell r="D150">
            <v>80.498739999999998</v>
          </cell>
          <cell r="E150">
            <v>140</v>
          </cell>
          <cell r="F150">
            <v>0</v>
          </cell>
          <cell r="G150">
            <v>220.49874</v>
          </cell>
        </row>
        <row r="151">
          <cell r="A151">
            <v>238</v>
          </cell>
          <cell r="B151" t="e">
            <v>#N/A</v>
          </cell>
          <cell r="C151" t="str">
            <v>UM</v>
          </cell>
          <cell r="D151">
            <v>80.498739999999998</v>
          </cell>
          <cell r="E151">
            <v>56.33</v>
          </cell>
          <cell r="F151">
            <v>0</v>
          </cell>
          <cell r="G151">
            <v>136.82873999999998</v>
          </cell>
        </row>
        <row r="152">
          <cell r="A152">
            <v>239</v>
          </cell>
          <cell r="B152" t="str">
            <v>ANDAIME FACHADEIRO</v>
          </cell>
          <cell r="C152" t="str">
            <v>M2</v>
          </cell>
          <cell r="D152">
            <v>4.5304000000000002</v>
          </cell>
          <cell r="E152">
            <v>4.1097000000000001</v>
          </cell>
          <cell r="F152">
            <v>0</v>
          </cell>
          <cell r="G152">
            <v>8.6401000000000003</v>
          </cell>
        </row>
        <row r="153">
          <cell r="A153">
            <v>240</v>
          </cell>
          <cell r="B153" t="e">
            <v>#N/A</v>
          </cell>
          <cell r="C153" t="str">
            <v>UM</v>
          </cell>
          <cell r="D153">
            <v>7.4880000000000004</v>
          </cell>
          <cell r="E153">
            <v>31.04</v>
          </cell>
          <cell r="F153">
            <v>0</v>
          </cell>
          <cell r="G153">
            <v>38.527999999999999</v>
          </cell>
        </row>
        <row r="154">
          <cell r="A154">
            <v>241</v>
          </cell>
          <cell r="B154" t="e">
            <v>#N/A</v>
          </cell>
          <cell r="C154" t="str">
            <v>UM</v>
          </cell>
          <cell r="D154">
            <v>7.726</v>
          </cell>
          <cell r="E154">
            <v>100.89</v>
          </cell>
          <cell r="F154">
            <v>0</v>
          </cell>
          <cell r="G154">
            <v>108.616</v>
          </cell>
        </row>
        <row r="155">
          <cell r="A155">
            <v>242</v>
          </cell>
          <cell r="B155" t="e">
            <v>#N/A</v>
          </cell>
          <cell r="C155" t="str">
            <v>UM</v>
          </cell>
          <cell r="D155">
            <v>33.696000000000005</v>
          </cell>
          <cell r="E155">
            <v>1696.65</v>
          </cell>
          <cell r="F155">
            <v>0</v>
          </cell>
          <cell r="G155">
            <v>1730.346</v>
          </cell>
        </row>
        <row r="156">
          <cell r="A156">
            <v>243</v>
          </cell>
          <cell r="B156" t="e">
            <v>#N/A</v>
          </cell>
          <cell r="C156" t="str">
            <v>UM</v>
          </cell>
          <cell r="D156">
            <v>38.629999999999995</v>
          </cell>
          <cell r="E156">
            <v>168.34</v>
          </cell>
          <cell r="F156">
            <v>0</v>
          </cell>
          <cell r="G156">
            <v>206.97</v>
          </cell>
        </row>
        <row r="157">
          <cell r="A157">
            <v>244</v>
          </cell>
          <cell r="B157" t="str">
            <v>ARAME GALVANIZADO 12 BWG, D = 2,76 MM (0,048 KG/M) OU 14 BWG, D = 2,11 MM (0,026KG/M)</v>
          </cell>
          <cell r="C157" t="str">
            <v>KG</v>
          </cell>
          <cell r="D157">
            <v>35.025821000000001</v>
          </cell>
          <cell r="E157">
            <v>15</v>
          </cell>
          <cell r="F157">
            <v>0</v>
          </cell>
          <cell r="G157">
            <v>50.025821000000001</v>
          </cell>
        </row>
        <row r="158">
          <cell r="A158">
            <v>245</v>
          </cell>
          <cell r="B158" t="e">
            <v>#N/A</v>
          </cell>
          <cell r="C158" t="str">
            <v>UM</v>
          </cell>
          <cell r="D158">
            <v>3.8630000000000001E-3</v>
          </cell>
          <cell r="E158">
            <v>0.6</v>
          </cell>
          <cell r="F158">
            <v>0</v>
          </cell>
          <cell r="G158">
            <v>0.60386299999999993</v>
          </cell>
        </row>
        <row r="159">
          <cell r="A159">
            <v>246</v>
          </cell>
          <cell r="B159" t="str">
            <v>BUCHA E ARRUELA METALICA DIAM. 4"</v>
          </cell>
          <cell r="C159" t="str">
            <v>UN</v>
          </cell>
          <cell r="D159">
            <v>9.6574999999999989</v>
          </cell>
          <cell r="E159">
            <v>5.79</v>
          </cell>
          <cell r="F159">
            <v>0</v>
          </cell>
          <cell r="G159">
            <v>15.447499999999998</v>
          </cell>
        </row>
        <row r="160">
          <cell r="A160">
            <v>247</v>
          </cell>
          <cell r="B160" t="e">
            <v>#N/A</v>
          </cell>
          <cell r="C160" t="str">
            <v>UM</v>
          </cell>
          <cell r="D160">
            <v>19.314999999999998</v>
          </cell>
          <cell r="E160">
            <v>18.29</v>
          </cell>
          <cell r="F160">
            <v>0</v>
          </cell>
          <cell r="G160">
            <v>37.604999999999997</v>
          </cell>
        </row>
        <row r="161">
          <cell r="A161">
            <v>248</v>
          </cell>
          <cell r="B161" t="e">
            <v>#N/A</v>
          </cell>
          <cell r="C161" t="str">
            <v>UM</v>
          </cell>
          <cell r="D161">
            <v>23.177999999999997</v>
          </cell>
          <cell r="E161">
            <v>24.36</v>
          </cell>
          <cell r="F161">
            <v>0</v>
          </cell>
          <cell r="G161">
            <v>47.537999999999997</v>
          </cell>
        </row>
        <row r="162">
          <cell r="A162">
            <v>249</v>
          </cell>
          <cell r="B162" t="e">
            <v>#N/A</v>
          </cell>
          <cell r="C162" t="str">
            <v>UM</v>
          </cell>
          <cell r="D162">
            <v>17.7698</v>
          </cell>
          <cell r="E162">
            <v>97.05</v>
          </cell>
          <cell r="F162">
            <v>0</v>
          </cell>
          <cell r="G162">
            <v>114.8198</v>
          </cell>
        </row>
        <row r="163">
          <cell r="A163">
            <v>250</v>
          </cell>
          <cell r="B163" t="str">
            <v>CURVA 90 GRAUS DE FERRO GALVANIZADO, COM ROSCA BSP FEMEA, DE 4"</v>
          </cell>
          <cell r="C163" t="str">
            <v>UN</v>
          </cell>
          <cell r="D163">
            <v>69.533999999999992</v>
          </cell>
          <cell r="E163">
            <v>434.54</v>
          </cell>
          <cell r="F163">
            <v>0</v>
          </cell>
          <cell r="G163">
            <v>504.07400000000001</v>
          </cell>
        </row>
        <row r="164">
          <cell r="A164">
            <v>251</v>
          </cell>
          <cell r="B164" t="str">
            <v>PORCA OLHAL EM ACO GALVANIZADO, DIAMETRO NOMINAL DE 16 MM</v>
          </cell>
          <cell r="C164" t="str">
            <v>UN</v>
          </cell>
          <cell r="D164">
            <v>11.588999999999999</v>
          </cell>
          <cell r="E164">
            <v>7.85</v>
          </cell>
          <cell r="F164">
            <v>0</v>
          </cell>
          <cell r="G164">
            <v>19.439</v>
          </cell>
        </row>
        <row r="165">
          <cell r="A165">
            <v>252</v>
          </cell>
          <cell r="B165" t="e">
            <v>#N/A</v>
          </cell>
          <cell r="C165" t="str">
            <v>M</v>
          </cell>
          <cell r="D165">
            <v>2.7041000000000004</v>
          </cell>
          <cell r="E165">
            <v>5.37</v>
          </cell>
          <cell r="F165">
            <v>0</v>
          </cell>
          <cell r="G165">
            <v>8.0741000000000014</v>
          </cell>
        </row>
        <row r="166">
          <cell r="A166">
            <v>253</v>
          </cell>
          <cell r="B166" t="e">
            <v>#N/A</v>
          </cell>
          <cell r="C166" t="str">
            <v>UM</v>
          </cell>
          <cell r="D166">
            <v>1.1589</v>
          </cell>
          <cell r="E166">
            <v>1.87</v>
          </cell>
          <cell r="F166">
            <v>0</v>
          </cell>
          <cell r="G166">
            <v>3.0289000000000001</v>
          </cell>
        </row>
        <row r="167">
          <cell r="A167">
            <v>254</v>
          </cell>
          <cell r="B167" t="e">
            <v>#N/A</v>
          </cell>
          <cell r="C167" t="str">
            <v>KG</v>
          </cell>
          <cell r="D167">
            <v>17.383499999999998</v>
          </cell>
          <cell r="E167">
            <v>79.06</v>
          </cell>
          <cell r="F167">
            <v>0</v>
          </cell>
          <cell r="G167">
            <v>96.4435</v>
          </cell>
        </row>
        <row r="168">
          <cell r="A168">
            <v>255</v>
          </cell>
          <cell r="B168" t="str">
            <v xml:space="preserve">PARA-RAIOS DE DISTRIBUICAO, TENSAO NOMINAL 15 KV, CORRENTE NOMINAL DE DESCARGA 5 KA
</v>
          </cell>
          <cell r="C168" t="str">
            <v>UN</v>
          </cell>
          <cell r="D168">
            <v>57.945</v>
          </cell>
          <cell r="E168">
            <v>228.45</v>
          </cell>
          <cell r="F168">
            <v>0</v>
          </cell>
          <cell r="G168">
            <v>286.39499999999998</v>
          </cell>
        </row>
        <row r="169">
          <cell r="A169">
            <v>256</v>
          </cell>
          <cell r="B169" t="e">
            <v>#N/A</v>
          </cell>
          <cell r="C169" t="str">
            <v>UM</v>
          </cell>
          <cell r="D169">
            <v>0.25495799999999996</v>
          </cell>
          <cell r="E169">
            <v>4.5</v>
          </cell>
          <cell r="F169">
            <v>0</v>
          </cell>
          <cell r="G169">
            <v>4.7549580000000002</v>
          </cell>
        </row>
        <row r="170">
          <cell r="A170">
            <v>257</v>
          </cell>
          <cell r="B170" t="str">
            <v>BUCHA DE REDUCAO DE PVC, SOLDAVEL, CURTA, COM 60 X 50 MM, PARA AGUA FRIA PREDIAL</v>
          </cell>
          <cell r="C170" t="str">
            <v>UN</v>
          </cell>
          <cell r="D170">
            <v>6.7392000000000003</v>
          </cell>
          <cell r="E170">
            <v>4.4000000000000004</v>
          </cell>
          <cell r="F170">
            <v>0</v>
          </cell>
          <cell r="G170">
            <v>11.139200000000001</v>
          </cell>
        </row>
        <row r="171">
          <cell r="A171">
            <v>258</v>
          </cell>
          <cell r="B171" t="str">
            <v>BUCHA DE REDUCAO DE PVC, SOLDAVEL, CURTA, COM 75 X 60 MM, PARA AGUA FRIA UN 13,27
PREDIAL</v>
          </cell>
          <cell r="C171" t="str">
            <v>UN</v>
          </cell>
          <cell r="D171">
            <v>6.9264000000000001</v>
          </cell>
          <cell r="E171">
            <v>13.27</v>
          </cell>
          <cell r="F171">
            <v>0</v>
          </cell>
          <cell r="G171">
            <v>20.196400000000001</v>
          </cell>
        </row>
        <row r="172">
          <cell r="A172">
            <v>259</v>
          </cell>
          <cell r="B172" t="e">
            <v>#N/A</v>
          </cell>
          <cell r="C172" t="str">
            <v>UM</v>
          </cell>
          <cell r="D172">
            <v>14.976000000000001</v>
          </cell>
          <cell r="E172">
            <v>16.96</v>
          </cell>
          <cell r="F172">
            <v>0</v>
          </cell>
          <cell r="G172">
            <v>31.936</v>
          </cell>
        </row>
        <row r="173">
          <cell r="A173">
            <v>260</v>
          </cell>
          <cell r="B173" t="e">
            <v>#N/A</v>
          </cell>
          <cell r="C173" t="str">
            <v>UM</v>
          </cell>
          <cell r="D173">
            <v>29.952000000000002</v>
          </cell>
          <cell r="E173">
            <v>16.96</v>
          </cell>
          <cell r="F173">
            <v>0</v>
          </cell>
          <cell r="G173">
            <v>46.912000000000006</v>
          </cell>
        </row>
        <row r="174">
          <cell r="A174">
            <v>261</v>
          </cell>
          <cell r="B174" t="e">
            <v>#N/A</v>
          </cell>
          <cell r="C174" t="str">
            <v>UM</v>
          </cell>
          <cell r="D174">
            <v>29.952000000000002</v>
          </cell>
          <cell r="E174">
            <v>88.96</v>
          </cell>
          <cell r="F174">
            <v>0</v>
          </cell>
          <cell r="G174">
            <v>118.91199999999999</v>
          </cell>
        </row>
        <row r="175">
          <cell r="A175">
            <v>262</v>
          </cell>
          <cell r="B175" t="e">
            <v>#N/A</v>
          </cell>
          <cell r="C175" t="str">
            <v>UM</v>
          </cell>
          <cell r="D175">
            <v>29.952000000000002</v>
          </cell>
          <cell r="E175">
            <v>70.06</v>
          </cell>
          <cell r="F175">
            <v>0</v>
          </cell>
          <cell r="G175">
            <v>100.012</v>
          </cell>
        </row>
        <row r="176">
          <cell r="A176">
            <v>263</v>
          </cell>
          <cell r="B176" t="e">
            <v>#N/A</v>
          </cell>
          <cell r="C176" t="str">
            <v>UM</v>
          </cell>
          <cell r="D176">
            <v>3.1187519999999997</v>
          </cell>
          <cell r="E176">
            <v>14.72</v>
          </cell>
          <cell r="F176">
            <v>0</v>
          </cell>
          <cell r="G176">
            <v>17.838751999999999</v>
          </cell>
        </row>
        <row r="177">
          <cell r="A177">
            <v>264</v>
          </cell>
          <cell r="B177" t="e">
            <v>#N/A</v>
          </cell>
          <cell r="C177" t="str">
            <v>UM</v>
          </cell>
          <cell r="D177">
            <v>3.1187519999999997</v>
          </cell>
          <cell r="E177">
            <v>9.9</v>
          </cell>
          <cell r="F177">
            <v>0</v>
          </cell>
          <cell r="G177">
            <v>13.018751999999999</v>
          </cell>
        </row>
        <row r="178">
          <cell r="A178">
            <v>265</v>
          </cell>
          <cell r="B178" t="e">
            <v>#N/A</v>
          </cell>
          <cell r="C178" t="str">
            <v>UM</v>
          </cell>
          <cell r="D178">
            <v>3.1187519999999997</v>
          </cell>
          <cell r="E178">
            <v>5.9</v>
          </cell>
          <cell r="F178">
            <v>0</v>
          </cell>
          <cell r="G178">
            <v>9.0187519999999992</v>
          </cell>
        </row>
        <row r="179">
          <cell r="A179">
            <v>266</v>
          </cell>
          <cell r="B179" t="e">
            <v>#N/A</v>
          </cell>
          <cell r="C179" t="str">
            <v>UM</v>
          </cell>
          <cell r="D179">
            <v>3.1187519999999997</v>
          </cell>
          <cell r="E179">
            <v>13.55</v>
          </cell>
          <cell r="F179">
            <v>0</v>
          </cell>
          <cell r="G179">
            <v>16.668752000000001</v>
          </cell>
        </row>
        <row r="180">
          <cell r="A180">
            <v>267</v>
          </cell>
          <cell r="B180" t="str">
            <v>REGISTRO GLOBO ANGULAR 2.1/2"</v>
          </cell>
          <cell r="C180" t="str">
            <v>UN</v>
          </cell>
          <cell r="D180">
            <v>18.72</v>
          </cell>
          <cell r="E180">
            <v>183.9</v>
          </cell>
          <cell r="F180">
            <v>0</v>
          </cell>
          <cell r="G180">
            <v>202.62</v>
          </cell>
        </row>
        <row r="181">
          <cell r="A181">
            <v>268</v>
          </cell>
          <cell r="B181" t="e">
            <v>#N/A</v>
          </cell>
          <cell r="C181" t="str">
            <v>UM</v>
          </cell>
          <cell r="D181">
            <v>14.976000000000001</v>
          </cell>
          <cell r="E181">
            <v>36.21</v>
          </cell>
          <cell r="F181">
            <v>0</v>
          </cell>
          <cell r="G181">
            <v>51.186</v>
          </cell>
        </row>
        <row r="182">
          <cell r="A182">
            <v>269</v>
          </cell>
          <cell r="B182" t="e">
            <v>#N/A</v>
          </cell>
          <cell r="C182" t="str">
            <v>M</v>
          </cell>
          <cell r="D182">
            <v>31.075199999999999</v>
          </cell>
          <cell r="E182">
            <v>65.229249999999993</v>
          </cell>
          <cell r="F182">
            <v>0</v>
          </cell>
          <cell r="G182">
            <v>96.304449999999989</v>
          </cell>
        </row>
        <row r="183">
          <cell r="A183">
            <v>270</v>
          </cell>
          <cell r="B183" t="e">
            <v>#N/A</v>
          </cell>
          <cell r="C183" t="str">
            <v>UM</v>
          </cell>
          <cell r="D183">
            <v>5.6159999999999997</v>
          </cell>
          <cell r="E183">
            <v>78.849999999999994</v>
          </cell>
          <cell r="F183">
            <v>0</v>
          </cell>
          <cell r="G183">
            <v>84.465999999999994</v>
          </cell>
        </row>
        <row r="184">
          <cell r="A184">
            <v>271</v>
          </cell>
          <cell r="B184" t="e">
            <v>#N/A</v>
          </cell>
          <cell r="C184" t="str">
            <v>UM</v>
          </cell>
          <cell r="D184">
            <v>6.2412479999999997</v>
          </cell>
          <cell r="E184">
            <v>39.950000000000003</v>
          </cell>
          <cell r="F184">
            <v>0</v>
          </cell>
          <cell r="G184">
            <v>46.191248000000002</v>
          </cell>
        </row>
        <row r="185">
          <cell r="A185">
            <v>272</v>
          </cell>
          <cell r="B185" t="str">
            <v>TÊ DE FERRO GALVANIZADO 90º X 2 1/2"</v>
          </cell>
          <cell r="C185" t="str">
            <v>UM</v>
          </cell>
          <cell r="D185">
            <v>34.819200000000002</v>
          </cell>
          <cell r="E185">
            <v>79.56</v>
          </cell>
          <cell r="F185">
            <v>0</v>
          </cell>
          <cell r="G185">
            <v>114.3792</v>
          </cell>
        </row>
        <row r="186">
          <cell r="A186">
            <v>273</v>
          </cell>
          <cell r="B186" t="str">
            <v>VÁLVULA DE RETENÇÃO VERTICAL 2.1/2"</v>
          </cell>
          <cell r="C186" t="str">
            <v>UN</v>
          </cell>
          <cell r="D186">
            <v>43.055999999999997</v>
          </cell>
          <cell r="E186">
            <v>164.27</v>
          </cell>
          <cell r="F186">
            <v>0</v>
          </cell>
          <cell r="G186">
            <v>207.32600000000002</v>
          </cell>
        </row>
        <row r="187">
          <cell r="A187">
            <v>274</v>
          </cell>
          <cell r="B187" t="e">
            <v>#N/A</v>
          </cell>
          <cell r="C187" t="str">
            <v>UM</v>
          </cell>
          <cell r="D187">
            <v>19.314999999999998</v>
          </cell>
          <cell r="E187">
            <v>26.1</v>
          </cell>
          <cell r="F187">
            <v>0</v>
          </cell>
          <cell r="G187">
            <v>45.414999999999999</v>
          </cell>
        </row>
        <row r="188">
          <cell r="A188">
            <v>275</v>
          </cell>
          <cell r="B188" t="str">
            <v>ACIONADOR MANUAL DE DETECÇÃO E ALARME</v>
          </cell>
          <cell r="C188" t="str">
            <v>UM</v>
          </cell>
          <cell r="D188">
            <v>19.314999999999998</v>
          </cell>
          <cell r="E188">
            <v>63.963333333333331</v>
          </cell>
          <cell r="F188">
            <v>0</v>
          </cell>
          <cell r="G188">
            <v>83.278333333333336</v>
          </cell>
        </row>
        <row r="189">
          <cell r="A189">
            <v>276</v>
          </cell>
          <cell r="B189" t="e">
            <v>#N/A</v>
          </cell>
          <cell r="C189" t="str">
            <v>UN</v>
          </cell>
          <cell r="D189">
            <v>7.726</v>
          </cell>
          <cell r="E189">
            <v>81.93</v>
          </cell>
          <cell r="F189">
            <v>0</v>
          </cell>
          <cell r="G189">
            <v>89.656000000000006</v>
          </cell>
        </row>
        <row r="190">
          <cell r="A190">
            <v>277</v>
          </cell>
          <cell r="B190" t="e">
            <v>#N/A</v>
          </cell>
          <cell r="C190" t="str">
            <v>UM</v>
          </cell>
          <cell r="D190">
            <v>38.629999999999995</v>
          </cell>
          <cell r="E190">
            <v>1422.9</v>
          </cell>
          <cell r="F190">
            <v>0</v>
          </cell>
          <cell r="G190">
            <v>1461.5300000000002</v>
          </cell>
        </row>
        <row r="191">
          <cell r="A191">
            <v>278</v>
          </cell>
          <cell r="B191" t="e">
            <v>#N/A</v>
          </cell>
          <cell r="C191" t="str">
            <v>UM</v>
          </cell>
          <cell r="D191">
            <v>0</v>
          </cell>
          <cell r="E191">
            <v>5500</v>
          </cell>
          <cell r="F191">
            <v>0</v>
          </cell>
          <cell r="G191">
            <v>5500</v>
          </cell>
        </row>
        <row r="192">
          <cell r="A192">
            <v>279</v>
          </cell>
          <cell r="B192" t="e">
            <v>#N/A</v>
          </cell>
          <cell r="C192" t="str">
            <v>UM</v>
          </cell>
          <cell r="D192">
            <v>43.055999999999997</v>
          </cell>
          <cell r="E192">
            <v>516.09</v>
          </cell>
          <cell r="F192">
            <v>0</v>
          </cell>
          <cell r="G192">
            <v>559.14600000000007</v>
          </cell>
        </row>
        <row r="193">
          <cell r="A193">
            <v>280</v>
          </cell>
          <cell r="B193" t="e">
            <v>#N/A</v>
          </cell>
          <cell r="C193" t="str">
            <v>UM</v>
          </cell>
          <cell r="D193">
            <v>8.6112000000000002</v>
          </cell>
          <cell r="E193">
            <v>106.91684000000001</v>
          </cell>
          <cell r="F193">
            <v>0</v>
          </cell>
          <cell r="G193">
            <v>115.52804</v>
          </cell>
        </row>
        <row r="194">
          <cell r="A194">
            <v>281</v>
          </cell>
          <cell r="B194" t="e">
            <v>#N/A</v>
          </cell>
          <cell r="C194" t="str">
            <v>UM</v>
          </cell>
          <cell r="D194">
            <v>336.96000000000004</v>
          </cell>
          <cell r="E194">
            <v>9712</v>
          </cell>
          <cell r="F194">
            <v>0</v>
          </cell>
          <cell r="G194">
            <v>10048.959999999999</v>
          </cell>
        </row>
        <row r="195">
          <cell r="A195">
            <v>282</v>
          </cell>
          <cell r="B195" t="e">
            <v>#N/A</v>
          </cell>
          <cell r="C195" t="str">
            <v>UM</v>
          </cell>
          <cell r="D195">
            <v>13.103999999999999</v>
          </cell>
          <cell r="E195">
            <v>80.236840000000001</v>
          </cell>
          <cell r="F195">
            <v>0</v>
          </cell>
          <cell r="G195">
            <v>93.34084</v>
          </cell>
        </row>
        <row r="196">
          <cell r="A196">
            <v>283</v>
          </cell>
          <cell r="B196" t="e">
            <v>#N/A</v>
          </cell>
          <cell r="C196" t="str">
            <v>UM</v>
          </cell>
          <cell r="D196">
            <v>7.4880000000000004</v>
          </cell>
          <cell r="E196">
            <v>15.76684</v>
          </cell>
          <cell r="F196">
            <v>0</v>
          </cell>
          <cell r="G196">
            <v>23.254840000000002</v>
          </cell>
        </row>
        <row r="197">
          <cell r="A197">
            <v>284</v>
          </cell>
          <cell r="B197" t="e">
            <v>#N/A</v>
          </cell>
          <cell r="C197" t="str">
            <v>UM</v>
          </cell>
          <cell r="D197">
            <v>7.4880000000000004</v>
          </cell>
          <cell r="E197">
            <v>5.3668399999999998</v>
          </cell>
          <cell r="F197">
            <v>0</v>
          </cell>
          <cell r="G197">
            <v>12.854839999999999</v>
          </cell>
        </row>
        <row r="198">
          <cell r="A198">
            <v>285</v>
          </cell>
          <cell r="B198" t="e">
            <v>#N/A</v>
          </cell>
          <cell r="C198" t="str">
            <v>UM</v>
          </cell>
          <cell r="D198">
            <v>14.976000000000001</v>
          </cell>
          <cell r="E198">
            <v>21.246839999999999</v>
          </cell>
          <cell r="F198">
            <v>0</v>
          </cell>
          <cell r="G198">
            <v>36.222839999999998</v>
          </cell>
        </row>
        <row r="199">
          <cell r="A199">
            <v>286</v>
          </cell>
          <cell r="B199" t="e">
            <v>#N/A</v>
          </cell>
          <cell r="C199" t="str">
            <v>UM</v>
          </cell>
          <cell r="D199">
            <v>14.976000000000001</v>
          </cell>
          <cell r="E199">
            <v>90.196840000000009</v>
          </cell>
          <cell r="F199">
            <v>0</v>
          </cell>
          <cell r="G199">
            <v>105.17284000000001</v>
          </cell>
        </row>
        <row r="200">
          <cell r="A200">
            <v>287</v>
          </cell>
          <cell r="B200" t="e">
            <v>#N/A</v>
          </cell>
          <cell r="C200" t="str">
            <v>UM</v>
          </cell>
          <cell r="D200">
            <v>14.976000000000001</v>
          </cell>
          <cell r="E200">
            <v>116.58684000000001</v>
          </cell>
          <cell r="F200">
            <v>0</v>
          </cell>
          <cell r="G200">
            <v>131.56284000000002</v>
          </cell>
        </row>
        <row r="201">
          <cell r="A201">
            <v>288</v>
          </cell>
          <cell r="B201" t="e">
            <v>#N/A</v>
          </cell>
          <cell r="C201" t="str">
            <v>UM</v>
          </cell>
          <cell r="D201">
            <v>695.33999999999992</v>
          </cell>
          <cell r="E201">
            <v>2500</v>
          </cell>
          <cell r="F201">
            <v>0</v>
          </cell>
          <cell r="G201">
            <v>3195.34</v>
          </cell>
        </row>
        <row r="202">
          <cell r="A202">
            <v>289</v>
          </cell>
          <cell r="B202" t="e">
            <v>#N/A</v>
          </cell>
          <cell r="C202" t="e">
            <v>#N/A</v>
          </cell>
          <cell r="D202">
            <v>0</v>
          </cell>
          <cell r="E202">
            <v>0</v>
          </cell>
          <cell r="F202">
            <v>0</v>
          </cell>
          <cell r="G202">
            <v>0</v>
          </cell>
        </row>
        <row r="203">
          <cell r="A203">
            <v>290</v>
          </cell>
          <cell r="B203" t="e">
            <v>#N/A</v>
          </cell>
          <cell r="C203" t="str">
            <v>M3</v>
          </cell>
          <cell r="D203">
            <v>0</v>
          </cell>
          <cell r="E203">
            <v>9.48</v>
          </cell>
          <cell r="F203">
            <v>0</v>
          </cell>
          <cell r="G203">
            <v>9.48</v>
          </cell>
        </row>
        <row r="204">
          <cell r="A204">
            <v>291</v>
          </cell>
          <cell r="B204" t="str">
            <v>CONSUMO DE ENERGIA ELÉTRICA</v>
          </cell>
          <cell r="C204" t="str">
            <v>KWH</v>
          </cell>
          <cell r="D204">
            <v>0</v>
          </cell>
          <cell r="E204">
            <v>0.86</v>
          </cell>
          <cell r="F204">
            <v>0</v>
          </cell>
          <cell r="G204">
            <v>0.86</v>
          </cell>
        </row>
        <row r="205">
          <cell r="A205">
            <v>300</v>
          </cell>
          <cell r="B205" t="str">
            <v>LOCAÇÃO DE PRAÇA, QUADRA, IMPLANTAÇÃO UTILIZANDO CAVALETE, INCLUSO PIQUETE COM TESTEMUNHA</v>
          </cell>
          <cell r="C205" t="str">
            <v>M2</v>
          </cell>
          <cell r="D205">
            <v>0.118199</v>
          </cell>
          <cell r="E205">
            <v>0.20551599999999998</v>
          </cell>
          <cell r="F205">
            <v>0</v>
          </cell>
          <cell r="G205">
            <v>0.32371499999999997</v>
          </cell>
        </row>
        <row r="206">
          <cell r="A206">
            <v>301</v>
          </cell>
          <cell r="B206" t="str">
            <v>TRANSPORTE DE ENTULHO EM CAÇAMBA ESTACIONÁRIA INCLUSO A CARGA MANUAL</v>
          </cell>
          <cell r="C206" t="str">
            <v>M3</v>
          </cell>
          <cell r="D206">
            <v>9.8215000000000003</v>
          </cell>
          <cell r="E206">
            <v>50.39</v>
          </cell>
          <cell r="F206">
            <v>0</v>
          </cell>
          <cell r="G206">
            <v>60.211500000000001</v>
          </cell>
        </row>
        <row r="207">
          <cell r="A207">
            <v>302</v>
          </cell>
          <cell r="B207" t="str">
            <v>APILOAMENTO</v>
          </cell>
          <cell r="C207" t="str">
            <v>M2</v>
          </cell>
          <cell r="D207">
            <v>6.0440000000000005</v>
          </cell>
          <cell r="E207">
            <v>0</v>
          </cell>
          <cell r="F207">
            <v>0</v>
          </cell>
          <cell r="G207">
            <v>6.0440000000000005</v>
          </cell>
        </row>
        <row r="208">
          <cell r="A208">
            <v>303</v>
          </cell>
          <cell r="B208" t="str">
            <v>ATERRO INTERNO SEM APILOAMENTO</v>
          </cell>
          <cell r="C208" t="str">
            <v>M3</v>
          </cell>
          <cell r="D208">
            <v>30.22</v>
          </cell>
          <cell r="E208">
            <v>0</v>
          </cell>
          <cell r="F208">
            <v>0</v>
          </cell>
          <cell r="G208">
            <v>30.22</v>
          </cell>
        </row>
        <row r="209">
          <cell r="A209">
            <v>304</v>
          </cell>
          <cell r="B209" t="str">
            <v>TRANSPORTE DE MATERIAL ESCAVADO</v>
          </cell>
          <cell r="C209" t="str">
            <v>M3XKM</v>
          </cell>
          <cell r="D209">
            <v>0</v>
          </cell>
          <cell r="E209">
            <v>1.56</v>
          </cell>
          <cell r="F209">
            <v>0</v>
          </cell>
          <cell r="G209">
            <v>1.56</v>
          </cell>
        </row>
        <row r="210">
          <cell r="A210">
            <v>305</v>
          </cell>
          <cell r="B210" t="str">
            <v>REGULARIZAÇÃO DO TERRENO SEM APILOAMENTO COM TRANSPORTE MANUAL DE TERRA ESCAVADA</v>
          </cell>
          <cell r="C210" t="str">
            <v>M2</v>
          </cell>
          <cell r="D210">
            <v>2.842123</v>
          </cell>
          <cell r="E210">
            <v>0</v>
          </cell>
          <cell r="F210">
            <v>0</v>
          </cell>
          <cell r="G210">
            <v>2.842123</v>
          </cell>
        </row>
        <row r="211">
          <cell r="A211">
            <v>306</v>
          </cell>
          <cell r="B211" t="str">
            <v>ESTACA A TRADO DIAM. 25CM S/ FERRO</v>
          </cell>
          <cell r="C211" t="str">
            <v>M</v>
          </cell>
          <cell r="D211">
            <v>29.328218999999997</v>
          </cell>
          <cell r="E211">
            <v>15.375798</v>
          </cell>
          <cell r="F211">
            <v>0</v>
          </cell>
          <cell r="G211">
            <v>44.704016999999993</v>
          </cell>
        </row>
        <row r="212">
          <cell r="A212">
            <v>307</v>
          </cell>
          <cell r="B212" t="str">
            <v>FORMA CHAPA COMPENSADA 12MM – VIGA/PILAR U=3X (OBRAS CIVIS)</v>
          </cell>
          <cell r="C212" t="str">
            <v>M2</v>
          </cell>
          <cell r="D212">
            <v>49.396500000000003</v>
          </cell>
          <cell r="E212">
            <v>30.385095041322312</v>
          </cell>
          <cell r="F212">
            <v>0</v>
          </cell>
          <cell r="G212">
            <v>79.781595041322319</v>
          </cell>
        </row>
        <row r="213">
          <cell r="A213">
            <v>308</v>
          </cell>
          <cell r="B213" t="str">
            <v>LAJE TRELIÇADA COM ENCHIMENTO EM EPS E CAP ESP. 4CM</v>
          </cell>
          <cell r="C213" t="str">
            <v>M2</v>
          </cell>
          <cell r="D213">
            <v>12.489490000000002</v>
          </cell>
          <cell r="E213">
            <v>114.6722</v>
          </cell>
          <cell r="F213">
            <v>0</v>
          </cell>
          <cell r="G213">
            <v>127.16169000000001</v>
          </cell>
        </row>
        <row r="214">
          <cell r="A214">
            <v>309</v>
          </cell>
          <cell r="B214" t="str">
            <v>VERGA/CONTRAVERGA EM CONCRETO ARMADO CK=20MPA</v>
          </cell>
          <cell r="C214" t="str">
            <v>M3</v>
          </cell>
          <cell r="D214">
            <v>773.423723</v>
          </cell>
          <cell r="E214">
            <v>1566.03586</v>
          </cell>
          <cell r="F214">
            <v>0</v>
          </cell>
          <cell r="G214">
            <v>2339.4595829999998</v>
          </cell>
        </row>
        <row r="215">
          <cell r="A215">
            <v>310</v>
          </cell>
          <cell r="B215" t="e">
            <v>#N/A</v>
          </cell>
          <cell r="C215" t="str">
            <v>M2</v>
          </cell>
          <cell r="D215">
            <v>1.5110000000000001</v>
          </cell>
          <cell r="E215">
            <v>5.49</v>
          </cell>
          <cell r="F215">
            <v>0</v>
          </cell>
          <cell r="G215">
            <v>7.0010000000000003</v>
          </cell>
        </row>
        <row r="216">
          <cell r="A216">
            <v>311</v>
          </cell>
          <cell r="B216" t="str">
            <v>LASTRO DE BRITA</v>
          </cell>
          <cell r="C216" t="str">
            <v>M3</v>
          </cell>
          <cell r="D216">
            <v>30.22</v>
          </cell>
          <cell r="E216">
            <v>110.328</v>
          </cell>
          <cell r="F216">
            <v>0</v>
          </cell>
          <cell r="G216">
            <v>140.548</v>
          </cell>
        </row>
        <row r="217">
          <cell r="A217">
            <v>312</v>
          </cell>
          <cell r="B217" t="str">
            <v>BUCHA E ARRUELA METÁLICA ¾''</v>
          </cell>
          <cell r="C217" t="str">
            <v>PR</v>
          </cell>
          <cell r="D217">
            <v>0.38629999999999998</v>
          </cell>
          <cell r="E217">
            <v>1.1299999999999999</v>
          </cell>
          <cell r="F217">
            <v>0</v>
          </cell>
          <cell r="G217">
            <v>1.5162999999999998</v>
          </cell>
        </row>
        <row r="218">
          <cell r="A218">
            <v>313</v>
          </cell>
          <cell r="B218" t="str">
            <v>BUCHA E ARRUELA METÁLICA 1.1/2''</v>
          </cell>
          <cell r="C218" t="str">
            <v>PR</v>
          </cell>
          <cell r="D218">
            <v>1.5451999999999999</v>
          </cell>
          <cell r="E218">
            <v>2.54</v>
          </cell>
          <cell r="F218">
            <v>0</v>
          </cell>
          <cell r="G218">
            <v>4.0852000000000004</v>
          </cell>
        </row>
        <row r="219">
          <cell r="A219">
            <v>314</v>
          </cell>
          <cell r="B219" t="e">
            <v>#N/A</v>
          </cell>
          <cell r="C219" t="str">
            <v>UN</v>
          </cell>
          <cell r="D219">
            <v>23.177999999999997</v>
          </cell>
          <cell r="E219">
            <v>131.88999999999999</v>
          </cell>
          <cell r="F219">
            <v>0</v>
          </cell>
          <cell r="G219">
            <v>155.06799999999998</v>
          </cell>
        </row>
        <row r="220">
          <cell r="A220">
            <v>315</v>
          </cell>
          <cell r="B220" t="str">
            <v>LUMINÁRIA HERMÉTICA IP-65, PARA 02 LÂMPADAS</v>
          </cell>
          <cell r="C220" t="str">
            <v>UN</v>
          </cell>
          <cell r="D220">
            <v>25.132678000000002</v>
          </cell>
          <cell r="E220">
            <v>107.03</v>
          </cell>
          <cell r="F220">
            <v>0</v>
          </cell>
          <cell r="G220">
            <v>132.162678</v>
          </cell>
        </row>
        <row r="221">
          <cell r="A221">
            <v>316</v>
          </cell>
          <cell r="B221" t="e">
            <v>#N/A</v>
          </cell>
          <cell r="C221" t="str">
            <v>UN</v>
          </cell>
          <cell r="D221">
            <v>12.462038</v>
          </cell>
          <cell r="E221">
            <v>46.66</v>
          </cell>
          <cell r="F221">
            <v>0</v>
          </cell>
          <cell r="G221">
            <v>59.122037999999996</v>
          </cell>
        </row>
        <row r="222">
          <cell r="A222">
            <v>317</v>
          </cell>
          <cell r="B222" t="e">
            <v>#N/A</v>
          </cell>
          <cell r="C222" t="str">
            <v>UN</v>
          </cell>
          <cell r="D222">
            <v>6.4396209999999989</v>
          </cell>
          <cell r="E222">
            <v>112.26</v>
          </cell>
          <cell r="F222">
            <v>0</v>
          </cell>
          <cell r="G222">
            <v>118.69962100000001</v>
          </cell>
        </row>
        <row r="223">
          <cell r="A223">
            <v>318</v>
          </cell>
          <cell r="B223" t="e">
            <v>#N/A</v>
          </cell>
          <cell r="C223" t="str">
            <v>UN</v>
          </cell>
          <cell r="D223">
            <v>6.4396209999999989</v>
          </cell>
          <cell r="E223">
            <v>42.93</v>
          </cell>
          <cell r="F223">
            <v>0</v>
          </cell>
          <cell r="G223">
            <v>49.369620999999995</v>
          </cell>
        </row>
        <row r="224">
          <cell r="A224">
            <v>319</v>
          </cell>
          <cell r="B224" t="str">
            <v>BUCHA E ARRUELA METÁLICA 1''</v>
          </cell>
          <cell r="C224" t="str">
            <v>PR</v>
          </cell>
          <cell r="D224">
            <v>0.38629999999999998</v>
          </cell>
          <cell r="E224">
            <v>1.4</v>
          </cell>
          <cell r="F224">
            <v>0</v>
          </cell>
          <cell r="G224">
            <v>1.7862999999999998</v>
          </cell>
        </row>
        <row r="225">
          <cell r="A225">
            <v>320</v>
          </cell>
          <cell r="B225" t="str">
            <v>CAIXA DE PASSAGEM 35X60X50CM FUNDO DE CONCRETO PARA TAMPA R1</v>
          </cell>
          <cell r="C225" t="str">
            <v>UN</v>
          </cell>
          <cell r="D225">
            <v>154.60165099999998</v>
          </cell>
          <cell r="E225">
            <v>104.76597111570248</v>
          </cell>
          <cell r="F225">
            <v>0</v>
          </cell>
          <cell r="G225">
            <v>259.36762211570249</v>
          </cell>
        </row>
        <row r="226">
          <cell r="A226">
            <v>321</v>
          </cell>
          <cell r="B226" t="str">
            <v>CAIXA DE PASSAGEM 107x52x50CM FUNDO DE CONCRETO PARA TAMPA R3</v>
          </cell>
          <cell r="C226" t="str">
            <v>UN</v>
          </cell>
          <cell r="D226">
            <v>241.23335899999998</v>
          </cell>
          <cell r="E226">
            <v>159.78428238842974</v>
          </cell>
          <cell r="F226">
            <v>0</v>
          </cell>
          <cell r="G226">
            <v>401.01764138842975</v>
          </cell>
        </row>
        <row r="227">
          <cell r="A227">
            <v>322</v>
          </cell>
          <cell r="B227" t="str">
            <v>MEIA SABONETEIRA EM LOUÇA DE EMBUTIR</v>
          </cell>
          <cell r="C227" t="str">
            <v>UN</v>
          </cell>
          <cell r="D227">
            <v>18.365000000000002</v>
          </cell>
          <cell r="E227">
            <v>19.385999999999999</v>
          </cell>
          <cell r="F227">
            <v>0</v>
          </cell>
          <cell r="G227">
            <v>37.751000000000005</v>
          </cell>
        </row>
        <row r="228">
          <cell r="A228">
            <v>323</v>
          </cell>
          <cell r="B228" t="str">
            <v>TUBO PARA VÁLVULA DE DESCARGA CURTO 1.1/4''</v>
          </cell>
          <cell r="C228" t="str">
            <v>UN</v>
          </cell>
          <cell r="D228">
            <v>11.9808</v>
          </cell>
          <cell r="E228">
            <v>5.94</v>
          </cell>
          <cell r="F228">
            <v>0</v>
          </cell>
          <cell r="G228">
            <v>17.9208</v>
          </cell>
        </row>
        <row r="229">
          <cell r="A229">
            <v>324</v>
          </cell>
          <cell r="B229" t="str">
            <v>TUBO DE LIGAÇÃO PVC CROMADO 1.1/2'' – ESPUDE (ENTRADA)</v>
          </cell>
          <cell r="C229" t="str">
            <v>UN</v>
          </cell>
          <cell r="D229">
            <v>5.2416</v>
          </cell>
          <cell r="E229">
            <v>5.89</v>
          </cell>
          <cell r="F229">
            <v>0</v>
          </cell>
          <cell r="G229">
            <v>11.131599999999999</v>
          </cell>
        </row>
        <row r="230">
          <cell r="A230">
            <v>325</v>
          </cell>
          <cell r="B230" t="e">
            <v>#N/A</v>
          </cell>
          <cell r="C230" t="str">
            <v>UN</v>
          </cell>
          <cell r="D230">
            <v>3.3696000000000002</v>
          </cell>
          <cell r="E230">
            <v>0.35</v>
          </cell>
          <cell r="F230">
            <v>0</v>
          </cell>
          <cell r="G230">
            <v>3.7196000000000002</v>
          </cell>
        </row>
        <row r="231">
          <cell r="A231">
            <v>326</v>
          </cell>
          <cell r="B231" t="str">
            <v>BUCHA DE REDUÇÃO, SOLDÁVEL LONGA, 50MM X 25MM</v>
          </cell>
          <cell r="C231" t="str">
            <v>UN</v>
          </cell>
          <cell r="D231">
            <v>5.2416</v>
          </cell>
          <cell r="E231">
            <v>3.39</v>
          </cell>
          <cell r="F231">
            <v>0</v>
          </cell>
          <cell r="G231">
            <v>8.6316000000000006</v>
          </cell>
        </row>
        <row r="232">
          <cell r="A232">
            <v>327</v>
          </cell>
          <cell r="B232" t="e">
            <v>#N/A</v>
          </cell>
          <cell r="C232" t="str">
            <v>UN</v>
          </cell>
          <cell r="D232">
            <v>8.2368000000000006</v>
          </cell>
          <cell r="E232">
            <v>19.07</v>
          </cell>
          <cell r="F232">
            <v>0</v>
          </cell>
          <cell r="G232">
            <v>27.306800000000003</v>
          </cell>
        </row>
        <row r="233">
          <cell r="A233">
            <v>328</v>
          </cell>
          <cell r="B233" t="str">
            <v>CAIXA SIFONADA 150 X 150 X 50MM</v>
          </cell>
          <cell r="C233" t="str">
            <v>UN</v>
          </cell>
          <cell r="D233">
            <v>8.2368000000000006</v>
          </cell>
          <cell r="E233">
            <v>27.16</v>
          </cell>
          <cell r="F233">
            <v>0</v>
          </cell>
          <cell r="G233">
            <v>35.396799999999999</v>
          </cell>
        </row>
        <row r="234">
          <cell r="A234">
            <v>329</v>
          </cell>
          <cell r="B234" t="e">
            <v>#N/A</v>
          </cell>
          <cell r="C234" t="str">
            <v>UN</v>
          </cell>
          <cell r="D234">
            <v>17.2224</v>
          </cell>
          <cell r="E234">
            <v>11.03</v>
          </cell>
          <cell r="F234">
            <v>0</v>
          </cell>
          <cell r="G234">
            <v>28.252400000000002</v>
          </cell>
        </row>
        <row r="235">
          <cell r="A235">
            <v>330</v>
          </cell>
          <cell r="B235" t="e">
            <v>#N/A</v>
          </cell>
          <cell r="C235" t="str">
            <v>UN</v>
          </cell>
          <cell r="D235">
            <v>2.9952000000000001</v>
          </cell>
          <cell r="E235">
            <v>8.3000000000000007</v>
          </cell>
          <cell r="F235">
            <v>0</v>
          </cell>
          <cell r="G235">
            <v>11.295200000000001</v>
          </cell>
        </row>
        <row r="236">
          <cell r="A236">
            <v>331</v>
          </cell>
          <cell r="B236" t="e">
            <v>#N/A</v>
          </cell>
          <cell r="C236" t="str">
            <v>UN</v>
          </cell>
          <cell r="D236">
            <v>1608.5779970000001</v>
          </cell>
          <cell r="E236">
            <v>1569.3228411487605</v>
          </cell>
          <cell r="F236">
            <v>0</v>
          </cell>
          <cell r="G236">
            <v>3177.9008381487606</v>
          </cell>
        </row>
        <row r="237">
          <cell r="A237">
            <v>332</v>
          </cell>
          <cell r="B237" t="e">
            <v>#N/A</v>
          </cell>
          <cell r="C237" t="str">
            <v>UN</v>
          </cell>
          <cell r="D237">
            <v>2022.7187945000001</v>
          </cell>
          <cell r="E237">
            <v>768.9047720750001</v>
          </cell>
          <cell r="F237">
            <v>0</v>
          </cell>
          <cell r="G237">
            <v>2791.623566575</v>
          </cell>
        </row>
        <row r="238">
          <cell r="A238">
            <v>333</v>
          </cell>
          <cell r="B238" t="e">
            <v>#N/A</v>
          </cell>
          <cell r="C238" t="str">
            <v>UN</v>
          </cell>
          <cell r="D238">
            <v>18.365000000000002</v>
          </cell>
          <cell r="E238">
            <v>22.925999999999998</v>
          </cell>
          <cell r="F238">
            <v>0</v>
          </cell>
          <cell r="G238">
            <v>41.290999999999997</v>
          </cell>
        </row>
        <row r="239">
          <cell r="A239">
            <v>334</v>
          </cell>
          <cell r="B239" t="str">
            <v>VÁLVULA DE DESCARGA DUPLO ACIONAMENTO COM ACABAMENTO ANTI-VANDALISMO</v>
          </cell>
          <cell r="C239" t="str">
            <v>UN</v>
          </cell>
          <cell r="D239">
            <v>60.95232</v>
          </cell>
          <cell r="E239">
            <v>188.76320000000001</v>
          </cell>
          <cell r="F239">
            <v>0</v>
          </cell>
          <cell r="G239">
            <v>249.71552000000003</v>
          </cell>
        </row>
        <row r="240">
          <cell r="A240">
            <v>335</v>
          </cell>
          <cell r="B240" t="str">
            <v>VÁLVULA DE DESCARGA PARA PNE COM ACABAMENTO CROMADO ANTI-VANDALISMO</v>
          </cell>
          <cell r="C240" t="str">
            <v>UN</v>
          </cell>
          <cell r="D240">
            <v>60.95232</v>
          </cell>
          <cell r="E240">
            <v>382.31319999999999</v>
          </cell>
          <cell r="F240">
            <v>0</v>
          </cell>
          <cell r="G240">
            <v>443.26551999999998</v>
          </cell>
        </row>
        <row r="241">
          <cell r="A241">
            <v>336</v>
          </cell>
          <cell r="B241" t="str">
            <v>TERMINAL DE VENTILAÇÃO DIAM. 50MM</v>
          </cell>
          <cell r="C241" t="str">
            <v>UN</v>
          </cell>
          <cell r="D241">
            <v>2.6208</v>
          </cell>
          <cell r="E241">
            <v>4.6500000000000004</v>
          </cell>
          <cell r="F241">
            <v>0</v>
          </cell>
          <cell r="G241">
            <v>7.2708000000000004</v>
          </cell>
        </row>
        <row r="242">
          <cell r="A242">
            <v>337</v>
          </cell>
          <cell r="B242" t="e">
            <v>#N/A</v>
          </cell>
          <cell r="C242" t="str">
            <v>M2</v>
          </cell>
          <cell r="D242">
            <v>62.303999999999995</v>
          </cell>
          <cell r="E242">
            <v>233.35290000000001</v>
          </cell>
          <cell r="F242">
            <v>0</v>
          </cell>
          <cell r="G242">
            <v>295.65690000000001</v>
          </cell>
        </row>
        <row r="243">
          <cell r="A243">
            <v>338</v>
          </cell>
          <cell r="B243" t="str">
            <v>REGULARIZAÇÃO (1:3), ESP. 2CM</v>
          </cell>
          <cell r="C243" t="str">
            <v>M2</v>
          </cell>
          <cell r="D243">
            <v>11.511982</v>
          </cell>
          <cell r="E243">
            <v>8.7818570000000005</v>
          </cell>
          <cell r="F243">
            <v>0</v>
          </cell>
          <cell r="G243">
            <v>20.293838999999998</v>
          </cell>
        </row>
        <row r="244">
          <cell r="A244">
            <v>339</v>
          </cell>
          <cell r="B244" t="str">
            <v>MANTA AUTO-PROTEGIDA ALUMÍNIO TIPO III-B</v>
          </cell>
          <cell r="C244" t="str">
            <v>M2</v>
          </cell>
          <cell r="D244">
            <v>24.752519999999997</v>
          </cell>
          <cell r="E244">
            <v>47.200200000000002</v>
          </cell>
          <cell r="F244">
            <v>0</v>
          </cell>
          <cell r="G244">
            <v>71.952719999999999</v>
          </cell>
        </row>
        <row r="245">
          <cell r="A245">
            <v>340</v>
          </cell>
          <cell r="B245" t="str">
            <v>MASTIQUE A BASE DE POLIURETANO COM PRÉVIO PREPARO E TRATAMENTO DA SUPERFÍCIE</v>
          </cell>
          <cell r="C245" t="str">
            <v>CM3</v>
          </cell>
          <cell r="D245">
            <v>8.6940000000000003E-2</v>
          </cell>
          <cell r="E245">
            <v>8.7484000000000006E-2</v>
          </cell>
          <cell r="F245">
            <v>0</v>
          </cell>
          <cell r="G245">
            <v>0.17442400000000002</v>
          </cell>
        </row>
        <row r="246">
          <cell r="A246">
            <v>341</v>
          </cell>
          <cell r="B246" t="str">
            <v>ESTRUTURA METÁLICA SAC 300</v>
          </cell>
          <cell r="C246" t="str">
            <v>KG</v>
          </cell>
          <cell r="D246">
            <v>0</v>
          </cell>
          <cell r="E246">
            <v>14.124000000000001</v>
          </cell>
          <cell r="F246">
            <v>0</v>
          </cell>
          <cell r="G246">
            <v>14.124000000000001</v>
          </cell>
        </row>
        <row r="247">
          <cell r="A247">
            <v>342</v>
          </cell>
          <cell r="B247" t="str">
            <v>CALHA DE CHAPA GALVANIZADA Nº 26, 60CM</v>
          </cell>
          <cell r="C247" t="str">
            <v>M</v>
          </cell>
          <cell r="D247">
            <v>39.185000000000002</v>
          </cell>
          <cell r="E247">
            <v>20.28</v>
          </cell>
          <cell r="F247">
            <v>0</v>
          </cell>
          <cell r="G247">
            <v>59.465000000000003</v>
          </cell>
        </row>
        <row r="248">
          <cell r="A248">
            <v>343</v>
          </cell>
          <cell r="B248" t="str">
            <v>RUFO DE CHAPA GALVANIZADA</v>
          </cell>
          <cell r="C248" t="str">
            <v>M</v>
          </cell>
          <cell r="D248">
            <v>18.405000000000001</v>
          </cell>
          <cell r="E248">
            <v>15.034979999999999</v>
          </cell>
          <cell r="F248">
            <v>0</v>
          </cell>
          <cell r="G248">
            <v>33.439979999999998</v>
          </cell>
        </row>
        <row r="249">
          <cell r="A249">
            <v>344</v>
          </cell>
          <cell r="B249" t="str">
            <v>CUMEEIRA PARA TELHA GALVANIZADA TRAPEZOIDAL, 0,5MM</v>
          </cell>
          <cell r="C249" t="str">
            <v>M</v>
          </cell>
          <cell r="D249">
            <v>3.0528</v>
          </cell>
          <cell r="E249">
            <v>17.917200000000001</v>
          </cell>
          <cell r="F249">
            <v>0</v>
          </cell>
          <cell r="G249">
            <v>20.970000000000002</v>
          </cell>
        </row>
        <row r="250">
          <cell r="A250">
            <v>345</v>
          </cell>
          <cell r="B250" t="str">
            <v>KIT DE PORTA DE MADEIRA PARA PINTURA, SEMI-OCA (LEVE OU MÉDIA), PADRÃO MÉDIO, 110 X 210CM, ESPESSURA DE 3,5CM, ITENS INCLUSOS: DOBRADIÇAS, MONTAGEM E INSTALAÇÃO DO BATENTE, FECHADURA COM EXECUÇÃO DO FURO – FORNECIMENTO E INSTALAÇÃO</v>
          </cell>
          <cell r="C250" t="str">
            <v>UN</v>
          </cell>
          <cell r="D250">
            <v>162.94344500000003</v>
          </cell>
          <cell r="E250">
            <v>777.60460899999987</v>
          </cell>
          <cell r="F250">
            <v>0</v>
          </cell>
          <cell r="G250">
            <v>940.54805399999987</v>
          </cell>
        </row>
        <row r="251">
          <cell r="A251">
            <v>346</v>
          </cell>
          <cell r="B251" t="e">
            <v>#N/A</v>
          </cell>
          <cell r="C251" t="str">
            <v>M2</v>
          </cell>
          <cell r="D251">
            <v>146.57501699999997</v>
          </cell>
          <cell r="E251">
            <v>226.22582099999994</v>
          </cell>
          <cell r="F251">
            <v>0</v>
          </cell>
          <cell r="G251">
            <v>372.80083799999989</v>
          </cell>
        </row>
        <row r="252">
          <cell r="A252">
            <v>347</v>
          </cell>
          <cell r="B252" t="str">
            <v>MOLDURA TIPO “U” INVERTIDO EM ARGAMASSA COM 2CM DE ESPESSURA TIPO PINGADEIRA EM MURO/PLATIBANDA (A PARTE VETICAL DESCE 2,5CM)</v>
          </cell>
          <cell r="C252" t="str">
            <v>M2</v>
          </cell>
          <cell r="D252">
            <v>48.24633</v>
          </cell>
          <cell r="E252">
            <v>15.812080000000002</v>
          </cell>
          <cell r="F252">
            <v>0</v>
          </cell>
          <cell r="G252">
            <v>64.058410000000009</v>
          </cell>
        </row>
        <row r="253">
          <cell r="A253">
            <v>348</v>
          </cell>
          <cell r="B253" t="str">
            <v>PASSEIO DE PROTEÇÃO EM CONCRETO DESEMPENADO 5CM (1:2,5:3,5) (INCLUSO ESPELHO DE 30CM/ESCAVAÇÃO/REATERRO/APILOAMENTO/ATERRO INTERNO)</v>
          </cell>
          <cell r="C253" t="str">
            <v>M2</v>
          </cell>
          <cell r="D253">
            <v>43.421984000000002</v>
          </cell>
          <cell r="E253">
            <v>31.570292999999999</v>
          </cell>
          <cell r="F253">
            <v>0</v>
          </cell>
          <cell r="G253">
            <v>74.992277000000001</v>
          </cell>
        </row>
        <row r="254">
          <cell r="A254">
            <v>349</v>
          </cell>
          <cell r="B254" t="str">
            <v>PISO EM CONCRETO DESEMPENADO 5CM (1:2,5:3,5)</v>
          </cell>
          <cell r="C254" t="str">
            <v>M2</v>
          </cell>
          <cell r="D254">
            <v>14.561212999999999</v>
          </cell>
          <cell r="E254">
            <v>15.349762</v>
          </cell>
          <cell r="F254">
            <v>0</v>
          </cell>
          <cell r="G254">
            <v>29.910975000000001</v>
          </cell>
        </row>
        <row r="255">
          <cell r="A255">
            <v>350</v>
          </cell>
          <cell r="B255" t="str">
            <v>GRANITINA 8MM FUNDIDA COM CONTRAPISO, ESP. 2CM E JUNTA PLÁSTICA 27MM</v>
          </cell>
          <cell r="C255" t="str">
            <v>M2</v>
          </cell>
          <cell r="D255">
            <v>19.118230999999998</v>
          </cell>
          <cell r="E255">
            <v>97.538049999999998</v>
          </cell>
          <cell r="F255">
            <v>0</v>
          </cell>
          <cell r="G255">
            <v>116.65628099999999</v>
          </cell>
        </row>
        <row r="256">
          <cell r="A256">
            <v>351</v>
          </cell>
          <cell r="B256" t="str">
            <v>RODAPÉ FUNDIDO DE GRANITINA 7CM</v>
          </cell>
          <cell r="C256" t="str">
            <v>M</v>
          </cell>
          <cell r="D256">
            <v>0</v>
          </cell>
          <cell r="E256">
            <v>20.94</v>
          </cell>
          <cell r="F256">
            <v>0</v>
          </cell>
          <cell r="G256">
            <v>20.94</v>
          </cell>
        </row>
        <row r="257">
          <cell r="A257">
            <v>352</v>
          </cell>
          <cell r="B257" t="str">
            <v>BARRA DE APOIO EM AÇO INOX – 40CM</v>
          </cell>
          <cell r="C257" t="str">
            <v>UN</v>
          </cell>
          <cell r="D257">
            <v>13.103999999999999</v>
          </cell>
          <cell r="E257">
            <v>103.69</v>
          </cell>
          <cell r="F257">
            <v>0</v>
          </cell>
          <cell r="G257">
            <v>116.794</v>
          </cell>
        </row>
        <row r="258">
          <cell r="A258">
            <v>353</v>
          </cell>
          <cell r="B258" t="str">
            <v>BATE CARTEIRA</v>
          </cell>
          <cell r="C258" t="str">
            <v>M</v>
          </cell>
          <cell r="D258">
            <v>15.581209999999999</v>
          </cell>
          <cell r="E258">
            <v>15.275206000000001</v>
          </cell>
          <cell r="F258">
            <v>0</v>
          </cell>
          <cell r="G258">
            <v>30.856415999999999</v>
          </cell>
        </row>
        <row r="259">
          <cell r="A259">
            <v>354</v>
          </cell>
          <cell r="B259" t="str">
            <v>BATE MACA</v>
          </cell>
          <cell r="C259" t="str">
            <v>M</v>
          </cell>
          <cell r="D259">
            <v>15.581209999999999</v>
          </cell>
          <cell r="E259">
            <v>15.662903999999999</v>
          </cell>
          <cell r="F259">
            <v>0</v>
          </cell>
          <cell r="G259">
            <v>31.244113999999996</v>
          </cell>
        </row>
        <row r="260">
          <cell r="A260">
            <v>355</v>
          </cell>
          <cell r="B260" t="str">
            <v>PRATELEIRA EST. CAIBRO 4+1, TÁBUAS APARELHADAS E ENVERNIZADAS</v>
          </cell>
          <cell r="C260" t="str">
            <v>M</v>
          </cell>
          <cell r="D260">
            <v>153.93822700000001</v>
          </cell>
          <cell r="E260">
            <v>187.35803200000001</v>
          </cell>
          <cell r="F260">
            <v>0</v>
          </cell>
          <cell r="G260">
            <v>341.29625900000002</v>
          </cell>
        </row>
        <row r="261">
          <cell r="A261">
            <v>356</v>
          </cell>
          <cell r="B261" t="str">
            <v>TÁBUA APARELHADA PARA GUICHÊ</v>
          </cell>
          <cell r="C261" t="str">
            <v>M</v>
          </cell>
          <cell r="D261">
            <v>104.734392</v>
          </cell>
          <cell r="E261">
            <v>80.704067000000009</v>
          </cell>
          <cell r="F261">
            <v>0</v>
          </cell>
          <cell r="G261">
            <v>185.43845900000002</v>
          </cell>
        </row>
        <row r="262">
          <cell r="A262">
            <v>357</v>
          </cell>
          <cell r="B262" t="str">
            <v>PINTURA LATÉX ACRÍLICA, TRÊS DEMÃOS COM SELADOR</v>
          </cell>
          <cell r="C262" t="str">
            <v>M2</v>
          </cell>
          <cell r="D262">
            <v>9.3322149999999997</v>
          </cell>
          <cell r="E262">
            <v>4.28932</v>
          </cell>
          <cell r="F262">
            <v>0</v>
          </cell>
          <cell r="G262">
            <v>13.621535</v>
          </cell>
        </row>
        <row r="263">
          <cell r="A263">
            <v>358</v>
          </cell>
          <cell r="B263" t="str">
            <v>LIMPEZA DE ESTRUTURA METÁLICA SEM ANDAIME</v>
          </cell>
          <cell r="C263" t="str">
            <v>M2</v>
          </cell>
          <cell r="D263">
            <v>3.2292000000000001</v>
          </cell>
          <cell r="E263">
            <v>7.0699999999999999E-2</v>
          </cell>
          <cell r="F263">
            <v>0</v>
          </cell>
          <cell r="G263">
            <v>3.2999000000000001</v>
          </cell>
        </row>
        <row r="264">
          <cell r="A264">
            <v>359</v>
          </cell>
          <cell r="B264" t="str">
            <v>EMASSAMENTO/ÓLEO ESQUADRIAS DE MADEIRA</v>
          </cell>
          <cell r="C264" t="str">
            <v>M2</v>
          </cell>
          <cell r="D264">
            <v>12.426500000000001</v>
          </cell>
          <cell r="E264">
            <v>4.6935000000000002</v>
          </cell>
          <cell r="F264">
            <v>0</v>
          </cell>
          <cell r="G264">
            <v>17.12</v>
          </cell>
        </row>
        <row r="265">
          <cell r="A265">
            <v>360</v>
          </cell>
          <cell r="B265" t="str">
            <v>PINTURA ESMALTE/ESQUADRIA DE FERRO COM FUNDO ANTI-CORROSIVO</v>
          </cell>
          <cell r="C265" t="str">
            <v>M2</v>
          </cell>
          <cell r="D265">
            <v>15.847708000000001</v>
          </cell>
          <cell r="E265">
            <v>6.5686479999999996</v>
          </cell>
          <cell r="F265">
            <v>0</v>
          </cell>
          <cell r="G265">
            <v>22.416356</v>
          </cell>
        </row>
        <row r="266">
          <cell r="A266">
            <v>361</v>
          </cell>
          <cell r="B266" t="str">
            <v>PINTURA ALQUÍDICA BRILHANTE DUPLA FUNÇÃO, DUAS DEMÃOS, 50 MÍCRONS</v>
          </cell>
          <cell r="C266" t="str">
            <v>M2</v>
          </cell>
          <cell r="D266">
            <v>4.2055000000000007</v>
          </cell>
          <cell r="E266">
            <v>6.6579670000000011</v>
          </cell>
          <cell r="F266">
            <v>0</v>
          </cell>
          <cell r="G266">
            <v>10.863467000000002</v>
          </cell>
        </row>
        <row r="267">
          <cell r="A267">
            <v>362</v>
          </cell>
          <cell r="B267" t="str">
            <v>LIMPEZA FINAL DA OBRA</v>
          </cell>
          <cell r="C267" t="str">
            <v>M2</v>
          </cell>
          <cell r="D267">
            <v>2.2664999999999997</v>
          </cell>
          <cell r="E267">
            <v>0.62687100000000007</v>
          </cell>
          <cell r="F267">
            <v>0</v>
          </cell>
          <cell r="G267">
            <v>2.8933709999999997</v>
          </cell>
        </row>
        <row r="268">
          <cell r="A268">
            <v>363</v>
          </cell>
          <cell r="B268" t="str">
            <v>SUPORTE PARA BANCADA EM FERRO “T” 1/8'' X 1.1/4''</v>
          </cell>
          <cell r="C268" t="str">
            <v>UN</v>
          </cell>
          <cell r="D268">
            <v>9.2025000000000006</v>
          </cell>
          <cell r="E268">
            <v>8.2471180000000004</v>
          </cell>
          <cell r="F268">
            <v>0</v>
          </cell>
          <cell r="G268">
            <v>17.449618000000001</v>
          </cell>
        </row>
        <row r="269">
          <cell r="A269">
            <v>364</v>
          </cell>
          <cell r="B269" t="str">
            <v>BANCADA DE GRANITO COM ESPELHO</v>
          </cell>
          <cell r="C269" t="str">
            <v>M2</v>
          </cell>
          <cell r="D269">
            <v>52.764523999999994</v>
          </cell>
          <cell r="E269">
            <v>420.03860000000003</v>
          </cell>
          <cell r="F269">
            <v>0</v>
          </cell>
          <cell r="G269">
            <v>472.80312400000003</v>
          </cell>
        </row>
        <row r="270">
          <cell r="A270">
            <v>365</v>
          </cell>
          <cell r="B270" t="str">
            <v>ESCAVAÇÃO MECANIZADA</v>
          </cell>
          <cell r="C270" t="str">
            <v>M3</v>
          </cell>
          <cell r="D270">
            <v>0</v>
          </cell>
          <cell r="E270">
            <v>1.29</v>
          </cell>
          <cell r="F270">
            <v>0</v>
          </cell>
          <cell r="G270">
            <v>1.29</v>
          </cell>
        </row>
        <row r="271">
          <cell r="A271">
            <v>366</v>
          </cell>
          <cell r="B271" t="str">
            <v>CARGA MECANIZADA</v>
          </cell>
          <cell r="C271" t="str">
            <v>M3</v>
          </cell>
          <cell r="D271">
            <v>0</v>
          </cell>
          <cell r="E271">
            <v>0.88</v>
          </cell>
          <cell r="F271">
            <v>0</v>
          </cell>
          <cell r="G271">
            <v>0.88</v>
          </cell>
        </row>
        <row r="272">
          <cell r="A272">
            <v>367</v>
          </cell>
          <cell r="B272" t="str">
            <v>INDENIZAÇÃO DE JAZIDA</v>
          </cell>
          <cell r="C272" t="str">
            <v>M3</v>
          </cell>
          <cell r="D272">
            <v>0</v>
          </cell>
          <cell r="E272">
            <v>5</v>
          </cell>
          <cell r="F272">
            <v>0</v>
          </cell>
          <cell r="G272">
            <v>5</v>
          </cell>
        </row>
        <row r="273">
          <cell r="A273">
            <v>368</v>
          </cell>
          <cell r="B273" t="str">
            <v>ESTACA A TRADO DIAM. 30CM S/ FERRO</v>
          </cell>
          <cell r="C273" t="str">
            <v>M</v>
          </cell>
          <cell r="D273">
            <v>42.231442000000001</v>
          </cell>
          <cell r="E273">
            <v>22.158317999999998</v>
          </cell>
          <cell r="F273">
            <v>0</v>
          </cell>
          <cell r="G273">
            <v>64.389759999999995</v>
          </cell>
        </row>
        <row r="274">
          <cell r="A274">
            <v>369</v>
          </cell>
          <cell r="B274" t="str">
            <v>LANÇAMENTO/APLICAÇÃO/ADENSAMENTO DE CONCRETO EM FUNDAÇÃO- (O.C.)</v>
          </cell>
          <cell r="C274" t="str">
            <v>M3</v>
          </cell>
          <cell r="D274">
            <v>43.226987999999999</v>
          </cell>
          <cell r="E274">
            <v>7.6725000000000002E-2</v>
          </cell>
          <cell r="F274">
            <v>0</v>
          </cell>
          <cell r="G274">
            <v>43.303713000000002</v>
          </cell>
        </row>
        <row r="275">
          <cell r="A275">
            <v>370</v>
          </cell>
          <cell r="B275" t="str">
            <v>BUCHA E ARRUELA METÁLICA 2''</v>
          </cell>
          <cell r="C275" t="str">
            <v>PR</v>
          </cell>
          <cell r="D275">
            <v>2.3178000000000001</v>
          </cell>
          <cell r="E275">
            <v>4.82</v>
          </cell>
          <cell r="F275">
            <v>0</v>
          </cell>
          <cell r="G275">
            <v>7.1378000000000004</v>
          </cell>
        </row>
        <row r="276">
          <cell r="A276">
            <v>371</v>
          </cell>
          <cell r="B276" t="e">
            <v>#N/A</v>
          </cell>
          <cell r="C276" t="str">
            <v>PR</v>
          </cell>
          <cell r="D276">
            <v>6.9533999999999994</v>
          </cell>
          <cell r="E276">
            <v>8.9700000000000006</v>
          </cell>
          <cell r="F276">
            <v>0</v>
          </cell>
          <cell r="G276">
            <v>15.923400000000001</v>
          </cell>
        </row>
        <row r="277">
          <cell r="A277">
            <v>372</v>
          </cell>
          <cell r="B277" t="str">
            <v>TAMPA DE Fo.Fo. R1 COM BASE</v>
          </cell>
          <cell r="C277" t="str">
            <v>UN</v>
          </cell>
          <cell r="D277">
            <v>3.863</v>
          </cell>
          <cell r="E277">
            <v>207.66</v>
          </cell>
          <cell r="F277">
            <v>0</v>
          </cell>
          <cell r="G277">
            <v>211.523</v>
          </cell>
        </row>
        <row r="278">
          <cell r="A278">
            <v>373</v>
          </cell>
          <cell r="B278" t="str">
            <v>ELETRODUTO EM AÇO GALVANIZADO A FOGO DIÂMETRO 3" – PESADO</v>
          </cell>
          <cell r="C278" t="str">
            <v>M</v>
          </cell>
          <cell r="D278">
            <v>61.808</v>
          </cell>
          <cell r="E278">
            <v>52.94</v>
          </cell>
          <cell r="F278">
            <v>0</v>
          </cell>
          <cell r="G278">
            <v>114.74799999999999</v>
          </cell>
        </row>
        <row r="279">
          <cell r="A279">
            <v>374</v>
          </cell>
          <cell r="B279" t="str">
            <v>CABECOTE DE LIGA DE ALUMINIO DIAM. 3"</v>
          </cell>
          <cell r="C279" t="str">
            <v>UN</v>
          </cell>
          <cell r="D279">
            <v>16.610900000000001</v>
          </cell>
          <cell r="E279">
            <v>28.62</v>
          </cell>
          <cell r="F279">
            <v>0</v>
          </cell>
          <cell r="G279">
            <v>45.230900000000005</v>
          </cell>
        </row>
        <row r="280">
          <cell r="A280">
            <v>375</v>
          </cell>
          <cell r="B280" t="e">
            <v>#N/A</v>
          </cell>
          <cell r="C280" t="str">
            <v>UN</v>
          </cell>
          <cell r="D280">
            <v>57.945</v>
          </cell>
          <cell r="E280">
            <v>60.57</v>
          </cell>
          <cell r="F280">
            <v>0</v>
          </cell>
          <cell r="G280">
            <v>118.515</v>
          </cell>
        </row>
        <row r="281">
          <cell r="A281">
            <v>376</v>
          </cell>
          <cell r="B281" t="e">
            <v>#N/A</v>
          </cell>
          <cell r="C281" t="str">
            <v>UN</v>
          </cell>
          <cell r="D281">
            <v>16.610900000000001</v>
          </cell>
          <cell r="E281">
            <v>11.46</v>
          </cell>
          <cell r="F281">
            <v>0</v>
          </cell>
          <cell r="G281">
            <v>28.070900000000002</v>
          </cell>
        </row>
        <row r="282">
          <cell r="A282">
            <v>377</v>
          </cell>
          <cell r="B282" t="str">
            <v>TAMPA DE Fo.Fo. R2 COM BASE</v>
          </cell>
          <cell r="C282" t="str">
            <v>UN</v>
          </cell>
          <cell r="D282">
            <v>9.6574999999999989</v>
          </cell>
          <cell r="E282">
            <v>780.31</v>
          </cell>
          <cell r="F282">
            <v>0</v>
          </cell>
          <cell r="G282">
            <v>789.96749999999997</v>
          </cell>
        </row>
        <row r="283">
          <cell r="A283">
            <v>378</v>
          </cell>
          <cell r="B283" t="str">
            <v>GRELHA QUADRADA EM INOX SIMPLES, DIAM. 150MM</v>
          </cell>
          <cell r="C283" t="str">
            <v>UN</v>
          </cell>
          <cell r="D283">
            <v>2.9952000000000001</v>
          </cell>
          <cell r="E283">
            <v>23.76</v>
          </cell>
          <cell r="F283">
            <v>0</v>
          </cell>
          <cell r="G283">
            <v>26.755200000000002</v>
          </cell>
        </row>
        <row r="284">
          <cell r="A284">
            <v>379</v>
          </cell>
          <cell r="B284" t="str">
            <v>PORTA GRELHA QUADRADA PVC CROMADO, DIAM. 150MM</v>
          </cell>
          <cell r="C284" t="str">
            <v>UN</v>
          </cell>
          <cell r="D284">
            <v>3.7440000000000002</v>
          </cell>
          <cell r="E284">
            <v>6.36</v>
          </cell>
          <cell r="F284">
            <v>0</v>
          </cell>
          <cell r="G284">
            <v>10.104000000000001</v>
          </cell>
        </row>
        <row r="285">
          <cell r="A285">
            <v>380</v>
          </cell>
          <cell r="B285" t="str">
            <v>ALARME SONORO LINHA ACESSIBILIDADE</v>
          </cell>
          <cell r="C285" t="str">
            <v>UN</v>
          </cell>
          <cell r="D285">
            <v>8.1122999999999994</v>
          </cell>
          <cell r="E285">
            <v>146.63</v>
          </cell>
          <cell r="F285">
            <v>0</v>
          </cell>
          <cell r="G285">
            <v>154.7423</v>
          </cell>
        </row>
        <row r="286">
          <cell r="A286">
            <v>381</v>
          </cell>
          <cell r="B286" t="e">
            <v>#N/A</v>
          </cell>
          <cell r="C286" t="str">
            <v>M3</v>
          </cell>
          <cell r="D286">
            <v>266.19</v>
          </cell>
          <cell r="E286">
            <v>181.03370000000001</v>
          </cell>
          <cell r="F286">
            <v>0</v>
          </cell>
          <cell r="G286">
            <v>447.22370000000001</v>
          </cell>
        </row>
        <row r="287">
          <cell r="A287">
            <v>382</v>
          </cell>
          <cell r="B287" t="str">
            <v>BANCO DE CONCRETO POLIDO BASE EM ALVENARIA REBOCADA E PINTADA - PADRÃO GOINFRA</v>
          </cell>
          <cell r="C287" t="str">
            <v>M</v>
          </cell>
          <cell r="D287">
            <v>118.09193099999999</v>
          </cell>
          <cell r="E287">
            <v>153.54687100000001</v>
          </cell>
          <cell r="F287">
            <v>0</v>
          </cell>
          <cell r="G287">
            <v>271.638802</v>
          </cell>
        </row>
        <row r="288">
          <cell r="A288">
            <v>383</v>
          </cell>
          <cell r="B288" t="str">
            <v>FUNDO ANTI-CORROSIVO PARA ESQUADRIAS METÁLICAS</v>
          </cell>
          <cell r="C288" t="str">
            <v>M2</v>
          </cell>
          <cell r="D288">
            <v>10.377149000000001</v>
          </cell>
          <cell r="E288">
            <v>3.831423</v>
          </cell>
          <cell r="F288">
            <v>0</v>
          </cell>
          <cell r="G288">
            <v>14.208572</v>
          </cell>
        </row>
        <row r="289">
          <cell r="A289">
            <v>384</v>
          </cell>
          <cell r="B289" t="str">
            <v>CHAVE MAGNÉTICA C/RELE REGULAGEM 10,5 – 16,5A</v>
          </cell>
          <cell r="C289" t="str">
            <v>UN</v>
          </cell>
          <cell r="D289">
            <v>54.081999999999994</v>
          </cell>
          <cell r="E289">
            <v>170.1</v>
          </cell>
          <cell r="F289">
            <v>0</v>
          </cell>
          <cell r="G289">
            <v>224.18199999999999</v>
          </cell>
        </row>
        <row r="290">
          <cell r="A290">
            <v>385</v>
          </cell>
          <cell r="B290" t="str">
            <v>CHAVE TRIPOLAR TIPO PACCO – 20A</v>
          </cell>
          <cell r="C290" t="str">
            <v>UN</v>
          </cell>
          <cell r="D290">
            <v>54.081999999999994</v>
          </cell>
          <cell r="E290">
            <v>103.98</v>
          </cell>
          <cell r="F290">
            <v>0</v>
          </cell>
          <cell r="G290">
            <v>158.06200000000001</v>
          </cell>
        </row>
        <row r="291">
          <cell r="A291">
            <v>386</v>
          </cell>
          <cell r="B291" t="e">
            <v>#N/A</v>
          </cell>
          <cell r="C291" t="str">
            <v>UN</v>
          </cell>
          <cell r="D291">
            <v>57.945</v>
          </cell>
          <cell r="E291">
            <v>102.06</v>
          </cell>
          <cell r="F291">
            <v>0</v>
          </cell>
          <cell r="G291">
            <v>160.005</v>
          </cell>
        </row>
        <row r="292">
          <cell r="A292">
            <v>387</v>
          </cell>
          <cell r="B292" t="str">
            <v>RODAPÉ DE MASSA</v>
          </cell>
          <cell r="C292" t="str">
            <v>M</v>
          </cell>
          <cell r="D292">
            <v>8.5980999999999987</v>
          </cell>
          <cell r="E292">
            <v>1.0431299999999999</v>
          </cell>
          <cell r="F292">
            <v>0</v>
          </cell>
          <cell r="G292">
            <v>9.6412299999999984</v>
          </cell>
        </row>
        <row r="293">
          <cell r="A293">
            <v>388</v>
          </cell>
          <cell r="B293" t="str">
            <v>BRAÇADEIRA METÁLICA TIPO “U”, DIAM. ¾''</v>
          </cell>
          <cell r="C293" t="str">
            <v>UN</v>
          </cell>
          <cell r="D293">
            <v>0.38629999999999998</v>
          </cell>
          <cell r="E293">
            <v>0.23</v>
          </cell>
          <cell r="F293">
            <v>0</v>
          </cell>
          <cell r="G293">
            <v>0.61629999999999996</v>
          </cell>
        </row>
        <row r="294">
          <cell r="A294">
            <v>389</v>
          </cell>
          <cell r="B294" t="str">
            <v>BRAÇADEIRA METÁLICA TIPO “U”, DIAM. 1''</v>
          </cell>
          <cell r="C294" t="str">
            <v>UN</v>
          </cell>
          <cell r="D294">
            <v>0.38629999999999998</v>
          </cell>
          <cell r="E294">
            <v>0.32</v>
          </cell>
          <cell r="F294">
            <v>0</v>
          </cell>
          <cell r="G294">
            <v>0.70629999999999993</v>
          </cell>
        </row>
        <row r="295">
          <cell r="A295">
            <v>390</v>
          </cell>
          <cell r="B295" t="str">
            <v>CAIXA DE PASSAGEM METÁLICA DE EMBUTIR 15X15X8CM</v>
          </cell>
          <cell r="C295" t="str">
            <v>UN</v>
          </cell>
          <cell r="D295">
            <v>27.040999999999997</v>
          </cell>
          <cell r="E295">
            <v>29.86</v>
          </cell>
          <cell r="F295">
            <v>0</v>
          </cell>
          <cell r="G295">
            <v>56.900999999999996</v>
          </cell>
        </row>
        <row r="296">
          <cell r="A296">
            <v>391</v>
          </cell>
          <cell r="B296" t="str">
            <v>FITA DE AUTO FUSÃO, ROLO DE 10M</v>
          </cell>
          <cell r="C296" t="str">
            <v>UN</v>
          </cell>
          <cell r="D296">
            <v>7.726</v>
          </cell>
          <cell r="E296">
            <v>13.6</v>
          </cell>
          <cell r="F296">
            <v>0</v>
          </cell>
          <cell r="G296">
            <v>21.326000000000001</v>
          </cell>
        </row>
        <row r="297">
          <cell r="A297">
            <v>392</v>
          </cell>
          <cell r="B297" t="str">
            <v>CHAPA DE AÇO DE 2" X 1/8"</v>
          </cell>
          <cell r="C297" t="str">
            <v>UN</v>
          </cell>
          <cell r="D297">
            <v>9.6574999999999989</v>
          </cell>
          <cell r="E297">
            <v>31.730250000000002</v>
          </cell>
          <cell r="F297">
            <v>0</v>
          </cell>
          <cell r="G297">
            <v>41.387749999999997</v>
          </cell>
        </row>
        <row r="298">
          <cell r="A298">
            <v>393</v>
          </cell>
          <cell r="B298" t="str">
            <v>GAIOLA DE PROTEÇÃO DE FERRO CA-50 8,0MM COM PINTURA ANTI-OXIDANTE E ESMALTE SINTÉTICO 2 DEMÃOS</v>
          </cell>
          <cell r="C298" t="str">
            <v>UN</v>
          </cell>
          <cell r="D298">
            <v>77.777528719999992</v>
          </cell>
          <cell r="E298">
            <v>94.009558320000011</v>
          </cell>
          <cell r="F298">
            <v>0</v>
          </cell>
          <cell r="G298">
            <v>171.78708704000002</v>
          </cell>
        </row>
        <row r="299">
          <cell r="A299">
            <v>394</v>
          </cell>
          <cell r="B299" t="str">
            <v>PROJETOR HIGH BAY LED 240W</v>
          </cell>
          <cell r="C299" t="str">
            <v>UN</v>
          </cell>
          <cell r="D299">
            <v>12.462038</v>
          </cell>
          <cell r="E299">
            <v>379.91</v>
          </cell>
          <cell r="F299">
            <v>0</v>
          </cell>
          <cell r="G299">
            <v>392.37203800000003</v>
          </cell>
        </row>
        <row r="300">
          <cell r="A300">
            <v>395</v>
          </cell>
          <cell r="B300" t="str">
            <v>BUCHA DE NYLON COM PARAFUSO S9</v>
          </cell>
          <cell r="C300" t="str">
            <v>UN</v>
          </cell>
          <cell r="D300">
            <v>1.3211460000000002</v>
          </cell>
          <cell r="E300">
            <v>0.33</v>
          </cell>
          <cell r="F300">
            <v>0</v>
          </cell>
          <cell r="G300">
            <v>1.6511460000000002</v>
          </cell>
        </row>
        <row r="301">
          <cell r="A301">
            <v>396</v>
          </cell>
          <cell r="B301" t="str">
            <v>ELETRODUTO EM AÇO GALVANIZADO A FOGO DIÂMETRO ¾" – PESADO</v>
          </cell>
          <cell r="C301" t="str">
            <v>M</v>
          </cell>
          <cell r="D301">
            <v>11.588999999999999</v>
          </cell>
          <cell r="E301">
            <v>10.28</v>
          </cell>
          <cell r="F301">
            <v>0</v>
          </cell>
          <cell r="G301">
            <v>21.869</v>
          </cell>
        </row>
        <row r="302">
          <cell r="A302">
            <v>397</v>
          </cell>
          <cell r="B302" t="str">
            <v>ESTRUTURA METÁLICA MR-250/ASTM 36</v>
          </cell>
          <cell r="C302" t="str">
            <v>KG</v>
          </cell>
          <cell r="D302">
            <v>0</v>
          </cell>
          <cell r="E302">
            <v>13.42</v>
          </cell>
          <cell r="F302">
            <v>0</v>
          </cell>
          <cell r="G302">
            <v>13.42</v>
          </cell>
        </row>
        <row r="303">
          <cell r="A303">
            <v>398</v>
          </cell>
          <cell r="B303" t="str">
            <v>FECHAMENTO LATERAL COM TELHA METÁLICA COM PINTURA ELETROSTÁTICA 0,5MM COM ACESSÓRIOS</v>
          </cell>
          <cell r="C303" t="str">
            <v>M2</v>
          </cell>
          <cell r="D303">
            <v>13.355999999999998</v>
          </cell>
          <cell r="E303">
            <v>40.263000000000012</v>
          </cell>
          <cell r="F303">
            <v>0</v>
          </cell>
          <cell r="G303">
            <v>53.619000000000014</v>
          </cell>
        </row>
        <row r="304">
          <cell r="A304">
            <v>399</v>
          </cell>
          <cell r="B304" t="str">
            <v>EPS 20MM PARA JUNTA DE DILATAÇÃO</v>
          </cell>
          <cell r="C304" t="str">
            <v>M2</v>
          </cell>
          <cell r="D304">
            <v>13.617607999999999</v>
          </cell>
          <cell r="E304">
            <v>19.0627168</v>
          </cell>
          <cell r="F304">
            <v>0</v>
          </cell>
          <cell r="G304">
            <v>32.680324800000001</v>
          </cell>
        </row>
        <row r="305">
          <cell r="A305">
            <v>400</v>
          </cell>
          <cell r="B305" t="str">
            <v>SUPORTE PADRÃO PARA TABELA BASQUETE EM “U” ENRIJECIDO – 2 UNIDADES</v>
          </cell>
          <cell r="C305" t="str">
            <v>CJ</v>
          </cell>
          <cell r="D305">
            <v>2620.712669</v>
          </cell>
          <cell r="E305">
            <v>4169.8134869999985</v>
          </cell>
          <cell r="F305">
            <v>0</v>
          </cell>
          <cell r="G305">
            <v>6790.5261559999981</v>
          </cell>
        </row>
        <row r="306">
          <cell r="A306">
            <v>401</v>
          </cell>
          <cell r="B306" t="str">
            <v>TRAVAS FERRO GALVANIZADO PARA FUTEBOL DE SALÃO PINTADAS 3X2M – 2 UNIDADES</v>
          </cell>
          <cell r="C306" t="str">
            <v>CJ</v>
          </cell>
          <cell r="D306">
            <v>862.02168600000005</v>
          </cell>
          <cell r="E306">
            <v>1653.4237949999999</v>
          </cell>
          <cell r="F306">
            <v>0</v>
          </cell>
          <cell r="G306">
            <v>2515.4454809999997</v>
          </cell>
        </row>
        <row r="307">
          <cell r="A307">
            <v>402</v>
          </cell>
          <cell r="B307" t="str">
            <v>TABELA PARA BASQUETE ESTRUTURA METÁLICA E COMPENSADO (ASSENTADAS/PINTADAS) ARO METÁLICO – 2 UNIDADES</v>
          </cell>
          <cell r="C307" t="str">
            <v>CJ</v>
          </cell>
          <cell r="D307">
            <v>684.50040100000001</v>
          </cell>
          <cell r="E307">
            <v>2155.7322333000002</v>
          </cell>
          <cell r="F307">
            <v>0</v>
          </cell>
          <cell r="G307">
            <v>2840.2326343000004</v>
          </cell>
        </row>
        <row r="308">
          <cell r="A308">
            <v>403</v>
          </cell>
          <cell r="B308" t="str">
            <v>CONJUNTO PARA VOLEIBOL EM FERRO GALVANIZADO COM PINTURA (2 SUPORTES)</v>
          </cell>
          <cell r="C308" t="str">
            <v>CJ</v>
          </cell>
          <cell r="D308">
            <v>351.57651699999997</v>
          </cell>
          <cell r="E308">
            <v>722.32575800000018</v>
          </cell>
          <cell r="F308">
            <v>0</v>
          </cell>
          <cell r="G308">
            <v>1073.9022750000001</v>
          </cell>
        </row>
        <row r="309">
          <cell r="A309">
            <v>404</v>
          </cell>
          <cell r="B309" t="str">
            <v>GRELHA REDONDA CROMADA DIAM. 100MM</v>
          </cell>
          <cell r="C309" t="str">
            <v>UN</v>
          </cell>
          <cell r="D309">
            <v>2.9952000000000001</v>
          </cell>
          <cell r="E309">
            <v>11.88</v>
          </cell>
          <cell r="F309">
            <v>0</v>
          </cell>
          <cell r="G309">
            <v>14.875200000000001</v>
          </cell>
        </row>
        <row r="310">
          <cell r="A310">
            <v>405</v>
          </cell>
          <cell r="B310" t="str">
            <v>PORTA GRELHA QUADRADO PARA GRELHA QUADRADA DIAM. 100MM</v>
          </cell>
          <cell r="C310" t="str">
            <v>UN</v>
          </cell>
          <cell r="D310">
            <v>3.7440000000000002</v>
          </cell>
          <cell r="E310">
            <v>6.68</v>
          </cell>
          <cell r="F310">
            <v>0</v>
          </cell>
          <cell r="G310">
            <v>10.423999999999999</v>
          </cell>
        </row>
        <row r="311">
          <cell r="A311">
            <v>406</v>
          </cell>
          <cell r="B311" t="str">
            <v>BARRA LISA</v>
          </cell>
          <cell r="C311" t="str">
            <v>M2</v>
          </cell>
          <cell r="D311">
            <v>25.766999999999996</v>
          </cell>
          <cell r="E311">
            <v>11.186231000000001</v>
          </cell>
          <cell r="F311">
            <v>0</v>
          </cell>
          <cell r="G311">
            <v>36.953230999999995</v>
          </cell>
        </row>
        <row r="312">
          <cell r="A312">
            <v>407</v>
          </cell>
          <cell r="B312" t="str">
            <v>CADEADO 30MM</v>
          </cell>
          <cell r="C312" t="str">
            <v>UN</v>
          </cell>
          <cell r="D312">
            <v>0</v>
          </cell>
          <cell r="E312">
            <v>21.76</v>
          </cell>
          <cell r="F312">
            <v>0</v>
          </cell>
          <cell r="G312">
            <v>21.76</v>
          </cell>
        </row>
        <row r="313">
          <cell r="A313">
            <v>408</v>
          </cell>
          <cell r="B313" t="str">
            <v>ESTACA A TRADO DIAM. 20CM S/ FERRO</v>
          </cell>
          <cell r="C313" t="str">
            <v>M</v>
          </cell>
          <cell r="D313">
            <v>29.328218999999997</v>
          </cell>
          <cell r="E313">
            <v>9.840510720000001</v>
          </cell>
          <cell r="F313">
            <v>0</v>
          </cell>
          <cell r="G313">
            <v>39.168729720000002</v>
          </cell>
        </row>
        <row r="314">
          <cell r="A314">
            <v>409</v>
          </cell>
          <cell r="B314" t="str">
            <v>GRADE PROTEÇÃO TIPO TIJOLINHO</v>
          </cell>
          <cell r="C314" t="str">
            <v>M2</v>
          </cell>
          <cell r="D314">
            <v>78.058727000000005</v>
          </cell>
          <cell r="E314">
            <v>86.302238000000017</v>
          </cell>
          <cell r="F314">
            <v>0</v>
          </cell>
          <cell r="G314">
            <v>164.36096500000002</v>
          </cell>
        </row>
        <row r="315">
          <cell r="A315">
            <v>410</v>
          </cell>
          <cell r="B315" t="str">
            <v>CAIXA DE PASSAGEM METÁLICA DE EMBUTIR 20X20X10CM</v>
          </cell>
          <cell r="C315" t="str">
            <v>UN</v>
          </cell>
          <cell r="D315">
            <v>48.287499999999994</v>
          </cell>
          <cell r="E315">
            <v>39.97</v>
          </cell>
          <cell r="F315">
            <v>0</v>
          </cell>
          <cell r="G315">
            <v>88.257499999999993</v>
          </cell>
        </row>
        <row r="316">
          <cell r="A316">
            <v>411</v>
          </cell>
          <cell r="B316" t="str">
            <v>DISJUNTOR BIPOLAR TIPO DR, 25A-30mA</v>
          </cell>
          <cell r="C316" t="str">
            <v>UN</v>
          </cell>
          <cell r="D316">
            <v>23.177999999999997</v>
          </cell>
          <cell r="E316">
            <v>129.58000000000001</v>
          </cell>
          <cell r="F316">
            <v>0</v>
          </cell>
          <cell r="G316">
            <v>152.75800000000001</v>
          </cell>
        </row>
        <row r="317">
          <cell r="A317">
            <v>413</v>
          </cell>
          <cell r="B317" t="str">
            <v>TANQUE (PANELAO) INOX 60 X 70 X 40 CM CH.18</v>
          </cell>
          <cell r="C317" t="str">
            <v>UN</v>
          </cell>
          <cell r="D317">
            <v>18.72</v>
          </cell>
          <cell r="E317">
            <v>961.02</v>
          </cell>
          <cell r="F317">
            <v>0</v>
          </cell>
          <cell r="G317">
            <v>979.74</v>
          </cell>
        </row>
        <row r="318">
          <cell r="A318">
            <v>414</v>
          </cell>
          <cell r="B318" t="str">
            <v>ALVENARIA DE TIJOLO COMUM ¼ VEZ – ARG (1CI:2CH:8ARML)</v>
          </cell>
          <cell r="C318" t="str">
            <v>M2</v>
          </cell>
          <cell r="D318">
            <v>30.959</v>
          </cell>
          <cell r="E318">
            <v>28.894650000000002</v>
          </cell>
          <cell r="F318">
            <v>0</v>
          </cell>
          <cell r="G318">
            <v>59.853650000000002</v>
          </cell>
        </row>
        <row r="319">
          <cell r="A319">
            <v>415</v>
          </cell>
          <cell r="B319" t="str">
            <v>DIVISÓRIA PAINEL E RODAPÉ SIMPLES, PERFIL EM ALUMÍNIO</v>
          </cell>
          <cell r="C319" t="str">
            <v>M2</v>
          </cell>
          <cell r="D319">
            <v>0.15109999999999998</v>
          </cell>
          <cell r="E319">
            <v>84.02</v>
          </cell>
          <cell r="F319">
            <v>0</v>
          </cell>
          <cell r="G319">
            <v>84.171099999999996</v>
          </cell>
        </row>
        <row r="320">
          <cell r="A320">
            <v>416</v>
          </cell>
          <cell r="B320" t="str">
            <v>FERRAGENS PARA PORTA DIVISÓRIA, PERFIL EM ALUMÍNIO</v>
          </cell>
          <cell r="C320" t="str">
            <v>UN</v>
          </cell>
          <cell r="D320">
            <v>0</v>
          </cell>
          <cell r="E320">
            <v>107.98</v>
          </cell>
          <cell r="F320">
            <v>0</v>
          </cell>
          <cell r="G320">
            <v>107.98</v>
          </cell>
        </row>
        <row r="321">
          <cell r="A321">
            <v>417</v>
          </cell>
          <cell r="B321" t="str">
            <v>EMBOÇO (ISOLANTE TÉRMICO E ACÚSTICO) COM VERMICULITA (1CI:2CH:1ARM:8,3333VERM) ESP.=3CM</v>
          </cell>
          <cell r="C321" t="str">
            <v>M2</v>
          </cell>
          <cell r="D321">
            <v>14.456771</v>
          </cell>
          <cell r="E321">
            <v>21.017659000000002</v>
          </cell>
          <cell r="F321">
            <v>0</v>
          </cell>
          <cell r="G321">
            <v>35.474429999999998</v>
          </cell>
        </row>
        <row r="322">
          <cell r="A322">
            <v>418</v>
          </cell>
          <cell r="B322" t="str">
            <v>ESQUADRIA EM CHAPA METÁLICA TIPO VENEZIANA FIXA COM VENTILAÇÃO J-20</v>
          </cell>
          <cell r="C322" t="str">
            <v>M2</v>
          </cell>
          <cell r="D322">
            <v>109.761695</v>
          </cell>
          <cell r="E322">
            <v>144.05260299999995</v>
          </cell>
          <cell r="F322">
            <v>0</v>
          </cell>
          <cell r="G322">
            <v>253.81429799999995</v>
          </cell>
        </row>
        <row r="323">
          <cell r="A323">
            <v>419</v>
          </cell>
          <cell r="B323" t="str">
            <v>PORTA ABRIR/VENEZIANA PF-4 C/FERRAGENS</v>
          </cell>
          <cell r="C323" t="str">
            <v>M2</v>
          </cell>
          <cell r="D323">
            <v>164.877015</v>
          </cell>
          <cell r="E323">
            <v>267.08872400000001</v>
          </cell>
          <cell r="F323">
            <v>0</v>
          </cell>
          <cell r="G323">
            <v>431.96573899999999</v>
          </cell>
        </row>
        <row r="324">
          <cell r="A324">
            <v>420</v>
          </cell>
          <cell r="B324" t="str">
            <v>TERMINAL DE PRESSÃO 4MM2</v>
          </cell>
          <cell r="C324" t="str">
            <v>UN</v>
          </cell>
          <cell r="D324">
            <v>11.588999999999999</v>
          </cell>
          <cell r="E324">
            <v>0.9</v>
          </cell>
          <cell r="F324">
            <v>0</v>
          </cell>
          <cell r="G324">
            <v>12.488999999999999</v>
          </cell>
        </row>
        <row r="325">
          <cell r="A325">
            <v>421</v>
          </cell>
          <cell r="B325" t="str">
            <v>TERMINAL DE PRESSÃO 6MM2</v>
          </cell>
          <cell r="C325" t="str">
            <v>UN</v>
          </cell>
          <cell r="D325">
            <v>13.520499999999998</v>
          </cell>
          <cell r="E325">
            <v>2.92</v>
          </cell>
          <cell r="F325">
            <v>0</v>
          </cell>
          <cell r="G325">
            <v>16.4405</v>
          </cell>
        </row>
        <row r="326">
          <cell r="A326">
            <v>422</v>
          </cell>
          <cell r="B326" t="str">
            <v>SOQUETE ANTIVIBRATORIO P/LAMP.FLUORESCENTE</v>
          </cell>
          <cell r="C326" t="str">
            <v>UN</v>
          </cell>
          <cell r="D326">
            <v>2.5495800000000002</v>
          </cell>
          <cell r="E326">
            <v>1.36</v>
          </cell>
          <cell r="F326">
            <v>0</v>
          </cell>
          <cell r="G326">
            <v>3.9095800000000001</v>
          </cell>
        </row>
        <row r="327">
          <cell r="A327">
            <v>423</v>
          </cell>
          <cell r="B327" t="str">
            <v>TOMADA 3P + T, 20A – 250V</v>
          </cell>
          <cell r="C327" t="str">
            <v>UN</v>
          </cell>
          <cell r="D327">
            <v>11.2027</v>
          </cell>
          <cell r="E327">
            <v>53.85</v>
          </cell>
          <cell r="F327">
            <v>0</v>
          </cell>
          <cell r="G327">
            <v>65.052700000000002</v>
          </cell>
        </row>
        <row r="328">
          <cell r="A328">
            <v>424</v>
          </cell>
          <cell r="B328" t="str">
            <v>LAVATÓRIO DE CANTO SEM COLUNA</v>
          </cell>
          <cell r="C328" t="str">
            <v>UN</v>
          </cell>
          <cell r="D328">
            <v>41.685797999999998</v>
          </cell>
          <cell r="E328">
            <v>166.574478</v>
          </cell>
          <cell r="F328">
            <v>0</v>
          </cell>
          <cell r="G328">
            <v>208.260276</v>
          </cell>
        </row>
        <row r="329">
          <cell r="A329">
            <v>425</v>
          </cell>
          <cell r="B329" t="str">
            <v>CAIXA D'ÁGUA DE POLIETILENO 1000L C/ TAMPA</v>
          </cell>
          <cell r="C329" t="str">
            <v>UN</v>
          </cell>
          <cell r="D329">
            <v>112.32</v>
          </cell>
          <cell r="E329">
            <v>320</v>
          </cell>
          <cell r="F329">
            <v>0</v>
          </cell>
          <cell r="G329">
            <v>432.32</v>
          </cell>
        </row>
        <row r="330">
          <cell r="A330">
            <v>426</v>
          </cell>
          <cell r="B330" t="str">
            <v>ESTRUTURA DE MADEIRA PARA SUPORTE DE CAIXA D'ÁGUA ELEVADA DE 1000 LITROS</v>
          </cell>
          <cell r="C330" t="str">
            <v>UN</v>
          </cell>
          <cell r="D330">
            <v>198.28265600000003</v>
          </cell>
          <cell r="E330">
            <v>3242.7359590000001</v>
          </cell>
          <cell r="F330">
            <v>16.221658000000001</v>
          </cell>
          <cell r="G330">
            <v>3457.2402729999999</v>
          </cell>
        </row>
        <row r="331">
          <cell r="A331">
            <v>427</v>
          </cell>
          <cell r="B331" t="str">
            <v>PORTA DE ABRIR EM CHAPA PF-1 COM FERRAGENS</v>
          </cell>
          <cell r="C331" t="str">
            <v>M2</v>
          </cell>
          <cell r="D331">
            <v>209.359869</v>
          </cell>
          <cell r="E331">
            <v>366.39710000000002</v>
          </cell>
          <cell r="F331">
            <v>0</v>
          </cell>
          <cell r="G331">
            <v>575.75696900000003</v>
          </cell>
        </row>
        <row r="332">
          <cell r="A332">
            <v>428</v>
          </cell>
          <cell r="B332" t="str">
            <v>ESQUADRIA BASCULANTE EM CHAPA J17, J18 e J19 C/FERRAGENS</v>
          </cell>
          <cell r="C332" t="str">
            <v>M2</v>
          </cell>
          <cell r="D332">
            <v>114.71309199999999</v>
          </cell>
          <cell r="E332">
            <v>146.74901199999999</v>
          </cell>
          <cell r="F332">
            <v>0</v>
          </cell>
          <cell r="G332">
            <v>261.46210399999995</v>
          </cell>
        </row>
        <row r="333">
          <cell r="A333">
            <v>429</v>
          </cell>
          <cell r="B333" t="str">
            <v>- FOLHA DE PORTA LISA 90 X 210</v>
          </cell>
          <cell r="C333" t="str">
            <v>UN</v>
          </cell>
          <cell r="D333">
            <v>24.192567</v>
          </cell>
          <cell r="E333">
            <v>181.87</v>
          </cell>
          <cell r="F333">
            <v>0</v>
          </cell>
          <cell r="G333">
            <v>206.062567</v>
          </cell>
        </row>
        <row r="334">
          <cell r="A334">
            <v>430</v>
          </cell>
          <cell r="B334" t="str">
            <v>VIDRO MINI BOREAL</v>
          </cell>
          <cell r="C334" t="str">
            <v>M2</v>
          </cell>
          <cell r="D334">
            <v>0</v>
          </cell>
          <cell r="E334">
            <v>100.1</v>
          </cell>
          <cell r="F334">
            <v>0</v>
          </cell>
          <cell r="G334">
            <v>100.1</v>
          </cell>
        </row>
        <row r="335">
          <cell r="A335">
            <v>431</v>
          </cell>
          <cell r="B335" t="str">
            <v>CENTRAL DE GÁS PADRÃO GOINFRA/2019 COMPLETA, EXCLUSO AS INSTALAÇÕES MECÂNICAS (2+2 CILINDRO P-45)</v>
          </cell>
          <cell r="C335" t="str">
            <v>UN</v>
          </cell>
          <cell r="D335">
            <v>5107.3470539999998</v>
          </cell>
          <cell r="E335">
            <v>4750.1083892148772</v>
          </cell>
          <cell r="F335">
            <v>0</v>
          </cell>
          <cell r="G335">
            <v>9857.4554432148761</v>
          </cell>
        </row>
        <row r="336">
          <cell r="A336">
            <v>432</v>
          </cell>
          <cell r="B336" t="str">
            <v>REGULADOR DE PRESSÃO PRIMEIRO ESTÁGIO, 8 KG/H, REGULÁVEL COM MANÔMETRO,PRESSÃO DE
ENTRADA 2 A 18 BAR E PRESSÃO DE SAÍDA 0,5 A 2 BAR, CONEXÕES DE ENTRADA E SAÍDA 1/4" NPT</v>
          </cell>
          <cell r="C336" t="str">
            <v>UN</v>
          </cell>
          <cell r="D336">
            <v>16.17408</v>
          </cell>
          <cell r="E336">
            <v>212.55</v>
          </cell>
          <cell r="F336">
            <v>0</v>
          </cell>
          <cell r="G336">
            <v>228.72408000000001</v>
          </cell>
        </row>
        <row r="337">
          <cell r="A337">
            <v>433</v>
          </cell>
          <cell r="B337" t="str">
            <v>COTOVELO 90º FERRO MALEÁVEL GALVANIZADO ¾'' CLASSE 150 ROSCA NPT NBR 6925</v>
          </cell>
          <cell r="C337" t="str">
            <v>UN</v>
          </cell>
          <cell r="D337">
            <v>11.9808</v>
          </cell>
          <cell r="E337">
            <v>15.25</v>
          </cell>
          <cell r="F337">
            <v>0</v>
          </cell>
          <cell r="G337">
            <v>27.230800000000002</v>
          </cell>
        </row>
        <row r="338">
          <cell r="A338">
            <v>434</v>
          </cell>
          <cell r="B338" t="str">
            <v>TE DE FERRO MALEÁVEL GALVANIZADO 3/4" CLASSE 150 ROSCA NPT NBR 6926</v>
          </cell>
          <cell r="C338" t="str">
            <v>UN</v>
          </cell>
          <cell r="D338">
            <v>13.77792</v>
          </cell>
          <cell r="E338">
            <v>14.16</v>
          </cell>
          <cell r="F338">
            <v>0</v>
          </cell>
          <cell r="G338">
            <v>27.937919999999998</v>
          </cell>
        </row>
        <row r="339">
          <cell r="A339">
            <v>435</v>
          </cell>
          <cell r="B339" t="str">
            <v>LUVA REDUÇÃO DE FERRO MALEÁVEL GALVANIZADO 3/4" X 1/2", CLASSE 150, ROSCA NPT - NBR 6926</v>
          </cell>
          <cell r="C339" t="str">
            <v>UN</v>
          </cell>
          <cell r="D339">
            <v>5.9904000000000002</v>
          </cell>
          <cell r="E339">
            <v>6.09</v>
          </cell>
          <cell r="F339">
            <v>0</v>
          </cell>
          <cell r="G339">
            <v>12.080400000000001</v>
          </cell>
        </row>
        <row r="340">
          <cell r="A340">
            <v>436</v>
          </cell>
          <cell r="B340" t="str">
            <v>UNIÃO DE FERRO MALEÁVEL GALVANIZADO 3/4", ASSENTO BRONZE , CLASSE 150, ROSCA NPT – NBR 6926</v>
          </cell>
          <cell r="C340" t="str">
            <v>UN</v>
          </cell>
          <cell r="D340">
            <v>5.9904000000000002</v>
          </cell>
          <cell r="E340">
            <v>60.92</v>
          </cell>
          <cell r="F340">
            <v>0</v>
          </cell>
          <cell r="G340">
            <v>66.910399999999996</v>
          </cell>
        </row>
        <row r="341">
          <cell r="A341">
            <v>437</v>
          </cell>
          <cell r="B341" t="str">
            <v>VÁLVULA DE ESFERA TRIPARTIDA 3/4", PASSAGEM PLENA, ROSCA NPT, CLASSE 300 - NORMA ASME B16.35</v>
          </cell>
          <cell r="C341" t="str">
            <v>UN</v>
          </cell>
          <cell r="D341">
            <v>16.17408</v>
          </cell>
          <cell r="E341">
            <v>114.05</v>
          </cell>
          <cell r="F341">
            <v>0</v>
          </cell>
          <cell r="G341">
            <v>130.22407999999999</v>
          </cell>
        </row>
        <row r="342">
          <cell r="A342">
            <v>438</v>
          </cell>
          <cell r="B342" t="str">
            <v>VÁLVULA LATÃO P-13 NOVA ¾''</v>
          </cell>
          <cell r="C342" t="str">
            <v>UN</v>
          </cell>
          <cell r="D342">
            <v>16.17408</v>
          </cell>
          <cell r="E342">
            <v>21.74</v>
          </cell>
          <cell r="F342">
            <v>0</v>
          </cell>
          <cell r="G342">
            <v>37.914079999999998</v>
          </cell>
        </row>
        <row r="343">
          <cell r="A343">
            <v>439</v>
          </cell>
          <cell r="B343" t="str">
            <v>VÁLVULA DE RETENÇÃO EM LATÃO 7/16" NS (I) X 1/2" NPT (E)</v>
          </cell>
          <cell r="C343" t="str">
            <v>UN</v>
          </cell>
          <cell r="D343">
            <v>5.9904000000000002</v>
          </cell>
          <cell r="E343">
            <v>21.817805</v>
          </cell>
          <cell r="F343">
            <v>0</v>
          </cell>
          <cell r="G343">
            <v>27.808205000000001</v>
          </cell>
        </row>
        <row r="344">
          <cell r="A344">
            <v>440</v>
          </cell>
          <cell r="B344" t="str">
            <v>NIPLE DUPLO DE FERRO MALEÁVEL GALVANIZADO 3/4" CLASSE 300 ROSCA NPT - NBR 6926</v>
          </cell>
          <cell r="C344" t="str">
            <v>UN</v>
          </cell>
          <cell r="D344">
            <v>5.9904000000000002</v>
          </cell>
          <cell r="E344">
            <v>13.103415</v>
          </cell>
          <cell r="F344">
            <v>0</v>
          </cell>
          <cell r="G344">
            <v>19.093814999999999</v>
          </cell>
        </row>
        <row r="345">
          <cell r="A345">
            <v>441</v>
          </cell>
          <cell r="B345" t="str">
            <v>NIPLE DE LATÃO DE 3/4" NPT X 1/4" NPT</v>
          </cell>
          <cell r="C345" t="str">
            <v>UN</v>
          </cell>
          <cell r="D345">
            <v>5.9904000000000002</v>
          </cell>
          <cell r="E345">
            <v>15.09</v>
          </cell>
          <cell r="F345">
            <v>0</v>
          </cell>
          <cell r="G345">
            <v>21.080400000000001</v>
          </cell>
        </row>
        <row r="346">
          <cell r="A346">
            <v>442</v>
          </cell>
          <cell r="B346" t="str">
            <v>BUCHA RED.NPT DE 3/4" X 1/2" 300 LBS</v>
          </cell>
          <cell r="C346" t="str">
            <v>UN</v>
          </cell>
          <cell r="D346">
            <v>5.9904000000000002</v>
          </cell>
          <cell r="E346">
            <v>21.34</v>
          </cell>
          <cell r="F346">
            <v>0</v>
          </cell>
          <cell r="G346">
            <v>27.330400000000001</v>
          </cell>
        </row>
        <row r="347">
          <cell r="A347">
            <v>443</v>
          </cell>
          <cell r="B347" t="str">
            <v>BUCHA RED. M/F PRETA 3/4" X 1/2" NPT 300 LBS</v>
          </cell>
          <cell r="C347" t="str">
            <v>UN</v>
          </cell>
          <cell r="D347">
            <v>5.9904000000000002</v>
          </cell>
          <cell r="E347">
            <v>23.45</v>
          </cell>
          <cell r="F347">
            <v>0</v>
          </cell>
          <cell r="G347">
            <v>29.4404</v>
          </cell>
        </row>
        <row r="348">
          <cell r="A348">
            <v>444</v>
          </cell>
          <cell r="B348" t="str">
            <v>TAMPÃO 300PSI PRETO 3/4''</v>
          </cell>
          <cell r="C348" t="str">
            <v>UN</v>
          </cell>
          <cell r="D348">
            <v>3.7440000000000002</v>
          </cell>
          <cell r="E348">
            <v>13.89</v>
          </cell>
          <cell r="F348">
            <v>0</v>
          </cell>
          <cell r="G348">
            <v>17.634</v>
          </cell>
        </row>
        <row r="349">
          <cell r="A349">
            <v>445</v>
          </cell>
          <cell r="B349" t="str">
            <v>MANGOTE FLEXÍVEL PRETO 7/8'' X 7/16'' - 500MM</v>
          </cell>
          <cell r="C349" t="str">
            <v>UN</v>
          </cell>
          <cell r="D349">
            <v>14.976000000000001</v>
          </cell>
          <cell r="E349">
            <v>24.75</v>
          </cell>
          <cell r="F349">
            <v>0</v>
          </cell>
          <cell r="G349">
            <v>39.725999999999999</v>
          </cell>
        </row>
        <row r="350">
          <cell r="A350">
            <v>446</v>
          </cell>
          <cell r="B350" t="str">
            <v>BRAÇADEIRA METÁLICA TIPO "D" DIAM. 3/4''</v>
          </cell>
          <cell r="C350" t="str">
            <v>UN</v>
          </cell>
          <cell r="D350">
            <v>7.4880000000000004</v>
          </cell>
          <cell r="E350">
            <v>0.54</v>
          </cell>
          <cell r="F350">
            <v>0</v>
          </cell>
          <cell r="G350">
            <v>8.0280000000000005</v>
          </cell>
        </row>
        <row r="351">
          <cell r="A351">
            <v>447</v>
          </cell>
          <cell r="B351" t="str">
            <v>SUPORTE PARA COLETOR</v>
          </cell>
          <cell r="C351" t="str">
            <v>UN</v>
          </cell>
          <cell r="D351">
            <v>14.030925999999999</v>
          </cell>
          <cell r="E351">
            <v>6.2470800000000013</v>
          </cell>
          <cell r="F351">
            <v>0</v>
          </cell>
          <cell r="G351">
            <v>20.278006000000001</v>
          </cell>
        </row>
        <row r="352">
          <cell r="A352">
            <v>450</v>
          </cell>
          <cell r="B352" t="str">
            <v>TRANSPORTE DE ENTULHO EM CAÇAMBA ESTACIONÁRIA INCLUSO A CARGA MANUAL</v>
          </cell>
          <cell r="C352" t="str">
            <v>M3</v>
          </cell>
          <cell r="D352">
            <v>10.879199999999999</v>
          </cell>
          <cell r="E352">
            <v>50.39</v>
          </cell>
          <cell r="F352">
            <v>0</v>
          </cell>
          <cell r="G352">
            <v>61.269199999999998</v>
          </cell>
        </row>
        <row r="353">
          <cell r="A353">
            <v>451</v>
          </cell>
          <cell r="B353" t="str">
            <v>SOLDA EXOTÉRMICA</v>
          </cell>
          <cell r="C353" t="str">
            <v>UM</v>
          </cell>
          <cell r="D353">
            <v>9.25</v>
          </cell>
          <cell r="E353">
            <v>7.91</v>
          </cell>
          <cell r="F353">
            <v>0</v>
          </cell>
          <cell r="G353">
            <v>17.16</v>
          </cell>
        </row>
        <row r="354">
          <cell r="A354">
            <v>452</v>
          </cell>
          <cell r="B354" t="str">
            <v>CABO STP - 4 PARES</v>
          </cell>
          <cell r="C354" t="str">
            <v>M</v>
          </cell>
          <cell r="D354">
            <v>5.6438430000000004</v>
          </cell>
          <cell r="E354">
            <v>2.0033333333333334</v>
          </cell>
          <cell r="F354">
            <v>0</v>
          </cell>
          <cell r="G354">
            <v>7.6471763333333342</v>
          </cell>
        </row>
        <row r="355">
          <cell r="A355">
            <v>453</v>
          </cell>
          <cell r="B355" t="str">
            <v>CABO TELEFONICO CTP-APL-50, 50 PARES (USO EXTERNO)- FORNECIMENTO E INSTALAÇÃO</v>
          </cell>
          <cell r="C355" t="str">
            <v>M</v>
          </cell>
          <cell r="D355">
            <v>8.1702449999999995</v>
          </cell>
          <cell r="E355">
            <v>22.512000000000004</v>
          </cell>
          <cell r="F355">
            <v>0</v>
          </cell>
          <cell r="G355">
            <v>30.682245000000002</v>
          </cell>
        </row>
        <row r="356">
          <cell r="A356">
            <v>454</v>
          </cell>
          <cell r="B356" t="str">
            <v>CABO STAL 45"</v>
          </cell>
          <cell r="C356" t="str">
            <v>M</v>
          </cell>
          <cell r="D356">
            <v>7.0499749999999999</v>
          </cell>
          <cell r="E356">
            <v>27.090000000000003</v>
          </cell>
          <cell r="F356">
            <v>0</v>
          </cell>
          <cell r="G356">
            <v>34.139975000000007</v>
          </cell>
        </row>
        <row r="357">
          <cell r="A357">
            <v>455</v>
          </cell>
          <cell r="B357" t="str">
            <v>CABEÇOTE DE LIGA DE ALUMÍNIO 3"</v>
          </cell>
          <cell r="C357" t="str">
            <v>UN</v>
          </cell>
          <cell r="D357">
            <v>16.610900000000001</v>
          </cell>
          <cell r="E357">
            <v>29.52</v>
          </cell>
          <cell r="F357">
            <v>0</v>
          </cell>
          <cell r="G357">
            <v>46.130899999999997</v>
          </cell>
        </row>
        <row r="358">
          <cell r="A358">
            <v>456</v>
          </cell>
          <cell r="B358" t="str">
            <v>CABO ISOLADO PP 3 X 4 MM2</v>
          </cell>
          <cell r="C358" t="str">
            <v>M</v>
          </cell>
          <cell r="D358">
            <v>5.6438430000000004</v>
          </cell>
          <cell r="E358">
            <v>5.9430000000000005</v>
          </cell>
          <cell r="F358">
            <v>0</v>
          </cell>
          <cell r="G358">
            <v>11.586843000000002</v>
          </cell>
        </row>
        <row r="359">
          <cell r="A359">
            <v>457</v>
          </cell>
          <cell r="B359" t="str">
            <v>CABO DE AÇO ALMA DE FIBRA 1/4"</v>
          </cell>
          <cell r="C359" t="str">
            <v>M</v>
          </cell>
          <cell r="D359">
            <v>2.5109500000000002</v>
          </cell>
          <cell r="E359">
            <v>4.3834</v>
          </cell>
          <cell r="F359">
            <v>0</v>
          </cell>
          <cell r="G359">
            <v>6.8943500000000002</v>
          </cell>
        </row>
        <row r="360">
          <cell r="A360">
            <v>458</v>
          </cell>
          <cell r="B360" t="str">
            <v>CABO DE ALUMÍNIO 2CA</v>
          </cell>
          <cell r="C360" t="str">
            <v>M</v>
          </cell>
          <cell r="D360">
            <v>2.5109500000000002</v>
          </cell>
          <cell r="E360">
            <v>1.5048999999999999</v>
          </cell>
          <cell r="F360">
            <v>0</v>
          </cell>
          <cell r="G360">
            <v>4.0158500000000004</v>
          </cell>
        </row>
        <row r="361">
          <cell r="A361">
            <v>459</v>
          </cell>
          <cell r="B361" t="str">
            <v>CAIXA METÁLICA PARA MEDIDOR MONOFÁSICO PADRÃO ENEL 300X220X151MM</v>
          </cell>
          <cell r="C361" t="str">
            <v>UM</v>
          </cell>
          <cell r="D361">
            <v>115.89</v>
          </cell>
          <cell r="E361">
            <v>79.81</v>
          </cell>
          <cell r="F361">
            <v>0</v>
          </cell>
          <cell r="G361">
            <v>195.7</v>
          </cell>
        </row>
        <row r="362">
          <cell r="A362">
            <v>460</v>
          </cell>
          <cell r="B362" t="str">
            <v>CRUZETA POLIMÉRICA 90X112X2400 MM</v>
          </cell>
          <cell r="C362" t="str">
            <v>UM</v>
          </cell>
          <cell r="D362">
            <v>17.7698</v>
          </cell>
          <cell r="E362">
            <v>181.41</v>
          </cell>
          <cell r="F362">
            <v>0</v>
          </cell>
          <cell r="G362">
            <v>199.1798</v>
          </cell>
        </row>
        <row r="363">
          <cell r="A363">
            <v>461</v>
          </cell>
          <cell r="B363" t="str">
            <v>FIO DE COBRE NU No. 10 MM2 (11,00 M/KG)</v>
          </cell>
          <cell r="C363" t="str">
            <v>M</v>
          </cell>
          <cell r="D363">
            <v>2.7041000000000004</v>
          </cell>
          <cell r="E363">
            <v>7.0482000000000005</v>
          </cell>
          <cell r="F363">
            <v>0</v>
          </cell>
          <cell r="G363">
            <v>9.7523000000000017</v>
          </cell>
        </row>
        <row r="364">
          <cell r="A364">
            <v>462</v>
          </cell>
          <cell r="B364" t="str">
            <v>MASSA EPÓXI 250G</v>
          </cell>
          <cell r="C364" t="str">
            <v>UM</v>
          </cell>
          <cell r="D364">
            <v>2.7041000000000004</v>
          </cell>
          <cell r="E364">
            <v>6.91</v>
          </cell>
          <cell r="F364">
            <v>0</v>
          </cell>
          <cell r="G364">
            <v>9.6141000000000005</v>
          </cell>
        </row>
        <row r="365">
          <cell r="A365">
            <v>463</v>
          </cell>
          <cell r="B365" t="str">
            <v>POSTE SIMPLES,CÔNICO CONTÍNUO, CIRCULAR, RETO, COM DIÂMETRO NOMINAL DE 60MM NA EXTREMIDADE, GALVANIZADO A FOGO, Hútil= 12 M - ENGASTADO EM CONCRETO COM FCK = 13,5 MPA</v>
          </cell>
          <cell r="C365" t="str">
            <v>UM</v>
          </cell>
          <cell r="D365">
            <v>33.853952999999997</v>
          </cell>
          <cell r="E365">
            <v>1406.190374</v>
          </cell>
          <cell r="F365">
            <v>0</v>
          </cell>
          <cell r="G365">
            <v>1440.0443270000001</v>
          </cell>
        </row>
        <row r="366">
          <cell r="A366">
            <v>464</v>
          </cell>
          <cell r="B366" t="str">
            <v>CONECTOR TIPO PARAFUSO FENDIDO 16 MM2</v>
          </cell>
          <cell r="C366" t="str">
            <v>UM</v>
          </cell>
          <cell r="D366">
            <v>7.726</v>
          </cell>
          <cell r="E366">
            <v>4.38</v>
          </cell>
          <cell r="F366">
            <v>0</v>
          </cell>
          <cell r="G366">
            <v>12.106</v>
          </cell>
        </row>
        <row r="367">
          <cell r="A367">
            <v>465</v>
          </cell>
          <cell r="B367" t="str">
            <v>CONECTOR TIPO PARAFUSO FENDIDO 35 MM2</v>
          </cell>
          <cell r="C367" t="str">
            <v>UM</v>
          </cell>
          <cell r="D367">
            <v>7.726</v>
          </cell>
          <cell r="E367">
            <v>5.78</v>
          </cell>
          <cell r="F367">
            <v>0</v>
          </cell>
          <cell r="G367">
            <v>13.506</v>
          </cell>
        </row>
        <row r="368">
          <cell r="A368">
            <v>466</v>
          </cell>
          <cell r="B368" t="str">
            <v>SUPORTE PARA 4 PÉTALAS PARA LUMINÁRIA DE ILUMINAÇÃO PÚBLICA</v>
          </cell>
          <cell r="C368" t="str">
            <v>UN</v>
          </cell>
          <cell r="D368">
            <v>9.6574999999999989</v>
          </cell>
          <cell r="E368">
            <v>133.33000000000001</v>
          </cell>
          <cell r="F368">
            <v>0</v>
          </cell>
          <cell r="G368">
            <v>142.98750000000001</v>
          </cell>
        </row>
        <row r="369">
          <cell r="A369">
            <v>467</v>
          </cell>
          <cell r="B369" t="str">
            <v>ISOLADOR DE PINO TP HI-POT CILINDRICO CLASSE 15KV. FORNECIMENTO E
INSTALACAO.</v>
          </cell>
          <cell r="C369" t="str">
            <v>UM</v>
          </cell>
          <cell r="D369">
            <v>7.726</v>
          </cell>
          <cell r="E369">
            <v>133.33000000000001</v>
          </cell>
          <cell r="F369">
            <v>0</v>
          </cell>
          <cell r="G369">
            <v>141.05600000000001</v>
          </cell>
        </row>
        <row r="370">
          <cell r="A370">
            <v>468</v>
          </cell>
          <cell r="B370" t="str">
            <v>POSTE CONCRETO SEÇÃO CIRCULAR COMPRIMENTO=10M CARGA NOMINAL NO TOPO 600KG
INCLUSIVE ESCAVACAO...</v>
          </cell>
          <cell r="C370" t="str">
            <v>UM</v>
          </cell>
          <cell r="D370">
            <v>334.85719999999998</v>
          </cell>
          <cell r="E370">
            <v>882.80720000000008</v>
          </cell>
          <cell r="F370">
            <v>0</v>
          </cell>
          <cell r="G370">
            <v>1217.6644000000001</v>
          </cell>
        </row>
        <row r="371">
          <cell r="A371">
            <v>469</v>
          </cell>
          <cell r="B371" t="str">
            <v>CAIXA DE MEDICAO EM ALTA TENSAO - FORNECIMENTO E INSTALACAO</v>
          </cell>
          <cell r="C371" t="str">
            <v>UM</v>
          </cell>
          <cell r="D371">
            <v>29.306099999999997</v>
          </cell>
          <cell r="E371">
            <v>254.0033</v>
          </cell>
          <cell r="F371">
            <v>0</v>
          </cell>
          <cell r="G371">
            <v>283.30939999999998</v>
          </cell>
        </row>
        <row r="372">
          <cell r="A372">
            <v>470</v>
          </cell>
          <cell r="B372" t="str">
            <v>CONECTOR TIPO PARAFUSO FENDIDO 50 MM2</v>
          </cell>
          <cell r="C372" t="str">
            <v>UM</v>
          </cell>
          <cell r="D372">
            <v>15.452</v>
          </cell>
          <cell r="E372">
            <v>8.1</v>
          </cell>
          <cell r="F372">
            <v>0</v>
          </cell>
          <cell r="G372">
            <v>23.552</v>
          </cell>
        </row>
        <row r="373">
          <cell r="A373">
            <v>471</v>
          </cell>
          <cell r="B373" t="str">
            <v>CAIXA DE PASSAGEM 20X20X25 FUNDO BRITA COM TAMPA</v>
          </cell>
          <cell r="C373" t="str">
            <v>UN</v>
          </cell>
          <cell r="D373">
            <v>39.464161000000004</v>
          </cell>
          <cell r="E373">
            <v>28.903701999999999</v>
          </cell>
          <cell r="F373">
            <v>0</v>
          </cell>
          <cell r="G373">
            <v>68.367863</v>
          </cell>
        </row>
        <row r="374">
          <cell r="A374">
            <v>472</v>
          </cell>
          <cell r="B374" t="str">
            <v>DISSIPADOR DE ENERGIA</v>
          </cell>
          <cell r="C374" t="str">
            <v>UM</v>
          </cell>
          <cell r="D374">
            <v>168.060393</v>
          </cell>
          <cell r="E374">
            <v>142.91881799999999</v>
          </cell>
          <cell r="F374">
            <v>0</v>
          </cell>
          <cell r="G374" t="e">
            <v>#N/A</v>
          </cell>
        </row>
        <row r="375">
          <cell r="A375">
            <v>473</v>
          </cell>
          <cell r="B375" t="str">
            <v>DEMOLIÇÃO MANUAL DE BANCADA C/ TRANSP. ATÉ CB. E CARGA</v>
          </cell>
          <cell r="C375" t="str">
            <v>M2</v>
          </cell>
          <cell r="D375">
            <v>4.32</v>
          </cell>
          <cell r="E375">
            <v>0</v>
          </cell>
          <cell r="F375">
            <v>0</v>
          </cell>
          <cell r="G375">
            <v>4.32</v>
          </cell>
        </row>
        <row r="376">
          <cell r="A376">
            <v>474</v>
          </cell>
          <cell r="B376" t="str">
            <v>INTERRUPTOR DIFERENCIAL DR 25A - 30MA</v>
          </cell>
          <cell r="C376" t="str">
            <v>UN</v>
          </cell>
          <cell r="D376">
            <v>23.177999999999997</v>
          </cell>
          <cell r="E376">
            <v>129.58000000000001</v>
          </cell>
          <cell r="F376">
            <v>0</v>
          </cell>
          <cell r="G376">
            <v>152.75800000000001</v>
          </cell>
        </row>
        <row r="377">
          <cell r="A377">
            <v>475</v>
          </cell>
          <cell r="B377" t="str">
            <v>CONECTOR TIPO PARAFUSO FENDIDO 50 MM2</v>
          </cell>
          <cell r="C377" t="str">
            <v>UM</v>
          </cell>
          <cell r="D377">
            <v>2.5495800000000002</v>
          </cell>
          <cell r="E377">
            <v>1.36</v>
          </cell>
          <cell r="F377">
            <v>0</v>
          </cell>
          <cell r="G377">
            <v>3.9095800000000001</v>
          </cell>
        </row>
        <row r="378">
          <cell r="A378">
            <v>476</v>
          </cell>
          <cell r="B378" t="str">
            <v>CAIXA DE EMBUTIR 40X40X12</v>
          </cell>
          <cell r="C378" t="str">
            <v>UM</v>
          </cell>
          <cell r="D378">
            <v>77.259999999999991</v>
          </cell>
          <cell r="E378">
            <v>147.87</v>
          </cell>
          <cell r="F378">
            <v>0</v>
          </cell>
          <cell r="G378">
            <v>225.13</v>
          </cell>
        </row>
        <row r="379">
          <cell r="A379">
            <v>477</v>
          </cell>
          <cell r="B379" t="str">
            <v>REVISÃO DA COBERTURA PARA LIMPEZA DAS CALHAS, FIXAÇÃO DOS RUFOS E MANTAS</v>
          </cell>
          <cell r="C379" t="str">
            <v>M2</v>
          </cell>
          <cell r="D379">
            <v>3.3834240000000002</v>
          </cell>
          <cell r="E379">
            <v>0</v>
          </cell>
          <cell r="F379">
            <v>0</v>
          </cell>
          <cell r="G379">
            <v>3.3834240000000002</v>
          </cell>
        </row>
        <row r="380">
          <cell r="A380">
            <v>478</v>
          </cell>
          <cell r="B380" t="str">
            <v>REVISÃO DO PORTÃO METALICO CASE P1-UMA FOLHA CORRER - 400X460 CM ( DESEMPENO, REINSTALÇÃO, CALAFETAÇÃO)</v>
          </cell>
          <cell r="C380" t="str">
            <v>M2</v>
          </cell>
          <cell r="D380">
            <v>79.242409999999992</v>
          </cell>
          <cell r="E380">
            <v>10.559325999999999</v>
          </cell>
          <cell r="F380">
            <v>0</v>
          </cell>
          <cell r="G380">
            <v>89.801735999999991</v>
          </cell>
        </row>
        <row r="381">
          <cell r="A381">
            <v>479</v>
          </cell>
          <cell r="B381" t="str">
            <v>REVISÃO E REGULAGEM DE ESQUADRIAS ( REPOSIÇÃO DE LINGUETAS, FECHADURAS, MAÇANETAS, PUXADORES, ETC.)</v>
          </cell>
          <cell r="C381" t="str">
            <v>M2</v>
          </cell>
          <cell r="D381">
            <v>4.5050000000000008</v>
          </cell>
          <cell r="E381">
            <v>14.485679999999999</v>
          </cell>
          <cell r="F381">
            <v>0</v>
          </cell>
          <cell r="G381">
            <v>18.990679999999998</v>
          </cell>
        </row>
        <row r="382">
          <cell r="A382">
            <v>480</v>
          </cell>
          <cell r="B382" t="str">
            <v>BARRA DE APOIO RETA, EM ACO INOX POLIDO, COMPRIMENTO 40 CM, FIXADA NA PAREDE - FORNECIMENTO E INSTALAÇÃO. AF_01/2020</v>
          </cell>
          <cell r="C382" t="str">
            <v>M</v>
          </cell>
          <cell r="D382">
            <v>13.103999999999999</v>
          </cell>
          <cell r="E382">
            <v>103.69</v>
          </cell>
          <cell r="F382">
            <v>0</v>
          </cell>
          <cell r="G382">
            <v>116.794</v>
          </cell>
        </row>
        <row r="383">
          <cell r="A383">
            <v>481</v>
          </cell>
          <cell r="B383" t="str">
            <v>REQUADRO ABERTURA PORTA 90X210 CM</v>
          </cell>
          <cell r="C383" t="str">
            <v>M2</v>
          </cell>
          <cell r="D383">
            <v>19.902452</v>
          </cell>
          <cell r="E383">
            <v>16.34385</v>
          </cell>
          <cell r="F383">
            <v>0</v>
          </cell>
          <cell r="G383" t="e">
            <v>#N/A</v>
          </cell>
        </row>
        <row r="384">
          <cell r="A384">
            <v>482</v>
          </cell>
          <cell r="B384" t="str">
            <v>PISO PODOTÁTIL CONCRETO 25X25 DIRECIONAL</v>
          </cell>
          <cell r="C384" t="str">
            <v>M2</v>
          </cell>
          <cell r="D384">
            <v>26.110093999999997</v>
          </cell>
          <cell r="E384">
            <v>65.552500000000009</v>
          </cell>
          <cell r="F384">
            <v>0</v>
          </cell>
          <cell r="G384">
            <v>91.662594000000013</v>
          </cell>
        </row>
        <row r="385">
          <cell r="A385">
            <v>483</v>
          </cell>
          <cell r="B385" t="str">
            <v>PISO PODOTÁTIL CONCRETO 15X15 DIRECIONAL</v>
          </cell>
          <cell r="C385" t="str">
            <v>M2</v>
          </cell>
          <cell r="D385">
            <v>52.220187999999993</v>
          </cell>
          <cell r="E385">
            <v>68.251000000000005</v>
          </cell>
          <cell r="F385">
            <v>0</v>
          </cell>
          <cell r="G385" t="e">
            <v>#N/A</v>
          </cell>
        </row>
        <row r="386">
          <cell r="A386">
            <v>484</v>
          </cell>
          <cell r="B386" t="str">
            <v>RASPAGEM E APLICAÇÃO DE RESINA EM PISO GRANITINA</v>
          </cell>
          <cell r="C386" t="str">
            <v>M2</v>
          </cell>
          <cell r="D386">
            <v>0</v>
          </cell>
          <cell r="E386">
            <v>17.010000000000002</v>
          </cell>
          <cell r="F386">
            <v>0</v>
          </cell>
          <cell r="G386" t="e">
            <v>#N/A</v>
          </cell>
        </row>
        <row r="387">
          <cell r="A387">
            <v>485</v>
          </cell>
          <cell r="B387" t="str">
            <v>PINTURA LATEX ACRÍLICA UMA DEMÃO - PAREDES INTERNAS ( MANTER COR EXIST.)</v>
          </cell>
          <cell r="C387" t="str">
            <v>M2</v>
          </cell>
          <cell r="D387">
            <v>4.1657930000000007</v>
          </cell>
          <cell r="E387">
            <v>0.96940000000000004</v>
          </cell>
          <cell r="F387">
            <v>0</v>
          </cell>
          <cell r="G387" t="e">
            <v>#N/A</v>
          </cell>
        </row>
        <row r="388">
          <cell r="A388">
            <v>486</v>
          </cell>
          <cell r="B388" t="str">
            <v>PINTURA LATEX PVA UMA DEMÃO - TETO ( MANTER COR EXIST.)</v>
          </cell>
          <cell r="C388" t="str">
            <v>M2</v>
          </cell>
          <cell r="D388">
            <v>2.4847900000000003</v>
          </cell>
          <cell r="E388">
            <v>3.2854999999999999</v>
          </cell>
          <cell r="F388">
            <v>0</v>
          </cell>
          <cell r="G388" t="e">
            <v>#N/A</v>
          </cell>
        </row>
        <row r="389">
          <cell r="A389">
            <v>487</v>
          </cell>
          <cell r="B389" t="str">
            <v>CALAFETAÇÃO PARA REPARO PINTURA ESQUADRIAS METÁLICAS</v>
          </cell>
          <cell r="C389" t="str">
            <v>M2</v>
          </cell>
          <cell r="D389">
            <v>2.6587610000000002</v>
          </cell>
          <cell r="E389">
            <v>3.0678319999999997</v>
          </cell>
          <cell r="F389">
            <v>0</v>
          </cell>
          <cell r="G389" t="e">
            <v>#N/A</v>
          </cell>
        </row>
        <row r="390">
          <cell r="A390">
            <v>488</v>
          </cell>
          <cell r="B390" t="str">
            <v>BANCADA DE ARDÓSIA POLIDA</v>
          </cell>
          <cell r="C390" t="str">
            <v>M2</v>
          </cell>
          <cell r="D390">
            <v>52.764523999999994</v>
          </cell>
          <cell r="E390">
            <v>172.79999999999998</v>
          </cell>
          <cell r="F390">
            <v>0</v>
          </cell>
          <cell r="G390" t="e">
            <v>#N/A</v>
          </cell>
        </row>
        <row r="391">
          <cell r="A391">
            <v>489</v>
          </cell>
          <cell r="B391" t="str">
            <v>CHAPIM DE CONCRETO</v>
          </cell>
          <cell r="C391" t="str">
            <v>M</v>
          </cell>
          <cell r="D391">
            <v>6.2131880000000006</v>
          </cell>
          <cell r="E391">
            <v>13.317730000000001</v>
          </cell>
          <cell r="F391">
            <v>0</v>
          </cell>
          <cell r="G391">
            <v>19.530918</v>
          </cell>
        </row>
        <row r="392">
          <cell r="A392">
            <v>490</v>
          </cell>
          <cell r="B392" t="str">
            <v>PINTURA PVA LATEX UMA DEMÃO - PAREDES INTERNAS ( MANTER COR EXIST.)</v>
          </cell>
          <cell r="C392" t="str">
            <v>M2</v>
          </cell>
          <cell r="D392">
            <v>3.7436680000000004</v>
          </cell>
          <cell r="E392">
            <v>2.0569999999999999</v>
          </cell>
          <cell r="F392">
            <v>0</v>
          </cell>
          <cell r="G392">
            <v>5.8006679999999999</v>
          </cell>
        </row>
        <row r="393">
          <cell r="A393">
            <v>491</v>
          </cell>
          <cell r="B393" t="str">
            <v>FECH.(ALAV.) LAFONTE 6236 I /8766- I18 IMAB OU EQUIV.</v>
          </cell>
          <cell r="C393" t="str">
            <v>UN</v>
          </cell>
          <cell r="D393">
            <v>27.16</v>
          </cell>
          <cell r="E393">
            <v>77.400000000000006</v>
          </cell>
          <cell r="F393">
            <v>0</v>
          </cell>
          <cell r="G393">
            <v>104.56</v>
          </cell>
        </row>
        <row r="394">
          <cell r="A394">
            <v>492</v>
          </cell>
          <cell r="B394" t="str">
            <v>PINTURA ESMALTE ACETINADO 1 DEMÃO - ESQUADRIA DE MADEIRA</v>
          </cell>
          <cell r="C394" t="str">
            <v>M2</v>
          </cell>
          <cell r="D394">
            <v>10.377149000000001</v>
          </cell>
          <cell r="E394">
            <v>9.7460280000000008</v>
          </cell>
          <cell r="F394">
            <v>0</v>
          </cell>
          <cell r="G394">
            <v>20.123177000000002</v>
          </cell>
        </row>
        <row r="395">
          <cell r="A395">
            <v>493</v>
          </cell>
          <cell r="B395" t="str">
            <v>INTERRUPTOR SIMPLES-6 TECLAS-FORNECIMENTO E INSTALAÇÃO</v>
          </cell>
          <cell r="C395" t="str">
            <v>UM</v>
          </cell>
          <cell r="D395">
            <v>38.629999999999995</v>
          </cell>
          <cell r="E395">
            <v>55.43</v>
          </cell>
          <cell r="F395">
            <v>0</v>
          </cell>
          <cell r="G395">
            <v>94.06</v>
          </cell>
        </row>
        <row r="396">
          <cell r="A396">
            <v>494</v>
          </cell>
          <cell r="B396" t="str">
            <v>LÂMPADA COMPACTA ELETRONICA C/REATOR INTEGRADO 25/26W</v>
          </cell>
          <cell r="C396" t="str">
            <v>UM</v>
          </cell>
          <cell r="D396">
            <v>3.0903999999999998</v>
          </cell>
          <cell r="E396">
            <v>12.21</v>
          </cell>
          <cell r="F396">
            <v>0</v>
          </cell>
          <cell r="G396">
            <v>15.3004</v>
          </cell>
        </row>
        <row r="397">
          <cell r="A397">
            <v>495</v>
          </cell>
          <cell r="B397" t="str">
            <v>LUMINÁRIA PAFLON SOBREPOR P/ LAMPADA COMPACTA ELETRONICA 1X26W</v>
          </cell>
          <cell r="C397" t="str">
            <v>UM</v>
          </cell>
          <cell r="D397">
            <v>15.456788999999999</v>
          </cell>
          <cell r="E397">
            <v>36.28</v>
          </cell>
          <cell r="F397">
            <v>0</v>
          </cell>
          <cell r="G397">
            <v>51.736789000000002</v>
          </cell>
        </row>
        <row r="398">
          <cell r="A398">
            <v>496</v>
          </cell>
          <cell r="B398" t="str">
            <v>TOMADA HEXAGONAL 2P + T - 10A</v>
          </cell>
          <cell r="C398" t="str">
            <v>UM</v>
          </cell>
          <cell r="D398">
            <v>11.2027</v>
          </cell>
          <cell r="E398">
            <v>5.58</v>
          </cell>
          <cell r="F398">
            <v>0</v>
          </cell>
          <cell r="G398">
            <v>16.782699999999998</v>
          </cell>
        </row>
        <row r="399">
          <cell r="A399">
            <v>497</v>
          </cell>
          <cell r="B399" t="str">
            <v>VÁLVULA DE DESCARGA DUPLO ACIONAMENTO COM ACABAMENTO CROMADO ANTIVANDALISMO</v>
          </cell>
          <cell r="C399" t="str">
            <v>UM</v>
          </cell>
          <cell r="D399">
            <v>60.95232</v>
          </cell>
          <cell r="E399">
            <v>188.76320000000001</v>
          </cell>
          <cell r="F399">
            <v>0</v>
          </cell>
          <cell r="G399">
            <v>249.71552000000003</v>
          </cell>
        </row>
        <row r="400">
          <cell r="A400">
            <v>498</v>
          </cell>
          <cell r="B400" t="str">
            <v>VALVULA PARA CHUVEIRO COM TEMPORIZADOR</v>
          </cell>
          <cell r="C400" t="str">
            <v>UM</v>
          </cell>
          <cell r="D400">
            <v>60.95232</v>
          </cell>
          <cell r="E400">
            <v>532.73320000000001</v>
          </cell>
          <cell r="F400">
            <v>0</v>
          </cell>
          <cell r="G400">
            <v>593.68552</v>
          </cell>
        </row>
        <row r="401">
          <cell r="A401">
            <v>499</v>
          </cell>
          <cell r="B401" t="str">
            <v>RETIRADA C/REAPROVEITAMENTO DE PORTÃO PG4</v>
          </cell>
          <cell r="C401" t="str">
            <v>M2</v>
          </cell>
          <cell r="D401">
            <v>6.9120000000000008</v>
          </cell>
          <cell r="E401">
            <v>4.1302500000000002</v>
          </cell>
          <cell r="F401">
            <v>0</v>
          </cell>
          <cell r="G401">
            <v>11.042250000000001</v>
          </cell>
        </row>
        <row r="402">
          <cell r="A402">
            <v>500</v>
          </cell>
          <cell r="B402" t="str">
            <v>ADAPTADOR CURTO C/BOLSA ROSCA P/REGISTRO, PVC, SOLDÁVEL 25MM X 3/4"</v>
          </cell>
          <cell r="C402" t="str">
            <v>UN</v>
          </cell>
          <cell r="D402">
            <v>3.3696000000000002</v>
          </cell>
          <cell r="E402">
            <v>0.86209999999999998</v>
          </cell>
          <cell r="F402">
            <v>0</v>
          </cell>
          <cell r="G402">
            <v>4.2317</v>
          </cell>
        </row>
        <row r="403">
          <cell r="A403">
            <v>501</v>
          </cell>
          <cell r="B403" t="str">
            <v>BUCHA DE RED. SOLD. CURTA 60MM X 50MM</v>
          </cell>
          <cell r="C403" t="str">
            <v>UM</v>
          </cell>
          <cell r="D403">
            <v>6.7392000000000003</v>
          </cell>
          <cell r="E403">
            <v>11.65</v>
          </cell>
          <cell r="F403">
            <v>0</v>
          </cell>
          <cell r="G403">
            <v>18.389200000000002</v>
          </cell>
        </row>
        <row r="404">
          <cell r="A404">
            <v>502</v>
          </cell>
          <cell r="B404" t="str">
            <v>JOELHO 45º SOLD. 25MM</v>
          </cell>
          <cell r="C404" t="str">
            <v>UM</v>
          </cell>
          <cell r="D404">
            <v>6.7392000000000003</v>
          </cell>
          <cell r="E404">
            <v>1.21</v>
          </cell>
          <cell r="F404">
            <v>0</v>
          </cell>
          <cell r="G404">
            <v>7.9492000000000003</v>
          </cell>
        </row>
        <row r="405">
          <cell r="A405">
            <v>503</v>
          </cell>
          <cell r="B405" t="str">
            <v>JOELHO 90º SOLD. 25MM</v>
          </cell>
          <cell r="C405" t="str">
            <v>UM</v>
          </cell>
          <cell r="D405">
            <v>6.7392000000000003</v>
          </cell>
          <cell r="E405">
            <v>0.59</v>
          </cell>
          <cell r="F405">
            <v>0</v>
          </cell>
          <cell r="G405">
            <v>7.3292000000000002</v>
          </cell>
        </row>
        <row r="406">
          <cell r="A406">
            <v>504</v>
          </cell>
          <cell r="B406" t="str">
            <v>JOELHO REDUÇÃO 90º SOLD. C/BUCHA DE LATÃO 25X1/2"</v>
          </cell>
          <cell r="C406" t="str">
            <v>UN</v>
          </cell>
          <cell r="D406">
            <v>4.26816</v>
          </cell>
          <cell r="E406">
            <v>4.97</v>
          </cell>
          <cell r="F406">
            <v>0</v>
          </cell>
          <cell r="G406">
            <v>9.2381600000000006</v>
          </cell>
        </row>
        <row r="407">
          <cell r="A407">
            <v>505</v>
          </cell>
          <cell r="B407" t="str">
            <v>TÊ DE REDUÇÃO 90º SOLD.85 X 60MM</v>
          </cell>
          <cell r="C407" t="str">
            <v>UM</v>
          </cell>
          <cell r="D407">
            <v>16.848000000000003</v>
          </cell>
          <cell r="E407">
            <v>62.7</v>
          </cell>
          <cell r="F407">
            <v>0</v>
          </cell>
          <cell r="G407">
            <v>79.548000000000002</v>
          </cell>
        </row>
        <row r="408">
          <cell r="A408">
            <v>506</v>
          </cell>
          <cell r="B408" t="str">
            <v>Tê 90º sold. 25mm</v>
          </cell>
          <cell r="C408" t="str">
            <v>UM</v>
          </cell>
          <cell r="D408">
            <v>7.1136000000000008</v>
          </cell>
          <cell r="E408">
            <v>1.01</v>
          </cell>
          <cell r="F408">
            <v>0</v>
          </cell>
          <cell r="G408">
            <v>8.1236000000000015</v>
          </cell>
        </row>
        <row r="409">
          <cell r="A409">
            <v>507</v>
          </cell>
          <cell r="B409" t="str">
            <v>TÊ 90º SOLD C/BUCHA DE LATÃO NA BOLSA CENTRAL25X25X3/4"</v>
          </cell>
          <cell r="C409" t="str">
            <v>UM</v>
          </cell>
          <cell r="D409">
            <v>7.1136000000000008</v>
          </cell>
          <cell r="E409">
            <v>8.94</v>
          </cell>
          <cell r="F409">
            <v>0</v>
          </cell>
          <cell r="G409">
            <v>16.053599999999999</v>
          </cell>
        </row>
        <row r="410">
          <cell r="A410">
            <v>508</v>
          </cell>
          <cell r="B410" t="str">
            <v>EXTINTOR DE INCÊNDIO ESPUMA MECÂANICA</v>
          </cell>
          <cell r="C410" t="str">
            <v>UM</v>
          </cell>
          <cell r="D410">
            <v>11.042999999999999</v>
          </cell>
          <cell r="E410">
            <v>150</v>
          </cell>
          <cell r="F410">
            <v>0</v>
          </cell>
          <cell r="G410">
            <v>161.04300000000001</v>
          </cell>
        </row>
        <row r="411">
          <cell r="A411">
            <v>509</v>
          </cell>
          <cell r="B411" t="str">
            <v>LIMINÁRIA 1 PETALA VIDRO PLANO 250/400W PADRÃO A</v>
          </cell>
          <cell r="C411" t="str">
            <v>UM</v>
          </cell>
          <cell r="D411">
            <v>48.287499999999994</v>
          </cell>
          <cell r="E411">
            <v>544.38</v>
          </cell>
          <cell r="F411">
            <v>0</v>
          </cell>
          <cell r="G411">
            <v>592.66750000000002</v>
          </cell>
        </row>
        <row r="412">
          <cell r="A412">
            <v>510</v>
          </cell>
          <cell r="B412" t="str">
            <v>LUMINÁRIA FECHADA PARA ILUMINAÇÃO PÚBLICA COM ALOJAMENTO PARA REATOR</v>
          </cell>
          <cell r="C412" t="str">
            <v>UM</v>
          </cell>
          <cell r="D412">
            <v>19.314999999999998</v>
          </cell>
          <cell r="E412">
            <v>391.03</v>
          </cell>
          <cell r="F412">
            <v>0</v>
          </cell>
          <cell r="G412">
            <v>391.03</v>
          </cell>
        </row>
        <row r="413">
          <cell r="A413">
            <v>518</v>
          </cell>
          <cell r="B413" t="str">
            <v>DISJUNTOR MONOPOLAR DE 10 A 32A</v>
          </cell>
          <cell r="C413" t="str">
            <v>UN</v>
          </cell>
          <cell r="D413">
            <v>11.588999999999999</v>
          </cell>
          <cell r="E413">
            <v>8.41</v>
          </cell>
          <cell r="F413">
            <v>0</v>
          </cell>
          <cell r="G413">
            <v>19.998999999999999</v>
          </cell>
        </row>
        <row r="414">
          <cell r="A414">
            <v>524</v>
          </cell>
          <cell r="B414" t="str">
            <v>ABRIGO PARA HIDRANTE, 90X60X17CM, COM REGISTRO GLOBO ANGULAR 45 GRAUS 2 1/2", ADAPTADOR STORZ 2 1/2", MANGUEIRA DE INCÊNDIO 15M, REDUÇÃO 2 1/2" X 1 1/2" E ESGUICHO EM LATÃO 1 1/2"</v>
          </cell>
          <cell r="C414" t="str">
            <v>UN</v>
          </cell>
          <cell r="D414">
            <v>113.70528</v>
          </cell>
          <cell r="E414">
            <v>1778.98</v>
          </cell>
          <cell r="F414">
            <v>0</v>
          </cell>
          <cell r="G414">
            <v>1892.6852799999999</v>
          </cell>
        </row>
        <row r="415">
          <cell r="A415">
            <v>525</v>
          </cell>
          <cell r="B415" t="str">
            <v>ADEQUAÇÃO DO ABRIGO PARA HIDRANTE, 90X60X17CM, ADAPTADOR STORZ 2 1/2", MANGUEIRAS DE INCÊNDIO 15M, REDUÇÃO 2 1/2" X 1 1/2" E ESGUICHO EM LATÃO 1 1/2"</v>
          </cell>
          <cell r="C415" t="str">
            <v>UN</v>
          </cell>
          <cell r="D415">
            <v>83.476224000000002</v>
          </cell>
          <cell r="E415">
            <v>1306.4099999999999</v>
          </cell>
          <cell r="F415">
            <v>0</v>
          </cell>
          <cell r="G415">
            <v>1389.8862239999999</v>
          </cell>
        </row>
        <row r="416">
          <cell r="A416">
            <v>526</v>
          </cell>
          <cell r="B416" t="str">
            <v>CURVA 45 GRAUS DE FERRO GALVANIZADO, COM ROSCA BSP FEMEA, DE 2 1/2"</v>
          </cell>
          <cell r="C416" t="str">
            <v>UN</v>
          </cell>
          <cell r="D416">
            <v>23.175359999999998</v>
          </cell>
          <cell r="E416">
            <v>139.41</v>
          </cell>
          <cell r="F416">
            <v>0</v>
          </cell>
          <cell r="G416">
            <v>162.58535999999998</v>
          </cell>
        </row>
        <row r="417">
          <cell r="A417">
            <v>527</v>
          </cell>
          <cell r="B417" t="str">
            <v>NIPLE DE REDUCAO DE FERRO GALVANIZADO, COM ROSCA BSP, DE 2" X 1 1/2"</v>
          </cell>
          <cell r="C417" t="str">
            <v>UN</v>
          </cell>
          <cell r="D417">
            <v>23.175359999999998</v>
          </cell>
          <cell r="E417">
            <v>31.855</v>
          </cell>
          <cell r="F417">
            <v>0</v>
          </cell>
          <cell r="G417">
            <v>55.030360000000002</v>
          </cell>
        </row>
        <row r="418">
          <cell r="A418">
            <v>528</v>
          </cell>
          <cell r="B418" t="str">
            <v>NIPLE DE FERRO GALVANIZADO, COM ROSCA BSP, DE 2 1/2"</v>
          </cell>
          <cell r="C418" t="str">
            <v>UN</v>
          </cell>
          <cell r="D418">
            <v>27.55584</v>
          </cell>
          <cell r="E418">
            <v>37.801400000000001</v>
          </cell>
          <cell r="F418">
            <v>0</v>
          </cell>
          <cell r="G418">
            <v>65.357240000000004</v>
          </cell>
        </row>
        <row r="419">
          <cell r="A419">
            <v>529</v>
          </cell>
          <cell r="B419" t="str">
            <v>TAMPAO COM CORRENTE, EM LATAO, ENGATE RAPIDO 2 1/2", PARA INSTALACAO PREDIAL DE COMBATE A INCENDIO</v>
          </cell>
          <cell r="C419" t="str">
            <v>UN</v>
          </cell>
          <cell r="D419">
            <v>5.6159999999999997</v>
          </cell>
          <cell r="E419">
            <v>94.28</v>
          </cell>
          <cell r="F419">
            <v>0</v>
          </cell>
          <cell r="G419">
            <v>99.896000000000001</v>
          </cell>
        </row>
        <row r="420">
          <cell r="A420">
            <v>530</v>
          </cell>
          <cell r="B420" t="str">
            <v>REDUCAO FIXA TIPO STORZ, ENGATE RAPIDO 2.1/2" X 1.1/2", EM LATAO, PARA INSTALACAO PREDIAL COMBATE A INCENDIO PREDIAL</v>
          </cell>
          <cell r="C420" t="str">
            <v>UN</v>
          </cell>
          <cell r="D420">
            <v>5.6159999999999997</v>
          </cell>
          <cell r="E420">
            <v>128.95999999999998</v>
          </cell>
          <cell r="F420">
            <v>0</v>
          </cell>
          <cell r="G420">
            <v>134.57599999999996</v>
          </cell>
        </row>
        <row r="421">
          <cell r="A421">
            <v>531</v>
          </cell>
          <cell r="B421" t="str">
            <v>TAMPAO COM CORRENTE, EM LATAO, ENGATE RAPIDO 1 1/2", PARA INSTALACAO PREDIAL DE COMBATE A INCENDIO</v>
          </cell>
          <cell r="C421" t="str">
            <v>UN</v>
          </cell>
          <cell r="D421">
            <v>5.6159999999999997</v>
          </cell>
          <cell r="E421">
            <v>70.28</v>
          </cell>
          <cell r="F421">
            <v>0</v>
          </cell>
          <cell r="G421">
            <v>75.896000000000001</v>
          </cell>
        </row>
        <row r="422">
          <cell r="A422">
            <v>532</v>
          </cell>
          <cell r="B422" t="str">
            <v>TAMPA FERRO FUNDIDO (INCENDIO) 40 X 60 CM</v>
          </cell>
          <cell r="C422" t="str">
            <v>UN</v>
          </cell>
          <cell r="D422">
            <v>53.43127097</v>
          </cell>
          <cell r="E422">
            <v>260.05094918600003</v>
          </cell>
          <cell r="F422">
            <v>0</v>
          </cell>
          <cell r="G422">
            <v>313.48222015600004</v>
          </cell>
        </row>
        <row r="423">
          <cell r="A423">
            <v>533</v>
          </cell>
          <cell r="B423" t="str">
            <v>BOMBA INCÊNDIO 7,5 CV TRIFÁSICA 220/380V BPI-22 R 2.1/2 POL 155 MM IR-3 SCHNEIDER</v>
          </cell>
          <cell r="C423" t="str">
            <v>UN</v>
          </cell>
          <cell r="D423">
            <v>299.52</v>
          </cell>
          <cell r="E423">
            <v>4588.42</v>
          </cell>
          <cell r="F423">
            <v>0</v>
          </cell>
          <cell r="G423">
            <v>4887.9400000000005</v>
          </cell>
        </row>
        <row r="424">
          <cell r="A424">
            <v>534</v>
          </cell>
          <cell r="B424" t="str">
            <v>TE 45 GRAUS DE FERRO GALVANIZADO, COM ROSCA BSP, DE 2 1/2"</v>
          </cell>
          <cell r="C424" t="str">
            <v>UN</v>
          </cell>
          <cell r="D424">
            <v>34.819200000000002</v>
          </cell>
          <cell r="E424">
            <v>180.001</v>
          </cell>
          <cell r="F424">
            <v>0</v>
          </cell>
          <cell r="G424">
            <v>214.8202</v>
          </cell>
        </row>
        <row r="425">
          <cell r="A425">
            <v>535</v>
          </cell>
          <cell r="B425" t="str">
            <v>UNIAO COM ASSENTO CONICO DE BRONZE, DIAMETRO 2 1/2"</v>
          </cell>
          <cell r="C425" t="str">
            <v>UN</v>
          </cell>
          <cell r="D425">
            <v>34.819200000000002</v>
          </cell>
          <cell r="E425">
            <v>180.15771999999998</v>
          </cell>
          <cell r="F425">
            <v>0</v>
          </cell>
          <cell r="G425">
            <v>214.97691999999998</v>
          </cell>
        </row>
        <row r="426">
          <cell r="A426">
            <v>536</v>
          </cell>
          <cell r="B426" t="str">
            <v>PARAFUSO SEXTAVADO D=1/4" X 5/8" COM BUCHA S-11</v>
          </cell>
          <cell r="C426" t="str">
            <v>UN</v>
          </cell>
          <cell r="D426">
            <v>1.027558</v>
          </cell>
          <cell r="E426">
            <v>0.48</v>
          </cell>
          <cell r="F426">
            <v>0</v>
          </cell>
          <cell r="G426">
            <v>1.507558</v>
          </cell>
        </row>
        <row r="427">
          <cell r="A427">
            <v>537</v>
          </cell>
          <cell r="B427" t="str">
            <v>ABRAÇADEIRA TIPO D 1" COM CUNHA</v>
          </cell>
          <cell r="C427" t="str">
            <v>UN</v>
          </cell>
          <cell r="D427">
            <v>0.38629999999999998</v>
          </cell>
          <cell r="E427">
            <v>0.56999999999999995</v>
          </cell>
          <cell r="F427">
            <v>0</v>
          </cell>
          <cell r="G427">
            <v>0.95629999999999993</v>
          </cell>
        </row>
        <row r="428">
          <cell r="A428">
            <v>538</v>
          </cell>
          <cell r="B428" t="str">
            <v>CAIXA DE INSPEÇÃO SUSPENSA</v>
          </cell>
          <cell r="C428" t="str">
            <v>UN</v>
          </cell>
          <cell r="D428">
            <v>5.7944999999999993</v>
          </cell>
          <cell r="E428">
            <v>76.625</v>
          </cell>
          <cell r="G428">
            <v>82.419499999999999</v>
          </cell>
        </row>
        <row r="429">
          <cell r="A429">
            <v>639</v>
          </cell>
          <cell r="B429" t="str">
            <v>CONJUNTO PARA ESTAIS RÍGIDO + ABRAÇADEIRA 2" 3M</v>
          </cell>
          <cell r="C429" t="str">
            <v>UN</v>
          </cell>
          <cell r="D429">
            <v>18.001580000000001</v>
          </cell>
          <cell r="E429">
            <v>384.24</v>
          </cell>
          <cell r="G429">
            <v>402.24158</v>
          </cell>
        </row>
        <row r="430">
          <cell r="A430">
            <v>640</v>
          </cell>
          <cell r="B430" t="str">
            <v>CONJUNTO PARA ESTAIS RÍGIDO + ABRAÇADEIRA 2" 3M</v>
          </cell>
          <cell r="C430" t="str">
            <v>UN</v>
          </cell>
          <cell r="D430">
            <v>12.462038</v>
          </cell>
          <cell r="E430">
            <v>222.64000000000001</v>
          </cell>
          <cell r="F430">
            <v>0</v>
          </cell>
          <cell r="G430">
            <v>235.10203800000002</v>
          </cell>
        </row>
        <row r="431">
          <cell r="A431">
            <v>541</v>
          </cell>
          <cell r="B431" t="str">
            <v>ABRACADEIRA-GUIA REFORCADA 2" DUAS DESCIDAS</v>
          </cell>
          <cell r="C431" t="str">
            <v>UN</v>
          </cell>
          <cell r="D431">
            <v>12.222532000000001</v>
          </cell>
          <cell r="E431">
            <v>63.305</v>
          </cell>
          <cell r="F431">
            <v>0</v>
          </cell>
          <cell r="G431">
            <v>75.527532000000008</v>
          </cell>
        </row>
        <row r="432">
          <cell r="A432">
            <v>542</v>
          </cell>
          <cell r="B432" t="str">
            <v>SUPORTE ISOLADOR SIMPLES PARA BEIRAL</v>
          </cell>
          <cell r="C432" t="str">
            <v>UN</v>
          </cell>
          <cell r="D432">
            <v>13.520499999999998</v>
          </cell>
          <cell r="E432">
            <v>52.99</v>
          </cell>
          <cell r="F432">
            <v>0</v>
          </cell>
          <cell r="G432">
            <v>66.510500000000008</v>
          </cell>
        </row>
        <row r="433">
          <cell r="A433">
            <v>543</v>
          </cell>
          <cell r="B433" t="str">
            <v>TERMINAL AÉREO 5/8" X 350MM</v>
          </cell>
          <cell r="C433" t="str">
            <v>UN</v>
          </cell>
          <cell r="D433">
            <v>13.520499999999998</v>
          </cell>
          <cell r="E433">
            <v>9.27</v>
          </cell>
          <cell r="F433">
            <v>0</v>
          </cell>
          <cell r="G433">
            <v>22.790499999999998</v>
          </cell>
        </row>
        <row r="434">
          <cell r="A434">
            <v>544</v>
          </cell>
          <cell r="B434" t="str">
            <v>MASTRO TELESCÓPICO 5M (4M X ∅ 2" + 1M X ∅ 1.1/2")</v>
          </cell>
          <cell r="C434" t="str">
            <v>UN</v>
          </cell>
          <cell r="D434">
            <v>21.645972999999998</v>
          </cell>
          <cell r="E434">
            <v>399.61157259999999</v>
          </cell>
          <cell r="F434">
            <v>0</v>
          </cell>
          <cell r="G434">
            <v>421.25754559999996</v>
          </cell>
        </row>
        <row r="435">
          <cell r="A435">
            <v>546</v>
          </cell>
          <cell r="B435" t="str">
            <v>FITA DE IDENTIFICAÇÃO</v>
          </cell>
          <cell r="C435" t="str">
            <v>UN</v>
          </cell>
          <cell r="D435">
            <v>0.77259999999999995</v>
          </cell>
          <cell r="E435">
            <v>0.56120000000000003</v>
          </cell>
          <cell r="F435">
            <v>0</v>
          </cell>
          <cell r="G435">
            <v>1.3338000000000001</v>
          </cell>
        </row>
        <row r="436">
          <cell r="A436">
            <v>547</v>
          </cell>
          <cell r="B436" t="str">
            <v>RODAPÉ BASE 129 X 44 X 2000 MM R-130 DA MOPA OU EQUIVALENTE DE MESMO PADRÃO DE QUALIDADE</v>
          </cell>
          <cell r="C436" t="str">
            <v>UN</v>
          </cell>
          <cell r="D436">
            <v>7.726</v>
          </cell>
          <cell r="E436">
            <v>90.01</v>
          </cell>
          <cell r="F436">
            <v>0</v>
          </cell>
          <cell r="G436">
            <v>97.736000000000004</v>
          </cell>
        </row>
        <row r="437">
          <cell r="A437">
            <v>548</v>
          </cell>
          <cell r="B437" t="str">
            <v>TOMADA LÓGICA RJ-45 CAT. 6 (LINHA X OU EQUIVALENTE) - 01 UN</v>
          </cell>
          <cell r="C437" t="str">
            <v>UN</v>
          </cell>
          <cell r="D437">
            <v>14.293099999999999</v>
          </cell>
          <cell r="E437">
            <v>12.69</v>
          </cell>
          <cell r="F437">
            <v>0</v>
          </cell>
          <cell r="G437">
            <v>26.9831</v>
          </cell>
        </row>
        <row r="438">
          <cell r="A438">
            <v>549</v>
          </cell>
          <cell r="B438" t="str">
            <v>SUPORTE DE TOMADA TELEFÔNICA TIPO RJ-45 2 POSIÇÕES 14,7x19,3mm - R-130 DA MOPA ou equivalente de mesmo padrão de qualidade</v>
          </cell>
          <cell r="C438" t="str">
            <v>UN</v>
          </cell>
          <cell r="D438">
            <v>3.863</v>
          </cell>
          <cell r="E438">
            <v>32.56</v>
          </cell>
          <cell r="F438">
            <v>0</v>
          </cell>
          <cell r="G438">
            <v>36.423000000000002</v>
          </cell>
        </row>
        <row r="439">
          <cell r="A439">
            <v>550</v>
          </cell>
          <cell r="B439" t="str">
            <v>RACK METÁLICO, DE PISO, PARA 32Urs, ESTRUTURA SOLDADA, COM 4 COLUNAS, TETO E BASE EM CHAPA DE AÇO, PINTURA ELETROSTÁTICA,FECHAMENTOS REMOVÍVEIS COM FECHO RÁPIDO, PORTA DE AÇO/ACRÍLICO FUMÊ, FECHO TIPO CREMONA, LATERAIS COM ALETAS DE VENTILAÇÃO.</v>
          </cell>
          <cell r="C439" t="str">
            <v>UN</v>
          </cell>
          <cell r="D439">
            <v>77.259999999999991</v>
          </cell>
          <cell r="E439">
            <v>3407.4533333333329</v>
          </cell>
          <cell r="F439">
            <v>0</v>
          </cell>
          <cell r="G439">
            <v>3484.7133333333331</v>
          </cell>
        </row>
        <row r="440">
          <cell r="A440">
            <v>552</v>
          </cell>
          <cell r="B440" t="str">
            <v>TAMPA CEGA PARA CONDULETE METÁLICO</v>
          </cell>
          <cell r="C440" t="str">
            <v>UN</v>
          </cell>
          <cell r="D440">
            <v>1.1589</v>
          </cell>
          <cell r="E440">
            <v>2.36</v>
          </cell>
          <cell r="G440">
            <v>3.5188999999999999</v>
          </cell>
        </row>
        <row r="441">
          <cell r="A441">
            <v>553</v>
          </cell>
          <cell r="B441" t="str">
            <v>ADEQUAÇÃO DE VÃO EXISTENTE COM 80CM PARA PORTAS DE MADEIRA COM LARGURA DE 110CM</v>
          </cell>
          <cell r="C441" t="str">
            <v>UN</v>
          </cell>
          <cell r="D441">
            <v>58.154116999999999</v>
          </cell>
          <cell r="E441">
            <v>38.364512999999995</v>
          </cell>
          <cell r="G441">
            <v>96.518630000000002</v>
          </cell>
        </row>
        <row r="442">
          <cell r="A442">
            <v>554</v>
          </cell>
          <cell r="B442" t="str">
            <v>DIVISOR EM "L" 2000 mm R-130 DA MOPA ou equivalente de mesmo padrão de qualidade</v>
          </cell>
          <cell r="C442" t="str">
            <v>M</v>
          </cell>
          <cell r="D442">
            <v>6.1807999999999996</v>
          </cell>
          <cell r="E442">
            <v>15.305</v>
          </cell>
          <cell r="F442">
            <v>0</v>
          </cell>
          <cell r="G442">
            <v>21.485799999999998</v>
          </cell>
        </row>
        <row r="443">
          <cell r="A443">
            <v>555</v>
          </cell>
          <cell r="B443" t="str">
            <v>GRADE PROTEÇÃO TIPO TIJOLINHO PARA PORTA</v>
          </cell>
          <cell r="C443" t="str">
            <v>UN</v>
          </cell>
          <cell r="D443">
            <v>78.058727000000005</v>
          </cell>
          <cell r="E443">
            <v>86.302238000000017</v>
          </cell>
          <cell r="F443">
            <v>0</v>
          </cell>
          <cell r="G443">
            <v>164.36096500000002</v>
          </cell>
        </row>
        <row r="444">
          <cell r="A444">
            <v>556</v>
          </cell>
          <cell r="B444" t="str">
            <v>CANALETA DE CONCRETO SEM GRELHA</v>
          </cell>
          <cell r="C444" t="str">
            <v>M</v>
          </cell>
          <cell r="D444">
            <v>197.67820800000004</v>
          </cell>
          <cell r="E444">
            <v>179.99077359999998</v>
          </cell>
          <cell r="F444">
            <v>0</v>
          </cell>
          <cell r="G444">
            <v>377.66898160000005</v>
          </cell>
        </row>
        <row r="445">
          <cell r="A445">
            <v>557</v>
          </cell>
          <cell r="B445" t="str">
            <v>CANALETA DE CONCRETO COM GRELHA DE CONCRETO</v>
          </cell>
          <cell r="C445" t="str">
            <v>M</v>
          </cell>
          <cell r="D445">
            <v>222.58093199999999</v>
          </cell>
          <cell r="E445">
            <v>200.40692099999998</v>
          </cell>
          <cell r="F445">
            <v>0</v>
          </cell>
          <cell r="G445">
            <v>422.98785299999997</v>
          </cell>
        </row>
        <row r="446">
          <cell r="A446">
            <v>558</v>
          </cell>
          <cell r="B446" t="str">
            <v>GRELHA METÁLICA PARA POÇO DE INFILTRAÇÃO</v>
          </cell>
          <cell r="C446" t="str">
            <v>M</v>
          </cell>
          <cell r="D446">
            <v>5.5214999999999996</v>
          </cell>
          <cell r="E446">
            <v>80.705725999999999</v>
          </cell>
          <cell r="F446">
            <v>0</v>
          </cell>
          <cell r="G446">
            <v>86.227226000000002</v>
          </cell>
        </row>
        <row r="447">
          <cell r="A447">
            <v>559</v>
          </cell>
          <cell r="B447" t="str">
            <v>PINTURA DE LOGOTIPO GOINFRA EM RESERVATÓRIO METÁLICO</v>
          </cell>
          <cell r="C447" t="str">
            <v>UN</v>
          </cell>
          <cell r="D447">
            <v>655.33666960000005</v>
          </cell>
          <cell r="E447">
            <v>108.89622159999999</v>
          </cell>
          <cell r="F447">
            <v>0</v>
          </cell>
          <cell r="G447">
            <v>764.23289120000004</v>
          </cell>
        </row>
        <row r="448">
          <cell r="A448">
            <v>560</v>
          </cell>
          <cell r="B448" t="str">
            <v>ESCAVAÇÃO E CARGA DE MATERIAL 1ª CATEGORIA (PAV. URB)</v>
          </cell>
          <cell r="C448" t="str">
            <v>M3</v>
          </cell>
          <cell r="D448">
            <v>0.42203258339798294</v>
          </cell>
          <cell r="E448">
            <v>0</v>
          </cell>
          <cell r="F448">
            <v>1.6559089733643653</v>
          </cell>
          <cell r="G448">
            <v>2.0779415567623483</v>
          </cell>
        </row>
        <row r="449">
          <cell r="A449">
            <v>561</v>
          </cell>
          <cell r="B449" t="str">
            <v>TRANSPORTE DE MAT. DE 1º CAT.-À CAMINHÃO (PAV.URB.)</v>
          </cell>
          <cell r="C449" t="str">
            <v>M3KM</v>
          </cell>
          <cell r="D449">
            <v>0</v>
          </cell>
          <cell r="E449">
            <v>0</v>
          </cell>
          <cell r="F449">
            <v>1.4094687387061799</v>
          </cell>
          <cell r="G449">
            <v>1.4094687387061799</v>
          </cell>
        </row>
        <row r="450">
          <cell r="A450">
            <v>562</v>
          </cell>
          <cell r="B450" t="str">
            <v>COMPACTAÇÃO A 100% DO PROCTOR NORMAL</v>
          </cell>
          <cell r="C450" t="str">
            <v>M3</v>
          </cell>
          <cell r="D450">
            <v>0.3874031346501195</v>
          </cell>
          <cell r="E450">
            <v>0</v>
          </cell>
          <cell r="F450">
            <v>2.620127017421197</v>
          </cell>
          <cell r="G450">
            <v>3.0075301520713165</v>
          </cell>
        </row>
        <row r="451">
          <cell r="A451">
            <v>563</v>
          </cell>
          <cell r="B451" t="str">
            <v>REGULARIZAÇÃO E COMPACTAÇÃO DO SUB-LEITO (PAV.URB.)</v>
          </cell>
          <cell r="C451" t="str">
            <v>M2</v>
          </cell>
          <cell r="D451">
            <v>0.23042521994134899</v>
          </cell>
          <cell r="E451">
            <v>0</v>
          </cell>
          <cell r="F451">
            <v>1.3550360703812316</v>
          </cell>
          <cell r="G451">
            <v>1.5854612903225807</v>
          </cell>
        </row>
        <row r="452">
          <cell r="A452">
            <v>564</v>
          </cell>
          <cell r="B452" t="str">
            <v>ESC. E CARGA DE MAT. DE JAZ-. C/ INDENIZ. (PAV.URB.)</v>
          </cell>
          <cell r="C452" t="str">
            <v>M3</v>
          </cell>
          <cell r="D452">
            <v>0.49454545454545451</v>
          </cell>
          <cell r="E452">
            <v>5</v>
          </cell>
          <cell r="F452">
            <v>3.1886054545454545</v>
          </cell>
          <cell r="G452">
            <v>8.6831509090909087</v>
          </cell>
        </row>
        <row r="453">
          <cell r="A453">
            <v>565</v>
          </cell>
          <cell r="B453" t="str">
            <v>TRANSPORTE DE MAT. DE JAZIDA-CASCALHO (PAV.URB.)</v>
          </cell>
          <cell r="C453" t="str">
            <v>M3KM</v>
          </cell>
          <cell r="D453">
            <v>0</v>
          </cell>
          <cell r="E453">
            <v>0</v>
          </cell>
          <cell r="F453">
            <v>1.4094687387061799</v>
          </cell>
          <cell r="G453">
            <v>1.4094687387061799</v>
          </cell>
        </row>
        <row r="454">
          <cell r="A454">
            <v>566</v>
          </cell>
          <cell r="B454" t="str">
            <v>ESTABILIZAÇÃO GRANULOMÉTRICA SEM MISTURA - REF.PROCTOR: 39 GOLPES (100% P.IM.)</v>
          </cell>
          <cell r="C454" t="str">
            <v>M2</v>
          </cell>
          <cell r="D454">
            <v>2.2793840351979888</v>
          </cell>
          <cell r="E454">
            <v>0</v>
          </cell>
          <cell r="F454">
            <v>7.5818877016551447</v>
          </cell>
          <cell r="G454">
            <v>9.8612717368531335</v>
          </cell>
        </row>
        <row r="455">
          <cell r="A455">
            <v>567</v>
          </cell>
          <cell r="B455" t="str">
            <v>IMPRIMAÇÃO (PAV. URB)</v>
          </cell>
          <cell r="C455" t="str">
            <v>M2</v>
          </cell>
          <cell r="D455">
            <v>0.1159813596491228</v>
          </cell>
          <cell r="E455">
            <v>0</v>
          </cell>
          <cell r="F455">
            <v>0.37066447368421046</v>
          </cell>
          <cell r="G455">
            <v>0.48664583333333328</v>
          </cell>
        </row>
        <row r="456">
          <cell r="A456">
            <v>568</v>
          </cell>
          <cell r="B456" t="str">
            <v>TRANSPORTE COMERCIAL DE AGREGADOS</v>
          </cell>
          <cell r="C456" t="str">
            <v>M3KM</v>
          </cell>
          <cell r="D456">
            <v>0</v>
          </cell>
          <cell r="E456">
            <v>0</v>
          </cell>
          <cell r="F456">
            <v>0.624</v>
          </cell>
          <cell r="G456">
            <v>0.624</v>
          </cell>
        </row>
        <row r="457">
          <cell r="A457">
            <v>569</v>
          </cell>
          <cell r="B457" t="str">
            <v>TRATAMENTO SUPERFICIAL DUPLO - TSD (BC) (PAV.URB.)</v>
          </cell>
          <cell r="C457" t="str">
            <v>M2</v>
          </cell>
          <cell r="D457">
            <v>0.87000000000000011</v>
          </cell>
          <cell r="E457">
            <v>1.404096</v>
          </cell>
          <cell r="F457">
            <v>2.9476161616161614</v>
          </cell>
          <cell r="G457">
            <v>5.2217121616161615</v>
          </cell>
        </row>
        <row r="458">
          <cell r="A458">
            <v>570</v>
          </cell>
          <cell r="B458" t="str">
            <v>CAPA SELANTE C/PÓ DE PEDRA (BC)</v>
          </cell>
          <cell r="C458" t="str">
            <v>M2</v>
          </cell>
          <cell r="D458">
            <v>0.28144124168514412</v>
          </cell>
          <cell r="E458">
            <v>0.19163999999999998</v>
          </cell>
          <cell r="F458">
            <v>1.0291614190687361</v>
          </cell>
          <cell r="G458">
            <v>1.5022426607538804</v>
          </cell>
        </row>
        <row r="459">
          <cell r="A459">
            <v>571</v>
          </cell>
          <cell r="B459" t="str">
            <v>CALÇADA EM CONCRETO DESEMPENADO 15MPa - ESPESSURA = 5cm (AC/BC)</v>
          </cell>
          <cell r="C459" t="str">
            <v>M2</v>
          </cell>
          <cell r="D459">
            <v>4.410432000000001</v>
          </cell>
          <cell r="E459">
            <v>24.975486500000002</v>
          </cell>
          <cell r="F459">
            <v>3.2439616000000004</v>
          </cell>
          <cell r="G459">
            <v>32.629880100000001</v>
          </cell>
        </row>
        <row r="460">
          <cell r="A460">
            <v>572</v>
          </cell>
          <cell r="B460" t="str">
            <v>CONFECÇÃO DE GUIAS</v>
          </cell>
          <cell r="C460" t="str">
            <v>M</v>
          </cell>
          <cell r="D460">
            <v>3.0491666666666668</v>
          </cell>
          <cell r="E460">
            <v>0.94920000000000015</v>
          </cell>
          <cell r="F460">
            <v>2.3824999999999998</v>
          </cell>
          <cell r="G460">
            <v>6.3808666666666669</v>
          </cell>
        </row>
        <row r="461">
          <cell r="A461">
            <v>573</v>
          </cell>
          <cell r="B461" t="str">
            <v>MEIO FIO COM SARJETA - MFC 03 (AC/BC)</v>
          </cell>
          <cell r="C461" t="str">
            <v>M</v>
          </cell>
          <cell r="D461">
            <v>0.82393272088624692</v>
          </cell>
          <cell r="E461">
            <v>19.317123127583997</v>
          </cell>
          <cell r="F461">
            <v>0.16441502296676574</v>
          </cell>
          <cell r="G461">
            <v>20.305470871437009</v>
          </cell>
        </row>
        <row r="462">
          <cell r="A462">
            <v>574</v>
          </cell>
          <cell r="B462" t="str">
            <v>CONCRETO FCK=15 MPA PARA DRENAGEM (AC/BC)</v>
          </cell>
          <cell r="C462" t="str">
            <v>M</v>
          </cell>
          <cell r="D462">
            <v>80.142658000000011</v>
          </cell>
          <cell r="E462">
            <v>315.47535999999997</v>
          </cell>
          <cell r="F462">
            <v>32.977770751999998</v>
          </cell>
          <cell r="G462">
            <v>428.59578875199998</v>
          </cell>
        </row>
        <row r="463">
          <cell r="A463">
            <v>575</v>
          </cell>
          <cell r="B463" t="str">
            <v>MEIO FIO SEM SARJETA - MFC05 (AC/BC)</v>
          </cell>
          <cell r="C463" t="str">
            <v>M</v>
          </cell>
          <cell r="D463">
            <v>0.66132617653437431</v>
          </cell>
          <cell r="E463">
            <v>15.361916817568</v>
          </cell>
          <cell r="F463">
            <v>0.1319670353502494</v>
          </cell>
          <cell r="G463">
            <v>16.155210029452622</v>
          </cell>
        </row>
        <row r="464">
          <cell r="A464">
            <v>576</v>
          </cell>
          <cell r="B464" t="str">
            <v>CAIXA DE PASSAGEM 30X30X40CM COM TAMPA E DRENO BRITA</v>
          </cell>
          <cell r="C464" t="str">
            <v>UN</v>
          </cell>
          <cell r="D464">
            <v>81.742997000000003</v>
          </cell>
          <cell r="E464">
            <v>65.410209000000009</v>
          </cell>
          <cell r="F464">
            <v>0</v>
          </cell>
          <cell r="G464">
            <v>147.15320600000001</v>
          </cell>
        </row>
        <row r="465">
          <cell r="A465">
            <v>600</v>
          </cell>
          <cell r="B465" t="str">
            <v>DEMOLIÇÃO MANUAL DE REVESTIMENTOS COM AZULEJO COM TRANSPORTE ATE CB. E CARGA</v>
          </cell>
          <cell r="C465" t="str">
            <v>M2</v>
          </cell>
          <cell r="D465">
            <v>9.2025000000000006</v>
          </cell>
          <cell r="E465">
            <v>0</v>
          </cell>
          <cell r="F465">
            <v>0</v>
          </cell>
          <cell r="G465">
            <v>9.2025000000000006</v>
          </cell>
        </row>
        <row r="466">
          <cell r="A466">
            <v>601</v>
          </cell>
          <cell r="B466" t="str">
            <v>REMOÇÃO MANUAL DE JANELA OU PORTAL C/ TRANSP. ATÉ CB. E CARGA</v>
          </cell>
          <cell r="C466" t="str">
            <v>M2</v>
          </cell>
          <cell r="D466">
            <v>14.724</v>
          </cell>
          <cell r="E466">
            <v>0</v>
          </cell>
          <cell r="F466">
            <v>0</v>
          </cell>
          <cell r="G466">
            <v>14.724</v>
          </cell>
        </row>
        <row r="467">
          <cell r="A467">
            <v>602</v>
          </cell>
          <cell r="B467" t="str">
            <v>DEMOLIÇÃO MANUAL ALVENARIA TIJOLO S/REAP. C/TR.ATE CB. E CARGA</v>
          </cell>
          <cell r="C467" t="str">
            <v>M3</v>
          </cell>
          <cell r="D467">
            <v>58.027500000000003</v>
          </cell>
          <cell r="E467">
            <v>0</v>
          </cell>
          <cell r="F467">
            <v>0</v>
          </cell>
          <cell r="G467">
            <v>58.027500000000003</v>
          </cell>
        </row>
        <row r="468">
          <cell r="A468">
            <v>603</v>
          </cell>
          <cell r="B468" t="str">
            <v>TERMINAL DE VENTILAÇÃO DIAMETRO 50 MM</v>
          </cell>
          <cell r="C468" t="str">
            <v>UN</v>
          </cell>
          <cell r="D468">
            <v>2.6208</v>
          </cell>
          <cell r="E468">
            <v>4.6500000000000004</v>
          </cell>
          <cell r="F468">
            <v>0</v>
          </cell>
          <cell r="G468">
            <v>7.2708000000000004</v>
          </cell>
        </row>
        <row r="469">
          <cell r="A469">
            <v>604</v>
          </cell>
          <cell r="B469" t="str">
            <v>TERMINAL DE VENTILAÇÃO DIAMETRO 75MM</v>
          </cell>
          <cell r="C469" t="str">
            <v>UN</v>
          </cell>
          <cell r="D469">
            <v>2.6208</v>
          </cell>
          <cell r="E469">
            <v>7.74</v>
          </cell>
          <cell r="F469">
            <v>0</v>
          </cell>
          <cell r="G469">
            <v>10.360800000000001</v>
          </cell>
        </row>
        <row r="470">
          <cell r="A470">
            <v>605</v>
          </cell>
          <cell r="B470" t="str">
            <v>PORTÃO EM TELA PORTUGUESA CENTRAL DE GÁS (1,6X2,5 M) PADRÃO C-1 GOINFRA</v>
          </cell>
          <cell r="C470" t="str">
            <v>UN</v>
          </cell>
          <cell r="D470">
            <v>276.64119599999998</v>
          </cell>
          <cell r="E470">
            <v>640.70252800000014</v>
          </cell>
          <cell r="F470">
            <v>0</v>
          </cell>
          <cell r="G470">
            <v>917.34372400000007</v>
          </cell>
        </row>
        <row r="471">
          <cell r="A471">
            <v>606</v>
          </cell>
          <cell r="B471" t="str">
            <v>NIPLE DE REDUÇÃO DE LATÃO MACHO/MACHO ROSCA NPT DE 1/2" X 1/4"</v>
          </cell>
          <cell r="C471" t="str">
            <v>UN</v>
          </cell>
          <cell r="D471">
            <v>5.9904000000000002</v>
          </cell>
          <cell r="E471">
            <v>12.786688</v>
          </cell>
          <cell r="F471">
            <v>0</v>
          </cell>
          <cell r="G471">
            <v>18.777087999999999</v>
          </cell>
        </row>
        <row r="472">
          <cell r="A472">
            <v>607</v>
          </cell>
          <cell r="B472" t="str">
            <v>NIPLE DE REDUÇÃO DE LATÃO MACHO/FEMEA ROSCA NPT DE 1/2" X 1/4"</v>
          </cell>
          <cell r="C472" t="str">
            <v>UN</v>
          </cell>
          <cell r="D472">
            <v>5.9904000000000002</v>
          </cell>
          <cell r="E472">
            <v>9.9566879999999998</v>
          </cell>
          <cell r="F472">
            <v>0</v>
          </cell>
          <cell r="G472">
            <v>15.947088000000001</v>
          </cell>
        </row>
        <row r="473">
          <cell r="A473">
            <v>608</v>
          </cell>
          <cell r="B473" t="str">
            <v>REGISTRO DE ESFERA DIAM.1/2"</v>
          </cell>
          <cell r="C473" t="str">
            <v>UN</v>
          </cell>
          <cell r="D473">
            <v>20.217600000000004</v>
          </cell>
          <cell r="E473">
            <v>30.798399999999997</v>
          </cell>
          <cell r="F473">
            <v>0</v>
          </cell>
          <cell r="G473">
            <v>51.016000000000005</v>
          </cell>
        </row>
        <row r="474">
          <cell r="A474">
            <v>609</v>
          </cell>
          <cell r="B474" t="str">
            <v>PLACA DE SINALIZAÇÃO EM ALUMINIO 35X25 CM - PERIGO- GÁS INFLAMÁVEL - PROIBIDO FUMAR</v>
          </cell>
          <cell r="C474" t="str">
            <v>UN</v>
          </cell>
          <cell r="D474">
            <v>1.5280019999999999</v>
          </cell>
          <cell r="E474">
            <v>33.67</v>
          </cell>
          <cell r="F474">
            <v>0</v>
          </cell>
          <cell r="G474">
            <v>35.198002000000002</v>
          </cell>
        </row>
        <row r="475">
          <cell r="A475">
            <v>610</v>
          </cell>
          <cell r="B475" t="str">
            <v>TELHAMENTO COM TELHA ONDULADA DE FIBROCIMENTO E = 8 MM, COM RECOBRIMENTO LATERAL DE 1 1/4 DE ONDA PARA TELHADO COM INCLINAÇÃO MÁXIMA DE 10°, COM ATÉ 2 ÁGUAS, INCLUSO IÇAMENTO.</v>
          </cell>
          <cell r="C475" t="str">
            <v>M2</v>
          </cell>
          <cell r="D475">
            <v>5.4586600000000001</v>
          </cell>
          <cell r="E475">
            <v>48.806269999999998</v>
          </cell>
          <cell r="F475">
            <v>0</v>
          </cell>
          <cell r="G475">
            <v>54.26493</v>
          </cell>
        </row>
        <row r="476">
          <cell r="A476">
            <v>611</v>
          </cell>
          <cell r="B476" t="str">
            <v>APLICAÇÃO MANUAL DE PINTURA COM TINTA LÁTEX ACRÍLICA EM PAREDES, UMA DEMÃO</v>
          </cell>
          <cell r="C476" t="str">
            <v>M2</v>
          </cell>
          <cell r="D476">
            <v>0.52129500000000006</v>
          </cell>
          <cell r="E476">
            <v>3.6069</v>
          </cell>
          <cell r="F476">
            <v>0</v>
          </cell>
          <cell r="G476">
            <v>4.1281949999999998</v>
          </cell>
        </row>
        <row r="477">
          <cell r="A477">
            <v>612</v>
          </cell>
          <cell r="B477" t="str">
            <v>PINTURA PVA LATEX 1 DEMAO SEM SELADOR</v>
          </cell>
          <cell r="C477" t="str">
            <v>M2</v>
          </cell>
          <cell r="D477">
            <v>1.4746680000000001</v>
          </cell>
          <cell r="E477">
            <v>1.89</v>
          </cell>
          <cell r="F477">
            <v>0</v>
          </cell>
          <cell r="G477">
            <v>3.364668</v>
          </cell>
        </row>
        <row r="478">
          <cell r="A478">
            <v>613</v>
          </cell>
          <cell r="B478" t="str">
            <v>PINTURA ESMALTE/ESQUADRIA DE FERRO SEM FUNDO ANTI-CORROSIVO</v>
          </cell>
          <cell r="C478" t="str">
            <v>M2</v>
          </cell>
          <cell r="D478">
            <v>10.377149000000001</v>
          </cell>
          <cell r="E478">
            <v>1.4713419999999999</v>
          </cell>
          <cell r="F478">
            <v>0</v>
          </cell>
          <cell r="G478">
            <v>11.848491000000001</v>
          </cell>
        </row>
        <row r="479">
          <cell r="A479">
            <v>614</v>
          </cell>
          <cell r="B479" t="str">
            <v>CALAFETAÇÃO EM ESQUADRIAS METALICAS</v>
          </cell>
          <cell r="C479" t="str">
            <v>M2</v>
          </cell>
          <cell r="D479">
            <v>19.389151999999999</v>
          </cell>
          <cell r="E479">
            <v>2.7191019999999999</v>
          </cell>
          <cell r="F479">
            <v>0</v>
          </cell>
          <cell r="G479">
            <v>22.108253999999999</v>
          </cell>
        </row>
        <row r="480">
          <cell r="A480">
            <v>615</v>
          </cell>
          <cell r="B480" t="str">
            <v>BANCADA DE ARDOSIA POLIDA</v>
          </cell>
          <cell r="C480" t="str">
            <v>M2</v>
          </cell>
          <cell r="D480">
            <v>52.764523999999994</v>
          </cell>
          <cell r="E480">
            <v>172.8</v>
          </cell>
          <cell r="F480">
            <v>0</v>
          </cell>
          <cell r="G480">
            <v>225.56452400000001</v>
          </cell>
        </row>
        <row r="481">
          <cell r="A481">
            <v>616</v>
          </cell>
          <cell r="B481" t="str">
            <v>CABIDE TIPO GANCHO DE LOUÇA</v>
          </cell>
          <cell r="C481" t="str">
            <v>UN</v>
          </cell>
          <cell r="D481">
            <v>14.724</v>
          </cell>
          <cell r="E481">
            <v>13.601000000000001</v>
          </cell>
          <cell r="F481">
            <v>0</v>
          </cell>
          <cell r="G481">
            <v>28.325000000000003</v>
          </cell>
        </row>
        <row r="482">
          <cell r="A482">
            <v>617</v>
          </cell>
          <cell r="B482" t="str">
            <v>MEIA SABONETEIRA EM LOUÇA DE EMBUTIR</v>
          </cell>
          <cell r="C482" t="str">
            <v>UN</v>
          </cell>
          <cell r="D482">
            <v>18.405000000000001</v>
          </cell>
          <cell r="E482">
            <v>21.501000000000001</v>
          </cell>
          <cell r="F482">
            <v>0</v>
          </cell>
          <cell r="G482">
            <v>39.906000000000006</v>
          </cell>
        </row>
        <row r="483">
          <cell r="A483">
            <v>618</v>
          </cell>
          <cell r="B483" t="str">
            <v>PORTA EM CHAPA P/WC - PRE-MOLD.PPM-4 C/FERRAGEM</v>
          </cell>
          <cell r="C483" t="str">
            <v>M2</v>
          </cell>
          <cell r="D483">
            <v>119.98615459999999</v>
          </cell>
          <cell r="E483">
            <v>207.95219399999996</v>
          </cell>
          <cell r="F483">
            <v>0</v>
          </cell>
          <cell r="G483">
            <v>327.93834859999993</v>
          </cell>
        </row>
        <row r="484">
          <cell r="A484">
            <v>619</v>
          </cell>
          <cell r="B484" t="str">
            <v>BARRA DE APOIO EM "U" PARA LAVATORIO</v>
          </cell>
          <cell r="C484" t="str">
            <v>UN</v>
          </cell>
          <cell r="D484">
            <v>36.951401000000004</v>
          </cell>
          <cell r="E484">
            <v>352.22333333333336</v>
          </cell>
          <cell r="F484">
            <v>0</v>
          </cell>
          <cell r="G484">
            <v>389.17473433333339</v>
          </cell>
        </row>
        <row r="485">
          <cell r="A485">
            <v>620</v>
          </cell>
          <cell r="B485" t="str">
            <v>DEMOLIÇÃO MANUAL - COBERTURA TELHA METÁLICA C/ TRANSP. ATÉ CB. E CARGA</v>
          </cell>
          <cell r="C485" t="str">
            <v>M2</v>
          </cell>
          <cell r="D485">
            <v>3.8879999999999999</v>
          </cell>
          <cell r="E485">
            <v>0</v>
          </cell>
          <cell r="F485">
            <v>0</v>
          </cell>
          <cell r="G485">
            <v>3.8879999999999999</v>
          </cell>
        </row>
        <row r="486">
          <cell r="A486">
            <v>621</v>
          </cell>
          <cell r="B486" t="str">
            <v>DEMOLIÇÃO MANUAL DE CALHA/RUFO EM CHAPA C/TR.ATÉ CB. E CARGA</v>
          </cell>
          <cell r="C486" t="str">
            <v>M2</v>
          </cell>
          <cell r="D486">
            <v>5.2012799999999997</v>
          </cell>
          <cell r="E486">
            <v>0</v>
          </cell>
          <cell r="F486">
            <v>0</v>
          </cell>
          <cell r="G486">
            <v>5.2012799999999997</v>
          </cell>
        </row>
        <row r="487">
          <cell r="A487">
            <v>622</v>
          </cell>
          <cell r="B487" t="str">
            <v>ACABAMENTO P/ VÁLVULA DE DESCARGA 1.1/2" - METAL CROMADO</v>
          </cell>
          <cell r="C487" t="str">
            <v>UN</v>
          </cell>
          <cell r="D487">
            <v>12.805470000000001</v>
          </cell>
          <cell r="E487">
            <v>63.286666666666669</v>
          </cell>
          <cell r="F487">
            <v>0</v>
          </cell>
          <cell r="G487">
            <v>76.092136666666676</v>
          </cell>
        </row>
        <row r="488">
          <cell r="A488">
            <v>623</v>
          </cell>
          <cell r="B488" t="str">
            <v>APLICAÇÃO MANUAL DE PINTURA COM TINTA LÁTEX ACRÍLICA EM PAREDES, UMA DEMÃO</v>
          </cell>
          <cell r="C488" t="str">
            <v>M2</v>
          </cell>
          <cell r="D488">
            <v>0.52129500000000006</v>
          </cell>
          <cell r="E488">
            <v>3.6069</v>
          </cell>
          <cell r="F488">
            <v>0</v>
          </cell>
          <cell r="G488">
            <v>4.1281949999999998</v>
          </cell>
        </row>
        <row r="489">
          <cell r="A489">
            <v>624</v>
          </cell>
          <cell r="B489" t="str">
            <v>TOMADA PARA TELEFONE 4 POLOS/RJ11 - FORNECIMENTO E INSTALAÇÃO</v>
          </cell>
          <cell r="C489" t="str">
            <v>UND</v>
          </cell>
          <cell r="D489">
            <v>3.4517879999999996</v>
          </cell>
          <cell r="E489">
            <v>37.19</v>
          </cell>
          <cell r="F489">
            <v>0</v>
          </cell>
          <cell r="G489">
            <v>40.641787999999998</v>
          </cell>
        </row>
        <row r="490">
          <cell r="A490">
            <v>625</v>
          </cell>
          <cell r="B490" t="str">
            <v>ARRUELA LISA D = 1/4"</v>
          </cell>
          <cell r="C490" t="str">
            <v>UN</v>
          </cell>
          <cell r="D490">
            <v>0</v>
          </cell>
          <cell r="E490">
            <v>0.04</v>
          </cell>
          <cell r="F490">
            <v>0</v>
          </cell>
          <cell r="G490">
            <v>0.04</v>
          </cell>
        </row>
        <row r="491">
          <cell r="A491">
            <v>626</v>
          </cell>
          <cell r="B491" t="str">
            <v>BUCHA DE NYLON SEM ABA S6</v>
          </cell>
          <cell r="C491" t="str">
            <v>UN</v>
          </cell>
          <cell r="D491">
            <v>0.61807999999999996</v>
          </cell>
          <cell r="E491">
            <v>0.08</v>
          </cell>
          <cell r="F491">
            <v>0</v>
          </cell>
          <cell r="G491">
            <v>0.69807999999999992</v>
          </cell>
        </row>
        <row r="492">
          <cell r="A492">
            <v>627</v>
          </cell>
          <cell r="B492" t="str">
            <v>DEMOLICAO MANUAL COBERTURA TELHA FIBROCIMENTO/FIBRA DE VIDRO/SIMILARES C/ TRANSP. ATÉ CB. E CARGA</v>
          </cell>
          <cell r="C492" t="str">
            <v>M2</v>
          </cell>
          <cell r="D492">
            <v>3.4560000000000004</v>
          </cell>
          <cell r="E492">
            <v>0</v>
          </cell>
          <cell r="F492">
            <v>0</v>
          </cell>
          <cell r="G492">
            <v>3.4560000000000004</v>
          </cell>
        </row>
        <row r="493">
          <cell r="A493">
            <v>628</v>
          </cell>
          <cell r="B493" t="str">
            <v>TELA DE ACO SOLDADA NERVURADA, CA-60, Q-138, (2,20 KG/M2), DIAMETRO DO FIO = 4,2 MM LARGURA = 2,45 M, ESPACAMENTO DA MALHA = 10 X 10 CM</v>
          </cell>
          <cell r="C493" t="str">
            <v>M2</v>
          </cell>
          <cell r="D493">
            <v>9.7737599999999993</v>
          </cell>
          <cell r="E493">
            <v>26.722431</v>
          </cell>
          <cell r="F493">
            <v>0</v>
          </cell>
          <cell r="G493">
            <v>36.496190999999996</v>
          </cell>
        </row>
        <row r="494">
          <cell r="A494">
            <v>629</v>
          </cell>
          <cell r="B494" t="str">
            <v>CAIXA DE PASSAGEM METALICA DE EMBUTIR 15X15X8 CM</v>
          </cell>
          <cell r="C494" t="str">
            <v>UN</v>
          </cell>
          <cell r="D494">
            <v>27.040999999999997</v>
          </cell>
          <cell r="E494">
            <v>29.86</v>
          </cell>
          <cell r="F494">
            <v>0</v>
          </cell>
          <cell r="G494">
            <v>56.900999999999996</v>
          </cell>
        </row>
        <row r="495">
          <cell r="A495">
            <v>630</v>
          </cell>
          <cell r="B495" t="str">
            <v>PINTURA ESMALTE ALQUIDICO EST.METALICA 1 DEMAO</v>
          </cell>
          <cell r="C495" t="str">
            <v>M2</v>
          </cell>
          <cell r="D495">
            <v>10.929119999999999</v>
          </cell>
          <cell r="E495">
            <v>7.4456930000000012</v>
          </cell>
          <cell r="F495">
            <v>0</v>
          </cell>
          <cell r="G495">
            <v>18.374813</v>
          </cell>
        </row>
        <row r="496">
          <cell r="A496">
            <v>631</v>
          </cell>
          <cell r="B496" t="str">
            <v>DISJUNTOR BIPOLAR TIPO DR, 25A-30mA</v>
          </cell>
          <cell r="C496" t="str">
            <v>UN</v>
          </cell>
          <cell r="D496">
            <v>23.177999999999997</v>
          </cell>
          <cell r="E496">
            <v>129.58000000000001</v>
          </cell>
          <cell r="F496">
            <v>0</v>
          </cell>
          <cell r="G496">
            <v>152.75800000000001</v>
          </cell>
        </row>
        <row r="497">
          <cell r="A497">
            <v>632</v>
          </cell>
          <cell r="B497" t="str">
            <v>TAMPA PARA CAIXA PASSAGEM FERRO FUNDIDO</v>
          </cell>
          <cell r="C497" t="str">
            <v>UN</v>
          </cell>
          <cell r="D497">
            <v>5107.3470539999998</v>
          </cell>
          <cell r="E497">
            <v>4750.1083892148772</v>
          </cell>
          <cell r="F497">
            <v>0</v>
          </cell>
          <cell r="G497">
            <v>9857.4554432148761</v>
          </cell>
        </row>
        <row r="498">
          <cell r="A498">
            <v>700</v>
          </cell>
          <cell r="B498" t="str">
            <v>BRAÇADEIRA METÁLICA TIPO “D”, DIAM. 2''</v>
          </cell>
          <cell r="C498" t="str">
            <v>UN</v>
          </cell>
          <cell r="D498">
            <v>2.3178000000000001</v>
          </cell>
          <cell r="E498">
            <v>1.18</v>
          </cell>
          <cell r="F498">
            <v>0</v>
          </cell>
          <cell r="G498">
            <v>3.4977999999999998</v>
          </cell>
        </row>
        <row r="499">
          <cell r="A499">
            <v>701</v>
          </cell>
          <cell r="B499" t="str">
            <v>BRAÇO C AÇO GALVANIZADO , CONFORME NTD-18</v>
          </cell>
          <cell r="C499" t="str">
            <v>UN</v>
          </cell>
          <cell r="D499">
            <v>7.726</v>
          </cell>
          <cell r="E499">
            <v>113.48</v>
          </cell>
          <cell r="F499">
            <v>0</v>
          </cell>
          <cell r="G499">
            <v>121.206</v>
          </cell>
        </row>
        <row r="500">
          <cell r="A500">
            <v>702</v>
          </cell>
          <cell r="B500" t="str">
            <v>BUCHA DE NYLON S-7</v>
          </cell>
          <cell r="C500" t="str">
            <v>UN</v>
          </cell>
          <cell r="D500">
            <v>0.61807999999999996</v>
          </cell>
          <cell r="E500">
            <v>0.08</v>
          </cell>
          <cell r="F500">
            <v>0</v>
          </cell>
          <cell r="G500">
            <v>0.69807999999999992</v>
          </cell>
        </row>
        <row r="501">
          <cell r="A501">
            <v>703</v>
          </cell>
          <cell r="B501" t="str">
            <v>BUCHA DE NYLON S-10</v>
          </cell>
          <cell r="C501" t="str">
            <v>UN</v>
          </cell>
          <cell r="D501">
            <v>0.77259999999999995</v>
          </cell>
          <cell r="E501">
            <v>0.28999999999999998</v>
          </cell>
          <cell r="F501">
            <v>0</v>
          </cell>
          <cell r="G501">
            <v>1.0626</v>
          </cell>
        </row>
        <row r="502">
          <cell r="A502">
            <v>704</v>
          </cell>
          <cell r="B502" t="str">
            <v>CABECOTE DE LIGA DE ALUMINIO DIAM. 4"</v>
          </cell>
          <cell r="C502" t="str">
            <v>UN</v>
          </cell>
          <cell r="D502">
            <v>21.246500000000005</v>
          </cell>
          <cell r="E502">
            <v>41.61</v>
          </cell>
          <cell r="F502">
            <v>0</v>
          </cell>
          <cell r="G502">
            <v>62.856500000000004</v>
          </cell>
        </row>
        <row r="503">
          <cell r="A503">
            <v>705</v>
          </cell>
          <cell r="B503" t="str">
            <v>CAIXA DE PASSAGEM - TAMPA EM CONCRETO ARMADO 25 MPA E=5CM</v>
          </cell>
          <cell r="C503" t="str">
            <v>m2</v>
          </cell>
          <cell r="D503">
            <v>20.327442000000001</v>
          </cell>
          <cell r="E503">
            <v>51.395687694214885</v>
          </cell>
          <cell r="F503">
            <v>0</v>
          </cell>
          <cell r="G503">
            <v>71.72312969421489</v>
          </cell>
        </row>
        <row r="504">
          <cell r="A504">
            <v>706</v>
          </cell>
          <cell r="B504" t="str">
            <v>CAIXA MET.HEXAGONAL P/ARANDELA (SEXTAVADA 3"X3")</v>
          </cell>
          <cell r="C504" t="str">
            <v>UN</v>
          </cell>
          <cell r="D504">
            <v>5.7944999999999993</v>
          </cell>
          <cell r="E504">
            <v>1.19</v>
          </cell>
          <cell r="F504">
            <v>0</v>
          </cell>
          <cell r="G504">
            <v>6.9844999999999988</v>
          </cell>
        </row>
        <row r="505">
          <cell r="A505">
            <v>707</v>
          </cell>
          <cell r="B505" t="str">
            <v>CAIXA METALICA OCTOGONAL FUNDO MOVEL, SIMPLES 2"</v>
          </cell>
          <cell r="C505" t="str">
            <v>UN</v>
          </cell>
          <cell r="D505">
            <v>5.7944999999999993</v>
          </cell>
          <cell r="E505">
            <v>2.36</v>
          </cell>
          <cell r="F505">
            <v>0</v>
          </cell>
          <cell r="G505">
            <v>8.1544999999999987</v>
          </cell>
        </row>
        <row r="506">
          <cell r="A506">
            <v>708</v>
          </cell>
          <cell r="B506" t="str">
            <v>CAIXA METÁLICA PARA PROTEÇÃO GERAL 1200X1000X310MM DE 500A A 800A</v>
          </cell>
          <cell r="C506" t="str">
            <v>UN</v>
          </cell>
          <cell r="D506">
            <v>78.840500000000006</v>
          </cell>
          <cell r="E506">
            <v>759.80719999999997</v>
          </cell>
          <cell r="F506">
            <v>0</v>
          </cell>
          <cell r="G506">
            <v>838.64769999999999</v>
          </cell>
        </row>
        <row r="507">
          <cell r="A507">
            <v>709</v>
          </cell>
          <cell r="B507" t="str">
            <v>CAIXA METÁLICA PARA T.C. 1200X1000X310MM DE 500A A 800A</v>
          </cell>
          <cell r="C507" t="str">
            <v>UN</v>
          </cell>
          <cell r="D507">
            <v>78.840500000000006</v>
          </cell>
          <cell r="E507">
            <v>759.80719999999997</v>
          </cell>
          <cell r="F507">
            <v>0</v>
          </cell>
          <cell r="G507">
            <v>838.64769999999999</v>
          </cell>
        </row>
        <row r="508">
          <cell r="A508">
            <v>710</v>
          </cell>
          <cell r="B508" t="str">
            <v>CAIXA DE PASSAGEM 80X80X110 CM FUNDO DE BRITA SEM TAMPA</v>
          </cell>
          <cell r="C508" t="str">
            <v>UN</v>
          </cell>
          <cell r="D508">
            <v>456.45756499999993</v>
          </cell>
          <cell r="E508">
            <v>274.25307299999997</v>
          </cell>
          <cell r="F508">
            <v>0</v>
          </cell>
          <cell r="G508">
            <v>730.7106379999999</v>
          </cell>
        </row>
        <row r="509">
          <cell r="A509">
            <v>711</v>
          </cell>
          <cell r="B509" t="str">
            <v>CANTONEIRA AUXILIAR PARA BRAÇO TIPO C</v>
          </cell>
          <cell r="C509" t="str">
            <v>UN</v>
          </cell>
          <cell r="D509">
            <v>3.863</v>
          </cell>
          <cell r="E509">
            <v>65.260000000000005</v>
          </cell>
          <cell r="F509">
            <v>0</v>
          </cell>
          <cell r="G509">
            <v>69.123000000000005</v>
          </cell>
        </row>
        <row r="510">
          <cell r="A510">
            <v>712</v>
          </cell>
          <cell r="B510" t="str">
            <v>CINTA DE ACO GALVANIZADO DIAM.230MM</v>
          </cell>
          <cell r="C510" t="str">
            <v>UN</v>
          </cell>
          <cell r="D510">
            <v>7.726</v>
          </cell>
          <cell r="E510">
            <v>29.35</v>
          </cell>
          <cell r="F510">
            <v>0</v>
          </cell>
          <cell r="G510">
            <v>37.076000000000001</v>
          </cell>
        </row>
        <row r="511">
          <cell r="A511">
            <v>713</v>
          </cell>
          <cell r="B511" t="str">
            <v>CONDULETE METÁLICO - CAIXA COM 5 ENTRADAS</v>
          </cell>
          <cell r="C511" t="str">
            <v>UN</v>
          </cell>
          <cell r="D511">
            <v>13.1342</v>
          </cell>
          <cell r="E511">
            <v>4.03</v>
          </cell>
          <cell r="F511">
            <v>0</v>
          </cell>
          <cell r="G511">
            <v>17.164200000000001</v>
          </cell>
        </row>
        <row r="512">
          <cell r="A512">
            <v>714</v>
          </cell>
          <cell r="B512" t="str">
            <v>CONECTOR DE COMPRESSÃO FORMATO H PARA CABO 25 A 70 MM2</v>
          </cell>
          <cell r="C512" t="str">
            <v>UN</v>
          </cell>
          <cell r="D512">
            <v>15.452</v>
          </cell>
          <cell r="E512">
            <v>5.0599999999999996</v>
          </cell>
          <cell r="F512">
            <v>0</v>
          </cell>
          <cell r="G512">
            <v>20.512</v>
          </cell>
        </row>
        <row r="513">
          <cell r="A513">
            <v>715</v>
          </cell>
          <cell r="B513" t="str">
            <v>CONECTOR TRIPOLAR EM PORCELANA PARA FIOS DE ATÉ 10MM2 (BORNES) 50A-250V (CHUVEIRO)</v>
          </cell>
          <cell r="C513" t="str">
            <v>UN</v>
          </cell>
          <cell r="D513">
            <v>11.2027</v>
          </cell>
          <cell r="E513">
            <v>2.4900000000000002</v>
          </cell>
          <cell r="F513">
            <v>0</v>
          </cell>
          <cell r="G513">
            <v>13.6927</v>
          </cell>
        </row>
        <row r="514">
          <cell r="A514">
            <v>716</v>
          </cell>
          <cell r="B514" t="str">
            <v>CURVA DE 90 GRAUS AÇO GALVANIZADO DIAM.3/4"</v>
          </cell>
          <cell r="C514" t="str">
            <v>UN</v>
          </cell>
          <cell r="D514">
            <v>5.0219000000000005</v>
          </cell>
          <cell r="E514">
            <v>3.29</v>
          </cell>
          <cell r="F514">
            <v>0</v>
          </cell>
          <cell r="G514">
            <v>8.3119000000000014</v>
          </cell>
        </row>
        <row r="515">
          <cell r="A515">
            <v>717</v>
          </cell>
          <cell r="B515" t="str">
            <v>CURVA DE 90 GRAUS AÇO GALVANIZADO DIÂMETRO 4"</v>
          </cell>
          <cell r="C515" t="str">
            <v>UN</v>
          </cell>
          <cell r="D515">
            <v>69.533999999999992</v>
          </cell>
          <cell r="E515">
            <v>102.73</v>
          </cell>
          <cell r="F515">
            <v>0</v>
          </cell>
          <cell r="G515">
            <v>172.26400000000001</v>
          </cell>
        </row>
        <row r="516">
          <cell r="A516">
            <v>718</v>
          </cell>
          <cell r="B516" t="str">
            <v>DISPOSITIVO DE PROTEÇÃO CONTRA SURTOS (D.P.S.) 275V DE 8 A 40KA</v>
          </cell>
          <cell r="C516" t="str">
            <v>UN</v>
          </cell>
          <cell r="D516">
            <v>38.629999999999995</v>
          </cell>
          <cell r="E516">
            <v>96.88</v>
          </cell>
          <cell r="F516">
            <v>0</v>
          </cell>
          <cell r="G516">
            <v>135.51</v>
          </cell>
        </row>
        <row r="517">
          <cell r="A517">
            <v>719</v>
          </cell>
          <cell r="B517" t="str">
            <v>ELETRODUTO EM AÇO GALVANIZADO A FOGO DIÂMETRO 3/4" - PESADO</v>
          </cell>
          <cell r="C517" t="str">
            <v>M</v>
          </cell>
          <cell r="D517">
            <v>11.588999999999999</v>
          </cell>
          <cell r="E517">
            <v>10.28</v>
          </cell>
          <cell r="F517">
            <v>0</v>
          </cell>
          <cell r="G517">
            <v>21.869</v>
          </cell>
        </row>
        <row r="518">
          <cell r="A518">
            <v>720</v>
          </cell>
          <cell r="B518" t="str">
            <v>ELETRODUTO EM AÇO GALVANIZADO A FOGO DIÂMETRO 4" - PESADO</v>
          </cell>
          <cell r="C518" t="str">
            <v>M</v>
          </cell>
          <cell r="D518">
            <v>77.259999999999991</v>
          </cell>
          <cell r="E518">
            <v>75.23</v>
          </cell>
          <cell r="F518">
            <v>0</v>
          </cell>
          <cell r="G518">
            <v>152.49</v>
          </cell>
        </row>
        <row r="519">
          <cell r="A519">
            <v>721</v>
          </cell>
          <cell r="B519" t="str">
            <v>FITA ISOLANTE, ROLO DE 10,00 M</v>
          </cell>
          <cell r="C519" t="str">
            <v>UN</v>
          </cell>
          <cell r="D519">
            <v>7.726</v>
          </cell>
          <cell r="E519">
            <v>6.43</v>
          </cell>
          <cell r="F519">
            <v>0</v>
          </cell>
          <cell r="G519">
            <v>14.155999999999999</v>
          </cell>
        </row>
        <row r="520">
          <cell r="A520">
            <v>722</v>
          </cell>
          <cell r="B520" t="str">
            <v>FITA ISOLANTE, ROLO DE 20,00 M</v>
          </cell>
          <cell r="C520" t="str">
            <v>UN</v>
          </cell>
          <cell r="D520">
            <v>15.452</v>
          </cell>
          <cell r="E520">
            <v>10</v>
          </cell>
          <cell r="F520">
            <v>0</v>
          </cell>
          <cell r="G520">
            <v>25.451999999999998</v>
          </cell>
        </row>
        <row r="521">
          <cell r="A521">
            <v>723</v>
          </cell>
          <cell r="B521" t="str">
            <v>GRAMPO DE ANCORAGEM POLIMÉRICO</v>
          </cell>
          <cell r="C521" t="str">
            <v>UN</v>
          </cell>
          <cell r="D521">
            <v>15.452</v>
          </cell>
          <cell r="E521">
            <v>29.4</v>
          </cell>
          <cell r="F521">
            <v>0</v>
          </cell>
          <cell r="G521">
            <v>44.851999999999997</v>
          </cell>
        </row>
        <row r="522">
          <cell r="A522">
            <v>724</v>
          </cell>
          <cell r="B522" t="str">
            <v>INTERRUPTOR DIFERENCIAL RESIDUAL (D.R.) TETRAPOLAR DE 40A-30mA</v>
          </cell>
          <cell r="C522" t="str">
            <v>UN</v>
          </cell>
          <cell r="D522">
            <v>38.629999999999995</v>
          </cell>
          <cell r="E522">
            <v>147.75</v>
          </cell>
          <cell r="F522">
            <v>0</v>
          </cell>
          <cell r="G522">
            <v>186.38</v>
          </cell>
        </row>
        <row r="523">
          <cell r="A523">
            <v>725</v>
          </cell>
          <cell r="B523" t="str">
            <v>ISOLADOR DE ANCORAGEM POLIMÉRICO 15KV</v>
          </cell>
          <cell r="C523" t="str">
            <v>UN</v>
          </cell>
          <cell r="D523">
            <v>7.726</v>
          </cell>
          <cell r="E523">
            <v>46.94</v>
          </cell>
          <cell r="F523">
            <v>0</v>
          </cell>
          <cell r="G523">
            <v>54.665999999999997</v>
          </cell>
        </row>
        <row r="524">
          <cell r="A524">
            <v>726</v>
          </cell>
          <cell r="B524" t="str">
            <v>LUVA EM AÇO GALVANIZADO DIÂMETRO 4"</v>
          </cell>
          <cell r="C524" t="str">
            <v>UN</v>
          </cell>
          <cell r="D524">
            <v>21.246500000000005</v>
          </cell>
          <cell r="E524">
            <v>18.079999999999998</v>
          </cell>
          <cell r="F524">
            <v>0</v>
          </cell>
          <cell r="G524">
            <v>39.326500000000003</v>
          </cell>
        </row>
        <row r="525">
          <cell r="A525">
            <v>727</v>
          </cell>
          <cell r="B525" t="str">
            <v>LUMINARIA PARA JARDIM C/POSTE 2,5M, BASE CONC. E 02 GLOBOS/LEITOSOS</v>
          </cell>
          <cell r="C525" t="str">
            <v>UN</v>
          </cell>
          <cell r="D525">
            <v>112.92670400000002</v>
          </cell>
          <cell r="E525">
            <v>480.118448</v>
          </cell>
          <cell r="F525">
            <v>0</v>
          </cell>
          <cell r="G525">
            <v>593.04515200000003</v>
          </cell>
        </row>
        <row r="526">
          <cell r="A526">
            <v>728</v>
          </cell>
          <cell r="B526" t="str">
            <v>MANILHA-SAPATILHA EM AÇO GALVANIZADO</v>
          </cell>
          <cell r="C526" t="str">
            <v>UN</v>
          </cell>
          <cell r="D526">
            <v>15.452</v>
          </cell>
          <cell r="E526">
            <v>10.69</v>
          </cell>
          <cell r="F526">
            <v>0</v>
          </cell>
          <cell r="G526">
            <v>26.141999999999999</v>
          </cell>
        </row>
        <row r="527">
          <cell r="A527">
            <v>729</v>
          </cell>
          <cell r="B527" t="str">
            <v>MURETA MEDIÇÃO ALVEN. 1 1/2 V.(35CM) REBOC.C/PINTURA ACRÍL. E LAJE CONC. 20MPA MALHA 8.0MM CADA 10CM REVEST.C/ARGAMASSA 1:3 C/ IMPERMEABILIZANTE</v>
          </cell>
          <cell r="C527" t="str">
            <v>M2</v>
          </cell>
          <cell r="D527">
            <v>208.25929999999997</v>
          </cell>
          <cell r="E527">
            <v>225.85207107438018</v>
          </cell>
          <cell r="F527">
            <v>0</v>
          </cell>
          <cell r="G527">
            <v>434.11137107438014</v>
          </cell>
        </row>
        <row r="528">
          <cell r="A528">
            <v>730</v>
          </cell>
          <cell r="B528" t="str">
            <v>NIPLE METALICO Fo.Zo. DIAMETRO 1 1/4"</v>
          </cell>
          <cell r="C528" t="str">
            <v>UN</v>
          </cell>
          <cell r="D528">
            <v>3.863</v>
          </cell>
          <cell r="E528">
            <v>10.220000000000001</v>
          </cell>
          <cell r="F528">
            <v>0</v>
          </cell>
          <cell r="G528">
            <v>14.083</v>
          </cell>
        </row>
        <row r="529">
          <cell r="A529">
            <v>731</v>
          </cell>
          <cell r="B529" t="str">
            <v>NIPLE METALICO Fo.Zo. DIAMETRO 4"</v>
          </cell>
          <cell r="C529" t="str">
            <v>UN</v>
          </cell>
          <cell r="D529">
            <v>21.246500000000005</v>
          </cell>
          <cell r="E529">
            <v>84.63</v>
          </cell>
          <cell r="F529">
            <v>0</v>
          </cell>
          <cell r="G529">
            <v>105.87649999999999</v>
          </cell>
        </row>
        <row r="530">
          <cell r="A530">
            <v>732</v>
          </cell>
          <cell r="B530" t="str">
            <v>OLHAL PARA PARAFUSO</v>
          </cell>
          <cell r="C530" t="str">
            <v>UN</v>
          </cell>
          <cell r="D530">
            <v>11.588999999999999</v>
          </cell>
          <cell r="E530">
            <v>8.73</v>
          </cell>
          <cell r="F530">
            <v>0</v>
          </cell>
          <cell r="G530">
            <v>20.318999999999999</v>
          </cell>
        </row>
        <row r="531">
          <cell r="A531">
            <v>733</v>
          </cell>
          <cell r="B531" t="str">
            <v>PARA RAIOS DISTRIBUIDOR POLIMÉRICO ÓXIDO DE ZINCO S/CENTELHADOR C/ DESLIGAMENTO AUTOMÁTICO 15KV,10KA</v>
          </cell>
          <cell r="C531" t="str">
            <v>UN</v>
          </cell>
          <cell r="D531">
            <v>57.945</v>
          </cell>
          <cell r="E531">
            <v>172.73</v>
          </cell>
          <cell r="F531">
            <v>0</v>
          </cell>
          <cell r="G531">
            <v>230.67499999999998</v>
          </cell>
        </row>
        <row r="532">
          <cell r="A532">
            <v>734</v>
          </cell>
          <cell r="B532" t="str">
            <v>PARAFUSO P/BUCHA S-10</v>
          </cell>
          <cell r="C532" t="str">
            <v>UN</v>
          </cell>
          <cell r="D532">
            <v>1.093229</v>
          </cell>
          <cell r="E532">
            <v>0.28000000000000003</v>
          </cell>
          <cell r="F532">
            <v>0</v>
          </cell>
          <cell r="G532">
            <v>1.373229</v>
          </cell>
        </row>
        <row r="533">
          <cell r="A533">
            <v>735</v>
          </cell>
          <cell r="B533" t="str">
            <v>POSTE - FUNDAÇÃO EM CONCRETO SIMPLES DA BASE DOS POSTES 11/600 PARA TRAFO ( DIAM. 1000MM)</v>
          </cell>
          <cell r="C533" t="str">
            <v>M</v>
          </cell>
          <cell r="D533">
            <v>377.86340000000001</v>
          </cell>
          <cell r="E533">
            <v>223.879605</v>
          </cell>
          <cell r="F533">
            <v>0</v>
          </cell>
          <cell r="G533">
            <v>601.74300500000004</v>
          </cell>
        </row>
        <row r="534">
          <cell r="A534">
            <v>736</v>
          </cell>
          <cell r="B534" t="str">
            <v>POSTE/TRAFO - CAMINHÃO MUNCK 12 TON. (MÍNIMO 4H/DIA)</v>
          </cell>
          <cell r="C534" t="str">
            <v>H</v>
          </cell>
          <cell r="D534">
            <v>0</v>
          </cell>
          <cell r="E534">
            <v>140</v>
          </cell>
          <cell r="F534">
            <v>0</v>
          </cell>
          <cell r="G534">
            <v>140</v>
          </cell>
        </row>
        <row r="535">
          <cell r="A535">
            <v>737</v>
          </cell>
          <cell r="B535" t="str">
            <v>PROTETOR PARA PARA-RAIO POLIMÉRICO</v>
          </cell>
          <cell r="C535" t="str">
            <v>UN</v>
          </cell>
          <cell r="D535">
            <v>0.57945000000000002</v>
          </cell>
          <cell r="E535">
            <v>16.73</v>
          </cell>
          <cell r="F535">
            <v>0</v>
          </cell>
          <cell r="G535">
            <v>17.309450000000002</v>
          </cell>
        </row>
        <row r="536">
          <cell r="A536">
            <v>738</v>
          </cell>
          <cell r="B536" t="str">
            <v>QUADRO DE DISTRIBUIÇÃO DE EMBUTIR EM PVC CB 24E - 80A</v>
          </cell>
          <cell r="C536" t="str">
            <v>UN</v>
          </cell>
          <cell r="D536">
            <v>115.89</v>
          </cell>
          <cell r="E536">
            <v>16.73</v>
          </cell>
          <cell r="F536">
            <v>0</v>
          </cell>
          <cell r="G536">
            <v>132.62</v>
          </cell>
        </row>
        <row r="537">
          <cell r="A537">
            <v>739</v>
          </cell>
          <cell r="B537" t="str">
            <v>QUADRO DE DISTRIBUIÇÃO DE EMBUTIR EM PVC CB 48E - 80A</v>
          </cell>
          <cell r="C537" t="str">
            <v>UN</v>
          </cell>
          <cell r="D537">
            <v>231.78</v>
          </cell>
          <cell r="E537">
            <v>334.71</v>
          </cell>
          <cell r="F537">
            <v>0</v>
          </cell>
          <cell r="G537">
            <v>566.49</v>
          </cell>
        </row>
        <row r="538">
          <cell r="A538">
            <v>740</v>
          </cell>
          <cell r="B538" t="str">
            <v>QUADRO DE DISTRIBUIÇÃO DE EMBUTIR METÁLICO CB-24E - 150A</v>
          </cell>
          <cell r="C538" t="str">
            <v>UN</v>
          </cell>
          <cell r="D538">
            <v>115.89</v>
          </cell>
          <cell r="E538">
            <v>422.04</v>
          </cell>
          <cell r="F538">
            <v>0</v>
          </cell>
          <cell r="G538">
            <v>537.93000000000006</v>
          </cell>
        </row>
        <row r="539">
          <cell r="A539">
            <v>741</v>
          </cell>
          <cell r="B539" t="str">
            <v>QUADRO DE DISTRIBUIÇÃO DE EMBUTIR METÁLICO CB-34E - 150A</v>
          </cell>
          <cell r="C539" t="str">
            <v>UN</v>
          </cell>
          <cell r="D539">
            <v>154.51999999999998</v>
          </cell>
          <cell r="E539">
            <v>444.37</v>
          </cell>
          <cell r="F539">
            <v>0</v>
          </cell>
          <cell r="G539">
            <v>598.89</v>
          </cell>
        </row>
        <row r="540">
          <cell r="A540">
            <v>742</v>
          </cell>
          <cell r="B540" t="str">
            <v>SAPATILHA DE AÇO GALVANIZADO PARA POSTE COM TRANSFORMADOR</v>
          </cell>
          <cell r="C540" t="str">
            <v>UN</v>
          </cell>
          <cell r="D540">
            <v>15.452</v>
          </cell>
          <cell r="E540">
            <v>2.67</v>
          </cell>
          <cell r="F540">
            <v>0</v>
          </cell>
          <cell r="G540">
            <v>18.122</v>
          </cell>
        </row>
        <row r="541">
          <cell r="A541">
            <v>743</v>
          </cell>
          <cell r="B541" t="str">
            <v>SUPORTE PARA 4 PÉTALAS PARA LUMINÁRIA DE ILUMINAÇÃO PÚBLICA</v>
          </cell>
          <cell r="C541" t="str">
            <v>UN</v>
          </cell>
          <cell r="D541">
            <v>9.6574999999999989</v>
          </cell>
          <cell r="E541">
            <v>133.33000000000001</v>
          </cell>
          <cell r="F541">
            <v>0</v>
          </cell>
          <cell r="G541">
            <v>142.98750000000001</v>
          </cell>
        </row>
        <row r="542">
          <cell r="A542">
            <v>744</v>
          </cell>
          <cell r="B542" t="str">
            <v>SUPORTE Z COMPLETO</v>
          </cell>
          <cell r="C542" t="str">
            <v>UN</v>
          </cell>
          <cell r="D542">
            <v>15.452</v>
          </cell>
          <cell r="E542">
            <v>25.66</v>
          </cell>
          <cell r="F542">
            <v>0</v>
          </cell>
          <cell r="G542">
            <v>41.112000000000002</v>
          </cell>
        </row>
        <row r="543">
          <cell r="A543">
            <v>745</v>
          </cell>
          <cell r="B543" t="str">
            <v>TERMINAL DE PRESSAO 2,5MM3</v>
          </cell>
          <cell r="C543" t="str">
            <v>UN</v>
          </cell>
          <cell r="D543">
            <v>11.588999999999999</v>
          </cell>
          <cell r="E543">
            <v>0.32</v>
          </cell>
          <cell r="F543">
            <v>0</v>
          </cell>
          <cell r="G543">
            <v>11.908999999999999</v>
          </cell>
        </row>
        <row r="544">
          <cell r="A544">
            <v>746</v>
          </cell>
          <cell r="B544" t="str">
            <v>TERMINAL DE PRESSAO 16MM3</v>
          </cell>
          <cell r="C544" t="str">
            <v>UN</v>
          </cell>
          <cell r="D544">
            <v>13.520499999999998</v>
          </cell>
          <cell r="E544">
            <v>2.87</v>
          </cell>
          <cell r="F544">
            <v>0</v>
          </cell>
          <cell r="G544">
            <v>16.390499999999999</v>
          </cell>
        </row>
        <row r="545">
          <cell r="A545">
            <v>747</v>
          </cell>
          <cell r="B545" t="str">
            <v>TERMINAL DE PRESSAO 95MM3</v>
          </cell>
          <cell r="C545" t="str">
            <v>UN</v>
          </cell>
          <cell r="D545">
            <v>17.383499999999998</v>
          </cell>
          <cell r="E545">
            <v>9.2100000000000009</v>
          </cell>
          <cell r="F545">
            <v>0</v>
          </cell>
          <cell r="G545">
            <v>26.593499999999999</v>
          </cell>
        </row>
        <row r="546">
          <cell r="A546">
            <v>748</v>
          </cell>
          <cell r="B546" t="str">
            <v>TOMADA HEXAGONAL 2P + T - 20A - 250V (LINHA X OU EQUIVALENTE)</v>
          </cell>
          <cell r="C546" t="str">
            <v>UN</v>
          </cell>
          <cell r="D546">
            <v>11.2027</v>
          </cell>
          <cell r="E546">
            <v>10.58</v>
          </cell>
          <cell r="F546">
            <v>0</v>
          </cell>
          <cell r="G546">
            <v>21.782699999999998</v>
          </cell>
        </row>
        <row r="547">
          <cell r="A547">
            <v>749</v>
          </cell>
          <cell r="B547" t="str">
            <v>TRANSFORMADOR DE CORRENTE RELAÇÃO 600:5 A</v>
          </cell>
          <cell r="C547" t="str">
            <v>UN</v>
          </cell>
          <cell r="D547">
            <v>12.875378999999999</v>
          </cell>
          <cell r="E547">
            <v>74.92</v>
          </cell>
          <cell r="F547">
            <v>0</v>
          </cell>
          <cell r="G547">
            <v>87.795378999999997</v>
          </cell>
        </row>
        <row r="548">
          <cell r="A548">
            <v>750</v>
          </cell>
          <cell r="B548" t="str">
            <v>TAMPA CEGA PARA CONDULETE METÁLICO</v>
          </cell>
          <cell r="C548" t="str">
            <v>UN</v>
          </cell>
          <cell r="D548">
            <v>1.1589</v>
          </cell>
          <cell r="E548">
            <v>2.11</v>
          </cell>
          <cell r="F548">
            <v>0</v>
          </cell>
          <cell r="G548">
            <v>3.2688999999999999</v>
          </cell>
        </row>
        <row r="549">
          <cell r="A549">
            <v>751</v>
          </cell>
          <cell r="B549" t="str">
            <v>TAMPA CEGA PLÁSTICA 4"X2" COM FURO CENTRAL (PARA TV/SOM...)</v>
          </cell>
          <cell r="C549" t="str">
            <v>UN</v>
          </cell>
          <cell r="D549">
            <v>1.1589</v>
          </cell>
          <cell r="E549">
            <v>1.55</v>
          </cell>
          <cell r="F549">
            <v>0</v>
          </cell>
          <cell r="G549">
            <v>2.7088999999999999</v>
          </cell>
        </row>
        <row r="550">
          <cell r="A550">
            <v>752</v>
          </cell>
          <cell r="B550" t="str">
            <v>TAMPA PARA CONDULETE METÁLICO PARA 1 INTERRUPTOR</v>
          </cell>
          <cell r="C550" t="str">
            <v>UN</v>
          </cell>
          <cell r="D550">
            <v>1.1589</v>
          </cell>
          <cell r="E550">
            <v>2.04</v>
          </cell>
          <cell r="F550">
            <v>0</v>
          </cell>
          <cell r="G550">
            <v>3.1989000000000001</v>
          </cell>
        </row>
        <row r="551">
          <cell r="A551">
            <v>753</v>
          </cell>
          <cell r="B551" t="str">
            <v>TAMPA PARA CONDULETE METÁLICO PARA 1 TOMADA</v>
          </cell>
          <cell r="C551" t="str">
            <v>UN</v>
          </cell>
          <cell r="D551">
            <v>1.1589</v>
          </cell>
          <cell r="E551">
            <v>2.04</v>
          </cell>
          <cell r="F551">
            <v>0</v>
          </cell>
          <cell r="G551">
            <v>3.1989000000000001</v>
          </cell>
        </row>
        <row r="552">
          <cell r="A552">
            <v>754</v>
          </cell>
          <cell r="B552" t="str">
            <v>SUPORTE DE AÇO GALVANIZADO PARA FIXAÇÃO DO PÁRA-RAIO POLIMÉRICO</v>
          </cell>
          <cell r="C552" t="str">
            <v>UN</v>
          </cell>
          <cell r="D552">
            <v>15.452</v>
          </cell>
          <cell r="E552">
            <v>29.55</v>
          </cell>
          <cell r="F552">
            <v>0</v>
          </cell>
          <cell r="G552">
            <v>45.002000000000002</v>
          </cell>
        </row>
        <row r="553">
          <cell r="A553">
            <v>755</v>
          </cell>
          <cell r="B553" t="str">
            <v>POSTE CONICO CONTINUO EM ACO GALVANIZADO, RETO, ENGASTADO, H = 9 M, DIAMETRO INFERIOR = *145* MM</v>
          </cell>
          <cell r="C553" t="str">
            <v>UN</v>
          </cell>
          <cell r="D553">
            <v>24.250617999999999</v>
          </cell>
          <cell r="E553">
            <v>1355.796724</v>
          </cell>
          <cell r="F553">
            <v>0</v>
          </cell>
          <cell r="G553">
            <v>1380.0473420000001</v>
          </cell>
        </row>
        <row r="554">
          <cell r="A554">
            <v>756</v>
          </cell>
          <cell r="B554" t="str">
            <v>LUMINARIA LED REFLETOR RETANGULAR BIVOLT, LUZ BRANCA, 50 W</v>
          </cell>
          <cell r="C554" t="str">
            <v>UN</v>
          </cell>
          <cell r="D554">
            <v>12.462038</v>
          </cell>
          <cell r="E554">
            <v>52.39</v>
          </cell>
          <cell r="F554">
            <v>0</v>
          </cell>
          <cell r="G554">
            <v>64.852037999999993</v>
          </cell>
        </row>
        <row r="555">
          <cell r="A555">
            <v>757</v>
          </cell>
          <cell r="B555" t="str">
            <v>INTERRUPTOR 1 SEÇÃO (LINHA X OU EQUIVALENTE)</v>
          </cell>
          <cell r="C555" t="str">
            <v>UN</v>
          </cell>
          <cell r="D555">
            <v>8.1122999999999994</v>
          </cell>
          <cell r="E555">
            <v>5.72</v>
          </cell>
          <cell r="F555">
            <v>0</v>
          </cell>
          <cell r="G555">
            <v>13.8323</v>
          </cell>
        </row>
        <row r="556">
          <cell r="A556">
            <v>758</v>
          </cell>
          <cell r="B556" t="str">
            <v>TOMADA HEXAGONAL 2P+T - 10A - 250V (LINHA X OU EQUIVALENTE)</v>
          </cell>
          <cell r="C556" t="str">
            <v>UN</v>
          </cell>
          <cell r="D556">
            <v>11.2027</v>
          </cell>
          <cell r="E556">
            <v>8.51</v>
          </cell>
          <cell r="F556">
            <v>0</v>
          </cell>
          <cell r="G556">
            <v>19.712699999999998</v>
          </cell>
        </row>
        <row r="557">
          <cell r="A557">
            <v>759</v>
          </cell>
          <cell r="B557" t="str">
            <v>LUMINÁRIA LED PARA GINÁSIO / QUADRA 200W - REFERÊNCIA WAMPA TECNOWATT OU EQUIVALENTE</v>
          </cell>
          <cell r="C557" t="str">
            <v>UN</v>
          </cell>
          <cell r="D557">
            <v>12.462038</v>
          </cell>
          <cell r="E557">
            <v>574.71669999999995</v>
          </cell>
          <cell r="F557">
            <v>0</v>
          </cell>
          <cell r="G557">
            <v>587.17873799999995</v>
          </cell>
        </row>
        <row r="558">
          <cell r="A558">
            <v>760</v>
          </cell>
          <cell r="B558" t="str">
            <v>LAMPADA LED 18 W BIVOLT BRANCA, FORMATO TRADICIONAL (BASE E27)</v>
          </cell>
          <cell r="C558" t="str">
            <v>UN</v>
          </cell>
          <cell r="D558">
            <v>3.0903999999999998</v>
          </cell>
          <cell r="E558">
            <v>23.94</v>
          </cell>
          <cell r="F558">
            <v>0</v>
          </cell>
          <cell r="G558">
            <v>27.0304</v>
          </cell>
        </row>
        <row r="559">
          <cell r="A559">
            <v>761</v>
          </cell>
          <cell r="B559" t="str">
            <v>DISJUNTOR TRIPOLAR 500A</v>
          </cell>
          <cell r="C559" t="str">
            <v>UN</v>
          </cell>
          <cell r="D559">
            <v>34.766999999999996</v>
          </cell>
          <cell r="E559">
            <v>2358.81</v>
          </cell>
          <cell r="F559">
            <v>0</v>
          </cell>
          <cell r="G559">
            <v>2393.5769999999998</v>
          </cell>
        </row>
        <row r="560">
          <cell r="A560">
            <v>762</v>
          </cell>
          <cell r="B560" t="str">
            <v>BARRA DE COBRE 2 1/2" X 3/16"</v>
          </cell>
          <cell r="C560" t="str">
            <v>M</v>
          </cell>
          <cell r="D560">
            <v>25.882100000000001</v>
          </cell>
          <cell r="E560">
            <v>271.39409999999998</v>
          </cell>
          <cell r="F560">
            <v>0</v>
          </cell>
          <cell r="G560">
            <v>297.27619999999996</v>
          </cell>
        </row>
        <row r="561">
          <cell r="A561">
            <v>763</v>
          </cell>
          <cell r="B561" t="str">
            <v>BARRA DE COBRE 1.1/2" X 1/4"</v>
          </cell>
          <cell r="C561" t="str">
            <v>M</v>
          </cell>
          <cell r="D561">
            <v>25.882100000000001</v>
          </cell>
          <cell r="E561">
            <v>216.9135</v>
          </cell>
          <cell r="F561">
            <v>0</v>
          </cell>
          <cell r="G561">
            <v>242.79560000000001</v>
          </cell>
        </row>
        <row r="562">
          <cell r="A562">
            <v>764</v>
          </cell>
          <cell r="B562" t="str">
            <v>BARRA DE COBRE 4" X 1/4"</v>
          </cell>
          <cell r="C562" t="str">
            <v>M</v>
          </cell>
          <cell r="D562">
            <v>25.882100000000001</v>
          </cell>
          <cell r="E562">
            <v>579.10860000000002</v>
          </cell>
          <cell r="F562">
            <v>0</v>
          </cell>
          <cell r="G562">
            <v>604.99070000000006</v>
          </cell>
        </row>
        <row r="563">
          <cell r="A563">
            <v>765</v>
          </cell>
          <cell r="B563" t="str">
            <v>DISPOSITIVO DE PROTEÇÃO CONTRA SURTOS (D.P.S.) 275V 40 KA</v>
          </cell>
          <cell r="C563" t="str">
            <v>UN</v>
          </cell>
          <cell r="D563">
            <v>38.629999999999995</v>
          </cell>
          <cell r="E563">
            <v>96.88</v>
          </cell>
          <cell r="F563">
            <v>0</v>
          </cell>
          <cell r="G563">
            <v>135.51</v>
          </cell>
        </row>
        <row r="564">
          <cell r="A564">
            <v>766</v>
          </cell>
          <cell r="B564" t="str">
            <v>PLACA DE COBRE 200X40X10 MM</v>
          </cell>
          <cell r="C564" t="str">
            <v>UN</v>
          </cell>
          <cell r="D564">
            <v>25.882100000000001</v>
          </cell>
          <cell r="E564">
            <v>71.852324472000006</v>
          </cell>
          <cell r="F564">
            <v>0</v>
          </cell>
          <cell r="G564">
            <v>97.734424472000001</v>
          </cell>
        </row>
        <row r="565">
          <cell r="A565">
            <v>767</v>
          </cell>
          <cell r="B565" t="str">
            <v>CAIXA DE PASSAGEM 110X110X110 CM FUNDO DE BRITA SEM TAMPA</v>
          </cell>
          <cell r="C565" t="str">
            <v>UN</v>
          </cell>
          <cell r="D565">
            <v>576.4461</v>
          </cell>
          <cell r="E565">
            <v>311.57200799999998</v>
          </cell>
          <cell r="F565">
            <v>0</v>
          </cell>
          <cell r="G565">
            <v>888.01810799999998</v>
          </cell>
        </row>
        <row r="566">
          <cell r="A566">
            <v>768</v>
          </cell>
          <cell r="B566" t="str">
            <v>TERMINAL DE PRESSAO 185 MM3</v>
          </cell>
          <cell r="C566" t="str">
            <v>UN</v>
          </cell>
          <cell r="D566">
            <v>21.246500000000005</v>
          </cell>
          <cell r="E566">
            <v>26.6967</v>
          </cell>
          <cell r="F566">
            <v>0</v>
          </cell>
          <cell r="G566">
            <v>47.943200000000004</v>
          </cell>
        </row>
        <row r="567">
          <cell r="A567">
            <v>769</v>
          </cell>
          <cell r="B567" t="str">
            <v>PARAFUSO CABEÇA ABAULADA M16x45MM COM ARUELA QUADRADA E PORCA</v>
          </cell>
          <cell r="C567" t="str">
            <v>UN</v>
          </cell>
          <cell r="D567">
            <v>0.25495799999999996</v>
          </cell>
          <cell r="E567">
            <v>2.66</v>
          </cell>
          <cell r="F567">
            <v>0</v>
          </cell>
          <cell r="G567">
            <v>2.9149579999999999</v>
          </cell>
        </row>
        <row r="568">
          <cell r="A568">
            <v>770</v>
          </cell>
          <cell r="B568" t="str">
            <v>PARAFUSO CABEÇA QUADRADA M16x150MM COM ARRUELA QUADRADA E PORCA</v>
          </cell>
          <cell r="C568" t="str">
            <v>UN</v>
          </cell>
          <cell r="D568">
            <v>0.25495799999999996</v>
          </cell>
          <cell r="E568">
            <v>4.4400000000000004</v>
          </cell>
          <cell r="F568">
            <v>0</v>
          </cell>
          <cell r="G568">
            <v>4.6949580000000006</v>
          </cell>
        </row>
        <row r="569">
          <cell r="A569">
            <v>771</v>
          </cell>
          <cell r="B569" t="str">
            <v>BASE METÁLICA PARA MASTRO 2"</v>
          </cell>
          <cell r="C569" t="str">
            <v>UN</v>
          </cell>
          <cell r="D569">
            <v>51.505378999999991</v>
          </cell>
          <cell r="E569">
            <v>65.47</v>
          </cell>
          <cell r="F569">
            <v>0</v>
          </cell>
          <cell r="G569">
            <v>116.97537899999999</v>
          </cell>
        </row>
        <row r="570">
          <cell r="A570">
            <v>772</v>
          </cell>
          <cell r="B570" t="str">
            <v>DISJUNTOR DIFERENCIAL RESIDUAL (DDR) 50A - 30mA</v>
          </cell>
          <cell r="C570" t="str">
            <v>UN</v>
          </cell>
          <cell r="D570">
            <v>23.177999999999997</v>
          </cell>
          <cell r="E570">
            <v>265.68</v>
          </cell>
          <cell r="F570">
            <v>0</v>
          </cell>
          <cell r="G570">
            <v>288.858</v>
          </cell>
        </row>
        <row r="571">
          <cell r="A571">
            <v>773</v>
          </cell>
          <cell r="B571" t="str">
            <v>BRAÇADEIRA METÁLICA CIRCULAR 2" COM CHUMBADOR</v>
          </cell>
          <cell r="C571" t="str">
            <v>UN</v>
          </cell>
          <cell r="D571">
            <v>13.520499999999998</v>
          </cell>
          <cell r="E571">
            <v>5.49</v>
          </cell>
          <cell r="F571">
            <v>0</v>
          </cell>
          <cell r="G571">
            <v>19.0105</v>
          </cell>
        </row>
        <row r="572">
          <cell r="A572">
            <v>774</v>
          </cell>
          <cell r="B572" t="str">
            <v>CONECTOR MINI-GAR BRONZE ESTANHADO P/ TRAVAMENTO DE CABO</v>
          </cell>
          <cell r="C572" t="str">
            <v>UN</v>
          </cell>
          <cell r="D572">
            <v>6.1807999999999996</v>
          </cell>
          <cell r="E572">
            <v>19.899999999999999</v>
          </cell>
          <cell r="F572">
            <v>0</v>
          </cell>
          <cell r="G572">
            <v>26.080799999999996</v>
          </cell>
        </row>
        <row r="573">
          <cell r="A573">
            <v>775</v>
          </cell>
          <cell r="B573" t="str">
            <v>SELANTE DE POLIURET. REF. TERMOTÉCNICA TEL-5905, SIKAFLEX OU EQUIVALENTE</v>
          </cell>
          <cell r="C573" t="str">
            <v>UN</v>
          </cell>
          <cell r="D573">
            <v>26.9514</v>
          </cell>
          <cell r="E573">
            <v>27.02</v>
          </cell>
          <cell r="F573">
            <v>0</v>
          </cell>
          <cell r="G573">
            <v>53.971400000000003</v>
          </cell>
        </row>
        <row r="574">
          <cell r="A574">
            <v>776</v>
          </cell>
          <cell r="B574" t="str">
            <v>SUPORTE ISOLADOR SIMPLES</v>
          </cell>
          <cell r="C574" t="str">
            <v>UN</v>
          </cell>
          <cell r="D574">
            <v>13.520499999999998</v>
          </cell>
          <cell r="E574">
            <v>5.38</v>
          </cell>
          <cell r="F574">
            <v>0</v>
          </cell>
          <cell r="G574">
            <v>18.900499999999997</v>
          </cell>
        </row>
        <row r="575">
          <cell r="A575">
            <v>777</v>
          </cell>
          <cell r="B575" t="str">
            <v>QUADRO DE DISTRIBUIÇÃO DE EMBUTIR METÁLICO CB 20E - 100A</v>
          </cell>
          <cell r="C575" t="str">
            <v>UN</v>
          </cell>
          <cell r="D575">
            <v>115.89</v>
          </cell>
          <cell r="E575">
            <v>366.2166666666667</v>
          </cell>
          <cell r="F575">
            <v>0</v>
          </cell>
          <cell r="G575">
            <v>482.10666666666668</v>
          </cell>
        </row>
        <row r="576">
          <cell r="A576">
            <v>778</v>
          </cell>
          <cell r="B576" t="str">
            <v>QUADRO DE DISTRIBUIÇÃO DE EMBUTIR METÁLICO CB-70E - 225A</v>
          </cell>
          <cell r="C576" t="str">
            <v>UN</v>
          </cell>
          <cell r="D576">
            <v>231.78</v>
          </cell>
          <cell r="E576">
            <v>787.78</v>
          </cell>
          <cell r="F576">
            <v>0</v>
          </cell>
          <cell r="G576">
            <v>1019.56</v>
          </cell>
        </row>
        <row r="577">
          <cell r="A577">
            <v>779</v>
          </cell>
          <cell r="B577" t="str">
            <v>INTERRUPTOR DIFERENCIAL RESIDUAL (DR) BIPOLAR 25A - 30mA</v>
          </cell>
          <cell r="C577" t="str">
            <v>UN</v>
          </cell>
          <cell r="D577">
            <v>23.177999999999997</v>
          </cell>
          <cell r="E577">
            <v>129.58000000000001</v>
          </cell>
          <cell r="F577">
            <v>0</v>
          </cell>
          <cell r="G577">
            <v>152.75800000000001</v>
          </cell>
        </row>
        <row r="578">
          <cell r="A578">
            <v>780</v>
          </cell>
          <cell r="B578" t="str">
            <v>INTERRUPTOR DIFERENCIAL RESIDUAL (DR) BIPOLAR 40A - 30mA</v>
          </cell>
          <cell r="C578" t="str">
            <v>UN</v>
          </cell>
          <cell r="D578">
            <v>34.766999999999996</v>
          </cell>
          <cell r="E578">
            <v>131.88999999999999</v>
          </cell>
          <cell r="F578">
            <v>0</v>
          </cell>
          <cell r="G578">
            <v>166.65699999999998</v>
          </cell>
        </row>
        <row r="579">
          <cell r="A579">
            <v>781</v>
          </cell>
          <cell r="B579" t="str">
            <v>ARRUELA LISA D=1/4"</v>
          </cell>
          <cell r="C579" t="str">
            <v>UN</v>
          </cell>
          <cell r="D579">
            <v>0</v>
          </cell>
          <cell r="E579">
            <v>0.04</v>
          </cell>
          <cell r="F579">
            <v>0</v>
          </cell>
          <cell r="G579">
            <v>0.04</v>
          </cell>
        </row>
        <row r="580">
          <cell r="A580">
            <v>782</v>
          </cell>
          <cell r="B580" t="str">
            <v>ARRUELA LISA D=5/16"</v>
          </cell>
          <cell r="C580" t="str">
            <v>UN</v>
          </cell>
          <cell r="D580">
            <v>0</v>
          </cell>
          <cell r="E580">
            <v>0.08</v>
          </cell>
          <cell r="F580">
            <v>0</v>
          </cell>
          <cell r="G580">
            <v>0.08</v>
          </cell>
        </row>
        <row r="581">
          <cell r="A581">
            <v>783</v>
          </cell>
          <cell r="B581" t="str">
            <v>FUSIVEL NH DE 6 a 160A TAMNHO 00</v>
          </cell>
          <cell r="C581" t="str">
            <v>UN</v>
          </cell>
          <cell r="D581">
            <v>7.726</v>
          </cell>
          <cell r="E581">
            <v>13.09</v>
          </cell>
          <cell r="F581">
            <v>0</v>
          </cell>
          <cell r="G581">
            <v>20.815999999999999</v>
          </cell>
        </row>
        <row r="582">
          <cell r="A582">
            <v>784</v>
          </cell>
          <cell r="B582" t="str">
            <v>TORNEIRA DE JARDIM COM BICO PARA MANGUEIRA DIÂMETRO DE 1/2" E 3/4"</v>
          </cell>
          <cell r="C582" t="str">
            <v>UN</v>
          </cell>
          <cell r="D582">
            <v>7.4880000000000004</v>
          </cell>
          <cell r="E582">
            <v>47.52</v>
          </cell>
          <cell r="F582">
            <v>0</v>
          </cell>
          <cell r="G582">
            <v>55.008000000000003</v>
          </cell>
        </row>
        <row r="583">
          <cell r="A583">
            <v>785</v>
          </cell>
          <cell r="B583" t="str">
            <v>VALVULA P/LAVATORIO OU BEBEDOURO METALICO DIAMETRO 1"</v>
          </cell>
          <cell r="C583" t="str">
            <v>UN</v>
          </cell>
          <cell r="D583">
            <v>5.6159999999999997</v>
          </cell>
          <cell r="E583">
            <v>28.4</v>
          </cell>
          <cell r="F583">
            <v>0</v>
          </cell>
          <cell r="G583">
            <v>34.015999999999998</v>
          </cell>
        </row>
        <row r="584">
          <cell r="A584">
            <v>786</v>
          </cell>
          <cell r="B584" t="str">
            <v>PORTA PAPEL HIGIÊNICO EM LOUÇA - EMBUTIR</v>
          </cell>
          <cell r="C584" t="str">
            <v>UN</v>
          </cell>
          <cell r="D584">
            <v>18.365000000000002</v>
          </cell>
          <cell r="E584">
            <v>22.925999999999998</v>
          </cell>
          <cell r="F584">
            <v>0</v>
          </cell>
          <cell r="G584">
            <v>41.290999999999997</v>
          </cell>
        </row>
        <row r="585">
          <cell r="A585">
            <v>787</v>
          </cell>
          <cell r="B585" t="str">
            <v>ACABAMENTO PARA VÁLVULA DE DESCARGA</v>
          </cell>
          <cell r="C585" t="str">
            <v>UN</v>
          </cell>
          <cell r="D585">
            <v>2.9952000000000001</v>
          </cell>
          <cell r="E585">
            <v>64.320000000000007</v>
          </cell>
          <cell r="F585">
            <v>0</v>
          </cell>
          <cell r="G585">
            <v>67.315200000000004</v>
          </cell>
        </row>
        <row r="586">
          <cell r="A586">
            <v>788</v>
          </cell>
          <cell r="B586" t="str">
            <v>ACABAMENTO PARA REGISTRO DE GAVETA 3/4"</v>
          </cell>
          <cell r="C586" t="str">
            <v>UN</v>
          </cell>
          <cell r="D586">
            <v>2.9952000000000001</v>
          </cell>
          <cell r="E586">
            <v>18.329999999999998</v>
          </cell>
          <cell r="F586">
            <v>0</v>
          </cell>
          <cell r="G586">
            <v>21.325199999999999</v>
          </cell>
        </row>
        <row r="587">
          <cell r="A587">
            <v>789</v>
          </cell>
          <cell r="B587" t="str">
            <v>ACABAMENTO PARA REGISTRO DE GAVETA 1.1/2"</v>
          </cell>
          <cell r="C587" t="str">
            <v>UN</v>
          </cell>
          <cell r="D587">
            <v>2.9952000000000001</v>
          </cell>
          <cell r="E587">
            <v>79.59333333333332</v>
          </cell>
          <cell r="F587">
            <v>0</v>
          </cell>
          <cell r="G587">
            <v>82.588533333333316</v>
          </cell>
        </row>
        <row r="588">
          <cell r="A588">
            <v>790</v>
          </cell>
          <cell r="B588" t="str">
            <v>AÇO CA-60B - 4,2 MM - (OBRAS CIVIS)</v>
          </cell>
          <cell r="C588" t="str">
            <v>KG</v>
          </cell>
          <cell r="D588">
            <v>2.7629000000000001</v>
          </cell>
          <cell r="E588">
            <v>7.120000000000001</v>
          </cell>
          <cell r="F588">
            <v>0</v>
          </cell>
          <cell r="G588">
            <v>9.8829000000000011</v>
          </cell>
        </row>
        <row r="589">
          <cell r="A589">
            <v>791</v>
          </cell>
          <cell r="B589" t="str">
            <v>ANEL DE VEDAÇÃO PARA VASO SANITÁRIO</v>
          </cell>
          <cell r="C589" t="str">
            <v>UN</v>
          </cell>
          <cell r="D589">
            <v>5.6159999999999997</v>
          </cell>
          <cell r="E589">
            <v>1.69</v>
          </cell>
          <cell r="F589">
            <v>0</v>
          </cell>
          <cell r="G589">
            <v>7.3059999999999992</v>
          </cell>
        </row>
        <row r="590">
          <cell r="A590">
            <v>792</v>
          </cell>
          <cell r="B590" t="str">
            <v>MEIA SABONETEIRA EM LOUÇA DE EMBUTIR</v>
          </cell>
          <cell r="C590" t="str">
            <v>UN</v>
          </cell>
          <cell r="D590">
            <v>18.365000000000002</v>
          </cell>
          <cell r="E590">
            <v>19.385999999999999</v>
          </cell>
          <cell r="F590">
            <v>0</v>
          </cell>
          <cell r="G590">
            <v>37.751000000000005</v>
          </cell>
        </row>
        <row r="591">
          <cell r="A591">
            <v>793</v>
          </cell>
          <cell r="B591" t="str">
            <v>ACABAMENTO PARA REGISTRO DE GAVETA 1"</v>
          </cell>
          <cell r="C591" t="str">
            <v>UN</v>
          </cell>
          <cell r="D591">
            <v>2.9952000000000001</v>
          </cell>
          <cell r="E591">
            <v>75.023333333333341</v>
          </cell>
          <cell r="F591">
            <v>0</v>
          </cell>
          <cell r="G591">
            <v>78.018533333333338</v>
          </cell>
        </row>
        <row r="592">
          <cell r="A592">
            <v>794</v>
          </cell>
          <cell r="B592" t="str">
            <v>GRELHA REDONDA BRANCA DIAM. 100MM</v>
          </cell>
          <cell r="C592" t="str">
            <v>UN</v>
          </cell>
          <cell r="D592">
            <v>2.9952000000000001</v>
          </cell>
          <cell r="E592">
            <v>2.04</v>
          </cell>
          <cell r="F592">
            <v>0</v>
          </cell>
          <cell r="G592">
            <v>5.0351999999999997</v>
          </cell>
        </row>
        <row r="593">
          <cell r="A593">
            <v>795</v>
          </cell>
          <cell r="B593" t="str">
            <v>PORTA GRELHA QUADRADA PVC BRANCO, DIAM. 150MM</v>
          </cell>
          <cell r="C593" t="str">
            <v>UN</v>
          </cell>
          <cell r="D593">
            <v>3.7440000000000002</v>
          </cell>
          <cell r="E593">
            <v>6.36</v>
          </cell>
          <cell r="F593">
            <v>0</v>
          </cell>
          <cell r="G593">
            <v>10.104000000000001</v>
          </cell>
        </row>
        <row r="594">
          <cell r="A594">
            <v>796</v>
          </cell>
          <cell r="B594" t="str">
            <v>CAIXA DE GORDURA 80X80CM - 600 LITROS</v>
          </cell>
          <cell r="C594" t="str">
            <v>UN</v>
          </cell>
          <cell r="D594">
            <v>1003.8981640000002</v>
          </cell>
          <cell r="E594">
            <v>478.75593739669421</v>
          </cell>
          <cell r="F594">
            <v>0</v>
          </cell>
          <cell r="G594">
            <v>1482.6541013966944</v>
          </cell>
        </row>
        <row r="595">
          <cell r="A595">
            <v>797</v>
          </cell>
          <cell r="B595" t="str">
            <v>SIFAO P/LAVATORIO PVC CROMADO DIAM.1"X1.1/2"</v>
          </cell>
          <cell r="C595" t="str">
            <v>UN</v>
          </cell>
          <cell r="D595">
            <v>13.478400000000001</v>
          </cell>
          <cell r="E595">
            <v>34.113800000000005</v>
          </cell>
          <cell r="F595">
            <v>0</v>
          </cell>
          <cell r="G595">
            <v>47.592200000000005</v>
          </cell>
        </row>
        <row r="596">
          <cell r="A596">
            <v>798</v>
          </cell>
          <cell r="B596" t="str">
            <v>PORTA GRELHA QUADRADO P/GRELHA RED.BRANC.100 MM</v>
          </cell>
          <cell r="C596" t="str">
            <v>UN</v>
          </cell>
          <cell r="D596">
            <v>3.7440000000000002</v>
          </cell>
          <cell r="E596">
            <v>3.29</v>
          </cell>
          <cell r="F596">
            <v>0</v>
          </cell>
          <cell r="G596">
            <v>7.0340000000000007</v>
          </cell>
        </row>
        <row r="597">
          <cell r="A597">
            <v>799</v>
          </cell>
          <cell r="B597" t="str">
            <v>PORTAO CORRER / ABRIR CONJUGADO PT-8 C/FERRAGENS</v>
          </cell>
          <cell r="C597" t="str">
            <v>M2</v>
          </cell>
          <cell r="D597">
            <v>45.383581999999997</v>
          </cell>
          <cell r="E597">
            <v>247.65966100000003</v>
          </cell>
          <cell r="F597">
            <v>0</v>
          </cell>
          <cell r="G597">
            <v>293.04324300000002</v>
          </cell>
        </row>
        <row r="598">
          <cell r="A598">
            <v>800</v>
          </cell>
          <cell r="B598" t="str">
            <v>BASE DE BANCADA REBOCADA</v>
          </cell>
          <cell r="C598" t="str">
            <v>M</v>
          </cell>
          <cell r="D598">
            <v>73.383449999999996</v>
          </cell>
          <cell r="E598">
            <v>30.138900000000003</v>
          </cell>
          <cell r="F598">
            <v>0</v>
          </cell>
          <cell r="G598">
            <v>103.52235</v>
          </cell>
        </row>
        <row r="599">
          <cell r="A599">
            <v>801</v>
          </cell>
          <cell r="B599" t="str">
            <v>FIXAÇÃO P/ LAVATÓRIO (PAR)</v>
          </cell>
          <cell r="C599" t="str">
            <v>PAR</v>
          </cell>
          <cell r="D599">
            <v>5.6159999999999997</v>
          </cell>
          <cell r="E599">
            <v>3.29</v>
          </cell>
          <cell r="F599">
            <v>0</v>
          </cell>
          <cell r="G599">
            <v>8.9059999999999988</v>
          </cell>
        </row>
        <row r="600">
          <cell r="A600">
            <v>802</v>
          </cell>
          <cell r="B600" t="str">
            <v>SOLUCAO LIMPADORA 200 CM3</v>
          </cell>
          <cell r="C600" t="str">
            <v>UN</v>
          </cell>
          <cell r="D600">
            <v>0</v>
          </cell>
          <cell r="E600">
            <v>18.27</v>
          </cell>
          <cell r="F600">
            <v>0</v>
          </cell>
          <cell r="G600">
            <v>18.27</v>
          </cell>
        </row>
        <row r="601">
          <cell r="A601">
            <v>803</v>
          </cell>
          <cell r="B601" t="str">
            <v>ADESIVO PLASTICO - FRASCO 850 G</v>
          </cell>
          <cell r="C601" t="str">
            <v>UN</v>
          </cell>
          <cell r="D601">
            <v>0</v>
          </cell>
          <cell r="E601">
            <v>5.98</v>
          </cell>
          <cell r="F601">
            <v>0</v>
          </cell>
          <cell r="G601">
            <v>5.98</v>
          </cell>
        </row>
        <row r="602">
          <cell r="A602">
            <v>804</v>
          </cell>
          <cell r="B602" t="str">
            <v>CABIDE TIPO GANCHO EM LOUÇA</v>
          </cell>
          <cell r="C602" t="str">
            <v>UN</v>
          </cell>
          <cell r="D602">
            <v>6.0440000000000005</v>
          </cell>
          <cell r="E602">
            <v>11.486000000000001</v>
          </cell>
          <cell r="F602">
            <v>0</v>
          </cell>
          <cell r="G602">
            <v>17.53</v>
          </cell>
        </row>
        <row r="603">
          <cell r="A603">
            <v>805</v>
          </cell>
          <cell r="B603" t="str">
            <v>PROLONGAMENTO PARA CAIXA SIFONADA 150MM</v>
          </cell>
          <cell r="C603" t="str">
            <v>M</v>
          </cell>
          <cell r="D603">
            <v>20.9664</v>
          </cell>
          <cell r="E603">
            <v>25.623699999999999</v>
          </cell>
          <cell r="F603">
            <v>0</v>
          </cell>
          <cell r="G603">
            <v>46.5901</v>
          </cell>
        </row>
        <row r="604">
          <cell r="A604">
            <v>806</v>
          </cell>
          <cell r="B604" t="str">
            <v>DIVISORIA DE GRANITO POLIDO</v>
          </cell>
          <cell r="C604" t="str">
            <v>M²</v>
          </cell>
          <cell r="D604">
            <v>62.303999999999995</v>
          </cell>
          <cell r="E604">
            <v>389.55840000000001</v>
          </cell>
          <cell r="F604">
            <v>0</v>
          </cell>
          <cell r="G604">
            <v>451.86239999999998</v>
          </cell>
        </row>
        <row r="605">
          <cell r="A605">
            <v>807</v>
          </cell>
          <cell r="B605" t="str">
            <v>TAMPA PARA CAIXA PASSAGEM FERRO FUNDIDO T-33 - TRÁFEGO LEVE</v>
          </cell>
          <cell r="C605" t="str">
            <v>UN</v>
          </cell>
          <cell r="D605">
            <v>25.453381999999998</v>
          </cell>
          <cell r="E605">
            <v>112.21861692561984</v>
          </cell>
          <cell r="F605">
            <v>0</v>
          </cell>
          <cell r="G605">
            <v>137.67199892561985</v>
          </cell>
        </row>
        <row r="606">
          <cell r="A606">
            <v>808</v>
          </cell>
          <cell r="B606" t="str">
            <v>REDUÇÃO EXCENTRICA 75 X 50MM</v>
          </cell>
          <cell r="C606" t="str">
            <v>UN</v>
          </cell>
          <cell r="D606">
            <v>13.478400000000001</v>
          </cell>
          <cell r="E606">
            <v>3.9</v>
          </cell>
          <cell r="F606">
            <v>0</v>
          </cell>
          <cell r="G606">
            <v>17.378399999999999</v>
          </cell>
        </row>
        <row r="607">
          <cell r="A607">
            <v>809</v>
          </cell>
          <cell r="B607" t="str">
            <v>PROLONGAMENTO PARA CAIXA SIFONADA 100MM</v>
          </cell>
          <cell r="C607" t="str">
            <v>M</v>
          </cell>
          <cell r="D607">
            <v>19.468800000000002</v>
          </cell>
          <cell r="E607">
            <v>10.0192</v>
          </cell>
          <cell r="F607">
            <v>0</v>
          </cell>
          <cell r="G607">
            <v>29.488</v>
          </cell>
        </row>
        <row r="608">
          <cell r="A608">
            <v>810</v>
          </cell>
          <cell r="B608" t="str">
            <v>PORTA GRELHA REDONDO BRANCO DIAM. 100 MM</v>
          </cell>
          <cell r="C608" t="str">
            <v>UN</v>
          </cell>
          <cell r="D608">
            <v>3.7440000000000002</v>
          </cell>
          <cell r="E608">
            <v>4.2</v>
          </cell>
          <cell r="F608">
            <v>0</v>
          </cell>
          <cell r="G608">
            <v>7.9440000000000008</v>
          </cell>
        </row>
        <row r="609">
          <cell r="A609">
            <v>811</v>
          </cell>
          <cell r="B609" t="str">
            <v>GRELHA PADRÃO GOINFRA DE FERRO CHATO COM BERÇO (ESPAÇAMENTO ENTRE FACES = 1,5CM - NBR 9050 ACESSIBILIDADE)</v>
          </cell>
          <cell r="C609" t="str">
            <v>M2</v>
          </cell>
          <cell r="D609">
            <v>69.36</v>
          </cell>
          <cell r="E609">
            <v>355.98395200000004</v>
          </cell>
          <cell r="F609">
            <v>0</v>
          </cell>
          <cell r="G609">
            <v>425.34395200000006</v>
          </cell>
        </row>
        <row r="610">
          <cell r="A610">
            <v>812</v>
          </cell>
          <cell r="B610" t="str">
            <v>ACABAMENTO DE VÁLVULA DE DESCARGA CROMADO ANTIVANDALISMO</v>
          </cell>
          <cell r="C610" t="str">
            <v>UN</v>
          </cell>
          <cell r="D610">
            <v>12.805470000000001</v>
          </cell>
          <cell r="E610">
            <v>264.59666666666664</v>
          </cell>
          <cell r="F610">
            <v>0</v>
          </cell>
          <cell r="G610">
            <v>277.40213666666665</v>
          </cell>
        </row>
        <row r="611">
          <cell r="A611">
            <v>813</v>
          </cell>
          <cell r="B611" t="str">
            <v>MANGUEIRA DE INCÊNCIO 20M, REDUÇÃO 2 1/2" X 1 1/2" E ESGUINCHO</v>
          </cell>
          <cell r="C611" t="str">
            <v>CJ</v>
          </cell>
          <cell r="D611">
            <v>16.222752</v>
          </cell>
          <cell r="E611">
            <v>802.54000000000008</v>
          </cell>
          <cell r="F611">
            <v>0</v>
          </cell>
          <cell r="G611">
            <v>818.76275200000009</v>
          </cell>
        </row>
        <row r="612">
          <cell r="A612">
            <v>814</v>
          </cell>
          <cell r="B612" t="str">
            <v>TANQUE EM INOX 1 CUBA E I BATEDOR COM VÁLVULA</v>
          </cell>
          <cell r="C612" t="str">
            <v>UN</v>
          </cell>
          <cell r="D612">
            <v>37.44</v>
          </cell>
          <cell r="E612">
            <v>2088.85</v>
          </cell>
          <cell r="F612">
            <v>0</v>
          </cell>
          <cell r="G612">
            <v>2126.29</v>
          </cell>
        </row>
        <row r="613">
          <cell r="A613">
            <v>815</v>
          </cell>
          <cell r="B613" t="str">
            <v>TANQUE INOX EM BANCADA DE GRANITO CINZA ANDORINHA</v>
          </cell>
          <cell r="C613" t="str">
            <v>UN</v>
          </cell>
          <cell r="D613">
            <v>210.41776000000002</v>
          </cell>
          <cell r="E613">
            <v>1688.7628869999996</v>
          </cell>
          <cell r="F613">
            <v>0</v>
          </cell>
          <cell r="G613">
            <v>1899.1806469999997</v>
          </cell>
        </row>
        <row r="614">
          <cell r="A614">
            <v>816</v>
          </cell>
          <cell r="B614" t="str">
            <v>COTOVELO 300 PSI 1/2"</v>
          </cell>
          <cell r="C614" t="str">
            <v>UN</v>
          </cell>
          <cell r="D614">
            <v>37.44</v>
          </cell>
          <cell r="E614">
            <v>16.41</v>
          </cell>
          <cell r="F614">
            <v>0</v>
          </cell>
          <cell r="G614">
            <v>53.849999999999994</v>
          </cell>
        </row>
        <row r="615">
          <cell r="A615">
            <v>817</v>
          </cell>
          <cell r="B615" t="str">
            <v>PORTA GRADE EM FERRO MECÂNICO - ALOJAMENTOS - 80X210 CM - SOMENTE GRADE E FERROLHO E DOBRADIÇAS E CHAPA DA GRADE (PORTAL JÁ FIXADO)</v>
          </cell>
          <cell r="C615" t="str">
            <v>M2</v>
          </cell>
          <cell r="D615">
            <v>60.276069999999997</v>
          </cell>
          <cell r="E615">
            <v>963.77641084164497</v>
          </cell>
          <cell r="F615">
            <v>0</v>
          </cell>
          <cell r="G615">
            <v>1024.0524808416449</v>
          </cell>
        </row>
        <row r="616">
          <cell r="A616">
            <v>818</v>
          </cell>
          <cell r="B616" t="str">
            <v>PORTA GRADE EM FERRO MECÂNICO - ALOJAMENTOS - 80X210 CM - SOMENTE FERROLHO E DOBRADIÇAS E CHAPA DA GRADE (GRADE JÁ EXISTENTE NÃO APLICADA e PORTAL JÁ FIXADO)</v>
          </cell>
          <cell r="C616" t="str">
            <v>M2</v>
          </cell>
          <cell r="D616">
            <v>25.006807999999999</v>
          </cell>
          <cell r="E616">
            <v>382.11823084164484</v>
          </cell>
          <cell r="F616">
            <v>0</v>
          </cell>
          <cell r="G616">
            <v>407.12503884164482</v>
          </cell>
        </row>
        <row r="617">
          <cell r="A617">
            <v>819</v>
          </cell>
          <cell r="B617" t="str">
            <v>LUVA PVC ROSQUEAVEL DIAMETRO 1"</v>
          </cell>
          <cell r="C617" t="str">
            <v>UN</v>
          </cell>
          <cell r="D617">
            <v>1.9315</v>
          </cell>
          <cell r="E617">
            <v>0.7</v>
          </cell>
          <cell r="F617">
            <v>0</v>
          </cell>
          <cell r="G617">
            <v>2.6315</v>
          </cell>
        </row>
        <row r="618">
          <cell r="A618">
            <v>819</v>
          </cell>
          <cell r="B618" t="str">
            <v>LUVA PVC ROSQUEAVEL DIAMETRO 1"</v>
          </cell>
          <cell r="C618" t="str">
            <v>UN</v>
          </cell>
          <cell r="D618">
            <v>1.9315</v>
          </cell>
          <cell r="E618">
            <v>0.7</v>
          </cell>
          <cell r="F618">
            <v>0</v>
          </cell>
          <cell r="G618">
            <v>2.6315</v>
          </cell>
        </row>
        <row r="619">
          <cell r="A619">
            <v>820</v>
          </cell>
          <cell r="B619" t="str">
            <v>GRUPO MOTOR GERADOR 200KVA 380V COM REDUTOR DE RUIDO MÍNIMO DE 75 dB E QUADRO DE TRANSFERÊNCIA AUTOMÁTICA</v>
          </cell>
          <cell r="C619" t="str">
            <v>UN</v>
          </cell>
          <cell r="D619">
            <v>309.03999999999996</v>
          </cell>
          <cell r="E619">
            <v>131840</v>
          </cell>
          <cell r="F619">
            <v>300.10000000000002</v>
          </cell>
          <cell r="G619">
            <v>132449.14000000001</v>
          </cell>
        </row>
        <row r="620">
          <cell r="A620">
            <v>821</v>
          </cell>
          <cell r="B620" t="str">
            <v>TRANSPORTE DE MATERIAIS/EQUIPAMENTOS/OUTROS ( INCLUSIVE OS DA MOBILIZAÇÃO E DESMOBILIZAÇÃO ) - CAMINHÃO CARROCERIA MADEIRA 15 T ( INCLUSO NO VALOR O RETORNO )</v>
          </cell>
          <cell r="C620" t="str">
            <v>UN</v>
          </cell>
          <cell r="D620">
            <v>0</v>
          </cell>
          <cell r="E620">
            <v>0.42</v>
          </cell>
          <cell r="F620">
            <v>0</v>
          </cell>
          <cell r="G620">
            <v>0.42</v>
          </cell>
        </row>
        <row r="621">
          <cell r="A621">
            <v>822</v>
          </cell>
          <cell r="B621" t="str">
            <v>TOMADA LOGICA RJ-45 TIPO KEYSTONE JACK, CAT. 6</v>
          </cell>
          <cell r="C621" t="str">
            <v>UN</v>
          </cell>
          <cell r="D621">
            <v>14.293099999999999</v>
          </cell>
          <cell r="E621">
            <v>21.7</v>
          </cell>
          <cell r="F621">
            <v>0</v>
          </cell>
          <cell r="G621">
            <v>35.993099999999998</v>
          </cell>
        </row>
        <row r="622">
          <cell r="A622">
            <v>823</v>
          </cell>
          <cell r="B622" t="str">
            <v>CABO DE COBRE NU No. 16 MM2 (6,94 M/KG)</v>
          </cell>
          <cell r="C622" t="str">
            <v>M</v>
          </cell>
          <cell r="D622">
            <v>3.0903999999999998</v>
          </cell>
          <cell r="E622">
            <v>6.7932000000000006</v>
          </cell>
          <cell r="F622">
            <v>0</v>
          </cell>
          <cell r="G622">
            <v>9.8836000000000013</v>
          </cell>
        </row>
        <row r="623">
          <cell r="A623">
            <v>824</v>
          </cell>
          <cell r="B623" t="str">
            <v>CERTIFICADO DIGITAL</v>
          </cell>
          <cell r="C623" t="str">
            <v>UN</v>
          </cell>
          <cell r="D623">
            <v>0</v>
          </cell>
          <cell r="E623">
            <v>13.41</v>
          </cell>
          <cell r="F623">
            <v>0</v>
          </cell>
          <cell r="G623">
            <v>13.41</v>
          </cell>
        </row>
        <row r="624">
          <cell r="A624">
            <v>825</v>
          </cell>
          <cell r="B624" t="str">
            <v>ELETRODUTO DE PVC RIGIDO DIAMETRO 3/4"</v>
          </cell>
          <cell r="C624" t="str">
            <v>M</v>
          </cell>
          <cell r="D624">
            <v>6.5670999999999999</v>
          </cell>
          <cell r="E624">
            <v>2.16</v>
          </cell>
          <cell r="F624">
            <v>0</v>
          </cell>
          <cell r="G624">
            <v>8.7271000000000001</v>
          </cell>
        </row>
        <row r="625">
          <cell r="A625">
            <v>826</v>
          </cell>
          <cell r="B625" t="str">
            <v>ELETRODUTO DE PVC RIGIDO DIAMETRO 3"</v>
          </cell>
          <cell r="C625" t="str">
            <v>M</v>
          </cell>
          <cell r="D625">
            <v>30.904</v>
          </cell>
          <cell r="E625">
            <v>14.81</v>
          </cell>
          <cell r="F625">
            <v>0</v>
          </cell>
          <cell r="G625">
            <v>45.713999999999999</v>
          </cell>
        </row>
        <row r="626">
          <cell r="A626">
            <v>827</v>
          </cell>
          <cell r="B626" t="str">
            <v>LUVA PVC ROSQUEAVEL DIAMETRO 3"</v>
          </cell>
          <cell r="C626" t="str">
            <v>UN</v>
          </cell>
          <cell r="D626">
            <v>14.679400000000001</v>
          </cell>
          <cell r="E626">
            <v>6.5</v>
          </cell>
          <cell r="F626">
            <v>0</v>
          </cell>
          <cell r="G626">
            <v>21.179400000000001</v>
          </cell>
        </row>
        <row r="627">
          <cell r="A627">
            <v>828</v>
          </cell>
          <cell r="B627" t="str">
            <v>LUVA PVC ROSQUEAVEL DIAMETRO 3/4"</v>
          </cell>
          <cell r="C627" t="str">
            <v>UN</v>
          </cell>
          <cell r="D627">
            <v>1.1589</v>
          </cell>
          <cell r="E627">
            <v>0.5</v>
          </cell>
          <cell r="F627">
            <v>0</v>
          </cell>
          <cell r="G627">
            <v>1.6589</v>
          </cell>
        </row>
        <row r="628">
          <cell r="A628">
            <v>829</v>
          </cell>
          <cell r="B628" t="str">
            <v>CABO TELEFON. CTP-APL-50 DE 20 PARES (USO EXTERNO)</v>
          </cell>
          <cell r="C628" t="str">
            <v>M</v>
          </cell>
          <cell r="D628">
            <v>4.0561499999999997</v>
          </cell>
          <cell r="E628">
            <v>10.312199999999999</v>
          </cell>
          <cell r="F628">
            <v>0</v>
          </cell>
          <cell r="G628">
            <v>14.36835</v>
          </cell>
        </row>
        <row r="629">
          <cell r="A629">
            <v>830</v>
          </cell>
          <cell r="B629" t="str">
            <v>CAIXA DE PASSAGEM 35X60X50CM FUNDO DE CONCRETO (PARA TAMPA R2)</v>
          </cell>
          <cell r="C629" t="str">
            <v>UN</v>
          </cell>
          <cell r="D629">
            <v>154.84252099999998</v>
          </cell>
          <cell r="E629">
            <v>104.54688</v>
          </cell>
          <cell r="F629">
            <v>0</v>
          </cell>
          <cell r="G629">
            <v>259.38940099999996</v>
          </cell>
        </row>
        <row r="630">
          <cell r="A630">
            <v>831</v>
          </cell>
          <cell r="B630" t="str">
            <v>LUVA PVC ROSQUEAVEL DIAMETRO 1.1/4"</v>
          </cell>
          <cell r="C630" t="str">
            <v>UN</v>
          </cell>
          <cell r="D630">
            <v>2.7041000000000004</v>
          </cell>
          <cell r="E630">
            <v>1.0900000000000001</v>
          </cell>
          <cell r="F630">
            <v>0</v>
          </cell>
          <cell r="G630">
            <v>3.7941000000000003</v>
          </cell>
        </row>
        <row r="631">
          <cell r="A631">
            <v>832</v>
          </cell>
          <cell r="B631" t="str">
            <v>LUVA PVC ROSQUEAVEL DIAMETRO 2"</v>
          </cell>
          <cell r="C631" t="str">
            <v>UN</v>
          </cell>
          <cell r="D631">
            <v>3.863</v>
          </cell>
          <cell r="E631">
            <v>2.1800000000000002</v>
          </cell>
          <cell r="F631">
            <v>0</v>
          </cell>
          <cell r="G631">
            <v>6.0430000000000001</v>
          </cell>
        </row>
        <row r="632">
          <cell r="A632">
            <v>833</v>
          </cell>
          <cell r="B632" t="str">
            <v>HASTE REV.COBRE(COPPERWELD) 3/4" X 2,40 M C/CONECTOR</v>
          </cell>
          <cell r="C632" t="str">
            <v>UN</v>
          </cell>
          <cell r="D632">
            <v>11.588999999999999</v>
          </cell>
          <cell r="E632">
            <v>29.68</v>
          </cell>
          <cell r="F632">
            <v>0</v>
          </cell>
          <cell r="G632">
            <v>41.268999999999998</v>
          </cell>
        </row>
        <row r="633">
          <cell r="A633">
            <v>834</v>
          </cell>
          <cell r="B633" t="str">
            <v>BLOCO BER-10 (BLOCO DE ENGATE RAPIDO)</v>
          </cell>
          <cell r="C633" t="str">
            <v>UN</v>
          </cell>
          <cell r="D633">
            <v>11.588999999999999</v>
          </cell>
          <cell r="E633">
            <v>13.99</v>
          </cell>
          <cell r="F633">
            <v>0</v>
          </cell>
          <cell r="G633">
            <v>25.579000000000001</v>
          </cell>
        </row>
        <row r="634">
          <cell r="A634">
            <v>835</v>
          </cell>
          <cell r="B634" t="str">
            <v>BUCHA E ARRUELA METALICA DIAM. 1.1/4"</v>
          </cell>
          <cell r="C634" t="str">
            <v>UN</v>
          </cell>
          <cell r="D634">
            <v>11.588999999999999</v>
          </cell>
          <cell r="E634">
            <v>2.29</v>
          </cell>
          <cell r="F634">
            <v>0</v>
          </cell>
          <cell r="G634">
            <v>13.878999999999998</v>
          </cell>
        </row>
        <row r="635">
          <cell r="A635">
            <v>836</v>
          </cell>
          <cell r="B635" t="str">
            <v>CABO TELEFONICO CI-50,50 PARES (USO INTERNO)</v>
          </cell>
          <cell r="C635" t="str">
            <v>M</v>
          </cell>
          <cell r="D635">
            <v>6.5670999999999999</v>
          </cell>
          <cell r="E635">
            <v>21.389399999999998</v>
          </cell>
          <cell r="F635">
            <v>0</v>
          </cell>
          <cell r="G635">
            <v>27.956499999999998</v>
          </cell>
        </row>
        <row r="636">
          <cell r="A636">
            <v>837</v>
          </cell>
          <cell r="B636" t="str">
            <v>CABO TELEFONICO CTP-APL-50 20 PARES (USO EXTERNO)</v>
          </cell>
          <cell r="C636" t="str">
            <v>M</v>
          </cell>
          <cell r="D636">
            <v>4.0561499999999997</v>
          </cell>
          <cell r="E636">
            <v>10.312199999999999</v>
          </cell>
          <cell r="F636">
            <v>0</v>
          </cell>
          <cell r="G636">
            <v>14.36835</v>
          </cell>
        </row>
        <row r="637">
          <cell r="A637">
            <v>838</v>
          </cell>
          <cell r="B637" t="str">
            <v>CABO UTP-4P, CAT. 6 , 24 AWG</v>
          </cell>
          <cell r="C637" t="str">
            <v>M</v>
          </cell>
          <cell r="D637">
            <v>2.5109500000000002</v>
          </cell>
          <cell r="E637">
            <v>1.6829999999999998</v>
          </cell>
          <cell r="F637">
            <v>0</v>
          </cell>
          <cell r="G637">
            <v>4.1939500000000001</v>
          </cell>
        </row>
        <row r="638">
          <cell r="A638">
            <v>839</v>
          </cell>
          <cell r="B638" t="str">
            <v>CAIXA DE PASSAGEM METÁLICA DE EMBUTIR 40X40X15 CM</v>
          </cell>
          <cell r="C638" t="str">
            <v>UN</v>
          </cell>
          <cell r="D638">
            <v>77.259999999999991</v>
          </cell>
          <cell r="E638">
            <v>88.55</v>
          </cell>
          <cell r="F638">
            <v>0</v>
          </cell>
          <cell r="G638">
            <v>165.81</v>
          </cell>
        </row>
        <row r="639">
          <cell r="A639">
            <v>840</v>
          </cell>
          <cell r="B639" t="str">
            <v>CAIXA DE PASSAGEM METÁLICA DE EMBUTIR 20X20X10 CM</v>
          </cell>
          <cell r="C639" t="str">
            <v>UN</v>
          </cell>
          <cell r="D639">
            <v>48.287499999999994</v>
          </cell>
          <cell r="E639">
            <v>39.97</v>
          </cell>
          <cell r="F639">
            <v>0</v>
          </cell>
          <cell r="G639">
            <v>88.257499999999993</v>
          </cell>
        </row>
        <row r="640">
          <cell r="A640">
            <v>841</v>
          </cell>
          <cell r="B640" t="str">
            <v>CAIXA DISTRIBUIÇÃO TELEFÔNICA DE EMBUTIR 40X40X12 CM</v>
          </cell>
          <cell r="C640" t="str">
            <v>UN</v>
          </cell>
          <cell r="D640">
            <v>77.259999999999991</v>
          </cell>
          <cell r="E640">
            <v>88.55</v>
          </cell>
          <cell r="F640">
            <v>0</v>
          </cell>
          <cell r="G640">
            <v>165.81</v>
          </cell>
        </row>
        <row r="641">
          <cell r="A641">
            <v>842</v>
          </cell>
          <cell r="B641" t="str">
            <v>CAIXA METALICA QUADRADA 4"X4"X2"</v>
          </cell>
          <cell r="C641" t="str">
            <v>UN</v>
          </cell>
          <cell r="D641">
            <v>5.7944999999999993</v>
          </cell>
          <cell r="E641">
            <v>2.1800000000000002</v>
          </cell>
          <cell r="F641">
            <v>0</v>
          </cell>
          <cell r="G641">
            <v>7.974499999999999</v>
          </cell>
        </row>
        <row r="642">
          <cell r="A642">
            <v>843</v>
          </cell>
          <cell r="B642" t="str">
            <v>CAIXA METALICA RET. 4" X 2" X 2"</v>
          </cell>
          <cell r="C642" t="str">
            <v>UN</v>
          </cell>
          <cell r="D642">
            <v>5.7944999999999993</v>
          </cell>
          <cell r="E642">
            <v>1.03</v>
          </cell>
          <cell r="F642">
            <v>0</v>
          </cell>
          <cell r="G642">
            <v>6.8244999999999996</v>
          </cell>
        </row>
        <row r="643">
          <cell r="A643">
            <v>844</v>
          </cell>
          <cell r="B643" t="str">
            <v>CURVA DE 90 GRAUS DE PVC RIGIDO DIAM. 2"</v>
          </cell>
          <cell r="C643" t="str">
            <v>UN</v>
          </cell>
          <cell r="D643">
            <v>14.679400000000001</v>
          </cell>
          <cell r="E643">
            <v>3.92</v>
          </cell>
          <cell r="F643">
            <v>0</v>
          </cell>
          <cell r="G643">
            <v>18.599400000000003</v>
          </cell>
        </row>
        <row r="644">
          <cell r="A644">
            <v>845</v>
          </cell>
          <cell r="B644" t="str">
            <v>ELETRODUTO DE PVC RIGIDO DIAMETRO 2"</v>
          </cell>
          <cell r="C644" t="str">
            <v>M</v>
          </cell>
          <cell r="D644">
            <v>19.314999999999998</v>
          </cell>
          <cell r="E644">
            <v>8.09</v>
          </cell>
          <cell r="F644">
            <v>0</v>
          </cell>
          <cell r="G644">
            <v>27.404999999999998</v>
          </cell>
        </row>
        <row r="645">
          <cell r="A645">
            <v>846</v>
          </cell>
          <cell r="B645" t="str">
            <v>ELETRODUTO DE PVC RIGIDO DIAMETRO 1.1/4"</v>
          </cell>
          <cell r="C645" t="str">
            <v>M</v>
          </cell>
          <cell r="D645">
            <v>16.224599999999999</v>
          </cell>
          <cell r="E645">
            <v>4.5</v>
          </cell>
          <cell r="F645">
            <v>0</v>
          </cell>
          <cell r="G645">
            <v>20.724599999999999</v>
          </cell>
        </row>
        <row r="646">
          <cell r="A646">
            <v>847</v>
          </cell>
          <cell r="B646" t="str">
            <v>TAMPA DE Fo.Fo. R1 COM BASE</v>
          </cell>
          <cell r="C646" t="str">
            <v>UN</v>
          </cell>
          <cell r="D646">
            <v>3.863</v>
          </cell>
          <cell r="E646">
            <v>207.66</v>
          </cell>
          <cell r="F646">
            <v>0</v>
          </cell>
          <cell r="G646">
            <v>211.523</v>
          </cell>
        </row>
        <row r="647">
          <cell r="A647">
            <v>848</v>
          </cell>
          <cell r="B647" t="str">
            <v>TAMPA DE Fo.Fo. R2 COM BASE</v>
          </cell>
          <cell r="C647" t="str">
            <v>UN</v>
          </cell>
          <cell r="D647">
            <v>9.6574999999999989</v>
          </cell>
          <cell r="E647">
            <v>780.31</v>
          </cell>
          <cell r="F647">
            <v>0</v>
          </cell>
          <cell r="G647">
            <v>789.96749999999997</v>
          </cell>
        </row>
        <row r="648">
          <cell r="A648">
            <v>849</v>
          </cell>
          <cell r="B648" t="str">
            <v>BUCHA E ARRUELA METALICA DIAM. 1/2"</v>
          </cell>
          <cell r="C648" t="str">
            <v>PR</v>
          </cell>
          <cell r="D648">
            <v>0.38629999999999998</v>
          </cell>
          <cell r="E648">
            <v>0.93</v>
          </cell>
          <cell r="F648">
            <v>0</v>
          </cell>
          <cell r="G648">
            <v>1.3163</v>
          </cell>
        </row>
        <row r="649">
          <cell r="A649">
            <v>850</v>
          </cell>
          <cell r="B649" t="str">
            <v>ELETRODUTO DE PVC RIGIDO DIAMETRO 1/2"</v>
          </cell>
          <cell r="C649" t="str">
            <v>M</v>
          </cell>
          <cell r="D649">
            <v>6.5670999999999999</v>
          </cell>
          <cell r="E649">
            <v>1.74</v>
          </cell>
          <cell r="F649">
            <v>0</v>
          </cell>
          <cell r="G649">
            <v>8.3071000000000002</v>
          </cell>
        </row>
        <row r="650">
          <cell r="A650">
            <v>851</v>
          </cell>
          <cell r="B650" t="str">
            <v>ELETRODUTO DE PVC RIGIDO DIAMETRO 3''</v>
          </cell>
          <cell r="C650" t="str">
            <v>M</v>
          </cell>
          <cell r="D650">
            <v>30.904</v>
          </cell>
          <cell r="E650">
            <v>14.81</v>
          </cell>
          <cell r="F650">
            <v>0</v>
          </cell>
          <cell r="G650">
            <v>45.713999999999999</v>
          </cell>
        </row>
        <row r="651">
          <cell r="A651">
            <v>852</v>
          </cell>
          <cell r="B651" t="str">
            <v>CABO UTP-4P, CAT. 6 , 24 AWG</v>
          </cell>
          <cell r="C651" t="str">
            <v>M</v>
          </cell>
          <cell r="D651">
            <v>2.5109500000000002</v>
          </cell>
          <cell r="E651">
            <v>1.6829999999999998</v>
          </cell>
          <cell r="F651">
            <v>0</v>
          </cell>
          <cell r="G651">
            <v>4.1939500000000001</v>
          </cell>
        </row>
        <row r="652">
          <cell r="A652">
            <v>853</v>
          </cell>
          <cell r="B652" t="str">
            <v>PATCH CORD COMPRIMENTO DE 1,50 M - CAT.6</v>
          </cell>
          <cell r="C652" t="str">
            <v>UN</v>
          </cell>
          <cell r="D652">
            <v>5.0219000000000005</v>
          </cell>
          <cell r="E652">
            <v>16.25</v>
          </cell>
          <cell r="F652">
            <v>0</v>
          </cell>
          <cell r="G652">
            <v>21.271900000000002</v>
          </cell>
        </row>
        <row r="653">
          <cell r="A653">
            <v>854</v>
          </cell>
          <cell r="B653" t="str">
            <v>CONECTOR RJ-45 CAT. 6 E ESPELHO BAQUELITE 4" X 2" 1 FURO RJ-45</v>
          </cell>
          <cell r="C653" t="str">
            <v>UN</v>
          </cell>
          <cell r="D653">
            <v>3.0903999999999998</v>
          </cell>
          <cell r="E653">
            <v>4.7300000000000004</v>
          </cell>
          <cell r="F653">
            <v>0</v>
          </cell>
          <cell r="G653">
            <v>7.8204000000000002</v>
          </cell>
        </row>
        <row r="654">
          <cell r="A654">
            <v>855</v>
          </cell>
          <cell r="B654" t="str">
            <v>CONECTOR RJ-45 CAT. 6 E ESPELHO BAQUELITE 4" X 2" 2 FUROS RJ-45</v>
          </cell>
          <cell r="C654" t="str">
            <v>UN</v>
          </cell>
          <cell r="D654">
            <v>3.0903999999999998</v>
          </cell>
          <cell r="E654">
            <v>6.5600000000000005</v>
          </cell>
          <cell r="F654">
            <v>0</v>
          </cell>
          <cell r="G654">
            <v>9.6504000000000012</v>
          </cell>
        </row>
        <row r="655">
          <cell r="A655">
            <v>857</v>
          </cell>
          <cell r="B655" t="str">
            <v>BUCHA DE NYLON S-8</v>
          </cell>
          <cell r="C655" t="str">
            <v>UN</v>
          </cell>
          <cell r="D655">
            <v>0.61807999999999996</v>
          </cell>
          <cell r="E655">
            <v>0.15</v>
          </cell>
          <cell r="F655">
            <v>0</v>
          </cell>
          <cell r="G655">
            <v>0.76807999999999998</v>
          </cell>
        </row>
        <row r="656">
          <cell r="A656">
            <v>859</v>
          </cell>
          <cell r="B656" t="str">
            <v>REGUA COM 12 TOMADAS</v>
          </cell>
          <cell r="C656" t="str">
            <v>UN</v>
          </cell>
          <cell r="D656">
            <v>3.863</v>
          </cell>
          <cell r="E656">
            <v>130.15</v>
          </cell>
          <cell r="F656">
            <v>0</v>
          </cell>
          <cell r="G656">
            <v>134.01300000000001</v>
          </cell>
        </row>
        <row r="657">
          <cell r="A657">
            <v>860</v>
          </cell>
          <cell r="B657" t="str">
            <v>RACK FECHADO DE PISO COM PORTA EM ACRÍLICO - 24 U´S</v>
          </cell>
          <cell r="C657" t="str">
            <v>UN</v>
          </cell>
          <cell r="D657">
            <v>3.2178789999999999</v>
          </cell>
          <cell r="E657">
            <v>16.25</v>
          </cell>
          <cell r="F657">
            <v>0</v>
          </cell>
          <cell r="G657">
            <v>19.467879</v>
          </cell>
        </row>
        <row r="658">
          <cell r="A658">
            <v>860</v>
          </cell>
          <cell r="B658" t="str">
            <v>RACK FECHADO DE PISO COM PORTA EM ACRÍLICO - 24 U´S</v>
          </cell>
          <cell r="C658" t="str">
            <v>UN</v>
          </cell>
          <cell r="D658">
            <v>3.2178789999999999</v>
          </cell>
          <cell r="E658">
            <v>16.25</v>
          </cell>
          <cell r="F658">
            <v>0</v>
          </cell>
          <cell r="G658">
            <v>19.467879</v>
          </cell>
        </row>
        <row r="659">
          <cell r="A659">
            <v>861</v>
          </cell>
          <cell r="B659" t="str">
            <v>TOMADA PARA ANTENA DE TV, SEM CAIXA, INCLUSIVE CONECTOR EMENDA PARA CABO COAXIAL</v>
          </cell>
          <cell r="C659" t="str">
            <v>UN</v>
          </cell>
          <cell r="D659">
            <v>6.5670000000000002</v>
          </cell>
          <cell r="E659">
            <v>9.94</v>
          </cell>
          <cell r="F659">
            <v>0</v>
          </cell>
          <cell r="G659">
            <v>16.506999999999998</v>
          </cell>
        </row>
        <row r="660">
          <cell r="A660">
            <v>862</v>
          </cell>
          <cell r="B660" t="str">
            <v>FIXA CABO R - 130 - REF.184-07 - Z ( FIXA CABO -Z0 )</v>
          </cell>
          <cell r="C660" t="str">
            <v>UN</v>
          </cell>
          <cell r="D660">
            <v>3.863</v>
          </cell>
          <cell r="E660">
            <v>6.67</v>
          </cell>
          <cell r="F660">
            <v>0</v>
          </cell>
          <cell r="G660">
            <v>10.532999999999999</v>
          </cell>
        </row>
        <row r="661">
          <cell r="A661">
            <v>864</v>
          </cell>
          <cell r="B661" t="str">
            <v>BANDEJA PARA RACK 19", DESLIZANTE, PERFURADA, 400MM DE PROFUNDIDADE</v>
          </cell>
          <cell r="C661" t="str">
            <v>UN</v>
          </cell>
          <cell r="D661">
            <v>7.726</v>
          </cell>
          <cell r="E661">
            <v>150.52000000000001</v>
          </cell>
          <cell r="F661">
            <v>0</v>
          </cell>
          <cell r="G661">
            <v>158.24600000000001</v>
          </cell>
        </row>
        <row r="662">
          <cell r="A662">
            <v>868</v>
          </cell>
          <cell r="B662" t="str">
            <v>ISOLADOR DE PORCELANA, TIPO PINO MONOCORPO, PARA TENSAO DE *15* KV</v>
          </cell>
          <cell r="C662" t="str">
            <v>UN</v>
          </cell>
          <cell r="D662">
            <v>7.4</v>
          </cell>
          <cell r="E662">
            <v>20.18</v>
          </cell>
          <cell r="F662">
            <v>0</v>
          </cell>
          <cell r="G662">
            <v>27.58</v>
          </cell>
        </row>
        <row r="663">
          <cell r="A663">
            <v>869</v>
          </cell>
          <cell r="B663" t="str">
            <v>PATCH PANEL 12 PORTAS, CATEGORIA 5E - FORNECIMENTO E INSTALAÇÃO. AF_11/2020</v>
          </cell>
          <cell r="C663" t="str">
            <v>UN</v>
          </cell>
          <cell r="D663">
            <v>239.53304100000003</v>
          </cell>
          <cell r="E663">
            <v>129.88999999999999</v>
          </cell>
          <cell r="F663">
            <v>0</v>
          </cell>
          <cell r="G663">
            <v>369.42304100000001</v>
          </cell>
        </row>
        <row r="664">
          <cell r="A664">
            <v>872</v>
          </cell>
          <cell r="B664" t="str">
            <v>CONDULETE PARA PONTO DE SOM NO TETO</v>
          </cell>
          <cell r="C664" t="str">
            <v>UN</v>
          </cell>
          <cell r="D664">
            <v>13.1342</v>
          </cell>
          <cell r="E664">
            <v>4.71</v>
          </cell>
          <cell r="F664">
            <v>0</v>
          </cell>
          <cell r="G664">
            <v>17.844200000000001</v>
          </cell>
        </row>
        <row r="665">
          <cell r="A665">
            <v>873</v>
          </cell>
          <cell r="B665" t="str">
            <v>CONDULETE PARA PONTO DE CÂMERA</v>
          </cell>
          <cell r="C665" t="str">
            <v>UN</v>
          </cell>
          <cell r="D665">
            <v>13.1342</v>
          </cell>
          <cell r="E665">
            <v>4.71</v>
          </cell>
          <cell r="F665">
            <v>0</v>
          </cell>
          <cell r="G665">
            <v>17.844200000000001</v>
          </cell>
        </row>
        <row r="666">
          <cell r="A666">
            <v>875</v>
          </cell>
          <cell r="B666" t="str">
            <v>TERMINAL PARA RODAPÉ PRÉ-ZINCADO R-130 DA MOPA OU EQUIVALENTE DE MESMO PADRÃO DE QUALIDADE</v>
          </cell>
          <cell r="C666" t="str">
            <v>UN</v>
          </cell>
          <cell r="D666">
            <v>3.863</v>
          </cell>
          <cell r="E666">
            <v>11.15</v>
          </cell>
          <cell r="F666">
            <v>0</v>
          </cell>
          <cell r="G666">
            <v>15.013</v>
          </cell>
        </row>
        <row r="667">
          <cell r="A667">
            <v>876</v>
          </cell>
          <cell r="B667" t="str">
            <v>SUPORTE PARA BLOCOS 110-19" 1U</v>
          </cell>
          <cell r="C667" t="str">
            <v>UN</v>
          </cell>
          <cell r="D667">
            <v>11.588999999999999</v>
          </cell>
          <cell r="E667">
            <v>238.79</v>
          </cell>
          <cell r="F667">
            <v>0</v>
          </cell>
          <cell r="G667">
            <v>250.37899999999999</v>
          </cell>
        </row>
        <row r="668">
          <cell r="A668">
            <v>876</v>
          </cell>
          <cell r="B668" t="str">
            <v>SUPORTE PARA BLOCOS 110-19" 1U</v>
          </cell>
          <cell r="C668" t="str">
            <v>UN</v>
          </cell>
          <cell r="D668">
            <v>11.588999999999999</v>
          </cell>
          <cell r="E668">
            <v>238.79</v>
          </cell>
          <cell r="F668">
            <v>0</v>
          </cell>
          <cell r="G668">
            <v>250.37899999999999</v>
          </cell>
        </row>
        <row r="669">
          <cell r="A669">
            <v>878</v>
          </cell>
          <cell r="B669" t="str">
            <v>TAMPA P/ TOMADA / INTERRUPTOR RJ-45 KRONE</v>
          </cell>
          <cell r="C669" t="str">
            <v>UN</v>
          </cell>
          <cell r="D669">
            <v>1.1589</v>
          </cell>
          <cell r="E669">
            <v>1.53</v>
          </cell>
          <cell r="F669">
            <v>0</v>
          </cell>
          <cell r="G669">
            <v>2.6889000000000003</v>
          </cell>
        </row>
        <row r="670">
          <cell r="A670">
            <v>879</v>
          </cell>
          <cell r="B670" t="str">
            <v>TAMPA PARA RODAPÉ 1000 MM R-130 DA MOPA OU EQUIVALENTE DE MESMO PADRÃO DE QUALIDADE</v>
          </cell>
          <cell r="C670" t="str">
            <v>M</v>
          </cell>
          <cell r="D670">
            <v>7.726</v>
          </cell>
          <cell r="E670">
            <v>86.11</v>
          </cell>
          <cell r="F670">
            <v>0</v>
          </cell>
          <cell r="G670">
            <v>93.835999999999999</v>
          </cell>
        </row>
        <row r="671">
          <cell r="A671">
            <v>880</v>
          </cell>
          <cell r="B671" t="str">
            <v>TAMPÃO PARA SUPORTE DE TOMADAS 14,7x19,3mm DA MOPA ou equivalente de mesmo padrão de qualidade</v>
          </cell>
          <cell r="C671" t="str">
            <v>UN</v>
          </cell>
          <cell r="D671">
            <v>6.5670000000000002</v>
          </cell>
          <cell r="E671">
            <v>29.34</v>
          </cell>
          <cell r="F671">
            <v>0</v>
          </cell>
          <cell r="G671">
            <v>35.906999999999996</v>
          </cell>
        </row>
        <row r="672">
          <cell r="A672">
            <v>881</v>
          </cell>
          <cell r="B672" t="str">
            <v>FOSSA SEPTICA 4500 LITROS COM IMPERMEABILIZAÇÃO</v>
          </cell>
          <cell r="C672" t="str">
            <v>UN</v>
          </cell>
          <cell r="D672">
            <v>4254.359117</v>
          </cell>
          <cell r="E672">
            <v>3549.3622920000003</v>
          </cell>
          <cell r="F672">
            <v>0</v>
          </cell>
          <cell r="G672">
            <v>7803.7214089999998</v>
          </cell>
        </row>
        <row r="673">
          <cell r="A673">
            <v>882</v>
          </cell>
          <cell r="B673" t="str">
            <v>FOSSA SEPTICA 3500 LITROS COM IMPERMEABILIZAÇÃO</v>
          </cell>
          <cell r="C673" t="str">
            <v>UN</v>
          </cell>
          <cell r="D673">
            <v>3163.8520503333339</v>
          </cell>
          <cell r="E673">
            <v>2748.9663646666668</v>
          </cell>
          <cell r="F673">
            <v>0</v>
          </cell>
          <cell r="G673">
            <v>5912.8184150000006</v>
          </cell>
        </row>
        <row r="674">
          <cell r="A674">
            <v>883</v>
          </cell>
          <cell r="B674" t="str">
            <v>FOSSA SEPTICA 2000 LITROS COM IMPERMEABILIZAÇÃO</v>
          </cell>
          <cell r="C674" t="str">
            <v>UN</v>
          </cell>
          <cell r="D674">
            <v>1686.0887264</v>
          </cell>
          <cell r="E674">
            <v>1535.0273655999999</v>
          </cell>
          <cell r="F674">
            <v>0</v>
          </cell>
          <cell r="G674">
            <v>3221.1160920000002</v>
          </cell>
        </row>
        <row r="675">
          <cell r="A675">
            <v>870</v>
          </cell>
          <cell r="B675" t="str">
            <v>ANDAIME METALICO TORRE (ALUGUEL/MES)</v>
          </cell>
          <cell r="C675" t="str">
            <v>M</v>
          </cell>
          <cell r="D675">
            <v>3.6238000000000001</v>
          </cell>
          <cell r="E675">
            <v>12</v>
          </cell>
          <cell r="F675">
            <v>0</v>
          </cell>
          <cell r="G675">
            <v>15.623799999999999</v>
          </cell>
        </row>
        <row r="676">
          <cell r="A676">
            <v>858</v>
          </cell>
          <cell r="B676" t="str">
            <v>PERFURAÇÃO DE POÇO TUBULAR PROFUNDO (INCLUSO OUTORGA, TESTE DE VAZÃO, ANÁLISE FÍSICO-QUÍMICA, CONFORME PROJETO, PARA VAZÃO 12 M3/H, ATÉ 100M DE PROFUNDIDADE)</v>
          </cell>
          <cell r="C676" t="str">
            <v>M</v>
          </cell>
          <cell r="D676">
            <v>8.8385439999999988</v>
          </cell>
          <cell r="E676">
            <v>415.05997666666656</v>
          </cell>
          <cell r="F676">
            <v>0</v>
          </cell>
          <cell r="G676">
            <v>423.89852066666657</v>
          </cell>
        </row>
        <row r="677">
          <cell r="A677">
            <v>514</v>
          </cell>
          <cell r="B677" t="str">
            <v>ENVELOPAMENTO EM ALVERNARIA DE TUBOS DE DESCIDA 100MM</v>
          </cell>
          <cell r="C677" t="str">
            <v>M</v>
          </cell>
          <cell r="D677">
            <v>31.100598400000003</v>
          </cell>
          <cell r="E677">
            <v>14.166440000000001</v>
          </cell>
          <cell r="F677">
            <v>0</v>
          </cell>
          <cell r="G677">
            <v>45.267038400000004</v>
          </cell>
        </row>
        <row r="678">
          <cell r="A678">
            <v>610</v>
          </cell>
          <cell r="B678" t="str">
            <v>TELHAMENTO COM TELHA ONDULADA DE FIBROCIMENTO E = 8 MM, COM RECOBRIMENTO LATERAL DE 1 1/4 DE ONDA PARA TELHADO COM INCLINAÇÃO MÁXIMA DE 10°, COM ATÉ 2 ÁGUAS, INCLUSO IÇAMENTO.</v>
          </cell>
          <cell r="C678" t="str">
            <v>M2</v>
          </cell>
          <cell r="D678">
            <v>5.4586600000000001</v>
          </cell>
          <cell r="E678">
            <v>48.806269999999998</v>
          </cell>
          <cell r="F678">
            <v>0</v>
          </cell>
          <cell r="G678">
            <v>54.26493</v>
          </cell>
        </row>
        <row r="679">
          <cell r="A679">
            <v>412</v>
          </cell>
          <cell r="B679" t="str">
            <v>GRELHA QUADRADA BRANCA DIAM. 150 MM</v>
          </cell>
          <cell r="C679" t="str">
            <v>UN</v>
          </cell>
          <cell r="D679">
            <v>2.9952000000000001</v>
          </cell>
          <cell r="E679">
            <v>3.64</v>
          </cell>
          <cell r="F679">
            <v>0</v>
          </cell>
          <cell r="G679">
            <v>6.6352000000000002</v>
          </cell>
        </row>
        <row r="680">
          <cell r="A680">
            <v>159</v>
          </cell>
          <cell r="B680" t="str">
            <v>PORTA METÁLICA CASE – PG– UMA FOLHA – 90X210 CM</v>
          </cell>
          <cell r="C680" t="str">
            <v>M2</v>
          </cell>
          <cell r="D680">
            <v>47.084742999999996</v>
          </cell>
          <cell r="E680">
            <v>784.72375579999994</v>
          </cell>
          <cell r="G680">
            <v>831.80849879999994</v>
          </cell>
        </row>
        <row r="681">
          <cell r="A681">
            <v>577</v>
          </cell>
          <cell r="B681" t="str">
            <v>ALVENARIA DE CANALETA DE CONCRETO PREENCHIDO DE 9X19X19CM (ESPESSURA 9CM) DE PAREDES COM PREPARO EM BETONEIRA (CONCRETO FCK-20MPA)</v>
          </cell>
          <cell r="C681" t="str">
            <v>M2</v>
          </cell>
          <cell r="D681">
            <v>27.4408715</v>
          </cell>
          <cell r="E681">
            <v>40.801964999999996</v>
          </cell>
          <cell r="G681">
            <v>68.242836499999996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3"/>
      <sheetName val="6"/>
      <sheetName val="7"/>
      <sheetName val="8"/>
      <sheetName val="9"/>
      <sheetName val="10"/>
      <sheetName val="11"/>
      <sheetName val="12"/>
      <sheetName val="13"/>
      <sheetName val="14"/>
      <sheetName val="22"/>
      <sheetName val="24"/>
      <sheetName val="30"/>
      <sheetName val="31"/>
      <sheetName val="32"/>
      <sheetName val="37"/>
      <sheetName val="38"/>
      <sheetName val="39"/>
      <sheetName val="40"/>
      <sheetName val="41"/>
      <sheetName val="42"/>
      <sheetName val="45"/>
      <sheetName val="46"/>
      <sheetName val="47"/>
      <sheetName val="48"/>
      <sheetName val="49"/>
      <sheetName val="50"/>
      <sheetName val="51"/>
      <sheetName val="54"/>
      <sheetName val="59"/>
      <sheetName val="60"/>
      <sheetName val="61"/>
      <sheetName val="62"/>
      <sheetName val="63"/>
      <sheetName val="64"/>
      <sheetName val="65"/>
      <sheetName val="72"/>
      <sheetName val="73"/>
      <sheetName val="92"/>
      <sheetName val="93"/>
      <sheetName val="96"/>
      <sheetName val="103"/>
      <sheetName val="104"/>
      <sheetName val="106"/>
      <sheetName val="107"/>
      <sheetName val="111"/>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60"/>
      <sheetName val="161"/>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90"/>
      <sheetName val="291"/>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2"/>
      <sheetName val="553"/>
      <sheetName val="554"/>
      <sheetName val="555"/>
      <sheetName val="556"/>
      <sheetName val="557"/>
      <sheetName val="558"/>
      <sheetName val="559"/>
      <sheetName val="600"/>
      <sheetName val="601"/>
      <sheetName val="602"/>
      <sheetName val="603"/>
      <sheetName val="605"/>
      <sheetName val="606"/>
      <sheetName val="607"/>
      <sheetName val="608"/>
      <sheetName val="604"/>
      <sheetName val="609"/>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70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754"/>
      <sheetName val="755"/>
      <sheetName val="756"/>
      <sheetName val="757"/>
      <sheetName val="758"/>
      <sheetName val="759"/>
      <sheetName val="760"/>
      <sheetName val="761"/>
      <sheetName val="762"/>
      <sheetName val="763"/>
      <sheetName val="764"/>
      <sheetName val="765"/>
      <sheetName val="766"/>
      <sheetName val="767"/>
      <sheetName val="768"/>
      <sheetName val="769"/>
      <sheetName val="770"/>
      <sheetName val="771"/>
      <sheetName val="772"/>
      <sheetName val="773"/>
      <sheetName val="774"/>
      <sheetName val="775"/>
      <sheetName val="776"/>
      <sheetName val="777"/>
      <sheetName val="778"/>
      <sheetName val="779"/>
      <sheetName val="780"/>
      <sheetName val="781"/>
      <sheetName val="782"/>
      <sheetName val="783"/>
      <sheetName val="784"/>
      <sheetName val="785"/>
      <sheetName val="786"/>
      <sheetName val="787"/>
      <sheetName val="788"/>
      <sheetName val="789"/>
      <sheetName val="790"/>
      <sheetName val="791"/>
      <sheetName val="792"/>
      <sheetName val="793"/>
      <sheetName val="794"/>
      <sheetName val="795"/>
      <sheetName val="796"/>
      <sheetName val="797"/>
      <sheetName val="798"/>
      <sheetName val="799"/>
      <sheetName val="80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20"/>
      <sheetName val="821"/>
      <sheetName val="INDCPREÇOS"/>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7"/>
      <sheetName val="859"/>
      <sheetName val="860"/>
      <sheetName val="861"/>
      <sheetName val="862"/>
      <sheetName val="863"/>
      <sheetName val="864"/>
      <sheetName val="865"/>
      <sheetName val="866"/>
      <sheetName val="867"/>
      <sheetName val="868"/>
      <sheetName val="869"/>
      <sheetName val="872"/>
      <sheetName val="873"/>
      <sheetName val="875"/>
      <sheetName val="878"/>
      <sheetName val="879"/>
      <sheetName val="880"/>
      <sheetName val="881"/>
      <sheetName val="882"/>
      <sheetName val="883"/>
      <sheetName val="INDICE"/>
      <sheetName val="SINAPI_NOV2020"/>
      <sheetName val="INSUMOS"/>
      <sheetName val="INDFILT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4">
          <cell r="A4">
            <v>2</v>
          </cell>
          <cell r="B4" t="str">
            <v>JANELA METÁLICA CASE – J14/J15 – BASCULANTE – “100X40” CM</v>
          </cell>
          <cell r="E4">
            <v>253.4302035</v>
          </cell>
          <cell r="F4"/>
        </row>
        <row r="5">
          <cell r="A5">
            <v>6</v>
          </cell>
          <cell r="B5" t="str">
            <v>CHAPA XADREZ ANTIDERRAPANTE NAS CANALETAS</v>
          </cell>
          <cell r="E5">
            <v>818.82899999999995</v>
          </cell>
          <cell r="F5"/>
        </row>
        <row r="6">
          <cell r="A6">
            <v>7</v>
          </cell>
          <cell r="B6" t="str">
            <v>PORTA GRADE EM FERRO - MECÂNICOS ALOJAMENTOS</v>
          </cell>
          <cell r="E6">
            <v>1237.0324167439437</v>
          </cell>
          <cell r="F6"/>
        </row>
        <row r="7">
          <cell r="A7">
            <v>8</v>
          </cell>
          <cell r="B7" t="str">
            <v>JANELA METÁLICA CASE – J16/J18/J19 – DUAS FOLHAS DE CORRER – “193X120” CM</v>
          </cell>
          <cell r="E7">
            <v>766.88476449999996</v>
          </cell>
          <cell r="F7"/>
        </row>
        <row r="8">
          <cell r="A8">
            <v>9</v>
          </cell>
          <cell r="B8" t="str">
            <v>PORTA METÁLICA CASE – P/P3/PS – UMA FOLHA – 90X210 CM</v>
          </cell>
          <cell r="E8">
            <v>544.33859599999994</v>
          </cell>
          <cell r="F8">
            <v>0</v>
          </cell>
        </row>
        <row r="9">
          <cell r="A9">
            <v>10</v>
          </cell>
          <cell r="B9" t="str">
            <v>PORTÃO METÁLICO CASE – P1 – UMA FOLHA CORRER – 400X460 CM</v>
          </cell>
          <cell r="E9">
            <v>560.53029023619638</v>
          </cell>
          <cell r="F9">
            <v>0</v>
          </cell>
        </row>
        <row r="10">
          <cell r="A10">
            <v>11</v>
          </cell>
          <cell r="B10" t="str">
            <v>PORTA METÁLICA CASE – P2 – UMA FOLHA/ VENEZIANA – 100X210 CM</v>
          </cell>
          <cell r="E10">
            <v>706.08712179999986</v>
          </cell>
          <cell r="F10">
            <v>0</v>
          </cell>
        </row>
        <row r="11">
          <cell r="A11">
            <v>12</v>
          </cell>
          <cell r="B11" t="str">
            <v xml:space="preserve">PORTA METÁLICA CASE –  PG1/PG5 -  100X280 CM  </v>
          </cell>
          <cell r="E11">
            <v>545.27531650000003</v>
          </cell>
          <cell r="F11">
            <v>0</v>
          </cell>
        </row>
        <row r="12">
          <cell r="A12">
            <v>14</v>
          </cell>
          <cell r="B12" t="str">
            <v>JANELA METÁLICA BASCULANTE (JF1/JF2/JF3/JF4/JF5)</v>
          </cell>
          <cell r="E12">
            <v>224.70615700000002</v>
          </cell>
          <cell r="F12"/>
        </row>
        <row r="13">
          <cell r="A13">
            <v>24</v>
          </cell>
          <cell r="B13" t="str">
            <v>BARRA DE FERRO GALVANIZADO 3/4" - PARA CORTINA</v>
          </cell>
          <cell r="E13">
            <v>14.746</v>
          </cell>
          <cell r="F13">
            <v>0</v>
          </cell>
        </row>
        <row r="14">
          <cell r="A14">
            <v>30</v>
          </cell>
          <cell r="B14" t="str">
            <v>MUDAS DE PALMEIRA REAL H=1,50 M</v>
          </cell>
          <cell r="E14">
            <v>51.72</v>
          </cell>
          <cell r="F14">
            <v>0</v>
          </cell>
        </row>
        <row r="15">
          <cell r="A15">
            <v>31</v>
          </cell>
          <cell r="B15" t="str">
            <v>MUDAS DE OITI H=1,50 M</v>
          </cell>
          <cell r="E15">
            <v>25.51</v>
          </cell>
          <cell r="F15">
            <v>0</v>
          </cell>
        </row>
        <row r="16">
          <cell r="A16">
            <v>32</v>
          </cell>
          <cell r="B16" t="str">
            <v>MUDAS DE PINGO DE OURO</v>
          </cell>
          <cell r="E16">
            <v>1.24</v>
          </cell>
          <cell r="F16">
            <v>0</v>
          </cell>
        </row>
        <row r="17">
          <cell r="A17">
            <v>37</v>
          </cell>
          <cell r="B17" t="str">
            <v>LOCAÇÃO DE PRAÇA, QUADRA, IMPLANTAÇÃO UTILIZANDO CAVALETE, INCLUSIVE PIQUET COM TESTEMUNHA</v>
          </cell>
          <cell r="E17">
            <v>0.20551599999999998</v>
          </cell>
          <cell r="F17">
            <v>0</v>
          </cell>
        </row>
        <row r="18">
          <cell r="A18">
            <v>38</v>
          </cell>
          <cell r="B18" t="str">
            <v xml:space="preserve">PORTA METÁLICA CASE –  PG4 -  150X280 CM  </v>
          </cell>
          <cell r="E18">
            <v>571.59619580000003</v>
          </cell>
          <cell r="F18">
            <v>0</v>
          </cell>
        </row>
        <row r="19">
          <cell r="A19">
            <v>40</v>
          </cell>
          <cell r="B19" t="str">
            <v>MURO DE CANALETA H=3 M</v>
          </cell>
          <cell r="E19">
            <v>53.231861046831952</v>
          </cell>
          <cell r="F19"/>
        </row>
        <row r="20">
          <cell r="A20">
            <v>41</v>
          </cell>
          <cell r="B20" t="str">
            <v>CAIXA PASSAGEM 70X70X80 FUNDO DE BRITA S/ TAMPA</v>
          </cell>
          <cell r="E20">
            <v>181.59303067598</v>
          </cell>
          <cell r="F20"/>
        </row>
        <row r="21">
          <cell r="A21">
            <v>42</v>
          </cell>
          <cell r="B21" t="str">
            <v>SOLDA EXOTÉRMICA TAMANHO 115</v>
          </cell>
          <cell r="E21">
            <v>7.91</v>
          </cell>
          <cell r="F21">
            <v>0</v>
          </cell>
        </row>
        <row r="22">
          <cell r="A22">
            <v>45</v>
          </cell>
          <cell r="B22" t="str">
            <v>CABO RGC 59-75 OHMS</v>
          </cell>
          <cell r="E22">
            <v>1.2036</v>
          </cell>
          <cell r="F22">
            <v>0</v>
          </cell>
        </row>
        <row r="23">
          <cell r="A23">
            <v>50</v>
          </cell>
          <cell r="B23" t="str">
            <v>PARAFUSO P/BUCHA S-6</v>
          </cell>
          <cell r="E23">
            <v>2.57</v>
          </cell>
          <cell r="F23">
            <v>0</v>
          </cell>
        </row>
        <row r="24">
          <cell r="A24">
            <v>63</v>
          </cell>
          <cell r="B24" t="str">
            <v>PORTÃO METÁLICO DO TIPO NYLOFOR 3D OU EQUIVALENTE (3,50X 2,03 M) DE CORRER COM MOTOR SEMI INDUSTRIAL/ CREMALHEIRA / 2 CONTROLES REMOTOS</v>
          </cell>
          <cell r="E24">
            <v>5581.5300000000007</v>
          </cell>
          <cell r="F24">
            <v>0</v>
          </cell>
        </row>
        <row r="25">
          <cell r="A25">
            <v>64</v>
          </cell>
          <cell r="B25" t="str">
            <v>PORTÃO METÁLICO DO TIPO NYLOFOR 3D OU EQUIVALENTE (1,00 X 2,03 M) DE ABRIR</v>
          </cell>
          <cell r="E25">
            <v>994.73</v>
          </cell>
          <cell r="F25">
            <v>0</v>
          </cell>
        </row>
        <row r="26">
          <cell r="A26">
            <v>65</v>
          </cell>
          <cell r="E26">
            <v>918.1649873333331</v>
          </cell>
          <cell r="F26">
            <v>0</v>
          </cell>
        </row>
        <row r="27">
          <cell r="A27">
            <v>72</v>
          </cell>
          <cell r="E27">
            <v>0</v>
          </cell>
          <cell r="F27">
            <v>28251.4182</v>
          </cell>
        </row>
        <row r="28">
          <cell r="A28">
            <v>73</v>
          </cell>
          <cell r="E28">
            <v>6204.8318659999986</v>
          </cell>
          <cell r="F28">
            <v>0</v>
          </cell>
        </row>
        <row r="29">
          <cell r="A29">
            <v>96</v>
          </cell>
          <cell r="E29">
            <v>474.43686159999993</v>
          </cell>
          <cell r="F29">
            <v>0</v>
          </cell>
        </row>
        <row r="30">
          <cell r="A30">
            <v>104</v>
          </cell>
          <cell r="E30">
            <v>145.113471</v>
          </cell>
          <cell r="F30">
            <v>0</v>
          </cell>
        </row>
        <row r="31">
          <cell r="A31">
            <v>106</v>
          </cell>
          <cell r="E31">
            <v>550.82830999999987</v>
          </cell>
          <cell r="F31">
            <v>0</v>
          </cell>
        </row>
        <row r="32">
          <cell r="A32">
            <v>107</v>
          </cell>
          <cell r="E32">
            <v>433.56921126595739</v>
          </cell>
          <cell r="F32">
            <v>0</v>
          </cell>
        </row>
        <row r="33">
          <cell r="A33">
            <v>111</v>
          </cell>
          <cell r="E33">
            <v>0</v>
          </cell>
          <cell r="F33">
            <v>2131.2565298795184</v>
          </cell>
        </row>
        <row r="34">
          <cell r="A34">
            <v>136</v>
          </cell>
          <cell r="E34">
            <v>4.53</v>
          </cell>
          <cell r="F34">
            <v>0</v>
          </cell>
        </row>
        <row r="35">
          <cell r="A35">
            <v>137</v>
          </cell>
          <cell r="E35">
            <v>417.01884000000001</v>
          </cell>
          <cell r="F35">
            <v>3.8030539999999999</v>
          </cell>
        </row>
        <row r="36">
          <cell r="A36">
            <v>139</v>
          </cell>
          <cell r="E36">
            <v>134.753849</v>
          </cell>
          <cell r="F36">
            <v>1.3320070000000002</v>
          </cell>
        </row>
        <row r="37">
          <cell r="A37">
            <v>141</v>
          </cell>
          <cell r="E37">
            <v>81.858417000000003</v>
          </cell>
          <cell r="F37">
            <v>0.84754700000000005</v>
          </cell>
        </row>
        <row r="38">
          <cell r="A38">
            <v>142</v>
          </cell>
          <cell r="E38">
            <v>24.876719000000001</v>
          </cell>
          <cell r="F38">
            <v>0.66736799999999996</v>
          </cell>
        </row>
        <row r="39">
          <cell r="A39">
            <v>143</v>
          </cell>
          <cell r="E39">
            <v>72.938625000000002</v>
          </cell>
          <cell r="F39">
            <v>1.4497949999999999</v>
          </cell>
        </row>
        <row r="40">
          <cell r="A40">
            <v>144</v>
          </cell>
          <cell r="E40">
            <v>410.39035100000001</v>
          </cell>
          <cell r="F40">
            <v>0</v>
          </cell>
        </row>
        <row r="41">
          <cell r="A41">
            <v>146</v>
          </cell>
          <cell r="E41">
            <v>314.37935849999997</v>
          </cell>
          <cell r="F41">
            <v>0</v>
          </cell>
        </row>
        <row r="42">
          <cell r="A42">
            <v>149</v>
          </cell>
          <cell r="E42">
            <v>236.75066999999999</v>
          </cell>
          <cell r="F42">
            <v>240.26772299999999</v>
          </cell>
        </row>
        <row r="43">
          <cell r="A43">
            <v>150</v>
          </cell>
          <cell r="E43">
            <v>809.17320000000007</v>
          </cell>
          <cell r="F43">
            <v>848.39502000000005</v>
          </cell>
        </row>
        <row r="44">
          <cell r="A44">
            <v>151</v>
          </cell>
          <cell r="E44">
            <v>394.87861899999996</v>
          </cell>
          <cell r="F44">
            <v>1.4512700000000001</v>
          </cell>
        </row>
        <row r="45">
          <cell r="A45">
            <v>152</v>
          </cell>
          <cell r="E45">
            <v>486.76612480000006</v>
          </cell>
          <cell r="F45">
            <v>0</v>
          </cell>
        </row>
        <row r="46">
          <cell r="A46">
            <v>153</v>
          </cell>
          <cell r="E46">
            <v>436.37288639999997</v>
          </cell>
          <cell r="F46">
            <v>0</v>
          </cell>
        </row>
        <row r="47">
          <cell r="A47">
            <v>155</v>
          </cell>
          <cell r="E47">
            <v>491.46804150000008</v>
          </cell>
          <cell r="F47">
            <v>0</v>
          </cell>
        </row>
        <row r="48">
          <cell r="A48">
            <v>156</v>
          </cell>
          <cell r="E48">
            <v>503.49081699999999</v>
          </cell>
          <cell r="F48">
            <v>0</v>
          </cell>
        </row>
        <row r="49">
          <cell r="A49">
            <v>157</v>
          </cell>
          <cell r="E49">
            <v>624.43732750000015</v>
          </cell>
          <cell r="F49">
            <v>0</v>
          </cell>
        </row>
        <row r="50">
          <cell r="A50">
            <v>158</v>
          </cell>
          <cell r="E50">
            <v>784.72375579999994</v>
          </cell>
          <cell r="F50">
            <v>0</v>
          </cell>
        </row>
        <row r="51">
          <cell r="A51">
            <v>160</v>
          </cell>
          <cell r="E51">
            <v>530.43523979999998</v>
          </cell>
          <cell r="F51">
            <v>0</v>
          </cell>
        </row>
        <row r="52">
          <cell r="A52">
            <v>161</v>
          </cell>
          <cell r="E52">
            <v>632.3175258</v>
          </cell>
          <cell r="F52">
            <v>0</v>
          </cell>
        </row>
        <row r="53">
          <cell r="A53">
            <v>163</v>
          </cell>
          <cell r="E53">
            <v>113.66784</v>
          </cell>
          <cell r="F53"/>
        </row>
        <row r="54">
          <cell r="A54">
            <v>165</v>
          </cell>
          <cell r="E54">
            <v>43</v>
          </cell>
          <cell r="F54"/>
        </row>
        <row r="55">
          <cell r="A55">
            <v>166</v>
          </cell>
          <cell r="E55">
            <v>2.6440060000000001</v>
          </cell>
          <cell r="F55"/>
        </row>
        <row r="56">
          <cell r="A56">
            <v>167</v>
          </cell>
          <cell r="E56">
            <v>168.04127499999996</v>
          </cell>
          <cell r="F56"/>
        </row>
        <row r="57">
          <cell r="A57">
            <v>168</v>
          </cell>
          <cell r="E57">
            <v>143.12336999999999</v>
          </cell>
          <cell r="F57"/>
        </row>
        <row r="58">
          <cell r="A58">
            <v>171</v>
          </cell>
          <cell r="E58">
            <v>842.24</v>
          </cell>
          <cell r="F58"/>
        </row>
        <row r="59">
          <cell r="A59">
            <v>172</v>
          </cell>
          <cell r="E59">
            <v>10.8</v>
          </cell>
          <cell r="F59"/>
        </row>
        <row r="60">
          <cell r="A60">
            <v>176</v>
          </cell>
          <cell r="E60">
            <v>2.92</v>
          </cell>
          <cell r="F60"/>
        </row>
        <row r="61">
          <cell r="A61">
            <v>181</v>
          </cell>
          <cell r="E61">
            <v>5.07</v>
          </cell>
          <cell r="F61"/>
        </row>
        <row r="62">
          <cell r="A62">
            <v>188</v>
          </cell>
          <cell r="E62">
            <v>13.66</v>
          </cell>
          <cell r="F62"/>
        </row>
        <row r="63">
          <cell r="A63">
            <v>192</v>
          </cell>
          <cell r="E63">
            <v>199.53900000000002</v>
          </cell>
          <cell r="F63"/>
        </row>
        <row r="64">
          <cell r="A64">
            <v>227</v>
          </cell>
          <cell r="E64">
            <v>135.8090602</v>
          </cell>
          <cell r="F64">
            <v>0</v>
          </cell>
        </row>
        <row r="65">
          <cell r="A65">
            <v>230</v>
          </cell>
          <cell r="E65">
            <v>7.2764049999999996</v>
          </cell>
          <cell r="F65">
            <v>0</v>
          </cell>
        </row>
        <row r="66">
          <cell r="A66">
            <v>231</v>
          </cell>
          <cell r="E66">
            <v>922.46763899999985</v>
          </cell>
          <cell r="F66">
            <v>0</v>
          </cell>
        </row>
        <row r="67">
          <cell r="A67">
            <v>232</v>
          </cell>
          <cell r="E67">
            <v>1058.8400000000001</v>
          </cell>
          <cell r="F67">
            <v>0</v>
          </cell>
        </row>
        <row r="68">
          <cell r="A68">
            <v>235</v>
          </cell>
          <cell r="E68">
            <v>102.5</v>
          </cell>
          <cell r="F68">
            <v>0</v>
          </cell>
        </row>
        <row r="69">
          <cell r="A69">
            <v>239</v>
          </cell>
          <cell r="E69">
            <v>4.1097000000000001</v>
          </cell>
          <cell r="F69">
            <v>0</v>
          </cell>
        </row>
        <row r="70">
          <cell r="A70">
            <v>244</v>
          </cell>
          <cell r="E70">
            <v>15</v>
          </cell>
          <cell r="F70"/>
        </row>
        <row r="71">
          <cell r="A71">
            <v>246</v>
          </cell>
          <cell r="E71">
            <v>5.79</v>
          </cell>
          <cell r="F71"/>
        </row>
        <row r="72">
          <cell r="A72">
            <v>257</v>
          </cell>
          <cell r="E72">
            <v>4.4000000000000004</v>
          </cell>
          <cell r="F72"/>
        </row>
        <row r="73">
          <cell r="A73">
            <v>258</v>
          </cell>
          <cell r="E73">
            <v>13.27</v>
          </cell>
          <cell r="F73"/>
        </row>
        <row r="74">
          <cell r="A74">
            <v>267</v>
          </cell>
          <cell r="E74">
            <v>183.9</v>
          </cell>
          <cell r="F74"/>
        </row>
        <row r="75">
          <cell r="A75">
            <v>272</v>
          </cell>
          <cell r="E75">
            <v>79.56</v>
          </cell>
          <cell r="F75"/>
        </row>
        <row r="76">
          <cell r="A76">
            <v>273</v>
          </cell>
          <cell r="E76">
            <v>164.27</v>
          </cell>
          <cell r="F76"/>
        </row>
        <row r="77">
          <cell r="A77">
            <v>275</v>
          </cell>
          <cell r="E77">
            <v>54.35</v>
          </cell>
          <cell r="F77"/>
        </row>
        <row r="78">
          <cell r="A78">
            <v>291</v>
          </cell>
          <cell r="E78">
            <v>0.86</v>
          </cell>
          <cell r="F78"/>
        </row>
        <row r="79">
          <cell r="A79">
            <v>300</v>
          </cell>
          <cell r="E79">
            <v>0.20551599999999998</v>
          </cell>
          <cell r="F79"/>
        </row>
        <row r="80">
          <cell r="A80">
            <v>301</v>
          </cell>
          <cell r="E80">
            <v>50.39</v>
          </cell>
          <cell r="F80"/>
        </row>
        <row r="81">
          <cell r="A81">
            <v>302</v>
          </cell>
          <cell r="E81">
            <v>0</v>
          </cell>
          <cell r="F81"/>
        </row>
        <row r="82">
          <cell r="A82">
            <v>303</v>
          </cell>
          <cell r="E82">
            <v>0</v>
          </cell>
          <cell r="F82"/>
        </row>
        <row r="83">
          <cell r="A83">
            <v>304</v>
          </cell>
          <cell r="E83">
            <v>1.56</v>
          </cell>
          <cell r="F83"/>
        </row>
        <row r="84">
          <cell r="A84">
            <v>305</v>
          </cell>
          <cell r="E84">
            <v>0</v>
          </cell>
          <cell r="F84"/>
        </row>
        <row r="85">
          <cell r="A85">
            <v>307</v>
          </cell>
          <cell r="E85">
            <v>30.385095041322312</v>
          </cell>
          <cell r="F85"/>
        </row>
        <row r="86">
          <cell r="A86">
            <v>308</v>
          </cell>
          <cell r="E86">
            <v>114.6722</v>
          </cell>
          <cell r="F86"/>
        </row>
        <row r="87">
          <cell r="A87">
            <v>309</v>
          </cell>
          <cell r="E87">
            <v>1566.03586</v>
          </cell>
          <cell r="F87"/>
        </row>
        <row r="88">
          <cell r="A88">
            <v>311</v>
          </cell>
          <cell r="E88">
            <v>110.328</v>
          </cell>
          <cell r="F88"/>
        </row>
        <row r="89">
          <cell r="A89">
            <v>312</v>
          </cell>
          <cell r="E89">
            <v>1.1299999999999999</v>
          </cell>
          <cell r="F89"/>
        </row>
        <row r="90">
          <cell r="A90">
            <v>313</v>
          </cell>
          <cell r="E90">
            <v>2.54</v>
          </cell>
          <cell r="F90"/>
        </row>
        <row r="91">
          <cell r="A91">
            <v>315</v>
          </cell>
          <cell r="E91">
            <v>107.03</v>
          </cell>
          <cell r="F91"/>
        </row>
        <row r="92">
          <cell r="A92">
            <v>319</v>
          </cell>
          <cell r="E92">
            <v>1.4</v>
          </cell>
          <cell r="F92"/>
        </row>
        <row r="93">
          <cell r="A93">
            <v>320</v>
          </cell>
          <cell r="E93">
            <v>104.76597111570248</v>
          </cell>
          <cell r="F93"/>
        </row>
        <row r="94">
          <cell r="A94">
            <v>321</v>
          </cell>
          <cell r="E94">
            <v>159.78428238842974</v>
          </cell>
          <cell r="F94"/>
        </row>
        <row r="95">
          <cell r="A95">
            <v>322</v>
          </cell>
          <cell r="E95">
            <v>19.385999999999999</v>
          </cell>
          <cell r="F95"/>
        </row>
        <row r="96">
          <cell r="A96">
            <v>323</v>
          </cell>
          <cell r="E96">
            <v>5.94</v>
          </cell>
          <cell r="F96"/>
        </row>
        <row r="97">
          <cell r="A97">
            <v>324</v>
          </cell>
          <cell r="E97">
            <v>5.89</v>
          </cell>
          <cell r="F97"/>
        </row>
        <row r="98">
          <cell r="A98">
            <v>326</v>
          </cell>
          <cell r="E98">
            <v>3.39</v>
          </cell>
          <cell r="F98"/>
        </row>
        <row r="99">
          <cell r="A99">
            <v>328</v>
          </cell>
          <cell r="E99">
            <v>27.16</v>
          </cell>
          <cell r="F99"/>
        </row>
        <row r="100">
          <cell r="A100">
            <v>334</v>
          </cell>
          <cell r="E100">
            <v>188.76320000000001</v>
          </cell>
          <cell r="F100"/>
        </row>
        <row r="101">
          <cell r="A101">
            <v>336</v>
          </cell>
          <cell r="E101">
            <v>4.6500000000000004</v>
          </cell>
          <cell r="F101"/>
        </row>
        <row r="102">
          <cell r="A102">
            <v>338</v>
          </cell>
          <cell r="E102">
            <v>8.7818570000000005</v>
          </cell>
          <cell r="F102"/>
        </row>
        <row r="103">
          <cell r="A103">
            <v>339</v>
          </cell>
          <cell r="E103">
            <v>47.200200000000002</v>
          </cell>
          <cell r="F103"/>
        </row>
        <row r="104">
          <cell r="A104">
            <v>340</v>
          </cell>
          <cell r="E104">
            <v>8.7484000000000006E-2</v>
          </cell>
          <cell r="F104"/>
        </row>
        <row r="105">
          <cell r="A105">
            <v>341</v>
          </cell>
          <cell r="E105">
            <v>14.124000000000001</v>
          </cell>
          <cell r="F105"/>
        </row>
        <row r="106">
          <cell r="A106">
            <v>342</v>
          </cell>
          <cell r="E106">
            <v>20.28</v>
          </cell>
          <cell r="F106"/>
        </row>
        <row r="107">
          <cell r="A107">
            <v>343</v>
          </cell>
          <cell r="E107">
            <v>15.034979999999999</v>
          </cell>
          <cell r="F107"/>
        </row>
        <row r="108">
          <cell r="A108">
            <v>344</v>
          </cell>
          <cell r="E108">
            <v>17.917200000000001</v>
          </cell>
          <cell r="F108"/>
        </row>
        <row r="109">
          <cell r="A109">
            <v>345</v>
          </cell>
          <cell r="E109">
            <v>777.60460899999987</v>
          </cell>
          <cell r="F109"/>
        </row>
        <row r="110">
          <cell r="A110">
            <v>347</v>
          </cell>
          <cell r="E110">
            <v>15.812080000000002</v>
          </cell>
          <cell r="F110"/>
        </row>
        <row r="111">
          <cell r="A111">
            <v>348</v>
          </cell>
          <cell r="E111">
            <v>31.570292999999999</v>
          </cell>
          <cell r="F111"/>
        </row>
        <row r="112">
          <cell r="A112">
            <v>349</v>
          </cell>
          <cell r="E112">
            <v>15.349762</v>
          </cell>
          <cell r="F112"/>
        </row>
        <row r="113">
          <cell r="A113">
            <v>350</v>
          </cell>
          <cell r="E113">
            <v>97.538049999999998</v>
          </cell>
          <cell r="F113"/>
        </row>
        <row r="114">
          <cell r="A114">
            <v>351</v>
          </cell>
          <cell r="E114">
            <v>20.94</v>
          </cell>
          <cell r="F114"/>
        </row>
        <row r="115">
          <cell r="A115">
            <v>352</v>
          </cell>
          <cell r="E115">
            <v>103.69</v>
          </cell>
          <cell r="F115"/>
        </row>
        <row r="116">
          <cell r="A116">
            <v>353</v>
          </cell>
          <cell r="E116">
            <v>15.275206000000001</v>
          </cell>
          <cell r="F116"/>
        </row>
        <row r="117">
          <cell r="A117">
            <v>354</v>
          </cell>
          <cell r="E117">
            <v>15.662903999999999</v>
          </cell>
          <cell r="F117"/>
        </row>
        <row r="118">
          <cell r="A118">
            <v>355</v>
          </cell>
          <cell r="E118">
            <v>187.35803200000001</v>
          </cell>
          <cell r="F118"/>
        </row>
        <row r="119">
          <cell r="A119">
            <v>356</v>
          </cell>
          <cell r="E119">
            <v>80.704067000000009</v>
          </cell>
          <cell r="F119"/>
        </row>
        <row r="120">
          <cell r="A120">
            <v>357</v>
          </cell>
          <cell r="E120">
            <v>4.28932</v>
          </cell>
          <cell r="F120"/>
        </row>
        <row r="121">
          <cell r="A121">
            <v>359</v>
          </cell>
          <cell r="E121">
            <v>4.6935000000000002</v>
          </cell>
          <cell r="F121"/>
        </row>
        <row r="122">
          <cell r="A122">
            <v>360</v>
          </cell>
          <cell r="E122">
            <v>6.5686479999999996</v>
          </cell>
          <cell r="F122"/>
        </row>
        <row r="123">
          <cell r="A123">
            <v>361</v>
          </cell>
          <cell r="E123">
            <v>6.6579670000000011</v>
          </cell>
          <cell r="F123"/>
        </row>
        <row r="124">
          <cell r="A124">
            <v>362</v>
          </cell>
          <cell r="E124">
            <v>0.62687100000000007</v>
          </cell>
          <cell r="F124"/>
        </row>
        <row r="125">
          <cell r="A125">
            <v>363</v>
          </cell>
          <cell r="E125">
            <v>8.2471180000000004</v>
          </cell>
          <cell r="F125"/>
        </row>
        <row r="126">
          <cell r="A126">
            <v>364</v>
          </cell>
          <cell r="E126">
            <v>420.03860000000003</v>
          </cell>
          <cell r="F126"/>
        </row>
        <row r="127">
          <cell r="A127">
            <v>365</v>
          </cell>
          <cell r="E127">
            <v>1.29</v>
          </cell>
          <cell r="F127"/>
        </row>
        <row r="128">
          <cell r="A128">
            <v>366</v>
          </cell>
          <cell r="E128">
            <v>0.88</v>
          </cell>
          <cell r="F128"/>
        </row>
        <row r="129">
          <cell r="A129">
            <v>367</v>
          </cell>
          <cell r="E129">
            <v>5</v>
          </cell>
          <cell r="F129"/>
        </row>
        <row r="130">
          <cell r="A130">
            <v>368</v>
          </cell>
          <cell r="E130">
            <v>22.158317999999998</v>
          </cell>
          <cell r="F130"/>
        </row>
        <row r="131">
          <cell r="A131">
            <v>369</v>
          </cell>
          <cell r="E131">
            <v>7.6725000000000002E-2</v>
          </cell>
          <cell r="F131"/>
        </row>
        <row r="132">
          <cell r="A132">
            <v>370</v>
          </cell>
          <cell r="E132">
            <v>4.82</v>
          </cell>
          <cell r="F132"/>
        </row>
        <row r="133">
          <cell r="A133">
            <v>373</v>
          </cell>
          <cell r="E133">
            <v>52.94</v>
          </cell>
          <cell r="F133"/>
        </row>
        <row r="134">
          <cell r="A134">
            <v>378</v>
          </cell>
          <cell r="E134">
            <v>23.76</v>
          </cell>
          <cell r="F134"/>
        </row>
        <row r="135">
          <cell r="A135">
            <v>379</v>
          </cell>
          <cell r="E135">
            <v>6.36</v>
          </cell>
          <cell r="F135"/>
        </row>
        <row r="136">
          <cell r="A136">
            <v>380</v>
          </cell>
          <cell r="E136">
            <v>146.63</v>
          </cell>
          <cell r="F136"/>
        </row>
        <row r="137">
          <cell r="A137">
            <v>382</v>
          </cell>
          <cell r="E137">
            <v>153.54687100000001</v>
          </cell>
          <cell r="F137"/>
        </row>
        <row r="138">
          <cell r="A138">
            <v>383</v>
          </cell>
          <cell r="E138">
            <v>3.831423</v>
          </cell>
          <cell r="F138"/>
        </row>
        <row r="139">
          <cell r="A139">
            <v>384</v>
          </cell>
          <cell r="E139">
            <v>170.1</v>
          </cell>
          <cell r="F139"/>
        </row>
        <row r="140">
          <cell r="A140">
            <v>385</v>
          </cell>
          <cell r="E140">
            <v>103.98</v>
          </cell>
          <cell r="F140"/>
        </row>
        <row r="141">
          <cell r="A141">
            <v>387</v>
          </cell>
          <cell r="E141">
            <v>1.0431299999999999</v>
          </cell>
          <cell r="F141"/>
        </row>
        <row r="142">
          <cell r="A142">
            <v>388</v>
          </cell>
          <cell r="E142">
            <v>0.23</v>
          </cell>
          <cell r="F142"/>
        </row>
        <row r="143">
          <cell r="A143">
            <v>389</v>
          </cell>
          <cell r="E143">
            <v>0.32</v>
          </cell>
          <cell r="F143"/>
        </row>
        <row r="144">
          <cell r="A144">
            <v>391</v>
          </cell>
          <cell r="E144">
            <v>13.6</v>
          </cell>
          <cell r="F144"/>
        </row>
        <row r="145">
          <cell r="A145">
            <v>392</v>
          </cell>
          <cell r="E145"/>
          <cell r="F145"/>
        </row>
        <row r="146">
          <cell r="A146">
            <v>393</v>
          </cell>
          <cell r="E146">
            <v>94.009558320000011</v>
          </cell>
          <cell r="F146"/>
        </row>
        <row r="147">
          <cell r="A147">
            <v>395</v>
          </cell>
          <cell r="E147">
            <v>0.33</v>
          </cell>
          <cell r="F147"/>
        </row>
        <row r="148">
          <cell r="A148">
            <v>401</v>
          </cell>
          <cell r="E148">
            <v>1653.4237949999999</v>
          </cell>
          <cell r="F148"/>
        </row>
        <row r="149">
          <cell r="A149">
            <v>402</v>
          </cell>
          <cell r="E149">
            <v>2155.7322333000002</v>
          </cell>
          <cell r="F149"/>
        </row>
        <row r="150">
          <cell r="A150">
            <v>403</v>
          </cell>
          <cell r="E150">
            <v>722.32575800000018</v>
          </cell>
          <cell r="F150"/>
        </row>
        <row r="151">
          <cell r="A151">
            <v>404</v>
          </cell>
          <cell r="E151">
            <v>11.88</v>
          </cell>
          <cell r="F151"/>
        </row>
        <row r="152">
          <cell r="A152">
            <v>405</v>
          </cell>
          <cell r="E152">
            <v>6.68</v>
          </cell>
          <cell r="F152"/>
        </row>
        <row r="153">
          <cell r="A153">
            <v>406</v>
          </cell>
          <cell r="E153">
            <v>11.186231000000001</v>
          </cell>
          <cell r="F153"/>
        </row>
        <row r="154">
          <cell r="A154">
            <v>407</v>
          </cell>
          <cell r="E154">
            <v>21.76</v>
          </cell>
          <cell r="F154"/>
        </row>
        <row r="155">
          <cell r="A155">
            <v>415</v>
          </cell>
          <cell r="E155">
            <v>84.02</v>
          </cell>
          <cell r="F155"/>
        </row>
        <row r="156">
          <cell r="A156">
            <v>416</v>
          </cell>
          <cell r="E156">
            <v>107.98</v>
          </cell>
          <cell r="F156"/>
        </row>
        <row r="157">
          <cell r="A157">
            <v>417</v>
          </cell>
          <cell r="E157">
            <v>21.017659000000002</v>
          </cell>
          <cell r="F157"/>
        </row>
        <row r="158">
          <cell r="A158">
            <v>419</v>
          </cell>
          <cell r="E158">
            <v>267.08872400000001</v>
          </cell>
          <cell r="F158"/>
        </row>
        <row r="159">
          <cell r="A159">
            <v>424</v>
          </cell>
          <cell r="E159">
            <v>166.574478</v>
          </cell>
          <cell r="F159"/>
        </row>
        <row r="160">
          <cell r="A160">
            <v>427</v>
          </cell>
          <cell r="E160">
            <v>366.39710000000002</v>
          </cell>
          <cell r="F160"/>
        </row>
        <row r="161">
          <cell r="A161">
            <v>428</v>
          </cell>
          <cell r="E161">
            <v>146.74901199999999</v>
          </cell>
          <cell r="F161"/>
        </row>
        <row r="162">
          <cell r="A162">
            <v>431</v>
          </cell>
          <cell r="E162">
            <v>4750.1083892148772</v>
          </cell>
          <cell r="F162"/>
        </row>
        <row r="163">
          <cell r="A163">
            <v>432</v>
          </cell>
          <cell r="E163">
            <v>212.55</v>
          </cell>
          <cell r="F163"/>
        </row>
        <row r="164">
          <cell r="A164">
            <v>434</v>
          </cell>
          <cell r="E164">
            <v>14.16</v>
          </cell>
          <cell r="F164"/>
        </row>
        <row r="165">
          <cell r="A165">
            <v>435</v>
          </cell>
          <cell r="E165">
            <v>6.09</v>
          </cell>
          <cell r="F165"/>
        </row>
        <row r="166">
          <cell r="A166">
            <v>436</v>
          </cell>
          <cell r="E166">
            <v>60.92</v>
          </cell>
          <cell r="F166"/>
        </row>
        <row r="167">
          <cell r="A167">
            <v>437</v>
          </cell>
          <cell r="E167">
            <v>114.05</v>
          </cell>
          <cell r="F167"/>
        </row>
        <row r="168">
          <cell r="A168">
            <v>438</v>
          </cell>
          <cell r="E168">
            <v>21.74</v>
          </cell>
          <cell r="F168"/>
        </row>
        <row r="169">
          <cell r="A169">
            <v>439</v>
          </cell>
          <cell r="E169">
            <v>21.817805</v>
          </cell>
          <cell r="F169"/>
        </row>
        <row r="170">
          <cell r="A170">
            <v>440</v>
          </cell>
          <cell r="E170">
            <v>13.103415</v>
          </cell>
          <cell r="F170"/>
        </row>
        <row r="171">
          <cell r="A171">
            <v>441</v>
          </cell>
          <cell r="E171">
            <v>15.09</v>
          </cell>
          <cell r="F171"/>
        </row>
        <row r="172">
          <cell r="A172">
            <v>442</v>
          </cell>
          <cell r="E172">
            <v>21.34</v>
          </cell>
          <cell r="F172"/>
        </row>
        <row r="173">
          <cell r="A173">
            <v>443</v>
          </cell>
          <cell r="E173">
            <v>23.45</v>
          </cell>
          <cell r="F173"/>
        </row>
        <row r="174">
          <cell r="A174">
            <v>444</v>
          </cell>
          <cell r="E174">
            <v>13.89</v>
          </cell>
          <cell r="F174"/>
        </row>
        <row r="175">
          <cell r="A175">
            <v>445</v>
          </cell>
          <cell r="E175">
            <v>24.75</v>
          </cell>
          <cell r="F175"/>
        </row>
        <row r="176">
          <cell r="A176">
            <v>446</v>
          </cell>
          <cell r="E176">
            <v>0.54</v>
          </cell>
          <cell r="F176"/>
        </row>
        <row r="177">
          <cell r="A177">
            <v>447</v>
          </cell>
          <cell r="E177">
            <v>6.2470800000000013</v>
          </cell>
          <cell r="F177"/>
        </row>
        <row r="178">
          <cell r="A178">
            <v>452</v>
          </cell>
          <cell r="E178">
            <v>2.0033333333333334</v>
          </cell>
          <cell r="F178"/>
        </row>
        <row r="179">
          <cell r="A179">
            <v>453</v>
          </cell>
          <cell r="E179">
            <v>22.512000000000004</v>
          </cell>
          <cell r="F179"/>
        </row>
        <row r="180">
          <cell r="A180">
            <v>455</v>
          </cell>
          <cell r="E180">
            <v>29.52</v>
          </cell>
          <cell r="F180"/>
        </row>
        <row r="181">
          <cell r="A181">
            <v>471</v>
          </cell>
          <cell r="E181">
            <v>28.903701999999999</v>
          </cell>
          <cell r="F181"/>
        </row>
        <row r="182">
          <cell r="A182">
            <v>474</v>
          </cell>
          <cell r="E182">
            <v>129.58000000000001</v>
          </cell>
          <cell r="F182"/>
        </row>
        <row r="183">
          <cell r="A183">
            <v>482</v>
          </cell>
          <cell r="E183">
            <v>65.552500000000009</v>
          </cell>
          <cell r="F183"/>
        </row>
        <row r="184">
          <cell r="A184">
            <v>491</v>
          </cell>
          <cell r="E184">
            <v>77.400000000000006</v>
          </cell>
          <cell r="F184"/>
        </row>
        <row r="185">
          <cell r="A185">
            <v>500</v>
          </cell>
          <cell r="E185">
            <v>0.86209999999999998</v>
          </cell>
          <cell r="F185"/>
        </row>
        <row r="186">
          <cell r="A186">
            <v>504</v>
          </cell>
          <cell r="E186">
            <v>4.97</v>
          </cell>
          <cell r="F186"/>
        </row>
        <row r="187">
          <cell r="A187">
            <v>524</v>
          </cell>
          <cell r="E187">
            <v>1777.58</v>
          </cell>
          <cell r="F187"/>
        </row>
        <row r="188">
          <cell r="A188">
            <v>525</v>
          </cell>
          <cell r="E188">
            <v>1305.0099999999998</v>
          </cell>
          <cell r="F188"/>
        </row>
        <row r="189">
          <cell r="A189">
            <v>526</v>
          </cell>
          <cell r="E189">
            <v>139.41</v>
          </cell>
          <cell r="F189"/>
        </row>
        <row r="190">
          <cell r="A190">
            <v>527</v>
          </cell>
          <cell r="E190">
            <v>31.855</v>
          </cell>
          <cell r="F190"/>
        </row>
        <row r="191">
          <cell r="A191">
            <v>529</v>
          </cell>
          <cell r="E191">
            <v>94.28</v>
          </cell>
          <cell r="F191"/>
        </row>
        <row r="192">
          <cell r="A192">
            <v>530</v>
          </cell>
          <cell r="E192">
            <v>128.95999999999998</v>
          </cell>
          <cell r="F192"/>
        </row>
        <row r="193">
          <cell r="A193">
            <v>531</v>
          </cell>
          <cell r="E193">
            <v>70.28</v>
          </cell>
          <cell r="F193"/>
        </row>
        <row r="194">
          <cell r="A194">
            <v>532</v>
          </cell>
          <cell r="E194">
            <v>260.05094918600003</v>
          </cell>
          <cell r="F194"/>
        </row>
        <row r="195">
          <cell r="A195">
            <v>533</v>
          </cell>
          <cell r="E195">
            <v>4588.42</v>
          </cell>
          <cell r="F195"/>
        </row>
        <row r="196">
          <cell r="A196">
            <v>534</v>
          </cell>
          <cell r="E196">
            <v>180.001</v>
          </cell>
          <cell r="F196"/>
        </row>
        <row r="197">
          <cell r="A197">
            <v>535</v>
          </cell>
          <cell r="E197">
            <v>180.15771999999998</v>
          </cell>
          <cell r="F197"/>
        </row>
        <row r="198">
          <cell r="A198">
            <v>536</v>
          </cell>
          <cell r="E198">
            <v>0.48</v>
          </cell>
          <cell r="F198"/>
        </row>
        <row r="199">
          <cell r="A199">
            <v>537</v>
          </cell>
          <cell r="E199">
            <v>0.56999999999999995</v>
          </cell>
          <cell r="F199"/>
        </row>
        <row r="200">
          <cell r="A200">
            <v>538</v>
          </cell>
          <cell r="E200">
            <v>76.625</v>
          </cell>
          <cell r="F200"/>
        </row>
        <row r="201">
          <cell r="A201">
            <v>539</v>
          </cell>
          <cell r="E201">
            <v>384.24</v>
          </cell>
          <cell r="F201"/>
        </row>
        <row r="202">
          <cell r="A202">
            <v>540</v>
          </cell>
          <cell r="E202">
            <v>222.64000000000001</v>
          </cell>
          <cell r="F202"/>
        </row>
        <row r="203">
          <cell r="A203">
            <v>541</v>
          </cell>
          <cell r="E203">
            <v>63.305</v>
          </cell>
          <cell r="F203"/>
        </row>
        <row r="204">
          <cell r="A204">
            <v>542</v>
          </cell>
          <cell r="E204">
            <v>52.99</v>
          </cell>
          <cell r="F204"/>
        </row>
        <row r="205">
          <cell r="A205">
            <v>543</v>
          </cell>
          <cell r="E205">
            <v>9.27</v>
          </cell>
          <cell r="F205"/>
        </row>
        <row r="206">
          <cell r="A206">
            <v>544</v>
          </cell>
          <cell r="E206">
            <v>399.61157259999999</v>
          </cell>
          <cell r="F206"/>
        </row>
        <row r="207">
          <cell r="A207">
            <v>546</v>
          </cell>
          <cell r="E207">
            <v>0.56120000000000003</v>
          </cell>
          <cell r="F207"/>
        </row>
        <row r="208">
          <cell r="A208">
            <v>547</v>
          </cell>
          <cell r="E208">
            <v>90.01</v>
          </cell>
          <cell r="F208"/>
        </row>
        <row r="209">
          <cell r="A209">
            <v>548</v>
          </cell>
          <cell r="E209">
            <v>12.69</v>
          </cell>
          <cell r="F209"/>
        </row>
        <row r="210">
          <cell r="A210">
            <v>549</v>
          </cell>
          <cell r="E210">
            <v>32.56</v>
          </cell>
          <cell r="F210"/>
        </row>
        <row r="211">
          <cell r="A211">
            <v>550</v>
          </cell>
          <cell r="E211">
            <v>3407.4533333333329</v>
          </cell>
          <cell r="F211"/>
        </row>
        <row r="212">
          <cell r="A212">
            <v>552</v>
          </cell>
          <cell r="E212">
            <v>31.399589642300004</v>
          </cell>
          <cell r="F212"/>
        </row>
        <row r="213">
          <cell r="A213">
            <v>553</v>
          </cell>
          <cell r="E213">
            <v>38.364512999999995</v>
          </cell>
          <cell r="F213"/>
        </row>
        <row r="214">
          <cell r="A214">
            <v>554</v>
          </cell>
          <cell r="E214">
            <v>15.305</v>
          </cell>
          <cell r="F214"/>
        </row>
        <row r="215">
          <cell r="A215">
            <v>555</v>
          </cell>
          <cell r="E215">
            <v>86.302238000000017</v>
          </cell>
          <cell r="F215"/>
        </row>
        <row r="216">
          <cell r="A216">
            <v>556</v>
          </cell>
          <cell r="E216">
            <v>179.99077359999998</v>
          </cell>
          <cell r="F216"/>
        </row>
        <row r="217">
          <cell r="A217">
            <v>557</v>
          </cell>
          <cell r="E217">
            <v>200.40692099999998</v>
          </cell>
          <cell r="F217"/>
        </row>
        <row r="218">
          <cell r="A218">
            <v>558</v>
          </cell>
          <cell r="E218">
            <v>80.705725999999999</v>
          </cell>
          <cell r="F218"/>
        </row>
        <row r="219">
          <cell r="A219">
            <v>559</v>
          </cell>
          <cell r="E219">
            <v>108.89622159999999</v>
          </cell>
          <cell r="F219"/>
        </row>
        <row r="220">
          <cell r="A220">
            <v>618</v>
          </cell>
          <cell r="E220">
            <v>207.95219399999996</v>
          </cell>
          <cell r="F220"/>
        </row>
        <row r="221">
          <cell r="A221">
            <v>625</v>
          </cell>
          <cell r="E221">
            <v>0.04</v>
          </cell>
          <cell r="F221"/>
        </row>
        <row r="222">
          <cell r="A222">
            <v>701</v>
          </cell>
          <cell r="E222">
            <v>113.48</v>
          </cell>
          <cell r="F222"/>
        </row>
        <row r="223">
          <cell r="A223">
            <v>702</v>
          </cell>
          <cell r="E223">
            <v>0.08</v>
          </cell>
          <cell r="F223"/>
        </row>
        <row r="224">
          <cell r="A224">
            <v>704</v>
          </cell>
          <cell r="E224">
            <v>41.61</v>
          </cell>
          <cell r="F224"/>
        </row>
        <row r="225">
          <cell r="A225">
            <v>705</v>
          </cell>
          <cell r="E225">
            <v>51.395687694214885</v>
          </cell>
          <cell r="F225">
            <v>0</v>
          </cell>
        </row>
        <row r="226">
          <cell r="A226">
            <v>706</v>
          </cell>
          <cell r="E226">
            <v>1.19</v>
          </cell>
          <cell r="F226"/>
        </row>
        <row r="227">
          <cell r="A227">
            <v>707</v>
          </cell>
          <cell r="E227">
            <v>2.36</v>
          </cell>
          <cell r="F227"/>
        </row>
        <row r="228">
          <cell r="A228">
            <v>708</v>
          </cell>
          <cell r="E228">
            <v>759.80719999999997</v>
          </cell>
          <cell r="F228"/>
        </row>
        <row r="229">
          <cell r="A229">
            <v>709</v>
          </cell>
          <cell r="E229">
            <v>759.80719999999997</v>
          </cell>
          <cell r="F229"/>
        </row>
        <row r="230">
          <cell r="A230">
            <v>711</v>
          </cell>
          <cell r="E230">
            <v>65.260000000000005</v>
          </cell>
          <cell r="F230"/>
        </row>
        <row r="231">
          <cell r="A231">
            <v>712</v>
          </cell>
          <cell r="E231">
            <v>29.35</v>
          </cell>
          <cell r="F231"/>
        </row>
        <row r="232">
          <cell r="A232">
            <v>713</v>
          </cell>
          <cell r="E232">
            <v>4.03</v>
          </cell>
          <cell r="F232"/>
        </row>
        <row r="233">
          <cell r="A233">
            <v>714</v>
          </cell>
          <cell r="E233">
            <v>5.0599999999999996</v>
          </cell>
          <cell r="F233"/>
        </row>
        <row r="234">
          <cell r="A234">
            <v>715</v>
          </cell>
          <cell r="E234">
            <v>2.4900000000000002</v>
          </cell>
          <cell r="F234"/>
        </row>
        <row r="235">
          <cell r="A235">
            <v>716</v>
          </cell>
          <cell r="E235">
            <v>3.29</v>
          </cell>
          <cell r="F235"/>
        </row>
        <row r="236">
          <cell r="A236">
            <v>717</v>
          </cell>
          <cell r="E236">
            <v>102.73</v>
          </cell>
          <cell r="F236"/>
        </row>
        <row r="237">
          <cell r="A237">
            <v>718</v>
          </cell>
          <cell r="E237">
            <v>96.88</v>
          </cell>
          <cell r="F237"/>
        </row>
        <row r="238">
          <cell r="A238">
            <v>719</v>
          </cell>
          <cell r="E238">
            <v>10.28</v>
          </cell>
          <cell r="F238"/>
        </row>
        <row r="239">
          <cell r="A239">
            <v>720</v>
          </cell>
          <cell r="E239">
            <v>75.23</v>
          </cell>
          <cell r="F239"/>
        </row>
        <row r="240">
          <cell r="A240">
            <v>721</v>
          </cell>
          <cell r="E240">
            <v>6.43</v>
          </cell>
          <cell r="F240"/>
        </row>
        <row r="241">
          <cell r="A241">
            <v>722</v>
          </cell>
          <cell r="E241">
            <v>10</v>
          </cell>
          <cell r="F241"/>
        </row>
        <row r="242">
          <cell r="A242">
            <v>723</v>
          </cell>
          <cell r="E242">
            <v>29.4</v>
          </cell>
          <cell r="F242"/>
        </row>
        <row r="243">
          <cell r="A243">
            <v>724</v>
          </cell>
          <cell r="E243">
            <v>147.75</v>
          </cell>
          <cell r="F243"/>
        </row>
        <row r="244">
          <cell r="A244">
            <v>725</v>
          </cell>
          <cell r="E244">
            <v>46.94</v>
          </cell>
          <cell r="F244"/>
        </row>
        <row r="245">
          <cell r="A245">
            <v>726</v>
          </cell>
          <cell r="E245">
            <v>18.079999999999998</v>
          </cell>
          <cell r="F245"/>
        </row>
        <row r="246">
          <cell r="A246">
            <v>727</v>
          </cell>
          <cell r="E246">
            <v>480.118448</v>
          </cell>
          <cell r="F246"/>
        </row>
        <row r="247">
          <cell r="A247">
            <v>728</v>
          </cell>
          <cell r="E247">
            <v>10.69</v>
          </cell>
          <cell r="F247"/>
        </row>
        <row r="248">
          <cell r="A248">
            <v>729</v>
          </cell>
          <cell r="E248">
            <v>225.85207107438018</v>
          </cell>
          <cell r="F248"/>
        </row>
        <row r="249">
          <cell r="A249">
            <v>730</v>
          </cell>
          <cell r="E249">
            <v>10.220000000000001</v>
          </cell>
          <cell r="F249"/>
        </row>
        <row r="250">
          <cell r="A250">
            <v>731</v>
          </cell>
          <cell r="E250">
            <v>84.63</v>
          </cell>
          <cell r="F250"/>
        </row>
        <row r="251">
          <cell r="A251">
            <v>732</v>
          </cell>
          <cell r="E251">
            <v>8.73</v>
          </cell>
          <cell r="F251"/>
        </row>
        <row r="252">
          <cell r="A252">
            <v>733</v>
          </cell>
          <cell r="E252">
            <v>172.73</v>
          </cell>
          <cell r="F252"/>
        </row>
        <row r="253">
          <cell r="A253">
            <v>735</v>
          </cell>
          <cell r="E253">
            <v>223.879605</v>
          </cell>
          <cell r="F253"/>
        </row>
        <row r="254">
          <cell r="A254">
            <v>736</v>
          </cell>
          <cell r="E254">
            <v>140</v>
          </cell>
          <cell r="F254"/>
        </row>
        <row r="255">
          <cell r="A255">
            <v>737</v>
          </cell>
          <cell r="E255">
            <v>16.73</v>
          </cell>
          <cell r="F255"/>
        </row>
        <row r="256">
          <cell r="A256">
            <v>738</v>
          </cell>
          <cell r="E256">
            <v>16.73</v>
          </cell>
          <cell r="F256"/>
        </row>
        <row r="257">
          <cell r="A257">
            <v>739</v>
          </cell>
          <cell r="E257">
            <v>334.71</v>
          </cell>
          <cell r="F257"/>
        </row>
        <row r="258">
          <cell r="A258">
            <v>740</v>
          </cell>
          <cell r="E258">
            <v>422.04</v>
          </cell>
          <cell r="F258"/>
        </row>
        <row r="259">
          <cell r="A259">
            <v>741</v>
          </cell>
          <cell r="E259">
            <v>444.37</v>
          </cell>
          <cell r="F259"/>
        </row>
        <row r="260">
          <cell r="A260">
            <v>742</v>
          </cell>
          <cell r="E260">
            <v>2.67</v>
          </cell>
          <cell r="F260"/>
        </row>
        <row r="261">
          <cell r="A261">
            <v>744</v>
          </cell>
          <cell r="E261">
            <v>25.66</v>
          </cell>
          <cell r="F261"/>
        </row>
        <row r="262">
          <cell r="A262">
            <v>745</v>
          </cell>
          <cell r="E262">
            <v>0.32</v>
          </cell>
          <cell r="F262"/>
        </row>
        <row r="263">
          <cell r="A263">
            <v>746</v>
          </cell>
          <cell r="E263">
            <v>2.87</v>
          </cell>
          <cell r="F263"/>
        </row>
        <row r="264">
          <cell r="A264">
            <v>747</v>
          </cell>
          <cell r="E264">
            <v>9.2100000000000009</v>
          </cell>
          <cell r="F264"/>
        </row>
        <row r="265">
          <cell r="A265">
            <v>748</v>
          </cell>
          <cell r="E265">
            <v>10.58</v>
          </cell>
          <cell r="F265"/>
        </row>
        <row r="266">
          <cell r="A266">
            <v>749</v>
          </cell>
          <cell r="E266">
            <v>74.92</v>
          </cell>
          <cell r="F266"/>
        </row>
        <row r="267">
          <cell r="A267">
            <v>750</v>
          </cell>
          <cell r="E267">
            <v>2.11</v>
          </cell>
          <cell r="F267"/>
        </row>
        <row r="268">
          <cell r="A268">
            <v>751</v>
          </cell>
          <cell r="E268">
            <v>1.55</v>
          </cell>
          <cell r="F268"/>
        </row>
        <row r="269">
          <cell r="A269">
            <v>752</v>
          </cell>
          <cell r="E269">
            <v>2.04</v>
          </cell>
          <cell r="F269"/>
        </row>
        <row r="270">
          <cell r="A270">
            <v>753</v>
          </cell>
          <cell r="E270">
            <v>2.04</v>
          </cell>
          <cell r="F270"/>
        </row>
        <row r="271">
          <cell r="A271">
            <v>754</v>
          </cell>
          <cell r="E271">
            <v>29.55</v>
          </cell>
          <cell r="F271"/>
        </row>
        <row r="272">
          <cell r="A272">
            <v>756</v>
          </cell>
          <cell r="E272">
            <v>52.39</v>
          </cell>
          <cell r="F272"/>
        </row>
        <row r="273">
          <cell r="A273">
            <v>757</v>
          </cell>
          <cell r="E273">
            <v>5.72</v>
          </cell>
          <cell r="F273"/>
        </row>
        <row r="274">
          <cell r="A274">
            <v>758</v>
          </cell>
          <cell r="E274">
            <v>8.51</v>
          </cell>
          <cell r="F274"/>
        </row>
        <row r="275">
          <cell r="A275">
            <v>759</v>
          </cell>
          <cell r="E275">
            <v>574.71669999999995</v>
          </cell>
          <cell r="F275"/>
        </row>
        <row r="276">
          <cell r="A276">
            <v>760</v>
          </cell>
          <cell r="E276">
            <v>23.94</v>
          </cell>
          <cell r="F276"/>
        </row>
        <row r="277">
          <cell r="A277">
            <v>761</v>
          </cell>
          <cell r="E277">
            <v>2358.81</v>
          </cell>
          <cell r="F277"/>
        </row>
        <row r="278">
          <cell r="A278">
            <v>765</v>
          </cell>
          <cell r="E278">
            <v>96.88</v>
          </cell>
          <cell r="F278"/>
        </row>
        <row r="279">
          <cell r="A279">
            <v>766</v>
          </cell>
          <cell r="E279">
            <v>71.852324472000006</v>
          </cell>
          <cell r="F279"/>
        </row>
        <row r="280">
          <cell r="A280">
            <v>767</v>
          </cell>
          <cell r="E280">
            <v>311.57200799999998</v>
          </cell>
          <cell r="F280"/>
        </row>
        <row r="281">
          <cell r="A281">
            <v>768</v>
          </cell>
          <cell r="E281">
            <v>26.6967</v>
          </cell>
          <cell r="F281"/>
        </row>
        <row r="282">
          <cell r="A282">
            <v>769</v>
          </cell>
          <cell r="E282">
            <v>2.66</v>
          </cell>
          <cell r="F282"/>
        </row>
        <row r="283">
          <cell r="A283">
            <v>770</v>
          </cell>
          <cell r="E283">
            <v>4.4400000000000004</v>
          </cell>
          <cell r="F283"/>
        </row>
        <row r="284">
          <cell r="A284">
            <v>771</v>
          </cell>
          <cell r="E284">
            <v>65.47</v>
          </cell>
          <cell r="F284"/>
        </row>
        <row r="285">
          <cell r="A285">
            <v>772</v>
          </cell>
          <cell r="E285">
            <v>265.68</v>
          </cell>
          <cell r="F285"/>
        </row>
        <row r="286">
          <cell r="A286">
            <v>776</v>
          </cell>
          <cell r="E286">
            <v>5.38</v>
          </cell>
          <cell r="F286"/>
        </row>
        <row r="287">
          <cell r="A287">
            <v>777</v>
          </cell>
          <cell r="E287">
            <v>366.2166666666667</v>
          </cell>
          <cell r="F287"/>
        </row>
        <row r="288">
          <cell r="A288">
            <v>778</v>
          </cell>
          <cell r="E288">
            <v>787.78</v>
          </cell>
          <cell r="F288"/>
        </row>
        <row r="289">
          <cell r="A289">
            <v>779</v>
          </cell>
          <cell r="E289">
            <v>129.58000000000001</v>
          </cell>
          <cell r="F289"/>
        </row>
        <row r="290">
          <cell r="A290">
            <v>780</v>
          </cell>
          <cell r="E290">
            <v>131.88999999999999</v>
          </cell>
          <cell r="F290"/>
        </row>
        <row r="291">
          <cell r="A291">
            <v>781</v>
          </cell>
          <cell r="E291">
            <v>0.04</v>
          </cell>
          <cell r="F291"/>
        </row>
        <row r="292">
          <cell r="A292">
            <v>784</v>
          </cell>
          <cell r="E292">
            <v>47.52</v>
          </cell>
          <cell r="F292"/>
        </row>
        <row r="293">
          <cell r="A293">
            <v>785</v>
          </cell>
          <cell r="E293">
            <v>28.4</v>
          </cell>
          <cell r="F293"/>
        </row>
        <row r="294">
          <cell r="A294">
            <v>786</v>
          </cell>
          <cell r="E294">
            <v>22.925999999999998</v>
          </cell>
          <cell r="F294"/>
        </row>
        <row r="295">
          <cell r="A295">
            <v>787</v>
          </cell>
          <cell r="E295">
            <v>64.320000000000007</v>
          </cell>
          <cell r="F295"/>
        </row>
        <row r="296">
          <cell r="A296">
            <v>788</v>
          </cell>
          <cell r="E296">
            <v>18.329999999999998</v>
          </cell>
          <cell r="F296"/>
        </row>
        <row r="297">
          <cell r="A297">
            <v>789</v>
          </cell>
          <cell r="E297">
            <v>79.59333333333332</v>
          </cell>
          <cell r="F297"/>
        </row>
        <row r="298">
          <cell r="A298">
            <v>790</v>
          </cell>
          <cell r="E298">
            <v>7.120000000000001</v>
          </cell>
          <cell r="F298"/>
        </row>
        <row r="299">
          <cell r="A299">
            <v>791</v>
          </cell>
          <cell r="E299">
            <v>1.69</v>
          </cell>
          <cell r="F299"/>
        </row>
        <row r="300">
          <cell r="A300">
            <v>792</v>
          </cell>
          <cell r="E300">
            <v>19.385999999999999</v>
          </cell>
          <cell r="F300"/>
        </row>
        <row r="301">
          <cell r="A301">
            <v>793</v>
          </cell>
          <cell r="E301">
            <v>75.023333333333341</v>
          </cell>
          <cell r="F301"/>
        </row>
        <row r="302">
          <cell r="A302">
            <v>794</v>
          </cell>
          <cell r="E302">
            <v>2.04</v>
          </cell>
          <cell r="F302"/>
        </row>
        <row r="303">
          <cell r="A303">
            <v>795</v>
          </cell>
          <cell r="E303">
            <v>6.36</v>
          </cell>
          <cell r="F303"/>
        </row>
        <row r="304">
          <cell r="A304">
            <v>796</v>
          </cell>
          <cell r="E304">
            <v>478.75593739669421</v>
          </cell>
          <cell r="F304"/>
        </row>
        <row r="305">
          <cell r="A305">
            <v>797</v>
          </cell>
          <cell r="E305">
            <v>34.113800000000005</v>
          </cell>
          <cell r="F305"/>
        </row>
        <row r="306">
          <cell r="A306">
            <v>798</v>
          </cell>
          <cell r="E306">
            <v>3.29</v>
          </cell>
          <cell r="F306"/>
        </row>
        <row r="307">
          <cell r="A307">
            <v>799</v>
          </cell>
          <cell r="E307">
            <v>247.65966100000003</v>
          </cell>
          <cell r="F307"/>
        </row>
        <row r="308">
          <cell r="A308">
            <v>800</v>
          </cell>
          <cell r="E308">
            <v>30.138900000000003</v>
          </cell>
          <cell r="F308"/>
        </row>
        <row r="309">
          <cell r="A309">
            <v>801</v>
          </cell>
          <cell r="E309">
            <v>3.29</v>
          </cell>
          <cell r="F309"/>
        </row>
        <row r="310">
          <cell r="A310">
            <v>802</v>
          </cell>
          <cell r="E310">
            <v>18.27</v>
          </cell>
          <cell r="F310"/>
        </row>
        <row r="311">
          <cell r="A311">
            <v>803</v>
          </cell>
          <cell r="E311">
            <v>5.98</v>
          </cell>
          <cell r="F311"/>
        </row>
        <row r="312">
          <cell r="A312">
            <v>804</v>
          </cell>
          <cell r="E312">
            <v>11.486000000000001</v>
          </cell>
          <cell r="F312"/>
        </row>
        <row r="313">
          <cell r="A313">
            <v>805</v>
          </cell>
          <cell r="E313">
            <v>25.623699999999999</v>
          </cell>
          <cell r="F313"/>
        </row>
        <row r="314">
          <cell r="A314">
            <v>806</v>
          </cell>
          <cell r="E314">
            <v>389.55840000000001</v>
          </cell>
          <cell r="F314"/>
        </row>
        <row r="315">
          <cell r="A315">
            <v>807</v>
          </cell>
          <cell r="E315">
            <v>112.21861692561984</v>
          </cell>
          <cell r="F315"/>
        </row>
        <row r="316">
          <cell r="A316">
            <v>808</v>
          </cell>
          <cell r="E316">
            <v>3.9</v>
          </cell>
          <cell r="F316"/>
        </row>
        <row r="317">
          <cell r="A317">
            <v>809</v>
          </cell>
          <cell r="E317">
            <v>10.0192</v>
          </cell>
          <cell r="F317"/>
        </row>
        <row r="318">
          <cell r="A318">
            <v>810</v>
          </cell>
          <cell r="E318">
            <v>4.2</v>
          </cell>
          <cell r="F318"/>
        </row>
        <row r="319">
          <cell r="A319">
            <v>811</v>
          </cell>
          <cell r="E319">
            <v>355.98395200000004</v>
          </cell>
          <cell r="F319"/>
        </row>
        <row r="320">
          <cell r="A320">
            <v>812</v>
          </cell>
          <cell r="E320">
            <v>264.59666666666664</v>
          </cell>
          <cell r="F320"/>
        </row>
        <row r="321">
          <cell r="A321">
            <v>813</v>
          </cell>
          <cell r="E321">
            <v>802.54000000000008</v>
          </cell>
          <cell r="F321"/>
        </row>
        <row r="322">
          <cell r="A322">
            <v>814</v>
          </cell>
          <cell r="E322">
            <v>2088.85</v>
          </cell>
          <cell r="F322"/>
        </row>
        <row r="323">
          <cell r="A323">
            <v>815</v>
          </cell>
          <cell r="E323">
            <v>1687.8735179999996</v>
          </cell>
          <cell r="F323"/>
        </row>
        <row r="324">
          <cell r="A324">
            <v>816</v>
          </cell>
          <cell r="E324">
            <v>16.41</v>
          </cell>
          <cell r="F324"/>
        </row>
        <row r="325">
          <cell r="A325">
            <v>817</v>
          </cell>
          <cell r="E325">
            <v>1199.3704670000002</v>
          </cell>
          <cell r="F325">
            <v>0</v>
          </cell>
        </row>
        <row r="326">
          <cell r="A326">
            <v>818</v>
          </cell>
          <cell r="E326">
            <v>295.35012720000003</v>
          </cell>
          <cell r="F326">
            <v>0</v>
          </cell>
        </row>
        <row r="327">
          <cell r="A327">
            <v>820</v>
          </cell>
          <cell r="E327">
            <v>131840</v>
          </cell>
          <cell r="F327">
            <v>300.10000000000002</v>
          </cell>
        </row>
        <row r="328">
          <cell r="A328">
            <v>821</v>
          </cell>
          <cell r="E328">
            <v>0.42</v>
          </cell>
          <cell r="F328"/>
        </row>
        <row r="329">
          <cell r="A329">
            <v>822</v>
          </cell>
          <cell r="E329">
            <v>21.7</v>
          </cell>
          <cell r="F329"/>
        </row>
        <row r="330">
          <cell r="A330">
            <v>823</v>
          </cell>
          <cell r="E330">
            <v>6.7932000000000006</v>
          </cell>
          <cell r="F330"/>
        </row>
        <row r="331">
          <cell r="A331">
            <v>824</v>
          </cell>
          <cell r="E331">
            <v>13.41</v>
          </cell>
          <cell r="F331"/>
        </row>
        <row r="332">
          <cell r="A332">
            <v>825</v>
          </cell>
          <cell r="E332">
            <v>2.16</v>
          </cell>
          <cell r="F332"/>
        </row>
        <row r="333">
          <cell r="A333">
            <v>826</v>
          </cell>
          <cell r="E333">
            <v>14.81</v>
          </cell>
          <cell r="F333"/>
        </row>
        <row r="334">
          <cell r="A334">
            <v>827</v>
          </cell>
          <cell r="E334">
            <v>6.5</v>
          </cell>
          <cell r="F334"/>
        </row>
        <row r="335">
          <cell r="A335">
            <v>828</v>
          </cell>
          <cell r="E335">
            <v>0.5</v>
          </cell>
          <cell r="F335"/>
        </row>
        <row r="336">
          <cell r="A336">
            <v>829</v>
          </cell>
          <cell r="E336">
            <v>10.312199999999999</v>
          </cell>
          <cell r="F336"/>
        </row>
        <row r="337">
          <cell r="A337">
            <v>830</v>
          </cell>
          <cell r="E337">
            <v>88.612082999999998</v>
          </cell>
          <cell r="F337"/>
        </row>
        <row r="338">
          <cell r="A338">
            <v>831</v>
          </cell>
          <cell r="E338">
            <v>1.0900000000000001</v>
          </cell>
          <cell r="F338"/>
        </row>
        <row r="339">
          <cell r="A339">
            <v>832</v>
          </cell>
          <cell r="E339">
            <v>2.1800000000000002</v>
          </cell>
          <cell r="F339"/>
        </row>
        <row r="340">
          <cell r="A340">
            <v>833</v>
          </cell>
          <cell r="E340">
            <v>29.68</v>
          </cell>
          <cell r="F340"/>
        </row>
        <row r="341">
          <cell r="A341">
            <v>834</v>
          </cell>
          <cell r="E341">
            <v>13.99</v>
          </cell>
          <cell r="F341"/>
        </row>
        <row r="342">
          <cell r="A342">
            <v>835</v>
          </cell>
          <cell r="E342">
            <v>2.29</v>
          </cell>
          <cell r="F342"/>
        </row>
        <row r="343">
          <cell r="A343">
            <v>836</v>
          </cell>
          <cell r="E343">
            <v>21.389399999999998</v>
          </cell>
          <cell r="F343"/>
        </row>
        <row r="344">
          <cell r="A344">
            <v>837</v>
          </cell>
          <cell r="E344">
            <v>10.312199999999999</v>
          </cell>
          <cell r="F344"/>
        </row>
        <row r="345">
          <cell r="A345">
            <v>838</v>
          </cell>
          <cell r="E345">
            <v>1.6829999999999998</v>
          </cell>
          <cell r="F345"/>
        </row>
        <row r="346">
          <cell r="A346">
            <v>839</v>
          </cell>
          <cell r="E346">
            <v>88.55</v>
          </cell>
          <cell r="F346"/>
        </row>
        <row r="347">
          <cell r="A347">
            <v>840</v>
          </cell>
          <cell r="E347">
            <v>39.97</v>
          </cell>
          <cell r="F347"/>
        </row>
        <row r="348">
          <cell r="A348">
            <v>841</v>
          </cell>
          <cell r="E348">
            <v>88.55</v>
          </cell>
          <cell r="F348"/>
        </row>
        <row r="349">
          <cell r="A349">
            <v>842</v>
          </cell>
          <cell r="E349">
            <v>2.1800000000000002</v>
          </cell>
          <cell r="F349"/>
        </row>
        <row r="350">
          <cell r="A350">
            <v>843</v>
          </cell>
          <cell r="E350">
            <v>1.03</v>
          </cell>
          <cell r="F350"/>
        </row>
        <row r="351">
          <cell r="A351">
            <v>844</v>
          </cell>
          <cell r="E351">
            <v>3.92</v>
          </cell>
          <cell r="F351"/>
        </row>
        <row r="352">
          <cell r="A352">
            <v>845</v>
          </cell>
          <cell r="E352">
            <v>8.09</v>
          </cell>
          <cell r="F352"/>
        </row>
        <row r="353">
          <cell r="A353">
            <v>846</v>
          </cell>
          <cell r="E353">
            <v>4.5</v>
          </cell>
          <cell r="F353"/>
        </row>
        <row r="354">
          <cell r="A354">
            <v>847</v>
          </cell>
          <cell r="E354">
            <v>207.66</v>
          </cell>
          <cell r="F354"/>
        </row>
        <row r="355">
          <cell r="A355">
            <v>848</v>
          </cell>
          <cell r="E355">
            <v>780.31</v>
          </cell>
          <cell r="F355"/>
        </row>
        <row r="356">
          <cell r="A356">
            <v>849</v>
          </cell>
          <cell r="E356">
            <v>0.93</v>
          </cell>
          <cell r="F356"/>
        </row>
        <row r="357">
          <cell r="A357">
            <v>850</v>
          </cell>
          <cell r="E357">
            <v>1.74</v>
          </cell>
          <cell r="F357"/>
        </row>
        <row r="358">
          <cell r="A358">
            <v>851</v>
          </cell>
          <cell r="E358">
            <v>14.81</v>
          </cell>
          <cell r="F358"/>
        </row>
        <row r="359">
          <cell r="A359">
            <v>852</v>
          </cell>
          <cell r="E359">
            <v>1.6829999999999998</v>
          </cell>
          <cell r="F359"/>
        </row>
        <row r="360">
          <cell r="A360">
            <v>853</v>
          </cell>
          <cell r="E360">
            <v>16.25</v>
          </cell>
          <cell r="F360"/>
        </row>
        <row r="361">
          <cell r="A361">
            <v>854</v>
          </cell>
          <cell r="E361">
            <v>4.7300000000000004</v>
          </cell>
          <cell r="F361"/>
        </row>
        <row r="362">
          <cell r="A362">
            <v>855</v>
          </cell>
          <cell r="E362">
            <v>6.5600000000000005</v>
          </cell>
          <cell r="F362"/>
        </row>
        <row r="363">
          <cell r="A363">
            <v>857</v>
          </cell>
          <cell r="E363">
            <v>0.15</v>
          </cell>
          <cell r="F363"/>
        </row>
        <row r="364">
          <cell r="A364">
            <v>859</v>
          </cell>
          <cell r="E364">
            <v>130.14666666666665</v>
          </cell>
          <cell r="F364"/>
        </row>
        <row r="365">
          <cell r="A365">
            <v>860</v>
          </cell>
          <cell r="E365">
            <v>16.25</v>
          </cell>
          <cell r="F365"/>
        </row>
        <row r="366">
          <cell r="A366">
            <v>861</v>
          </cell>
          <cell r="E366">
            <v>9.94</v>
          </cell>
          <cell r="F366"/>
        </row>
        <row r="367">
          <cell r="A367">
            <v>862</v>
          </cell>
          <cell r="E367">
            <v>6.67</v>
          </cell>
          <cell r="F367"/>
        </row>
        <row r="368">
          <cell r="A368">
            <v>864</v>
          </cell>
          <cell r="E368">
            <v>150.52000000000001</v>
          </cell>
          <cell r="F368"/>
        </row>
        <row r="369">
          <cell r="A369">
            <v>868</v>
          </cell>
          <cell r="E369">
            <v>20.18</v>
          </cell>
          <cell r="F369"/>
        </row>
        <row r="370">
          <cell r="A370">
            <v>869</v>
          </cell>
          <cell r="E370">
            <v>129.88999999999999</v>
          </cell>
          <cell r="F370"/>
        </row>
        <row r="371">
          <cell r="A371">
            <v>872</v>
          </cell>
          <cell r="E371">
            <v>4.71</v>
          </cell>
          <cell r="F371"/>
        </row>
        <row r="372">
          <cell r="A372">
            <v>873</v>
          </cell>
          <cell r="E372">
            <v>4.71</v>
          </cell>
          <cell r="F372"/>
        </row>
        <row r="373">
          <cell r="A373">
            <v>875</v>
          </cell>
          <cell r="E373">
            <v>11.15</v>
          </cell>
          <cell r="F373"/>
        </row>
        <row r="374">
          <cell r="A374">
            <v>878</v>
          </cell>
          <cell r="E374">
            <v>1.53</v>
          </cell>
          <cell r="F374"/>
        </row>
        <row r="375">
          <cell r="A375">
            <v>879</v>
          </cell>
          <cell r="E375">
            <v>86.11</v>
          </cell>
          <cell r="F375"/>
        </row>
        <row r="376">
          <cell r="A376">
            <v>880</v>
          </cell>
          <cell r="E376">
            <v>29.34</v>
          </cell>
          <cell r="F376"/>
        </row>
        <row r="377">
          <cell r="A377">
            <v>881</v>
          </cell>
          <cell r="E377">
            <v>3135.4062869999993</v>
          </cell>
          <cell r="F377"/>
        </row>
        <row r="378">
          <cell r="A378">
            <v>882</v>
          </cell>
          <cell r="E378">
            <v>2421.0648630000001</v>
          </cell>
          <cell r="F378"/>
        </row>
        <row r="379">
          <cell r="A379">
            <v>883</v>
          </cell>
          <cell r="E379">
            <v>1353.8867015999999</v>
          </cell>
          <cell r="F379"/>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3"/>
      <sheetName val="6"/>
      <sheetName val="7"/>
      <sheetName val="8"/>
      <sheetName val="9"/>
      <sheetName val="10"/>
      <sheetName val="11"/>
      <sheetName val="12"/>
      <sheetName val="13"/>
      <sheetName val="14"/>
      <sheetName val="22"/>
      <sheetName val="24"/>
      <sheetName val="30"/>
      <sheetName val="31"/>
      <sheetName val="32"/>
      <sheetName val="37"/>
      <sheetName val="38"/>
      <sheetName val="39"/>
      <sheetName val="40"/>
      <sheetName val="41"/>
      <sheetName val="42"/>
      <sheetName val="45"/>
      <sheetName val="46"/>
      <sheetName val="47"/>
      <sheetName val="48"/>
      <sheetName val="49"/>
      <sheetName val="50"/>
      <sheetName val="51"/>
      <sheetName val="54"/>
      <sheetName val="59"/>
      <sheetName val="60"/>
      <sheetName val="61"/>
      <sheetName val="62"/>
      <sheetName val="63"/>
      <sheetName val="64"/>
      <sheetName val="65"/>
      <sheetName val="72"/>
      <sheetName val="73"/>
      <sheetName val="92"/>
      <sheetName val="93"/>
      <sheetName val="96"/>
      <sheetName val="103"/>
      <sheetName val="104"/>
      <sheetName val="106"/>
      <sheetName val="107"/>
      <sheetName val="111"/>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60"/>
      <sheetName val="161"/>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90"/>
      <sheetName val="291"/>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2"/>
      <sheetName val="553"/>
      <sheetName val="554"/>
      <sheetName val="555"/>
      <sheetName val="556"/>
      <sheetName val="557"/>
      <sheetName val="558"/>
      <sheetName val="559"/>
      <sheetName val="600"/>
      <sheetName val="601"/>
      <sheetName val="602"/>
      <sheetName val="603"/>
      <sheetName val="605"/>
      <sheetName val="606"/>
      <sheetName val="607"/>
      <sheetName val="608"/>
      <sheetName val="604"/>
      <sheetName val="609"/>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70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754"/>
      <sheetName val="755"/>
      <sheetName val="756"/>
      <sheetName val="757"/>
      <sheetName val="758"/>
      <sheetName val="759"/>
      <sheetName val="760"/>
      <sheetName val="761"/>
      <sheetName val="762"/>
      <sheetName val="763"/>
      <sheetName val="764"/>
      <sheetName val="765"/>
      <sheetName val="766"/>
      <sheetName val="767"/>
      <sheetName val="768"/>
      <sheetName val="769"/>
      <sheetName val="770"/>
      <sheetName val="771"/>
      <sheetName val="772"/>
      <sheetName val="773"/>
      <sheetName val="774"/>
      <sheetName val="775"/>
      <sheetName val="776"/>
      <sheetName val="777"/>
      <sheetName val="778"/>
      <sheetName val="779"/>
      <sheetName val="780"/>
      <sheetName val="781"/>
      <sheetName val="782"/>
      <sheetName val="783"/>
      <sheetName val="784"/>
      <sheetName val="785"/>
      <sheetName val="786"/>
      <sheetName val="787"/>
      <sheetName val="788"/>
      <sheetName val="789"/>
      <sheetName val="790"/>
      <sheetName val="791"/>
      <sheetName val="792"/>
      <sheetName val="793"/>
      <sheetName val="794"/>
      <sheetName val="795"/>
      <sheetName val="796"/>
      <sheetName val="797"/>
      <sheetName val="798"/>
      <sheetName val="799"/>
      <sheetName val="80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20"/>
      <sheetName val="821"/>
      <sheetName val="INDCPREÇOS"/>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7"/>
      <sheetName val="859"/>
      <sheetName val="860"/>
      <sheetName val="861"/>
      <sheetName val="862"/>
      <sheetName val="863"/>
      <sheetName val="864"/>
      <sheetName val="865"/>
      <sheetName val="866"/>
      <sheetName val="867"/>
      <sheetName val="868"/>
      <sheetName val="869"/>
      <sheetName val="872"/>
      <sheetName val="873"/>
      <sheetName val="875"/>
      <sheetName val="878"/>
      <sheetName val="879"/>
      <sheetName val="880"/>
      <sheetName val="881"/>
      <sheetName val="882"/>
      <sheetName val="883"/>
      <sheetName val="INDICE"/>
      <sheetName val="SINAPI_NOV2020"/>
      <sheetName val="INSUMOS"/>
      <sheetName val="INDFILT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25">
          <cell r="B25" t="str">
            <v>GRADIL METÁLICO TIPO NYLOFOR 3D H=2,03 M</v>
          </cell>
        </row>
        <row r="26">
          <cell r="B26" t="str">
            <v>ASFALTO PARA TRÁFEGO LEVE</v>
          </cell>
        </row>
        <row r="27">
          <cell r="B27" t="str">
            <v>TRAVES EM FERRO GALVANIZADO PARA CAMPO DE FUTEBOL (ASSENT/PINTADAS) - 7,56X2,56M</v>
          </cell>
        </row>
        <row r="28">
          <cell r="B28" t="str">
            <v xml:space="preserve">PORTA METÁLICA CASE –  PG3 -  200X210 CM  </v>
          </cell>
        </row>
        <row r="29">
          <cell r="B29" t="str">
            <v>BRISE DE AÇO PREENCHIDO C/ CONCRETO 30 MPA</v>
          </cell>
        </row>
        <row r="30">
          <cell r="B30" t="str">
            <v xml:space="preserve">PORTA METÁLICA CASE –  P5 -  140X210 CM  </v>
          </cell>
        </row>
        <row r="31">
          <cell r="B31" t="str">
            <v xml:space="preserve">PORTA METÁLICA CASE –  P4 -  60X180 CM  </v>
          </cell>
        </row>
        <row r="32">
          <cell r="B32" t="str">
            <v>MOBILIZAÇÃO/DESMOBILIZAÇÃO</v>
          </cell>
        </row>
        <row r="33">
          <cell r="B33" t="str">
            <v>POTENCIÔMETRO PARA SISTEMA DE SONORIZAÇÃO</v>
          </cell>
        </row>
        <row r="34">
          <cell r="B34" t="str">
            <v>CAMA DE CONCRETO MACIÇO 100X235X40CM EMASSADA E PINTADA FCK 15 MPA</v>
          </cell>
        </row>
        <row r="35">
          <cell r="B35" t="str">
            <v>BANCO DE CONCRETO POLIDO 2,0 X 0,4M</v>
          </cell>
        </row>
        <row r="36">
          <cell r="B36" t="str">
            <v>BANCO DE CONCRETO POLIDO 1,20 X 0,40M</v>
          </cell>
        </row>
        <row r="37">
          <cell r="B37" t="str">
            <v>ENVELOPAMENTO VASO FCK 15 MPA</v>
          </cell>
        </row>
        <row r="38">
          <cell r="B38" t="str">
            <v>ENVELOPAMENTO LAVATÓRIO FCK 15 MPA</v>
          </cell>
        </row>
        <row r="39">
          <cell r="B39" t="str">
            <v xml:space="preserve">PORTA METÁLICA CASE –  PcD -  90X210 CM  </v>
          </cell>
        </row>
        <row r="40">
          <cell r="B40" t="str">
            <v xml:space="preserve">PORTA METÁLICA CASE –  PS -  1 FOLHA 80X210 CM  </v>
          </cell>
        </row>
        <row r="41">
          <cell r="B41" t="str">
            <v>COBERTURA CURVADA EM POLICARBONATO 6MM, ESTRUTURA EM PERFIL METÁLICO 2,0 X 4,3M</v>
          </cell>
        </row>
        <row r="42">
          <cell r="B42" t="str">
            <v>CHUVEIRO ANTIVANDALISMO C/ÁLVULA</v>
          </cell>
        </row>
        <row r="43">
          <cell r="B43" t="str">
            <v xml:space="preserve">PORTÃO EM TELA ARAME FºGº Nº 12 #2, MOLDURAS TUBO DE AÇO FºGº </v>
          </cell>
        </row>
        <row r="44">
          <cell r="B44" t="str">
            <v>PORTA METÁLICA CASE – P – UMA FOLHA – 80X210 CM</v>
          </cell>
        </row>
        <row r="45">
          <cell r="B45" t="str">
            <v>PORTA METÁLICA CASE – P3 – UMA FOLHA – 70X210 CM</v>
          </cell>
        </row>
        <row r="46">
          <cell r="B46" t="str">
            <v xml:space="preserve">JANELA DE AÇO TIPO CORRER/BASCULANTE/VIDRO J -180X170 CM  </v>
          </cell>
        </row>
        <row r="47">
          <cell r="B47" t="str">
            <v xml:space="preserve">JANELA DE AÇO TIPO CORRER/BASCULANTE/VIDRO J8/J9/J10/J11/J12/J13/J17/J20 - 200X70 CM  </v>
          </cell>
        </row>
        <row r="48">
          <cell r="B48" t="str">
            <v xml:space="preserve">JANELA DE AÇO TIPO CORRER/BASCULANTE/VIDRO J3/J5/J6 - 120X70 CM  </v>
          </cell>
        </row>
        <row r="49">
          <cell r="B49" t="str">
            <v>PORTA METÁLICA CASE – PG– UMA FOLHA – 80X210 CM</v>
          </cell>
        </row>
        <row r="50">
          <cell r="B50" t="str">
            <v>PORTA METÁLICA CASE – PG2– UMA FOLHA – 230X280 CM</v>
          </cell>
        </row>
        <row r="51">
          <cell r="B51" t="str">
            <v>PORTA METÁLICA CASE – PG4– UMA FOLHA – 150X280 CM</v>
          </cell>
        </row>
        <row r="52">
          <cell r="B52" t="str">
            <v>CORRENTE DE AÇO D= 4,2MM, Nº10, P/SUSPENÇÃO DE LUMINÁRIAS</v>
          </cell>
        </row>
        <row r="53">
          <cell r="B53" t="str">
            <v>SUPORTE P/LUMINÁRIA CHAPA DE AÇO DE 2"X1/8" EM "U" (5X10X5CM)</v>
          </cell>
        </row>
        <row r="54">
          <cell r="B54" t="str">
            <v>LOCAÇÃO DA OBRA, EXECUÇÃO DE GABARITO SEM REAPROVEITAMENTO, INCLUSO PINTURA (FACE INTERNA DO RIPÃO 15CM) E PIQUETE COM TESTEMUNHA</v>
          </cell>
        </row>
        <row r="55">
          <cell r="B55" t="str">
            <v>BARRACÃO DE OBRAS P/ALOJAMENTO/ESCRITÓRIO</v>
          </cell>
        </row>
        <row r="56">
          <cell r="B56" t="str">
            <v>PLACA DE OBRA EM CHAPA DE AÇO GALVANIZADA</v>
          </cell>
        </row>
        <row r="57">
          <cell r="B57" t="str">
            <v>TRAÇO DE CONCRETO</v>
          </cell>
        </row>
        <row r="58">
          <cell r="B58" t="str">
            <v>CORPO DE PROVA</v>
          </cell>
        </row>
        <row r="59">
          <cell r="B59" t="str">
            <v>TERMINAL DE COMPRESSÃO P/CABO 10MM2</v>
          </cell>
        </row>
        <row r="60">
          <cell r="B60" t="str">
            <v>TERMINAL DE COMPRESSÃO PARA CABO DE 50MM2</v>
          </cell>
        </row>
        <row r="61">
          <cell r="B61" t="str">
            <v>TERMINAL DE COMPRESSÃO P/CABO 120MM2</v>
          </cell>
        </row>
        <row r="62">
          <cell r="B62" t="str">
            <v>CAIXA METÁLICA PARA MEDIDOR POLIFÁSICO PADRÃO ENEL</v>
          </cell>
        </row>
        <row r="63">
          <cell r="B63" t="str">
            <v>GRADE METÁLICA PARA J1/J7/J16 – 180X136 CM</v>
          </cell>
        </row>
        <row r="64">
          <cell r="B64" t="str">
            <v>PINTURA ESMALTE ESQUADRIAS METÁLICAS</v>
          </cell>
        </row>
        <row r="65">
          <cell r="B65" t="str">
            <v>MASTROS PARA BANDEIRAS EM  FERRO GALVANIZADO (ASSENTADOS/PINTADOS) -  3 UNIDADES</v>
          </cell>
        </row>
        <row r="66">
          <cell r="B66" t="str">
            <v>PLACA DE INAUGURAÇÃO AÇO ESCOVADO 60 X 120 CM</v>
          </cell>
        </row>
        <row r="67">
          <cell r="B67" t="str">
            <v>PALMEIRA ARECA BAMBÚ – H 3,00 MT</v>
          </cell>
        </row>
        <row r="68">
          <cell r="B68" t="str">
            <v>ANDAIME FACHADEIRO</v>
          </cell>
        </row>
        <row r="69">
          <cell r="B69" t="str">
            <v>ARAME GALVANIZADO 12 BWG, D = 2,76 MM (0,048 KG/M) OU 14 BWG, D = 2,11 MM (0,026KG/M)</v>
          </cell>
        </row>
        <row r="70">
          <cell r="B70" t="str">
            <v>BUCHA E ARRUELA METALICA DIAM. 4"</v>
          </cell>
        </row>
        <row r="71">
          <cell r="B71" t="str">
            <v>BUCHA DE REDUCAO DE PVC, SOLDAVEL, CURTA, COM 60 X 50 MM, PARA AGUA FRIA PREDIAL</v>
          </cell>
        </row>
        <row r="72">
          <cell r="B72" t="str">
            <v>BUCHA DE REDUCAO DE PVC, SOLDAVEL, CURTA, COM 75 X 60 MM, PARA AGUA FRIA UN 13,27
PREDIAL</v>
          </cell>
        </row>
        <row r="73">
          <cell r="B73" t="str">
            <v>REGISTRO GLOBO ANGULAR 2.1/2"</v>
          </cell>
        </row>
        <row r="74">
          <cell r="B74" t="str">
            <v>TÊ DE FERRO GALVANIZADO 90º X 2 1/2"</v>
          </cell>
        </row>
        <row r="75">
          <cell r="B75" t="str">
            <v>VÁLVULA DE RETENÇÃO VERTICAL 2.1/2"</v>
          </cell>
        </row>
        <row r="76">
          <cell r="B76" t="str">
            <v>ACIONADOR MANUAL DE DETECÇÃO E ALARME</v>
          </cell>
        </row>
        <row r="77">
          <cell r="B77" t="str">
            <v>CONSUMO DE ENERGIA ELÉTRICA</v>
          </cell>
        </row>
        <row r="78">
          <cell r="B78" t="str">
            <v>LOCAÇÃO DE PRAÇA, QUADRA, IMPLANTAÇÃO UTILIZ. CAVALETE, INCLUSO PIQUETE C/ TESTEMUNHA</v>
          </cell>
        </row>
        <row r="79">
          <cell r="B79" t="str">
            <v>TRANSPORTE DE ENTULHO EM CAÇAMBA ESTACIONÁRIA  INCLUSO A CARGA MANUAL</v>
          </cell>
        </row>
        <row r="80">
          <cell r="B80" t="str">
            <v>APILOAMENTO</v>
          </cell>
        </row>
        <row r="81">
          <cell r="B81" t="str">
            <v>ATERRO INTERNO SEM APILOAMENTO</v>
          </cell>
        </row>
        <row r="82">
          <cell r="B82" t="str">
            <v>TRANSPORTE DE MATERIAL ESCAVADO</v>
          </cell>
        </row>
        <row r="83">
          <cell r="B83" t="str">
            <v>REGULARIZAÇÃO DO TERRENO SEM APILOAMENTO COM TRANSPORTE MANUAL DE TERRA ESCAVADA</v>
          </cell>
        </row>
        <row r="84">
          <cell r="B84" t="str">
            <v>FORMA CHAPA COMPENSADA 12MM – VIGA/PILAR U=3X (OBRAS CIVIS)</v>
          </cell>
        </row>
        <row r="85">
          <cell r="B85" t="str">
            <v>LAJE TRELIÇADA COM ENCHIMENTO EM EPS E CAP ESP. 4CM</v>
          </cell>
        </row>
        <row r="86">
          <cell r="B86" t="str">
            <v>VERGA/CONTRAVERGA EM CONCRETO ARMADO CK=20MPA</v>
          </cell>
        </row>
        <row r="87">
          <cell r="B87" t="str">
            <v>LASTRO DE BRITA</v>
          </cell>
        </row>
        <row r="88">
          <cell r="B88" t="str">
            <v>BUCHA E ARRUELA METÁLICA ¾''</v>
          </cell>
        </row>
        <row r="89">
          <cell r="B89" t="str">
            <v>BUCHA E ARRUELA METÁLICA 1.1/2''</v>
          </cell>
        </row>
        <row r="90">
          <cell r="B90" t="str">
            <v>LUMINÁRIA HERMÉTICA IP-65, PARA 02 LÂMPADAS</v>
          </cell>
        </row>
        <row r="91">
          <cell r="B91" t="str">
            <v>BUCHA E ARRUELA METÁLICA 1''</v>
          </cell>
        </row>
        <row r="92">
          <cell r="B92" t="str">
            <v>CAIXA DE PASSAGEM 35X60X50CM FUNDO DE CONCRETO PARA TAMPA R1</v>
          </cell>
        </row>
        <row r="93">
          <cell r="B93" t="str">
            <v>CAIXA DE PASSAGEM 107x52x50CM FUNDO DE CONCRETO PARA TAMPA R2</v>
          </cell>
        </row>
        <row r="94">
          <cell r="B94" t="str">
            <v>MEIA SABONETEIRA EM LOUÇA DE EMBUTIR</v>
          </cell>
        </row>
        <row r="95">
          <cell r="B95" t="str">
            <v>TUBO PARA VÁLVUA DE DESCARGA CURTO 1.1/4''</v>
          </cell>
        </row>
        <row r="96">
          <cell r="B96" t="str">
            <v>TUBO DE LIGAÇÃO PVC CROMADO 1.1/2'' – ESPUDE (ENTRADA)</v>
          </cell>
        </row>
        <row r="97">
          <cell r="B97" t="str">
            <v>BUCHA DE REDUÇÃO, SOLDÁVEL LONGA, 50MM X 25MM</v>
          </cell>
        </row>
        <row r="98">
          <cell r="B98" t="str">
            <v>CAIXA SIFONADA 150 X 150 X 50MM</v>
          </cell>
        </row>
        <row r="99">
          <cell r="B99" t="str">
            <v>VÁLVULA DE DESCARGA DUPLO ACIONAMENTO COM ACABAMENTO ANTI-VANDALISMO</v>
          </cell>
        </row>
        <row r="100">
          <cell r="B100" t="str">
            <v>TERMINAL DE VENTILAÇÃO DIAM. 50MM</v>
          </cell>
        </row>
        <row r="101">
          <cell r="B101" t="str">
            <v>REGULARIZAÇÃO (1:3), ESP. 2CM</v>
          </cell>
        </row>
        <row r="102">
          <cell r="B102" t="str">
            <v>MANTA AUTO-PROTEGIDA ALUMÍNIO TIPO III-B</v>
          </cell>
        </row>
        <row r="103">
          <cell r="B103" t="str">
            <v>MASTIQUE A BASE DE POLIURETANO COM PRÉVIO PREPARO E TRATAMENTO DA SUPERFÍCIE</v>
          </cell>
        </row>
        <row r="104">
          <cell r="B104" t="str">
            <v>ESTRUTURA METÁLICA SAC 300</v>
          </cell>
        </row>
        <row r="105">
          <cell r="B105" t="str">
            <v>CALHA DE CHAPA GALVANIZADA Nº 26, 60CM</v>
          </cell>
        </row>
        <row r="106">
          <cell r="B106" t="str">
            <v>RUFO DE CHAPA GALVANIZADA</v>
          </cell>
        </row>
        <row r="107">
          <cell r="B107" t="str">
            <v>CUMEEIRA PARA TELHA GALVANIZADA TRAPEZOIDAL, 0,5MM</v>
          </cell>
        </row>
        <row r="108">
          <cell r="B108" t="str">
            <v>KIT DE PORTA DE MADEIRA PARA PINTURA, SEMI-OCA (LEVE OU MÉDIA), PADRÃO MÉDIO, 110 X 210CM, ESPESSURA DE 3,5CM, ITENS INCLUSOS: DOBRADIÇAS, MONTAGEM E INSTALAÇÃO DO BATENTE, FECHADURA COM EXECUÇÃO DO FURO – FORNECIMENTO E INSTALAÇÃO</v>
          </cell>
        </row>
        <row r="109">
          <cell r="B109" t="str">
            <v>MOLDURA TIPO “U” INVERTIDO EM ARGAMASSA COM 2CM DE ESPESSURA TIPO PINGADEIRA EM MURO/PLATIBANDA (A PARTE VETICAL DESCE 2,5CM)</v>
          </cell>
        </row>
        <row r="110">
          <cell r="B110" t="str">
            <v>PASSEIO DE PROTEÇÃO EM CONCRETO DESEMPENADO 5CM (1:2,5:3,5) (INCLUSO ESPELHO DE 30CM/ESCAVAÇÃO/REATERRO/APILOAMENTO/ATERRO INTERNO)</v>
          </cell>
        </row>
        <row r="111">
          <cell r="B111" t="str">
            <v>PISO EM CONCRETO DESEMPENADO 5CM (1:2,5:3,5)</v>
          </cell>
        </row>
        <row r="112">
          <cell r="B112" t="str">
            <v>GRANITINA 8MM FUNDIDA COM CONTRAPISO, ESP. 2CM E JUNTA PLÁSTICA 27MM</v>
          </cell>
        </row>
        <row r="113">
          <cell r="B113" t="str">
            <v>RODAPÉ FUNDIDO DE GRANITINA 7CM</v>
          </cell>
        </row>
        <row r="114">
          <cell r="B114" t="str">
            <v>BARRA DE APOIO EM AÇO INOX – 40CM</v>
          </cell>
        </row>
        <row r="115">
          <cell r="B115" t="str">
            <v>BATE CARTEIRA</v>
          </cell>
        </row>
        <row r="116">
          <cell r="B116" t="str">
            <v>BATE MACA</v>
          </cell>
        </row>
        <row r="117">
          <cell r="B117" t="str">
            <v>PRATELEIRA EST. CAIBRO 4+1, TÁBUAS APARELHADAS E ENVERNIZADAS</v>
          </cell>
        </row>
        <row r="118">
          <cell r="B118" t="str">
            <v>TÁBUA APARELHADA PARA GUICHÊ</v>
          </cell>
        </row>
        <row r="119">
          <cell r="B119" t="str">
            <v>PINTURA LATÉX ACRÍLICA, TRÊS DEMÃOS COM SELADOR</v>
          </cell>
        </row>
        <row r="120">
          <cell r="B120" t="str">
            <v>EMASSAMENTO/ÓLEO ESQUADRIAS DE MADEIRA</v>
          </cell>
        </row>
        <row r="121">
          <cell r="B121" t="str">
            <v>PINTURA ESMALTE/ESQUADRIA DE FERRO COM FUNDO ANTI-CORROSIVO</v>
          </cell>
        </row>
        <row r="122">
          <cell r="B122" t="str">
            <v>PINTURA ALQUÍDICA BRILHANTE DUPLA FUNÇÃO, DUAS DEMÃOS, 50 MÍCRONS</v>
          </cell>
        </row>
        <row r="123">
          <cell r="B123" t="str">
            <v>LIMPEZA FINAL DA OBRA</v>
          </cell>
        </row>
        <row r="124">
          <cell r="B124" t="str">
            <v>SUPORTE PARA BANCADA EM FERRO “T” 1/8'' X 1.1/4''</v>
          </cell>
        </row>
        <row r="125">
          <cell r="B125" t="str">
            <v>BANCADA DE GRANITO COM ESPELHO</v>
          </cell>
        </row>
        <row r="126">
          <cell r="B126" t="str">
            <v>ESCAVAÇÃO MECANIZADA</v>
          </cell>
        </row>
        <row r="127">
          <cell r="B127" t="str">
            <v>CARGA MECANIZADA</v>
          </cell>
        </row>
        <row r="128">
          <cell r="B128" t="str">
            <v>INDENIZAÇÃO DE JAZIDA</v>
          </cell>
        </row>
        <row r="129">
          <cell r="B129" t="str">
            <v>ESTACA A TRADO DIAM. 30CM S/ FERRO</v>
          </cell>
        </row>
        <row r="130">
          <cell r="B130" t="str">
            <v>LANÇAMENTO/APLICAÇÃO/ADENSAMENTO DE CONCRETO EM FUNDAÇÃO- (O.C.)</v>
          </cell>
        </row>
        <row r="131">
          <cell r="B131" t="str">
            <v>BUCHA E ARRUELA METÁLICA 2''</v>
          </cell>
        </row>
        <row r="132">
          <cell r="B132" t="str">
            <v>ELETRODUTO EM AÇO GALVANIZADO A FOGO DIÂMETRO 3" – PESADO</v>
          </cell>
        </row>
        <row r="133">
          <cell r="B133" t="str">
            <v>GRELHA QUADRADA EM INOX SIMPLES, DIAM. 150MM</v>
          </cell>
        </row>
        <row r="134">
          <cell r="B134" t="str">
            <v>PORTA GRELHA QUADRADA PVC CROMADO, DIAM. 150MM</v>
          </cell>
        </row>
        <row r="135">
          <cell r="B135" t="str">
            <v>ALARME SONORO LINHA ACESSIBILIDADE</v>
          </cell>
        </row>
        <row r="136">
          <cell r="B136" t="str">
            <v>BANCO DE CONCRETO POLIDO BASE EM ALVENARIA REBOCADA E PINTADA - PADRÃO GOINFRA</v>
          </cell>
        </row>
        <row r="137">
          <cell r="B137" t="str">
            <v>FUNDO ANTI-CORROSIVO PARA ESQUADRIAS METÁLICAS</v>
          </cell>
        </row>
        <row r="138">
          <cell r="B138" t="str">
            <v>CHAVE MAGNÉTICA C/RELE REGULAGEM 10,5 – 16,5A</v>
          </cell>
        </row>
        <row r="139">
          <cell r="B139" t="str">
            <v>CHAVE TRIPOLAR TIPO PACCO – 20A</v>
          </cell>
        </row>
        <row r="140">
          <cell r="B140" t="str">
            <v>RODAPÉ DE MASSA</v>
          </cell>
        </row>
        <row r="141">
          <cell r="B141" t="str">
            <v>BRAÇADEIRA METÁLICA TIPO “U”, DIAM. ¾''</v>
          </cell>
        </row>
        <row r="142">
          <cell r="B142" t="str">
            <v>BRAÇADEIRA METÁLICA TIPO “U”, DIAM. 1'</v>
          </cell>
        </row>
        <row r="143">
          <cell r="B143" t="str">
            <v>FITA DE AUTO FUSÃO, ROLO DE 10M</v>
          </cell>
        </row>
        <row r="144">
          <cell r="B144" t="str">
            <v>CHAPA DE AÇO 2'' X 1/8''</v>
          </cell>
        </row>
        <row r="145">
          <cell r="B145" t="str">
            <v>GAIOLA DE PROTEÇÃO DE FERRO CA-50 8,0MM COM PINT. ANTI-OXIDANTE E ESM. SINTÉT. 2 DEMÃOS</v>
          </cell>
        </row>
        <row r="146">
          <cell r="B146" t="str">
            <v>BUCHA DE NYLON COM PARAFUSO S8</v>
          </cell>
        </row>
        <row r="147">
          <cell r="B147" t="str">
            <v>TRAVAS FERRO GALVANIZADO PARA FUTEBOL DE SALÃO PINTADAS 3X2M – 2 UNIDADES</v>
          </cell>
        </row>
        <row r="148">
          <cell r="B148" t="str">
            <v>TABELA PARA BASQUETE EST. METÁL. E COMPENS. (ASSENTADAS/PINTADAS) ARO METÁLICO – 2 UN.</v>
          </cell>
        </row>
        <row r="149">
          <cell r="B149" t="str">
            <v>SUPORTE PADRÃO PARA TABELA BASQUETE EM “U” ENRIJECIDO – 2 UNIDADES</v>
          </cell>
        </row>
        <row r="150">
          <cell r="B150" t="str">
            <v>GRELHA REDONDA CROMADA DIAM. 100MM</v>
          </cell>
        </row>
        <row r="151">
          <cell r="B151" t="str">
            <v>PORTA GRELHA QUADRADO PARA GRELHA QUADRADA DIAM. 100MM</v>
          </cell>
        </row>
        <row r="152">
          <cell r="B152" t="str">
            <v>BARRA LISA</v>
          </cell>
        </row>
        <row r="153">
          <cell r="B153" t="str">
            <v>CADEADO 30MM</v>
          </cell>
        </row>
        <row r="154">
          <cell r="B154" t="str">
            <v>DIVISÓRIA PAINEL E RODAPÉ SIMPLES, PERFIL EM ALUMÍNIO</v>
          </cell>
        </row>
        <row r="155">
          <cell r="B155" t="str">
            <v>FERRAGENS PARA PORTA DIVISÓRIA, PERFIL EM ALUMÍNIO</v>
          </cell>
        </row>
        <row r="156">
          <cell r="B156" t="str">
            <v>EMBOÇO (ISOLANTE TÉRMICO E ACÚSTICO) COM VERMICULITA (1CI:2CH:1ARM:8,3333VERM) ESP.=3CM</v>
          </cell>
        </row>
        <row r="157">
          <cell r="B157" t="str">
            <v>PORTA ABRIR/VENEZIANA PF-4 C/FERRAGENS</v>
          </cell>
        </row>
        <row r="158">
          <cell r="B158" t="str">
            <v>LAVATÓRIO DE CANTO SEM COLUNA</v>
          </cell>
        </row>
        <row r="159">
          <cell r="B159" t="str">
            <v>PORTA DE ABRIR EM CHAPA PF-1 COM FERRAGENS</v>
          </cell>
        </row>
        <row r="160">
          <cell r="B160" t="str">
            <v>ESQUADRIA BASCULANTE EM CHAPA J17, J18 e J19 C/FERRAGENS</v>
          </cell>
        </row>
        <row r="161">
          <cell r="B161" t="str">
            <v>CENTRAL DE GÁS PADRÃO GOINFRA/2019 COMPLETA, EXCLUSO AS INSTAL. MECÂNICAS (2+2 CILINDRO P-45)</v>
          </cell>
        </row>
        <row r="162">
          <cell r="B162" t="str">
            <v>REGULADOR DE PRESSÃO PRIMEIRO ESTÁGIO, 8 KG/H, REGULÁVEL COM MANÔMETRO,PRESSÃO DE ENTRADA 2 A 18 BAR E PRESSÃO DE SAÍDA 0,5 A 2 BAR, CONEXÕES DE ENTRADA E SAÍDA 1/4" NPT</v>
          </cell>
        </row>
        <row r="163">
          <cell r="B163" t="str">
            <v>TE DE FERRO MALEÁVEL GALVANIZADO 3/4" CLASSE 150 ROSCA NPT NBR 6925</v>
          </cell>
        </row>
        <row r="164">
          <cell r="B164" t="str">
            <v>LUVA REDUÇÃO DE FERRO MALEÁVEL GALVANIZADO 3/4" X 1/2", CLASSE 150, ROSCA NPT - NBR 6925</v>
          </cell>
        </row>
        <row r="165">
          <cell r="B165" t="str">
            <v>UNIÃO DE FERRO MALEÁVEL GALVANIZADO 3/4", ASSENTO BRONZE , CLASSE 150, ROSCA NPT – NBR 6925</v>
          </cell>
        </row>
        <row r="166">
          <cell r="B166" t="str">
            <v>VÁLVULA DE ESFERA TRIPARTIDA 3/4", PASSAGEM PLENA, ROSCA NPT, CLASSE 300 - NORMA ASME B16.34</v>
          </cell>
        </row>
        <row r="167">
          <cell r="B167" t="str">
            <v>VÁLVULA LATÃO P-13 NOVA ¾''</v>
          </cell>
        </row>
        <row r="168">
          <cell r="B168" t="str">
            <v>VÁLVULA DE RETENÇÃO EM LATÃO 7/16" NS (I) X 1/2" NPT (E)</v>
          </cell>
        </row>
        <row r="169">
          <cell r="B169" t="str">
            <v>NIPLE DUPLO DE FERRO MALEÁVEL GALVANIZADO 3/4" CLASSE 300 ROSCA NPT - NBR 6925</v>
          </cell>
        </row>
        <row r="170">
          <cell r="B170" t="str">
            <v>NIPLE DE LATÃO DE 3/4" NPT X 1/4" NPT</v>
          </cell>
        </row>
        <row r="171">
          <cell r="B171" t="str">
            <v>BUCHA RED.NPT DE 3/4" X 1/2" 300 LBS</v>
          </cell>
        </row>
        <row r="172">
          <cell r="B172" t="str">
            <v>BUCHA RED. M/F PRETA 3/4" X 1/2" NPT 300 LBS</v>
          </cell>
        </row>
        <row r="173">
          <cell r="B173" t="str">
            <v>TAMPÃO 300PSI PRETO 3/4''</v>
          </cell>
        </row>
        <row r="174">
          <cell r="B174" t="str">
            <v>MANGOTE FLEXÍVEL PRETO 7/8'' X 7/16'' - 500MM</v>
          </cell>
        </row>
        <row r="175">
          <cell r="B175" t="str">
            <v>BRAÇADEIRA METÁLICA TIPO "D" DIAM. 3/4''</v>
          </cell>
        </row>
        <row r="176">
          <cell r="B176" t="str">
            <v>SUPORTE PARA COLETOR</v>
          </cell>
        </row>
        <row r="177">
          <cell r="B177" t="str">
            <v>CABO STP - 4 PARES</v>
          </cell>
        </row>
        <row r="178">
          <cell r="B178" t="str">
            <v>CABO TELEFONICO CTP-APL-50, 50 PARES (USO EXTERNO)- FORNECIMENTO E INSTALAÇÃO</v>
          </cell>
        </row>
        <row r="179">
          <cell r="B179" t="str">
            <v>CABEÇOTE DE LIGA DE ALUMÍNIO 3"</v>
          </cell>
        </row>
        <row r="180">
          <cell r="B180" t="str">
            <v>CAIXA DE PASSAGEM 20X20X25 FUNDO BRITA COM TAMPA</v>
          </cell>
        </row>
        <row r="181">
          <cell r="B181" t="str">
            <v>INTERRUPTOR DIFERENCIAL DR 25A - 30MA</v>
          </cell>
        </row>
        <row r="182">
          <cell r="B182" t="str">
            <v>PISO PODOTÁTIL CONCRETO 25X25 DIRECIONAL</v>
          </cell>
        </row>
        <row r="183">
          <cell r="B183" t="str">
            <v>FECHADURA ALAVANCA I IMAB OU LAFONTE</v>
          </cell>
        </row>
        <row r="184">
          <cell r="B184" t="str">
            <v>ADAPTADOR CURTO C/BOLSA ROSCA P/REGISTRO, PVC, SOLDÁVEL 25MM X 3/4"</v>
          </cell>
        </row>
        <row r="185">
          <cell r="B185" t="str">
            <v>JOELHO REDUÇÃO 90º SOLD. C/BUCHA DE LATÃO 25X1/2"</v>
          </cell>
        </row>
        <row r="186">
          <cell r="B186" t="str">
            <v>ABRIGO PARA HIDRANTE, 90X60X30CM, COM REGISTRO GLOBO ANGULAR 45 GRAUS 2 1/2", ADAPTADOR STORZ 2 1/2", MANGUEIRA DE INCÊNDIO 20M, REDUÇÃO 2 1/2" X 1 1/2" E ESGUICHO EM LATÃO 1 1/2" - FORNECIMENTO E INSTALAÇÃO. AF_10/2020</v>
          </cell>
        </row>
        <row r="187">
          <cell r="B187" t="str">
            <v>ADEQUAÇÃO DO ABRIGO PARA HIDRANTE, 90X60X17CM, ADAPTADOR STORZ 2 1/2", MANGUEIRAS DE INCÊNDIO 15M, REDUÇÃO 2 1/2" X 1 1/2" E ESGUICHO EM LATÃO 1 1/2"</v>
          </cell>
        </row>
        <row r="188">
          <cell r="B188" t="str">
            <v>CURVA 45 GRAUS DE FERRO GALVANIZADO, COM ROSCA BSP FEMEA, DE 2 1/2"</v>
          </cell>
        </row>
        <row r="189">
          <cell r="B189" t="str">
            <v>NIPLE DE REDUCAO DE FERRO GALVANIZADO, COM ROSCA BSP, DE 2" X 1 1/2"</v>
          </cell>
        </row>
        <row r="190">
          <cell r="B190" t="str">
            <v>TAMPAO COM CORRENTE, EM LATAO, ENGATE RAPIDO 2 1/2", PARA INSTALACAO PREDIAL DE COMBATE A INCENDIO</v>
          </cell>
        </row>
        <row r="191">
          <cell r="B191" t="str">
            <v>REDUCAO FIXA TIPO STORZ, ENGATE RAPIDO 2.1/2" X 1.1/2", EM LATAO, PARA INSTALACAO PREDIAL COMBATE A INCENDIO PREDIAL</v>
          </cell>
        </row>
        <row r="192">
          <cell r="B192" t="str">
            <v>TAMPAO COM CORRENTE, EM LATAO, ENGATE RAPIDO 1 1/2", PARA INSTALACAO PREDIAL DE COMBATE A INCENDIO</v>
          </cell>
        </row>
        <row r="193">
          <cell r="B193" t="str">
            <v>TAMPA FERRO FUNDIDO (INCENDIO) 40 X 60 CM</v>
          </cell>
        </row>
        <row r="194">
          <cell r="B194" t="str">
            <v>BOMBA INCÊNDIO 7,5 CV TRIFÁSICA 220/380V BPI-22 R 2.1/2 POL 155 MM IR-3 SCHNEIDER</v>
          </cell>
        </row>
        <row r="195">
          <cell r="B195" t="str">
            <v>TE 45 GRAUS DE FERRO GALVANIZADO, COM ROSCA BSP, DE 2 1/2"</v>
          </cell>
        </row>
        <row r="196">
          <cell r="B196" t="str">
            <v>UNIAO COM ASSENTO CONICO DE BRONZE, DIAMETRO 2 1/2"</v>
          </cell>
        </row>
        <row r="197">
          <cell r="B197" t="str">
            <v>PARAFUSO SEXTAVADO D=1/4" X 5/8" COM BUCHA S-10</v>
          </cell>
        </row>
        <row r="198">
          <cell r="B198" t="str">
            <v>ABRAÇADEIRA TIPO D 1" COM CUNHA</v>
          </cell>
        </row>
        <row r="199">
          <cell r="B199" t="str">
            <v xml:space="preserve">CAIXA DE INSPEÇÃO SUSPENSA </v>
          </cell>
        </row>
        <row r="200">
          <cell r="B200" t="str">
            <v>BRAÇADEIRA PARA 3 ESTAIS 2"</v>
          </cell>
        </row>
        <row r="201">
          <cell r="B201" t="str">
            <v xml:space="preserve">ABRACADEIRA-GUIA REFORCADA 2" DUAS DESCIDAS </v>
          </cell>
        </row>
        <row r="202">
          <cell r="B202" t="str">
            <v>SINALIZADOR DE PARA-RAIOS SIMPLES COM FOTOCÉLULA VERMELHO</v>
          </cell>
        </row>
        <row r="203">
          <cell r="B203" t="str">
            <v>SUPORTE ISOLADOR SIMPLES PARA BEIRAL</v>
          </cell>
        </row>
        <row r="204">
          <cell r="B204" t="str">
            <v>TERMINAL AÉREO 350MM 5/8"</v>
          </cell>
        </row>
        <row r="205">
          <cell r="B205" t="str">
            <v>MASTRO TELESCÓPICO 5M (4M X ∅ 2" + 1M X ∅ 1.1/2")</v>
          </cell>
        </row>
        <row r="206">
          <cell r="B206" t="str">
            <v>FITA DE IDENTIFICAÇÃO</v>
          </cell>
        </row>
        <row r="207">
          <cell r="B207" t="str">
            <v>RODAPÉ BASE 129 X 44 X 2000 MM R-130 DA MOPA OU EQUIVALENTE DE MESMO PADRÃO DE QUALIDADE</v>
          </cell>
        </row>
        <row r="208">
          <cell r="B208" t="str">
            <v>TOMADA LÓGICA RJ-45 CAT. 6 (LINHA X OU EQUIVALENTE) - 01 PT</v>
          </cell>
        </row>
        <row r="209">
          <cell r="B209" t="str">
            <v>SUPORTE DE TOMADA TELEFÔNICA TIPO RJ-45 2 POSIÇÕES 14,7x19,3mm - R-130 DA MOPA ou equivalente de mesmo padrão de qualidade</v>
          </cell>
        </row>
        <row r="210">
          <cell r="B210" t="str">
            <v>RACK METÁLICO, DE PISO, PARA 30Urs, ESTRUTURA SOLDADA, COM 4 COLUNAS, TETO E BASE EM CHAPA DE AÇO, PINTURA ELETROSTÁTICA,FECHAMENTOS REMOVÍVEIS COM FECHO RÁPIDO, PORTA DE AÇO/ACRÍLICO FUMÊ, FECHO TIPO CREMONA, LATERAIS COM ALETAS DE VENTILAÇÃO.</v>
          </cell>
        </row>
        <row r="211">
          <cell r="B211" t="str">
            <v>ADEQUAÇÃO DE VÃO EXISTENTE COM 80CM PARA PORTAS DE MADEIRA COM LARGURA DE 90CM</v>
          </cell>
        </row>
        <row r="212">
          <cell r="B212" t="str">
            <v>ADEQUAÇÃO DE VÃO EXISTENTE COM 80CM PARA PORTAS DE MADEIRA COM LARGURA DE 110CM</v>
          </cell>
        </row>
        <row r="213">
          <cell r="B213" t="str">
            <v>DIVISOR EM "L" 2000 mm R-130 DA MOPA ou equivalente de mesmo padrão de qualidade</v>
          </cell>
        </row>
        <row r="214">
          <cell r="B214" t="str">
            <v>GRADE PROTEÇÃO TIPO TIJOLINHO PARA PORTA</v>
          </cell>
        </row>
        <row r="215">
          <cell r="B215" t="str">
            <v>CANALETA DE CONCRETO SEM GRELHA</v>
          </cell>
        </row>
        <row r="216">
          <cell r="B216" t="str">
            <v>CANALETA DE CONCRETO COM GRELHA DE CONCRETO</v>
          </cell>
        </row>
        <row r="217">
          <cell r="B217" t="str">
            <v>GRELHA METÁLICA PARA POÇO DE INFILTRAÇÃO</v>
          </cell>
        </row>
        <row r="218">
          <cell r="B218" t="str">
            <v>PINTURA DE LOGOTIPO GOINFRA EM RESERVATÓRIO METÁLICO</v>
          </cell>
        </row>
        <row r="219">
          <cell r="B219" t="str">
            <v xml:space="preserve"> PORTA EM CHAPA P/WC - PRE-MOLD.PPM-4 C/FERRAGEM</v>
          </cell>
        </row>
        <row r="220">
          <cell r="B220" t="str">
            <v>ARRUELA LISA D = 1/4"</v>
          </cell>
        </row>
        <row r="221">
          <cell r="B221" t="str">
            <v>BRAÇO C AÇO GALVANIZADO , CONFORME NTD-17</v>
          </cell>
        </row>
        <row r="222">
          <cell r="B222" t="str">
            <v>BUCHA DE NYLON S-6</v>
          </cell>
        </row>
        <row r="223">
          <cell r="B223" t="str">
            <v>CABECOTE DE LIGA DE ALUMINIO DIAM. 4"</v>
          </cell>
        </row>
        <row r="224">
          <cell r="B224" t="str">
            <v>CAIXA DE PASSAGEM -  TAMPA EM CONCRETO ARMADO 25 MPA E=5CM</v>
          </cell>
        </row>
        <row r="225">
          <cell r="B225" t="str">
            <v>CAIXA MET.HEXAGONAL P/ARANDELA (SEXTAVADA 3"X3")</v>
          </cell>
        </row>
        <row r="226">
          <cell r="B226" t="str">
            <v>CAIXA METALICA OCTOGONAL FUNDO MOVEL, SIMPLES 2"</v>
          </cell>
        </row>
        <row r="227">
          <cell r="B227" t="str">
            <v>CAIXA METÁLICA PARA PROTEÇÃO GERAL 1200X1000X310MM DE 500A A 800A</v>
          </cell>
        </row>
        <row r="228">
          <cell r="B228" t="str">
            <v>CAIXA METÁLICA PARA T.C. 1200X1000X310MM DE 500A A 800A</v>
          </cell>
        </row>
        <row r="229">
          <cell r="B229" t="str">
            <v>CANTONEIRA AUXILIAR PARA BRAÇO TIPO C</v>
          </cell>
        </row>
        <row r="230">
          <cell r="B230" t="str">
            <v>CINTA DE ACO GALVANIZADO DIAM.230MM</v>
          </cell>
        </row>
        <row r="231">
          <cell r="B231" t="str">
            <v xml:space="preserve">CONDULETE METÁLICO - CAIXA COM 5 ENTRADAS </v>
          </cell>
        </row>
        <row r="232">
          <cell r="B232" t="str">
            <v>CONECTOR DE COMPRESSÃO FORMATO H PARA CABO 25 A 70 MM2</v>
          </cell>
        </row>
        <row r="233">
          <cell r="B233" t="str">
            <v>CONECTOR TRIPOLAR EM PORCELANA PARA FIOS DE ATÉ 10MM2 (BORNES) 50A-250V (CHUVEIRO)</v>
          </cell>
        </row>
        <row r="234">
          <cell r="B234" t="str">
            <v>CURVA DE 90 GRAUS AÇO GALVANIZADO DIAM.3/4"</v>
          </cell>
        </row>
        <row r="235">
          <cell r="B235" t="str">
            <v>CURVA DE 90 GRAUS AÇO GALVANIZADO DIÂMETRO 4"</v>
          </cell>
        </row>
        <row r="236">
          <cell r="B236" t="str">
            <v>DISPOSITIVO DE PROTEÇÃO CONTRA SURTOS (D.P.S.) 275V DE 8 A 40KA</v>
          </cell>
        </row>
        <row r="237">
          <cell r="B237" t="str">
            <v xml:space="preserve">ELETRODUTO EM AÇO GALVANIZADO A FOGO DIÂMETRO 3/4" - PESADO </v>
          </cell>
        </row>
        <row r="238">
          <cell r="B238" t="str">
            <v xml:space="preserve">ELETRODUTO EM AÇO GALVANIZADO A FOGO DIÂMETRO 4" - PESADO </v>
          </cell>
        </row>
        <row r="239">
          <cell r="B239" t="str">
            <v>FITA ISOLANTE, ROLO DE 10,00 M</v>
          </cell>
        </row>
        <row r="240">
          <cell r="B240" t="str">
            <v>FITA ISOLANTE, ROLO DE 20,00 M</v>
          </cell>
        </row>
        <row r="241">
          <cell r="B241" t="str">
            <v>GRAMPO DE ANCORAGEM POLIMÉRICO</v>
          </cell>
        </row>
        <row r="242">
          <cell r="B242" t="str">
            <v>INTERRUPTOR DIFERENCIAL RESIDUAL (D.R.) TETRAPOLAR DE 40A-30mA</v>
          </cell>
        </row>
        <row r="243">
          <cell r="B243" t="str">
            <v>ISOLADOR DE ANCORAGEM POLIMÉRICO 15KV</v>
          </cell>
        </row>
        <row r="244">
          <cell r="B244" t="str">
            <v>LUVA EM AÇO GALVANIZADO DIÂMETRO 4"</v>
          </cell>
        </row>
        <row r="245">
          <cell r="B245" t="str">
            <v>LUMINARIA PARA JARDIM C/POSTE 2,5M, BASE CONC. E 02 GLOBOS/LEITOSOS</v>
          </cell>
        </row>
        <row r="246">
          <cell r="B246" t="str">
            <v>MANILHA-SAPATILHA EM AÇO GALVANIZADO</v>
          </cell>
        </row>
        <row r="247">
          <cell r="B247" t="str">
            <v>MURETA MEDIÇÃO ALVEN. 1 1/2 V.(35CM) REBOC.C/PINTURA ACRÍL. E LAJE CONC. 20MPA MALHA 8.0MM CADA 10CM REVEST.C/ARGAMASSA 1:3 C/ IMPERMEABILIZANTE</v>
          </cell>
        </row>
        <row r="248">
          <cell r="B248" t="str">
            <v>NIPLE METALICO Fo.Zo. DIAMETRO 1 1/4"</v>
          </cell>
        </row>
        <row r="249">
          <cell r="B249" t="str">
            <v>NIPLE METALICO Fo.Zo. DIAMETRO 4"</v>
          </cell>
        </row>
        <row r="250">
          <cell r="B250" t="str">
            <v>OLHAL PARA PARAFUSO</v>
          </cell>
        </row>
        <row r="251">
          <cell r="B251" t="str">
            <v>PARA RAIOS DISTRIBUIDOR POLIMÉRICO ÓXIDO DE ZINCO S/CENTELHADOR C/ DESLIGAMENTO AUTOMÁTICO 15KV,10KA</v>
          </cell>
        </row>
        <row r="252">
          <cell r="B252" t="str">
            <v>POSTE - FUNDAÇÃO EM CONCRETO SIMPLES DA BASE DOS POSTES 11/600 PARA TRAFO ( DIAM. 1000MM)</v>
          </cell>
        </row>
        <row r="253">
          <cell r="B253" t="str">
            <v>POSTE/TRAFO - CAMINHÃO MUNCK 12 TON. (MÍNIMO 4H/DIA)</v>
          </cell>
        </row>
        <row r="254">
          <cell r="B254" t="str">
            <v>PROTETOR PARA PARA-RAIO POLIMÉRICO</v>
          </cell>
        </row>
        <row r="255">
          <cell r="B255" t="str">
            <v>QUADRO DE DISTRIBUIÇÃO DE EMBUTIR EM PVC CB 24E - 80A</v>
          </cell>
        </row>
        <row r="256">
          <cell r="B256" t="str">
            <v>QUADRO DE DISTRIBUIÇÃO DE EMBUTIR EM PVC CB 48E - 80A</v>
          </cell>
        </row>
        <row r="257">
          <cell r="B257" t="str">
            <v>QUADRO DE DISTRIBUIÇÃO DE EMBUTIR METÁLICO CB-24E - 150A</v>
          </cell>
        </row>
        <row r="258">
          <cell r="B258" t="str">
            <v>QUADRO DE DISTRIBUIÇÃO DE EMBUTIR METÁLICO CB-34E - 150A</v>
          </cell>
        </row>
        <row r="259">
          <cell r="B259" t="str">
            <v>SAPATILHA DE AÇO GALVANIZADO PARA POSTE COM TRANSFORMADOR</v>
          </cell>
        </row>
        <row r="260">
          <cell r="B260" t="str">
            <v>SUPORTE Z COMPLETO</v>
          </cell>
        </row>
        <row r="261">
          <cell r="B261" t="str">
            <v>TERMINAL DE PRESSAO 2,5MM2</v>
          </cell>
        </row>
        <row r="262">
          <cell r="B262" t="str">
            <v>TERMINAL DE PRESSAO 16 MM2</v>
          </cell>
        </row>
        <row r="263">
          <cell r="B263" t="str">
            <v>TERMINAL DE PRESSAO 95 MM2</v>
          </cell>
        </row>
        <row r="264">
          <cell r="B264" t="str">
            <v>TOMADA HEXAGONAL 2P + T - 20A - 250V (LINHA X OU EQUIVALENTE)</v>
          </cell>
        </row>
        <row r="265">
          <cell r="B265" t="str">
            <v>TRANSFORMADOR DE CORRENTE RELAÇÃO 600:5 A</v>
          </cell>
        </row>
        <row r="266">
          <cell r="B266" t="str">
            <v>TAMPA CEGA PARA CONDULETE METÁLICO</v>
          </cell>
        </row>
        <row r="267">
          <cell r="B267" t="str">
            <v>TAMPA CEGA PLÁSTICA 4"X2" COM FURO CENTRAL (PARA TV/SOM...)</v>
          </cell>
        </row>
        <row r="268">
          <cell r="B268" t="str">
            <v>TAMPA PARA CONDULETE METÁLICO PARA 1 INTERRUPTOR</v>
          </cell>
        </row>
        <row r="269">
          <cell r="B269" t="str">
            <v>TAMPA PARA CONDULETE METÁLICO PARA 1 TOMADA</v>
          </cell>
        </row>
        <row r="270">
          <cell r="B270" t="str">
            <v>SUPORTE DE AÇO GALVANIZADO PARA FIXAÇÃO DO PÁRA-RAIO POLIMÉRICO</v>
          </cell>
        </row>
        <row r="271">
          <cell r="B271" t="str">
            <v>LUMINARIA LED REFLETOR RETANGULAR BIVOLT, LUZ BRANCA, 50 W</v>
          </cell>
        </row>
        <row r="272">
          <cell r="B272" t="str">
            <v>INTERRUPTOR 1 SEÇÃO (LINHA X OU EQUIVALENTE)</v>
          </cell>
        </row>
        <row r="273">
          <cell r="B273" t="str">
            <v>TOMADA HEXAGONAL 2P+T - 10A - 250V (LINHA X OU EQUIVALENTE)</v>
          </cell>
        </row>
        <row r="274">
          <cell r="B274" t="str">
            <v>LUMINÁRIA LED PARA GINÁSIO / QUADRA 200W - REFERÊNCIA WAMPA TECNOWATT OU EQUIVALENTE</v>
          </cell>
        </row>
        <row r="275">
          <cell r="B275" t="str">
            <v>LAMPADA LED 18 W BIVOLT BRANCA, FORMATO TRADICIONAL (BASE E27)</v>
          </cell>
        </row>
        <row r="276">
          <cell r="B276" t="str">
            <v>DISJUNTOR TRIPOLAR 500A</v>
          </cell>
        </row>
        <row r="277">
          <cell r="B277" t="str">
            <v xml:space="preserve">DISPOSITIVO DE PROTEÇÃO CONTRA SURTOS (D.P.S.) 275V 8 A 40 KA </v>
          </cell>
        </row>
        <row r="278">
          <cell r="B278" t="str">
            <v xml:space="preserve"> PLACA DE COBRE 200X40X10 MM</v>
          </cell>
        </row>
        <row r="279">
          <cell r="B279" t="str">
            <v>CAIXA DE PASSAGEM 110X110X110CM FUNDO DE BRITA SEM TAMPA</v>
          </cell>
        </row>
        <row r="280">
          <cell r="B280" t="str">
            <v>TERMINAL DE PRESSAO 185 MM2</v>
          </cell>
        </row>
        <row r="281">
          <cell r="B281" t="str">
            <v xml:space="preserve">PARAFUSO CABEÇA ABAULADA M16x45MM COM ARUELA QUADRADA E PORCA </v>
          </cell>
        </row>
        <row r="282">
          <cell r="B282" t="str">
            <v>PARAFUSO CABEAÇA QUADRADA M16x150MM COM ARRUELA QUADRADA E PORCA</v>
          </cell>
        </row>
        <row r="283">
          <cell r="B283" t="str">
            <v>BASE METÁLICA PARA MASTRO 2"</v>
          </cell>
        </row>
        <row r="284">
          <cell r="B284" t="str">
            <v>DISJUNTOR DIFERENCIAL RESIDUAL (DDR) 50A - 30mA</v>
          </cell>
        </row>
        <row r="285">
          <cell r="B285" t="str">
            <v>SUPORTE ISOLADOR SIMPLES PARA CABO</v>
          </cell>
        </row>
        <row r="286">
          <cell r="B286" t="str">
            <v>QUADRO DE DISTRIBUIÇÃO DE EMBUTIR METÁLICO CB 20E - 100A</v>
          </cell>
        </row>
        <row r="287">
          <cell r="B287" t="str">
            <v>QUADRO DE DISTRIBUIÇÃO DE EMBUTIR METÁLICO CB-70E - 225A</v>
          </cell>
        </row>
        <row r="288">
          <cell r="B288" t="str">
            <v>INTERRUPTOR DIFERENCIAL RESIDUAL (DR) BIPOLAR 25A - 30mA</v>
          </cell>
        </row>
        <row r="289">
          <cell r="B289" t="str">
            <v>INTERRUPTOR DIFERENCIAL RESIDUAL (DR) BIPOLAR 40A - 30mA</v>
          </cell>
        </row>
        <row r="290">
          <cell r="B290" t="str">
            <v>ARRUELA LISA D=1/4"</v>
          </cell>
        </row>
        <row r="291">
          <cell r="B291" t="str">
            <v>TORNEIRA DE JARDIM COM BICO PARA MANGUEIRA DIÂMETRO DE 1/2" E 3/4"</v>
          </cell>
        </row>
        <row r="292">
          <cell r="B292" t="str">
            <v>VALVULA P/LAVATORIO OU BEBEDOURO METALICO DIAMETRO 1"</v>
          </cell>
        </row>
        <row r="293">
          <cell r="B293" t="str">
            <v>PORTA PAPEL HIGIÊNICO EM LOUÇA - EMBUTIR</v>
          </cell>
        </row>
        <row r="294">
          <cell r="B294" t="str">
            <v>ACABAMENTO PARA VÁLVULA DE DESCARGA</v>
          </cell>
        </row>
        <row r="295">
          <cell r="B295" t="str">
            <v>ACABAMENTO PARA REGISTRO DE GAVETA 3/4"</v>
          </cell>
        </row>
        <row r="296">
          <cell r="B296" t="str">
            <v>ACABAMENTO PARA REGISTRO 1.1/2"</v>
          </cell>
        </row>
        <row r="297">
          <cell r="B297" t="str">
            <v>ACO CA-60B - 4,2 MM - (OBRAS CIVIS)</v>
          </cell>
        </row>
        <row r="298">
          <cell r="B298" t="str">
            <v>ANEL DE VEDAÇÃO PARA VASO SANITÁRIO</v>
          </cell>
        </row>
        <row r="299">
          <cell r="B299" t="str">
            <v>MEIA SABONETEIRA EM LOUÇA DE EMBUTIR</v>
          </cell>
        </row>
        <row r="300">
          <cell r="B300" t="str">
            <v>ACABAMENTO PARA REGISTRO DE GAVETA 1"</v>
          </cell>
        </row>
        <row r="301">
          <cell r="B301" t="str">
            <v xml:space="preserve">GRELHA REDONDA BRANCA DIAM. 100MM </v>
          </cell>
        </row>
        <row r="302">
          <cell r="B302" t="str">
            <v>PORTA GRELHA QUADRADA PVC BRANCO, DIAM. 150MM</v>
          </cell>
        </row>
        <row r="303">
          <cell r="B303" t="str">
            <v>CAIXA DE GORDURA 80X80CM - 600 LITROS</v>
          </cell>
        </row>
        <row r="304">
          <cell r="B304" t="str">
            <v>SIFAO P/LAVATORIO PVC CROMADO DIAM.1"X1.1/2"</v>
          </cell>
        </row>
        <row r="305">
          <cell r="B305" t="str">
            <v>PORTA GRELHA QUADRADO P/GRELHA RED.BRANC.100 MM</v>
          </cell>
        </row>
        <row r="306">
          <cell r="B306" t="str">
            <v>PORTAO CORRER / ABRIR CONJUGADO PT-8 C/FERRAGENS</v>
          </cell>
        </row>
        <row r="307">
          <cell r="B307" t="str">
            <v>BASE DE BANCADA REBOCADA</v>
          </cell>
        </row>
        <row r="308">
          <cell r="B308" t="str">
            <v>FIXAÇÃO P/ LAVATÓRIO (PAR)</v>
          </cell>
        </row>
        <row r="309">
          <cell r="B309" t="str">
            <v>SOLUCAO LIMPADORA 200 CM3</v>
          </cell>
        </row>
        <row r="310">
          <cell r="B310" t="str">
            <v>ADESIVO PLASTICO - FRASCO 850 G</v>
          </cell>
        </row>
        <row r="311">
          <cell r="B311" t="str">
            <v>CABIDE TIPO GANCHO EM LOUÇA</v>
          </cell>
        </row>
        <row r="312">
          <cell r="B312" t="str">
            <v>PROLONGAMENTO PARA CAIXA SIFONADA 150MM</v>
          </cell>
        </row>
        <row r="313">
          <cell r="B313" t="str">
            <v>DIVISORIA DE GRANITO POLIDO</v>
          </cell>
        </row>
        <row r="314">
          <cell r="B314" t="str">
            <v>TAMPA PARA CAIXA PASSAGEM FERRO FUNDIDO T-33 - TRÁFEGO LEVE</v>
          </cell>
        </row>
        <row r="315">
          <cell r="B315" t="str">
            <v>REDUÇÃO EXCENTRICA 75 X 50MM</v>
          </cell>
        </row>
        <row r="316">
          <cell r="B316" t="str">
            <v>PROLONGAMENTO PARA CAIXA SIFONADA 100MM</v>
          </cell>
        </row>
        <row r="317">
          <cell r="B317" t="str">
            <v>PORTA GRELHA REDONDO BRANCO DIAM. 100 MM</v>
          </cell>
        </row>
        <row r="318">
          <cell r="B318" t="str">
            <v>GRELHA PADRÃO GOINFRA DE FERRO CHATO COM BERÇO (ESPAÇAMENTO ENTRE FACES = 1,5CM - NBR 9050 ACESSIBILIDADE)</v>
          </cell>
        </row>
        <row r="319">
          <cell r="B319" t="str">
            <v>ACABAMENTO DE VÁLVULA DE DESCARGA CROMADO ANTIVANDALISMO</v>
          </cell>
        </row>
        <row r="320">
          <cell r="B320" t="str">
            <v xml:space="preserve">MANGUEIRA DE INCÊNDIO 20M, REDUÇÃO 2 1/2" X 1 1/2" E ESGUINCHO </v>
          </cell>
        </row>
        <row r="321">
          <cell r="B321" t="str">
            <v>TANQUE EM INOX 1 CUBA E I BATEDOR COM VÁLVULA</v>
          </cell>
        </row>
        <row r="322">
          <cell r="B322" t="str">
            <v>TANQUE EM INOX PÁTIO DE SERVIÇOS COMPLETO E COM INSTALAÇÃO</v>
          </cell>
        </row>
        <row r="323">
          <cell r="B323" t="str">
            <v>COTOVELO 300 PSI 1/2"</v>
          </cell>
        </row>
        <row r="324">
          <cell r="B324" t="str">
            <v>PORTA GRADE EM FERRO MECÂNICO COM CHAPA REQUADRO - ALOJAMENTOS</v>
          </cell>
        </row>
        <row r="325">
          <cell r="B325" t="str">
            <v>ASSENTAR GRADE EM FERRO MECÂNICO REMANESCENTE - ALOJAMENTOS</v>
          </cell>
        </row>
        <row r="326">
          <cell r="B326" t="str">
            <v>GRUPO MOTOR GERADOR 200KVA 380V COM REDUTOR DE RUIDO MÍNIMO DE 75 dB E QUADRO DE TRANSFERÊNCIA AUTOMÁTICA</v>
          </cell>
        </row>
        <row r="327">
          <cell r="B327" t="str">
            <v>TRANSPORTE DE MATERIAIS/EQUIPAMENTOS/OUTROS ( INCLUSIVE OS DA MOBILIZAÇÃO E DESMOBILIZAÇÃO ) - CAMINHÃO CARROCERIA MADEIRA 15 T ( INCLUSO NO VALOR O RETORNO )</v>
          </cell>
        </row>
        <row r="328">
          <cell r="B328" t="str">
            <v>TOMADA LOGICA RJ-45 TIPO KEYSTONE JACK, CAT. 6</v>
          </cell>
        </row>
        <row r="329">
          <cell r="B329" t="str">
            <v>CABO DE COBRE NU No. 16 MM2 (6,94 M/KG)</v>
          </cell>
        </row>
        <row r="330">
          <cell r="B330" t="str">
            <v xml:space="preserve"> CERTIFICADO DIGITAL</v>
          </cell>
        </row>
        <row r="331">
          <cell r="B331" t="str">
            <v>ELETRODUTO DE PVC RIGIDO DIAMETRO 3/4"</v>
          </cell>
        </row>
        <row r="332">
          <cell r="B332" t="str">
            <v>ELETRODUTO DE PVC RIGIDO DIAMETRO 3"</v>
          </cell>
        </row>
        <row r="333">
          <cell r="B333" t="str">
            <v>LUVA PVC ROSQUEAVEL DIAMETRO 3"</v>
          </cell>
        </row>
        <row r="334">
          <cell r="B334" t="str">
            <v>LUVA PVC ROSQUEAVEL DIAMETRO 3/4"</v>
          </cell>
        </row>
        <row r="335">
          <cell r="B335" t="str">
            <v xml:space="preserve"> CABO TELEFON. CTP-APL-50 DE 20 PARES (USO EXTERNO)</v>
          </cell>
        </row>
        <row r="336">
          <cell r="B336" t="str">
            <v>CAIXA DE PASSAGEM 35X60X50CM FUNDO DE CONCRETO (PARA TAMPA R1)</v>
          </cell>
        </row>
        <row r="337">
          <cell r="B337" t="str">
            <v>LUVA PVC ROSQUEAVEL DIAMETRO 1.1/4"</v>
          </cell>
        </row>
        <row r="338">
          <cell r="B338" t="str">
            <v>LUVA PVC ROSQUEAVEL DIAMETRO 2"</v>
          </cell>
        </row>
        <row r="339">
          <cell r="B339" t="str">
            <v>HASTE REV.COBRE(COPPERWELD)  3/4" X 2,40 M C/CONECTOR</v>
          </cell>
        </row>
        <row r="340">
          <cell r="B340" t="str">
            <v>BLOCO BER-10 (BLOCO DE ENGATE RAPIDO)</v>
          </cell>
        </row>
        <row r="341">
          <cell r="B341" t="str">
            <v>BUCHA E ARRUELA METALICA DIAM. 1.1/4"</v>
          </cell>
        </row>
        <row r="342">
          <cell r="B342" t="str">
            <v>CABO TELEFONICO CI-50,50 PARES (USO INTERNO)</v>
          </cell>
        </row>
        <row r="343">
          <cell r="B343" t="str">
            <v>CABO TELEFONICO CTP-APL-50 20 PARES (USO EXTERNO)</v>
          </cell>
        </row>
        <row r="344">
          <cell r="B344" t="str">
            <v>CABO UTP-4P, CAT. 6 , 24 AWG</v>
          </cell>
        </row>
        <row r="345">
          <cell r="B345" t="str">
            <v>CAIXA DE PASSAGEM METÁLICA DE EMBUTIR  40X40X15 CM</v>
          </cell>
        </row>
        <row r="346">
          <cell r="B346" t="str">
            <v>CAIXA DE PASSAGEM METÁLICA DE EMBUTIR 20X20X10 CM</v>
          </cell>
        </row>
        <row r="347">
          <cell r="B347" t="str">
            <v>CAIXA DISTRIBUIÇÃO TELEFÔNICA DE EMBUTIR 40X40X12 CM</v>
          </cell>
        </row>
        <row r="348">
          <cell r="B348" t="str">
            <v>CAIXA METALICA QUADRADA 4"X4"X2"</v>
          </cell>
        </row>
        <row r="349">
          <cell r="B349" t="str">
            <v>CAIXA METALICA RET. 4" X 2" X 2"</v>
          </cell>
        </row>
        <row r="350">
          <cell r="B350" t="str">
            <v>CURVA DE 90 GRAUS DE PVC RIGIDO DIAM. 2"</v>
          </cell>
        </row>
        <row r="351">
          <cell r="B351" t="str">
            <v>ELETRODUTO DE PVC RIGIDO DIAMETRO 2"</v>
          </cell>
        </row>
        <row r="352">
          <cell r="B352" t="str">
            <v>ELETRODUTO DE PVC RIGIDO DIAMETRO 1.1/4"</v>
          </cell>
        </row>
        <row r="353">
          <cell r="B353" t="str">
            <v xml:space="preserve">TAMPA DE Fo.Fo. R1 COM BASE </v>
          </cell>
        </row>
        <row r="354">
          <cell r="B354" t="str">
            <v>TAMPA DE Fo.Fo. R2 COM BASE</v>
          </cell>
        </row>
        <row r="355">
          <cell r="B355" t="str">
            <v xml:space="preserve"> BUCHA E ARRUELA METALICA DIAM. 1/2"</v>
          </cell>
        </row>
        <row r="356">
          <cell r="B356" t="str">
            <v>ELETRODUTO DE PVC RIGIDO DIAMETRO 1/2"</v>
          </cell>
        </row>
        <row r="357">
          <cell r="B357" t="str">
            <v>ELETRODUTO DE PVC RIGIDO DIAMETRO 3''</v>
          </cell>
        </row>
        <row r="358">
          <cell r="B358" t="str">
            <v>CABO UTP-4P, CAT. 6 , 24 AWG</v>
          </cell>
        </row>
        <row r="359">
          <cell r="B359" t="str">
            <v>PATCH CORD COMPRIMENTO DE 1,50 M - CAT.6</v>
          </cell>
        </row>
        <row r="360">
          <cell r="B360" t="str">
            <v>CONECTOR RJ-45 CAT. 6 E ESPELHO BAQUELITE 4" X 2" 1 FURO RJ-45</v>
          </cell>
        </row>
        <row r="361">
          <cell r="B361" t="str">
            <v>CONECTOR RJ-45 CAT. 6 E ESPELHO BAQUELITE 4" X 2" 2 FUROS RJ-45</v>
          </cell>
        </row>
        <row r="362">
          <cell r="B362" t="str">
            <v>BUCHA DE NYLON S-8</v>
          </cell>
        </row>
        <row r="363">
          <cell r="B363" t="str">
            <v>REGUA COM 12 TOMADAS</v>
          </cell>
        </row>
        <row r="364">
          <cell r="B364" t="str">
            <v>RACK FECHADO DE PISO COM PORTA EM ACRÍLICO - 24 U´S</v>
          </cell>
        </row>
        <row r="365">
          <cell r="B365" t="str">
            <v>TOMADA PARA ANTENA DE TV, SEM CAIXA, INCLUSIVE CONECTOR EMENDA PARA CABO COAXIAL</v>
          </cell>
        </row>
        <row r="366">
          <cell r="B366" t="str">
            <v>FIXA CABO R - 130 - REF.184-07 - Z ( FIXA CABO -Z0 )</v>
          </cell>
        </row>
        <row r="367">
          <cell r="B367" t="str">
            <v>BANDEJA PARA RACK 19", DESLIZANTE, PERFURADA, 400MM DE PROFUNDIDADE</v>
          </cell>
        </row>
        <row r="368">
          <cell r="B368" t="str">
            <v xml:space="preserve">ISOLADOR DE PORCELANA, TIPO PINO MONOCORPO, PARA TENSAO DE *15* KV </v>
          </cell>
        </row>
        <row r="369">
          <cell r="B369" t="str">
            <v>PATCH PANEL 12 PORTAS, CATEGORIA 5E - FORNECIMENTO E INSTALAÇÃO. AF_11/2019</v>
          </cell>
        </row>
        <row r="370">
          <cell r="B370" t="str">
            <v>CONDULETE PARA PONTO DE SOM NO TETO</v>
          </cell>
        </row>
        <row r="371">
          <cell r="B371" t="str">
            <v>CONDULETE PARA PONTO DE CAMERA</v>
          </cell>
        </row>
        <row r="372">
          <cell r="B372" t="str">
            <v xml:space="preserve">TERMINAL PARA RODAPÉ PRÉ-ZINCADO R-130 DA MOPA OU EQUIVALENTE DE MESMO PADRÃO DE QUALIDADE </v>
          </cell>
        </row>
        <row r="373">
          <cell r="B373" t="str">
            <v>TAMPA P/ TOMADA / INTERRUPTOR RJ-45 KRONE</v>
          </cell>
        </row>
        <row r="374">
          <cell r="B374" t="str">
            <v>TAMPA PARA RODAPÉ 1000 MM R-130 DA MOPA OU EQUIVALENTE DE MESMO PADRÃO DE QUALIDADE</v>
          </cell>
        </row>
        <row r="375">
          <cell r="B375" t="str">
            <v>TAMPÃO PARA SUPORTE DE TOMADAS 14,7x19,3mm DA MOPA ou equivalente de mesmo padrão de qualidade</v>
          </cell>
        </row>
        <row r="376">
          <cell r="B376" t="str">
            <v>FOSSA SEPTICA 4500 LITROS COM IMPERMEABILIZAÇÃO</v>
          </cell>
        </row>
        <row r="377">
          <cell r="B377" t="str">
            <v>FOSSA SEPTICA 3500 LITROS COM IMPERMEABILIZAÇÃO</v>
          </cell>
        </row>
        <row r="378">
          <cell r="B378" t="str">
            <v>FOSSA SEPTICA 2000 LITROS COM IMPERMEABILIZAÇÃO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Auxiliar"/>
      <sheetName val="Com Desoneração"/>
      <sheetName val="Sem Desoneração"/>
    </sheetNames>
    <sheetDataSet>
      <sheetData sheetId="0"/>
      <sheetData sheetId="1">
        <row r="6">
          <cell r="C6">
            <v>4.9263145623389848</v>
          </cell>
          <cell r="D6" t="str">
            <v>CENTRO-OESTE</v>
          </cell>
        </row>
        <row r="7">
          <cell r="C7">
            <v>2.1533056388479248</v>
          </cell>
          <cell r="D7" t="str">
            <v>CENTRO-OESTE</v>
          </cell>
        </row>
        <row r="8">
          <cell r="C8">
            <v>2.1828263772095058</v>
          </cell>
          <cell r="D8" t="str">
            <v>CENTRO-OESTE</v>
          </cell>
        </row>
        <row r="9">
          <cell r="C9">
            <v>2.3166645016226242</v>
          </cell>
          <cell r="D9" t="str">
            <v>CENTRO-OESTE</v>
          </cell>
        </row>
        <row r="10">
          <cell r="C10">
            <v>1.9910841945162538</v>
          </cell>
          <cell r="D10" t="str">
            <v>GOIÁS</v>
          </cell>
        </row>
        <row r="11">
          <cell r="C11">
            <v>2.3237017172289955</v>
          </cell>
          <cell r="D11" t="str">
            <v>CENTRO-OESTE</v>
          </cell>
        </row>
        <row r="12">
          <cell r="C12">
            <v>2.1610643416420219</v>
          </cell>
          <cell r="D12" t="str">
            <v>CENTRO-OESTE</v>
          </cell>
        </row>
        <row r="13">
          <cell r="C13">
            <v>2.0668101791788853</v>
          </cell>
          <cell r="D13" t="str">
            <v>CENTRO-OESTE</v>
          </cell>
        </row>
        <row r="14">
          <cell r="C14">
            <v>2.9692093517890772</v>
          </cell>
          <cell r="D14" t="str">
            <v>CENTRO-OESTE</v>
          </cell>
        </row>
        <row r="15">
          <cell r="C15">
            <v>3.2735467324069929</v>
          </cell>
          <cell r="D15" t="str">
            <v>CENTRO-OESTE</v>
          </cell>
        </row>
        <row r="16">
          <cell r="C16">
            <v>3.1176021991135809</v>
          </cell>
          <cell r="D16" t="str">
            <v>GOIÁS</v>
          </cell>
        </row>
        <row r="17">
          <cell r="C17">
            <v>2.8517136927488034</v>
          </cell>
          <cell r="D17" t="str">
            <v>GOIÁS</v>
          </cell>
        </row>
        <row r="18">
          <cell r="C18">
            <v>3.2444312354152673</v>
          </cell>
          <cell r="D18" t="str">
            <v>BRASIL</v>
          </cell>
        </row>
        <row r="21">
          <cell r="B21" t="str">
            <v>Março de 2021</v>
          </cell>
          <cell r="I21" t="str">
            <v>Distancia de Transporte (DT) em relação a Distribuidora mais próxima à obra</v>
          </cell>
        </row>
        <row r="22">
          <cell r="D22" t="str">
            <v>Ipav1 (Mar 21) :</v>
          </cell>
          <cell r="E22">
            <v>394.16500000000002</v>
          </cell>
          <cell r="I22" t="str">
            <v>Conforme Portaria n°1.977/17 – DNIT : CT = (26,939 + 0,253*DT) / (1 – ICMS) * (1 + BDI) * (Ipav1 / Ipav0)</v>
          </cell>
        </row>
        <row r="24">
          <cell r="A24" t="str">
            <v>Goiânia, 03 de maio de 2021</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5.xml"/><Relationship Id="rId1" Type="http://schemas.openxmlformats.org/officeDocument/2006/relationships/printerSettings" Target="../printerSettings/printerSettings17.bin"/><Relationship Id="rId4"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6"/>
  <sheetViews>
    <sheetView tabSelected="1" view="pageBreakPreview" zoomScale="85" zoomScaleNormal="85" zoomScaleSheetLayoutView="85" workbookViewId="0">
      <selection activeCell="B32" sqref="B32"/>
    </sheetView>
  </sheetViews>
  <sheetFormatPr defaultRowHeight="12.75"/>
  <cols>
    <col min="1" max="1" width="16.5703125" style="100" customWidth="1"/>
    <col min="2" max="2" width="42.28515625" style="100" customWidth="1"/>
    <col min="3" max="3" width="19.140625" style="100" customWidth="1"/>
    <col min="4" max="4" width="8.5703125" style="100" customWidth="1"/>
    <col min="5" max="5" width="10.85546875" style="100" customWidth="1"/>
    <col min="6" max="6" width="19.28515625" style="100" bestFit="1" customWidth="1"/>
    <col min="7" max="8" width="21.28515625" style="100" customWidth="1"/>
    <col min="9" max="9" width="15" style="100" customWidth="1"/>
    <col min="10" max="10" width="13.28515625" style="100" bestFit="1" customWidth="1"/>
    <col min="11" max="16384" width="9.140625" style="100"/>
  </cols>
  <sheetData>
    <row r="1" spans="1:9" ht="23.25" customHeight="1">
      <c r="A1" s="637"/>
      <c r="B1" s="638"/>
      <c r="C1" s="638"/>
      <c r="D1" s="638"/>
      <c r="E1" s="638"/>
      <c r="F1" s="638"/>
      <c r="G1" s="638"/>
      <c r="H1" s="639"/>
    </row>
    <row r="2" spans="1:9" ht="23.25" customHeight="1">
      <c r="A2" s="640"/>
      <c r="B2" s="641"/>
      <c r="C2" s="641"/>
      <c r="D2" s="641"/>
      <c r="E2" s="641"/>
      <c r="F2" s="641"/>
      <c r="G2" s="641"/>
      <c r="H2" s="642"/>
    </row>
    <row r="3" spans="1:9" ht="23.25" customHeight="1">
      <c r="A3" s="640"/>
      <c r="B3" s="641"/>
      <c r="C3" s="641"/>
      <c r="D3" s="641"/>
      <c r="E3" s="641"/>
      <c r="F3" s="641"/>
      <c r="G3" s="641"/>
      <c r="H3" s="642"/>
    </row>
    <row r="4" spans="1:9" ht="23.25" customHeight="1">
      <c r="A4" s="643"/>
      <c r="B4" s="644"/>
      <c r="C4" s="644"/>
      <c r="D4" s="644"/>
      <c r="E4" s="644"/>
      <c r="F4" s="644"/>
      <c r="G4" s="644"/>
      <c r="H4" s="645"/>
    </row>
    <row r="5" spans="1:9" ht="15">
      <c r="A5" s="403" t="s">
        <v>6932</v>
      </c>
      <c r="B5" s="109" t="s">
        <v>6296</v>
      </c>
      <c r="C5" s="110"/>
      <c r="D5" s="110"/>
      <c r="E5" s="110"/>
      <c r="F5" s="110"/>
      <c r="G5" s="110"/>
      <c r="H5" s="617"/>
    </row>
    <row r="6" spans="1:9" ht="15">
      <c r="A6" s="403" t="s">
        <v>6297</v>
      </c>
      <c r="B6" s="618" t="s">
        <v>6949</v>
      </c>
      <c r="C6" s="619"/>
      <c r="D6" s="619"/>
      <c r="E6" s="619"/>
      <c r="F6" s="619"/>
      <c r="G6" s="619"/>
      <c r="H6" s="620"/>
    </row>
    <row r="7" spans="1:9" ht="15">
      <c r="A7" s="404" t="s">
        <v>5545</v>
      </c>
      <c r="B7" s="621" t="s">
        <v>6926</v>
      </c>
      <c r="C7" s="622"/>
      <c r="D7" s="622"/>
      <c r="E7" s="622"/>
      <c r="F7" s="622"/>
      <c r="G7" s="622"/>
      <c r="H7" s="623"/>
    </row>
    <row r="8" spans="1:9" ht="15">
      <c r="A8" s="405" t="s">
        <v>6298</v>
      </c>
      <c r="B8" s="624">
        <v>202000036012687</v>
      </c>
      <c r="C8" s="406"/>
      <c r="D8" s="406"/>
      <c r="E8" s="406"/>
      <c r="F8" s="406"/>
      <c r="G8" s="406"/>
      <c r="H8" s="625"/>
    </row>
    <row r="9" spans="1:9" ht="5.0999999999999996" customHeight="1">
      <c r="B9" s="648"/>
      <c r="C9" s="649"/>
      <c r="D9" s="649"/>
      <c r="E9" s="649"/>
      <c r="F9" s="649"/>
      <c r="G9" s="649"/>
      <c r="H9" s="649"/>
    </row>
    <row r="10" spans="1:9" ht="15.75">
      <c r="A10" s="650" t="s">
        <v>6933</v>
      </c>
      <c r="B10" s="651"/>
      <c r="C10" s="651"/>
      <c r="D10" s="651"/>
      <c r="E10" s="651"/>
      <c r="F10" s="651"/>
      <c r="G10" s="651"/>
      <c r="H10" s="652"/>
    </row>
    <row r="11" spans="1:9" ht="5.0999999999999996" customHeight="1"/>
    <row r="12" spans="1:9" s="9" customFormat="1" ht="35.25" customHeight="1">
      <c r="A12" s="25" t="s">
        <v>6934</v>
      </c>
      <c r="B12" s="26" t="s">
        <v>6935</v>
      </c>
      <c r="C12" s="25" t="s">
        <v>6300</v>
      </c>
      <c r="D12" s="25" t="s">
        <v>6306</v>
      </c>
      <c r="E12" s="27" t="s">
        <v>6311</v>
      </c>
      <c r="F12" s="27" t="s">
        <v>7104</v>
      </c>
      <c r="G12" s="591" t="s">
        <v>7103</v>
      </c>
      <c r="H12" s="591" t="s">
        <v>6928</v>
      </c>
    </row>
    <row r="13" spans="1:9" ht="4.1500000000000004" customHeight="1">
      <c r="A13" s="653"/>
      <c r="B13" s="654"/>
      <c r="C13" s="654"/>
      <c r="D13" s="654"/>
      <c r="E13" s="654"/>
      <c r="F13" s="654"/>
      <c r="G13" s="654"/>
      <c r="H13" s="654"/>
    </row>
    <row r="14" spans="1:9" ht="15" customHeight="1">
      <c r="A14" s="101">
        <v>1</v>
      </c>
      <c r="B14" s="103" t="s">
        <v>6938</v>
      </c>
      <c r="C14" s="97" t="str">
        <f ca="1">INDEX(INDIRECT(B14&amp;"!C:C"),MATCH($C$12,INDIRECT(B14&amp;"!A:A"),0))</f>
        <v>13,35m²</v>
      </c>
      <c r="D14" s="102" t="s">
        <v>4</v>
      </c>
      <c r="E14" s="104">
        <v>1</v>
      </c>
      <c r="F14" s="97">
        <f ca="1">+INDEX(INDIRECT(B14&amp;"!J:J"),MATCH($F$12,INDIRECT(B14&amp;"!A:A"),0))</f>
        <v>142090.11474482404</v>
      </c>
      <c r="G14" s="97">
        <f ca="1">+INDEX(INDIRECT(B14&amp;"!J:J"),MATCH($G$12,INDIRECT(B14&amp;"!A:A"),0))</f>
        <v>372532.95446031814</v>
      </c>
      <c r="H14" s="97">
        <f ca="1">+INDEX(INDIRECT(B14&amp;"!J:J"),MATCH($H$12,INDIRECT(B14&amp;"!A:A"),0))</f>
        <v>514623.06920514221</v>
      </c>
      <c r="I14" s="254"/>
    </row>
    <row r="15" spans="1:9" ht="4.1500000000000004" customHeight="1">
      <c r="A15" s="655"/>
      <c r="B15" s="656"/>
      <c r="C15" s="656"/>
      <c r="D15" s="656"/>
      <c r="E15" s="656"/>
      <c r="F15" s="656"/>
      <c r="G15" s="656"/>
      <c r="H15" s="656"/>
      <c r="I15" s="254"/>
    </row>
    <row r="16" spans="1:9" ht="15" customHeight="1">
      <c r="A16" s="101">
        <v>2</v>
      </c>
      <c r="B16" s="103" t="s">
        <v>6939</v>
      </c>
      <c r="C16" s="97" t="str">
        <f ca="1">+INDEX(INDIRECT(B16&amp;"!C:C"),MATCH($C$12,INDIRECT(B16&amp;"!A:A"),0))</f>
        <v>45,04m²</v>
      </c>
      <c r="D16" s="102" t="s">
        <v>4</v>
      </c>
      <c r="E16" s="104">
        <v>1</v>
      </c>
      <c r="F16" s="97">
        <f ca="1">+INDEX(INDIRECT(B16&amp;"!J:J"),MATCH($F$12,INDIRECT(B16&amp;"!A:A"),0))</f>
        <v>22006.284403549998</v>
      </c>
      <c r="G16" s="97">
        <f ca="1">+INDEX(INDIRECT(B16&amp;"!J:J"),MATCH($G$12,INDIRECT(B16&amp;"!A:A"),0))</f>
        <v>44857.399669960992</v>
      </c>
      <c r="H16" s="97">
        <f ca="1">+INDEX(INDIRECT(B16&amp;"!J:J"),MATCH($H$12,INDIRECT(B16&amp;"!A:A"),0))</f>
        <v>66863.684073510987</v>
      </c>
      <c r="I16" s="254"/>
    </row>
    <row r="17" spans="1:9" ht="4.1500000000000004" customHeight="1">
      <c r="A17" s="655"/>
      <c r="B17" s="656"/>
      <c r="C17" s="656"/>
      <c r="D17" s="656"/>
      <c r="E17" s="656"/>
      <c r="F17" s="656"/>
      <c r="G17" s="656"/>
      <c r="H17" s="656"/>
      <c r="I17" s="254"/>
    </row>
    <row r="18" spans="1:9" ht="15" customHeight="1">
      <c r="A18" s="101">
        <v>3</v>
      </c>
      <c r="B18" s="105" t="s">
        <v>6940</v>
      </c>
      <c r="C18" s="97" t="str">
        <f ca="1">+INDEX(INDIRECT(B18&amp;"!C:C"),MATCH($C$12,INDIRECT(B18&amp;"!A:A"),0))</f>
        <v>233,62 m²</v>
      </c>
      <c r="D18" s="102" t="s">
        <v>4</v>
      </c>
      <c r="E18" s="104">
        <v>1</v>
      </c>
      <c r="F18" s="97">
        <f ca="1">+INDEX(INDIRECT(B18&amp;"!J:J"),MATCH($F$12,INDIRECT(B18&amp;"!A:A"),0))</f>
        <v>68565.589607051996</v>
      </c>
      <c r="G18" s="97">
        <f ca="1">+INDEX(INDIRECT(B18&amp;"!J:J"),MATCH($G$12,INDIRECT(B18&amp;"!A:A"),0))</f>
        <v>147484.13184965798</v>
      </c>
      <c r="H18" s="97">
        <f ca="1">+INDEX(INDIRECT(B18&amp;"!J:J"),MATCH($H$12,INDIRECT(B18&amp;"!A:A"),0))</f>
        <v>216049.72145670999</v>
      </c>
      <c r="I18" s="254"/>
    </row>
    <row r="19" spans="1:9" ht="4.1500000000000004" customHeight="1">
      <c r="A19" s="657"/>
      <c r="B19" s="658"/>
      <c r="C19" s="658"/>
      <c r="D19" s="658"/>
      <c r="E19" s="658"/>
      <c r="F19" s="658"/>
      <c r="G19" s="658"/>
      <c r="H19" s="658"/>
      <c r="I19" s="254"/>
    </row>
    <row r="20" spans="1:9" ht="15" customHeight="1">
      <c r="A20" s="101">
        <v>5</v>
      </c>
      <c r="B20" s="103" t="s">
        <v>6941</v>
      </c>
      <c r="C20" s="97" t="str">
        <f ca="1">+INDEX(INDIRECT(B20&amp;"!C:C"),MATCH($C$12,INDIRECT(B20&amp;"!A:A"),0))</f>
        <v>90,00m²</v>
      </c>
      <c r="D20" s="102" t="s">
        <v>4</v>
      </c>
      <c r="E20" s="104">
        <v>1</v>
      </c>
      <c r="F20" s="97">
        <f ca="1">+INDEX(INDIRECT(B20&amp;"!J:J"),MATCH($F$12,INDIRECT(B20&amp;"!A:A"),0))</f>
        <v>11884.284287165998</v>
      </c>
      <c r="G20" s="97">
        <f ca="1">+INDEX(INDIRECT(B20&amp;"!J:J"),MATCH($G$12,INDIRECT(B20&amp;"!A:A"),0))</f>
        <v>21929.890319015998</v>
      </c>
      <c r="H20" s="97">
        <f ca="1">+INDEX(INDIRECT(B20&amp;"!J:J"),MATCH($H$12,INDIRECT(B20&amp;"!A:A"),0))</f>
        <v>33814.174606182001</v>
      </c>
      <c r="I20" s="254"/>
    </row>
    <row r="21" spans="1:9" ht="4.1500000000000004" customHeight="1">
      <c r="A21" s="655"/>
      <c r="B21" s="656"/>
      <c r="C21" s="656"/>
      <c r="D21" s="656"/>
      <c r="E21" s="656"/>
      <c r="F21" s="656"/>
      <c r="G21" s="656"/>
      <c r="H21" s="656"/>
      <c r="I21" s="254"/>
    </row>
    <row r="22" spans="1:9" ht="15" customHeight="1">
      <c r="A22" s="101">
        <v>6</v>
      </c>
      <c r="B22" s="106" t="s">
        <v>6337</v>
      </c>
      <c r="C22" s="97" t="str">
        <f ca="1">+INDEX(INDIRECT(B22&amp;"!C:C"),MATCH($C$12,INDIRECT(B22&amp;"!A:A"),0))</f>
        <v>13,35m²</v>
      </c>
      <c r="D22" s="102" t="s">
        <v>4</v>
      </c>
      <c r="E22" s="104">
        <v>1</v>
      </c>
      <c r="F22" s="97">
        <f ca="1">+INDEX(INDIRECT(B22&amp;"!J:J"),MATCH($F$12,INDIRECT(B22&amp;"!A:A"),0))</f>
        <v>16756.629988149987</v>
      </c>
      <c r="G22" s="97">
        <f ca="1">+INDEX(INDIRECT(B22&amp;"!J:J"),MATCH($G$12,INDIRECT(B22&amp;"!A:A"),0))</f>
        <v>32544.957076758343</v>
      </c>
      <c r="H22" s="97">
        <f ca="1">+INDEX(INDIRECT(B22&amp;"!J:J"),MATCH($H$12,INDIRECT(B22&amp;"!A:A"),0))</f>
        <v>49301.587064908344</v>
      </c>
      <c r="I22" s="254"/>
    </row>
    <row r="23" spans="1:9" ht="4.1500000000000004" customHeight="1">
      <c r="A23" s="659"/>
      <c r="B23" s="660"/>
      <c r="C23" s="660"/>
      <c r="D23" s="660"/>
      <c r="E23" s="660"/>
      <c r="F23" s="660"/>
      <c r="G23" s="660"/>
      <c r="H23" s="660"/>
      <c r="I23" s="254"/>
    </row>
    <row r="24" spans="1:9" ht="15" customHeight="1">
      <c r="A24" s="107">
        <v>7</v>
      </c>
      <c r="B24" s="103" t="s">
        <v>6944</v>
      </c>
      <c r="C24" s="97" t="str">
        <f ca="1">+INDEX(INDIRECT(B24&amp;"!C:C"),MATCH($C$12,INDIRECT(B24&amp;"!A:A"),0))</f>
        <v>7,48m²</v>
      </c>
      <c r="D24" s="102" t="s">
        <v>4</v>
      </c>
      <c r="E24" s="104">
        <v>1</v>
      </c>
      <c r="F24" s="97">
        <f ca="1">+INDEX(INDIRECT(B24&amp;"!J:J"),MATCH($F$12,INDIRECT(B24&amp;"!A:A"),0))</f>
        <v>4229.8635110759997</v>
      </c>
      <c r="G24" s="97">
        <f ca="1">+INDEX(INDIRECT(B24&amp;"!J:J"),MATCH($G$12,INDIRECT(B24&amp;"!A:A"),0))</f>
        <v>9237.4079827059995</v>
      </c>
      <c r="H24" s="97">
        <f ca="1">+INDEX(INDIRECT(B24&amp;"!J:J"),MATCH($H$12,INDIRECT(B24&amp;"!A:A"),0))</f>
        <v>13467.271493782002</v>
      </c>
      <c r="I24" s="254"/>
    </row>
    <row r="25" spans="1:9" ht="4.1500000000000004" customHeight="1">
      <c r="A25" s="659"/>
      <c r="B25" s="660"/>
      <c r="C25" s="660"/>
      <c r="D25" s="660"/>
      <c r="E25" s="660"/>
      <c r="F25" s="660"/>
      <c r="G25" s="660"/>
      <c r="H25" s="660"/>
      <c r="I25" s="254"/>
    </row>
    <row r="26" spans="1:9" ht="15" customHeight="1">
      <c r="A26" s="107">
        <v>8</v>
      </c>
      <c r="B26" s="103" t="s">
        <v>6331</v>
      </c>
      <c r="C26" s="97" t="str">
        <f ca="1">+INDEX(INDIRECT(B26&amp;"!C:C"),MATCH($C$12,INDIRECT(B26&amp;"!A:A"),0))</f>
        <v>634,27m²</v>
      </c>
      <c r="D26" s="102" t="s">
        <v>4</v>
      </c>
      <c r="E26" s="104">
        <v>1</v>
      </c>
      <c r="F26" s="97">
        <f ca="1">+INDEX(INDIRECT(B26&amp;"!J:J"),MATCH($F$12,INDIRECT(B26&amp;"!A:A"),0))</f>
        <v>35868.980686540002</v>
      </c>
      <c r="G26" s="97">
        <f ca="1">+INDEX(INDIRECT(B26&amp;"!J:J"),MATCH($G$12,INDIRECT(B26&amp;"!A:A"),0))</f>
        <v>66579.04326616101</v>
      </c>
      <c r="H26" s="97">
        <f ca="1">+INDEX(INDIRECT(B26&amp;"!J:J"),MATCH($H$12,INDIRECT(B26&amp;"!A:A"),0))</f>
        <v>102448.02395270098</v>
      </c>
      <c r="I26" s="254"/>
    </row>
    <row r="27" spans="1:9" ht="4.1500000000000004" customHeight="1">
      <c r="A27" s="646" t="s">
        <v>6936</v>
      </c>
      <c r="B27" s="647"/>
      <c r="C27" s="647"/>
      <c r="D27" s="647"/>
      <c r="E27" s="647"/>
      <c r="F27" s="647"/>
      <c r="G27" s="647"/>
      <c r="H27" s="647"/>
      <c r="I27" s="254"/>
    </row>
    <row r="28" spans="1:9" ht="15" customHeight="1">
      <c r="A28" s="108">
        <v>9</v>
      </c>
      <c r="B28" s="106" t="s">
        <v>6931</v>
      </c>
      <c r="C28" s="97" t="str">
        <f ca="1">+INDEX(INDIRECT(B28&amp;"!C:C"),MATCH($C$12,INDIRECT(B28&amp;"!A:A"),0))</f>
        <v>1.582,91m²</v>
      </c>
      <c r="D28" s="102" t="s">
        <v>4</v>
      </c>
      <c r="E28" s="104">
        <v>1</v>
      </c>
      <c r="F28" s="97">
        <f ca="1">+INDEX(INDIRECT(B28&amp;"!J:J"),MATCH($F$12,INDIRECT(B28&amp;"!A:A"),0))</f>
        <v>297687.06401451799</v>
      </c>
      <c r="G28" s="97">
        <f ca="1">+INDEX(INDIRECT(B28&amp;"!J:J"),MATCH($G$12,INDIRECT(B28&amp;"!A:A"),0))</f>
        <v>739033.35177393025</v>
      </c>
      <c r="H28" s="97">
        <f ca="1">+INDEX(INDIRECT(B28&amp;"!J:J"),MATCH($H$12,INDIRECT(B28&amp;"!A:A"),0))</f>
        <v>1036720.4157884478</v>
      </c>
      <c r="I28" s="254"/>
    </row>
    <row r="29" spans="1:9" ht="4.1500000000000004" customHeight="1">
      <c r="A29" s="646"/>
      <c r="B29" s="647"/>
      <c r="C29" s="647"/>
      <c r="D29" s="647"/>
      <c r="E29" s="647"/>
      <c r="F29" s="647"/>
      <c r="G29" s="647"/>
      <c r="H29" s="647"/>
      <c r="I29" s="254"/>
    </row>
    <row r="30" spans="1:9" ht="15" customHeight="1">
      <c r="A30" s="101">
        <v>10</v>
      </c>
      <c r="B30" s="106" t="s">
        <v>6342</v>
      </c>
      <c r="C30" s="97" t="str">
        <f ca="1">+INDEX(INDIRECT(B30&amp;"!C:C"),MATCH($C$12,INDIRECT(B30&amp;"!A:A"),0))</f>
        <v>59,29 m²</v>
      </c>
      <c r="D30" s="102" t="s">
        <v>4</v>
      </c>
      <c r="E30" s="104">
        <v>1</v>
      </c>
      <c r="F30" s="97">
        <f ca="1">+INDEX(INDIRECT(B30&amp;"!J:J"),MATCH($F$12,INDIRECT(B30&amp;"!A:A"),0))</f>
        <v>8790.7597676819987</v>
      </c>
      <c r="G30" s="97">
        <f ca="1">+INDEX(INDIRECT(B30&amp;"!J:J"),MATCH($G$12,INDIRECT(B30&amp;"!A:A"),0))</f>
        <v>16208.397496188001</v>
      </c>
      <c r="H30" s="97">
        <f ca="1">+INDEX(INDIRECT(B30&amp;"!J:J"),MATCH($H$12,INDIRECT(B30&amp;"!A:A"),0))</f>
        <v>24999.157263869994</v>
      </c>
      <c r="I30" s="254"/>
    </row>
    <row r="31" spans="1:9" ht="4.1500000000000004" customHeight="1">
      <c r="A31" s="657"/>
      <c r="B31" s="658"/>
      <c r="C31" s="658"/>
      <c r="D31" s="658"/>
      <c r="E31" s="658"/>
      <c r="F31" s="658"/>
      <c r="G31" s="658"/>
      <c r="H31" s="658"/>
      <c r="I31" s="254"/>
    </row>
    <row r="32" spans="1:9" ht="15" customHeight="1">
      <c r="A32" s="101">
        <v>11</v>
      </c>
      <c r="B32" s="106" t="s">
        <v>6942</v>
      </c>
      <c r="C32" s="97" t="str">
        <f ca="1">+INDEX(INDIRECT(B32&amp;"!C:C"),MATCH($C$12,INDIRECT(B32&amp;"!A:A"),0))</f>
        <v>518,64m²</v>
      </c>
      <c r="D32" s="102" t="s">
        <v>4</v>
      </c>
      <c r="E32" s="104">
        <v>1</v>
      </c>
      <c r="F32" s="97">
        <f ca="1">+INDEX(INDIRECT(B32&amp;"!J:J"),MATCH($F$12,INDIRECT(B32&amp;"!A:A"),0))</f>
        <v>96045.748627559937</v>
      </c>
      <c r="G32" s="97">
        <f ca="1">+INDEX(INDIRECT(B32&amp;"!J:J"),MATCH($G$12,INDIRECT(B32&amp;"!A:A"),0))</f>
        <v>276778.97786936729</v>
      </c>
      <c r="H32" s="97">
        <f ca="1">+INDEX(INDIRECT(B32&amp;"!J:J"),MATCH($H$12,INDIRECT(B32&amp;"!A:A"),0))</f>
        <v>372824.72649692738</v>
      </c>
      <c r="I32" s="254"/>
    </row>
    <row r="33" spans="1:9" ht="4.1500000000000004" customHeight="1">
      <c r="A33" s="657"/>
      <c r="B33" s="658"/>
      <c r="C33" s="658"/>
      <c r="D33" s="658"/>
      <c r="E33" s="658"/>
      <c r="F33" s="658"/>
      <c r="G33" s="658"/>
      <c r="H33" s="658"/>
      <c r="I33" s="254"/>
    </row>
    <row r="34" spans="1:9" ht="15" customHeight="1">
      <c r="A34" s="101">
        <v>12</v>
      </c>
      <c r="B34" s="105" t="s">
        <v>6943</v>
      </c>
      <c r="C34" s="97" t="str">
        <f ca="1">+INDEX(INDIRECT(B34&amp;"!C:C"),MATCH($C$12,INDIRECT(B34&amp;"!A:A"),0))</f>
        <v>16,34m²</v>
      </c>
      <c r="D34" s="102" t="s">
        <v>4</v>
      </c>
      <c r="E34" s="104">
        <v>1</v>
      </c>
      <c r="F34" s="97">
        <f ca="1">+INDEX(INDIRECT(B34&amp;"!J:J"),MATCH($F$12,INDIRECT(B34&amp;"!A:A"),0))</f>
        <v>12131.895409019997</v>
      </c>
      <c r="G34" s="97">
        <f ca="1">+INDEX(INDIRECT(B34&amp;"!J:J"),MATCH($G$12,INDIRECT(B34&amp;"!A:A"),0))</f>
        <v>172943.57482117234</v>
      </c>
      <c r="H34" s="97">
        <f ca="1">+INDEX(INDIRECT(B34&amp;"!J:J"),MATCH($H$12,INDIRECT(B34&amp;"!A:A"),0))</f>
        <v>185075.47023019238</v>
      </c>
      <c r="I34" s="254"/>
    </row>
    <row r="35" spans="1:9" ht="4.1500000000000004" customHeight="1">
      <c r="A35" s="657"/>
      <c r="B35" s="658"/>
      <c r="C35" s="658"/>
      <c r="D35" s="658"/>
      <c r="E35" s="658"/>
      <c r="F35" s="658"/>
      <c r="G35" s="658"/>
      <c r="H35" s="658"/>
      <c r="I35" s="254"/>
    </row>
    <row r="36" spans="1:9" ht="15" customHeight="1">
      <c r="A36" s="101">
        <v>12</v>
      </c>
      <c r="B36" s="105" t="s">
        <v>6334</v>
      </c>
      <c r="C36" s="97" t="str">
        <f ca="1">+INDEX(INDIRECT(B36&amp;"!C:C"),MATCH($C$12,INDIRECT(B36&amp;"!A:A"),0))</f>
        <v>52,24m²</v>
      </c>
      <c r="D36" s="102" t="s">
        <v>4</v>
      </c>
      <c r="E36" s="104">
        <v>1</v>
      </c>
      <c r="F36" s="97">
        <f ca="1">+INDEX(INDIRECT(B36&amp;"!J:J"),MATCH($F$12,INDIRECT(B36&amp;"!A:A"),0))</f>
        <v>14232.729538649999</v>
      </c>
      <c r="G36" s="97">
        <f ca="1">+INDEX(INDIRECT(B36&amp;"!J:J"),MATCH($G$12,INDIRECT(B36&amp;"!A:A"),0))</f>
        <v>31494.564450846661</v>
      </c>
      <c r="H36" s="97">
        <f ca="1">+INDEX(INDIRECT(B36&amp;"!J:J"),MATCH($H$12,INDIRECT(B36&amp;"!A:A"),0))</f>
        <v>45727.293989496669</v>
      </c>
      <c r="I36" s="254"/>
    </row>
    <row r="37" spans="1:9" ht="4.1500000000000004" customHeight="1">
      <c r="A37" s="657"/>
      <c r="B37" s="658"/>
      <c r="C37" s="658"/>
      <c r="D37" s="658"/>
      <c r="E37" s="658"/>
      <c r="F37" s="658"/>
      <c r="G37" s="658"/>
      <c r="H37" s="658"/>
      <c r="I37" s="254"/>
    </row>
    <row r="38" spans="1:9" ht="15" customHeight="1">
      <c r="A38" s="101">
        <v>13</v>
      </c>
      <c r="B38" s="105" t="s">
        <v>6294</v>
      </c>
      <c r="C38" s="97" t="str">
        <f ca="1">+INDEX(INDIRECT(B38&amp;"!C:C"),MATCH($C$12,INDIRECT(B38&amp;"!A:A"),0))</f>
        <v>39.345,81m²</v>
      </c>
      <c r="D38" s="102" t="s">
        <v>4</v>
      </c>
      <c r="E38" s="104">
        <v>1</v>
      </c>
      <c r="F38" s="97">
        <f ca="1">+INDEX(INDIRECT(B38&amp;"!J:J"),MATCH($F$12,INDIRECT(B38&amp;"!A:A"),0))</f>
        <v>948495.22738254606</v>
      </c>
      <c r="G38" s="97">
        <f ca="1">+INDEX(INDIRECT(B38&amp;"!J:J"),MATCH($G$12,INDIRECT(B38&amp;"!A:A"),0))</f>
        <v>2145732.927378024</v>
      </c>
      <c r="H38" s="97">
        <f ca="1">+INDEX(INDIRECT(B38&amp;"!J:J"),MATCH($H$12,INDIRECT(B38&amp;"!A:A"),0))</f>
        <v>3094228.1547605703</v>
      </c>
      <c r="I38" s="254"/>
    </row>
    <row r="39" spans="1:9" ht="4.1500000000000004" customHeight="1">
      <c r="A39" s="657"/>
      <c r="B39" s="658"/>
      <c r="C39" s="658"/>
      <c r="D39" s="658"/>
      <c r="E39" s="658"/>
      <c r="F39" s="658"/>
      <c r="G39" s="658"/>
      <c r="H39" s="658"/>
      <c r="I39" s="254"/>
    </row>
    <row r="40" spans="1:9" ht="15" customHeight="1">
      <c r="A40" s="101">
        <v>14</v>
      </c>
      <c r="B40" s="105" t="s">
        <v>6937</v>
      </c>
      <c r="C40" s="97" t="str">
        <f ca="1">+INDEX(INDIRECT(B40&amp;"!C:C"),MATCH($C$12,INDIRECT(B40&amp;"!A:A"),0))</f>
        <v>743,43m²</v>
      </c>
      <c r="D40" s="102" t="s">
        <v>4</v>
      </c>
      <c r="E40" s="104">
        <v>1</v>
      </c>
      <c r="F40" s="97">
        <f ca="1">+INDEX(INDIRECT(B40&amp;"!J:J"),MATCH($F$12,INDIRECT(B40&amp;"!A:A"),0))</f>
        <v>58037.600647457017</v>
      </c>
      <c r="G40" s="97">
        <f ca="1">+INDEX(INDIRECT(B40&amp;"!J:J"),MATCH($G$12,INDIRECT(B40&amp;"!A:A"),0))</f>
        <v>170208.22875748287</v>
      </c>
      <c r="H40" s="97">
        <f ca="1">+INDEX(INDIRECT(B40&amp;"!J:J"),MATCH($H$12,INDIRECT(B40&amp;"!A:A"),0))</f>
        <v>228245.82940493981</v>
      </c>
      <c r="I40" s="254"/>
    </row>
    <row r="41" spans="1:9" ht="4.1500000000000004" customHeight="1">
      <c r="A41" s="657"/>
      <c r="B41" s="658"/>
      <c r="C41" s="658"/>
      <c r="D41" s="658"/>
      <c r="E41" s="658"/>
      <c r="F41" s="658"/>
      <c r="G41" s="658"/>
      <c r="H41" s="658"/>
    </row>
    <row r="42" spans="1:9" ht="4.1500000000000004" customHeight="1">
      <c r="A42" s="661"/>
      <c r="B42" s="662"/>
      <c r="C42" s="662"/>
      <c r="D42" s="662"/>
      <c r="E42" s="662"/>
      <c r="F42" s="662"/>
      <c r="G42" s="662"/>
      <c r="H42" s="662"/>
    </row>
    <row r="43" spans="1:9" ht="15" customHeight="1">
      <c r="A43" s="672" t="s">
        <v>583</v>
      </c>
      <c r="B43" s="673"/>
      <c r="C43" s="673"/>
      <c r="D43" s="673"/>
      <c r="E43" s="674"/>
      <c r="F43" s="133">
        <f ca="1">F40+F38+F36+F34+F32+F30+F28+F26+F24+F22+F20+F18+F16+F14</f>
        <v>1736822.7726157913</v>
      </c>
      <c r="G43" s="133">
        <f ca="1">G40+G38+G36+G34+G32+G30+G28+G26+G24+G22+G20+G18+G16+G14</f>
        <v>4247565.8071715897</v>
      </c>
      <c r="H43" s="133">
        <f ca="1">H40+H38+H36+H34+H32+H30+H28+H26+H24+H22+H20+H18+H16+H14</f>
        <v>5984388.579787381</v>
      </c>
      <c r="I43" s="126"/>
    </row>
    <row r="44" spans="1:9" ht="5.0999999999999996" customHeight="1"/>
    <row r="45" spans="1:9" ht="15" customHeight="1">
      <c r="A45" s="607"/>
      <c r="B45" s="678" t="s">
        <v>7108</v>
      </c>
      <c r="C45" s="679"/>
      <c r="D45" s="679"/>
      <c r="E45" s="679"/>
      <c r="F45" s="679"/>
      <c r="G45" s="595"/>
      <c r="H45" s="606"/>
      <c r="I45" s="126"/>
    </row>
    <row r="46" spans="1:9" ht="24.75" customHeight="1">
      <c r="A46" s="608"/>
      <c r="B46" s="666" t="s">
        <v>7105</v>
      </c>
      <c r="C46" s="666"/>
      <c r="D46" s="667"/>
      <c r="E46" s="596">
        <v>1</v>
      </c>
      <c r="F46" s="594"/>
      <c r="G46" s="603">
        <f>+CASA_GRUPO_GERADOR!G73</f>
        <v>131840</v>
      </c>
      <c r="H46" s="605">
        <f>E46*G46</f>
        <v>131840</v>
      </c>
      <c r="I46" s="126"/>
    </row>
    <row r="47" spans="1:9" ht="15" customHeight="1">
      <c r="A47" s="608"/>
      <c r="B47" s="668" t="s">
        <v>6953</v>
      </c>
      <c r="C47" s="668"/>
      <c r="D47" s="669"/>
      <c r="E47" s="598">
        <v>1</v>
      </c>
      <c r="F47" s="594"/>
      <c r="G47" s="604">
        <f>+IMPLANTAÇÃO!J31</f>
        <v>3653.7784609962782</v>
      </c>
      <c r="H47" s="597">
        <f>E47*G47</f>
        <v>3653.7784609962782</v>
      </c>
      <c r="I47" s="126"/>
    </row>
    <row r="48" spans="1:9" ht="15" customHeight="1">
      <c r="A48" s="608"/>
      <c r="B48" s="668" t="s">
        <v>6954</v>
      </c>
      <c r="C48" s="668"/>
      <c r="D48" s="669"/>
      <c r="E48" s="598">
        <v>1</v>
      </c>
      <c r="F48" s="594"/>
      <c r="G48" s="604">
        <f>+IMPLANTAÇÃO!J32</f>
        <v>38299.907294148004</v>
      </c>
      <c r="H48" s="599">
        <f>E48*G48</f>
        <v>38299.907294148004</v>
      </c>
      <c r="I48" s="126"/>
    </row>
    <row r="49" spans="1:9" ht="15" customHeight="1">
      <c r="A49" s="608"/>
      <c r="B49" s="670" t="s">
        <v>6969</v>
      </c>
      <c r="C49" s="670"/>
      <c r="D49" s="671"/>
      <c r="E49" s="598">
        <v>1</v>
      </c>
      <c r="F49" s="594"/>
      <c r="G49" s="604">
        <f>+IMPLANTAÇÃO!J34</f>
        <v>42426.305109569999</v>
      </c>
      <c r="H49" s="599">
        <f>E49*G49</f>
        <v>42426.305109569999</v>
      </c>
      <c r="I49" s="126"/>
    </row>
    <row r="50" spans="1:9" ht="15" customHeight="1">
      <c r="A50" s="609"/>
      <c r="B50" s="675" t="s">
        <v>7106</v>
      </c>
      <c r="C50" s="676"/>
      <c r="D50" s="676"/>
      <c r="E50" s="676"/>
      <c r="F50" s="676"/>
      <c r="G50" s="677"/>
      <c r="H50" s="133">
        <f>SUM(H46:H49)</f>
        <v>216219.99086471429</v>
      </c>
      <c r="I50" s="612"/>
    </row>
    <row r="51" spans="1:9" ht="5.0999999999999996" customHeight="1">
      <c r="A51" s="594"/>
      <c r="B51" s="600"/>
      <c r="C51" s="600"/>
      <c r="D51" s="600"/>
      <c r="E51" s="600"/>
      <c r="F51" s="601"/>
      <c r="G51" s="602"/>
      <c r="I51" s="126"/>
    </row>
    <row r="52" spans="1:9" s="593" customFormat="1" ht="17.100000000000001" customHeight="1">
      <c r="A52" s="636" t="s">
        <v>7107</v>
      </c>
      <c r="B52" s="636"/>
      <c r="C52" s="636"/>
      <c r="D52" s="636"/>
      <c r="E52" s="636"/>
      <c r="F52" s="636"/>
      <c r="G52" s="636"/>
      <c r="H52" s="611">
        <f ca="1">+H43-H50</f>
        <v>5768168.5889226664</v>
      </c>
    </row>
    <row r="53" spans="1:9" ht="15" customHeight="1">
      <c r="A53" s="636" t="s">
        <v>7109</v>
      </c>
      <c r="B53" s="636"/>
      <c r="C53" s="636"/>
      <c r="D53" s="636"/>
      <c r="E53" s="636"/>
      <c r="F53" s="636"/>
      <c r="G53" s="636"/>
      <c r="H53" s="592">
        <f>H50*0.1351</f>
        <v>29211.3207658229</v>
      </c>
    </row>
    <row r="54" spans="1:9" ht="15" customHeight="1">
      <c r="A54" s="663" t="s">
        <v>7116</v>
      </c>
      <c r="B54" s="664"/>
      <c r="C54" s="664"/>
      <c r="D54" s="664"/>
      <c r="E54" s="664"/>
      <c r="F54" s="664"/>
      <c r="G54" s="665"/>
      <c r="H54" s="592">
        <f ca="1">H52*0.1832</f>
        <v>1056728.4854906325</v>
      </c>
    </row>
    <row r="55" spans="1:9" ht="15" customHeight="1">
      <c r="A55" s="636" t="s">
        <v>6970</v>
      </c>
      <c r="B55" s="636"/>
      <c r="C55" s="636"/>
      <c r="D55" s="636"/>
      <c r="E55" s="636"/>
      <c r="F55" s="636"/>
      <c r="G55" s="636"/>
      <c r="H55" s="592">
        <f ca="1">SUM(H53:H54)</f>
        <v>1085939.8062564554</v>
      </c>
    </row>
    <row r="56" spans="1:9" ht="15" customHeight="1">
      <c r="A56" s="636" t="s">
        <v>6971</v>
      </c>
      <c r="B56" s="636"/>
      <c r="C56" s="636"/>
      <c r="D56" s="636"/>
      <c r="E56" s="636"/>
      <c r="F56" s="636"/>
      <c r="G56" s="636"/>
      <c r="H56" s="592">
        <f ca="1">+H55+H43</f>
        <v>7070328.3860438364</v>
      </c>
    </row>
  </sheetData>
  <mergeCells count="31">
    <mergeCell ref="A43:E43"/>
    <mergeCell ref="A53:G53"/>
    <mergeCell ref="B50:G50"/>
    <mergeCell ref="B45:F45"/>
    <mergeCell ref="A54:G54"/>
    <mergeCell ref="B46:D46"/>
    <mergeCell ref="B47:D47"/>
    <mergeCell ref="B48:D48"/>
    <mergeCell ref="B49:D49"/>
    <mergeCell ref="A52:G52"/>
    <mergeCell ref="A35:H35"/>
    <mergeCell ref="A37:H37"/>
    <mergeCell ref="A41:H41"/>
    <mergeCell ref="A42:H42"/>
    <mergeCell ref="A39:H39"/>
    <mergeCell ref="A55:G55"/>
    <mergeCell ref="A56:G56"/>
    <mergeCell ref="A1:H4"/>
    <mergeCell ref="A29:H29"/>
    <mergeCell ref="B9:H9"/>
    <mergeCell ref="A10:H10"/>
    <mergeCell ref="A13:H13"/>
    <mergeCell ref="A15:H15"/>
    <mergeCell ref="A17:H17"/>
    <mergeCell ref="A19:H19"/>
    <mergeCell ref="A21:H21"/>
    <mergeCell ref="A23:H23"/>
    <mergeCell ref="A25:H25"/>
    <mergeCell ref="A27:H27"/>
    <mergeCell ref="A31:H31"/>
    <mergeCell ref="A33:H33"/>
  </mergeCells>
  <phoneticPr fontId="49" type="noConversion"/>
  <pageMargins left="0.43307086614173229" right="0.23622047244094491" top="0.31496062992125984" bottom="0.33" header="0.31496062992125984" footer="0.15748031496062992"/>
  <pageSetup paperSize="9" scale="78" fitToHeight="0" orientation="landscape" r:id="rId1"/>
  <headerFooter>
    <oddFooter>&amp;C&amp;9Página &amp;P de &amp;N</oddFooter>
  </headerFooter>
  <ignoredErrors>
    <ignoredError sqref="C14"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M229"/>
  <sheetViews>
    <sheetView showGridLines="0" zoomScaleNormal="100" zoomScaleSheetLayoutView="100" workbookViewId="0">
      <selection activeCell="C13" sqref="C13"/>
    </sheetView>
  </sheetViews>
  <sheetFormatPr defaultColWidth="9.140625" defaultRowHeight="12.75"/>
  <cols>
    <col min="1" max="1" width="10.7109375" style="16" customWidth="1"/>
    <col min="2" max="2" width="10.7109375" style="33" customWidth="1"/>
    <col min="3" max="3" width="70.7109375" style="132" customWidth="1"/>
    <col min="4" max="4" width="4.7109375" style="16" customWidth="1"/>
    <col min="5" max="7" width="11.7109375" style="24" customWidth="1"/>
    <col min="8" max="8" width="11.7109375" style="90" customWidth="1"/>
    <col min="9" max="9" width="14.28515625" style="34" customWidth="1"/>
    <col min="10" max="10" width="14.28515625" style="75" customWidth="1"/>
    <col min="11" max="13" width="12.140625" style="14" bestFit="1" customWidth="1"/>
    <col min="14" max="14" width="9.140625" style="14"/>
    <col min="15" max="15" width="10" style="14" bestFit="1" customWidth="1"/>
    <col min="16" max="992" width="9.140625" style="14"/>
    <col min="993" max="1001" width="9.140625" style="42"/>
    <col min="1002" max="16384" width="9.140625" style="18"/>
  </cols>
  <sheetData>
    <row r="1" spans="1:16" s="39" customFormat="1" ht="24.95" customHeight="1">
      <c r="A1" s="681"/>
      <c r="B1" s="682"/>
      <c r="C1" s="682"/>
      <c r="D1" s="682"/>
      <c r="E1" s="682"/>
      <c r="F1" s="682"/>
      <c r="G1" s="682"/>
      <c r="H1" s="682"/>
      <c r="I1" s="682"/>
      <c r="J1" s="683"/>
    </row>
    <row r="2" spans="1:16" s="39" customFormat="1" ht="24.95" customHeight="1">
      <c r="A2" s="684"/>
      <c r="B2" s="685"/>
      <c r="C2" s="685"/>
      <c r="D2" s="685"/>
      <c r="E2" s="685"/>
      <c r="F2" s="685"/>
      <c r="G2" s="685"/>
      <c r="H2" s="685"/>
      <c r="I2" s="685"/>
      <c r="J2" s="686"/>
    </row>
    <row r="3" spans="1:16" s="39" customFormat="1" ht="24.95" customHeight="1">
      <c r="A3" s="687"/>
      <c r="B3" s="688"/>
      <c r="C3" s="688"/>
      <c r="D3" s="688"/>
      <c r="E3" s="688"/>
      <c r="F3" s="688"/>
      <c r="G3" s="688"/>
      <c r="H3" s="688"/>
      <c r="I3" s="688"/>
      <c r="J3" s="689"/>
    </row>
    <row r="4" spans="1:16" s="39" customFormat="1" ht="12" customHeight="1">
      <c r="A4" s="407" t="s">
        <v>6295</v>
      </c>
      <c r="B4" s="408"/>
      <c r="C4" s="422" t="str">
        <f>+RESUMO!B5</f>
        <v>CONCLUSÃO DA CONSTRUÇÃO DO CENTRO DE ATENDIMENTO SÓCIO EDUCATIVO - CASE ITUMBIARA</v>
      </c>
      <c r="D4" s="422"/>
      <c r="E4" s="422"/>
      <c r="F4" s="422"/>
      <c r="G4" s="422"/>
      <c r="H4" s="422"/>
      <c r="I4" s="422"/>
      <c r="J4" s="443"/>
    </row>
    <row r="5" spans="1:16" s="39" customFormat="1" ht="12">
      <c r="A5" s="407" t="s">
        <v>6297</v>
      </c>
      <c r="B5" s="408"/>
      <c r="C5" s="422" t="str">
        <f>+RESUMO!B6</f>
        <v>SINAPI – NOVEMBRO/2020 (ONERADA)</v>
      </c>
      <c r="D5" s="422"/>
      <c r="E5" s="422"/>
      <c r="F5" s="422"/>
      <c r="G5" s="422"/>
      <c r="H5" s="422"/>
      <c r="I5" s="422"/>
      <c r="J5" s="443"/>
    </row>
    <row r="6" spans="1:16" s="39" customFormat="1" ht="12">
      <c r="A6" s="411" t="s">
        <v>5545</v>
      </c>
      <c r="B6" s="412"/>
      <c r="C6" s="422" t="str">
        <f>+RESUMO!B7</f>
        <v>MAIO / 2021</v>
      </c>
      <c r="D6" s="422"/>
      <c r="E6" s="422"/>
      <c r="F6" s="422"/>
      <c r="G6" s="422"/>
      <c r="H6" s="422"/>
      <c r="I6" s="422"/>
      <c r="J6" s="443"/>
    </row>
    <row r="7" spans="1:16" s="39" customFormat="1" ht="12">
      <c r="A7" s="411" t="s">
        <v>6298</v>
      </c>
      <c r="B7" s="408"/>
      <c r="C7" s="413">
        <v>2.02000036012687E+18</v>
      </c>
      <c r="D7" s="408"/>
      <c r="E7" s="445"/>
      <c r="F7" s="445"/>
      <c r="G7" s="445"/>
      <c r="H7" s="446"/>
      <c r="I7" s="408"/>
      <c r="J7" s="410"/>
    </row>
    <row r="8" spans="1:16" s="39" customFormat="1" ht="12">
      <c r="A8" s="411" t="s">
        <v>6299</v>
      </c>
      <c r="B8" s="408"/>
      <c r="C8" s="265" t="s">
        <v>6314</v>
      </c>
      <c r="D8" s="408"/>
      <c r="E8" s="445"/>
      <c r="F8" s="445"/>
      <c r="G8" s="445"/>
      <c r="H8" s="446"/>
      <c r="I8" s="408"/>
      <c r="J8" s="410"/>
    </row>
    <row r="9" spans="1:16" s="39" customFormat="1" ht="12">
      <c r="A9" s="414" t="s">
        <v>6300</v>
      </c>
      <c r="B9" s="415"/>
      <c r="C9" s="265" t="s">
        <v>6338</v>
      </c>
      <c r="D9" s="408"/>
      <c r="E9" s="445"/>
      <c r="F9" s="445"/>
      <c r="G9" s="445"/>
      <c r="H9" s="446"/>
      <c r="I9" s="408"/>
      <c r="J9" s="410"/>
    </row>
    <row r="10" spans="1:16" ht="15">
      <c r="A10" s="13"/>
      <c r="B10" s="13"/>
      <c r="C10" s="225"/>
      <c r="D10" s="13"/>
      <c r="E10" s="527"/>
      <c r="F10" s="527"/>
      <c r="G10" s="527"/>
      <c r="H10" s="528"/>
      <c r="I10" s="13"/>
      <c r="J10" s="10"/>
    </row>
    <row r="11" spans="1:16">
      <c r="A11" s="50" t="s">
        <v>5551</v>
      </c>
      <c r="B11" s="51" t="s">
        <v>0</v>
      </c>
      <c r="C11" s="226" t="s">
        <v>6305</v>
      </c>
      <c r="D11" s="50" t="s">
        <v>6306</v>
      </c>
      <c r="E11" s="52" t="s">
        <v>6311</v>
      </c>
      <c r="F11" s="27" t="s">
        <v>6285</v>
      </c>
      <c r="G11" s="27" t="s">
        <v>586</v>
      </c>
      <c r="H11" s="27" t="s">
        <v>6286</v>
      </c>
      <c r="I11" s="27" t="s">
        <v>7100</v>
      </c>
      <c r="J11" s="27" t="s">
        <v>6309</v>
      </c>
    </row>
    <row r="12" spans="1:16">
      <c r="A12" s="266"/>
      <c r="B12" s="267"/>
      <c r="C12" s="268"/>
      <c r="D12" s="269"/>
      <c r="E12" s="359"/>
      <c r="F12" s="359"/>
      <c r="G12" s="359"/>
      <c r="H12" s="312"/>
      <c r="I12" s="270"/>
      <c r="J12" s="271"/>
      <c r="L12" s="255"/>
      <c r="M12" s="255"/>
    </row>
    <row r="13" spans="1:16">
      <c r="A13" s="251"/>
      <c r="B13" s="272">
        <v>164</v>
      </c>
      <c r="C13" s="273" t="s">
        <v>612</v>
      </c>
      <c r="D13" s="274"/>
      <c r="E13" s="279"/>
      <c r="F13" s="279"/>
      <c r="G13" s="279"/>
      <c r="H13" s="280"/>
      <c r="I13" s="275"/>
      <c r="J13" s="276"/>
      <c r="O13" s="257"/>
      <c r="P13" s="257"/>
    </row>
    <row r="14" spans="1:16" ht="24">
      <c r="A14" s="251" t="s">
        <v>6307</v>
      </c>
      <c r="B14" s="277">
        <v>37</v>
      </c>
      <c r="C14" s="278" t="str">
        <f>(IF($A14="SINAPI",INDEX(SINAPI_NOV2020_NDES!$A$7:$H$6703,MATCH($B14,SINAPI_NOV2020_NDES!$A$7:$A$6703,0),2),IF($A14="GOINFRA",INDEX(#REF!,MATCH($B14,#REF!,0),2),(INDEX(COMPOS!$A$4:$G$390,MATCH($B14,COMPOS!$A$4:A$390,0),2)))))</f>
        <v>LOCAÇÃO DE PRAÇA, QUADRA, IMPLANTAÇÃO UTILIZANDO CAVALETE, INCLUSIVE PIQUET COM TESTEMUNHA</v>
      </c>
      <c r="D14" s="274" t="str">
        <f>(IF($A14="SINAPI",INDEX(SINAPI_NOV2020_NDES!$A$7:$H$6703,MATCH($B14,SINAPI_NOV2020_NDES!$A$7:$A$6703,0),3),IF($A14="GOINFRA",INDEX(#REF!,MATCH($B14,#REF!,0),3),(INDEX(COMPOS!$A$4:$G$39000,MATCH($B14,COMPOS!$A$4:A$39000,0),3)))))</f>
        <v>M2</v>
      </c>
      <c r="E14" s="279">
        <f>47.66*2</f>
        <v>95.32</v>
      </c>
      <c r="F14" s="279">
        <f>(IF($A14="SINAPI",INDEX(SINAPI_NOV2020_NDES!$A$7:$H$6703,MATCH($B14,SINAPI_NOV2020_NDES!$A$7:$A$6703,0),5),(INDEX(COMPOS!$A$4:$G$801,MATCH($B14,COMPOS!$A$4:A$801,0),4))))</f>
        <v>2.117407</v>
      </c>
      <c r="G14" s="279">
        <f>(IF($A14="SINAPI",INDEX(SINAPI_NOV2020_NDES!$A$7:$H$6703,MATCH($B14,SINAPI_NOV2020_NDES!$A$7:$A$6703,0),6),(INDEX(COMPOS!$A$4:$G$801,MATCH($B14,COMPOS!$A$4:A$801,0),5))))</f>
        <v>0.20551599999999998</v>
      </c>
      <c r="H14" s="280">
        <f>(IF($A14="SINAPI",INDEX(SINAPI_NOV2020_NDES!$A$7:$H$6703,MATCH($B14,SINAPI_NOV2020_NDES!$A$7:$A$6703,0),7),(INDEX(COMPOS!$A$4:$G$801,MATCH($B14,COMPOS!$A$4:A$801,0),6))))</f>
        <v>0</v>
      </c>
      <c r="I14" s="279">
        <f t="shared" ref="I14" si="0">SUM(F14:H14)</f>
        <v>2.3229229999999998</v>
      </c>
      <c r="J14" s="276">
        <f t="shared" ref="J14" si="1">+I14*E14</f>
        <v>221.42102035999997</v>
      </c>
      <c r="K14" s="255"/>
      <c r="L14" s="255"/>
      <c r="M14" s="255"/>
      <c r="N14" s="255"/>
      <c r="O14" s="257"/>
      <c r="P14" s="257"/>
    </row>
    <row r="15" spans="1:16" ht="24">
      <c r="A15" s="251" t="s">
        <v>6307</v>
      </c>
      <c r="B15" s="277">
        <v>450</v>
      </c>
      <c r="C15" s="278" t="str">
        <f>(IF($A15="SINAPI",INDEX(SINAPI_NOV2020_NDES!$A$7:$H$6703,MATCH($B15,SINAPI_NOV2020_NDES!$A$7:$A$6703,0),2),IF($A15="GOINFRA",INDEX(#REF!,MATCH($B15,#REF!,0),2),(INDEX(COMPOS!$A$4:$G$3900,MATCH($B15,COMPOS!$A$4:A$3900,0),2)))))</f>
        <v>TRANSPORTE DE ENTULHO EM CAÇAMBA ESTACIONÁRIA INCLUSO A CARGA MANUAL</v>
      </c>
      <c r="D15" s="274" t="str">
        <f>(IF($A15="SINAPI",INDEX(SINAPI_NOV2020_NDES!$A$7:$H$6703,MATCH($B15,SINAPI_NOV2020_NDES!$A$7:$A$6703,0),3),IF($A15="GOINFRA",INDEX(#REF!,MATCH($B15,#REF!,0),3),(INDEX(COMPOS!$A$4:$G$39000,MATCH($B15,COMPOS!$A$4:A$39000,0),3)))))</f>
        <v>M3</v>
      </c>
      <c r="E15" s="279">
        <f>890.11*0.07*0.5</f>
        <v>31.153850000000002</v>
      </c>
      <c r="F15" s="279">
        <f>(IF($A15="SINAPI",INDEX(SINAPI_NOV2020_NDES!$A$7:$H$6703,MATCH($B15,SINAPI_NOV2020_NDES!$A$7:$A$6703,0),5),(INDEX(COMPOS!$A$4:$G$801,MATCH($B15,COMPOS!$A$4:A$801,0),4))))</f>
        <v>10.879199999999999</v>
      </c>
      <c r="G15" s="279">
        <f>(IF($A15="SINAPI",INDEX(SINAPI_NOV2020_NDES!$A$7:$H$6703,MATCH($B15,SINAPI_NOV2020_NDES!$A$7:$A$6703,0),6),(INDEX(COMPOS!$A$4:$G$801,MATCH($B15,COMPOS!$A$4:A$801,0),5))))</f>
        <v>50.39</v>
      </c>
      <c r="H15" s="280">
        <f>(IF($A15="SINAPI",INDEX(SINAPI_NOV2020_NDES!$A$7:$H$6703,MATCH($B15,SINAPI_NOV2020_NDES!$A$7:$A$6703,0),7),(INDEX(COMPOS!$A$4:$G$801,MATCH($B15,COMPOS!$A$4:A$801,0),6))))</f>
        <v>0</v>
      </c>
      <c r="I15" s="279">
        <f t="shared" ref="I15" si="2">SUM(F15:H15)</f>
        <v>61.269199999999998</v>
      </c>
      <c r="J15" s="276">
        <f t="shared" ref="J15" si="3">+I15*E15</f>
        <v>1908.77146642</v>
      </c>
      <c r="K15" s="255"/>
      <c r="L15" s="255"/>
      <c r="M15" s="255"/>
      <c r="N15" s="255"/>
      <c r="O15" s="257"/>
      <c r="P15" s="257"/>
    </row>
    <row r="16" spans="1:16" s="88" customFormat="1" ht="15">
      <c r="A16" s="680" t="s">
        <v>6927</v>
      </c>
      <c r="B16" s="680"/>
      <c r="C16" s="680"/>
      <c r="D16" s="680"/>
      <c r="E16" s="680"/>
      <c r="F16" s="680"/>
      <c r="G16" s="680"/>
      <c r="H16" s="680"/>
      <c r="I16" s="680"/>
      <c r="J16" s="281">
        <f>SUM(J14:J15)</f>
        <v>2130.1924867799999</v>
      </c>
      <c r="K16" s="255"/>
      <c r="L16" s="255"/>
      <c r="M16" s="255"/>
      <c r="N16" s="255"/>
      <c r="O16" s="257"/>
      <c r="P16" s="257"/>
    </row>
    <row r="17" spans="1:16">
      <c r="A17" s="251"/>
      <c r="B17" s="272">
        <v>166</v>
      </c>
      <c r="C17" s="273" t="s">
        <v>609</v>
      </c>
      <c r="D17" s="274"/>
      <c r="E17" s="279"/>
      <c r="F17" s="279"/>
      <c r="G17" s="279"/>
      <c r="H17" s="280"/>
      <c r="I17" s="275"/>
      <c r="J17" s="276"/>
      <c r="K17" s="255"/>
      <c r="L17" s="255"/>
      <c r="M17" s="255"/>
      <c r="N17" s="255"/>
      <c r="O17" s="257"/>
      <c r="P17" s="257"/>
    </row>
    <row r="18" spans="1:16" ht="24">
      <c r="A18" s="250" t="s">
        <v>6307</v>
      </c>
      <c r="B18" s="250">
        <v>305</v>
      </c>
      <c r="C18" s="282" t="str">
        <f>(IF($A18="SINAPI",INDEX(SINAPI_NOV2020_NDES!$A$7:$H$6703,MATCH($B18,SINAPI_NOV2020_NDES!$A$7:$A$6703,0),2),IF($A18="GOINFRA",INDEX(#REF!,MATCH($B18,#REF!,0),2),(INDEX(COMPOS!$A$4:$G$390,MATCH($B18,COMPOS!$A$4:A$390,0),2)))))</f>
        <v>REGULARIZAÇÃO DO TERRENO SEM APILOAMENTO COM TRANSPORTE MANUAL DE TERRA ESCAVADA</v>
      </c>
      <c r="D18" s="274" t="str">
        <f>(IF($A18="SINAPI",INDEX(SINAPI_NOV2020_NDES!$A$7:$H$6703,MATCH($B18,SINAPI_NOV2020_NDES!$A$7:$A$6703,0),3),IF($A18="GOINFRA",INDEX(#REF!,MATCH($B18,#REF!,0),3),(INDEX(COMPOS!$A$4:$G$39000,MATCH($B18,COMPOS!$A$4:A$39000,0),3)))))</f>
        <v>M2</v>
      </c>
      <c r="E18" s="325">
        <v>248.14999999999998</v>
      </c>
      <c r="F18" s="279">
        <f>(IF($A18="SINAPI",INDEX(SINAPI_NOV2020_NDES!$A$7:$H$6703,MATCH($B18,SINAPI_NOV2020_NDES!$A$7:$A$6703,0),5),(INDEX(COMPOS!$A$4:$G$801,MATCH($B18,COMPOS!$A$4:A$801,0),4))))</f>
        <v>2.842123</v>
      </c>
      <c r="G18" s="279">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2.842123</v>
      </c>
      <c r="J18" s="276">
        <f t="shared" ref="J18" si="5">+I18*E18</f>
        <v>705.27282244999992</v>
      </c>
      <c r="K18" s="255"/>
      <c r="L18" s="255"/>
      <c r="M18" s="255"/>
      <c r="N18" s="255"/>
      <c r="O18" s="257"/>
      <c r="P18" s="257"/>
    </row>
    <row r="19" spans="1:16">
      <c r="A19" s="250" t="s">
        <v>6307</v>
      </c>
      <c r="B19" s="250">
        <v>302</v>
      </c>
      <c r="C19" s="282" t="str">
        <f>(IF($A19="SINAPI",INDEX(SINAPI_NOV2020_NDES!$A$7:$H$6703,MATCH($B19,SINAPI_NOV2020_NDES!$A$7:$A$6703,0),2),IF($A19="GOINFRA",INDEX(#REF!,MATCH($B19,#REF!,0),2),(INDEX(COMPOS!$A$4:$G$390,MATCH($B19,COMPOS!$A$4:A$390,0),2)))))</f>
        <v>APILOAMENTO</v>
      </c>
      <c r="D19" s="274" t="str">
        <f>(IF($A19="SINAPI",INDEX(SINAPI_NOV2020_NDES!$A$7:$H$6703,MATCH($B19,SINAPI_NOV2020_NDES!$A$7:$A$6703,0),3),IF($A19="GOINFRA",INDEX(#REF!,MATCH($B19,#REF!,0),3),(INDEX(COMPOS!$A$4:$G$39000,MATCH($B19,COMPOS!$A$4:A$39000,0),3)))))</f>
        <v>M2</v>
      </c>
      <c r="E19" s="325">
        <v>152.82999999999998</v>
      </c>
      <c r="F19" s="279">
        <f>(IF($A19="SINAPI",INDEX(SINAPI_NOV2020_NDES!$A$7:$H$6703,MATCH($B19,SINAPI_NOV2020_NDES!$A$7:$A$6703,0),5),(INDEX(COMPOS!$A$4:$G$801,MATCH($B19,COMPOS!$A$4:A$801,0),4))))</f>
        <v>6.0440000000000005</v>
      </c>
      <c r="G19" s="279">
        <f>(IF($A19="SINAPI",INDEX(SINAPI_NOV2020_NDES!$A$7:$H$6703,MATCH($B19,SINAPI_NOV2020_NDES!$A$7:$A$6703,0),6),(INDEX(COMPOS!$A$4:$G$801,MATCH($B19,COMPOS!$A$4:A$801,0),5))))</f>
        <v>0</v>
      </c>
      <c r="H19" s="280">
        <f>(IF($A19="SINAPI",INDEX(SINAPI_NOV2020_NDES!$A$7:$H$6703,MATCH($B19,SINAPI_NOV2020_NDES!$A$7:$A$6703,0),7),(INDEX(COMPOS!$A$4:$G$801,MATCH($B19,COMPOS!$A$4:A$801,0),6))))</f>
        <v>0</v>
      </c>
      <c r="I19" s="279">
        <f t="shared" ref="I19" si="6">SUM(F19:H19)</f>
        <v>6.0440000000000005</v>
      </c>
      <c r="J19" s="276">
        <f t="shared" ref="J19" si="7">+I19*E19</f>
        <v>923.70452</v>
      </c>
      <c r="K19" s="255"/>
      <c r="L19" s="255"/>
      <c r="M19" s="255"/>
      <c r="N19" s="255"/>
      <c r="O19" s="257"/>
      <c r="P19" s="257"/>
    </row>
    <row r="20" spans="1:16" s="88" customFormat="1" ht="15">
      <c r="A20" s="680" t="s">
        <v>6927</v>
      </c>
      <c r="B20" s="680"/>
      <c r="C20" s="680"/>
      <c r="D20" s="680"/>
      <c r="E20" s="680"/>
      <c r="F20" s="680"/>
      <c r="G20" s="680"/>
      <c r="H20" s="680"/>
      <c r="I20" s="680"/>
      <c r="J20" s="281">
        <f>SUM(J18:J19)</f>
        <v>1628.9773424499999</v>
      </c>
      <c r="K20" s="255"/>
      <c r="L20" s="255"/>
      <c r="M20" s="255"/>
      <c r="N20" s="255"/>
      <c r="O20" s="257"/>
      <c r="P20" s="257"/>
    </row>
    <row r="21" spans="1:16">
      <c r="A21" s="251"/>
      <c r="B21" s="272">
        <v>169</v>
      </c>
      <c r="C21" s="273" t="s">
        <v>605</v>
      </c>
      <c r="D21" s="274"/>
      <c r="E21" s="279"/>
      <c r="F21" s="279"/>
      <c r="G21" s="279"/>
      <c r="H21" s="280"/>
      <c r="I21" s="275"/>
      <c r="J21" s="276"/>
      <c r="K21" s="255"/>
      <c r="L21" s="255"/>
      <c r="M21" s="255"/>
      <c r="N21" s="255"/>
      <c r="O21" s="257"/>
      <c r="P21" s="257"/>
    </row>
    <row r="22" spans="1:16" ht="24">
      <c r="A22" s="251" t="s">
        <v>7</v>
      </c>
      <c r="B22" s="283">
        <v>91927</v>
      </c>
      <c r="C22" s="282" t="str">
        <f>(IF($A22="SINAPI",INDEX(SINAPI_NOV2020_NDES!$A$7:$H$6703,MATCH($B22,SINAPI_NOV2020_NDES!$A$7:$A$6703,0),2),IF($A22="GOINFRA",INDEX(#REF!,MATCH($B22,#REF!,0),2),(INDEX(COMPOS!$A$4:$G$390,MATCH($B22,COMPOS!$A$4:A$390,0),2)))))</f>
        <v>CABO DE COBRE FLEXÍVEL ISOLADO, 2,5 MM², ANTI-CHAMA 0,6/1,0 KV, PARA CIRCUITOS TERMINAIS - FORNECIMENTO E INSTALAÇÃO. AF_12/2015</v>
      </c>
      <c r="D22" s="274" t="str">
        <f>(IF($A22="SINAPI",INDEX(SINAPI_NOV2020_NDES!$A$7:$H$6703,MATCH($B22,SINAPI_NOV2020_NDES!$A$7:$A$6703,0),3),IF($A22="GOINFRA",INDEX(#REF!,MATCH($B22,#REF!,0),3),(INDEX(COMPOS!$A$4:$G$39000,MATCH($B22,COMPOS!$A$4:A$39000,0),3)))))</f>
        <v>M</v>
      </c>
      <c r="E22" s="280">
        <v>5188.7299999999996</v>
      </c>
      <c r="F22" s="279">
        <f>(IF($A22="SINAPI",INDEX(SINAPI_NOV2020_NDES!$A$7:$H$6703,MATCH($B22,SINAPI_NOV2020_NDES!$A$7:$A$6703,0),5),(INDEX(COMPOS!$A$4:$G$801,MATCH($B22,COMPOS!$A$4:A$801,0),4))))</f>
        <v>0.88</v>
      </c>
      <c r="G22" s="279">
        <f>(IF($A22="SINAPI",INDEX(SINAPI_NOV2020_NDES!$A$7:$H$6703,MATCH($B22,SINAPI_NOV2020_NDES!$A$7:$A$6703,0),6),(INDEX(COMPOS!$A$4:$G$801,MATCH($B22,COMPOS!$A$4:A$801,0),5))))</f>
        <v>2.68</v>
      </c>
      <c r="H22" s="280">
        <f>(IF($A22="SINAPI",INDEX(SINAPI_NOV2020_NDES!$A$7:$H$6703,MATCH($B22,SINAPI_NOV2020_NDES!$A$7:$A$6703,0),7),(INDEX(COMPOS!$A$4:$G$801,MATCH($B22,COMPOS!$A$4:A$801,0),6))))</f>
        <v>0</v>
      </c>
      <c r="I22" s="279">
        <f t="shared" ref="I22:I49" si="8">SUM(F22:H22)</f>
        <v>3.56</v>
      </c>
      <c r="J22" s="276">
        <f t="shared" ref="J22:J49" si="9">+I22*E22</f>
        <v>18471.878799999999</v>
      </c>
      <c r="K22" s="255"/>
      <c r="L22" s="255"/>
      <c r="M22" s="255"/>
      <c r="N22" s="255"/>
      <c r="O22" s="257"/>
      <c r="P22" s="257"/>
    </row>
    <row r="23" spans="1:16" ht="24">
      <c r="A23" s="251" t="s">
        <v>7</v>
      </c>
      <c r="B23" s="283">
        <v>91929</v>
      </c>
      <c r="C23" s="282" t="str">
        <f>(IF($A23="SINAPI",INDEX(SINAPI_NOV2020_NDES!$A$7:$H$6703,MATCH($B23,SINAPI_NOV2020_NDES!$A$7:$A$6703,0),2),IF($A23="GOINFRA",INDEX(#REF!,MATCH($B23,#REF!,0),2),(INDEX(COMPOS!$A$4:$G$390,MATCH($B23,COMPOS!$A$4:A$390,0),2)))))</f>
        <v>CABO DE COBRE FLEXÍVEL ISOLADO, 4 MM², ANTI-CHAMA 0,6/1,0 KV, PARA CIRCUITOS TERMINAIS - FORNECIMENTO E INSTALAÇÃO. AF_12/2015</v>
      </c>
      <c r="D23" s="274" t="str">
        <f>(IF($A23="SINAPI",INDEX(SINAPI_NOV2020_NDES!$A$7:$H$6703,MATCH($B23,SINAPI_NOV2020_NDES!$A$7:$A$6703,0),3),IF($A23="GOINFRA",INDEX(#REF!,MATCH($B23,#REF!,0),3),(INDEX(COMPOS!$A$4:$G$39000,MATCH($B23,COMPOS!$A$4:A$39000,0),3)))))</f>
        <v>M</v>
      </c>
      <c r="E23" s="280">
        <v>130</v>
      </c>
      <c r="F23" s="279">
        <f>(IF($A23="SINAPI",INDEX(SINAPI_NOV2020_NDES!$A$7:$H$6703,MATCH($B23,SINAPI_NOV2020_NDES!$A$7:$A$6703,0),5),(INDEX(COMPOS!$A$4:$G$801,MATCH($B23,COMPOS!$A$4:A$801,0),4))))</f>
        <v>1.17</v>
      </c>
      <c r="G23" s="279">
        <f>(IF($A23="SINAPI",INDEX(SINAPI_NOV2020_NDES!$A$7:$H$6703,MATCH($B23,SINAPI_NOV2020_NDES!$A$7:$A$6703,0),6),(INDEX(COMPOS!$A$4:$G$801,MATCH($B23,COMPOS!$A$4:A$801,0),5))))</f>
        <v>3.8</v>
      </c>
      <c r="H23" s="280">
        <f>(IF($A23="SINAPI",INDEX(SINAPI_NOV2020_NDES!$A$7:$H$6703,MATCH($B23,SINAPI_NOV2020_NDES!$A$7:$A$6703,0),7),(INDEX(COMPOS!$A$4:$G$801,MATCH($B23,COMPOS!$A$4:A$801,0),6))))</f>
        <v>0</v>
      </c>
      <c r="I23" s="279">
        <f t="shared" si="8"/>
        <v>4.97</v>
      </c>
      <c r="J23" s="276">
        <f t="shared" si="9"/>
        <v>646.1</v>
      </c>
      <c r="K23" s="255"/>
      <c r="L23" s="255"/>
      <c r="M23" s="255"/>
      <c r="N23" s="255"/>
      <c r="O23" s="257"/>
      <c r="P23" s="257"/>
    </row>
    <row r="24" spans="1:16" ht="24">
      <c r="A24" s="251" t="s">
        <v>7</v>
      </c>
      <c r="B24" s="283">
        <v>91933</v>
      </c>
      <c r="C24" s="282" t="str">
        <f>(IF($A24="SINAPI",INDEX(SINAPI_NOV2020_NDES!$A$7:$H$6703,MATCH($B24,SINAPI_NOV2020_NDES!$A$7:$A$6703,0),2),IF($A24="GOINFRA",INDEX(#REF!,MATCH($B24,#REF!,0),2),(INDEX(COMPOS!$A$4:$G$390,MATCH($B24,COMPOS!$A$4:A$390,0),2)))))</f>
        <v>CABO DE COBRE FLEXÍVEL ISOLADO, 10 MM², ANTI-CHAMA 0,6/1,0 KV, PARA CIRCUITOS TERMINAIS - FORNECIMENTO E INSTALAÇÃO. AF_12/2015</v>
      </c>
      <c r="D24" s="274" t="str">
        <f>(IF($A24="SINAPI",INDEX(SINAPI_NOV2020_NDES!$A$7:$H$6703,MATCH($B24,SINAPI_NOV2020_NDES!$A$7:$A$6703,0),3),IF($A24="GOINFRA",INDEX(#REF!,MATCH($B24,#REF!,0),3),(INDEX(COMPOS!$A$4:$G$39000,MATCH($B24,COMPOS!$A$4:A$39000,0),3)))))</f>
        <v>M</v>
      </c>
      <c r="E24" s="280">
        <v>130</v>
      </c>
      <c r="F24" s="279">
        <f>(IF($A24="SINAPI",INDEX(SINAPI_NOV2020_NDES!$A$7:$H$6703,MATCH($B24,SINAPI_NOV2020_NDES!$A$7:$A$6703,0),5),(INDEX(COMPOS!$A$4:$G$801,MATCH($B24,COMPOS!$A$4:A$801,0),4))))</f>
        <v>2.2599999999999998</v>
      </c>
      <c r="G24" s="279">
        <f>(IF($A24="SINAPI",INDEX(SINAPI_NOV2020_NDES!$A$7:$H$6703,MATCH($B24,SINAPI_NOV2020_NDES!$A$7:$A$6703,0),6),(INDEX(COMPOS!$A$4:$G$801,MATCH($B24,COMPOS!$A$4:A$801,0),5))))</f>
        <v>8.2100000000000009</v>
      </c>
      <c r="H24" s="280">
        <f>(IF($A24="SINAPI",INDEX(SINAPI_NOV2020_NDES!$A$7:$H$6703,MATCH($B24,SINAPI_NOV2020_NDES!$A$7:$A$6703,0),7),(INDEX(COMPOS!$A$4:$G$801,MATCH($B24,COMPOS!$A$4:A$801,0),6))))</f>
        <v>0</v>
      </c>
      <c r="I24" s="279">
        <f t="shared" si="8"/>
        <v>10.47</v>
      </c>
      <c r="J24" s="276">
        <f t="shared" si="9"/>
        <v>1361.1000000000001</v>
      </c>
      <c r="K24" s="255"/>
      <c r="L24" s="255"/>
      <c r="M24" s="255"/>
      <c r="N24" s="255"/>
      <c r="O24" s="257"/>
      <c r="P24" s="257"/>
    </row>
    <row r="25" spans="1:16" ht="24">
      <c r="A25" s="251" t="s">
        <v>7</v>
      </c>
      <c r="B25" s="283">
        <v>93018</v>
      </c>
      <c r="C25" s="282" t="str">
        <f>(IF($A25="SINAPI",INDEX(SINAPI_NOV2020_NDES!$A$7:$H$6703,MATCH($B25,SINAPI_NOV2020_NDES!$A$7:$A$6703,0),2),IF($A25="GOINFRA",INDEX(#REF!,MATCH($B25,#REF!,0),2),(INDEX(COMPOS!$A$4:$G$390,MATCH($B25,COMPOS!$A$4:A$390,0),2)))))</f>
        <v>CURVA 90 GRAUS PARA ELETRODUTO, PVC, ROSCÁVEL, DN 50 MM (1 1/2") - FORNECIMENTO E INSTALAÇÃO. AF_12/2015</v>
      </c>
      <c r="D25" s="274" t="str">
        <f>(IF($A25="SINAPI",INDEX(SINAPI_NOV2020_NDES!$A$7:$H$6703,MATCH($B25,SINAPI_NOV2020_NDES!$A$7:$A$6703,0),3),IF($A25="GOINFRA",INDEX(#REF!,MATCH($B25,#REF!,0),3),(INDEX(COMPOS!$A$4:$G$39000,MATCH($B25,COMPOS!$A$4:A$39000,0),3)))))</f>
        <v>UN</v>
      </c>
      <c r="E25" s="280">
        <v>6</v>
      </c>
      <c r="F25" s="279">
        <f>(IF($A25="SINAPI",INDEX(SINAPI_NOV2020_NDES!$A$7:$H$6703,MATCH($B25,SINAPI_NOV2020_NDES!$A$7:$A$6703,0),5),(INDEX(COMPOS!$A$4:$G$801,MATCH($B25,COMPOS!$A$4:A$801,0),4))))</f>
        <v>9.93</v>
      </c>
      <c r="G25" s="279">
        <f>(IF($A25="SINAPI",INDEX(SINAPI_NOV2020_NDES!$A$7:$H$6703,MATCH($B25,SINAPI_NOV2020_NDES!$A$7:$A$6703,0),6),(INDEX(COMPOS!$A$4:$G$801,MATCH($B25,COMPOS!$A$4:A$801,0),5))))</f>
        <v>5.55</v>
      </c>
      <c r="H25" s="280">
        <f>(IF($A25="SINAPI",INDEX(SINAPI_NOV2020_NDES!$A$7:$H$6703,MATCH($B25,SINAPI_NOV2020_NDES!$A$7:$A$6703,0),7),(INDEX(COMPOS!$A$4:$G$801,MATCH($B25,COMPOS!$A$4:A$801,0),6))))</f>
        <v>0</v>
      </c>
      <c r="I25" s="279">
        <f t="shared" si="8"/>
        <v>15.48</v>
      </c>
      <c r="J25" s="276">
        <f t="shared" si="9"/>
        <v>92.88</v>
      </c>
      <c r="K25" s="255"/>
      <c r="L25" s="255"/>
      <c r="M25" s="255"/>
      <c r="N25" s="255"/>
      <c r="O25" s="257"/>
      <c r="P25" s="257"/>
    </row>
    <row r="26" spans="1:16" ht="24">
      <c r="A26" s="251" t="s">
        <v>7</v>
      </c>
      <c r="B26" s="283">
        <v>93657</v>
      </c>
      <c r="C26" s="282" t="str">
        <f>(IF($A26="SINAPI",INDEX(SINAPI_NOV2020_NDES!$A$7:$H$6703,MATCH($B26,SINAPI_NOV2020_NDES!$A$7:$A$6703,0),2),IF($A26="GOINFRA",INDEX(#REF!,MATCH($B26,#REF!,0),2),(INDEX(COMPOS!$A$4:$G$390,MATCH($B26,COMPOS!$A$4:A$390,0),2)))))</f>
        <v>DISJUNTOR MONOPOLAR TIPO DIN, CORRENTE NOMINAL DE 32A - FORNECIMENTO E INSTALAÇÃO. AF_10/2020</v>
      </c>
      <c r="D26" s="274" t="str">
        <f>(IF($A26="SINAPI",INDEX(SINAPI_NOV2020_NDES!$A$7:$H$6703,MATCH($B26,SINAPI_NOV2020_NDES!$A$7:$A$6703,0),3),IF($A26="GOINFRA",INDEX(#REF!,MATCH($B26,#REF!,0),3),(INDEX(COMPOS!$A$4:$G$39000,MATCH($B26,COMPOS!$A$4:A$39000,0),3)))))</f>
        <v>UN</v>
      </c>
      <c r="E26" s="280">
        <v>39</v>
      </c>
      <c r="F26" s="279">
        <f>(IF($A26="SINAPI",INDEX(SINAPI_NOV2020_NDES!$A$7:$H$6703,MATCH($B26,SINAPI_NOV2020_NDES!$A$7:$A$6703,0),5),(INDEX(COMPOS!$A$4:$G$801,MATCH($B26,COMPOS!$A$4:A$801,0),4))))</f>
        <v>2.67</v>
      </c>
      <c r="G26" s="279">
        <f>(IF($A26="SINAPI",INDEX(SINAPI_NOV2020_NDES!$A$7:$H$6703,MATCH($B26,SINAPI_NOV2020_NDES!$A$7:$A$6703,0),6),(INDEX(COMPOS!$A$4:$G$801,MATCH($B26,COMPOS!$A$4:A$801,0),5))))</f>
        <v>10.130000000000001</v>
      </c>
      <c r="H26" s="280">
        <f>(IF($A26="SINAPI",INDEX(SINAPI_NOV2020_NDES!$A$7:$H$6703,MATCH($B26,SINAPI_NOV2020_NDES!$A$7:$A$6703,0),7),(INDEX(COMPOS!$A$4:$G$801,MATCH($B26,COMPOS!$A$4:A$801,0),6))))</f>
        <v>0</v>
      </c>
      <c r="I26" s="279">
        <f t="shared" si="8"/>
        <v>12.8</v>
      </c>
      <c r="J26" s="276">
        <f t="shared" si="9"/>
        <v>499.20000000000005</v>
      </c>
      <c r="K26" s="255"/>
      <c r="L26" s="255"/>
      <c r="M26" s="255"/>
      <c r="N26" s="255"/>
      <c r="O26" s="257"/>
      <c r="P26" s="257"/>
    </row>
    <row r="27" spans="1:16" ht="24">
      <c r="A27" s="251" t="s">
        <v>7</v>
      </c>
      <c r="B27" s="283">
        <v>93671</v>
      </c>
      <c r="C27" s="282" t="str">
        <f>(IF($A27="SINAPI",INDEX(SINAPI_NOV2020_NDES!$A$7:$H$6703,MATCH($B27,SINAPI_NOV2020_NDES!$A$7:$A$6703,0),2),IF($A27="GOINFRA",INDEX(#REF!,MATCH($B27,#REF!,0),2),(INDEX(COMPOS!$A$4:$G$390,MATCH($B27,COMPOS!$A$4:A$390,0),2)))))</f>
        <v>DISJUNTOR TRIPOLAR TIPO DIN, CORRENTE NOMINAL DE 32A - FORNECIMENTO E INSTALAÇÃO. AF_10/2020</v>
      </c>
      <c r="D27" s="274" t="str">
        <f>(IF($A27="SINAPI",INDEX(SINAPI_NOV2020_NDES!$A$7:$H$6703,MATCH($B27,SINAPI_NOV2020_NDES!$A$7:$A$6703,0),3),IF($A27="GOINFRA",INDEX(#REF!,MATCH($B27,#REF!,0),3),(INDEX(COMPOS!$A$4:$G$39000,MATCH($B27,COMPOS!$A$4:A$39000,0),3)))))</f>
        <v>UN</v>
      </c>
      <c r="E27" s="280">
        <v>2</v>
      </c>
      <c r="F27" s="279">
        <f>(IF($A27="SINAPI",INDEX(SINAPI_NOV2020_NDES!$A$7:$H$6703,MATCH($B27,SINAPI_NOV2020_NDES!$A$7:$A$6703,0),5),(INDEX(COMPOS!$A$4:$G$801,MATCH($B27,COMPOS!$A$4:A$801,0),4))))</f>
        <v>8.0399999999999991</v>
      </c>
      <c r="G27" s="279">
        <f>(IF($A27="SINAPI",INDEX(SINAPI_NOV2020_NDES!$A$7:$H$6703,MATCH($B27,SINAPI_NOV2020_NDES!$A$7:$A$6703,0),6),(INDEX(COMPOS!$A$4:$G$801,MATCH($B27,COMPOS!$A$4:A$801,0),5))))</f>
        <v>64.25</v>
      </c>
      <c r="H27" s="280">
        <f>(IF($A27="SINAPI",INDEX(SINAPI_NOV2020_NDES!$A$7:$H$6703,MATCH($B27,SINAPI_NOV2020_NDES!$A$7:$A$6703,0),7),(INDEX(COMPOS!$A$4:$G$801,MATCH($B27,COMPOS!$A$4:A$801,0),6))))</f>
        <v>0</v>
      </c>
      <c r="I27" s="279">
        <f t="shared" si="8"/>
        <v>72.289999999999992</v>
      </c>
      <c r="J27" s="276">
        <f t="shared" si="9"/>
        <v>144.57999999999998</v>
      </c>
      <c r="K27" s="255"/>
      <c r="L27" s="255"/>
      <c r="M27" s="255"/>
      <c r="N27" s="255"/>
      <c r="O27" s="257"/>
      <c r="P27" s="257"/>
    </row>
    <row r="28" spans="1:16" ht="24">
      <c r="A28" s="251" t="s">
        <v>7</v>
      </c>
      <c r="B28" s="283">
        <v>101895</v>
      </c>
      <c r="C28" s="282" t="str">
        <f>(IF($A28="SINAPI",INDEX(SINAPI_NOV2020_NDES!$A$7:$H$6703,MATCH($B28,SINAPI_NOV2020_NDES!$A$7:$A$6703,0),2),IF($A28="GOINFRA",INDEX(#REF!,MATCH($B28,#REF!,0),2),(INDEX(COMPOS!$A$4:$G$390,MATCH($B28,COMPOS!$A$4:A$390,0),2)))))</f>
        <v>DISJUNTOR TERMOMAGNÉTICO TRIPOLAR , CORRENTE NOMINAL DE 125A - FORNECIMENTO E INSTALAÇÃO. AF_10/2020</v>
      </c>
      <c r="D28" s="274" t="str">
        <f>(IF($A28="SINAPI",INDEX(SINAPI_NOV2020_NDES!$A$7:$H$6703,MATCH($B28,SINAPI_NOV2020_NDES!$A$7:$A$6703,0),3),IF($A28="GOINFRA",INDEX(#REF!,MATCH($B28,#REF!,0),3),(INDEX(COMPOS!$A$4:$G$39000,MATCH($B28,COMPOS!$A$4:A$39000,0),3)))))</f>
        <v>UN</v>
      </c>
      <c r="E28" s="280">
        <v>1</v>
      </c>
      <c r="F28" s="279">
        <f>(IF($A28="SINAPI",INDEX(SINAPI_NOV2020_NDES!$A$7:$H$6703,MATCH($B28,SINAPI_NOV2020_NDES!$A$7:$A$6703,0),5),(INDEX(COMPOS!$A$4:$G$801,MATCH($B28,COMPOS!$A$4:A$801,0),4))))</f>
        <v>38.979999999999997</v>
      </c>
      <c r="G28" s="279">
        <f>(IF($A28="SINAPI",INDEX(SINAPI_NOV2020_NDES!$A$7:$H$6703,MATCH($B28,SINAPI_NOV2020_NDES!$A$7:$A$6703,0),6),(INDEX(COMPOS!$A$4:$G$801,MATCH($B28,COMPOS!$A$4:A$801,0),5))))</f>
        <v>343.7</v>
      </c>
      <c r="H28" s="280">
        <f>(IF($A28="SINAPI",INDEX(SINAPI_NOV2020_NDES!$A$7:$H$6703,MATCH($B28,SINAPI_NOV2020_NDES!$A$7:$A$6703,0),7),(INDEX(COMPOS!$A$4:$G$801,MATCH($B28,COMPOS!$A$4:A$801,0),6))))</f>
        <v>0</v>
      </c>
      <c r="I28" s="279">
        <f t="shared" si="8"/>
        <v>382.68</v>
      </c>
      <c r="J28" s="276">
        <f t="shared" si="9"/>
        <v>382.68</v>
      </c>
      <c r="K28" s="255"/>
      <c r="L28" s="255"/>
      <c r="M28" s="255"/>
      <c r="N28" s="255"/>
      <c r="O28" s="257"/>
      <c r="P28" s="257"/>
    </row>
    <row r="29" spans="1:16" ht="24">
      <c r="A29" s="251" t="s">
        <v>7</v>
      </c>
      <c r="B29" s="283">
        <v>96985</v>
      </c>
      <c r="C29" s="282" t="str">
        <f>(IF($A29="SINAPI",INDEX(SINAPI_NOV2020_NDES!$A$7:$H$6703,MATCH($B29,SINAPI_NOV2020_NDES!$A$7:$A$6703,0),2),IF($A29="GOINFRA",INDEX(#REF!,MATCH($B29,#REF!,0),2),(INDEX(COMPOS!$A$4:$G$390,MATCH($B29,COMPOS!$A$4:A$390,0),2)))))</f>
        <v>HASTE DE ATERRAMENTO 5/8  PARA SPDA - FORNECIMENTO E INSTALAÇÃO. AF_12/2017</v>
      </c>
      <c r="D29" s="274" t="str">
        <f>(IF($A29="SINAPI",INDEX(SINAPI_NOV2020_NDES!$A$7:$H$6703,MATCH($B29,SINAPI_NOV2020_NDES!$A$7:$A$6703,0),3),IF($A29="GOINFRA",INDEX(#REF!,MATCH($B29,#REF!,0),3),(INDEX(COMPOS!$A$4:$G$39000,MATCH($B29,COMPOS!$A$4:A$39000,0),3)))))</f>
        <v>UN</v>
      </c>
      <c r="E29" s="280">
        <v>4</v>
      </c>
      <c r="F29" s="279">
        <f>(IF($A29="SINAPI",INDEX(SINAPI_NOV2020_NDES!$A$7:$H$6703,MATCH($B29,SINAPI_NOV2020_NDES!$A$7:$A$6703,0),5),(INDEX(COMPOS!$A$4:$G$801,MATCH($B29,COMPOS!$A$4:A$801,0),4))))</f>
        <v>7.44</v>
      </c>
      <c r="G29" s="279">
        <f>(IF($A29="SINAPI",INDEX(SINAPI_NOV2020_NDES!$A$7:$H$6703,MATCH($B29,SINAPI_NOV2020_NDES!$A$7:$A$6703,0),6),(INDEX(COMPOS!$A$4:$G$801,MATCH($B29,COMPOS!$A$4:A$801,0),5))))</f>
        <v>38.17</v>
      </c>
      <c r="H29" s="280">
        <f>(IF($A29="SINAPI",INDEX(SINAPI_NOV2020_NDES!$A$7:$H$6703,MATCH($B29,SINAPI_NOV2020_NDES!$A$7:$A$6703,0),7),(INDEX(COMPOS!$A$4:$G$801,MATCH($B29,COMPOS!$A$4:A$801,0),6))))</f>
        <v>0</v>
      </c>
      <c r="I29" s="279">
        <f t="shared" si="8"/>
        <v>45.61</v>
      </c>
      <c r="J29" s="276">
        <f t="shared" si="9"/>
        <v>182.44</v>
      </c>
      <c r="K29" s="255"/>
      <c r="L29" s="255"/>
      <c r="M29" s="255"/>
      <c r="N29" s="255"/>
      <c r="O29" s="257"/>
      <c r="P29" s="257"/>
    </row>
    <row r="30" spans="1:16" ht="24">
      <c r="A30" s="251" t="s">
        <v>7</v>
      </c>
      <c r="B30" s="283">
        <v>91979</v>
      </c>
      <c r="C30" s="282" t="str">
        <f>(IF($A30="SINAPI",INDEX(SINAPI_NOV2020_NDES!$A$7:$H$6703,MATCH($B30,SINAPI_NOV2020_NDES!$A$7:$A$6703,0),2),IF($A30="GOINFRA",INDEX(#REF!,MATCH($B30,#REF!,0),2),(INDEX(COMPOS!$A$4:$G$390,MATCH($B30,COMPOS!$A$4:A$390,0),2)))))</f>
        <v>INTERRUPTOR INTERMEDIÁRIO (1 MÓDULO), 10A/250V, INCLUINDO SUPORTE E PLACA - FORNECIMENTO E INSTALAÇÃO. AF_09/2017</v>
      </c>
      <c r="D30" s="274" t="str">
        <f>(IF($A30="SINAPI",INDEX(SINAPI_NOV2020_NDES!$A$7:$H$6703,MATCH($B30,SINAPI_NOV2020_NDES!$A$7:$A$6703,0),3),IF($A30="GOINFRA",INDEX(#REF!,MATCH($B30,#REF!,0),3),(INDEX(COMPOS!$A$4:$G$39000,MATCH($B30,COMPOS!$A$4:A$39000,0),3)))))</f>
        <v>UN</v>
      </c>
      <c r="E30" s="280">
        <v>3</v>
      </c>
      <c r="F30" s="279">
        <f>(IF($A30="SINAPI",INDEX(SINAPI_NOV2020_NDES!$A$7:$H$6703,MATCH($B30,SINAPI_NOV2020_NDES!$A$7:$A$6703,0),5),(INDEX(COMPOS!$A$4:$G$801,MATCH($B30,COMPOS!$A$4:A$801,0),4))))</f>
        <v>13.65</v>
      </c>
      <c r="G30" s="279">
        <f>(IF($A30="SINAPI",INDEX(SINAPI_NOV2020_NDES!$A$7:$H$6703,MATCH($B30,SINAPI_NOV2020_NDES!$A$7:$A$6703,0),6),(INDEX(COMPOS!$A$4:$G$801,MATCH($B30,COMPOS!$A$4:A$801,0),5))))</f>
        <v>18.329999999999998</v>
      </c>
      <c r="H30" s="280">
        <f>(IF($A30="SINAPI",INDEX(SINAPI_NOV2020_NDES!$A$7:$H$6703,MATCH($B30,SINAPI_NOV2020_NDES!$A$7:$A$6703,0),7),(INDEX(COMPOS!$A$4:$G$801,MATCH($B30,COMPOS!$A$4:A$801,0),6))))</f>
        <v>0</v>
      </c>
      <c r="I30" s="279">
        <f t="shared" si="8"/>
        <v>31.979999999999997</v>
      </c>
      <c r="J30" s="276">
        <f t="shared" si="9"/>
        <v>95.94</v>
      </c>
      <c r="K30" s="255"/>
      <c r="L30" s="255"/>
      <c r="M30" s="255"/>
      <c r="N30" s="255"/>
      <c r="O30" s="257"/>
      <c r="P30" s="257"/>
    </row>
    <row r="31" spans="1:16" ht="24">
      <c r="A31" s="251" t="s">
        <v>7</v>
      </c>
      <c r="B31" s="283">
        <v>91955</v>
      </c>
      <c r="C31" s="282" t="str">
        <f>(IF($A31="SINAPI",INDEX(SINAPI_NOV2020_NDES!$A$7:$H$6703,MATCH($B31,SINAPI_NOV2020_NDES!$A$7:$A$6703,0),2),IF($A31="GOINFRA",INDEX(#REF!,MATCH($B31,#REF!,0),2),(INDEX(COMPOS!$A$4:$G$390,MATCH($B31,COMPOS!$A$4:A$390,0),2)))))</f>
        <v>INTERRUPTOR PARALELO (1 MÓDULO), 10A/250V, INCLUINDO SUPORTE E PLACA - FORNECIMENTO E INSTALAÇÃO. AF_12/2015</v>
      </c>
      <c r="D31" s="274" t="str">
        <f>(IF($A31="SINAPI",INDEX(SINAPI_NOV2020_NDES!$A$7:$H$6703,MATCH($B31,SINAPI_NOV2020_NDES!$A$7:$A$6703,0),3),IF($A31="GOINFRA",INDEX(#REF!,MATCH($B31,#REF!,0),3),(INDEX(COMPOS!$A$4:$G$39000,MATCH($B31,COMPOS!$A$4:A$39000,0),3)))))</f>
        <v>UN</v>
      </c>
      <c r="E31" s="280">
        <v>5</v>
      </c>
      <c r="F31" s="279">
        <f>(IF($A31="SINAPI",INDEX(SINAPI_NOV2020_NDES!$A$7:$H$6703,MATCH($B31,SINAPI_NOV2020_NDES!$A$7:$A$6703,0),5),(INDEX(COMPOS!$A$4:$G$801,MATCH($B31,COMPOS!$A$4:A$801,0),4))))</f>
        <v>11.24</v>
      </c>
      <c r="G31" s="279">
        <f>(IF($A31="SINAPI",INDEX(SINAPI_NOV2020_NDES!$A$7:$H$6703,MATCH($B31,SINAPI_NOV2020_NDES!$A$7:$A$6703,0),6),(INDEX(COMPOS!$A$4:$G$801,MATCH($B31,COMPOS!$A$4:A$801,0),5))))</f>
        <v>11.47</v>
      </c>
      <c r="H31" s="280">
        <f>(IF($A31="SINAPI",INDEX(SINAPI_NOV2020_NDES!$A$7:$H$6703,MATCH($B31,SINAPI_NOV2020_NDES!$A$7:$A$6703,0),7),(INDEX(COMPOS!$A$4:$G$801,MATCH($B31,COMPOS!$A$4:A$801,0),6))))</f>
        <v>0</v>
      </c>
      <c r="I31" s="279">
        <f t="shared" si="8"/>
        <v>22.71</v>
      </c>
      <c r="J31" s="276">
        <f t="shared" si="9"/>
        <v>113.55000000000001</v>
      </c>
      <c r="K31" s="255"/>
      <c r="L31" s="255"/>
      <c r="M31" s="255"/>
      <c r="N31" s="255"/>
      <c r="O31" s="257"/>
      <c r="P31" s="257"/>
    </row>
    <row r="32" spans="1:16" ht="24">
      <c r="A32" s="251" t="s">
        <v>7</v>
      </c>
      <c r="B32" s="283">
        <v>91961</v>
      </c>
      <c r="C32" s="282" t="str">
        <f>(IF($A32="SINAPI",INDEX(SINAPI_NOV2020_NDES!$A$7:$H$6703,MATCH($B32,SINAPI_NOV2020_NDES!$A$7:$A$6703,0),2),IF($A32="GOINFRA",INDEX(#REF!,MATCH($B32,#REF!,0),2),(INDEX(COMPOS!$A$4:$G$390,MATCH($B32,COMPOS!$A$4:A$390,0),2)))))</f>
        <v>INTERRUPTOR PARALELO (2 MÓDULOS), 10A/250V, INCLUINDO SUPORTE E PLACA - FORNECIMENTO E INSTALAÇÃO. AF_12/2015</v>
      </c>
      <c r="D32" s="274" t="str">
        <f>(IF($A32="SINAPI",INDEX(SINAPI_NOV2020_NDES!$A$7:$H$6703,MATCH($B32,SINAPI_NOV2020_NDES!$A$7:$A$6703,0),3),IF($A32="GOINFRA",INDEX(#REF!,MATCH($B32,#REF!,0),3),(INDEX(COMPOS!$A$4:$G$39000,MATCH($B32,COMPOS!$A$4:A$39000,0),3)))))</f>
        <v>UN</v>
      </c>
      <c r="E32" s="280">
        <v>16</v>
      </c>
      <c r="F32" s="279">
        <f>(IF($A32="SINAPI",INDEX(SINAPI_NOV2020_NDES!$A$7:$H$6703,MATCH($B32,SINAPI_NOV2020_NDES!$A$7:$A$6703,0),5),(INDEX(COMPOS!$A$4:$G$801,MATCH($B32,COMPOS!$A$4:A$801,0),4))))</f>
        <v>18.52</v>
      </c>
      <c r="G32" s="279">
        <f>(IF($A32="SINAPI",INDEX(SINAPI_NOV2020_NDES!$A$7:$H$6703,MATCH($B32,SINAPI_NOV2020_NDES!$A$7:$A$6703,0),6),(INDEX(COMPOS!$A$4:$G$801,MATCH($B32,COMPOS!$A$4:A$801,0),5))))</f>
        <v>19.16</v>
      </c>
      <c r="H32" s="280">
        <f>(IF($A32="SINAPI",INDEX(SINAPI_NOV2020_NDES!$A$7:$H$6703,MATCH($B32,SINAPI_NOV2020_NDES!$A$7:$A$6703,0),7),(INDEX(COMPOS!$A$4:$G$801,MATCH($B32,COMPOS!$A$4:A$801,0),6))))</f>
        <v>0</v>
      </c>
      <c r="I32" s="279">
        <f t="shared" si="8"/>
        <v>37.68</v>
      </c>
      <c r="J32" s="276">
        <f t="shared" si="9"/>
        <v>602.88</v>
      </c>
      <c r="K32" s="255"/>
      <c r="L32" s="255"/>
      <c r="M32" s="255"/>
      <c r="N32" s="255"/>
      <c r="O32" s="257"/>
      <c r="P32" s="257"/>
    </row>
    <row r="33" spans="1:16" ht="24">
      <c r="A33" s="251" t="s">
        <v>7</v>
      </c>
      <c r="B33" s="283">
        <v>91953</v>
      </c>
      <c r="C33" s="282" t="str">
        <f>(IF($A33="SINAPI",INDEX(SINAPI_NOV2020_NDES!$A$7:$H$6703,MATCH($B33,SINAPI_NOV2020_NDES!$A$7:$A$6703,0),2),IF($A33="GOINFRA",INDEX(#REF!,MATCH($B33,#REF!,0),2),(INDEX(COMPOS!$A$4:$G$390,MATCH($B33,COMPOS!$A$4:A$390,0),2)))))</f>
        <v>INTERRUPTOR SIMPLES (1 MÓDULO), 10A/250V, INCLUINDO SUPORTE E PLACA - FORNECIMENTO E INSTALAÇÃO. AF_12/2015</v>
      </c>
      <c r="D33" s="274" t="str">
        <f>(IF($A33="SINAPI",INDEX(SINAPI_NOV2020_NDES!$A$7:$H$6703,MATCH($B33,SINAPI_NOV2020_NDES!$A$7:$A$6703,0),3),IF($A33="GOINFRA",INDEX(#REF!,MATCH($B33,#REF!,0),3),(INDEX(COMPOS!$A$4:$G$39000,MATCH($B33,COMPOS!$A$4:A$39000,0),3)))))</f>
        <v>UN</v>
      </c>
      <c r="E33" s="280">
        <v>19</v>
      </c>
      <c r="F33" s="279">
        <f>(IF($A33="SINAPI",INDEX(SINAPI_NOV2020_NDES!$A$7:$H$6703,MATCH($B33,SINAPI_NOV2020_NDES!$A$7:$A$6703,0),5),(INDEX(COMPOS!$A$4:$G$801,MATCH($B33,COMPOS!$A$4:A$801,0),4))))</f>
        <v>8.7899999999999991</v>
      </c>
      <c r="G33" s="279">
        <f>(IF($A33="SINAPI",INDEX(SINAPI_NOV2020_NDES!$A$7:$H$6703,MATCH($B33,SINAPI_NOV2020_NDES!$A$7:$A$6703,0),6),(INDEX(COMPOS!$A$4:$G$801,MATCH($B33,COMPOS!$A$4:A$801,0),5))))</f>
        <v>9.4499999999999993</v>
      </c>
      <c r="H33" s="280">
        <f>(IF($A33="SINAPI",INDEX(SINAPI_NOV2020_NDES!$A$7:$H$6703,MATCH($B33,SINAPI_NOV2020_NDES!$A$7:$A$6703,0),7),(INDEX(COMPOS!$A$4:$G$801,MATCH($B33,COMPOS!$A$4:A$801,0),6))))</f>
        <v>0</v>
      </c>
      <c r="I33" s="279">
        <f t="shared" si="8"/>
        <v>18.239999999999998</v>
      </c>
      <c r="J33" s="276">
        <f t="shared" si="9"/>
        <v>346.55999999999995</v>
      </c>
      <c r="K33" s="255"/>
      <c r="L33" s="255"/>
      <c r="M33" s="255"/>
      <c r="N33" s="255"/>
      <c r="O33" s="257"/>
      <c r="P33" s="257"/>
    </row>
    <row r="34" spans="1:16" ht="24">
      <c r="A34" s="251" t="s">
        <v>7</v>
      </c>
      <c r="B34" s="283">
        <v>91959</v>
      </c>
      <c r="C34" s="282" t="str">
        <f>(IF($A34="SINAPI",INDEX(SINAPI_NOV2020_NDES!$A$7:$H$6703,MATCH($B34,SINAPI_NOV2020_NDES!$A$7:$A$6703,0),2),IF($A34="GOINFRA",INDEX(#REF!,MATCH($B34,#REF!,0),2),(INDEX(COMPOS!$A$4:$G$390,MATCH($B34,COMPOS!$A$4:A$390,0),2)))))</f>
        <v>INTERRUPTOR SIMPLES (2 MÓDULOS), 10A/250V, INCLUINDO SUPORTE E PLACA - FORNECIMENTO E INSTALAÇÃO. AF_12/2015</v>
      </c>
      <c r="D34" s="274" t="str">
        <f>(IF($A34="SINAPI",INDEX(SINAPI_NOV2020_NDES!$A$7:$H$6703,MATCH($B34,SINAPI_NOV2020_NDES!$A$7:$A$6703,0),3),IF($A34="GOINFRA",INDEX(#REF!,MATCH($B34,#REF!,0),3),(INDEX(COMPOS!$A$4:$G$39000,MATCH($B34,COMPOS!$A$4:A$39000,0),3)))))</f>
        <v>UN</v>
      </c>
      <c r="E34" s="280">
        <v>17</v>
      </c>
      <c r="F34" s="279">
        <f>(IF($A34="SINAPI",INDEX(SINAPI_NOV2020_NDES!$A$7:$H$6703,MATCH($B34,SINAPI_NOV2020_NDES!$A$7:$A$6703,0),5),(INDEX(COMPOS!$A$4:$G$801,MATCH($B34,COMPOS!$A$4:A$801,0),4))))</f>
        <v>13.65</v>
      </c>
      <c r="G34" s="279">
        <f>(IF($A34="SINAPI",INDEX(SINAPI_NOV2020_NDES!$A$7:$H$6703,MATCH($B34,SINAPI_NOV2020_NDES!$A$7:$A$6703,0),6),(INDEX(COMPOS!$A$4:$G$801,MATCH($B34,COMPOS!$A$4:A$801,0),5))))</f>
        <v>15.13</v>
      </c>
      <c r="H34" s="280">
        <f>(IF($A34="SINAPI",INDEX(SINAPI_NOV2020_NDES!$A$7:$H$6703,MATCH($B34,SINAPI_NOV2020_NDES!$A$7:$A$6703,0),7),(INDEX(COMPOS!$A$4:$G$801,MATCH($B34,COMPOS!$A$4:A$801,0),6))))</f>
        <v>0</v>
      </c>
      <c r="I34" s="279">
        <f t="shared" si="8"/>
        <v>28.78</v>
      </c>
      <c r="J34" s="276">
        <f t="shared" si="9"/>
        <v>489.26</v>
      </c>
      <c r="K34" s="255"/>
      <c r="L34" s="255"/>
      <c r="M34" s="255"/>
      <c r="N34" s="255"/>
      <c r="O34" s="257"/>
      <c r="P34" s="257"/>
    </row>
    <row r="35" spans="1:16" ht="24">
      <c r="A35" s="251" t="s">
        <v>7</v>
      </c>
      <c r="B35" s="283">
        <v>91967</v>
      </c>
      <c r="C35" s="282" t="str">
        <f>(IF($A35="SINAPI",INDEX(SINAPI_NOV2020_NDES!$A$7:$H$6703,MATCH($B35,SINAPI_NOV2020_NDES!$A$7:$A$6703,0),2),IF($A35="GOINFRA",INDEX(#REF!,MATCH($B35,#REF!,0),2),(INDEX(COMPOS!$A$4:$G$390,MATCH($B35,COMPOS!$A$4:A$390,0),2)))))</f>
        <v>INTERRUPTOR SIMPLES (3 MÓDULOS), 10A/250V, INCLUINDO SUPORTE E PLACA - FORNECIMENTO E INSTALAÇÃO. AF_12/2015</v>
      </c>
      <c r="D35" s="274" t="str">
        <f>(IF($A35="SINAPI",INDEX(SINAPI_NOV2020_NDES!$A$7:$H$6703,MATCH($B35,SINAPI_NOV2020_NDES!$A$7:$A$6703,0),3),IF($A35="GOINFRA",INDEX(#REF!,MATCH($B35,#REF!,0),3),(INDEX(COMPOS!$A$4:$G$39000,MATCH($B35,COMPOS!$A$4:A$39000,0),3)))))</f>
        <v>UN</v>
      </c>
      <c r="E35" s="280">
        <v>4</v>
      </c>
      <c r="F35" s="279">
        <f>(IF($A35="SINAPI",INDEX(SINAPI_NOV2020_NDES!$A$7:$H$6703,MATCH($B35,SINAPI_NOV2020_NDES!$A$7:$A$6703,0),5),(INDEX(COMPOS!$A$4:$G$801,MATCH($B35,COMPOS!$A$4:A$801,0),4))))</f>
        <v>18.52</v>
      </c>
      <c r="G35" s="279">
        <f>(IF($A35="SINAPI",INDEX(SINAPI_NOV2020_NDES!$A$7:$H$6703,MATCH($B35,SINAPI_NOV2020_NDES!$A$7:$A$6703,0),6),(INDEX(COMPOS!$A$4:$G$801,MATCH($B35,COMPOS!$A$4:A$801,0),5))))</f>
        <v>20.81</v>
      </c>
      <c r="H35" s="280">
        <f>(IF($A35="SINAPI",INDEX(SINAPI_NOV2020_NDES!$A$7:$H$6703,MATCH($B35,SINAPI_NOV2020_NDES!$A$7:$A$6703,0),7),(INDEX(COMPOS!$A$4:$G$801,MATCH($B35,COMPOS!$A$4:A$801,0),6))))</f>
        <v>0</v>
      </c>
      <c r="I35" s="279">
        <f t="shared" si="8"/>
        <v>39.33</v>
      </c>
      <c r="J35" s="276">
        <f t="shared" si="9"/>
        <v>157.32</v>
      </c>
      <c r="K35" s="255"/>
      <c r="L35" s="255"/>
      <c r="M35" s="255"/>
      <c r="N35" s="255"/>
      <c r="O35" s="257"/>
      <c r="P35" s="257"/>
    </row>
    <row r="36" spans="1:16">
      <c r="A36" s="251" t="s">
        <v>6307</v>
      </c>
      <c r="B36" s="283">
        <v>727</v>
      </c>
      <c r="C36" s="282" t="str">
        <f>(IF($A36="SINAPI",INDEX(SINAPI_NOV2020_NDES!$A$7:$H$6703,MATCH($B36,SINAPI_NOV2020_NDES!$A$7:$A$6703,0),2),IF($A36="GOINFRA",INDEX(#REF!,MATCH($B36,#REF!,0),2),(INDEX(COMPOS!$A$4:$G$390,MATCH($B36,COMPOS!$A$4:A$390,0),2)))))</f>
        <v>LUMINARIA PARA JARDIM C/POSTE 2,5M, BASE CONC. E 02 GLOBOS/LEITOSOS</v>
      </c>
      <c r="D36" s="274" t="str">
        <f>(IF($A36="SINAPI",INDEX(SINAPI_NOV2020_NDES!$A$7:$H$6703,MATCH($B36,SINAPI_NOV2020_NDES!$A$7:$A$6703,0),3),IF($A36="GOINFRA",INDEX(#REF!,MATCH($B36,#REF!,0),3),(INDEX(COMPOS!$A$4:$G$39000,MATCH($B36,COMPOS!$A$4:A$39000,0),3)))))</f>
        <v>UN</v>
      </c>
      <c r="E36" s="280">
        <v>4</v>
      </c>
      <c r="F36" s="279">
        <f>(IF($A36="SINAPI",INDEX(SINAPI_NOV2020_NDES!$A$7:$H$6703,MATCH($B36,SINAPI_NOV2020_NDES!$A$7:$A$6703,0),5),(INDEX(COMPOS!$A$4:$G$801,MATCH($B36,COMPOS!$A$4:A$801,0),4))))</f>
        <v>112.92670400000002</v>
      </c>
      <c r="G36" s="279">
        <f>(IF($A36="SINAPI",INDEX(SINAPI_NOV2020_NDES!$A$7:$H$6703,MATCH($B36,SINAPI_NOV2020_NDES!$A$7:$A$6703,0),6),(INDEX(COMPOS!$A$4:$G$801,MATCH($B36,COMPOS!$A$4:A$801,0),5))))</f>
        <v>480.118448</v>
      </c>
      <c r="H36" s="280">
        <f>(IF($A36="SINAPI",INDEX(SINAPI_NOV2020_NDES!$A$7:$H$6703,MATCH($B36,SINAPI_NOV2020_NDES!$A$7:$A$6703,0),7),(INDEX(COMPOS!$A$4:$G$801,MATCH($B36,COMPOS!$A$4:A$801,0),6))))</f>
        <v>0</v>
      </c>
      <c r="I36" s="279">
        <f t="shared" si="8"/>
        <v>593.04515200000003</v>
      </c>
      <c r="J36" s="276">
        <f t="shared" si="9"/>
        <v>2372.1806080000001</v>
      </c>
      <c r="K36" s="255"/>
      <c r="L36" s="255"/>
      <c r="M36" s="255"/>
      <c r="N36" s="255"/>
      <c r="O36" s="257"/>
      <c r="P36" s="257"/>
    </row>
    <row r="37" spans="1:16">
      <c r="A37" s="251" t="s">
        <v>6307</v>
      </c>
      <c r="B37" s="283">
        <v>779</v>
      </c>
      <c r="C37" s="282" t="str">
        <f>(IF($A37="SINAPI",INDEX(SINAPI_NOV2020_NDES!$A$7:$H$6703,MATCH($B37,SINAPI_NOV2020_NDES!$A$7:$A$6703,0),2),IF($A37="GOINFRA",INDEX(#REF!,MATCH($B37,#REF!,0),2),(INDEX(COMPOS!$A$4:$G$390,MATCH($B37,COMPOS!$A$4:A$390,0),2)))))</f>
        <v>INTERRUPTOR DIFERENCIAL RESIDUAL (DR) BIPOLAR 25A - 30mA</v>
      </c>
      <c r="D37" s="274" t="str">
        <f>(IF($A37="SINAPI",INDEX(SINAPI_NOV2020_NDES!$A$7:$H$6703,MATCH($B37,SINAPI_NOV2020_NDES!$A$7:$A$6703,0),3),IF($A37="GOINFRA",INDEX(#REF!,MATCH($B37,#REF!,0),3),(INDEX(COMPOS!$A$4:$G$39000,MATCH($B37,COMPOS!$A$4:A$39000,0),3)))))</f>
        <v>UN</v>
      </c>
      <c r="E37" s="280">
        <v>4</v>
      </c>
      <c r="F37" s="279">
        <f>(IF($A37="SINAPI",INDEX(SINAPI_NOV2020_NDES!$A$7:$H$6703,MATCH($B37,SINAPI_NOV2020_NDES!$A$7:$A$6703,0),5),(INDEX(COMPOS!$A$4:$G$801,MATCH($B37,COMPOS!$A$4:A$801,0),4))))</f>
        <v>23.177999999999997</v>
      </c>
      <c r="G37" s="279">
        <f>(IF($A37="SINAPI",INDEX(SINAPI_NOV2020_NDES!$A$7:$H$6703,MATCH($B37,SINAPI_NOV2020_NDES!$A$7:$A$6703,0),6),(INDEX(COMPOS!$A$4:$G$801,MATCH($B37,COMPOS!$A$4:A$801,0),5))))</f>
        <v>129.58000000000001</v>
      </c>
      <c r="H37" s="280">
        <f>(IF($A37="SINAPI",INDEX(SINAPI_NOV2020_NDES!$A$7:$H$6703,MATCH($B37,SINAPI_NOV2020_NDES!$A$7:$A$6703,0),7),(INDEX(COMPOS!$A$4:$G$801,MATCH($B37,COMPOS!$A$4:A$801,0),6))))</f>
        <v>0</v>
      </c>
      <c r="I37" s="279">
        <f t="shared" si="8"/>
        <v>152.75800000000001</v>
      </c>
      <c r="J37" s="276">
        <f t="shared" si="9"/>
        <v>611.03200000000004</v>
      </c>
      <c r="K37" s="255"/>
      <c r="L37" s="255"/>
      <c r="M37" s="255"/>
      <c r="N37" s="255"/>
      <c r="O37" s="257"/>
      <c r="P37" s="257"/>
    </row>
    <row r="38" spans="1:16">
      <c r="A38" s="251" t="s">
        <v>6307</v>
      </c>
      <c r="B38" s="283">
        <v>741</v>
      </c>
      <c r="C38" s="282" t="str">
        <f>(IF($A38="SINAPI",INDEX(SINAPI_NOV2020_NDES!$A$7:$H$6703,MATCH($B38,SINAPI_NOV2020_NDES!$A$7:$A$6703,0),2),IF($A38="GOINFRA",INDEX(#REF!,MATCH($B38,#REF!,0),2),(INDEX(COMPOS!$A$4:$G$390,MATCH($B38,COMPOS!$A$4:A$390,0),2)))))</f>
        <v>QUADRO DE DISTRIBUIÇÃO DE EMBUTIR METÁLICO CB-34E - 150A</v>
      </c>
      <c r="D38" s="274" t="str">
        <f>(IF($A38="SINAPI",INDEX(SINAPI_NOV2020_NDES!$A$7:$H$6703,MATCH($B38,SINAPI_NOV2020_NDES!$A$7:$A$6703,0),3),IF($A38="GOINFRA",INDEX(#REF!,MATCH($B38,#REF!,0),3),(INDEX(COMPOS!$A$4:$G$39000,MATCH($B38,COMPOS!$A$4:A$39000,0),3)))))</f>
        <v>UN</v>
      </c>
      <c r="E38" s="280">
        <v>2</v>
      </c>
      <c r="F38" s="279">
        <f>(IF($A38="SINAPI",INDEX(SINAPI_NOV2020_NDES!$A$7:$H$6703,MATCH($B38,SINAPI_NOV2020_NDES!$A$7:$A$6703,0),5),(INDEX(COMPOS!$A$4:$G$801,MATCH($B38,COMPOS!$A$4:A$801,0),4))))</f>
        <v>154.51999999999998</v>
      </c>
      <c r="G38" s="279">
        <f>(IF($A38="SINAPI",INDEX(SINAPI_NOV2020_NDES!$A$7:$H$6703,MATCH($B38,SINAPI_NOV2020_NDES!$A$7:$A$6703,0),6),(INDEX(COMPOS!$A$4:$G$801,MATCH($B38,COMPOS!$A$4:A$801,0),5))))</f>
        <v>444.37</v>
      </c>
      <c r="H38" s="280">
        <f>(IF($A38="SINAPI",INDEX(SINAPI_NOV2020_NDES!$A$7:$H$6703,MATCH($B38,SINAPI_NOV2020_NDES!$A$7:$A$6703,0),7),(INDEX(COMPOS!$A$4:$G$801,MATCH($B38,COMPOS!$A$4:A$801,0),6))))</f>
        <v>0</v>
      </c>
      <c r="I38" s="279">
        <f t="shared" si="8"/>
        <v>598.89</v>
      </c>
      <c r="J38" s="276">
        <f t="shared" si="9"/>
        <v>1197.78</v>
      </c>
      <c r="K38" s="255"/>
      <c r="L38" s="255"/>
      <c r="M38" s="255"/>
      <c r="N38" s="255"/>
      <c r="O38" s="257"/>
      <c r="P38" s="257"/>
    </row>
    <row r="39" spans="1:16">
      <c r="A39" s="251" t="s">
        <v>6307</v>
      </c>
      <c r="B39" s="283">
        <v>748</v>
      </c>
      <c r="C39" s="282" t="str">
        <f>(IF($A39="SINAPI",INDEX(SINAPI_NOV2020_NDES!$A$7:$H$6703,MATCH($B39,SINAPI_NOV2020_NDES!$A$7:$A$6703,0),2),IF($A39="GOINFRA",INDEX(#REF!,MATCH($B39,#REF!,0),2),(INDEX(COMPOS!$A$4:$G$390,MATCH($B39,COMPOS!$A$4:A$390,0),2)))))</f>
        <v>TOMADA HEXAGONAL 2P + T - 20A - 250V (LINHA X OU EQUIVALENTE)</v>
      </c>
      <c r="D39" s="274" t="str">
        <f>(IF($A39="SINAPI",INDEX(SINAPI_NOV2020_NDES!$A$7:$H$6703,MATCH($B39,SINAPI_NOV2020_NDES!$A$7:$A$6703,0),3),IF($A39="GOINFRA",INDEX(#REF!,MATCH($B39,#REF!,0),3),(INDEX(COMPOS!$A$4:$G$39000,MATCH($B39,COMPOS!$A$4:A$39000,0),3)))))</f>
        <v>UN</v>
      </c>
      <c r="E39" s="280">
        <v>16</v>
      </c>
      <c r="F39" s="279">
        <f>(IF($A39="SINAPI",INDEX(SINAPI_NOV2020_NDES!$A$7:$H$6703,MATCH($B39,SINAPI_NOV2020_NDES!$A$7:$A$6703,0),5),(INDEX(COMPOS!$A$4:$G$801,MATCH($B39,COMPOS!$A$4:A$801,0),4))))</f>
        <v>11.2027</v>
      </c>
      <c r="G39" s="279">
        <f>(IF($A39="SINAPI",INDEX(SINAPI_NOV2020_NDES!$A$7:$H$6703,MATCH($B39,SINAPI_NOV2020_NDES!$A$7:$A$6703,0),6),(INDEX(COMPOS!$A$4:$G$801,MATCH($B39,COMPOS!$A$4:A$801,0),5))))</f>
        <v>10.58</v>
      </c>
      <c r="H39" s="280">
        <f>(IF($A39="SINAPI",INDEX(SINAPI_NOV2020_NDES!$A$7:$H$6703,MATCH($B39,SINAPI_NOV2020_NDES!$A$7:$A$6703,0),7),(INDEX(COMPOS!$A$4:$G$801,MATCH($B39,COMPOS!$A$4:A$801,0),6))))</f>
        <v>0</v>
      </c>
      <c r="I39" s="279">
        <f t="shared" si="8"/>
        <v>21.782699999999998</v>
      </c>
      <c r="J39" s="276">
        <f t="shared" si="9"/>
        <v>348.52319999999997</v>
      </c>
      <c r="K39" s="255"/>
      <c r="L39" s="255"/>
      <c r="M39" s="255"/>
      <c r="N39" s="255"/>
      <c r="O39" s="257"/>
      <c r="P39" s="257"/>
    </row>
    <row r="40" spans="1:16" ht="24">
      <c r="A40" s="251" t="s">
        <v>7</v>
      </c>
      <c r="B40" s="283">
        <v>91996</v>
      </c>
      <c r="C40" s="282" t="str">
        <f>(IF($A40="SINAPI",INDEX(SINAPI_NOV2020_NDES!$A$7:$H$6703,MATCH($B40,SINAPI_NOV2020_NDES!$A$7:$A$6703,0),2),IF($A40="GOINFRA",INDEX(#REF!,MATCH($B40,#REF!,0),2),(INDEX(COMPOS!$A$4:$G$390,MATCH($B40,COMPOS!$A$4:A$390,0),2)))))</f>
        <v>TOMADA MÉDIA DE EMBUTIR (1 MÓDULO), 2P+T 10 A, INCLUINDO SUPORTE E PLACA - FORNECIMENTO E INSTALAÇÃO. AF_12/2015</v>
      </c>
      <c r="D40" s="274" t="str">
        <f>(IF($A40="SINAPI",INDEX(SINAPI_NOV2020_NDES!$A$7:$H$6703,MATCH($B40,SINAPI_NOV2020_NDES!$A$7:$A$6703,0),3),IF($A40="GOINFRA",INDEX(#REF!,MATCH($B40,#REF!,0),3),(INDEX(COMPOS!$A$4:$G$39000,MATCH($B40,COMPOS!$A$4:A$39000,0),3)))))</f>
        <v>UN</v>
      </c>
      <c r="E40" s="280">
        <v>146</v>
      </c>
      <c r="F40" s="279">
        <f>(IF($A40="SINAPI",INDEX(SINAPI_NOV2020_NDES!$A$7:$H$6703,MATCH($B40,SINAPI_NOV2020_NDES!$A$7:$A$6703,0),5),(INDEX(COMPOS!$A$4:$G$801,MATCH($B40,COMPOS!$A$4:A$801,0),4))))</f>
        <v>11.25</v>
      </c>
      <c r="G40" s="279">
        <f>(IF($A40="SINAPI",INDEX(SINAPI_NOV2020_NDES!$A$7:$H$6703,MATCH($B40,SINAPI_NOV2020_NDES!$A$7:$A$6703,0),6),(INDEX(COMPOS!$A$4:$G$801,MATCH($B40,COMPOS!$A$4:A$801,0),5))))</f>
        <v>10.78</v>
      </c>
      <c r="H40" s="280">
        <f>(IF($A40="SINAPI",INDEX(SINAPI_NOV2020_NDES!$A$7:$H$6703,MATCH($B40,SINAPI_NOV2020_NDES!$A$7:$A$6703,0),7),(INDEX(COMPOS!$A$4:$G$801,MATCH($B40,COMPOS!$A$4:A$801,0),6))))</f>
        <v>0</v>
      </c>
      <c r="I40" s="279">
        <f t="shared" si="8"/>
        <v>22.03</v>
      </c>
      <c r="J40" s="276">
        <f t="shared" si="9"/>
        <v>3216.38</v>
      </c>
      <c r="K40" s="255"/>
      <c r="L40" s="255"/>
      <c r="M40" s="255"/>
      <c r="N40" s="255"/>
      <c r="O40" s="257"/>
      <c r="P40" s="257"/>
    </row>
    <row r="41" spans="1:16" ht="24">
      <c r="A41" s="251" t="s">
        <v>7</v>
      </c>
      <c r="B41" s="283">
        <v>97599</v>
      </c>
      <c r="C41" s="282" t="str">
        <f>(IF($A41="SINAPI",INDEX(SINAPI_NOV2020_NDES!$A$7:$H$6703,MATCH($B41,SINAPI_NOV2020_NDES!$A$7:$A$6703,0),2),IF($A41="GOINFRA",INDEX(#REF!,MATCH($B41,#REF!,0),2),(INDEX(COMPOS!$A$4:$G$390,MATCH($B41,COMPOS!$A$4:A$390,0),2)))))</f>
        <v>LUMINÁRIA DE EMERGÊNCIA, COM 30 LÂMPADAS LED DE 2 W, SEM REATOR - FORNECIMENTO E INSTALAÇÃO. AF_02/2020</v>
      </c>
      <c r="D41" s="274" t="str">
        <f>(IF($A41="SINAPI",INDEX(SINAPI_NOV2020_NDES!$A$7:$H$6703,MATCH($B41,SINAPI_NOV2020_NDES!$A$7:$A$6703,0),3),IF($A41="GOINFRA",INDEX(#REF!,MATCH($B41,#REF!,0),3),(INDEX(COMPOS!$A$4:$G$39000,MATCH($B41,COMPOS!$A$4:A$39000,0),3)))))</f>
        <v>UN</v>
      </c>
      <c r="E41" s="280">
        <v>11</v>
      </c>
      <c r="F41" s="279">
        <f>(IF($A41="SINAPI",INDEX(SINAPI_NOV2020_NDES!$A$7:$H$6703,MATCH($B41,SINAPI_NOV2020_NDES!$A$7:$A$6703,0),5),(INDEX(COMPOS!$A$4:$G$801,MATCH($B41,COMPOS!$A$4:A$801,0),4))))</f>
        <v>3.99</v>
      </c>
      <c r="G41" s="279">
        <f>(IF($A41="SINAPI",INDEX(SINAPI_NOV2020_NDES!$A$7:$H$6703,MATCH($B41,SINAPI_NOV2020_NDES!$A$7:$A$6703,0),6),(INDEX(COMPOS!$A$4:$G$801,MATCH($B41,COMPOS!$A$4:A$801,0),5))))</f>
        <v>23.61</v>
      </c>
      <c r="H41" s="280">
        <f>(IF($A41="SINAPI",INDEX(SINAPI_NOV2020_NDES!$A$7:$H$6703,MATCH($B41,SINAPI_NOV2020_NDES!$A$7:$A$6703,0),7),(INDEX(COMPOS!$A$4:$G$801,MATCH($B41,COMPOS!$A$4:A$801,0),6))))</f>
        <v>0</v>
      </c>
      <c r="I41" s="279">
        <f t="shared" si="8"/>
        <v>27.6</v>
      </c>
      <c r="J41" s="276">
        <f t="shared" si="9"/>
        <v>303.60000000000002</v>
      </c>
      <c r="K41" s="255"/>
      <c r="L41" s="255"/>
      <c r="M41" s="255"/>
      <c r="N41" s="255"/>
      <c r="O41" s="257"/>
      <c r="P41" s="257"/>
    </row>
    <row r="42" spans="1:16">
      <c r="A42" s="251" t="s">
        <v>6307</v>
      </c>
      <c r="B42" s="283">
        <v>315</v>
      </c>
      <c r="C42" s="282" t="str">
        <f>(IF($A42="SINAPI",INDEX(SINAPI_NOV2020_NDES!$A$7:$H$6703,MATCH($B42,SINAPI_NOV2020_NDES!$A$7:$A$6703,0),2),IF($A42="GOINFRA",INDEX(#REF!,MATCH($B42,#REF!,0),2),(INDEX(COMPOS!$A$4:$G$390,MATCH($B42,COMPOS!$A$4:A$390,0),2)))))</f>
        <v>LUMINÁRIA HERMÉTICA IP-65, PARA 02 LÂMPADAS</v>
      </c>
      <c r="D42" s="274" t="str">
        <f>(IF($A42="SINAPI",INDEX(SINAPI_NOV2020_NDES!$A$7:$H$6703,MATCH($B42,SINAPI_NOV2020_NDES!$A$7:$A$6703,0),3),IF($A42="GOINFRA",INDEX(#REF!,MATCH($B42,#REF!,0),3),(INDEX(COMPOS!$A$4:$G$39000,MATCH($B42,COMPOS!$A$4:A$39000,0),3)))))</f>
        <v>UN</v>
      </c>
      <c r="E42" s="280">
        <v>27</v>
      </c>
      <c r="F42" s="279">
        <f>(IF($A42="SINAPI",INDEX(SINAPI_NOV2020_NDES!$A$7:$H$6703,MATCH($B42,SINAPI_NOV2020_NDES!$A$7:$A$6703,0),5),(INDEX(COMPOS!$A$4:$G$801,MATCH($B42,COMPOS!$A$4:A$801,0),4))))</f>
        <v>25.132678000000002</v>
      </c>
      <c r="G42" s="279">
        <f>(IF($A42="SINAPI",INDEX(SINAPI_NOV2020_NDES!$A$7:$H$6703,MATCH($B42,SINAPI_NOV2020_NDES!$A$7:$A$6703,0),6),(INDEX(COMPOS!$A$4:$G$801,MATCH($B42,COMPOS!$A$4:A$801,0),5))))</f>
        <v>107.03</v>
      </c>
      <c r="H42" s="280">
        <f>(IF($A42="SINAPI",INDEX(SINAPI_NOV2020_NDES!$A$7:$H$6703,MATCH($B42,SINAPI_NOV2020_NDES!$A$7:$A$6703,0),7),(INDEX(COMPOS!$A$4:$G$801,MATCH($B42,COMPOS!$A$4:A$801,0),6))))</f>
        <v>0</v>
      </c>
      <c r="I42" s="279">
        <f t="shared" si="8"/>
        <v>132.162678</v>
      </c>
      <c r="J42" s="276">
        <f t="shared" si="9"/>
        <v>3568.3923060000002</v>
      </c>
      <c r="K42" s="255"/>
      <c r="L42" s="255"/>
      <c r="M42" s="255"/>
      <c r="N42" s="255"/>
      <c r="O42" s="257"/>
      <c r="P42" s="257"/>
    </row>
    <row r="43" spans="1:16">
      <c r="A43" s="251" t="s">
        <v>6307</v>
      </c>
      <c r="B43" s="283">
        <v>315</v>
      </c>
      <c r="C43" s="282" t="str">
        <f>(IF($A43="SINAPI",INDEX(SINAPI_NOV2020_NDES!$A$7:$H$6703,MATCH($B43,SINAPI_NOV2020_NDES!$A$7:$A$6703,0),2),IF($A43="GOINFRA",INDEX(#REF!,MATCH($B43,#REF!,0),2),(INDEX(COMPOS!$A$4:$G$390,MATCH($B43,COMPOS!$A$4:A$390,0),2)))))</f>
        <v>LUMINÁRIA HERMÉTICA IP-65, PARA 02 LÂMPADAS</v>
      </c>
      <c r="D43" s="274" t="str">
        <f>(IF($A43="SINAPI",INDEX(SINAPI_NOV2020_NDES!$A$7:$H$6703,MATCH($B43,SINAPI_NOV2020_NDES!$A$7:$A$6703,0),3),IF($A43="GOINFRA",INDEX(#REF!,MATCH($B43,#REF!,0),3),(INDEX(COMPOS!$A$4:$G$39000,MATCH($B43,COMPOS!$A$4:A$39000,0),3)))))</f>
        <v>UN</v>
      </c>
      <c r="E43" s="280">
        <v>66</v>
      </c>
      <c r="F43" s="279">
        <f>(IF($A43="SINAPI",INDEX(SINAPI_NOV2020_NDES!$A$7:$H$6703,MATCH($B43,SINAPI_NOV2020_NDES!$A$7:$A$6703,0),5),(INDEX(COMPOS!$A$4:$G$801,MATCH($B43,COMPOS!$A$4:A$801,0),4))))</f>
        <v>25.132678000000002</v>
      </c>
      <c r="G43" s="279">
        <f>(IF($A43="SINAPI",INDEX(SINAPI_NOV2020_NDES!$A$7:$H$6703,MATCH($B43,SINAPI_NOV2020_NDES!$A$7:$A$6703,0),6),(INDEX(COMPOS!$A$4:$G$801,MATCH($B43,COMPOS!$A$4:A$801,0),5))))</f>
        <v>107.03</v>
      </c>
      <c r="H43" s="280">
        <f>(IF($A43="SINAPI",INDEX(SINAPI_NOV2020_NDES!$A$7:$H$6703,MATCH($B43,SINAPI_NOV2020_NDES!$A$7:$A$6703,0),7),(INDEX(COMPOS!$A$4:$G$801,MATCH($B43,COMPOS!$A$4:A$801,0),6))))</f>
        <v>0</v>
      </c>
      <c r="I43" s="279">
        <f t="shared" si="8"/>
        <v>132.162678</v>
      </c>
      <c r="J43" s="276">
        <f t="shared" si="9"/>
        <v>8722.7367479999994</v>
      </c>
      <c r="K43" s="255"/>
      <c r="L43" s="255"/>
      <c r="M43" s="255"/>
      <c r="N43" s="255"/>
      <c r="O43" s="257"/>
      <c r="P43" s="257"/>
    </row>
    <row r="44" spans="1:16" ht="24">
      <c r="A44" s="251" t="s">
        <v>7</v>
      </c>
      <c r="B44" s="283">
        <v>97592</v>
      </c>
      <c r="C44" s="282" t="str">
        <f>(IF($A44="SINAPI",INDEX(SINAPI_NOV2020_NDES!$A$7:$H$6703,MATCH($B44,SINAPI_NOV2020_NDES!$A$7:$A$6703,0),2),IF($A44="GOINFRA",INDEX(#REF!,MATCH($B44,#REF!,0),2),(INDEX(COMPOS!$A$4:$G$390,MATCH($B44,COMPOS!$A$4:A$390,0),2)))))</f>
        <v>LUMINÁRIA TIPO PLAFON, DE SOBREPOR, COM 1 LÂMPADA LED DE 12/13 W, SEM REATOR - FORNECIMENTO E INSTALAÇÃO. AF_02/2020</v>
      </c>
      <c r="D44" s="274" t="str">
        <f>(IF($A44="SINAPI",INDEX(SINAPI_NOV2020_NDES!$A$7:$H$6703,MATCH($B44,SINAPI_NOV2020_NDES!$A$7:$A$6703,0),3),IF($A44="GOINFRA",INDEX(#REF!,MATCH($B44,#REF!,0),3),(INDEX(COMPOS!$A$4:$G$39000,MATCH($B44,COMPOS!$A$4:A$39000,0),3)))))</f>
        <v>UN</v>
      </c>
      <c r="E44" s="280">
        <v>15</v>
      </c>
      <c r="F44" s="279">
        <f>(IF($A44="SINAPI",INDEX(SINAPI_NOV2020_NDES!$A$7:$H$6703,MATCH($B44,SINAPI_NOV2020_NDES!$A$7:$A$6703,0),5),(INDEX(COMPOS!$A$4:$G$801,MATCH($B44,COMPOS!$A$4:A$801,0),4))))</f>
        <v>11.98</v>
      </c>
      <c r="G44" s="279">
        <f>(IF($A44="SINAPI",INDEX(SINAPI_NOV2020_NDES!$A$7:$H$6703,MATCH($B44,SINAPI_NOV2020_NDES!$A$7:$A$6703,0),6),(INDEX(COMPOS!$A$4:$G$801,MATCH($B44,COMPOS!$A$4:A$801,0),5))))</f>
        <v>23.99</v>
      </c>
      <c r="H44" s="280">
        <f>(IF($A44="SINAPI",INDEX(SINAPI_NOV2020_NDES!$A$7:$H$6703,MATCH($B44,SINAPI_NOV2020_NDES!$A$7:$A$6703,0),7),(INDEX(COMPOS!$A$4:$G$801,MATCH($B44,COMPOS!$A$4:A$801,0),6))))</f>
        <v>0</v>
      </c>
      <c r="I44" s="279">
        <f t="shared" si="8"/>
        <v>35.97</v>
      </c>
      <c r="J44" s="276">
        <f t="shared" si="9"/>
        <v>539.54999999999995</v>
      </c>
      <c r="K44" s="255"/>
      <c r="L44" s="255"/>
      <c r="M44" s="255"/>
      <c r="N44" s="255"/>
      <c r="O44" s="257"/>
      <c r="P44" s="257"/>
    </row>
    <row r="45" spans="1:16" ht="24">
      <c r="A45" s="251" t="s">
        <v>7</v>
      </c>
      <c r="B45" s="283">
        <v>97592</v>
      </c>
      <c r="C45" s="282" t="str">
        <f>(IF($A45="SINAPI",INDEX(SINAPI_NOV2020_NDES!$A$7:$H$6703,MATCH($B45,SINAPI_NOV2020_NDES!$A$7:$A$6703,0),2),IF($A45="GOINFRA",INDEX(#REF!,MATCH($B45,#REF!,0),2),(INDEX(COMPOS!$A$4:$G$390,MATCH($B45,COMPOS!$A$4:A$390,0),2)))))</f>
        <v>LUMINÁRIA TIPO PLAFON, DE SOBREPOR, COM 1 LÂMPADA LED DE 12/13 W, SEM REATOR - FORNECIMENTO E INSTALAÇÃO. AF_02/2020</v>
      </c>
      <c r="D45" s="274" t="str">
        <f>(IF($A45="SINAPI",INDEX(SINAPI_NOV2020_NDES!$A$7:$H$6703,MATCH($B45,SINAPI_NOV2020_NDES!$A$7:$A$6703,0),3),IF($A45="GOINFRA",INDEX(#REF!,MATCH($B45,#REF!,0),3),(INDEX(COMPOS!$A$4:$G$39000,MATCH($B45,COMPOS!$A$4:A$39000,0),3)))))</f>
        <v>UN</v>
      </c>
      <c r="E45" s="280">
        <v>6</v>
      </c>
      <c r="F45" s="279">
        <f>(IF($A45="SINAPI",INDEX(SINAPI_NOV2020_NDES!$A$7:$H$6703,MATCH($B45,SINAPI_NOV2020_NDES!$A$7:$A$6703,0),5),(INDEX(COMPOS!$A$4:$G$801,MATCH($B45,COMPOS!$A$4:A$801,0),4))))</f>
        <v>11.98</v>
      </c>
      <c r="G45" s="279">
        <f>(IF($A45="SINAPI",INDEX(SINAPI_NOV2020_NDES!$A$7:$H$6703,MATCH($B45,SINAPI_NOV2020_NDES!$A$7:$A$6703,0),6),(INDEX(COMPOS!$A$4:$G$801,MATCH($B45,COMPOS!$A$4:A$801,0),5))))</f>
        <v>23.99</v>
      </c>
      <c r="H45" s="280">
        <f>(IF($A45="SINAPI",INDEX(SINAPI_NOV2020_NDES!$A$7:$H$6703,MATCH($B45,SINAPI_NOV2020_NDES!$A$7:$A$6703,0),7),(INDEX(COMPOS!$A$4:$G$801,MATCH($B45,COMPOS!$A$4:A$801,0),6))))</f>
        <v>0</v>
      </c>
      <c r="I45" s="279">
        <f t="shared" si="8"/>
        <v>35.97</v>
      </c>
      <c r="J45" s="276">
        <f t="shared" si="9"/>
        <v>215.82</v>
      </c>
      <c r="K45" s="255"/>
      <c r="L45" s="255"/>
      <c r="M45" s="255"/>
      <c r="N45" s="255"/>
      <c r="O45" s="257"/>
      <c r="P45" s="257"/>
    </row>
    <row r="46" spans="1:16" ht="24">
      <c r="A46" s="251" t="s">
        <v>7</v>
      </c>
      <c r="B46" s="283">
        <v>100902</v>
      </c>
      <c r="C46" s="282" t="str">
        <f>(IF($A46="SINAPI",INDEX(SINAPI_NOV2020_NDES!$A$7:$H$6703,MATCH($B46,SINAPI_NOV2020_NDES!$A$7:$A$6703,0),2),IF($A46="GOINFRA",INDEX(#REF!,MATCH($B46,#REF!,0),2),(INDEX(COMPOS!$A$4:$G$390,MATCH($B46,COMPOS!$A$4:A$390,0),2)))))</f>
        <v>LÂMPADA TUBULAR LED DE 9/10 W, BASE G13 - FORNECIMENTO E INSTALAÇÃO. AF_02/2020_P</v>
      </c>
      <c r="D46" s="274" t="str">
        <f>(IF($A46="SINAPI",INDEX(SINAPI_NOV2020_NDES!$A$7:$H$6703,MATCH($B46,SINAPI_NOV2020_NDES!$A$7:$A$6703,0),3),IF($A46="GOINFRA",INDEX(#REF!,MATCH($B46,#REF!,0),3),(INDEX(COMPOS!$A$4:$G$39000,MATCH($B46,COMPOS!$A$4:A$39000,0),3)))))</f>
        <v>UN</v>
      </c>
      <c r="E46" s="280">
        <v>54</v>
      </c>
      <c r="F46" s="279">
        <f>(IF($A46="SINAPI",INDEX(SINAPI_NOV2020_NDES!$A$7:$H$6703,MATCH($B46,SINAPI_NOV2020_NDES!$A$7:$A$6703,0),5),(INDEX(COMPOS!$A$4:$G$801,MATCH($B46,COMPOS!$A$4:A$801,0),4))))</f>
        <v>5.54</v>
      </c>
      <c r="G46" s="279">
        <f>(IF($A46="SINAPI",INDEX(SINAPI_NOV2020_NDES!$A$7:$H$6703,MATCH($B46,SINAPI_NOV2020_NDES!$A$7:$A$6703,0),6),(INDEX(COMPOS!$A$4:$G$801,MATCH($B46,COMPOS!$A$4:A$801,0),5))))</f>
        <v>18.260000000000002</v>
      </c>
      <c r="H46" s="280">
        <f>(IF($A46="SINAPI",INDEX(SINAPI_NOV2020_NDES!$A$7:$H$6703,MATCH($B46,SINAPI_NOV2020_NDES!$A$7:$A$6703,0),7),(INDEX(COMPOS!$A$4:$G$801,MATCH($B46,COMPOS!$A$4:A$801,0),6))))</f>
        <v>0</v>
      </c>
      <c r="I46" s="279">
        <f t="shared" si="8"/>
        <v>23.8</v>
      </c>
      <c r="J46" s="276">
        <f t="shared" si="9"/>
        <v>1285.2</v>
      </c>
      <c r="K46" s="255"/>
      <c r="L46" s="255"/>
      <c r="M46" s="255"/>
      <c r="N46" s="255"/>
      <c r="O46" s="257"/>
      <c r="P46" s="257"/>
    </row>
    <row r="47" spans="1:16" ht="24">
      <c r="A47" s="251" t="s">
        <v>7</v>
      </c>
      <c r="B47" s="283">
        <v>100903</v>
      </c>
      <c r="C47" s="282" t="str">
        <f>(IF($A47="SINAPI",INDEX(SINAPI_NOV2020_NDES!$A$7:$H$6703,MATCH($B47,SINAPI_NOV2020_NDES!$A$7:$A$6703,0),2),IF($A47="GOINFRA",INDEX(#REF!,MATCH($B47,#REF!,0),2),(INDEX(COMPOS!$A$4:$G$390,MATCH($B47,COMPOS!$A$4:A$390,0),2)))))</f>
        <v>LÂMPADA TUBULAR LED DE 18/20 W, BASE G13 - FORNECIMENTO E INSTALAÇÃO. AF_02/2020_P</v>
      </c>
      <c r="D47" s="274" t="str">
        <f>(IF($A47="SINAPI",INDEX(SINAPI_NOV2020_NDES!$A$7:$H$6703,MATCH($B47,SINAPI_NOV2020_NDES!$A$7:$A$6703,0),3),IF($A47="GOINFRA",INDEX(#REF!,MATCH($B47,#REF!,0),3),(INDEX(COMPOS!$A$4:$G$39000,MATCH($B47,COMPOS!$A$4:A$39000,0),3)))))</f>
        <v>UN</v>
      </c>
      <c r="E47" s="280">
        <v>132</v>
      </c>
      <c r="F47" s="279">
        <f>(IF($A47="SINAPI",INDEX(SINAPI_NOV2020_NDES!$A$7:$H$6703,MATCH($B47,SINAPI_NOV2020_NDES!$A$7:$A$6703,0),5),(INDEX(COMPOS!$A$4:$G$801,MATCH($B47,COMPOS!$A$4:A$801,0),4))))</f>
        <v>5.54</v>
      </c>
      <c r="G47" s="279">
        <f>(IF($A47="SINAPI",INDEX(SINAPI_NOV2020_NDES!$A$7:$H$6703,MATCH($B47,SINAPI_NOV2020_NDES!$A$7:$A$6703,0),6),(INDEX(COMPOS!$A$4:$G$801,MATCH($B47,COMPOS!$A$4:A$801,0),5))))</f>
        <v>23.44</v>
      </c>
      <c r="H47" s="280">
        <f>(IF($A47="SINAPI",INDEX(SINAPI_NOV2020_NDES!$A$7:$H$6703,MATCH($B47,SINAPI_NOV2020_NDES!$A$7:$A$6703,0),7),(INDEX(COMPOS!$A$4:$G$801,MATCH($B47,COMPOS!$A$4:A$801,0),6))))</f>
        <v>0</v>
      </c>
      <c r="I47" s="279">
        <f t="shared" si="8"/>
        <v>28.98</v>
      </c>
      <c r="J47" s="276">
        <f t="shared" si="9"/>
        <v>3825.36</v>
      </c>
      <c r="K47" s="255"/>
      <c r="L47" s="255"/>
      <c r="M47" s="255"/>
      <c r="N47" s="255"/>
      <c r="O47" s="257"/>
      <c r="P47" s="257"/>
    </row>
    <row r="48" spans="1:16" ht="24">
      <c r="A48" s="251" t="s">
        <v>7</v>
      </c>
      <c r="B48" s="283">
        <v>97599</v>
      </c>
      <c r="C48" s="282" t="str">
        <f>(IF($A48="SINAPI",INDEX(SINAPI_NOV2020_NDES!$A$7:$H$6703,MATCH($B48,SINAPI_NOV2020_NDES!$A$7:$A$6703,0),2),IF($A48="GOINFRA",INDEX(#REF!,MATCH($B48,#REF!,0),2),(INDEX(COMPOS!$A$4:$G$390,MATCH($B48,COMPOS!$A$4:A$390,0),2)))))</f>
        <v>LUMINÁRIA DE EMERGÊNCIA, COM 30 LÂMPADAS LED DE 2 W, SEM REATOR - FORNECIMENTO E INSTALAÇÃO. AF_02/2020</v>
      </c>
      <c r="D48" s="274" t="str">
        <f>(IF($A48="SINAPI",INDEX(SINAPI_NOV2020_NDES!$A$7:$H$6703,MATCH($B48,SINAPI_NOV2020_NDES!$A$7:$A$6703,0),3),IF($A48="GOINFRA",INDEX(#REF!,MATCH($B48,#REF!,0),3),(INDEX(COMPOS!$A$4:$G$39000,MATCH($B48,COMPOS!$A$4:A$39000,0),3)))))</f>
        <v>UN</v>
      </c>
      <c r="E48" s="280">
        <v>11</v>
      </c>
      <c r="F48" s="279">
        <f>(IF($A48="SINAPI",INDEX(SINAPI_NOV2020_NDES!$A$7:$H$6703,MATCH($B48,SINAPI_NOV2020_NDES!$A$7:$A$6703,0),5),(INDEX(COMPOS!$A$4:$G$801,MATCH($B48,COMPOS!$A$4:A$801,0),4))))</f>
        <v>3.99</v>
      </c>
      <c r="G48" s="279">
        <f>(IF($A48="SINAPI",INDEX(SINAPI_NOV2020_NDES!$A$7:$H$6703,MATCH($B48,SINAPI_NOV2020_NDES!$A$7:$A$6703,0),6),(INDEX(COMPOS!$A$4:$G$801,MATCH($B48,COMPOS!$A$4:A$801,0),5))))</f>
        <v>23.61</v>
      </c>
      <c r="H48" s="280">
        <f>(IF($A48="SINAPI",INDEX(SINAPI_NOV2020_NDES!$A$7:$H$6703,MATCH($B48,SINAPI_NOV2020_NDES!$A$7:$A$6703,0),7),(INDEX(COMPOS!$A$4:$G$801,MATCH($B48,COMPOS!$A$4:A$801,0),6))))</f>
        <v>0</v>
      </c>
      <c r="I48" s="279">
        <f t="shared" si="8"/>
        <v>27.6</v>
      </c>
      <c r="J48" s="276">
        <f t="shared" si="9"/>
        <v>303.60000000000002</v>
      </c>
      <c r="K48" s="255"/>
      <c r="L48" s="255"/>
      <c r="M48" s="255"/>
      <c r="N48" s="255"/>
      <c r="O48" s="257"/>
      <c r="P48" s="257"/>
    </row>
    <row r="49" spans="1:16">
      <c r="A49" s="251" t="s">
        <v>6307</v>
      </c>
      <c r="B49" s="283">
        <v>760</v>
      </c>
      <c r="C49" s="282" t="str">
        <f>(IF($A49="SINAPI",INDEX(SINAPI_NOV2020_NDES!$A$7:$H$6703,MATCH($B49,SINAPI_NOV2020_NDES!$A$7:$A$6703,0),2),IF($A49="GOINFRA",INDEX(#REF!,MATCH($B49,#REF!,0),2),(INDEX(COMPOS!$A$4:$G$390,MATCH($B49,COMPOS!$A$4:A$390,0),2)))))</f>
        <v>LAMPADA LED 18 W BIVOLT BRANCA, FORMATO TRADICIONAL (BASE E27)</v>
      </c>
      <c r="D49" s="274" t="str">
        <f>(IF($A49="SINAPI",INDEX(SINAPI_NOV2020_NDES!$A$7:$H$6703,MATCH($B49,SINAPI_NOV2020_NDES!$A$7:$A$6703,0),3),IF($A49="GOINFRA",INDEX(#REF!,MATCH($B49,#REF!,0),3),(INDEX(COMPOS!$A$4:$G$39000,MATCH($B49,COMPOS!$A$4:A$39000,0),3)))))</f>
        <v>UN</v>
      </c>
      <c r="E49" s="280">
        <v>8</v>
      </c>
      <c r="F49" s="279">
        <f>(IF($A49="SINAPI",INDEX(SINAPI_NOV2020_NDES!$A$7:$H$6703,MATCH($B49,SINAPI_NOV2020_NDES!$A$7:$A$6703,0),5),(INDEX(COMPOS!$A$4:$G$801,MATCH($B49,COMPOS!$A$4:A$801,0),4))))</f>
        <v>3.0903999999999998</v>
      </c>
      <c r="G49" s="279">
        <f>(IF($A49="SINAPI",INDEX(SINAPI_NOV2020_NDES!$A$7:$H$6703,MATCH($B49,SINAPI_NOV2020_NDES!$A$7:$A$6703,0),6),(INDEX(COMPOS!$A$4:$G$801,MATCH($B49,COMPOS!$A$4:A$801,0),5))))</f>
        <v>23.94</v>
      </c>
      <c r="H49" s="280">
        <f>(IF($A49="SINAPI",INDEX(SINAPI_NOV2020_NDES!$A$7:$H$6703,MATCH($B49,SINAPI_NOV2020_NDES!$A$7:$A$6703,0),7),(INDEX(COMPOS!$A$4:$G$801,MATCH($B49,COMPOS!$A$4:A$801,0),6))))</f>
        <v>0</v>
      </c>
      <c r="I49" s="279">
        <f t="shared" si="8"/>
        <v>27.0304</v>
      </c>
      <c r="J49" s="276">
        <f t="shared" si="9"/>
        <v>216.2432</v>
      </c>
      <c r="K49" s="255"/>
      <c r="L49" s="255"/>
      <c r="M49" s="255"/>
      <c r="N49" s="255"/>
      <c r="O49" s="257"/>
      <c r="P49" s="257"/>
    </row>
    <row r="50" spans="1:16" s="88" customFormat="1" ht="15">
      <c r="A50" s="251"/>
      <c r="B50" s="272"/>
      <c r="C50" s="284" t="s">
        <v>6967</v>
      </c>
      <c r="D50" s="274"/>
      <c r="E50" s="279"/>
      <c r="F50" s="279"/>
      <c r="G50" s="279"/>
      <c r="H50" s="280"/>
      <c r="I50" s="275"/>
      <c r="J50" s="276"/>
      <c r="K50" s="255"/>
      <c r="L50" s="255"/>
      <c r="M50" s="255"/>
      <c r="N50" s="255"/>
      <c r="O50" s="257"/>
      <c r="P50" s="257"/>
    </row>
    <row r="51" spans="1:16">
      <c r="A51" s="251" t="s">
        <v>6307</v>
      </c>
      <c r="B51" s="283">
        <v>835</v>
      </c>
      <c r="C51" s="282" t="str">
        <f>(IF($A51="SINAPI",INDEX(SINAPI_NOV2020_NDES!$A$7:$H$6703,MATCH($B51,SINAPI_NOV2020_NDES!$A$7:$A$6703,0),2),IF($A51="GOINFRA",INDEX(#REF!,MATCH($B51,#REF!,0),2),(INDEX(COMPOS!$A$4:$G$39000,MATCH($B51,COMPOS!$A$4:A$39000,0),2)))))</f>
        <v>BUCHA E ARRUELA METALICA DIAM. 1.1/4"</v>
      </c>
      <c r="D51" s="274" t="str">
        <f>(IF($A51="SINAPI",INDEX(SINAPI_NOV2020_NDES!$A$7:$H$6703,MATCH($B51,SINAPI_NOV2020_NDES!$A$7:$A$6703,0),3),IF($A51="GOINFRA",INDEX(#REF!,MATCH($B51,#REF!,0),3),(INDEX(COMPOS!$A$4:$G$39000,MATCH($B51,COMPOS!$A$4:A$39000,0),3)))))</f>
        <v>UN</v>
      </c>
      <c r="E51" s="280">
        <v>14</v>
      </c>
      <c r="F51" s="279">
        <f>(IF($A51="SINAPI",INDEX(SINAPI_NOV2020_NDES!$A$7:$H$6703,MATCH($B51,SINAPI_NOV2020_NDES!$A$7:$A$6703,0),5),(INDEX(COMPOS!$A$4:$G$801,MATCH($B51,COMPOS!$A$4:A$801,0),4))))</f>
        <v>11.588999999999999</v>
      </c>
      <c r="G51" s="279">
        <f>(IF($A51="SINAPI",INDEX(SINAPI_NOV2020_NDES!$A$7:$H$6703,MATCH($B51,SINAPI_NOV2020_NDES!$A$7:$A$6703,0),6),(INDEX(COMPOS!$A$4:$G$801,MATCH($B51,COMPOS!$A$4:A$801,0),5))))</f>
        <v>2.29</v>
      </c>
      <c r="H51" s="280">
        <f>(IF($A51="SINAPI",INDEX(SINAPI_NOV2020_NDES!$A$7:$H$6703,MATCH($B51,SINAPI_NOV2020_NDES!$A$7:$A$6703,0),7),(INDEX(COMPOS!$A$4:$G$801,MATCH($B51,COMPOS!$A$4:A$801,0),6))))</f>
        <v>0</v>
      </c>
      <c r="I51" s="279">
        <f t="shared" ref="I51" si="10">SUM(F51:H51)</f>
        <v>13.878999999999998</v>
      </c>
      <c r="J51" s="276">
        <f t="shared" ref="J51" si="11">+I51*E51</f>
        <v>194.30599999999998</v>
      </c>
      <c r="K51" s="255"/>
      <c r="L51" s="255"/>
      <c r="M51" s="255"/>
      <c r="N51" s="255"/>
      <c r="O51" s="257"/>
      <c r="P51" s="257"/>
    </row>
    <row r="52" spans="1:16">
      <c r="A52" s="251" t="s">
        <v>6307</v>
      </c>
      <c r="B52" s="283">
        <v>829</v>
      </c>
      <c r="C52" s="282" t="str">
        <f>(IF($A52="SINAPI",INDEX(SINAPI_NOV2020_NDES!$A$7:$H$6703,MATCH($B52,SINAPI_NOV2020_NDES!$A$7:$A$6703,0),2),IF($A52="GOINFRA",INDEX(#REF!,MATCH($B52,#REF!,0),2),(INDEX(COMPOS!$A$4:$G$39000,MATCH($B52,COMPOS!$A$4:A$39000,0),2)))))</f>
        <v>CABO TELEFON. CTP-APL-50 DE 20 PARES (USO EXTERNO)</v>
      </c>
      <c r="D52" s="274" t="str">
        <f>(IF($A52="SINAPI",INDEX(SINAPI_NOV2020_NDES!$A$7:$H$6703,MATCH($B52,SINAPI_NOV2020_NDES!$A$7:$A$6703,0),3),IF($A52="GOINFRA",INDEX(#REF!,MATCH($B52,#REF!,0),3),(INDEX(COMPOS!$A$4:$G$39000,MATCH($B52,COMPOS!$A$4:A$39000,0),3)))))</f>
        <v>M</v>
      </c>
      <c r="E52" s="280">
        <v>90</v>
      </c>
      <c r="F52" s="279">
        <f>(IF($A52="SINAPI",INDEX(SINAPI_NOV2020_NDES!$A$7:$H$6703,MATCH($B52,SINAPI_NOV2020_NDES!$A$7:$A$6703,0),5),(INDEX(COMPOS!$A$4:$G$801,MATCH($B52,COMPOS!$A$4:A$801,0),4))))</f>
        <v>4.0561499999999997</v>
      </c>
      <c r="G52" s="279">
        <f>(IF($A52="SINAPI",INDEX(SINAPI_NOV2020_NDES!$A$7:$H$6703,MATCH($B52,SINAPI_NOV2020_NDES!$A$7:$A$6703,0),6),(INDEX(COMPOS!$A$4:$G$801,MATCH($B52,COMPOS!$A$4:A$801,0),5))))</f>
        <v>10.312199999999999</v>
      </c>
      <c r="H52" s="280">
        <f>(IF($A52="SINAPI",INDEX(SINAPI_NOV2020_NDES!$A$7:$H$6703,MATCH($B52,SINAPI_NOV2020_NDES!$A$7:$A$6703,0),7),(INDEX(COMPOS!$A$4:$G$801,MATCH($B52,COMPOS!$A$4:A$801,0),6))))</f>
        <v>0</v>
      </c>
      <c r="I52" s="279">
        <f t="shared" ref="I52:I89" si="12">SUM(F52:H52)</f>
        <v>14.36835</v>
      </c>
      <c r="J52" s="276">
        <f t="shared" ref="J52:J89" si="13">+I52*E52</f>
        <v>1293.1514999999999</v>
      </c>
      <c r="K52" s="255"/>
      <c r="L52" s="255"/>
      <c r="M52" s="255"/>
      <c r="N52" s="255"/>
      <c r="O52" s="257"/>
      <c r="P52" s="257"/>
    </row>
    <row r="53" spans="1:16" ht="24">
      <c r="A53" s="251" t="s">
        <v>7</v>
      </c>
      <c r="B53" s="283">
        <v>98295</v>
      </c>
      <c r="C53" s="282" t="str">
        <f>(IF($A53="SINAPI",INDEX(SINAPI_NOV2020_NDES!$A$7:$H$6703,MATCH($B53,SINAPI_NOV2020_NDES!$A$7:$A$6703,0),2),IF($A53="GOINFRA",INDEX(#REF!,MATCH($B53,#REF!,0),2),(INDEX(COMPOS!$A$4:$G$39000,MATCH($B53,COMPOS!$A$4:A$39000,0),2)))))</f>
        <v>CABO ELETRÔNICO CATEGORIA 5E, INSTALADO EM EDIFICAÇÃO INSTITUCIONAL - FORNECIMENTO E INSTALAÇÃO. AF_11/2019</v>
      </c>
      <c r="D53" s="274" t="str">
        <f>(IF($A53="SINAPI",INDEX(SINAPI_NOV2020_NDES!$A$7:$H$6703,MATCH($B53,SINAPI_NOV2020_NDES!$A$7:$A$6703,0),3),IF($A53="GOINFRA",INDEX(#REF!,MATCH($B53,#REF!,0),3),(INDEX(COMPOS!$A$4:$G$39000,MATCH($B53,COMPOS!$A$4:A$39000,0),3)))))</f>
        <v>M</v>
      </c>
      <c r="E53" s="280">
        <v>3078</v>
      </c>
      <c r="F53" s="279">
        <f>(IF($A53="SINAPI",INDEX(SINAPI_NOV2020_NDES!$A$7:$H$6703,MATCH($B53,SINAPI_NOV2020_NDES!$A$7:$A$6703,0),5),(INDEX(COMPOS!$A$4:$G$801,MATCH($B53,COMPOS!$A$4:A$801,0),4))))</f>
        <v>7.0000000000000007E-2</v>
      </c>
      <c r="G53" s="279">
        <f>(IF($A53="SINAPI",INDEX(SINAPI_NOV2020_NDES!$A$7:$H$6703,MATCH($B53,SINAPI_NOV2020_NDES!$A$7:$A$6703,0),6),(INDEX(COMPOS!$A$4:$G$801,MATCH($B53,COMPOS!$A$4:A$801,0),5))))</f>
        <v>1.1299999999999999</v>
      </c>
      <c r="H53" s="280">
        <f>(IF($A53="SINAPI",INDEX(SINAPI_NOV2020_NDES!$A$7:$H$6703,MATCH($B53,SINAPI_NOV2020_NDES!$A$7:$A$6703,0),7),(INDEX(COMPOS!$A$4:$G$801,MATCH($B53,COMPOS!$A$4:A$801,0),6))))</f>
        <v>0</v>
      </c>
      <c r="I53" s="279">
        <f t="shared" si="12"/>
        <v>1.2</v>
      </c>
      <c r="J53" s="276">
        <f t="shared" si="13"/>
        <v>3693.6</v>
      </c>
      <c r="K53" s="255"/>
      <c r="L53" s="255"/>
      <c r="M53" s="255"/>
      <c r="N53" s="255"/>
      <c r="O53" s="257"/>
      <c r="P53" s="257"/>
    </row>
    <row r="54" spans="1:16">
      <c r="A54" s="251" t="s">
        <v>6307</v>
      </c>
      <c r="B54" s="283">
        <v>320</v>
      </c>
      <c r="C54" s="282" t="str">
        <f>(IF($A54="SINAPI",INDEX(SINAPI_NOV2020_NDES!$A$7:$H$6703,MATCH($B54,SINAPI_NOV2020_NDES!$A$7:$A$6703,0),2),IF($A54="GOINFRA",INDEX(#REF!,MATCH($B54,#REF!,0),2),(INDEX(COMPOS!$A$4:$G$39000,MATCH($B54,COMPOS!$A$4:A$39000,0),2)))))</f>
        <v>CAIXA DE PASSAGEM 35X60X50CM FUNDO DE CONCRETO PARA TAMPA R1</v>
      </c>
      <c r="D54" s="274" t="str">
        <f>(IF($A54="SINAPI",INDEX(SINAPI_NOV2020_NDES!$A$7:$H$6703,MATCH($B54,SINAPI_NOV2020_NDES!$A$7:$A$6703,0),3),IF($A54="GOINFRA",INDEX(#REF!,MATCH($B54,#REF!,0),3),(INDEX(COMPOS!$A$4:$G$39000,MATCH($B54,COMPOS!$A$4:A$39000,0),3)))))</f>
        <v>UN</v>
      </c>
      <c r="E54" s="280">
        <v>3</v>
      </c>
      <c r="F54" s="279">
        <f>(IF($A54="SINAPI",INDEX(SINAPI_NOV2020_NDES!$A$7:$H$6703,MATCH($B54,SINAPI_NOV2020_NDES!$A$7:$A$6703,0),5),(INDEX(COMPOS!$A$4:$G$801,MATCH($B54,COMPOS!$A$4:A$801,0),4))))</f>
        <v>154.60165099999998</v>
      </c>
      <c r="G54" s="279">
        <f>(IF($A54="SINAPI",INDEX(SINAPI_NOV2020_NDES!$A$7:$H$6703,MATCH($B54,SINAPI_NOV2020_NDES!$A$7:$A$6703,0),6),(INDEX(COMPOS!$A$4:$G$801,MATCH($B54,COMPOS!$A$4:A$801,0),5))))</f>
        <v>104.76597111570248</v>
      </c>
      <c r="H54" s="280">
        <f>(IF($A54="SINAPI",INDEX(SINAPI_NOV2020_NDES!$A$7:$H$6703,MATCH($B54,SINAPI_NOV2020_NDES!$A$7:$A$6703,0),7),(INDEX(COMPOS!$A$4:$G$801,MATCH($B54,COMPOS!$A$4:A$801,0),6))))</f>
        <v>0</v>
      </c>
      <c r="I54" s="279">
        <f t="shared" si="12"/>
        <v>259.36762211570249</v>
      </c>
      <c r="J54" s="276">
        <f t="shared" si="13"/>
        <v>778.10286634710747</v>
      </c>
      <c r="K54" s="255"/>
      <c r="L54" s="255"/>
      <c r="M54" s="255"/>
      <c r="N54" s="255"/>
      <c r="O54" s="257"/>
      <c r="P54" s="257"/>
    </row>
    <row r="55" spans="1:16">
      <c r="A55" s="251" t="s">
        <v>6307</v>
      </c>
      <c r="B55" s="283">
        <v>839</v>
      </c>
      <c r="C55" s="282" t="str">
        <f>(IF($A55="SINAPI",INDEX(SINAPI_NOV2020_NDES!$A$7:$H$6703,MATCH($B55,SINAPI_NOV2020_NDES!$A$7:$A$6703,0),2),IF($A55="GOINFRA",INDEX(#REF!,MATCH($B55,#REF!,0),2),(INDEX(COMPOS!$A$4:$G$39000,MATCH($B55,COMPOS!$A$4:A$39000,0),2)))))</f>
        <v>CAIXA DE PASSAGEM METÁLICA DE EMBUTIR 40X40X15 CM</v>
      </c>
      <c r="D55" s="274" t="str">
        <f>(IF($A55="SINAPI",INDEX(SINAPI_NOV2020_NDES!$A$7:$H$6703,MATCH($B55,SINAPI_NOV2020_NDES!$A$7:$A$6703,0),3),IF($A55="GOINFRA",INDEX(#REF!,MATCH($B55,#REF!,0),3),(INDEX(COMPOS!$A$4:$G$39000,MATCH($B55,COMPOS!$A$4:A$39000,0),3)))))</f>
        <v>UN</v>
      </c>
      <c r="E55" s="280">
        <v>4</v>
      </c>
      <c r="F55" s="279">
        <f>(IF($A55="SINAPI",INDEX(SINAPI_NOV2020_NDES!$A$7:$H$6703,MATCH($B55,SINAPI_NOV2020_NDES!$A$7:$A$6703,0),5),(INDEX(COMPOS!$A$4:$G$801,MATCH($B55,COMPOS!$A$4:A$801,0),4))))</f>
        <v>77.259999999999991</v>
      </c>
      <c r="G55" s="279">
        <f>(IF($A55="SINAPI",INDEX(SINAPI_NOV2020_NDES!$A$7:$H$6703,MATCH($B55,SINAPI_NOV2020_NDES!$A$7:$A$6703,0),6),(INDEX(COMPOS!$A$4:$G$801,MATCH($B55,COMPOS!$A$4:A$801,0),5))))</f>
        <v>88.55</v>
      </c>
      <c r="H55" s="280">
        <f>(IF($A55="SINAPI",INDEX(SINAPI_NOV2020_NDES!$A$7:$H$6703,MATCH($B55,SINAPI_NOV2020_NDES!$A$7:$A$6703,0),7),(INDEX(COMPOS!$A$4:$G$801,MATCH($B55,COMPOS!$A$4:A$801,0),6))))</f>
        <v>0</v>
      </c>
      <c r="I55" s="279">
        <f t="shared" si="12"/>
        <v>165.81</v>
      </c>
      <c r="J55" s="276">
        <f t="shared" si="13"/>
        <v>663.24</v>
      </c>
      <c r="K55" s="255"/>
      <c r="L55" s="255"/>
      <c r="M55" s="255"/>
      <c r="N55" s="255"/>
      <c r="O55" s="257"/>
      <c r="P55" s="257"/>
    </row>
    <row r="56" spans="1:16">
      <c r="A56" s="251" t="s">
        <v>6307</v>
      </c>
      <c r="B56" s="283">
        <v>841</v>
      </c>
      <c r="C56" s="282" t="str">
        <f>(IF($A56="SINAPI",INDEX(SINAPI_NOV2020_NDES!$A$7:$H$6703,MATCH($B56,SINAPI_NOV2020_NDES!$A$7:$A$6703,0),2),IF($A56="GOINFRA",INDEX(#REF!,MATCH($B56,#REF!,0),2),(INDEX(COMPOS!$A$4:$G$39000,MATCH($B56,COMPOS!$A$4:A$39000,0),2)))))</f>
        <v>CAIXA DISTRIBUIÇÃO TELEFÔNICA DE EMBUTIR 40X40X12 CM</v>
      </c>
      <c r="D56" s="274" t="str">
        <f>(IF($A56="SINAPI",INDEX(SINAPI_NOV2020_NDES!$A$7:$H$6703,MATCH($B56,SINAPI_NOV2020_NDES!$A$7:$A$6703,0),3),IF($A56="GOINFRA",INDEX(#REF!,MATCH($B56,#REF!,0),3),(INDEX(COMPOS!$A$4:$G$39000,MATCH($B56,COMPOS!$A$4:A$39000,0),3)))))</f>
        <v>UN</v>
      </c>
      <c r="E56" s="280">
        <v>1</v>
      </c>
      <c r="F56" s="279">
        <f>(IF($A56="SINAPI",INDEX(SINAPI_NOV2020_NDES!$A$7:$H$6703,MATCH($B56,SINAPI_NOV2020_NDES!$A$7:$A$6703,0),5),(INDEX(COMPOS!$A$4:$G$801,MATCH($B56,COMPOS!$A$4:A$801,0),4))))</f>
        <v>77.259999999999991</v>
      </c>
      <c r="G56" s="279">
        <f>(IF($A56="SINAPI",INDEX(SINAPI_NOV2020_NDES!$A$7:$H$6703,MATCH($B56,SINAPI_NOV2020_NDES!$A$7:$A$6703,0),6),(INDEX(COMPOS!$A$4:$G$801,MATCH($B56,COMPOS!$A$4:A$801,0),5))))</f>
        <v>88.55</v>
      </c>
      <c r="H56" s="280">
        <f>(IF($A56="SINAPI",INDEX(SINAPI_NOV2020_NDES!$A$7:$H$6703,MATCH($B56,SINAPI_NOV2020_NDES!$A$7:$A$6703,0),7),(INDEX(COMPOS!$A$4:$G$801,MATCH($B56,COMPOS!$A$4:A$801,0),6))))</f>
        <v>0</v>
      </c>
      <c r="I56" s="279">
        <f t="shared" si="12"/>
        <v>165.81</v>
      </c>
      <c r="J56" s="276">
        <f t="shared" si="13"/>
        <v>165.81</v>
      </c>
      <c r="K56" s="255"/>
      <c r="L56" s="255"/>
      <c r="M56" s="255"/>
      <c r="N56" s="255"/>
      <c r="O56" s="257"/>
      <c r="P56" s="257"/>
    </row>
    <row r="57" spans="1:16">
      <c r="A57" s="251" t="s">
        <v>6307</v>
      </c>
      <c r="B57" s="283">
        <v>843</v>
      </c>
      <c r="C57" s="282" t="str">
        <f>(IF($A57="SINAPI",INDEX(SINAPI_NOV2020_NDES!$A$7:$H$6703,MATCH($B57,SINAPI_NOV2020_NDES!$A$7:$A$6703,0),2),IF($A57="GOINFRA",INDEX(#REF!,MATCH($B57,#REF!,0),2),(INDEX(COMPOS!$A$4:$G$39000,MATCH($B57,COMPOS!$A$4:A$39000,0),2)))))</f>
        <v>CAIXA METALICA RET. 4" X 2" X 2"</v>
      </c>
      <c r="D57" s="274" t="str">
        <f>(IF($A57="SINAPI",INDEX(SINAPI_NOV2020_NDES!$A$7:$H$6703,MATCH($B57,SINAPI_NOV2020_NDES!$A$7:$A$6703,0),3),IF($A57="GOINFRA",INDEX(#REF!,MATCH($B57,#REF!,0),3),(INDEX(COMPOS!$A$4:$G$39000,MATCH($B57,COMPOS!$A$4:A$39000,0),3)))))</f>
        <v>UN</v>
      </c>
      <c r="E57" s="280">
        <v>4</v>
      </c>
      <c r="F57" s="279">
        <f>(IF($A57="SINAPI",INDEX(SINAPI_NOV2020_NDES!$A$7:$H$6703,MATCH($B57,SINAPI_NOV2020_NDES!$A$7:$A$6703,0),5),(INDEX(COMPOS!$A$4:$G$801,MATCH($B57,COMPOS!$A$4:A$801,0),4))))</f>
        <v>5.7944999999999993</v>
      </c>
      <c r="G57" s="279">
        <f>(IF($A57="SINAPI",INDEX(SINAPI_NOV2020_NDES!$A$7:$H$6703,MATCH($B57,SINAPI_NOV2020_NDES!$A$7:$A$6703,0),6),(INDEX(COMPOS!$A$4:$G$801,MATCH($B57,COMPOS!$A$4:A$801,0),5))))</f>
        <v>1.03</v>
      </c>
      <c r="H57" s="280">
        <f>(IF($A57="SINAPI",INDEX(SINAPI_NOV2020_NDES!$A$7:$H$6703,MATCH($B57,SINAPI_NOV2020_NDES!$A$7:$A$6703,0),7),(INDEX(COMPOS!$A$4:$G$801,MATCH($B57,COMPOS!$A$4:A$801,0),6))))</f>
        <v>0</v>
      </c>
      <c r="I57" s="279">
        <f t="shared" si="12"/>
        <v>6.8244999999999996</v>
      </c>
      <c r="J57" s="276">
        <f t="shared" si="13"/>
        <v>27.297999999999998</v>
      </c>
      <c r="K57" s="255"/>
      <c r="L57" s="255"/>
      <c r="M57" s="255"/>
      <c r="N57" s="255"/>
      <c r="O57" s="257"/>
      <c r="P57" s="257"/>
    </row>
    <row r="58" spans="1:16">
      <c r="A58" s="251" t="s">
        <v>6307</v>
      </c>
      <c r="B58" s="283">
        <v>842</v>
      </c>
      <c r="C58" s="282" t="str">
        <f>(IF($A58="SINAPI",INDEX(SINAPI_NOV2020_NDES!$A$7:$H$6703,MATCH($B58,SINAPI_NOV2020_NDES!$A$7:$A$6703,0),2),IF($A58="GOINFRA",INDEX(#REF!,MATCH($B58,#REF!,0),2),(INDEX(COMPOS!$A$4:$G$39000,MATCH($B58,COMPOS!$A$4:A$39000,0),2)))))</f>
        <v>CAIXA METALICA QUADRADA 4"X4"X2"</v>
      </c>
      <c r="D58" s="274" t="str">
        <f>(IF($A58="SINAPI",INDEX(SINAPI_NOV2020_NDES!$A$7:$H$6703,MATCH($B58,SINAPI_NOV2020_NDES!$A$7:$A$6703,0),3),IF($A58="GOINFRA",INDEX(#REF!,MATCH($B58,#REF!,0),3),(INDEX(COMPOS!$A$4:$G$39000,MATCH($B58,COMPOS!$A$4:A$39000,0),3)))))</f>
        <v>UN</v>
      </c>
      <c r="E58" s="280">
        <v>46</v>
      </c>
      <c r="F58" s="279">
        <f>(IF($A58="SINAPI",INDEX(SINAPI_NOV2020_NDES!$A$7:$H$6703,MATCH($B58,SINAPI_NOV2020_NDES!$A$7:$A$6703,0),5),(INDEX(COMPOS!$A$4:$G$801,MATCH($B58,COMPOS!$A$4:A$801,0),4))))</f>
        <v>5.7944999999999993</v>
      </c>
      <c r="G58" s="279">
        <f>(IF($A58="SINAPI",INDEX(SINAPI_NOV2020_NDES!$A$7:$H$6703,MATCH($B58,SINAPI_NOV2020_NDES!$A$7:$A$6703,0),6),(INDEX(COMPOS!$A$4:$G$801,MATCH($B58,COMPOS!$A$4:A$801,0),5))))</f>
        <v>2.1800000000000002</v>
      </c>
      <c r="H58" s="280">
        <f>(IF($A58="SINAPI",INDEX(SINAPI_NOV2020_NDES!$A$7:$H$6703,MATCH($B58,SINAPI_NOV2020_NDES!$A$7:$A$6703,0),7),(INDEX(COMPOS!$A$4:$G$801,MATCH($B58,COMPOS!$A$4:A$801,0),6))))</f>
        <v>0</v>
      </c>
      <c r="I58" s="279">
        <f t="shared" si="12"/>
        <v>7.974499999999999</v>
      </c>
      <c r="J58" s="276">
        <f t="shared" si="13"/>
        <v>366.82699999999994</v>
      </c>
      <c r="K58" s="255"/>
      <c r="L58" s="255"/>
      <c r="M58" s="255"/>
      <c r="N58" s="255"/>
      <c r="O58" s="257"/>
      <c r="P58" s="257"/>
    </row>
    <row r="59" spans="1:16">
      <c r="A59" s="251" t="s">
        <v>6307</v>
      </c>
      <c r="B59" s="283">
        <v>321</v>
      </c>
      <c r="C59" s="282" t="str">
        <f>(IF($A59="SINAPI",INDEX(SINAPI_NOV2020_NDES!$A$7:$H$6703,MATCH($B59,SINAPI_NOV2020_NDES!$A$7:$A$6703,0),2),IF($A59="GOINFRA",INDEX(#REF!,MATCH($B59,#REF!,0),2),(INDEX(COMPOS!$A$4:$G$39000,MATCH($B59,COMPOS!$A$4:A$39000,0),2)))))</f>
        <v>CAIXA DE PASSAGEM 107x52x50CM FUNDO DE CONCRETO PARA TAMPA R3</v>
      </c>
      <c r="D59" s="274" t="str">
        <f>(IF($A59="SINAPI",INDEX(SINAPI_NOV2020_NDES!$A$7:$H$6703,MATCH($B59,SINAPI_NOV2020_NDES!$A$7:$A$6703,0),3),IF($A59="GOINFRA",INDEX(#REF!,MATCH($B59,#REF!,0),3),(INDEX(COMPOS!$A$4:$G$39000,MATCH($B59,COMPOS!$A$4:A$39000,0),3)))))</f>
        <v>UN</v>
      </c>
      <c r="E59" s="280">
        <v>2</v>
      </c>
      <c r="F59" s="279">
        <f>(IF($A59="SINAPI",INDEX(SINAPI_NOV2020_NDES!$A$7:$H$6703,MATCH($B59,SINAPI_NOV2020_NDES!$A$7:$A$6703,0),5),(INDEX(COMPOS!$A$4:$G$801,MATCH($B59,COMPOS!$A$4:A$801,0),4))))</f>
        <v>241.23335899999998</v>
      </c>
      <c r="G59" s="279">
        <f>(IF($A59="SINAPI",INDEX(SINAPI_NOV2020_NDES!$A$7:$H$6703,MATCH($B59,SINAPI_NOV2020_NDES!$A$7:$A$6703,0),6),(INDEX(COMPOS!$A$4:$G$801,MATCH($B59,COMPOS!$A$4:A$801,0),5))))</f>
        <v>159.78428238842974</v>
      </c>
      <c r="H59" s="280">
        <f>(IF($A59="SINAPI",INDEX(SINAPI_NOV2020_NDES!$A$7:$H$6703,MATCH($B59,SINAPI_NOV2020_NDES!$A$7:$A$6703,0),7),(INDEX(COMPOS!$A$4:$G$801,MATCH($B59,COMPOS!$A$4:A$801,0),6))))</f>
        <v>0</v>
      </c>
      <c r="I59" s="279">
        <f t="shared" si="12"/>
        <v>401.01764138842975</v>
      </c>
      <c r="J59" s="276">
        <f t="shared" si="13"/>
        <v>802.0352827768595</v>
      </c>
      <c r="K59" s="255"/>
      <c r="L59" s="255"/>
      <c r="M59" s="255"/>
      <c r="N59" s="255"/>
      <c r="O59" s="257"/>
      <c r="P59" s="257"/>
    </row>
    <row r="60" spans="1:16">
      <c r="A60" s="251" t="s">
        <v>6307</v>
      </c>
      <c r="B60" s="283">
        <v>844</v>
      </c>
      <c r="C60" s="282" t="str">
        <f>(IF($A60="SINAPI",INDEX(SINAPI_NOV2020_NDES!$A$7:$H$6703,MATCH($B60,SINAPI_NOV2020_NDES!$A$7:$A$6703,0),2),IF($A60="GOINFRA",INDEX(#REF!,MATCH($B60,#REF!,0),2),(INDEX(COMPOS!$A$4:$G$39000,MATCH($B60,COMPOS!$A$4:A$39000,0),2)))))</f>
        <v>CURVA DE 90 GRAUS DE PVC RIGIDO DIAM. 2"</v>
      </c>
      <c r="D60" s="274" t="str">
        <f>(IF($A60="SINAPI",INDEX(SINAPI_NOV2020_NDES!$A$7:$H$6703,MATCH($B60,SINAPI_NOV2020_NDES!$A$7:$A$6703,0),3),IF($A60="GOINFRA",INDEX(#REF!,MATCH($B60,#REF!,0),3),(INDEX(COMPOS!$A$4:$G$39000,MATCH($B60,COMPOS!$A$4:A$39000,0),3)))))</f>
        <v>UN</v>
      </c>
      <c r="E60" s="280">
        <v>3</v>
      </c>
      <c r="F60" s="279">
        <f>(IF($A60="SINAPI",INDEX(SINAPI_NOV2020_NDES!$A$7:$H$6703,MATCH($B60,SINAPI_NOV2020_NDES!$A$7:$A$6703,0),5),(INDEX(COMPOS!$A$4:$G$801,MATCH($B60,COMPOS!$A$4:A$801,0),4))))</f>
        <v>14.679400000000001</v>
      </c>
      <c r="G60" s="279">
        <f>(IF($A60="SINAPI",INDEX(SINAPI_NOV2020_NDES!$A$7:$H$6703,MATCH($B60,SINAPI_NOV2020_NDES!$A$7:$A$6703,0),6),(INDEX(COMPOS!$A$4:$G$801,MATCH($B60,COMPOS!$A$4:A$801,0),5))))</f>
        <v>3.92</v>
      </c>
      <c r="H60" s="280">
        <f>(IF($A60="SINAPI",INDEX(SINAPI_NOV2020_NDES!$A$7:$H$6703,MATCH($B60,SINAPI_NOV2020_NDES!$A$7:$A$6703,0),7),(INDEX(COMPOS!$A$4:$G$801,MATCH($B60,COMPOS!$A$4:A$801,0),6))))</f>
        <v>0</v>
      </c>
      <c r="I60" s="279">
        <f t="shared" si="12"/>
        <v>18.599400000000003</v>
      </c>
      <c r="J60" s="276">
        <f t="shared" si="13"/>
        <v>55.798200000000008</v>
      </c>
      <c r="K60" s="255"/>
      <c r="L60" s="255"/>
      <c r="M60" s="255"/>
      <c r="N60" s="255"/>
      <c r="O60" s="257"/>
      <c r="P60" s="257"/>
    </row>
    <row r="61" spans="1:16">
      <c r="A61" s="251" t="s">
        <v>6307</v>
      </c>
      <c r="B61" s="283">
        <v>846</v>
      </c>
      <c r="C61" s="282" t="str">
        <f>(IF($A61="SINAPI",INDEX(SINAPI_NOV2020_NDES!$A$7:$H$6703,MATCH($B61,SINAPI_NOV2020_NDES!$A$7:$A$6703,0),2),IF($A61="GOINFRA",INDEX(#REF!,MATCH($B61,#REF!,0),2),(INDEX(COMPOS!$A$4:$G$39000,MATCH($B61,COMPOS!$A$4:A$39000,0),2)))))</f>
        <v>ELETRODUTO DE PVC RIGIDO DIAMETRO 1.1/4"</v>
      </c>
      <c r="D61" s="274" t="str">
        <f>(IF($A61="SINAPI",INDEX(SINAPI_NOV2020_NDES!$A$7:$H$6703,MATCH($B61,SINAPI_NOV2020_NDES!$A$7:$A$6703,0),3),IF($A61="GOINFRA",INDEX(#REF!,MATCH($B61,#REF!,0),3),(INDEX(COMPOS!$A$4:$G$39000,MATCH($B61,COMPOS!$A$4:A$39000,0),3)))))</f>
        <v>M</v>
      </c>
      <c r="E61" s="280">
        <v>71.8</v>
      </c>
      <c r="F61" s="279">
        <f>(IF($A61="SINAPI",INDEX(SINAPI_NOV2020_NDES!$A$7:$H$6703,MATCH($B61,SINAPI_NOV2020_NDES!$A$7:$A$6703,0),5),(INDEX(COMPOS!$A$4:$G$801,MATCH($B61,COMPOS!$A$4:A$801,0),4))))</f>
        <v>16.224599999999999</v>
      </c>
      <c r="G61" s="279">
        <f>(IF($A61="SINAPI",INDEX(SINAPI_NOV2020_NDES!$A$7:$H$6703,MATCH($B61,SINAPI_NOV2020_NDES!$A$7:$A$6703,0),6),(INDEX(COMPOS!$A$4:$G$801,MATCH($B61,COMPOS!$A$4:A$801,0),5))))</f>
        <v>4.5</v>
      </c>
      <c r="H61" s="280">
        <f>(IF($A61="SINAPI",INDEX(SINAPI_NOV2020_NDES!$A$7:$H$6703,MATCH($B61,SINAPI_NOV2020_NDES!$A$7:$A$6703,0),7),(INDEX(COMPOS!$A$4:$G$801,MATCH($B61,COMPOS!$A$4:A$801,0),6))))</f>
        <v>0</v>
      </c>
      <c r="I61" s="279">
        <f t="shared" si="12"/>
        <v>20.724599999999999</v>
      </c>
      <c r="J61" s="276">
        <f t="shared" si="13"/>
        <v>1488.0262799999998</v>
      </c>
      <c r="K61" s="255"/>
      <c r="L61" s="255"/>
      <c r="M61" s="255"/>
      <c r="N61" s="255"/>
      <c r="O61" s="257"/>
      <c r="P61" s="257"/>
    </row>
    <row r="62" spans="1:16">
      <c r="A62" s="251" t="s">
        <v>6307</v>
      </c>
      <c r="B62" s="283">
        <v>845</v>
      </c>
      <c r="C62" s="282" t="str">
        <f>(IF($A62="SINAPI",INDEX(SINAPI_NOV2020_NDES!$A$7:$H$6703,MATCH($B62,SINAPI_NOV2020_NDES!$A$7:$A$6703,0),2),IF($A62="GOINFRA",INDEX(#REF!,MATCH($B62,#REF!,0),2),(INDEX(COMPOS!$A$4:$G$39000,MATCH($B62,COMPOS!$A$4:A$39000,0),2)))))</f>
        <v>ELETRODUTO DE PVC RIGIDO DIAMETRO 2"</v>
      </c>
      <c r="D62" s="274" t="str">
        <f>(IF($A62="SINAPI",INDEX(SINAPI_NOV2020_NDES!$A$7:$H$6703,MATCH($B62,SINAPI_NOV2020_NDES!$A$7:$A$6703,0),3),IF($A62="GOINFRA",INDEX(#REF!,MATCH($B62,#REF!,0),3),(INDEX(COMPOS!$A$4:$G$39000,MATCH($B62,COMPOS!$A$4:A$39000,0),3)))))</f>
        <v>M</v>
      </c>
      <c r="E62" s="280">
        <v>144.1</v>
      </c>
      <c r="F62" s="279">
        <f>(IF($A62="SINAPI",INDEX(SINAPI_NOV2020_NDES!$A$7:$H$6703,MATCH($B62,SINAPI_NOV2020_NDES!$A$7:$A$6703,0),5),(INDEX(COMPOS!$A$4:$G$801,MATCH($B62,COMPOS!$A$4:A$801,0),4))))</f>
        <v>19.314999999999998</v>
      </c>
      <c r="G62" s="279">
        <f>(IF($A62="SINAPI",INDEX(SINAPI_NOV2020_NDES!$A$7:$H$6703,MATCH($B62,SINAPI_NOV2020_NDES!$A$7:$A$6703,0),6),(INDEX(COMPOS!$A$4:$G$801,MATCH($B62,COMPOS!$A$4:A$801,0),5))))</f>
        <v>8.09</v>
      </c>
      <c r="H62" s="280">
        <f>(IF($A62="SINAPI",INDEX(SINAPI_NOV2020_NDES!$A$7:$H$6703,MATCH($B62,SINAPI_NOV2020_NDES!$A$7:$A$6703,0),7),(INDEX(COMPOS!$A$4:$G$801,MATCH($B62,COMPOS!$A$4:A$801,0),6))))</f>
        <v>0</v>
      </c>
      <c r="I62" s="279">
        <f t="shared" si="12"/>
        <v>27.404999999999998</v>
      </c>
      <c r="J62" s="276">
        <f t="shared" si="13"/>
        <v>3949.0604999999996</v>
      </c>
      <c r="K62" s="255"/>
      <c r="L62" s="255"/>
      <c r="M62" s="255"/>
      <c r="N62" s="255"/>
      <c r="O62" s="257"/>
      <c r="P62" s="257"/>
    </row>
    <row r="63" spans="1:16">
      <c r="A63" s="251" t="s">
        <v>6307</v>
      </c>
      <c r="B63" s="283">
        <v>825</v>
      </c>
      <c r="C63" s="282" t="str">
        <f>(IF($A63="SINAPI",INDEX(SINAPI_NOV2020_NDES!$A$7:$H$6703,MATCH($B63,SINAPI_NOV2020_NDES!$A$7:$A$6703,0),2),IF($A63="GOINFRA",INDEX(#REF!,MATCH($B63,#REF!,0),2),(INDEX(COMPOS!$A$4:$G$39000,MATCH($B63,COMPOS!$A$4:A$39000,0),2)))))</f>
        <v>ELETRODUTO DE PVC RIGIDO DIAMETRO 3/4"</v>
      </c>
      <c r="D63" s="274" t="str">
        <f>(IF($A63="SINAPI",INDEX(SINAPI_NOV2020_NDES!$A$7:$H$6703,MATCH($B63,SINAPI_NOV2020_NDES!$A$7:$A$6703,0),3),IF($A63="GOINFRA",INDEX(#REF!,MATCH($B63,#REF!,0),3),(INDEX(COMPOS!$A$4:$G$39000,MATCH($B63,COMPOS!$A$4:A$39000,0),3)))))</f>
        <v>M</v>
      </c>
      <c r="E63" s="280">
        <v>722.7</v>
      </c>
      <c r="F63" s="279">
        <f>(IF($A63="SINAPI",INDEX(SINAPI_NOV2020_NDES!$A$7:$H$6703,MATCH($B63,SINAPI_NOV2020_NDES!$A$7:$A$6703,0),5),(INDEX(COMPOS!$A$4:$G$801,MATCH($B63,COMPOS!$A$4:A$801,0),4))))</f>
        <v>6.5670999999999999</v>
      </c>
      <c r="G63" s="279">
        <f>(IF($A63="SINAPI",INDEX(SINAPI_NOV2020_NDES!$A$7:$H$6703,MATCH($B63,SINAPI_NOV2020_NDES!$A$7:$A$6703,0),6),(INDEX(COMPOS!$A$4:$G$801,MATCH($B63,COMPOS!$A$4:A$801,0),5))))</f>
        <v>2.16</v>
      </c>
      <c r="H63" s="280">
        <f>(IF($A63="SINAPI",INDEX(SINAPI_NOV2020_NDES!$A$7:$H$6703,MATCH($B63,SINAPI_NOV2020_NDES!$A$7:$A$6703,0),7),(INDEX(COMPOS!$A$4:$G$801,MATCH($B63,COMPOS!$A$4:A$801,0),6))))</f>
        <v>0</v>
      </c>
      <c r="I63" s="279">
        <f t="shared" si="12"/>
        <v>8.7271000000000001</v>
      </c>
      <c r="J63" s="276">
        <f t="shared" si="13"/>
        <v>6307.0751700000001</v>
      </c>
      <c r="K63" s="255"/>
      <c r="L63" s="255"/>
      <c r="M63" s="255"/>
      <c r="N63" s="255"/>
      <c r="O63" s="257"/>
      <c r="P63" s="257"/>
    </row>
    <row r="64" spans="1:16">
      <c r="A64" s="251" t="s">
        <v>6307</v>
      </c>
      <c r="B64" s="283">
        <v>831</v>
      </c>
      <c r="C64" s="282" t="str">
        <f>(IF($A64="SINAPI",INDEX(SINAPI_NOV2020_NDES!$A$7:$H$6703,MATCH($B64,SINAPI_NOV2020_NDES!$A$7:$A$6703,0),2),IF($A64="GOINFRA",INDEX(#REF!,MATCH($B64,#REF!,0),2),(INDEX(COMPOS!$A$4:$G$39000,MATCH($B64,COMPOS!$A$4:A$39000,0),2)))))</f>
        <v>LUVA PVC ROSQUEAVEL DIAMETRO 1.1/4"</v>
      </c>
      <c r="D64" s="274" t="str">
        <f>(IF($A64="SINAPI",INDEX(SINAPI_NOV2020_NDES!$A$7:$H$6703,MATCH($B64,SINAPI_NOV2020_NDES!$A$7:$A$6703,0),3),IF($A64="GOINFRA",INDEX(#REF!,MATCH($B64,#REF!,0),3),(INDEX(COMPOS!$A$4:$G$39000,MATCH($B64,COMPOS!$A$4:A$39000,0),3)))))</f>
        <v>UN</v>
      </c>
      <c r="E64" s="280">
        <v>23</v>
      </c>
      <c r="F64" s="279">
        <f>(IF($A64="SINAPI",INDEX(SINAPI_NOV2020_NDES!$A$7:$H$6703,MATCH($B64,SINAPI_NOV2020_NDES!$A$7:$A$6703,0),5),(INDEX(COMPOS!$A$4:$G$801,MATCH($B64,COMPOS!$A$4:A$801,0),4))))</f>
        <v>2.7041000000000004</v>
      </c>
      <c r="G64" s="279">
        <f>(IF($A64="SINAPI",INDEX(SINAPI_NOV2020_NDES!$A$7:$H$6703,MATCH($B64,SINAPI_NOV2020_NDES!$A$7:$A$6703,0),6),(INDEX(COMPOS!$A$4:$G$801,MATCH($B64,COMPOS!$A$4:A$801,0),5))))</f>
        <v>1.0900000000000001</v>
      </c>
      <c r="H64" s="280">
        <f>(IF($A64="SINAPI",INDEX(SINAPI_NOV2020_NDES!$A$7:$H$6703,MATCH($B64,SINAPI_NOV2020_NDES!$A$7:$A$6703,0),7),(INDEX(COMPOS!$A$4:$G$801,MATCH($B64,COMPOS!$A$4:A$801,0),6))))</f>
        <v>0</v>
      </c>
      <c r="I64" s="279">
        <f t="shared" si="12"/>
        <v>3.7941000000000003</v>
      </c>
      <c r="J64" s="276">
        <f t="shared" si="13"/>
        <v>87.264300000000006</v>
      </c>
      <c r="K64" s="255"/>
      <c r="L64" s="255"/>
      <c r="M64" s="255"/>
      <c r="N64" s="255"/>
      <c r="O64" s="257"/>
      <c r="P64" s="257"/>
    </row>
    <row r="65" spans="1:16">
      <c r="A65" s="251" t="s">
        <v>6307</v>
      </c>
      <c r="B65" s="283">
        <v>828</v>
      </c>
      <c r="C65" s="282" t="str">
        <f>(IF($A65="SINAPI",INDEX(SINAPI_NOV2020_NDES!$A$7:$H$6703,MATCH($B65,SINAPI_NOV2020_NDES!$A$7:$A$6703,0),2),IF($A65="GOINFRA",INDEX(#REF!,MATCH($B65,#REF!,0),2),(INDEX(COMPOS!$A$4:$G$39000,MATCH($B65,COMPOS!$A$4:A$39000,0),2)))))</f>
        <v>LUVA PVC ROSQUEAVEL DIAMETRO 3/4"</v>
      </c>
      <c r="D65" s="274" t="str">
        <f>(IF($A65="SINAPI",INDEX(SINAPI_NOV2020_NDES!$A$7:$H$6703,MATCH($B65,SINAPI_NOV2020_NDES!$A$7:$A$6703,0),3),IF($A65="GOINFRA",INDEX(#REF!,MATCH($B65,#REF!,0),3),(INDEX(COMPOS!$A$4:$G$39000,MATCH($B65,COMPOS!$A$4:A$39000,0),3)))))</f>
        <v>UN</v>
      </c>
      <c r="E65" s="280">
        <v>241</v>
      </c>
      <c r="F65" s="279">
        <f>(IF($A65="SINAPI",INDEX(SINAPI_NOV2020_NDES!$A$7:$H$6703,MATCH($B65,SINAPI_NOV2020_NDES!$A$7:$A$6703,0),5),(INDEX(COMPOS!$A$4:$G$801,MATCH($B65,COMPOS!$A$4:A$801,0),4))))</f>
        <v>1.1589</v>
      </c>
      <c r="G65" s="279">
        <f>(IF($A65="SINAPI",INDEX(SINAPI_NOV2020_NDES!$A$7:$H$6703,MATCH($B65,SINAPI_NOV2020_NDES!$A$7:$A$6703,0),6),(INDEX(COMPOS!$A$4:$G$801,MATCH($B65,COMPOS!$A$4:A$801,0),5))))</f>
        <v>0.5</v>
      </c>
      <c r="H65" s="280">
        <f>(IF($A65="SINAPI",INDEX(SINAPI_NOV2020_NDES!$A$7:$H$6703,MATCH($B65,SINAPI_NOV2020_NDES!$A$7:$A$6703,0),7),(INDEX(COMPOS!$A$4:$G$801,MATCH($B65,COMPOS!$A$4:A$801,0),6))))</f>
        <v>0</v>
      </c>
      <c r="I65" s="279">
        <f t="shared" si="12"/>
        <v>1.6589</v>
      </c>
      <c r="J65" s="276">
        <f t="shared" si="13"/>
        <v>399.79489999999998</v>
      </c>
      <c r="K65" s="255"/>
      <c r="L65" s="255"/>
      <c r="M65" s="255"/>
      <c r="N65" s="255"/>
      <c r="O65" s="257"/>
      <c r="P65" s="257"/>
    </row>
    <row r="66" spans="1:16">
      <c r="A66" s="251" t="s">
        <v>6307</v>
      </c>
      <c r="B66" s="283">
        <v>832</v>
      </c>
      <c r="C66" s="282" t="str">
        <f>(IF($A66="SINAPI",INDEX(SINAPI_NOV2020_NDES!$A$7:$H$6703,MATCH($B66,SINAPI_NOV2020_NDES!$A$7:$A$6703,0),2),IF($A66="GOINFRA",INDEX(#REF!,MATCH($B66,#REF!,0),2),(INDEX(COMPOS!$A$4:$G$39000,MATCH($B66,COMPOS!$A$4:A$39000,0),2)))))</f>
        <v>LUVA PVC ROSQUEAVEL DIAMETRO 2"</v>
      </c>
      <c r="D66" s="274" t="str">
        <f>(IF($A66="SINAPI",INDEX(SINAPI_NOV2020_NDES!$A$7:$H$6703,MATCH($B66,SINAPI_NOV2020_NDES!$A$7:$A$6703,0),3),IF($A66="GOINFRA",INDEX(#REF!,MATCH($B66,#REF!,0),3),(INDEX(COMPOS!$A$4:$G$39000,MATCH($B66,COMPOS!$A$4:A$39000,0),3)))))</f>
        <v>UN</v>
      </c>
      <c r="E66" s="280">
        <v>47</v>
      </c>
      <c r="F66" s="279">
        <f>(IF($A66="SINAPI",INDEX(SINAPI_NOV2020_NDES!$A$7:$H$6703,MATCH($B66,SINAPI_NOV2020_NDES!$A$7:$A$6703,0),5),(INDEX(COMPOS!$A$4:$G$801,MATCH($B66,COMPOS!$A$4:A$801,0),4))))</f>
        <v>3.863</v>
      </c>
      <c r="G66" s="279">
        <f>(IF($A66="SINAPI",INDEX(SINAPI_NOV2020_NDES!$A$7:$H$6703,MATCH($B66,SINAPI_NOV2020_NDES!$A$7:$A$6703,0),6),(INDEX(COMPOS!$A$4:$G$801,MATCH($B66,COMPOS!$A$4:A$801,0),5))))</f>
        <v>2.1800000000000002</v>
      </c>
      <c r="H66" s="280">
        <f>(IF($A66="SINAPI",INDEX(SINAPI_NOV2020_NDES!$A$7:$H$6703,MATCH($B66,SINAPI_NOV2020_NDES!$A$7:$A$6703,0),7),(INDEX(COMPOS!$A$4:$G$801,MATCH($B66,COMPOS!$A$4:A$801,0),6))))</f>
        <v>0</v>
      </c>
      <c r="I66" s="279">
        <f t="shared" si="12"/>
        <v>6.0430000000000001</v>
      </c>
      <c r="J66" s="276">
        <f t="shared" si="13"/>
        <v>284.02100000000002</v>
      </c>
      <c r="K66" s="255"/>
      <c r="L66" s="255"/>
      <c r="M66" s="255"/>
      <c r="N66" s="255"/>
      <c r="O66" s="257"/>
      <c r="P66" s="257"/>
    </row>
    <row r="67" spans="1:16">
      <c r="A67" s="251" t="s">
        <v>6307</v>
      </c>
      <c r="B67" s="283">
        <v>878</v>
      </c>
      <c r="C67" s="282" t="str">
        <f>(IF($A67="SINAPI",INDEX(SINAPI_NOV2020_NDES!$A$7:$H$6703,MATCH($B67,SINAPI_NOV2020_NDES!$A$7:$A$6703,0),2),IF($A67="GOINFRA",INDEX(#REF!,MATCH($B67,#REF!,0),2),(INDEX(COMPOS!$A$4:$G$39000,MATCH($B67,COMPOS!$A$4:A$39000,0),2)))))</f>
        <v>TAMPA P/ TOMADA / INTERRUPTOR RJ-45 KRONE</v>
      </c>
      <c r="D67" s="274" t="str">
        <f>(IF($A67="SINAPI",INDEX(SINAPI_NOV2020_NDES!$A$7:$H$6703,MATCH($B67,SINAPI_NOV2020_NDES!$A$7:$A$6703,0),3),IF($A67="GOINFRA",INDEX(#REF!,MATCH($B67,#REF!,0),3),(INDEX(COMPOS!$A$4:$G$39000,MATCH($B67,COMPOS!$A$4:A$39000,0),3)))))</f>
        <v>UN</v>
      </c>
      <c r="E67" s="280">
        <v>16</v>
      </c>
      <c r="F67" s="279">
        <f>(IF($A67="SINAPI",INDEX(SINAPI_NOV2020_NDES!$A$7:$H$6703,MATCH($B67,SINAPI_NOV2020_NDES!$A$7:$A$6703,0),5),(INDEX(COMPOS!$A$4:$G$801,MATCH($B67,COMPOS!$A$4:A$801,0),4))))</f>
        <v>1.1589</v>
      </c>
      <c r="G67" s="279">
        <f>(IF($A67="SINAPI",INDEX(SINAPI_NOV2020_NDES!$A$7:$H$6703,MATCH($B67,SINAPI_NOV2020_NDES!$A$7:$A$6703,0),6),(INDEX(COMPOS!$A$4:$G$801,MATCH($B67,COMPOS!$A$4:A$801,0),5))))</f>
        <v>1.53</v>
      </c>
      <c r="H67" s="280">
        <f>(IF($A67="SINAPI",INDEX(SINAPI_NOV2020_NDES!$A$7:$H$6703,MATCH($B67,SINAPI_NOV2020_NDES!$A$7:$A$6703,0),7),(INDEX(COMPOS!$A$4:$G$801,MATCH($B67,COMPOS!$A$4:A$801,0),6))))</f>
        <v>0</v>
      </c>
      <c r="I67" s="279">
        <f t="shared" si="12"/>
        <v>2.6889000000000003</v>
      </c>
      <c r="J67" s="276">
        <f t="shared" si="13"/>
        <v>43.022400000000005</v>
      </c>
      <c r="K67" s="255"/>
      <c r="L67" s="255"/>
      <c r="M67" s="255"/>
      <c r="N67" s="255"/>
      <c r="O67" s="257"/>
      <c r="P67" s="257"/>
    </row>
    <row r="68" spans="1:16">
      <c r="A68" s="251" t="s">
        <v>6307</v>
      </c>
      <c r="B68" s="283">
        <v>548</v>
      </c>
      <c r="C68" s="282" t="str">
        <f>(IF($A68="SINAPI",INDEX(SINAPI_NOV2020_NDES!$A$7:$H$6703,MATCH($B68,SINAPI_NOV2020_NDES!$A$7:$A$6703,0),2),IF($A68="GOINFRA",INDEX(#REF!,MATCH($B68,#REF!,0),2),(INDEX(COMPOS!$A$4:$G$39000,MATCH($B68,COMPOS!$A$4:A$39000,0),2)))))</f>
        <v>TOMADA LÓGICA RJ-45 CAT. 6 (LINHA X OU EQUIVALENTE) - 01 UN</v>
      </c>
      <c r="D68" s="274" t="str">
        <f>(IF($A68="SINAPI",INDEX(SINAPI_NOV2020_NDES!$A$7:$H$6703,MATCH($B68,SINAPI_NOV2020_NDES!$A$7:$A$6703,0),3),IF($A68="GOINFRA",INDEX(#REF!,MATCH($B68,#REF!,0),3),(INDEX(COMPOS!$A$4:$G$39000,MATCH($B68,COMPOS!$A$4:A$39000,0),3)))))</f>
        <v>UN</v>
      </c>
      <c r="E68" s="280">
        <v>4</v>
      </c>
      <c r="F68" s="279">
        <f>(IF($A68="SINAPI",INDEX(SINAPI_NOV2020_NDES!$A$7:$H$6703,MATCH($B68,SINAPI_NOV2020_NDES!$A$7:$A$6703,0),5),(INDEX(COMPOS!$A$4:$G$801,MATCH($B68,COMPOS!$A$4:A$801,0),4))))</f>
        <v>14.293099999999999</v>
      </c>
      <c r="G68" s="279">
        <f>(IF($A68="SINAPI",INDEX(SINAPI_NOV2020_NDES!$A$7:$H$6703,MATCH($B68,SINAPI_NOV2020_NDES!$A$7:$A$6703,0),6),(INDEX(COMPOS!$A$4:$G$801,MATCH($B68,COMPOS!$A$4:A$801,0),5))))</f>
        <v>12.69</v>
      </c>
      <c r="H68" s="280">
        <f>(IF($A68="SINAPI",INDEX(SINAPI_NOV2020_NDES!$A$7:$H$6703,MATCH($B68,SINAPI_NOV2020_NDES!$A$7:$A$6703,0),7),(INDEX(COMPOS!$A$4:$G$801,MATCH($B68,COMPOS!$A$4:A$801,0),6))))</f>
        <v>0</v>
      </c>
      <c r="I68" s="279">
        <f t="shared" si="12"/>
        <v>26.9831</v>
      </c>
      <c r="J68" s="276">
        <f t="shared" si="13"/>
        <v>107.9324</v>
      </c>
      <c r="K68" s="255"/>
      <c r="L68" s="255"/>
      <c r="M68" s="255"/>
      <c r="N68" s="255"/>
      <c r="O68" s="257"/>
      <c r="P68" s="257"/>
    </row>
    <row r="69" spans="1:16" ht="24">
      <c r="A69" s="251" t="s">
        <v>6307</v>
      </c>
      <c r="B69" s="283">
        <v>549</v>
      </c>
      <c r="C69" s="282" t="str">
        <f>(IF($A69="SINAPI",INDEX(SINAPI_NOV2020_NDES!$A$7:$H$6703,MATCH($B69,SINAPI_NOV2020_NDES!$A$7:$A$6703,0),2),IF($A69="GOINFRA",INDEX(#REF!,MATCH($B69,#REF!,0),2),(INDEX(COMPOS!$A$4:$G$39000,MATCH($B69,COMPOS!$A$4:A$39000,0),2)))))</f>
        <v>SUPORTE DE TOMADA TELEFÔNICA TIPO RJ-45 2 POSIÇÕES 14,7x19,3mm - R-130 DA MOPA ou equivalente de mesmo padrão de qualidade</v>
      </c>
      <c r="D69" s="274" t="str">
        <f>(IF($A69="SINAPI",INDEX(SINAPI_NOV2020_NDES!$A$7:$H$6703,MATCH($B69,SINAPI_NOV2020_NDES!$A$7:$A$6703,0),3),IF($A69="GOINFRA",INDEX(#REF!,MATCH($B69,#REF!,0),3),(INDEX(COMPOS!$A$4:$G$39000,MATCH($B69,COMPOS!$A$4:A$39000,0),3)))))</f>
        <v>UN</v>
      </c>
      <c r="E69" s="280">
        <v>46</v>
      </c>
      <c r="F69" s="279">
        <f>(IF($A69="SINAPI",INDEX(SINAPI_NOV2020_NDES!$A$7:$H$6703,MATCH($B69,SINAPI_NOV2020_NDES!$A$7:$A$6703,0),5),(INDEX(COMPOS!$A$4:$G$801,MATCH($B69,COMPOS!$A$4:A$801,0),4))))</f>
        <v>3.863</v>
      </c>
      <c r="G69" s="279">
        <f>(IF($A69="SINAPI",INDEX(SINAPI_NOV2020_NDES!$A$7:$H$6703,MATCH($B69,SINAPI_NOV2020_NDES!$A$7:$A$6703,0),6),(INDEX(COMPOS!$A$4:$G$801,MATCH($B69,COMPOS!$A$4:A$801,0),5))))</f>
        <v>32.56</v>
      </c>
      <c r="H69" s="280">
        <f>(IF($A69="SINAPI",INDEX(SINAPI_NOV2020_NDES!$A$7:$H$6703,MATCH($B69,SINAPI_NOV2020_NDES!$A$7:$A$6703,0),7),(INDEX(COMPOS!$A$4:$G$801,MATCH($B69,COMPOS!$A$4:A$801,0),6))))</f>
        <v>0</v>
      </c>
      <c r="I69" s="279">
        <f t="shared" si="12"/>
        <v>36.423000000000002</v>
      </c>
      <c r="J69" s="276">
        <f t="shared" si="13"/>
        <v>1675.4580000000001</v>
      </c>
      <c r="K69" s="255"/>
      <c r="L69" s="255"/>
      <c r="M69" s="255"/>
      <c r="N69" s="255"/>
      <c r="O69" s="257"/>
      <c r="P69" s="257"/>
    </row>
    <row r="70" spans="1:16" ht="24">
      <c r="A70" s="251" t="s">
        <v>6307</v>
      </c>
      <c r="B70" s="283">
        <v>875</v>
      </c>
      <c r="C70" s="282" t="str">
        <f>(IF($A70="SINAPI",INDEX(SINAPI_NOV2020_NDES!$A$7:$H$6703,MATCH($B70,SINAPI_NOV2020_NDES!$A$7:$A$6703,0),2),IF($A70="GOINFRA",INDEX(#REF!,MATCH($B70,#REF!,0),2),(INDEX(COMPOS!$A$4:$G$39000,MATCH($B70,COMPOS!$A$4:A$39000,0),2)))))</f>
        <v>TERMINAL PARA RODAPÉ PRÉ-ZINCADO R-130 DA MOPA OU EQUIVALENTE DE MESMO PADRÃO DE QUALIDADE</v>
      </c>
      <c r="D70" s="274" t="str">
        <f>(IF($A70="SINAPI",INDEX(SINAPI_NOV2020_NDES!$A$7:$H$6703,MATCH($B70,SINAPI_NOV2020_NDES!$A$7:$A$6703,0),3),IF($A70="GOINFRA",INDEX(#REF!,MATCH($B70,#REF!,0),3),(INDEX(COMPOS!$A$4:$G$39000,MATCH($B70,COMPOS!$A$4:A$39000,0),3)))))</f>
        <v>UN</v>
      </c>
      <c r="E70" s="280">
        <v>8</v>
      </c>
      <c r="F70" s="279">
        <f>(IF($A70="SINAPI",INDEX(SINAPI_NOV2020_NDES!$A$7:$H$6703,MATCH($B70,SINAPI_NOV2020_NDES!$A$7:$A$6703,0),5),(INDEX(COMPOS!$A$4:$G$801,MATCH($B70,COMPOS!$A$4:A$801,0),4))))</f>
        <v>3.863</v>
      </c>
      <c r="G70" s="279">
        <f>(IF($A70="SINAPI",INDEX(SINAPI_NOV2020_NDES!$A$7:$H$6703,MATCH($B70,SINAPI_NOV2020_NDES!$A$7:$A$6703,0),6),(INDEX(COMPOS!$A$4:$G$801,MATCH($B70,COMPOS!$A$4:A$801,0),5))))</f>
        <v>11.15</v>
      </c>
      <c r="H70" s="280">
        <f>(IF($A70="SINAPI",INDEX(SINAPI_NOV2020_NDES!$A$7:$H$6703,MATCH($B70,SINAPI_NOV2020_NDES!$A$7:$A$6703,0),7),(INDEX(COMPOS!$A$4:$G$801,MATCH($B70,COMPOS!$A$4:A$801,0),6))))</f>
        <v>0</v>
      </c>
      <c r="I70" s="279">
        <f t="shared" si="12"/>
        <v>15.013</v>
      </c>
      <c r="J70" s="276">
        <f t="shared" si="13"/>
        <v>120.104</v>
      </c>
      <c r="K70" s="255"/>
      <c r="L70" s="255"/>
      <c r="M70" s="255"/>
      <c r="N70" s="255"/>
      <c r="O70" s="257"/>
      <c r="P70" s="257"/>
    </row>
    <row r="71" spans="1:16" ht="24">
      <c r="A71" s="251" t="s">
        <v>6307</v>
      </c>
      <c r="B71" s="283">
        <v>554</v>
      </c>
      <c r="C71" s="282" t="str">
        <f>(IF($A71="SINAPI",INDEX(SINAPI_NOV2020_NDES!$A$7:$H$6703,MATCH($B71,SINAPI_NOV2020_NDES!$A$7:$A$6703,0),2),IF($A71="GOINFRA",INDEX(#REF!,MATCH($B71,#REF!,0),2),(INDEX(COMPOS!$A$4:$G$39000,MATCH($B71,COMPOS!$A$4:A$39000,0),2)))))</f>
        <v>DIVISOR EM "L" 2000 mm R-130 DA MOPA ou equivalente de mesmo padrão de qualidade</v>
      </c>
      <c r="D71" s="274" t="str">
        <f>(IF($A71="SINAPI",INDEX(SINAPI_NOV2020_NDES!$A$7:$H$6703,MATCH($B71,SINAPI_NOV2020_NDES!$A$7:$A$6703,0),3),IF($A71="GOINFRA",INDEX(#REF!,MATCH($B71,#REF!,0),3),(INDEX(COMPOS!$A$4:$G$39000,MATCH($B71,COMPOS!$A$4:A$39000,0),3)))))</f>
        <v>M</v>
      </c>
      <c r="E71" s="280">
        <v>15.3</v>
      </c>
      <c r="F71" s="279">
        <f>(IF($A71="SINAPI",INDEX(SINAPI_NOV2020_NDES!$A$7:$H$6703,MATCH($B71,SINAPI_NOV2020_NDES!$A$7:$A$6703,0),5),(INDEX(COMPOS!$A$4:$G$801,MATCH($B71,COMPOS!$A$4:A$801,0),4))))</f>
        <v>6.1807999999999996</v>
      </c>
      <c r="G71" s="279">
        <f>(IF($A71="SINAPI",INDEX(SINAPI_NOV2020_NDES!$A$7:$H$6703,MATCH($B71,SINAPI_NOV2020_NDES!$A$7:$A$6703,0),6),(INDEX(COMPOS!$A$4:$G$801,MATCH($B71,COMPOS!$A$4:A$801,0),5))))</f>
        <v>15.305</v>
      </c>
      <c r="H71" s="280">
        <f>(IF($A71="SINAPI",INDEX(SINAPI_NOV2020_NDES!$A$7:$H$6703,MATCH($B71,SINAPI_NOV2020_NDES!$A$7:$A$6703,0),7),(INDEX(COMPOS!$A$4:$G$801,MATCH($B71,COMPOS!$A$4:A$801,0),6))))</f>
        <v>0</v>
      </c>
      <c r="I71" s="279">
        <f t="shared" si="12"/>
        <v>21.485799999999998</v>
      </c>
      <c r="J71" s="276">
        <f t="shared" si="13"/>
        <v>328.73273999999998</v>
      </c>
      <c r="K71" s="255"/>
      <c r="L71" s="255"/>
      <c r="M71" s="255"/>
      <c r="N71" s="255"/>
      <c r="O71" s="257"/>
      <c r="P71" s="257"/>
    </row>
    <row r="72" spans="1:16">
      <c r="A72" s="251" t="s">
        <v>6307</v>
      </c>
      <c r="B72" s="283">
        <v>395</v>
      </c>
      <c r="C72" s="282" t="str">
        <f>(IF($A72="SINAPI",INDEX(SINAPI_NOV2020_NDES!$A$7:$H$6703,MATCH($B72,SINAPI_NOV2020_NDES!$A$7:$A$6703,0),2),IF($A72="GOINFRA",INDEX(#REF!,MATCH($B72,#REF!,0),2),(INDEX(COMPOS!$A$4:$G$39000,MATCH($B72,COMPOS!$A$4:A$39000,0),2)))))</f>
        <v>BUCHA DE NYLON COM PARAFUSO S9</v>
      </c>
      <c r="D72" s="274" t="str">
        <f>(IF($A72="SINAPI",INDEX(SINAPI_NOV2020_NDES!$A$7:$H$6703,MATCH($B72,SINAPI_NOV2020_NDES!$A$7:$A$6703,0),3),IF($A72="GOINFRA",INDEX(#REF!,MATCH($B72,#REF!,0),3),(INDEX(COMPOS!$A$4:$G$39000,MATCH($B72,COMPOS!$A$4:A$39000,0),3)))))</f>
        <v>UN</v>
      </c>
      <c r="E72" s="280">
        <v>30</v>
      </c>
      <c r="F72" s="279">
        <f>(IF($A72="SINAPI",INDEX(SINAPI_NOV2020_NDES!$A$7:$H$6703,MATCH($B72,SINAPI_NOV2020_NDES!$A$7:$A$6703,0),5),(INDEX(COMPOS!$A$4:$G$801,MATCH($B72,COMPOS!$A$4:A$801,0),4))))</f>
        <v>1.3211460000000002</v>
      </c>
      <c r="G72" s="279">
        <f>(IF($A72="SINAPI",INDEX(SINAPI_NOV2020_NDES!$A$7:$H$6703,MATCH($B72,SINAPI_NOV2020_NDES!$A$7:$A$6703,0),6),(INDEX(COMPOS!$A$4:$G$801,MATCH($B72,COMPOS!$A$4:A$801,0),5))))</f>
        <v>0.33</v>
      </c>
      <c r="H72" s="280">
        <f>(IF($A72="SINAPI",INDEX(SINAPI_NOV2020_NDES!$A$7:$H$6703,MATCH($B72,SINAPI_NOV2020_NDES!$A$7:$A$6703,0),7),(INDEX(COMPOS!$A$4:$G$801,MATCH($B72,COMPOS!$A$4:A$801,0),6))))</f>
        <v>0</v>
      </c>
      <c r="I72" s="279">
        <f t="shared" si="12"/>
        <v>1.6511460000000002</v>
      </c>
      <c r="J72" s="276">
        <f t="shared" si="13"/>
        <v>49.534380000000006</v>
      </c>
      <c r="K72" s="255"/>
      <c r="L72" s="255"/>
      <c r="M72" s="255"/>
      <c r="N72" s="255"/>
      <c r="O72" s="257"/>
      <c r="P72" s="257"/>
    </row>
    <row r="73" spans="1:16">
      <c r="A73" s="251" t="s">
        <v>6307</v>
      </c>
      <c r="B73" s="283">
        <v>625</v>
      </c>
      <c r="C73" s="282" t="str">
        <f>(IF($A73="SINAPI",INDEX(SINAPI_NOV2020_NDES!$A$7:$H$6703,MATCH($B73,SINAPI_NOV2020_NDES!$A$7:$A$6703,0),2),IF($A73="GOINFRA",INDEX(#REF!,MATCH($B73,#REF!,0),2),(INDEX(COMPOS!$A$4:$G$39000,MATCH($B73,COMPOS!$A$4:A$39000,0),2)))))</f>
        <v>ARRUELA LISA D = 1/4"</v>
      </c>
      <c r="D73" s="274" t="str">
        <f>(IF($A73="SINAPI",INDEX(SINAPI_NOV2020_NDES!$A$7:$H$6703,MATCH($B73,SINAPI_NOV2020_NDES!$A$7:$A$6703,0),3),IF($A73="GOINFRA",INDEX(#REF!,MATCH($B73,#REF!,0),3),(INDEX(COMPOS!$A$4:$G$39000,MATCH($B73,COMPOS!$A$4:A$39000,0),3)))))</f>
        <v>UN</v>
      </c>
      <c r="E73" s="280">
        <v>30</v>
      </c>
      <c r="F73" s="279">
        <f>(IF($A73="SINAPI",INDEX(SINAPI_NOV2020_NDES!$A$7:$H$6703,MATCH($B73,SINAPI_NOV2020_NDES!$A$7:$A$6703,0),5),(INDEX(COMPOS!$A$4:$G$801,MATCH($B73,COMPOS!$A$4:A$801,0),4))))</f>
        <v>0</v>
      </c>
      <c r="G73" s="279">
        <f>(IF($A73="SINAPI",INDEX(SINAPI_NOV2020_NDES!$A$7:$H$6703,MATCH($B73,SINAPI_NOV2020_NDES!$A$7:$A$6703,0),6),(INDEX(COMPOS!$A$4:$G$801,MATCH($B73,COMPOS!$A$4:A$801,0),5))))</f>
        <v>0.04</v>
      </c>
      <c r="H73" s="280">
        <f>(IF($A73="SINAPI",INDEX(SINAPI_NOV2020_NDES!$A$7:$H$6703,MATCH($B73,SINAPI_NOV2020_NDES!$A$7:$A$6703,0),7),(INDEX(COMPOS!$A$4:$G$801,MATCH($B73,COMPOS!$A$4:A$801,0),6))))</f>
        <v>0</v>
      </c>
      <c r="I73" s="279">
        <f t="shared" si="12"/>
        <v>0.04</v>
      </c>
      <c r="J73" s="276">
        <f t="shared" si="13"/>
        <v>1.2</v>
      </c>
      <c r="K73" s="255"/>
      <c r="L73" s="255"/>
      <c r="M73" s="255"/>
      <c r="N73" s="255"/>
      <c r="O73" s="257"/>
      <c r="P73" s="257"/>
    </row>
    <row r="74" spans="1:16">
      <c r="A74" s="251" t="s">
        <v>6307</v>
      </c>
      <c r="B74" s="283">
        <v>862</v>
      </c>
      <c r="C74" s="282" t="str">
        <f>(IF($A74="SINAPI",INDEX(SINAPI_NOV2020_NDES!$A$7:$H$6703,MATCH($B74,SINAPI_NOV2020_NDES!$A$7:$A$6703,0),2),IF($A74="GOINFRA",INDEX(#REF!,MATCH($B74,#REF!,0),2),(INDEX(COMPOS!$A$4:$G$39000,MATCH($B74,COMPOS!$A$4:A$39000,0),2)))))</f>
        <v>FIXA CABO R - 130 - REF.184-07 - Z ( FIXA CABO -Z0 )</v>
      </c>
      <c r="D74" s="274" t="str">
        <f>(IF($A74="SINAPI",INDEX(SINAPI_NOV2020_NDES!$A$7:$H$6703,MATCH($B74,SINAPI_NOV2020_NDES!$A$7:$A$6703,0),3),IF($A74="GOINFRA",INDEX(#REF!,MATCH($B74,#REF!,0),3),(INDEX(COMPOS!$A$4:$G$39000,MATCH($B74,COMPOS!$A$4:A$39000,0),3)))))</f>
        <v>UN</v>
      </c>
      <c r="E74" s="280">
        <v>30</v>
      </c>
      <c r="F74" s="279">
        <f>(IF($A74="SINAPI",INDEX(SINAPI_NOV2020_NDES!$A$7:$H$6703,MATCH($B74,SINAPI_NOV2020_NDES!$A$7:$A$6703,0),5),(INDEX(COMPOS!$A$4:$G$801,MATCH($B74,COMPOS!$A$4:A$801,0),4))))</f>
        <v>3.863</v>
      </c>
      <c r="G74" s="279">
        <f>(IF($A74="SINAPI",INDEX(SINAPI_NOV2020_NDES!$A$7:$H$6703,MATCH($B74,SINAPI_NOV2020_NDES!$A$7:$A$6703,0),6),(INDEX(COMPOS!$A$4:$G$801,MATCH($B74,COMPOS!$A$4:A$801,0),5))))</f>
        <v>6.67</v>
      </c>
      <c r="H74" s="280">
        <f>(IF($A74="SINAPI",INDEX(SINAPI_NOV2020_NDES!$A$7:$H$6703,MATCH($B74,SINAPI_NOV2020_NDES!$A$7:$A$6703,0),7),(INDEX(COMPOS!$A$4:$G$801,MATCH($B74,COMPOS!$A$4:A$801,0),6))))</f>
        <v>0</v>
      </c>
      <c r="I74" s="279">
        <f t="shared" si="12"/>
        <v>10.532999999999999</v>
      </c>
      <c r="J74" s="276">
        <f t="shared" si="13"/>
        <v>315.99</v>
      </c>
      <c r="K74" s="255"/>
      <c r="L74" s="255"/>
      <c r="M74" s="255"/>
      <c r="N74" s="255"/>
      <c r="O74" s="257"/>
      <c r="P74" s="257"/>
    </row>
    <row r="75" spans="1:16" ht="24">
      <c r="A75" s="251" t="s">
        <v>6307</v>
      </c>
      <c r="B75" s="283">
        <v>547</v>
      </c>
      <c r="C75" s="282" t="str">
        <f>(IF($A75="SINAPI",INDEX(SINAPI_NOV2020_NDES!$A$7:$H$6703,MATCH($B75,SINAPI_NOV2020_NDES!$A$7:$A$6703,0),2),IF($A75="GOINFRA",INDEX(#REF!,MATCH($B75,#REF!,0),2),(INDEX(COMPOS!$A$4:$G$39000,MATCH($B75,COMPOS!$A$4:A$39000,0),2)))))</f>
        <v>RODAPÉ BASE 129 X 44 X 2000 MM R-130 DA MOPA OU EQUIVALENTE DE MESMO PADRÃO DE QUALIDADE</v>
      </c>
      <c r="D75" s="274" t="str">
        <f>(IF($A75="SINAPI",INDEX(SINAPI_NOV2020_NDES!$A$7:$H$6703,MATCH($B75,SINAPI_NOV2020_NDES!$A$7:$A$6703,0),3),IF($A75="GOINFRA",INDEX(#REF!,MATCH($B75,#REF!,0),3),(INDEX(COMPOS!$A$4:$G$39000,MATCH($B75,COMPOS!$A$4:A$39000,0),3)))))</f>
        <v>UN</v>
      </c>
      <c r="E75" s="280">
        <v>4</v>
      </c>
      <c r="F75" s="279">
        <f>(IF($A75="SINAPI",INDEX(SINAPI_NOV2020_NDES!$A$7:$H$6703,MATCH($B75,SINAPI_NOV2020_NDES!$A$7:$A$6703,0),5),(INDEX(COMPOS!$A$4:$G$801,MATCH($B75,COMPOS!$A$4:A$801,0),4))))</f>
        <v>7.726</v>
      </c>
      <c r="G75" s="279">
        <f>(IF($A75="SINAPI",INDEX(SINAPI_NOV2020_NDES!$A$7:$H$6703,MATCH($B75,SINAPI_NOV2020_NDES!$A$7:$A$6703,0),6),(INDEX(COMPOS!$A$4:$G$801,MATCH($B75,COMPOS!$A$4:A$801,0),5))))</f>
        <v>90.01</v>
      </c>
      <c r="H75" s="280">
        <f>(IF($A75="SINAPI",INDEX(SINAPI_NOV2020_NDES!$A$7:$H$6703,MATCH($B75,SINAPI_NOV2020_NDES!$A$7:$A$6703,0),7),(INDEX(COMPOS!$A$4:$G$801,MATCH($B75,COMPOS!$A$4:A$801,0),6))))</f>
        <v>0</v>
      </c>
      <c r="I75" s="279">
        <f t="shared" si="12"/>
        <v>97.736000000000004</v>
      </c>
      <c r="J75" s="276">
        <f t="shared" si="13"/>
        <v>390.94400000000002</v>
      </c>
      <c r="K75" s="255"/>
      <c r="L75" s="255"/>
      <c r="M75" s="255"/>
      <c r="N75" s="255"/>
      <c r="O75" s="257"/>
      <c r="P75" s="257"/>
    </row>
    <row r="76" spans="1:16" ht="24">
      <c r="A76" s="251" t="s">
        <v>6307</v>
      </c>
      <c r="B76" s="283">
        <v>879</v>
      </c>
      <c r="C76" s="282" t="str">
        <f>(IF($A76="SINAPI",INDEX(SINAPI_NOV2020_NDES!$A$7:$H$6703,MATCH($B76,SINAPI_NOV2020_NDES!$A$7:$A$6703,0),2),IF($A76="GOINFRA",INDEX(#REF!,MATCH($B76,#REF!,0),2),(INDEX(COMPOS!$A$4:$G$39000,MATCH($B76,COMPOS!$A$4:A$39000,0),2)))))</f>
        <v>TAMPA PARA RODAPÉ 1000 MM R-130 DA MOPA OU EQUIVALENTE DE MESMO PADRÃO DE QUALIDADE</v>
      </c>
      <c r="D76" s="274" t="str">
        <f>(IF($A76="SINAPI",INDEX(SINAPI_NOV2020_NDES!$A$7:$H$6703,MATCH($B76,SINAPI_NOV2020_NDES!$A$7:$A$6703,0),3),IF($A76="GOINFRA",INDEX(#REF!,MATCH($B76,#REF!,0),3),(INDEX(COMPOS!$A$4:$G$39000,MATCH($B76,COMPOS!$A$4:A$39000,0),3)))))</f>
        <v>M</v>
      </c>
      <c r="E76" s="280">
        <v>15.3</v>
      </c>
      <c r="F76" s="279">
        <f>(IF($A76="SINAPI",INDEX(SINAPI_NOV2020_NDES!$A$7:$H$6703,MATCH($B76,SINAPI_NOV2020_NDES!$A$7:$A$6703,0),5),(INDEX(COMPOS!$A$4:$G$801,MATCH($B76,COMPOS!$A$4:A$801,0),4))))</f>
        <v>7.726</v>
      </c>
      <c r="G76" s="279">
        <f>(IF($A76="SINAPI",INDEX(SINAPI_NOV2020_NDES!$A$7:$H$6703,MATCH($B76,SINAPI_NOV2020_NDES!$A$7:$A$6703,0),6),(INDEX(COMPOS!$A$4:$G$801,MATCH($B76,COMPOS!$A$4:A$801,0),5))))</f>
        <v>86.11</v>
      </c>
      <c r="H76" s="280">
        <f>(IF($A76="SINAPI",INDEX(SINAPI_NOV2020_NDES!$A$7:$H$6703,MATCH($B76,SINAPI_NOV2020_NDES!$A$7:$A$6703,0),7),(INDEX(COMPOS!$A$4:$G$801,MATCH($B76,COMPOS!$A$4:A$801,0),6))))</f>
        <v>0</v>
      </c>
      <c r="I76" s="279">
        <f t="shared" si="12"/>
        <v>93.835999999999999</v>
      </c>
      <c r="J76" s="276">
        <f t="shared" si="13"/>
        <v>1435.6908000000001</v>
      </c>
      <c r="K76" s="255"/>
      <c r="L76" s="255"/>
      <c r="M76" s="255"/>
      <c r="N76" s="255"/>
      <c r="O76" s="257"/>
      <c r="P76" s="257"/>
    </row>
    <row r="77" spans="1:16" ht="24">
      <c r="A77" s="251" t="s">
        <v>6307</v>
      </c>
      <c r="B77" s="283">
        <v>549</v>
      </c>
      <c r="C77" s="282" t="str">
        <f>(IF($A77="SINAPI",INDEX(SINAPI_NOV2020_NDES!$A$7:$H$6703,MATCH($B77,SINAPI_NOV2020_NDES!$A$7:$A$6703,0),2),IF($A77="GOINFRA",INDEX(#REF!,MATCH($B77,#REF!,0),2),(INDEX(COMPOS!$A$4:$G$39000,MATCH($B77,COMPOS!$A$4:A$39000,0),2)))))</f>
        <v>SUPORTE DE TOMADA TELEFÔNICA TIPO RJ-45 2 POSIÇÕES 14,7x19,3mm - R-130 DA MOPA ou equivalente de mesmo padrão de qualidade</v>
      </c>
      <c r="D77" s="274" t="str">
        <f>(IF($A77="SINAPI",INDEX(SINAPI_NOV2020_NDES!$A$7:$H$6703,MATCH($B77,SINAPI_NOV2020_NDES!$A$7:$A$6703,0),3),IF($A77="GOINFRA",INDEX(#REF!,MATCH($B77,#REF!,0),3),(INDEX(COMPOS!$A$4:$G$39000,MATCH($B77,COMPOS!$A$4:A$39000,0),3)))))</f>
        <v>UN</v>
      </c>
      <c r="E77" s="280">
        <v>16</v>
      </c>
      <c r="F77" s="279">
        <f>(IF($A77="SINAPI",INDEX(SINAPI_NOV2020_NDES!$A$7:$H$6703,MATCH($B77,SINAPI_NOV2020_NDES!$A$7:$A$6703,0),5),(INDEX(COMPOS!$A$4:$G$801,MATCH($B77,COMPOS!$A$4:A$801,0),4))))</f>
        <v>3.863</v>
      </c>
      <c r="G77" s="279">
        <f>(IF($A77="SINAPI",INDEX(SINAPI_NOV2020_NDES!$A$7:$H$6703,MATCH($B77,SINAPI_NOV2020_NDES!$A$7:$A$6703,0),6),(INDEX(COMPOS!$A$4:$G$801,MATCH($B77,COMPOS!$A$4:A$801,0),5))))</f>
        <v>32.56</v>
      </c>
      <c r="H77" s="280">
        <f>(IF($A77="SINAPI",INDEX(SINAPI_NOV2020_NDES!$A$7:$H$6703,MATCH($B77,SINAPI_NOV2020_NDES!$A$7:$A$6703,0),7),(INDEX(COMPOS!$A$4:$G$801,MATCH($B77,COMPOS!$A$4:A$801,0),6))))</f>
        <v>0</v>
      </c>
      <c r="I77" s="279">
        <f t="shared" si="12"/>
        <v>36.423000000000002</v>
      </c>
      <c r="J77" s="276">
        <f t="shared" si="13"/>
        <v>582.76800000000003</v>
      </c>
      <c r="K77" s="255"/>
      <c r="L77" s="255"/>
      <c r="M77" s="255"/>
      <c r="N77" s="255"/>
      <c r="O77" s="257"/>
      <c r="P77" s="257"/>
    </row>
    <row r="78" spans="1:16">
      <c r="A78" s="251" t="s">
        <v>6307</v>
      </c>
      <c r="B78" s="283">
        <v>872</v>
      </c>
      <c r="C78" s="282" t="str">
        <f>(IF($A78="SINAPI",INDEX(SINAPI_NOV2020_NDES!$A$7:$H$6703,MATCH($B78,SINAPI_NOV2020_NDES!$A$7:$A$6703,0),2),IF($A78="GOINFRA",INDEX(#REF!,MATCH($B78,#REF!,0),2),(INDEX(COMPOS!$A$4:$G$39000,MATCH($B78,COMPOS!$A$4:A$39000,0),2)))))</f>
        <v>CONDULETE PARA PONTO DE SOM NO TETO</v>
      </c>
      <c r="D78" s="274" t="str">
        <f>(IF($A78="SINAPI",INDEX(SINAPI_NOV2020_NDES!$A$7:$H$6703,MATCH($B78,SINAPI_NOV2020_NDES!$A$7:$A$6703,0),3),IF($A78="GOINFRA",INDEX(#REF!,MATCH($B78,#REF!,0),3),(INDEX(COMPOS!$A$4:$G$39000,MATCH($B78,COMPOS!$A$4:A$39000,0),3)))))</f>
        <v>UN</v>
      </c>
      <c r="E78" s="280">
        <v>27</v>
      </c>
      <c r="F78" s="279">
        <f>(IF($A78="SINAPI",INDEX(SINAPI_NOV2020_NDES!$A$7:$H$6703,MATCH($B78,SINAPI_NOV2020_NDES!$A$7:$A$6703,0),5),(INDEX(COMPOS!$A$4:$G$801,MATCH($B78,COMPOS!$A$4:A$801,0),4))))</f>
        <v>13.1342</v>
      </c>
      <c r="G78" s="279">
        <f>(IF($A78="SINAPI",INDEX(SINAPI_NOV2020_NDES!$A$7:$H$6703,MATCH($B78,SINAPI_NOV2020_NDES!$A$7:$A$6703,0),6),(INDEX(COMPOS!$A$4:$G$801,MATCH($B78,COMPOS!$A$4:A$801,0),5))))</f>
        <v>4.71</v>
      </c>
      <c r="H78" s="280">
        <f>(IF($A78="SINAPI",INDEX(SINAPI_NOV2020_NDES!$A$7:$H$6703,MATCH($B78,SINAPI_NOV2020_NDES!$A$7:$A$6703,0),7),(INDEX(COMPOS!$A$4:$G$801,MATCH($B78,COMPOS!$A$4:A$801,0),6))))</f>
        <v>0</v>
      </c>
      <c r="I78" s="279">
        <f t="shared" si="12"/>
        <v>17.844200000000001</v>
      </c>
      <c r="J78" s="276">
        <f t="shared" si="13"/>
        <v>481.79340000000002</v>
      </c>
      <c r="K78" s="255"/>
      <c r="L78" s="255"/>
      <c r="M78" s="255"/>
      <c r="N78" s="255"/>
      <c r="O78" s="257"/>
      <c r="P78" s="257"/>
    </row>
    <row r="79" spans="1:16" s="88" customFormat="1" ht="24">
      <c r="A79" s="251" t="s">
        <v>6307</v>
      </c>
      <c r="B79" s="283">
        <v>861</v>
      </c>
      <c r="C79" s="282" t="str">
        <f>(IF($A79="SINAPI",INDEX(SINAPI_NOV2020_NDES!$A$7:$H$6703,MATCH($B79,SINAPI_NOV2020_NDES!$A$7:$A$6703,0),2),IF($A79="GOINFRA",INDEX(#REF!,MATCH($B79,#REF!,0),2),(INDEX(COMPOS!$A$4:$G$39000,MATCH($B79,COMPOS!$A$4:A$39000,0),2)))))</f>
        <v>TOMADA PARA ANTENA DE TV, SEM CAIXA, INCLUSIVE CONECTOR EMENDA PARA CABO COAXIAL</v>
      </c>
      <c r="D79" s="274" t="str">
        <f>(IF($A79="SINAPI",INDEX(SINAPI_NOV2020_NDES!$A$7:$H$6703,MATCH($B79,SINAPI_NOV2020_NDES!$A$7:$A$6703,0),3),IF($A79="GOINFRA",INDEX(#REF!,MATCH($B79,#REF!,0),3),(INDEX(COMPOS!$A$4:$G$39000,MATCH($B79,COMPOS!$A$4:A$39000,0),3)))))</f>
        <v>UN</v>
      </c>
      <c r="E79" s="280">
        <v>11</v>
      </c>
      <c r="F79" s="279">
        <f>(IF($A79="SINAPI",INDEX(SINAPI_NOV2020_NDES!$A$7:$H$6703,MATCH($B79,SINAPI_NOV2020_NDES!$A$7:$A$6703,0),5),(INDEX(COMPOS!$A$4:$G$801,MATCH($B79,COMPOS!$A$4:A$801,0),4))))</f>
        <v>6.5670000000000002</v>
      </c>
      <c r="G79" s="279">
        <f>(IF($A79="SINAPI",INDEX(SINAPI_NOV2020_NDES!$A$7:$H$6703,MATCH($B79,SINAPI_NOV2020_NDES!$A$7:$A$6703,0),6),(INDEX(COMPOS!$A$4:$G$801,MATCH($B79,COMPOS!$A$4:A$801,0),5))))</f>
        <v>9.94</v>
      </c>
      <c r="H79" s="280">
        <f>(IF($A79="SINAPI",INDEX(SINAPI_NOV2020_NDES!$A$7:$H$6703,MATCH($B79,SINAPI_NOV2020_NDES!$A$7:$A$6703,0),7),(INDEX(COMPOS!$A$4:$G$801,MATCH($B79,COMPOS!$A$4:A$801,0),6))))</f>
        <v>0</v>
      </c>
      <c r="I79" s="279">
        <f t="shared" si="12"/>
        <v>16.506999999999998</v>
      </c>
      <c r="J79" s="276">
        <f t="shared" si="13"/>
        <v>181.57699999999997</v>
      </c>
      <c r="K79" s="255"/>
      <c r="L79" s="255"/>
      <c r="M79" s="255"/>
      <c r="N79" s="255"/>
      <c r="O79" s="257"/>
      <c r="P79" s="257"/>
    </row>
    <row r="80" spans="1:16">
      <c r="A80" s="251" t="s">
        <v>6307</v>
      </c>
      <c r="B80" s="283">
        <v>873</v>
      </c>
      <c r="C80" s="282" t="str">
        <f>(IF($A80="SINAPI",INDEX(SINAPI_NOV2020_NDES!$A$7:$H$6703,MATCH($B80,SINAPI_NOV2020_NDES!$A$7:$A$6703,0),2),IF($A80="GOINFRA",INDEX(#REF!,MATCH($B80,#REF!,0),2),(INDEX(COMPOS!$A$4:$G$39000,MATCH($B80,COMPOS!$A$4:A$39000,0),2)))))</f>
        <v>CONDULETE PARA PONTO DE CÂMERA</v>
      </c>
      <c r="D80" s="274" t="str">
        <f>(IF($A80="SINAPI",INDEX(SINAPI_NOV2020_NDES!$A$7:$H$6703,MATCH($B80,SINAPI_NOV2020_NDES!$A$7:$A$6703,0),3),IF($A80="GOINFRA",INDEX(#REF!,MATCH($B80,#REF!,0),3),(INDEX(COMPOS!$A$4:$G$39000,MATCH($B80,COMPOS!$A$4:A$39000,0),3)))))</f>
        <v>UN</v>
      </c>
      <c r="E80" s="280">
        <v>20</v>
      </c>
      <c r="F80" s="279">
        <f>(IF($A80="SINAPI",INDEX(SINAPI_NOV2020_NDES!$A$7:$H$6703,MATCH($B80,SINAPI_NOV2020_NDES!$A$7:$A$6703,0),5),(INDEX(COMPOS!$A$4:$G$801,MATCH($B80,COMPOS!$A$4:A$801,0),4))))</f>
        <v>13.1342</v>
      </c>
      <c r="G80" s="279">
        <f>(IF($A80="SINAPI",INDEX(SINAPI_NOV2020_NDES!$A$7:$H$6703,MATCH($B80,SINAPI_NOV2020_NDES!$A$7:$A$6703,0),6),(INDEX(COMPOS!$A$4:$G$801,MATCH($B80,COMPOS!$A$4:A$801,0),5))))</f>
        <v>4.71</v>
      </c>
      <c r="H80" s="280">
        <f>(IF($A80="SINAPI",INDEX(SINAPI_NOV2020_NDES!$A$7:$H$6703,MATCH($B80,SINAPI_NOV2020_NDES!$A$7:$A$6703,0),7),(INDEX(COMPOS!$A$4:$G$801,MATCH($B80,COMPOS!$A$4:A$801,0),6))))</f>
        <v>0</v>
      </c>
      <c r="I80" s="279">
        <f t="shared" si="12"/>
        <v>17.844200000000001</v>
      </c>
      <c r="J80" s="276">
        <f t="shared" si="13"/>
        <v>356.88400000000001</v>
      </c>
      <c r="K80" s="255"/>
      <c r="L80" s="255"/>
      <c r="M80" s="255"/>
      <c r="N80" s="255"/>
      <c r="O80" s="257"/>
      <c r="P80" s="257"/>
    </row>
    <row r="81" spans="1:16">
      <c r="A81" s="251" t="s">
        <v>6307</v>
      </c>
      <c r="B81" s="283">
        <v>45</v>
      </c>
      <c r="C81" s="282" t="str">
        <f>(IF($A81="SINAPI",INDEX(SINAPI_NOV2020_NDES!$A$7:$H$6703,MATCH($B81,SINAPI_NOV2020_NDES!$A$7:$A$6703,0),2),IF($A81="GOINFRA",INDEX(#REF!,MATCH($B81,#REF!,0),2),(INDEX(COMPOS!$A$4:$G$39000,MATCH($B81,COMPOS!$A$4:A$39000,0),2)))))</f>
        <v>CABO RGC 59-75 OHMS</v>
      </c>
      <c r="D81" s="274" t="str">
        <f>(IF($A81="SINAPI",INDEX(SINAPI_NOV2020_NDES!$A$7:$H$6703,MATCH($B81,SINAPI_NOV2020_NDES!$A$7:$A$6703,0),3),IF($A81="GOINFRA",INDEX(#REF!,MATCH($B81,#REF!,0),3),(INDEX(COMPOS!$A$4:$G$39000,MATCH($B81,COMPOS!$A$4:A$39000,0),3)))))</f>
        <v>M</v>
      </c>
      <c r="E81" s="280">
        <v>2041</v>
      </c>
      <c r="F81" s="279">
        <f>(IF($A81="SINAPI",INDEX(SINAPI_NOV2020_NDES!$A$7:$H$6703,MATCH($B81,SINAPI_NOV2020_NDES!$A$7:$A$6703,0),5),(INDEX(COMPOS!$A$4:$G$801,MATCH($B81,COMPOS!$A$4:A$801,0),4))))</f>
        <v>2.7041000000000004</v>
      </c>
      <c r="G81" s="279">
        <f>(IF($A81="SINAPI",INDEX(SINAPI_NOV2020_NDES!$A$7:$H$6703,MATCH($B81,SINAPI_NOV2020_NDES!$A$7:$A$6703,0),6),(INDEX(COMPOS!$A$4:$G$801,MATCH($B81,COMPOS!$A$4:A$801,0),5))))</f>
        <v>1.2036</v>
      </c>
      <c r="H81" s="280">
        <f>(IF($A81="SINAPI",INDEX(SINAPI_NOV2020_NDES!$A$7:$H$6703,MATCH($B81,SINAPI_NOV2020_NDES!$A$7:$A$6703,0),7),(INDEX(COMPOS!$A$4:$G$801,MATCH($B81,COMPOS!$A$4:A$801,0),6))))</f>
        <v>0</v>
      </c>
      <c r="I81" s="279">
        <f t="shared" si="12"/>
        <v>3.9077000000000002</v>
      </c>
      <c r="J81" s="276">
        <f t="shared" si="13"/>
        <v>7975.6157000000003</v>
      </c>
      <c r="K81" s="255"/>
      <c r="L81" s="255"/>
      <c r="M81" s="255"/>
      <c r="N81" s="255"/>
      <c r="O81" s="257"/>
      <c r="P81" s="257"/>
    </row>
    <row r="82" spans="1:16" s="88" customFormat="1" ht="48">
      <c r="A82" s="251" t="s">
        <v>6307</v>
      </c>
      <c r="B82" s="283">
        <v>550</v>
      </c>
      <c r="C82" s="282" t="str">
        <f>(IF($A82="SINAPI",INDEX(SINAPI_NOV2020_NDES!$A$7:$H$6703,MATCH($B82,SINAPI_NOV2020_NDES!$A$7:$A$6703,0),2),IF($A82="GOINFRA",INDEX(#REF!,MATCH($B82,#REF!,0),2),(INDEX(COMPOS!$A$4:$G$39000,MATCH($B82,COMPOS!$A$4:A$39000,0),2)))))</f>
        <v>RACK METÁLICO, DE PISO, PARA 32Urs, ESTRUTURA SOLDADA, COM 4 COLUNAS, TETO E BASE EM CHAPA DE AÇO, PINTURA ELETROSTÁTICA,FECHAMENTOS REMOVÍVEIS COM FECHO RÁPIDO, PORTA DE AÇO/ACRÍLICO FUMÊ, FECHO TIPO CREMONA, LATERAIS COM ALETAS DE VENTILAÇÃO.</v>
      </c>
      <c r="D82" s="274" t="str">
        <f>(IF($A82="SINAPI",INDEX(SINAPI_NOV2020_NDES!$A$7:$H$6703,MATCH($B82,SINAPI_NOV2020_NDES!$A$7:$A$6703,0),3),IF($A82="GOINFRA",INDEX(#REF!,MATCH($B82,#REF!,0),3),(INDEX(COMPOS!$A$4:$G$39000,MATCH($B82,COMPOS!$A$4:A$39000,0),3)))))</f>
        <v>UN</v>
      </c>
      <c r="E82" s="280">
        <v>1</v>
      </c>
      <c r="F82" s="279">
        <f>(IF($A82="SINAPI",INDEX(SINAPI_NOV2020_NDES!$A$7:$H$6703,MATCH($B82,SINAPI_NOV2020_NDES!$A$7:$A$6703,0),5),(INDEX(COMPOS!$A$4:$G$801,MATCH($B82,COMPOS!$A$4:A$801,0),4))))</f>
        <v>77.259999999999991</v>
      </c>
      <c r="G82" s="279">
        <f>(IF($A82="SINAPI",INDEX(SINAPI_NOV2020_NDES!$A$7:$H$6703,MATCH($B82,SINAPI_NOV2020_NDES!$A$7:$A$6703,0),6),(INDEX(COMPOS!$A$4:$G$801,MATCH($B82,COMPOS!$A$4:A$801,0),5))))</f>
        <v>3407.4533333333329</v>
      </c>
      <c r="H82" s="280">
        <f>(IF($A82="SINAPI",INDEX(SINAPI_NOV2020_NDES!$A$7:$H$6703,MATCH($B82,SINAPI_NOV2020_NDES!$A$7:$A$6703,0),7),(INDEX(COMPOS!$A$4:$G$801,MATCH($B82,COMPOS!$A$4:A$801,0),6))))</f>
        <v>0</v>
      </c>
      <c r="I82" s="279">
        <f t="shared" si="12"/>
        <v>3484.7133333333331</v>
      </c>
      <c r="J82" s="276">
        <f t="shared" si="13"/>
        <v>3484.7133333333331</v>
      </c>
      <c r="K82" s="255"/>
      <c r="L82" s="255"/>
      <c r="M82" s="255"/>
      <c r="N82" s="255"/>
      <c r="O82" s="257"/>
      <c r="P82" s="257"/>
    </row>
    <row r="83" spans="1:16">
      <c r="A83" s="251" t="s">
        <v>6307</v>
      </c>
      <c r="B83" s="283">
        <v>136</v>
      </c>
      <c r="C83" s="282" t="str">
        <f>(IF($A83="SINAPI",INDEX(SINAPI_NOV2020_NDES!$A$7:$H$6703,MATCH($B83,SINAPI_NOV2020_NDES!$A$7:$A$6703,0),2),IF($A83="GOINFRA",INDEX(#REF!,MATCH($B83,#REF!,0),2),(INDEX(COMPOS!$A$4:$G$39000,MATCH($B83,COMPOS!$A$4:A$39000,0),2)))))</f>
        <v>POTENCIÔMETRO PARA SISTEMA DE SONORIZAÇÃO</v>
      </c>
      <c r="D83" s="274" t="str">
        <f>(IF($A83="SINAPI",INDEX(SINAPI_NOV2020_NDES!$A$7:$H$6703,MATCH($B83,SINAPI_NOV2020_NDES!$A$7:$A$6703,0),3),IF($A83="GOINFRA",INDEX(#REF!,MATCH($B83,#REF!,0),3),(INDEX(COMPOS!$A$4:$G$39000,MATCH($B83,COMPOS!$A$4:A$39000,0),3)))))</f>
        <v>UN</v>
      </c>
      <c r="E83" s="280">
        <v>13</v>
      </c>
      <c r="F83" s="279">
        <f>(IF($A83="SINAPI",INDEX(SINAPI_NOV2020_NDES!$A$7:$H$6703,MATCH($B83,SINAPI_NOV2020_NDES!$A$7:$A$6703,0),5),(INDEX(COMPOS!$A$4:$G$801,MATCH($B83,COMPOS!$A$4:A$801,0),4))))</f>
        <v>9.8699650000000005</v>
      </c>
      <c r="G83" s="279">
        <f>(IF($A83="SINAPI",INDEX(SINAPI_NOV2020_NDES!$A$7:$H$6703,MATCH($B83,SINAPI_NOV2020_NDES!$A$7:$A$6703,0),6),(INDEX(COMPOS!$A$4:$G$801,MATCH($B83,COMPOS!$A$4:A$801,0),5))))</f>
        <v>4.53</v>
      </c>
      <c r="H83" s="280">
        <f>(IF($A83="SINAPI",INDEX(SINAPI_NOV2020_NDES!$A$7:$H$6703,MATCH($B83,SINAPI_NOV2020_NDES!$A$7:$A$6703,0),7),(INDEX(COMPOS!$A$4:$G$801,MATCH($B83,COMPOS!$A$4:A$801,0),6))))</f>
        <v>0</v>
      </c>
      <c r="I83" s="279">
        <f t="shared" si="12"/>
        <v>14.399965000000002</v>
      </c>
      <c r="J83" s="276">
        <f t="shared" si="13"/>
        <v>187.19954500000003</v>
      </c>
      <c r="K83" s="255"/>
      <c r="L83" s="255"/>
      <c r="M83" s="255"/>
      <c r="N83" s="255"/>
      <c r="O83" s="257"/>
      <c r="P83" s="257"/>
    </row>
    <row r="84" spans="1:16" ht="24">
      <c r="A84" s="251" t="s">
        <v>7</v>
      </c>
      <c r="B84" s="283">
        <v>98301</v>
      </c>
      <c r="C84" s="282" t="str">
        <f>(IF($A84="SINAPI",INDEX(SINAPI_NOV2020_NDES!$A$7:$H$6703,MATCH($B84,SINAPI_NOV2020_NDES!$A$7:$A$6703,0),2),IF($A84="GOINFRA",INDEX(#REF!,MATCH($B84,#REF!,0),2),(INDEX(COMPOS!$A$4:$G$39000,MATCH($B84,COMPOS!$A$4:A$39000,0),2)))))</f>
        <v>PATCH PANEL 24 PORTAS, CATEGORIA 5E - FORNECIMENTO E INSTALAÇÃO. AF_11/2019</v>
      </c>
      <c r="D84" s="274" t="str">
        <f>(IF($A84="SINAPI",INDEX(SINAPI_NOV2020_NDES!$A$7:$H$6703,MATCH($B84,SINAPI_NOV2020_NDES!$A$7:$A$6703,0),3),IF($A84="GOINFRA",INDEX(#REF!,MATCH($B84,#REF!,0),3),(INDEX(COMPOS!$A$4:$G$39000,MATCH($B84,COMPOS!$A$4:A$39000,0),3)))))</f>
        <v>UN</v>
      </c>
      <c r="E84" s="280">
        <v>11</v>
      </c>
      <c r="F84" s="279">
        <f>(IF($A84="SINAPI",INDEX(SINAPI_NOV2020_NDES!$A$7:$H$6703,MATCH($B84,SINAPI_NOV2020_NDES!$A$7:$A$6703,0),5),(INDEX(COMPOS!$A$4:$G$801,MATCH($B84,COMPOS!$A$4:A$801,0),4))))</f>
        <v>182.73</v>
      </c>
      <c r="G84" s="279">
        <f>(IF($A84="SINAPI",INDEX(SINAPI_NOV2020_NDES!$A$7:$H$6703,MATCH($B84,SINAPI_NOV2020_NDES!$A$7:$A$6703,0),6),(INDEX(COMPOS!$A$4:$G$801,MATCH($B84,COMPOS!$A$4:A$801,0),5))))</f>
        <v>225.96</v>
      </c>
      <c r="H84" s="280">
        <f>(IF($A84="SINAPI",INDEX(SINAPI_NOV2020_NDES!$A$7:$H$6703,MATCH($B84,SINAPI_NOV2020_NDES!$A$7:$A$6703,0),7),(INDEX(COMPOS!$A$4:$G$801,MATCH($B84,COMPOS!$A$4:A$801,0),6))))</f>
        <v>0</v>
      </c>
      <c r="I84" s="279">
        <f t="shared" si="12"/>
        <v>408.69</v>
      </c>
      <c r="J84" s="276">
        <f t="shared" si="13"/>
        <v>4495.59</v>
      </c>
      <c r="K84" s="255"/>
      <c r="L84" s="255"/>
      <c r="M84" s="255"/>
      <c r="N84" s="255"/>
      <c r="O84" s="257"/>
      <c r="P84" s="257"/>
    </row>
    <row r="85" spans="1:16" ht="24">
      <c r="A85" s="251" t="s">
        <v>6307</v>
      </c>
      <c r="B85" s="283">
        <v>869</v>
      </c>
      <c r="C85" s="282" t="str">
        <f>(IF($A85="SINAPI",INDEX(SINAPI_NOV2020_NDES!$A$7:$H$6703,MATCH($B85,SINAPI_NOV2020_NDES!$A$7:$A$6703,0),2),IF($A85="GOINFRA",INDEX(#REF!,MATCH($B85,#REF!,0),2),(INDEX(COMPOS!$A$4:$G$39000,MATCH($B85,COMPOS!$A$4:A$39000,0),2)))))</f>
        <v>PATCH PANEL 12 PORTAS, CATEGORIA 5E - FORNECIMENTO E INSTALAÇÃO. AF_11/2020</v>
      </c>
      <c r="D85" s="274" t="str">
        <f>(IF($A85="SINAPI",INDEX(SINAPI_NOV2020_NDES!$A$7:$H$6703,MATCH($B85,SINAPI_NOV2020_NDES!$A$7:$A$6703,0),3),IF($A85="GOINFRA",INDEX(#REF!,MATCH($B85,#REF!,0),3),(INDEX(COMPOS!$A$4:$G$39000,MATCH($B85,COMPOS!$A$4:A$39000,0),3)))))</f>
        <v>UN</v>
      </c>
      <c r="E85" s="280">
        <v>1</v>
      </c>
      <c r="F85" s="279">
        <f>(IF($A85="SINAPI",INDEX(SINAPI_NOV2020_NDES!$A$7:$H$6703,MATCH($B85,SINAPI_NOV2020_NDES!$A$7:$A$6703,0),5),(INDEX(COMPOS!$A$4:$G$801,MATCH($B85,COMPOS!$A$4:A$801,0),4))))</f>
        <v>239.53304100000003</v>
      </c>
      <c r="G85" s="279">
        <f>(IF($A85="SINAPI",INDEX(SINAPI_NOV2020_NDES!$A$7:$H$6703,MATCH($B85,SINAPI_NOV2020_NDES!$A$7:$A$6703,0),6),(INDEX(COMPOS!$A$4:$G$801,MATCH($B85,COMPOS!$A$4:A$801,0),5))))</f>
        <v>129.88999999999999</v>
      </c>
      <c r="H85" s="280">
        <f>(IF($A85="SINAPI",INDEX(SINAPI_NOV2020_NDES!$A$7:$H$6703,MATCH($B85,SINAPI_NOV2020_NDES!$A$7:$A$6703,0),7),(INDEX(COMPOS!$A$4:$G$801,MATCH($B85,COMPOS!$A$4:A$801,0),6))))</f>
        <v>0</v>
      </c>
      <c r="I85" s="279">
        <f t="shared" si="12"/>
        <v>369.42304100000001</v>
      </c>
      <c r="J85" s="276">
        <f t="shared" si="13"/>
        <v>369.42304100000001</v>
      </c>
      <c r="K85" s="255"/>
      <c r="L85" s="255"/>
      <c r="M85" s="255"/>
      <c r="N85" s="255"/>
      <c r="O85" s="257"/>
      <c r="P85" s="257"/>
    </row>
    <row r="86" spans="1:16">
      <c r="A86" s="251" t="s">
        <v>6307</v>
      </c>
      <c r="B86" s="283">
        <v>372</v>
      </c>
      <c r="C86" s="282" t="str">
        <f>(IF($A86="SINAPI",INDEX(SINAPI_NOV2020_NDES!$A$7:$H$6703,MATCH($B86,SINAPI_NOV2020_NDES!$A$7:$A$6703,0),2),IF($A86="GOINFRA",INDEX(#REF!,MATCH($B86,#REF!,0),2),(INDEX(COMPOS!$A$4:$G$39000,MATCH($B86,COMPOS!$A$4:A$39000,0),2)))))</f>
        <v>TAMPA DE Fo.Fo. R1 COM BASE</v>
      </c>
      <c r="D86" s="274" t="str">
        <f>(IF($A86="SINAPI",INDEX(SINAPI_NOV2020_NDES!$A$7:$H$6703,MATCH($B86,SINAPI_NOV2020_NDES!$A$7:$A$6703,0),3),IF($A86="GOINFRA",INDEX(#REF!,MATCH($B86,#REF!,0),3),(INDEX(COMPOS!$A$4:$G$39000,MATCH($B86,COMPOS!$A$4:A$39000,0),3)))))</f>
        <v>UN</v>
      </c>
      <c r="E86" s="280">
        <v>3</v>
      </c>
      <c r="F86" s="279">
        <f>(IF($A86="SINAPI",INDEX(SINAPI_NOV2020_NDES!$A$7:$H$6703,MATCH($B86,SINAPI_NOV2020_NDES!$A$7:$A$6703,0),5),(INDEX(COMPOS!$A$4:$G$801,MATCH($B86,COMPOS!$A$4:A$801,0),4))))</f>
        <v>3.863</v>
      </c>
      <c r="G86" s="279">
        <f>(IF($A86="SINAPI",INDEX(SINAPI_NOV2020_NDES!$A$7:$H$6703,MATCH($B86,SINAPI_NOV2020_NDES!$A$7:$A$6703,0),6),(INDEX(COMPOS!$A$4:$G$801,MATCH($B86,COMPOS!$A$4:A$801,0),5))))</f>
        <v>207.66</v>
      </c>
      <c r="H86" s="280">
        <f>(IF($A86="SINAPI",INDEX(SINAPI_NOV2020_NDES!$A$7:$H$6703,MATCH($B86,SINAPI_NOV2020_NDES!$A$7:$A$6703,0),7),(INDEX(COMPOS!$A$4:$G$801,MATCH($B86,COMPOS!$A$4:A$801,0),6))))</f>
        <v>0</v>
      </c>
      <c r="I86" s="279">
        <f t="shared" si="12"/>
        <v>211.523</v>
      </c>
      <c r="J86" s="276">
        <f t="shared" si="13"/>
        <v>634.56899999999996</v>
      </c>
      <c r="K86" s="255"/>
      <c r="L86" s="255"/>
      <c r="M86" s="255"/>
      <c r="N86" s="255"/>
      <c r="O86" s="257"/>
      <c r="P86" s="257"/>
    </row>
    <row r="87" spans="1:16">
      <c r="A87" s="251" t="s">
        <v>6307</v>
      </c>
      <c r="B87" s="283">
        <v>377</v>
      </c>
      <c r="C87" s="282" t="str">
        <f>(IF($A87="SINAPI",INDEX(SINAPI_NOV2020_NDES!$A$7:$H$6703,MATCH($B87,SINAPI_NOV2020_NDES!$A$7:$A$6703,0),2),IF($A87="GOINFRA",INDEX(#REF!,MATCH($B87,#REF!,0),2),(INDEX(COMPOS!$A$4:$G$39000,MATCH($B87,COMPOS!$A$4:A$39000,0),2)))))</f>
        <v>TAMPA DE Fo.Fo. R2 COM BASE</v>
      </c>
      <c r="D87" s="274" t="str">
        <f>(IF($A87="SINAPI",INDEX(SINAPI_NOV2020_NDES!$A$7:$H$6703,MATCH($B87,SINAPI_NOV2020_NDES!$A$7:$A$6703,0),3),IF($A87="GOINFRA",INDEX(#REF!,MATCH($B87,#REF!,0),3),(INDEX(COMPOS!$A$4:$G$39000,MATCH($B87,COMPOS!$A$4:A$39000,0),3)))))</f>
        <v>UN</v>
      </c>
      <c r="E87" s="280">
        <v>2</v>
      </c>
      <c r="F87" s="279">
        <f>(IF($A87="SINAPI",INDEX(SINAPI_NOV2020_NDES!$A$7:$H$6703,MATCH($B87,SINAPI_NOV2020_NDES!$A$7:$A$6703,0),5),(INDEX(COMPOS!$A$4:$G$801,MATCH($B87,COMPOS!$A$4:A$801,0),4))))</f>
        <v>9.6574999999999989</v>
      </c>
      <c r="G87" s="279">
        <f>(IF($A87="SINAPI",INDEX(SINAPI_NOV2020_NDES!$A$7:$H$6703,MATCH($B87,SINAPI_NOV2020_NDES!$A$7:$A$6703,0),6),(INDEX(COMPOS!$A$4:$G$801,MATCH($B87,COMPOS!$A$4:A$801,0),5))))</f>
        <v>780.31</v>
      </c>
      <c r="H87" s="280">
        <f>(IF($A87="SINAPI",INDEX(SINAPI_NOV2020_NDES!$A$7:$H$6703,MATCH($B87,SINAPI_NOV2020_NDES!$A$7:$A$6703,0),7),(INDEX(COMPOS!$A$4:$G$801,MATCH($B87,COMPOS!$A$4:A$801,0),6))))</f>
        <v>0</v>
      </c>
      <c r="I87" s="279">
        <f t="shared" si="12"/>
        <v>789.96749999999997</v>
      </c>
      <c r="J87" s="276">
        <f t="shared" si="13"/>
        <v>1579.9349999999999</v>
      </c>
      <c r="K87" s="255"/>
      <c r="L87" s="255"/>
      <c r="M87" s="255"/>
      <c r="N87" s="255"/>
      <c r="O87" s="257"/>
      <c r="P87" s="257"/>
    </row>
    <row r="88" spans="1:16" ht="24">
      <c r="A88" s="251" t="s">
        <v>7</v>
      </c>
      <c r="B88" s="283">
        <v>92872</v>
      </c>
      <c r="C88" s="282" t="str">
        <f>(IF($A88="SINAPI",INDEX(SINAPI_NOV2020_NDES!$A$7:$H$6703,MATCH($B88,SINAPI_NOV2020_NDES!$A$7:$A$6703,0),2),IF($A88="GOINFRA",INDEX(#REF!,MATCH($B88,#REF!,0),2),(INDEX(COMPOS!$A$4:$G$39000,MATCH($B88,COMPOS!$A$4:A$39000,0),2)))))</f>
        <v>CAIXA RETANGULAR 4" X 4" BAIXA (0,30 M DO PISO), METÁLICA, INSTALADA EM PAREDE - FORNECIMENTO E INSTALAÇÃO. AF_12/2015</v>
      </c>
      <c r="D88" s="274" t="str">
        <f>(IF($A88="SINAPI",INDEX(SINAPI_NOV2020_NDES!$A$7:$H$6703,MATCH($B88,SINAPI_NOV2020_NDES!$A$7:$A$6703,0),3),IF($A88="GOINFRA",INDEX(#REF!,MATCH($B88,#REF!,0),3),(INDEX(COMPOS!$A$4:$G$39000,MATCH($B88,COMPOS!$A$4:A$39000,0),3)))))</f>
        <v>UN</v>
      </c>
      <c r="E88" s="280">
        <v>4</v>
      </c>
      <c r="F88" s="279">
        <f>(IF($A88="SINAPI",INDEX(SINAPI_NOV2020_NDES!$A$7:$H$6703,MATCH($B88,SINAPI_NOV2020_NDES!$A$7:$A$6703,0),5),(INDEX(COMPOS!$A$4:$G$801,MATCH($B88,COMPOS!$A$4:A$801,0),4))))</f>
        <v>5.04</v>
      </c>
      <c r="G88" s="279">
        <f>(IF($A88="SINAPI",INDEX(SINAPI_NOV2020_NDES!$A$7:$H$6703,MATCH($B88,SINAPI_NOV2020_NDES!$A$7:$A$6703,0),6),(INDEX(COMPOS!$A$4:$G$801,MATCH($B88,COMPOS!$A$4:A$801,0),5))))</f>
        <v>4.8099999999999996</v>
      </c>
      <c r="H88" s="280">
        <f>(IF($A88="SINAPI",INDEX(SINAPI_NOV2020_NDES!$A$7:$H$6703,MATCH($B88,SINAPI_NOV2020_NDES!$A$7:$A$6703,0),7),(INDEX(COMPOS!$A$4:$G$801,MATCH($B88,COMPOS!$A$4:A$801,0),6))))</f>
        <v>0</v>
      </c>
      <c r="I88" s="279">
        <f t="shared" si="12"/>
        <v>9.85</v>
      </c>
      <c r="J88" s="276">
        <f t="shared" si="13"/>
        <v>39.4</v>
      </c>
      <c r="K88" s="255"/>
      <c r="L88" s="255"/>
      <c r="M88" s="255"/>
      <c r="N88" s="255"/>
      <c r="O88" s="257"/>
      <c r="P88" s="257"/>
    </row>
    <row r="89" spans="1:16" s="88" customFormat="1" ht="15">
      <c r="A89" s="251" t="s">
        <v>6307</v>
      </c>
      <c r="B89" s="283">
        <v>864</v>
      </c>
      <c r="C89" s="282" t="str">
        <f>(IF($A89="SINAPI",INDEX(SINAPI_NOV2020_NDES!$A$7:$H$6703,MATCH($B89,SINAPI_NOV2020_NDES!$A$7:$A$6703,0),2),IF($A89="GOINFRA",INDEX(#REF!,MATCH($B89,#REF!,0),2),(INDEX(COMPOS!$A$4:$G$39000,MATCH($B89,COMPOS!$A$4:A$39000,0),2)))))</f>
        <v>BANDEJA PARA RACK 19", DESLIZANTE, PERFURADA, 400MM DE PROFUNDIDADE</v>
      </c>
      <c r="D89" s="274" t="str">
        <f>(IF($A89="SINAPI",INDEX(SINAPI_NOV2020_NDES!$A$7:$H$6703,MATCH($B89,SINAPI_NOV2020_NDES!$A$7:$A$6703,0),3),IF($A89="GOINFRA",INDEX(#REF!,MATCH($B89,#REF!,0),3),(INDEX(COMPOS!$A$4:$G$39000,MATCH($B89,COMPOS!$A$4:A$39000,0),3)))))</f>
        <v>UN</v>
      </c>
      <c r="E89" s="280">
        <v>10</v>
      </c>
      <c r="F89" s="279">
        <f>(IF($A89="SINAPI",INDEX(SINAPI_NOV2020_NDES!$A$7:$H$6703,MATCH($B89,SINAPI_NOV2020_NDES!$A$7:$A$6703,0),5),(INDEX(COMPOS!$A$4:$G$801,MATCH($B89,COMPOS!$A$4:A$801,0),4))))</f>
        <v>7.726</v>
      </c>
      <c r="G89" s="279">
        <f>(IF($A89="SINAPI",INDEX(SINAPI_NOV2020_NDES!$A$7:$H$6703,MATCH($B89,SINAPI_NOV2020_NDES!$A$7:$A$6703,0),6),(INDEX(COMPOS!$A$4:$G$801,MATCH($B89,COMPOS!$A$4:A$801,0),5))))</f>
        <v>150.52000000000001</v>
      </c>
      <c r="H89" s="280">
        <f>(IF($A89="SINAPI",INDEX(SINAPI_NOV2020_NDES!$A$7:$H$6703,MATCH($B89,SINAPI_NOV2020_NDES!$A$7:$A$6703,0),7),(INDEX(COMPOS!$A$4:$G$801,MATCH($B89,COMPOS!$A$4:A$801,0),6))))</f>
        <v>0</v>
      </c>
      <c r="I89" s="279">
        <f t="shared" si="12"/>
        <v>158.24600000000001</v>
      </c>
      <c r="J89" s="276">
        <f t="shared" si="13"/>
        <v>1582.46</v>
      </c>
      <c r="K89" s="255"/>
      <c r="L89" s="255"/>
      <c r="M89" s="255"/>
      <c r="N89" s="255"/>
      <c r="O89" s="257"/>
      <c r="P89" s="257"/>
    </row>
    <row r="90" spans="1:16">
      <c r="A90" s="285" t="s">
        <v>6307</v>
      </c>
      <c r="B90" s="286">
        <v>876</v>
      </c>
      <c r="C90" s="282" t="str">
        <f>(IF($A90="SINAPI",INDEX(SINAPI_NOV2020_NDES!$A$7:$H$6703,MATCH($B90,SINAPI_NOV2020_NDES!$A$7:$A$6703,0),2),IF($A90="GOINFRA",INDEX(#REF!,MATCH($B90,#REF!,0),2),(INDEX(COMPOS!$A$4:$G$39000,MATCH($B90,COMPOS!$A$4:A$39000,0),2)))))</f>
        <v>SUPORTE PARA BLOCOS 110-19" 1U</v>
      </c>
      <c r="D90" s="274" t="str">
        <f>(IF($A90="SINAPI",INDEX(SINAPI_NOV2020_NDES!$A$7:$H$6703,MATCH($B90,SINAPI_NOV2020_NDES!$A$7:$A$6703,0),3),IF($A90="GOINFRA",INDEX(#REF!,MATCH($B90,#REF!,0),3),(INDEX(COMPOS!$A$4:$G$39000,MATCH($B90,COMPOS!$A$4:A$39000,0),3)))))</f>
        <v>UN</v>
      </c>
      <c r="E90" s="529">
        <v>10</v>
      </c>
      <c r="F90" s="279">
        <f>(IF($A90="SINAPI",INDEX(SINAPI_NOV2020_NDES!$A$7:$H$6703,MATCH($B90,SINAPI_NOV2020_NDES!$A$7:$A$6703,0),5),(INDEX(COMPOS!$A$4:$G$801,MATCH($B90,COMPOS!$A$4:A$801,0),4))))</f>
        <v>11.588999999999999</v>
      </c>
      <c r="G90" s="279">
        <f>(IF($A90="SINAPI",INDEX(SINAPI_NOV2020_NDES!$A$7:$H$6703,MATCH($B90,SINAPI_NOV2020_NDES!$A$7:$A$6703,0),6),(INDEX(COMPOS!$A$4:$G$801,MATCH($B90,COMPOS!$A$4:A$801,0),5))))</f>
        <v>238.79</v>
      </c>
      <c r="H90" s="280">
        <f>(IF($A90="SINAPI",INDEX(SINAPI_NOV2020_NDES!$A$7:$H$6703,MATCH($B90,SINAPI_NOV2020_NDES!$A$7:$A$6703,0),7),(INDEX(COMPOS!$A$4:$G$801,MATCH($B90,COMPOS!$A$4:A$801,0),6))))</f>
        <v>0</v>
      </c>
      <c r="I90" s="279">
        <f t="shared" ref="I90:I91" si="14">SUM(F90:H90)</f>
        <v>250.37899999999999</v>
      </c>
      <c r="J90" s="276">
        <f t="shared" ref="J90:J91" si="15">+I90*E90</f>
        <v>2503.79</v>
      </c>
      <c r="K90" s="255"/>
      <c r="L90" s="255"/>
      <c r="M90" s="255"/>
      <c r="N90" s="255"/>
      <c r="O90" s="257"/>
      <c r="P90" s="257"/>
    </row>
    <row r="91" spans="1:16">
      <c r="A91" s="251" t="s">
        <v>6307</v>
      </c>
      <c r="B91" s="283">
        <v>859</v>
      </c>
      <c r="C91" s="282" t="str">
        <f>(IF($A91="SINAPI",INDEX(SINAPI_NOV2020_NDES!$A$7:$H$6703,MATCH($B91,SINAPI_NOV2020_NDES!$A$7:$A$6703,0),2),IF($A91="GOINFRA",INDEX(#REF!,MATCH($B91,#REF!,0),2),(INDEX(COMPOS!$A$4:$G$39000,MATCH($B91,COMPOS!$A$4:A$39000,0),2)))))</f>
        <v>REGUA COM 12 TOMADAS</v>
      </c>
      <c r="D91" s="274" t="str">
        <f>(IF($A91="SINAPI",INDEX(SINAPI_NOV2020_NDES!$A$7:$H$6703,MATCH($B91,SINAPI_NOV2020_NDES!$A$7:$A$6703,0),3),IF($A91="GOINFRA",INDEX(#REF!,MATCH($B91,#REF!,0),3),(INDEX(COMPOS!$A$4:$G$39000,MATCH($B91,COMPOS!$A$4:A$39000,0),3)))))</f>
        <v>UN</v>
      </c>
      <c r="E91" s="280">
        <v>2</v>
      </c>
      <c r="F91" s="279">
        <f>(IF($A91="SINAPI",INDEX(SINAPI_NOV2020_NDES!$A$7:$H$6703,MATCH($B91,SINAPI_NOV2020_NDES!$A$7:$A$6703,0),5),(INDEX(COMPOS!$A$4:$G$801,MATCH($B91,COMPOS!$A$4:A$801,0),4))))</f>
        <v>3.863</v>
      </c>
      <c r="G91" s="279">
        <f>(IF($A91="SINAPI",INDEX(SINAPI_NOV2020_NDES!$A$7:$H$6703,MATCH($B91,SINAPI_NOV2020_NDES!$A$7:$A$6703,0),6),(INDEX(COMPOS!$A$4:$G$801,MATCH($B91,COMPOS!$A$4:A$801,0),5))))</f>
        <v>130.15</v>
      </c>
      <c r="H91" s="280">
        <f>(IF($A91="SINAPI",INDEX(SINAPI_NOV2020_NDES!$A$7:$H$6703,MATCH($B91,SINAPI_NOV2020_NDES!$A$7:$A$6703,0),7),(INDEX(COMPOS!$A$4:$G$801,MATCH($B91,COMPOS!$A$4:A$801,0),6))))</f>
        <v>0</v>
      </c>
      <c r="I91" s="279">
        <f t="shared" si="14"/>
        <v>134.01300000000001</v>
      </c>
      <c r="J91" s="276">
        <f t="shared" si="15"/>
        <v>268.02600000000001</v>
      </c>
      <c r="K91" s="255"/>
      <c r="L91" s="255"/>
      <c r="M91" s="255"/>
      <c r="N91" s="255"/>
      <c r="O91" s="257"/>
      <c r="P91" s="257"/>
    </row>
    <row r="92" spans="1:16">
      <c r="A92" s="251" t="s">
        <v>6307</v>
      </c>
      <c r="B92" s="283">
        <v>546</v>
      </c>
      <c r="C92" s="282" t="str">
        <f>(IF($A92="SINAPI",INDEX(SINAPI_NOV2020_NDES!$A$7:$H$6703,MATCH($B92,SINAPI_NOV2020_NDES!$A$7:$A$6703,0),2),IF($A92="GOINFRA",INDEX(#REF!,MATCH($B92,#REF!,0),2),(INDEX(COMPOS!$A$4:$G$39000,MATCH($B92,COMPOS!$A$4:A$39000,0),2)))))</f>
        <v>FITA DE IDENTIFICAÇÃO</v>
      </c>
      <c r="D92" s="274" t="str">
        <f>(IF($A92="SINAPI",INDEX(SINAPI_NOV2020_NDES!$A$7:$H$6703,MATCH($B92,SINAPI_NOV2020_NDES!$A$7:$A$6703,0),3),IF($A92="GOINFRA",INDEX(#REF!,MATCH($B92,#REF!,0),3),(INDEX(COMPOS!$A$4:$G$39000,MATCH($B92,COMPOS!$A$4:A$39000,0),3)))))</f>
        <v>UN</v>
      </c>
      <c r="E92" s="280">
        <v>200</v>
      </c>
      <c r="F92" s="279">
        <f>(IF($A92="SINAPI",INDEX(SINAPI_NOV2020_NDES!$A$7:$H$6703,MATCH($B92,SINAPI_NOV2020_NDES!$A$7:$A$6703,0),5),(INDEX(COMPOS!$A$4:$G$801,MATCH($B92,COMPOS!$A$4:A$801,0),4))))</f>
        <v>0.77259999999999995</v>
      </c>
      <c r="G92" s="279">
        <f>(IF($A92="SINAPI",INDEX(SINAPI_NOV2020_NDES!$A$7:$H$6703,MATCH($B92,SINAPI_NOV2020_NDES!$A$7:$A$6703,0),6),(INDEX(COMPOS!$A$4:$G$801,MATCH($B92,COMPOS!$A$4:A$801,0),5))))</f>
        <v>0.56120000000000003</v>
      </c>
      <c r="H92" s="280">
        <f>(IF($A92="SINAPI",INDEX(SINAPI_NOV2020_NDES!$A$7:$H$6703,MATCH($B92,SINAPI_NOV2020_NDES!$A$7:$A$6703,0),7),(INDEX(COMPOS!$A$4:$G$801,MATCH($B92,COMPOS!$A$4:A$801,0),6))))</f>
        <v>0</v>
      </c>
      <c r="I92" s="279">
        <f t="shared" ref="I92:I96" si="16">SUM(F92:H92)</f>
        <v>1.3338000000000001</v>
      </c>
      <c r="J92" s="276">
        <f t="shared" ref="J92:J96" si="17">+I92*E92</f>
        <v>266.76</v>
      </c>
      <c r="K92" s="255"/>
      <c r="L92" s="255"/>
      <c r="M92" s="255"/>
      <c r="N92" s="255"/>
      <c r="O92" s="257"/>
      <c r="P92" s="257"/>
    </row>
    <row r="93" spans="1:16">
      <c r="A93" s="251" t="s">
        <v>6307</v>
      </c>
      <c r="B93" s="283">
        <v>853</v>
      </c>
      <c r="C93" s="282" t="str">
        <f>(IF($A93="SINAPI",INDEX(SINAPI_NOV2020_NDES!$A$7:$H$6703,MATCH($B93,SINAPI_NOV2020_NDES!$A$7:$A$6703,0),2),IF($A93="GOINFRA",INDEX(#REF!,MATCH($B93,#REF!,0),2),(INDEX(COMPOS!$A$4:$G$39000,MATCH($B93,COMPOS!$A$4:A$39000,0),2)))))</f>
        <v>PATCH CORD COMPRIMENTO DE 1,50 M - CAT.6</v>
      </c>
      <c r="D93" s="274" t="str">
        <f>(IF($A93="SINAPI",INDEX(SINAPI_NOV2020_NDES!$A$7:$H$6703,MATCH($B93,SINAPI_NOV2020_NDES!$A$7:$A$6703,0),3),IF($A93="GOINFRA",INDEX(#REF!,MATCH($B93,#REF!,0),3),(INDEX(COMPOS!$A$4:$G$39000,MATCH($B93,COMPOS!$A$4:A$39000,0),3)))))</f>
        <v>UN</v>
      </c>
      <c r="E93" s="280">
        <v>12</v>
      </c>
      <c r="F93" s="279">
        <f>(IF($A93="SINAPI",INDEX(SINAPI_NOV2020_NDES!$A$7:$H$6703,MATCH($B93,SINAPI_NOV2020_NDES!$A$7:$A$6703,0),5),(INDEX(COMPOS!$A$4:$G$801,MATCH($B93,COMPOS!$A$4:A$801,0),4))))</f>
        <v>5.0219000000000005</v>
      </c>
      <c r="G93" s="279">
        <f>(IF($A93="SINAPI",INDEX(SINAPI_NOV2020_NDES!$A$7:$H$6703,MATCH($B93,SINAPI_NOV2020_NDES!$A$7:$A$6703,0),6),(INDEX(COMPOS!$A$4:$G$801,MATCH($B93,COMPOS!$A$4:A$801,0),5))))</f>
        <v>16.25</v>
      </c>
      <c r="H93" s="280">
        <f>(IF($A93="SINAPI",INDEX(SINAPI_NOV2020_NDES!$A$7:$H$6703,MATCH($B93,SINAPI_NOV2020_NDES!$A$7:$A$6703,0),7),(INDEX(COMPOS!$A$4:$G$801,MATCH($B93,COMPOS!$A$4:A$801,0),6))))</f>
        <v>0</v>
      </c>
      <c r="I93" s="279">
        <f t="shared" si="16"/>
        <v>21.271900000000002</v>
      </c>
      <c r="J93" s="276">
        <f t="shared" si="17"/>
        <v>255.26280000000003</v>
      </c>
      <c r="K93" s="255"/>
      <c r="L93" s="255"/>
      <c r="M93" s="255"/>
      <c r="N93" s="255"/>
      <c r="O93" s="257"/>
      <c r="P93" s="257"/>
    </row>
    <row r="94" spans="1:16">
      <c r="A94" s="251" t="s">
        <v>6307</v>
      </c>
      <c r="B94" s="283">
        <v>853</v>
      </c>
      <c r="C94" s="282" t="str">
        <f>(IF($A94="SINAPI",INDEX(SINAPI_NOV2020_NDES!$A$7:$H$6703,MATCH($B94,SINAPI_NOV2020_NDES!$A$7:$A$6703,0),2),IF($A94="GOINFRA",INDEX(#REF!,MATCH($B94,#REF!,0),2),(INDEX(COMPOS!$A$4:$G$39000,MATCH($B94,COMPOS!$A$4:A$39000,0),2)))))</f>
        <v>PATCH CORD COMPRIMENTO DE 1,50 M - CAT.6</v>
      </c>
      <c r="D94" s="274" t="str">
        <f>(IF($A94="SINAPI",INDEX(SINAPI_NOV2020_NDES!$A$7:$H$6703,MATCH($B94,SINAPI_NOV2020_NDES!$A$7:$A$6703,0),3),IF($A94="GOINFRA",INDEX(#REF!,MATCH($B94,#REF!,0),3),(INDEX(COMPOS!$A$4:$G$39000,MATCH($B94,COMPOS!$A$4:A$39000,0),3)))))</f>
        <v>UN</v>
      </c>
      <c r="E94" s="280">
        <v>12</v>
      </c>
      <c r="F94" s="279">
        <f>(IF($A94="SINAPI",INDEX(SINAPI_NOV2020_NDES!$A$7:$H$6703,MATCH($B94,SINAPI_NOV2020_NDES!$A$7:$A$6703,0),5),(INDEX(COMPOS!$A$4:$G$801,MATCH($B94,COMPOS!$A$4:A$801,0),4))))</f>
        <v>5.0219000000000005</v>
      </c>
      <c r="G94" s="279">
        <f>(IF($A94="SINAPI",INDEX(SINAPI_NOV2020_NDES!$A$7:$H$6703,MATCH($B94,SINAPI_NOV2020_NDES!$A$7:$A$6703,0),6),(INDEX(COMPOS!$A$4:$G$801,MATCH($B94,COMPOS!$A$4:A$801,0),5))))</f>
        <v>16.25</v>
      </c>
      <c r="H94" s="280">
        <f>(IF($A94="SINAPI",INDEX(SINAPI_NOV2020_NDES!$A$7:$H$6703,MATCH($B94,SINAPI_NOV2020_NDES!$A$7:$A$6703,0),7),(INDEX(COMPOS!$A$4:$G$801,MATCH($B94,COMPOS!$A$4:A$801,0),6))))</f>
        <v>0</v>
      </c>
      <c r="I94" s="279">
        <f t="shared" si="16"/>
        <v>21.271900000000002</v>
      </c>
      <c r="J94" s="276">
        <f t="shared" si="17"/>
        <v>255.26280000000003</v>
      </c>
      <c r="K94" s="255"/>
      <c r="L94" s="255"/>
      <c r="M94" s="255"/>
      <c r="N94" s="255"/>
      <c r="O94" s="257"/>
      <c r="P94" s="257"/>
    </row>
    <row r="95" spans="1:16">
      <c r="A95" s="251" t="s">
        <v>6307</v>
      </c>
      <c r="B95" s="283">
        <v>824</v>
      </c>
      <c r="C95" s="282" t="str">
        <f>(IF($A95="SINAPI",INDEX(SINAPI_NOV2020_NDES!$A$7:$H$6703,MATCH($B95,SINAPI_NOV2020_NDES!$A$7:$A$6703,0),2),IF($A95="GOINFRA",INDEX(#REF!,MATCH($B95,#REF!,0),2),(INDEX(COMPOS!$A$4:$G$39000,MATCH($B95,COMPOS!$A$4:A$39000,0),2)))))</f>
        <v>CERTIFICADO DIGITAL</v>
      </c>
      <c r="D95" s="274" t="str">
        <f>(IF($A95="SINAPI",INDEX(SINAPI_NOV2020_NDES!$A$7:$H$6703,MATCH($B95,SINAPI_NOV2020_NDES!$A$7:$A$6703,0),3),IF($A95="GOINFRA",INDEX(#REF!,MATCH($B95,#REF!,0),3),(INDEX(COMPOS!$A$4:$G$39000,MATCH($B95,COMPOS!$A$4:A$39000,0),3)))))</f>
        <v>UN</v>
      </c>
      <c r="E95" s="280">
        <v>1</v>
      </c>
      <c r="F95" s="279">
        <f>(IF($A95="SINAPI",INDEX(SINAPI_NOV2020_NDES!$A$7:$H$6703,MATCH($B95,SINAPI_NOV2020_NDES!$A$7:$A$6703,0),5),(INDEX(COMPOS!$A$4:$G$801,MATCH($B95,COMPOS!$A$4:A$801,0),4))))</f>
        <v>0</v>
      </c>
      <c r="G95" s="279">
        <f>(IF($A95="SINAPI",INDEX(SINAPI_NOV2020_NDES!$A$7:$H$6703,MATCH($B95,SINAPI_NOV2020_NDES!$A$7:$A$6703,0),6),(INDEX(COMPOS!$A$4:$G$801,MATCH($B95,COMPOS!$A$4:A$801,0),5))))</f>
        <v>13.41</v>
      </c>
      <c r="H95" s="280">
        <f>(IF($A95="SINAPI",INDEX(SINAPI_NOV2020_NDES!$A$7:$H$6703,MATCH($B95,SINAPI_NOV2020_NDES!$A$7:$A$6703,0),7),(INDEX(COMPOS!$A$4:$G$801,MATCH($B95,COMPOS!$A$4:A$801,0),6))))</f>
        <v>0</v>
      </c>
      <c r="I95" s="279">
        <f t="shared" si="16"/>
        <v>13.41</v>
      </c>
      <c r="J95" s="276">
        <f t="shared" si="17"/>
        <v>13.41</v>
      </c>
      <c r="K95" s="255"/>
      <c r="L95" s="255"/>
      <c r="M95" s="255"/>
      <c r="N95" s="255"/>
      <c r="O95" s="257"/>
      <c r="P95" s="257"/>
    </row>
    <row r="96" spans="1:16" ht="24">
      <c r="A96" s="251" t="s">
        <v>6307</v>
      </c>
      <c r="B96" s="283">
        <v>880</v>
      </c>
      <c r="C96" s="282" t="str">
        <f>(IF($A96="SINAPI",INDEX(SINAPI_NOV2020_NDES!$A$7:$H$6703,MATCH($B96,SINAPI_NOV2020_NDES!$A$7:$A$6703,0),2),IF($A96="GOINFRA",INDEX(#REF!,MATCH($B96,#REF!,0),2),(INDEX(COMPOS!$A$4:$G$39000,MATCH($B96,COMPOS!$A$4:A$39000,0),2)))))</f>
        <v>TAMPÃO PARA SUPORTE DE TOMADAS 14,7x19,3mm DA MOPA ou equivalente de mesmo padrão de qualidade</v>
      </c>
      <c r="D96" s="274" t="str">
        <f>(IF($A96="SINAPI",INDEX(SINAPI_NOV2020_NDES!$A$7:$H$6703,MATCH($B96,SINAPI_NOV2020_NDES!$A$7:$A$6703,0),3),IF($A96="GOINFRA",INDEX(#REF!,MATCH($B96,#REF!,0),3),(INDEX(COMPOS!$A$4:$G$39000,MATCH($B96,COMPOS!$A$4:A$39000,0),3)))))</f>
        <v>UN</v>
      </c>
      <c r="E96" s="280">
        <v>16</v>
      </c>
      <c r="F96" s="279">
        <f>(IF($A96="SINAPI",INDEX(SINAPI_NOV2020_NDES!$A$7:$H$6703,MATCH($B96,SINAPI_NOV2020_NDES!$A$7:$A$6703,0),5),(INDEX(COMPOS!$A$4:$G$801,MATCH($B96,COMPOS!$A$4:A$801,0),4))))</f>
        <v>6.5670000000000002</v>
      </c>
      <c r="G96" s="279">
        <f>(IF($A96="SINAPI",INDEX(SINAPI_NOV2020_NDES!$A$7:$H$6703,MATCH($B96,SINAPI_NOV2020_NDES!$A$7:$A$6703,0),6),(INDEX(COMPOS!$A$4:$G$801,MATCH($B96,COMPOS!$A$4:A$801,0),5))))</f>
        <v>29.34</v>
      </c>
      <c r="H96" s="280">
        <f>(IF($A96="SINAPI",INDEX(SINAPI_NOV2020_NDES!$A$7:$H$6703,MATCH($B96,SINAPI_NOV2020_NDES!$A$7:$A$6703,0),7),(INDEX(COMPOS!$A$4:$G$801,MATCH($B96,COMPOS!$A$4:A$801,0),6))))</f>
        <v>0</v>
      </c>
      <c r="I96" s="279">
        <f t="shared" si="16"/>
        <v>35.906999999999996</v>
      </c>
      <c r="J96" s="276">
        <f t="shared" si="17"/>
        <v>574.51199999999994</v>
      </c>
      <c r="K96" s="255"/>
      <c r="L96" s="255"/>
      <c r="M96" s="255"/>
      <c r="N96" s="255"/>
      <c r="O96" s="257"/>
      <c r="P96" s="257"/>
    </row>
    <row r="97" spans="1:16">
      <c r="A97" s="251"/>
      <c r="B97" s="272"/>
      <c r="C97" s="284" t="s">
        <v>6946</v>
      </c>
      <c r="D97" s="274"/>
      <c r="E97" s="279"/>
      <c r="F97" s="279"/>
      <c r="G97" s="279"/>
      <c r="H97" s="280"/>
      <c r="I97" s="275"/>
      <c r="J97" s="276"/>
      <c r="K97" s="255"/>
      <c r="L97" s="255"/>
      <c r="M97" s="255"/>
      <c r="N97" s="255"/>
      <c r="O97" s="257"/>
      <c r="P97" s="257"/>
    </row>
    <row r="98" spans="1:16" ht="24">
      <c r="A98" s="251" t="s">
        <v>7</v>
      </c>
      <c r="B98" s="283">
        <v>96973</v>
      </c>
      <c r="C98" s="282" t="str">
        <f>(IF($A98="SINAPI",INDEX(SINAPI_NOV2020_NDES!$A$7:$H$6703,MATCH($B98,SINAPI_NOV2020_NDES!$A$7:$A$6703,0),2),IF($A98="GOINFRA",INDEX(#REF!,MATCH($B98,#REF!,0),2),(INDEX(COMPOS!$A$4:$G$39000,MATCH($B98,COMPOS!$A$4:A$39000,0),2)))))</f>
        <v>CORDOALHA DE COBRE NU 35 MM², NÃO ENTERRADA, COM ISOLADOR - FORNECIMENTO E INSTALAÇÃO. AF_12/2017</v>
      </c>
      <c r="D98" s="274" t="str">
        <f>(IF($A98="SINAPI",INDEX(SINAPI_NOV2020_NDES!$A$7:$H$6703,MATCH($B98,SINAPI_NOV2020_NDES!$A$7:$A$6703,0),3),IF($A98="GOINFRA",INDEX(#REF!,MATCH($B98,#REF!,0),3),(INDEX(COMPOS!$A$4:$G$39000,MATCH($B98,COMPOS!$A$4:A$39000,0),3)))))</f>
        <v>M</v>
      </c>
      <c r="E98" s="280">
        <v>400</v>
      </c>
      <c r="F98" s="279">
        <f>(IF($A98="SINAPI",INDEX(SINAPI_NOV2020_NDES!$A$7:$H$6703,MATCH($B98,SINAPI_NOV2020_NDES!$A$7:$A$6703,0),5),(INDEX(COMPOS!$A$4:$G$801,MATCH($B98,COMPOS!$A$4:A$801,0),4))))</f>
        <v>12.12</v>
      </c>
      <c r="G98" s="279">
        <f>(IF($A98="SINAPI",INDEX(SINAPI_NOV2020_NDES!$A$7:$H$6703,MATCH($B98,SINAPI_NOV2020_NDES!$A$7:$A$6703,0),6),(INDEX(COMPOS!$A$4:$G$801,MATCH($B98,COMPOS!$A$4:A$801,0),5))))</f>
        <v>32.340000000000003</v>
      </c>
      <c r="H98" s="280">
        <f>(IF($A98="SINAPI",INDEX(SINAPI_NOV2020_NDES!$A$7:$H$6703,MATCH($B98,SINAPI_NOV2020_NDES!$A$7:$A$6703,0),7),(INDEX(COMPOS!$A$4:$G$801,MATCH($B98,COMPOS!$A$4:A$801,0),6))))</f>
        <v>0</v>
      </c>
      <c r="I98" s="279">
        <f t="shared" ref="I98" si="18">SUM(F98:H98)</f>
        <v>44.46</v>
      </c>
      <c r="J98" s="276">
        <f t="shared" ref="J98" si="19">+I98*E98</f>
        <v>17784</v>
      </c>
      <c r="K98" s="255"/>
      <c r="L98" s="255"/>
      <c r="M98" s="255"/>
      <c r="N98" s="255"/>
      <c r="O98" s="257"/>
      <c r="P98" s="257"/>
    </row>
    <row r="99" spans="1:16" ht="24">
      <c r="A99" s="251" t="s">
        <v>7</v>
      </c>
      <c r="B99" s="283">
        <v>96974</v>
      </c>
      <c r="C99" s="282" t="str">
        <f>(IF($A99="SINAPI",INDEX(SINAPI_NOV2020_NDES!$A$7:$H$6703,MATCH($B99,SINAPI_NOV2020_NDES!$A$7:$A$6703,0),2),IF($A99="GOINFRA",INDEX(#REF!,MATCH($B99,#REF!,0),2),(INDEX(COMPOS!$A$4:$G$39000,MATCH($B99,COMPOS!$A$4:A$39000,0),2)))))</f>
        <v>CORDOALHA DE COBRE NU 50 MM², NÃO ENTERRADA, COM ISOLADOR - FORNECIMENTO E INSTALAÇÃO. AF_12/2017</v>
      </c>
      <c r="D99" s="274" t="str">
        <f>(IF($A99="SINAPI",INDEX(SINAPI_NOV2020_NDES!$A$7:$H$6703,MATCH($B99,SINAPI_NOV2020_NDES!$A$7:$A$6703,0),3),IF($A99="GOINFRA",INDEX(#REF!,MATCH($B99,#REF!,0),3),(INDEX(COMPOS!$A$4:$G$39000,MATCH($B99,COMPOS!$A$4:A$39000,0),3)))))</f>
        <v>M</v>
      </c>
      <c r="E99" s="280">
        <v>200</v>
      </c>
      <c r="F99" s="279">
        <f>(IF($A99="SINAPI",INDEX(SINAPI_NOV2020_NDES!$A$7:$H$6703,MATCH($B99,SINAPI_NOV2020_NDES!$A$7:$A$6703,0),5),(INDEX(COMPOS!$A$4:$G$801,MATCH($B99,COMPOS!$A$4:A$801,0),4))))</f>
        <v>14.24</v>
      </c>
      <c r="G99" s="279">
        <f>(IF($A99="SINAPI",INDEX(SINAPI_NOV2020_NDES!$A$7:$H$6703,MATCH($B99,SINAPI_NOV2020_NDES!$A$7:$A$6703,0),6),(INDEX(COMPOS!$A$4:$G$801,MATCH($B99,COMPOS!$A$4:A$801,0),5))))</f>
        <v>42.67</v>
      </c>
      <c r="H99" s="280">
        <f>(IF($A99="SINAPI",INDEX(SINAPI_NOV2020_NDES!$A$7:$H$6703,MATCH($B99,SINAPI_NOV2020_NDES!$A$7:$A$6703,0),7),(INDEX(COMPOS!$A$4:$G$801,MATCH($B99,COMPOS!$A$4:A$801,0),6))))</f>
        <v>0</v>
      </c>
      <c r="I99" s="279">
        <f t="shared" ref="I99:I116" si="20">SUM(F99:H99)</f>
        <v>56.910000000000004</v>
      </c>
      <c r="J99" s="276">
        <f t="shared" ref="J99:J116" si="21">+I99*E99</f>
        <v>11382</v>
      </c>
      <c r="K99" s="255"/>
      <c r="L99" s="255"/>
      <c r="M99" s="255"/>
      <c r="N99" s="255"/>
      <c r="O99" s="257"/>
      <c r="P99" s="257"/>
    </row>
    <row r="100" spans="1:16">
      <c r="A100" s="251" t="s">
        <v>6307</v>
      </c>
      <c r="B100" s="283">
        <v>714</v>
      </c>
      <c r="C100" s="282" t="str">
        <f>(IF($A100="SINAPI",INDEX(SINAPI_NOV2020_NDES!$A$7:$H$6703,MATCH($B100,SINAPI_NOV2020_NDES!$A$7:$A$6703,0),2),IF($A100="GOINFRA",INDEX(#REF!,MATCH($B100,#REF!,0),2),(INDEX(COMPOS!$A$4:$G$39000,MATCH($B100,COMPOS!$A$4:A$39000,0),2)))))</f>
        <v>CONECTOR DE COMPRESSÃO FORMATO H PARA CABO 25 A 70 MM2</v>
      </c>
      <c r="D100" s="274" t="str">
        <f>(IF($A100="SINAPI",INDEX(SINAPI_NOV2020_NDES!$A$7:$H$6703,MATCH($B100,SINAPI_NOV2020_NDES!$A$7:$A$6703,0),3),IF($A100="GOINFRA",INDEX(#REF!,MATCH($B100,#REF!,0),3),(INDEX(COMPOS!$A$4:$G$39000,MATCH($B100,COMPOS!$A$4:A$39000,0),3)))))</f>
        <v>UN</v>
      </c>
      <c r="E100" s="280">
        <v>20</v>
      </c>
      <c r="F100" s="279">
        <f>(IF($A100="SINAPI",INDEX(SINAPI_NOV2020_NDES!$A$7:$H$6703,MATCH($B100,SINAPI_NOV2020_NDES!$A$7:$A$6703,0),5),(INDEX(COMPOS!$A$4:$G$801,MATCH($B100,COMPOS!$A$4:A$801,0),4))))</f>
        <v>15.452</v>
      </c>
      <c r="G100" s="279">
        <f>(IF($A100="SINAPI",INDEX(SINAPI_NOV2020_NDES!$A$7:$H$6703,MATCH($B100,SINAPI_NOV2020_NDES!$A$7:$A$6703,0),6),(INDEX(COMPOS!$A$4:$G$801,MATCH($B100,COMPOS!$A$4:A$801,0),5))))</f>
        <v>5.0599999999999996</v>
      </c>
      <c r="H100" s="280">
        <f>(IF($A100="SINAPI",INDEX(SINAPI_NOV2020_NDES!$A$7:$H$6703,MATCH($B100,SINAPI_NOV2020_NDES!$A$7:$A$6703,0),7),(INDEX(COMPOS!$A$4:$G$801,MATCH($B100,COMPOS!$A$4:A$801,0),6))))</f>
        <v>0</v>
      </c>
      <c r="I100" s="279">
        <f t="shared" si="20"/>
        <v>20.512</v>
      </c>
      <c r="J100" s="276">
        <f t="shared" si="21"/>
        <v>410.24</v>
      </c>
      <c r="K100" s="255"/>
      <c r="L100" s="255"/>
      <c r="M100" s="255"/>
      <c r="N100" s="255"/>
      <c r="O100" s="257"/>
      <c r="P100" s="257"/>
    </row>
    <row r="101" spans="1:16">
      <c r="A101" s="251" t="s">
        <v>6307</v>
      </c>
      <c r="B101" s="283">
        <v>42</v>
      </c>
      <c r="C101" s="282" t="str">
        <f>(IF($A101="SINAPI",INDEX(SINAPI_NOV2020_NDES!$A$7:$H$6703,MATCH($B101,SINAPI_NOV2020_NDES!$A$7:$A$6703,0),2),IF($A101="GOINFRA",INDEX(#REF!,MATCH($B101,#REF!,0),2),(INDEX(COMPOS!$A$4:$G$39000,MATCH($B101,COMPOS!$A$4:A$39000,0),2)))))</f>
        <v>SOLDA EXOTÉRMICA TAMANHO 115G</v>
      </c>
      <c r="D101" s="274" t="str">
        <f>(IF($A101="SINAPI",INDEX(SINAPI_NOV2020_NDES!$A$7:$H$6703,MATCH($B101,SINAPI_NOV2020_NDES!$A$7:$A$6703,0),3),IF($A101="GOINFRA",INDEX(#REF!,MATCH($B101,#REF!,0),3),(INDEX(COMPOS!$A$4:$G$39000,MATCH($B101,COMPOS!$A$4:A$39000,0),3)))))</f>
        <v>UN</v>
      </c>
      <c r="E101" s="280">
        <v>30</v>
      </c>
      <c r="F101" s="279">
        <f>(IF($A101="SINAPI",INDEX(SINAPI_NOV2020_NDES!$A$7:$H$6703,MATCH($B101,SINAPI_NOV2020_NDES!$A$7:$A$6703,0),5),(INDEX(COMPOS!$A$4:$G$801,MATCH($B101,COMPOS!$A$4:A$801,0),4))))</f>
        <v>2.1414880000000003</v>
      </c>
      <c r="G101" s="279">
        <f>(IF($A101="SINAPI",INDEX(SINAPI_NOV2020_NDES!$A$7:$H$6703,MATCH($B101,SINAPI_NOV2020_NDES!$A$7:$A$6703,0),6),(INDEX(COMPOS!$A$4:$G$801,MATCH($B101,COMPOS!$A$4:A$801,0),5))))</f>
        <v>7.91</v>
      </c>
      <c r="H101" s="280">
        <f>(IF($A101="SINAPI",INDEX(SINAPI_NOV2020_NDES!$A$7:$H$6703,MATCH($B101,SINAPI_NOV2020_NDES!$A$7:$A$6703,0),7),(INDEX(COMPOS!$A$4:$G$801,MATCH($B101,COMPOS!$A$4:A$801,0),6))))</f>
        <v>0</v>
      </c>
      <c r="I101" s="279">
        <f t="shared" si="20"/>
        <v>10.051488000000001</v>
      </c>
      <c r="J101" s="276">
        <f t="shared" si="21"/>
        <v>301.54464000000002</v>
      </c>
      <c r="K101" s="255"/>
      <c r="L101" s="255"/>
      <c r="M101" s="255"/>
      <c r="N101" s="255"/>
      <c r="O101" s="257"/>
      <c r="P101" s="257"/>
    </row>
    <row r="102" spans="1:16">
      <c r="A102" s="251" t="s">
        <v>6307</v>
      </c>
      <c r="B102" s="283">
        <v>537</v>
      </c>
      <c r="C102" s="282" t="str">
        <f>(IF($A102="SINAPI",INDEX(SINAPI_NOV2020_NDES!$A$7:$H$6703,MATCH($B102,SINAPI_NOV2020_NDES!$A$7:$A$6703,0),2),IF($A102="GOINFRA",INDEX(#REF!,MATCH($B102,#REF!,0),2),(INDEX(COMPOS!$A$4:$G$39000,MATCH($B102,COMPOS!$A$4:A$39000,0),2)))))</f>
        <v>ABRAÇADEIRA TIPO D 1" COM CUNHA</v>
      </c>
      <c r="D102" s="274" t="str">
        <f>(IF($A102="SINAPI",INDEX(SINAPI_NOV2020_NDES!$A$7:$H$6703,MATCH($B102,SINAPI_NOV2020_NDES!$A$7:$A$6703,0),3),IF($A102="GOINFRA",INDEX(#REF!,MATCH($B102,#REF!,0),3),(INDEX(COMPOS!$A$4:$G$39000,MATCH($B102,COMPOS!$A$4:A$39000,0),3)))))</f>
        <v>UN</v>
      </c>
      <c r="E102" s="280">
        <v>40</v>
      </c>
      <c r="F102" s="279">
        <f>(IF($A102="SINAPI",INDEX(SINAPI_NOV2020_NDES!$A$7:$H$6703,MATCH($B102,SINAPI_NOV2020_NDES!$A$7:$A$6703,0),5),(INDEX(COMPOS!$A$4:$G$801,MATCH($B102,COMPOS!$A$4:A$801,0),4))))</f>
        <v>0.38629999999999998</v>
      </c>
      <c r="G102" s="279">
        <f>(IF($A102="SINAPI",INDEX(SINAPI_NOV2020_NDES!$A$7:$H$6703,MATCH($B102,SINAPI_NOV2020_NDES!$A$7:$A$6703,0),6),(INDEX(COMPOS!$A$4:$G$801,MATCH($B102,COMPOS!$A$4:A$801,0),5))))</f>
        <v>0.56999999999999995</v>
      </c>
      <c r="H102" s="280">
        <f>(IF($A102="SINAPI",INDEX(SINAPI_NOV2020_NDES!$A$7:$H$6703,MATCH($B102,SINAPI_NOV2020_NDES!$A$7:$A$6703,0),7),(INDEX(COMPOS!$A$4:$G$801,MATCH($B102,COMPOS!$A$4:A$801,0),6))))</f>
        <v>0</v>
      </c>
      <c r="I102" s="279">
        <f t="shared" si="20"/>
        <v>0.95629999999999993</v>
      </c>
      <c r="J102" s="276">
        <f t="shared" si="21"/>
        <v>38.251999999999995</v>
      </c>
      <c r="K102" s="255"/>
      <c r="L102" s="255"/>
      <c r="M102" s="255"/>
      <c r="N102" s="255"/>
      <c r="O102" s="257"/>
      <c r="P102" s="257"/>
    </row>
    <row r="103" spans="1:16">
      <c r="A103" s="251" t="s">
        <v>6307</v>
      </c>
      <c r="B103" s="283">
        <v>538</v>
      </c>
      <c r="C103" s="282" t="str">
        <f>(IF($A103="SINAPI",INDEX(SINAPI_NOV2020_NDES!$A$7:$H$6703,MATCH($B103,SINAPI_NOV2020_NDES!$A$7:$A$6703,0),2),IF($A103="GOINFRA",INDEX(#REF!,MATCH($B103,#REF!,0),2),(INDEX(COMPOS!$A$4:$G$39000,MATCH($B103,COMPOS!$A$4:A$39000,0),2)))))</f>
        <v>CAIXA DE INSPEÇÃO SUSPENSA</v>
      </c>
      <c r="D103" s="274" t="str">
        <f>(IF($A103="SINAPI",INDEX(SINAPI_NOV2020_NDES!$A$7:$H$6703,MATCH($B103,SINAPI_NOV2020_NDES!$A$7:$A$6703,0),3),IF($A103="GOINFRA",INDEX(#REF!,MATCH($B103,#REF!,0),3),(INDEX(COMPOS!$A$4:$G$39000,MATCH($B103,COMPOS!$A$4:A$39000,0),3)))))</f>
        <v>UN</v>
      </c>
      <c r="E103" s="280">
        <v>8</v>
      </c>
      <c r="F103" s="279">
        <f>(IF($A103="SINAPI",INDEX(SINAPI_NOV2020_NDES!$A$7:$H$6703,MATCH($B103,SINAPI_NOV2020_NDES!$A$7:$A$6703,0),5),(INDEX(COMPOS!$A$4:$G$801,MATCH($B103,COMPOS!$A$4:A$801,0),4))))</f>
        <v>5.7944999999999993</v>
      </c>
      <c r="G103" s="279">
        <f>(IF($A103="SINAPI",INDEX(SINAPI_NOV2020_NDES!$A$7:$H$6703,MATCH($B103,SINAPI_NOV2020_NDES!$A$7:$A$6703,0),6),(INDEX(COMPOS!$A$4:$G$801,MATCH($B103,COMPOS!$A$4:A$801,0),5))))</f>
        <v>76.625</v>
      </c>
      <c r="H103" s="280">
        <f>(IF($A103="SINAPI",INDEX(SINAPI_NOV2020_NDES!$A$7:$H$6703,MATCH($B103,SINAPI_NOV2020_NDES!$A$7:$A$6703,0),7),(INDEX(COMPOS!$A$4:$G$801,MATCH($B103,COMPOS!$A$4:A$801,0),6))))</f>
        <v>0</v>
      </c>
      <c r="I103" s="279">
        <f t="shared" si="20"/>
        <v>82.419499999999999</v>
      </c>
      <c r="J103" s="276">
        <f t="shared" si="21"/>
        <v>659.35599999999999</v>
      </c>
      <c r="K103" s="255"/>
      <c r="L103" s="255"/>
      <c r="M103" s="255"/>
      <c r="N103" s="255"/>
      <c r="O103" s="257"/>
      <c r="P103" s="257"/>
    </row>
    <row r="104" spans="1:16">
      <c r="A104" s="251" t="s">
        <v>6307</v>
      </c>
      <c r="B104" s="283">
        <v>639</v>
      </c>
      <c r="C104" s="282" t="str">
        <f>(IF($A104="SINAPI",INDEX(SINAPI_NOV2020_NDES!$A$7:$H$6703,MATCH($B104,SINAPI_NOV2020_NDES!$A$7:$A$6703,0),2),IF($A104="GOINFRA",INDEX(#REF!,MATCH($B104,#REF!,0),2),(INDEX(COMPOS!$A$4:$G$39000,MATCH($B104,COMPOS!$A$4:A$39000,0),2)))))</f>
        <v>CONJUNTO PARA ESTAIS RÍGIDO + ABRAÇADEIRA 2" 3M</v>
      </c>
      <c r="D104" s="274" t="str">
        <f>(IF($A104="SINAPI",INDEX(SINAPI_NOV2020_NDES!$A$7:$H$6703,MATCH($B104,SINAPI_NOV2020_NDES!$A$7:$A$6703,0),3),IF($A104="GOINFRA",INDEX(#REF!,MATCH($B104,#REF!,0),3),(INDEX(COMPOS!$A$4:$G$39000,MATCH($B104,COMPOS!$A$4:A$39000,0),3)))))</f>
        <v>UN</v>
      </c>
      <c r="E104" s="280">
        <v>4</v>
      </c>
      <c r="F104" s="279">
        <f>(IF($A104="SINAPI",INDEX(SINAPI_NOV2020_NDES!$A$7:$H$6703,MATCH($B104,SINAPI_NOV2020_NDES!$A$7:$A$6703,0),5),(INDEX(COMPOS!$A$4:$G$801,MATCH($B104,COMPOS!$A$4:A$801,0),4))))</f>
        <v>18.001580000000001</v>
      </c>
      <c r="G104" s="279">
        <f>(IF($A104="SINAPI",INDEX(SINAPI_NOV2020_NDES!$A$7:$H$6703,MATCH($B104,SINAPI_NOV2020_NDES!$A$7:$A$6703,0),6),(INDEX(COMPOS!$A$4:$G$801,MATCH($B104,COMPOS!$A$4:A$801,0),5))))</f>
        <v>384.24</v>
      </c>
      <c r="H104" s="280">
        <f>(IF($A104="SINAPI",INDEX(SINAPI_NOV2020_NDES!$A$7:$H$6703,MATCH($B104,SINAPI_NOV2020_NDES!$A$7:$A$6703,0),7),(INDEX(COMPOS!$A$4:$G$801,MATCH($B104,COMPOS!$A$4:A$801,0),6))))</f>
        <v>0</v>
      </c>
      <c r="I104" s="279">
        <f t="shared" si="20"/>
        <v>402.24158</v>
      </c>
      <c r="J104" s="276">
        <f t="shared" si="21"/>
        <v>1608.96632</v>
      </c>
      <c r="K104" s="255"/>
      <c r="L104" s="255"/>
      <c r="M104" s="255"/>
      <c r="N104" s="255"/>
      <c r="O104" s="257"/>
      <c r="P104" s="257"/>
    </row>
    <row r="105" spans="1:16">
      <c r="A105" s="251" t="s">
        <v>6307</v>
      </c>
      <c r="B105" s="283">
        <v>541</v>
      </c>
      <c r="C105" s="282" t="str">
        <f>(IF($A105="SINAPI",INDEX(SINAPI_NOV2020_NDES!$A$7:$H$6703,MATCH($B105,SINAPI_NOV2020_NDES!$A$7:$A$6703,0),2),IF($A105="GOINFRA",INDEX(#REF!,MATCH($B105,#REF!,0),2),(INDEX(COMPOS!$A$4:$G$39000,MATCH($B105,COMPOS!$A$4:A$39000,0),2)))))</f>
        <v>ABRACADEIRA-GUIA REFORCADA 2" DUAS DESCIDAS</v>
      </c>
      <c r="D105" s="274" t="str">
        <f>(IF($A105="SINAPI",INDEX(SINAPI_NOV2020_NDES!$A$7:$H$6703,MATCH($B105,SINAPI_NOV2020_NDES!$A$7:$A$6703,0),3),IF($A105="GOINFRA",INDEX(#REF!,MATCH($B105,#REF!,0),3),(INDEX(COMPOS!$A$4:$G$39000,MATCH($B105,COMPOS!$A$4:A$39000,0),3)))))</f>
        <v>UN</v>
      </c>
      <c r="E105" s="280">
        <v>4</v>
      </c>
      <c r="F105" s="279">
        <f>(IF($A105="SINAPI",INDEX(SINAPI_NOV2020_NDES!$A$7:$H$6703,MATCH($B105,SINAPI_NOV2020_NDES!$A$7:$A$6703,0),5),(INDEX(COMPOS!$A$4:$G$801,MATCH($B105,COMPOS!$A$4:A$801,0),4))))</f>
        <v>12.222532000000001</v>
      </c>
      <c r="G105" s="279">
        <f>(IF($A105="SINAPI",INDEX(SINAPI_NOV2020_NDES!$A$7:$H$6703,MATCH($B105,SINAPI_NOV2020_NDES!$A$7:$A$6703,0),6),(INDEX(COMPOS!$A$4:$G$801,MATCH($B105,COMPOS!$A$4:A$801,0),5))))</f>
        <v>63.305</v>
      </c>
      <c r="H105" s="280">
        <f>(IF($A105="SINAPI",INDEX(SINAPI_NOV2020_NDES!$A$7:$H$6703,MATCH($B105,SINAPI_NOV2020_NDES!$A$7:$A$6703,0),7),(INDEX(COMPOS!$A$4:$G$801,MATCH($B105,COMPOS!$A$4:A$801,0),6))))</f>
        <v>0</v>
      </c>
      <c r="I105" s="279">
        <f t="shared" si="20"/>
        <v>75.527532000000008</v>
      </c>
      <c r="J105" s="276">
        <f t="shared" si="21"/>
        <v>302.11012800000003</v>
      </c>
      <c r="K105" s="255"/>
      <c r="L105" s="255"/>
      <c r="M105" s="255"/>
      <c r="N105" s="255"/>
      <c r="O105" s="257"/>
      <c r="P105" s="257"/>
    </row>
    <row r="106" spans="1:16">
      <c r="A106" s="251" t="s">
        <v>6307</v>
      </c>
      <c r="B106" s="283">
        <v>771</v>
      </c>
      <c r="C106" s="282" t="str">
        <f>(IF($A106="SINAPI",INDEX(SINAPI_NOV2020_NDES!$A$7:$H$6703,MATCH($B106,SINAPI_NOV2020_NDES!$A$7:$A$6703,0),2),IF($A106="GOINFRA",INDEX(#REF!,MATCH($B106,#REF!,0),2),(INDEX(COMPOS!$A$4:$G$39000,MATCH($B106,COMPOS!$A$4:A$39000,0),2)))))</f>
        <v>BASE METÁLICA PARA MASTRO 2"</v>
      </c>
      <c r="D106" s="274" t="str">
        <f>(IF($A106="SINAPI",INDEX(SINAPI_NOV2020_NDES!$A$7:$H$6703,MATCH($B106,SINAPI_NOV2020_NDES!$A$7:$A$6703,0),3),IF($A106="GOINFRA",INDEX(#REF!,MATCH($B106,#REF!,0),3),(INDEX(COMPOS!$A$4:$G$39000,MATCH($B106,COMPOS!$A$4:A$39000,0),3)))))</f>
        <v>UN</v>
      </c>
      <c r="E106" s="280">
        <v>4</v>
      </c>
      <c r="F106" s="279">
        <f>(IF($A106="SINAPI",INDEX(SINAPI_NOV2020_NDES!$A$7:$H$6703,MATCH($B106,SINAPI_NOV2020_NDES!$A$7:$A$6703,0),5),(INDEX(COMPOS!$A$4:$G$801,MATCH($B106,COMPOS!$A$4:A$801,0),4))))</f>
        <v>51.505378999999991</v>
      </c>
      <c r="G106" s="279">
        <f>(IF($A106="SINAPI",INDEX(SINAPI_NOV2020_NDES!$A$7:$H$6703,MATCH($B106,SINAPI_NOV2020_NDES!$A$7:$A$6703,0),6),(INDEX(COMPOS!$A$4:$G$801,MATCH($B106,COMPOS!$A$4:A$801,0),5))))</f>
        <v>65.47</v>
      </c>
      <c r="H106" s="280">
        <f>(IF($A106="SINAPI",INDEX(SINAPI_NOV2020_NDES!$A$7:$H$6703,MATCH($B106,SINAPI_NOV2020_NDES!$A$7:$A$6703,0),7),(INDEX(COMPOS!$A$4:$G$801,MATCH($B106,COMPOS!$A$4:A$801,0),6))))</f>
        <v>0</v>
      </c>
      <c r="I106" s="279">
        <f t="shared" si="20"/>
        <v>116.97537899999999</v>
      </c>
      <c r="J106" s="276">
        <f t="shared" si="21"/>
        <v>467.90151599999996</v>
      </c>
      <c r="K106" s="255"/>
      <c r="L106" s="255"/>
      <c r="M106" s="255"/>
      <c r="N106" s="255"/>
      <c r="O106" s="257"/>
      <c r="P106" s="257"/>
    </row>
    <row r="107" spans="1:16">
      <c r="A107" s="251" t="s">
        <v>6307</v>
      </c>
      <c r="B107" s="283">
        <v>640</v>
      </c>
      <c r="C107" s="282" t="str">
        <f>(IF($A107="SINAPI",INDEX(SINAPI_NOV2020_NDES!$A$7:$H$6703,MATCH($B107,SINAPI_NOV2020_NDES!$A$7:$A$6703,0),2),IF($A107="GOINFRA",INDEX(#REF!,MATCH($B107,#REF!,0),2),(INDEX(COMPOS!$A$4:$G$39000,MATCH($B107,COMPOS!$A$4:A$39000,0),2)))))</f>
        <v>CONJUNTO PARA ESTAIS RÍGIDO + ABRAÇADEIRA 2" 3M</v>
      </c>
      <c r="D107" s="274" t="str">
        <f>(IF($A107="SINAPI",INDEX(SINAPI_NOV2020_NDES!$A$7:$H$6703,MATCH($B107,SINAPI_NOV2020_NDES!$A$7:$A$6703,0),3),IF($A107="GOINFRA",INDEX(#REF!,MATCH($B107,#REF!,0),3),(INDEX(COMPOS!$A$4:$G$39000,MATCH($B107,COMPOS!$A$4:A$39000,0),3)))))</f>
        <v>UN</v>
      </c>
      <c r="E107" s="280">
        <v>16</v>
      </c>
      <c r="F107" s="279">
        <f>(IF($A107="SINAPI",INDEX(SINAPI_NOV2020_NDES!$A$7:$H$6703,MATCH($B107,SINAPI_NOV2020_NDES!$A$7:$A$6703,0),5),(INDEX(COMPOS!$A$4:$G$801,MATCH($B107,COMPOS!$A$4:A$801,0),4))))</f>
        <v>12.462038</v>
      </c>
      <c r="G107" s="279">
        <f>(IF($A107="SINAPI",INDEX(SINAPI_NOV2020_NDES!$A$7:$H$6703,MATCH($B107,SINAPI_NOV2020_NDES!$A$7:$A$6703,0),6),(INDEX(COMPOS!$A$4:$G$801,MATCH($B107,COMPOS!$A$4:A$801,0),5))))</f>
        <v>222.64000000000001</v>
      </c>
      <c r="H107" s="280">
        <f>(IF($A107="SINAPI",INDEX(SINAPI_NOV2020_NDES!$A$7:$H$6703,MATCH($B107,SINAPI_NOV2020_NDES!$A$7:$A$6703,0),7),(INDEX(COMPOS!$A$4:$G$801,MATCH($B107,COMPOS!$A$4:A$801,0),6))))</f>
        <v>0</v>
      </c>
      <c r="I107" s="279">
        <f t="shared" si="20"/>
        <v>235.10203800000002</v>
      </c>
      <c r="J107" s="276">
        <f t="shared" si="21"/>
        <v>3761.6326080000003</v>
      </c>
      <c r="K107" s="255"/>
      <c r="L107" s="255"/>
      <c r="M107" s="255"/>
      <c r="N107" s="255"/>
      <c r="O107" s="257"/>
      <c r="P107" s="257"/>
    </row>
    <row r="108" spans="1:16" ht="24">
      <c r="A108" s="251" t="s">
        <v>7</v>
      </c>
      <c r="B108" s="283">
        <v>96985</v>
      </c>
      <c r="C108" s="282" t="str">
        <f>(IF($A108="SINAPI",INDEX(SINAPI_NOV2020_NDES!$A$7:$H$6703,MATCH($B108,SINAPI_NOV2020_NDES!$A$7:$A$6703,0),2),IF($A108="GOINFRA",INDEX(#REF!,MATCH($B108,#REF!,0),2),(INDEX(COMPOS!$A$4:$G$39000,MATCH($B108,COMPOS!$A$4:A$39000,0),2)))))</f>
        <v>HASTE DE ATERRAMENTO 5/8  PARA SPDA - FORNECIMENTO E INSTALAÇÃO. AF_12/2017</v>
      </c>
      <c r="D108" s="274" t="str">
        <f>(IF($A108="SINAPI",INDEX(SINAPI_NOV2020_NDES!$A$7:$H$6703,MATCH($B108,SINAPI_NOV2020_NDES!$A$7:$A$6703,0),3),IF($A108="GOINFRA",INDEX(#REF!,MATCH($B108,#REF!,0),3),(INDEX(COMPOS!$A$4:$G$39000,MATCH($B108,COMPOS!$A$4:A$39000,0),3)))))</f>
        <v>UN</v>
      </c>
      <c r="E108" s="280">
        <v>21</v>
      </c>
      <c r="F108" s="279">
        <f>(IF($A108="SINAPI",INDEX(SINAPI_NOV2020_NDES!$A$7:$H$6703,MATCH($B108,SINAPI_NOV2020_NDES!$A$7:$A$6703,0),5),(INDEX(COMPOS!$A$4:$G$801,MATCH($B108,COMPOS!$A$4:A$801,0),4))))</f>
        <v>7.44</v>
      </c>
      <c r="G108" s="279">
        <f>(IF($A108="SINAPI",INDEX(SINAPI_NOV2020_NDES!$A$7:$H$6703,MATCH($B108,SINAPI_NOV2020_NDES!$A$7:$A$6703,0),6),(INDEX(COMPOS!$A$4:$G$801,MATCH($B108,COMPOS!$A$4:A$801,0),5))))</f>
        <v>38.17</v>
      </c>
      <c r="H108" s="280">
        <f>(IF($A108="SINAPI",INDEX(SINAPI_NOV2020_NDES!$A$7:$H$6703,MATCH($B108,SINAPI_NOV2020_NDES!$A$7:$A$6703,0),7),(INDEX(COMPOS!$A$4:$G$801,MATCH($B108,COMPOS!$A$4:A$801,0),6))))</f>
        <v>0</v>
      </c>
      <c r="I108" s="279">
        <f t="shared" si="20"/>
        <v>45.61</v>
      </c>
      <c r="J108" s="276">
        <f t="shared" si="21"/>
        <v>957.81</v>
      </c>
      <c r="K108" s="255"/>
      <c r="L108" s="255"/>
      <c r="M108" s="255"/>
      <c r="N108" s="255"/>
      <c r="O108" s="257"/>
      <c r="P108" s="257"/>
    </row>
    <row r="109" spans="1:16">
      <c r="A109" s="251" t="s">
        <v>6307</v>
      </c>
      <c r="B109" s="283">
        <v>471</v>
      </c>
      <c r="C109" s="282" t="str">
        <f>(IF($A109="SINAPI",INDEX(SINAPI_NOV2020_NDES!$A$7:$H$6703,MATCH($B109,SINAPI_NOV2020_NDES!$A$7:$A$6703,0),2),IF($A109="GOINFRA",INDEX(#REF!,MATCH($B109,#REF!,0),2),(INDEX(COMPOS!$A$4:$G$39000,MATCH($B109,COMPOS!$A$4:A$39000,0),2)))))</f>
        <v>CAIXA DE PASSAGEM 20X20X25 FUNDO BRITA COM TAMPA</v>
      </c>
      <c r="D109" s="274" t="str">
        <f>(IF($A109="SINAPI",INDEX(SINAPI_NOV2020_NDES!$A$7:$H$6703,MATCH($B109,SINAPI_NOV2020_NDES!$A$7:$A$6703,0),3),IF($A109="GOINFRA",INDEX(#REF!,MATCH($B109,#REF!,0),3),(INDEX(COMPOS!$A$4:$G$39000,MATCH($B109,COMPOS!$A$4:A$39000,0),3)))))</f>
        <v>UN</v>
      </c>
      <c r="E109" s="280">
        <v>21</v>
      </c>
      <c r="F109" s="279">
        <f>(IF($A109="SINAPI",INDEX(SINAPI_NOV2020_NDES!$A$7:$H$6703,MATCH($B109,SINAPI_NOV2020_NDES!$A$7:$A$6703,0),5),(INDEX(COMPOS!$A$4:$G$801,MATCH($B109,COMPOS!$A$4:A$801,0),4))))</f>
        <v>39.464161000000004</v>
      </c>
      <c r="G109" s="279">
        <f>(IF($A109="SINAPI",INDEX(SINAPI_NOV2020_NDES!$A$7:$H$6703,MATCH($B109,SINAPI_NOV2020_NDES!$A$7:$A$6703,0),6),(INDEX(COMPOS!$A$4:$G$801,MATCH($B109,COMPOS!$A$4:A$801,0),5))))</f>
        <v>28.903701999999999</v>
      </c>
      <c r="H109" s="280">
        <f>(IF($A109="SINAPI",INDEX(SINAPI_NOV2020_NDES!$A$7:$H$6703,MATCH($B109,SINAPI_NOV2020_NDES!$A$7:$A$6703,0),7),(INDEX(COMPOS!$A$4:$G$801,MATCH($B109,COMPOS!$A$4:A$801,0),6))))</f>
        <v>0</v>
      </c>
      <c r="I109" s="279">
        <f t="shared" si="20"/>
        <v>68.367863</v>
      </c>
      <c r="J109" s="276">
        <f t="shared" si="21"/>
        <v>1435.7251229999999</v>
      </c>
      <c r="K109" s="255"/>
      <c r="L109" s="255"/>
      <c r="M109" s="255"/>
      <c r="N109" s="255"/>
      <c r="O109" s="257"/>
      <c r="P109" s="257"/>
    </row>
    <row r="110" spans="1:16" ht="24">
      <c r="A110" s="251" t="s">
        <v>7</v>
      </c>
      <c r="B110" s="283">
        <v>96989</v>
      </c>
      <c r="C110" s="282" t="str">
        <f>(IF($A110="SINAPI",INDEX(SINAPI_NOV2020_NDES!$A$7:$H$6703,MATCH($B110,SINAPI_NOV2020_NDES!$A$7:$A$6703,0),2),IF($A110="GOINFRA",INDEX(#REF!,MATCH($B110,#REF!,0),2),(INDEX(COMPOS!$A$4:$G$39000,MATCH($B110,COMPOS!$A$4:A$39000,0),2)))))</f>
        <v>CAPTOR TIPO FRANKLIN PARA SPDA - FORNECIMENTO E INSTALAÇÃO. AF_12/2017</v>
      </c>
      <c r="D110" s="274" t="str">
        <f>(IF($A110="SINAPI",INDEX(SINAPI_NOV2020_NDES!$A$7:$H$6703,MATCH($B110,SINAPI_NOV2020_NDES!$A$7:$A$6703,0),3),IF($A110="GOINFRA",INDEX(#REF!,MATCH($B110,#REF!,0),3),(INDEX(COMPOS!$A$4:$G$39000,MATCH($B110,COMPOS!$A$4:A$39000,0),3)))))</f>
        <v>UN</v>
      </c>
      <c r="E110" s="280">
        <v>4</v>
      </c>
      <c r="F110" s="279">
        <f>(IF($A110="SINAPI",INDEX(SINAPI_NOV2020_NDES!$A$7:$H$6703,MATCH($B110,SINAPI_NOV2020_NDES!$A$7:$A$6703,0),5),(INDEX(COMPOS!$A$4:$G$801,MATCH($B110,COMPOS!$A$4:A$801,0),4))))</f>
        <v>3.7</v>
      </c>
      <c r="G110" s="279">
        <f>(IF($A110="SINAPI",INDEX(SINAPI_NOV2020_NDES!$A$7:$H$6703,MATCH($B110,SINAPI_NOV2020_NDES!$A$7:$A$6703,0),6),(INDEX(COMPOS!$A$4:$G$801,MATCH($B110,COMPOS!$A$4:A$801,0),5))))</f>
        <v>89.17</v>
      </c>
      <c r="H110" s="280">
        <f>(IF($A110="SINAPI",INDEX(SINAPI_NOV2020_NDES!$A$7:$H$6703,MATCH($B110,SINAPI_NOV2020_NDES!$A$7:$A$6703,0),7),(INDEX(COMPOS!$A$4:$G$801,MATCH($B110,COMPOS!$A$4:A$801,0),6))))</f>
        <v>0</v>
      </c>
      <c r="I110" s="279">
        <f t="shared" si="20"/>
        <v>92.87</v>
      </c>
      <c r="J110" s="276">
        <f t="shared" si="21"/>
        <v>371.48</v>
      </c>
      <c r="K110" s="255"/>
      <c r="L110" s="255"/>
      <c r="M110" s="255"/>
      <c r="N110" s="255"/>
      <c r="O110" s="257"/>
      <c r="P110" s="257"/>
    </row>
    <row r="111" spans="1:16">
      <c r="A111" s="251" t="s">
        <v>6307</v>
      </c>
      <c r="B111" s="283">
        <v>536</v>
      </c>
      <c r="C111" s="282" t="str">
        <f>(IF($A111="SINAPI",INDEX(SINAPI_NOV2020_NDES!$A$7:$H$6703,MATCH($B111,SINAPI_NOV2020_NDES!$A$7:$A$6703,0),2),IF($A111="GOINFRA",INDEX(#REF!,MATCH($B111,#REF!,0),2),(INDEX(COMPOS!$A$4:$G$39000,MATCH($B111,COMPOS!$A$4:A$39000,0),2)))))</f>
        <v>PARAFUSO SEXTAVADO D=1/4" X 5/8" COM BUCHA S-11</v>
      </c>
      <c r="D111" s="274" t="str">
        <f>(IF($A111="SINAPI",INDEX(SINAPI_NOV2020_NDES!$A$7:$H$6703,MATCH($B111,SINAPI_NOV2020_NDES!$A$7:$A$6703,0),3),IF($A111="GOINFRA",INDEX(#REF!,MATCH($B111,#REF!,0),3),(INDEX(COMPOS!$A$4:$G$39000,MATCH($B111,COMPOS!$A$4:A$39000,0),3)))))</f>
        <v>UN</v>
      </c>
      <c r="E111" s="280">
        <v>300</v>
      </c>
      <c r="F111" s="279">
        <f>(IF($A111="SINAPI",INDEX(SINAPI_NOV2020_NDES!$A$7:$H$6703,MATCH($B111,SINAPI_NOV2020_NDES!$A$7:$A$6703,0),5),(INDEX(COMPOS!$A$4:$G$801,MATCH($B111,COMPOS!$A$4:A$801,0),4))))</f>
        <v>1.027558</v>
      </c>
      <c r="G111" s="279">
        <f>(IF($A111="SINAPI",INDEX(SINAPI_NOV2020_NDES!$A$7:$H$6703,MATCH($B111,SINAPI_NOV2020_NDES!$A$7:$A$6703,0),6),(INDEX(COMPOS!$A$4:$G$801,MATCH($B111,COMPOS!$A$4:A$801,0),5))))</f>
        <v>0.48</v>
      </c>
      <c r="H111" s="280">
        <f>(IF($A111="SINAPI",INDEX(SINAPI_NOV2020_NDES!$A$7:$H$6703,MATCH($B111,SINAPI_NOV2020_NDES!$A$7:$A$6703,0),7),(INDEX(COMPOS!$A$4:$G$801,MATCH($B111,COMPOS!$A$4:A$801,0),6))))</f>
        <v>0</v>
      </c>
      <c r="I111" s="279">
        <f t="shared" si="20"/>
        <v>1.507558</v>
      </c>
      <c r="J111" s="276">
        <f t="shared" si="21"/>
        <v>452.26740000000001</v>
      </c>
      <c r="K111" s="255"/>
      <c r="L111" s="255"/>
      <c r="M111" s="255"/>
      <c r="N111" s="255"/>
      <c r="O111" s="257"/>
      <c r="P111" s="257"/>
    </row>
    <row r="112" spans="1:16" ht="24">
      <c r="A112" s="251" t="s">
        <v>7</v>
      </c>
      <c r="B112" s="283">
        <v>95731</v>
      </c>
      <c r="C112" s="282" t="str">
        <f>(IF($A112="SINAPI",INDEX(SINAPI_NOV2020_NDES!$A$7:$H$6703,MATCH($B112,SINAPI_NOV2020_NDES!$A$7:$A$6703,0),2),IF($A112="GOINFRA",INDEX(#REF!,MATCH($B112,#REF!,0),2),(INDEX(COMPOS!$A$4:$G$39000,MATCH($B112,COMPOS!$A$4:A$39000,0),2)))))</f>
        <v>ELETRODUTO RÍGIDO SOLDÁVEL, PVC, DN 32 MM (1), APARENTE, INSTALADO EM PAREDE - FORNECIMENTO E INSTALAÇÃO. AF_11/2016_P</v>
      </c>
      <c r="D112" s="274" t="str">
        <f>(IF($A112="SINAPI",INDEX(SINAPI_NOV2020_NDES!$A$7:$H$6703,MATCH($B112,SINAPI_NOV2020_NDES!$A$7:$A$6703,0),3),IF($A112="GOINFRA",INDEX(#REF!,MATCH($B112,#REF!,0),3),(INDEX(COMPOS!$A$4:$G$39000,MATCH($B112,COMPOS!$A$4:A$39000,0),3)))))</f>
        <v>M</v>
      </c>
      <c r="E112" s="280">
        <v>20</v>
      </c>
      <c r="F112" s="279">
        <f>(IF($A112="SINAPI",INDEX(SINAPI_NOV2020_NDES!$A$7:$H$6703,MATCH($B112,SINAPI_NOV2020_NDES!$A$7:$A$6703,0),5),(INDEX(COMPOS!$A$4:$G$801,MATCH($B112,COMPOS!$A$4:A$801,0),4))))</f>
        <v>4.1100000000000003</v>
      </c>
      <c r="G112" s="279">
        <f>(IF($A112="SINAPI",INDEX(SINAPI_NOV2020_NDES!$A$7:$H$6703,MATCH($B112,SINAPI_NOV2020_NDES!$A$7:$A$6703,0),6),(INDEX(COMPOS!$A$4:$G$801,MATCH($B112,COMPOS!$A$4:A$801,0),5))))</f>
        <v>3.63</v>
      </c>
      <c r="H112" s="280">
        <f>(IF($A112="SINAPI",INDEX(SINAPI_NOV2020_NDES!$A$7:$H$6703,MATCH($B112,SINAPI_NOV2020_NDES!$A$7:$A$6703,0),7),(INDEX(COMPOS!$A$4:$G$801,MATCH($B112,COMPOS!$A$4:A$801,0),6))))</f>
        <v>0</v>
      </c>
      <c r="I112" s="279">
        <f t="shared" si="20"/>
        <v>7.74</v>
      </c>
      <c r="J112" s="276">
        <f t="shared" si="21"/>
        <v>154.80000000000001</v>
      </c>
      <c r="K112" s="255"/>
      <c r="L112" s="255"/>
      <c r="M112" s="255"/>
      <c r="N112" s="255"/>
      <c r="O112" s="257"/>
      <c r="P112" s="257"/>
    </row>
    <row r="113" spans="1:16">
      <c r="A113" s="251" t="s">
        <v>6307</v>
      </c>
      <c r="B113" s="283">
        <v>776</v>
      </c>
      <c r="C113" s="282" t="str">
        <f>(IF($A113="SINAPI",INDEX(SINAPI_NOV2020_NDES!$A$7:$H$6703,MATCH($B113,SINAPI_NOV2020_NDES!$A$7:$A$6703,0),2),IF($A113="GOINFRA",INDEX(#REF!,MATCH($B113,#REF!,0),2),(INDEX(COMPOS!$A$4:$G$39000,MATCH($B113,COMPOS!$A$4:A$39000,0),2)))))</f>
        <v>SUPORTE ISOLADOR SIMPLES</v>
      </c>
      <c r="D113" s="274" t="str">
        <f>(IF($A113="SINAPI",INDEX(SINAPI_NOV2020_NDES!$A$7:$H$6703,MATCH($B113,SINAPI_NOV2020_NDES!$A$7:$A$6703,0),3),IF($A113="GOINFRA",INDEX(#REF!,MATCH($B113,#REF!,0),3),(INDEX(COMPOS!$A$4:$G$39000,MATCH($B113,COMPOS!$A$4:A$39000,0),3)))))</f>
        <v>UN</v>
      </c>
      <c r="E113" s="280">
        <v>150</v>
      </c>
      <c r="F113" s="279">
        <f>(IF($A113="SINAPI",INDEX(SINAPI_NOV2020_NDES!$A$7:$H$6703,MATCH($B113,SINAPI_NOV2020_NDES!$A$7:$A$6703,0),5),(INDEX(COMPOS!$A$4:$G$801,MATCH($B113,COMPOS!$A$4:A$801,0),4))))</f>
        <v>13.520499999999998</v>
      </c>
      <c r="G113" s="279">
        <f>(IF($A113="SINAPI",INDEX(SINAPI_NOV2020_NDES!$A$7:$H$6703,MATCH($B113,SINAPI_NOV2020_NDES!$A$7:$A$6703,0),6),(INDEX(COMPOS!$A$4:$G$801,MATCH($B113,COMPOS!$A$4:A$801,0),5))))</f>
        <v>5.38</v>
      </c>
      <c r="H113" s="280">
        <f>(IF($A113="SINAPI",INDEX(SINAPI_NOV2020_NDES!$A$7:$H$6703,MATCH($B113,SINAPI_NOV2020_NDES!$A$7:$A$6703,0),7),(INDEX(COMPOS!$A$4:$G$801,MATCH($B113,COMPOS!$A$4:A$801,0),6))))</f>
        <v>0</v>
      </c>
      <c r="I113" s="279">
        <f t="shared" si="20"/>
        <v>18.900499999999997</v>
      </c>
      <c r="J113" s="276">
        <f t="shared" si="21"/>
        <v>2835.0749999999998</v>
      </c>
      <c r="K113" s="255"/>
      <c r="L113" s="255"/>
      <c r="M113" s="255"/>
      <c r="N113" s="255"/>
      <c r="O113" s="257"/>
      <c r="P113" s="257"/>
    </row>
    <row r="114" spans="1:16">
      <c r="A114" s="251" t="s">
        <v>6307</v>
      </c>
      <c r="B114" s="283">
        <v>542</v>
      </c>
      <c r="C114" s="282" t="str">
        <f>(IF($A114="SINAPI",INDEX(SINAPI_NOV2020_NDES!$A$7:$H$6703,MATCH($B114,SINAPI_NOV2020_NDES!$A$7:$A$6703,0),2),IF($A114="GOINFRA",INDEX(#REF!,MATCH($B114,#REF!,0),2),(INDEX(COMPOS!$A$4:$G$39000,MATCH($B114,COMPOS!$A$4:A$39000,0),2)))))</f>
        <v>SUPORTE ISOLADOR SIMPLES PARA BEIRAL</v>
      </c>
      <c r="D114" s="274" t="str">
        <f>(IF($A114="SINAPI",INDEX(SINAPI_NOV2020_NDES!$A$7:$H$6703,MATCH($B114,SINAPI_NOV2020_NDES!$A$7:$A$6703,0),3),IF($A114="GOINFRA",INDEX(#REF!,MATCH($B114,#REF!,0),3),(INDEX(COMPOS!$A$4:$G$39000,MATCH($B114,COMPOS!$A$4:A$39000,0),3)))))</f>
        <v>UN</v>
      </c>
      <c r="E114" s="280">
        <v>8</v>
      </c>
      <c r="F114" s="279">
        <f>(IF($A114="SINAPI",INDEX(SINAPI_NOV2020_NDES!$A$7:$H$6703,MATCH($B114,SINAPI_NOV2020_NDES!$A$7:$A$6703,0),5),(INDEX(COMPOS!$A$4:$G$801,MATCH($B114,COMPOS!$A$4:A$801,0),4))))</f>
        <v>13.520499999999998</v>
      </c>
      <c r="G114" s="279">
        <f>(IF($A114="SINAPI",INDEX(SINAPI_NOV2020_NDES!$A$7:$H$6703,MATCH($B114,SINAPI_NOV2020_NDES!$A$7:$A$6703,0),6),(INDEX(COMPOS!$A$4:$G$801,MATCH($B114,COMPOS!$A$4:A$801,0),5))))</f>
        <v>52.99</v>
      </c>
      <c r="H114" s="280">
        <f>(IF($A114="SINAPI",INDEX(SINAPI_NOV2020_NDES!$A$7:$H$6703,MATCH($B114,SINAPI_NOV2020_NDES!$A$7:$A$6703,0),7),(INDEX(COMPOS!$A$4:$G$801,MATCH($B114,COMPOS!$A$4:A$801,0),6))))</f>
        <v>0</v>
      </c>
      <c r="I114" s="279">
        <f t="shared" si="20"/>
        <v>66.510500000000008</v>
      </c>
      <c r="J114" s="276">
        <f t="shared" si="21"/>
        <v>532.08400000000006</v>
      </c>
      <c r="K114" s="255"/>
      <c r="L114" s="255"/>
      <c r="M114" s="255"/>
      <c r="N114" s="255"/>
      <c r="O114" s="257"/>
      <c r="P114" s="257"/>
    </row>
    <row r="115" spans="1:16">
      <c r="A115" s="251" t="s">
        <v>6307</v>
      </c>
      <c r="B115" s="283">
        <v>543</v>
      </c>
      <c r="C115" s="282" t="str">
        <f>(IF($A115="SINAPI",INDEX(SINAPI_NOV2020_NDES!$A$7:$H$6703,MATCH($B115,SINAPI_NOV2020_NDES!$A$7:$A$6703,0),2),IF($A115="GOINFRA",INDEX(#REF!,MATCH($B115,#REF!,0),2),(INDEX(COMPOS!$A$4:$G$39000,MATCH($B115,COMPOS!$A$4:A$39000,0),2)))))</f>
        <v>TERMINAL AÉREO 5/8" X 350MM</v>
      </c>
      <c r="D115" s="274" t="str">
        <f>(IF($A115="SINAPI",INDEX(SINAPI_NOV2020_NDES!$A$7:$H$6703,MATCH($B115,SINAPI_NOV2020_NDES!$A$7:$A$6703,0),3),IF($A115="GOINFRA",INDEX(#REF!,MATCH($B115,#REF!,0),3),(INDEX(COMPOS!$A$4:$G$39000,MATCH($B115,COMPOS!$A$4:A$39000,0),3)))))</f>
        <v>UN</v>
      </c>
      <c r="E115" s="280">
        <v>36</v>
      </c>
      <c r="F115" s="279">
        <f>(IF($A115="SINAPI",INDEX(SINAPI_NOV2020_NDES!$A$7:$H$6703,MATCH($B115,SINAPI_NOV2020_NDES!$A$7:$A$6703,0),5),(INDEX(COMPOS!$A$4:$G$801,MATCH($B115,COMPOS!$A$4:A$801,0),4))))</f>
        <v>13.520499999999998</v>
      </c>
      <c r="G115" s="279">
        <f>(IF($A115="SINAPI",INDEX(SINAPI_NOV2020_NDES!$A$7:$H$6703,MATCH($B115,SINAPI_NOV2020_NDES!$A$7:$A$6703,0),6),(INDEX(COMPOS!$A$4:$G$801,MATCH($B115,COMPOS!$A$4:A$801,0),5))))</f>
        <v>9.27</v>
      </c>
      <c r="H115" s="280">
        <f>(IF($A115="SINAPI",INDEX(SINAPI_NOV2020_NDES!$A$7:$H$6703,MATCH($B115,SINAPI_NOV2020_NDES!$A$7:$A$6703,0),7),(INDEX(COMPOS!$A$4:$G$801,MATCH($B115,COMPOS!$A$4:A$801,0),6))))</f>
        <v>0</v>
      </c>
      <c r="I115" s="279">
        <f t="shared" si="20"/>
        <v>22.790499999999998</v>
      </c>
      <c r="J115" s="276">
        <f t="shared" si="21"/>
        <v>820.45799999999997</v>
      </c>
      <c r="K115" s="255"/>
      <c r="L115" s="255"/>
      <c r="M115" s="255"/>
      <c r="N115" s="255"/>
      <c r="O115" s="257"/>
      <c r="P115" s="257"/>
    </row>
    <row r="116" spans="1:16">
      <c r="A116" s="251" t="s">
        <v>6307</v>
      </c>
      <c r="B116" s="283">
        <v>544</v>
      </c>
      <c r="C116" s="282" t="str">
        <f>(IF($A116="SINAPI",INDEX(SINAPI_NOV2020_NDES!$A$7:$H$6703,MATCH($B116,SINAPI_NOV2020_NDES!$A$7:$A$6703,0),2),IF($A116="GOINFRA",INDEX(#REF!,MATCH($B116,#REF!,0),2),(INDEX(COMPOS!$A$4:$G$39000,MATCH($B116,COMPOS!$A$4:A$39000,0),2)))))</f>
        <v>MASTRO TELESCÓPICO 5M (4M X ∅ 2" + 1M X ∅ 1.1/2")</v>
      </c>
      <c r="D116" s="274" t="str">
        <f>(IF($A116="SINAPI",INDEX(SINAPI_NOV2020_NDES!$A$7:$H$6703,MATCH($B116,SINAPI_NOV2020_NDES!$A$7:$A$6703,0),3),IF($A116="GOINFRA",INDEX(#REF!,MATCH($B116,#REF!,0),3),(INDEX(COMPOS!$A$4:$G$39000,MATCH($B116,COMPOS!$A$4:A$39000,0),3)))))</f>
        <v>UN</v>
      </c>
      <c r="E116" s="280">
        <v>4</v>
      </c>
      <c r="F116" s="279">
        <f>(IF($A116="SINAPI",INDEX(SINAPI_NOV2020_NDES!$A$7:$H$6703,MATCH($B116,SINAPI_NOV2020_NDES!$A$7:$A$6703,0),5),(INDEX(COMPOS!$A$4:$G$801,MATCH($B116,COMPOS!$A$4:A$801,0),4))))</f>
        <v>21.645972999999998</v>
      </c>
      <c r="G116" s="279">
        <f>(IF($A116="SINAPI",INDEX(SINAPI_NOV2020_NDES!$A$7:$H$6703,MATCH($B116,SINAPI_NOV2020_NDES!$A$7:$A$6703,0),6),(INDEX(COMPOS!$A$4:$G$801,MATCH($B116,COMPOS!$A$4:A$801,0),5))))</f>
        <v>399.61157259999999</v>
      </c>
      <c r="H116" s="280">
        <f>(IF($A116="SINAPI",INDEX(SINAPI_NOV2020_NDES!$A$7:$H$6703,MATCH($B116,SINAPI_NOV2020_NDES!$A$7:$A$6703,0),7),(INDEX(COMPOS!$A$4:$G$801,MATCH($B116,COMPOS!$A$4:A$801,0),6))))</f>
        <v>0</v>
      </c>
      <c r="I116" s="279">
        <f t="shared" si="20"/>
        <v>421.25754559999996</v>
      </c>
      <c r="J116" s="276">
        <f t="shared" si="21"/>
        <v>1685.0301823999998</v>
      </c>
      <c r="K116" s="255"/>
      <c r="L116" s="255"/>
      <c r="M116" s="255"/>
      <c r="N116" s="255"/>
      <c r="O116" s="257"/>
      <c r="P116" s="257"/>
    </row>
    <row r="117" spans="1:16">
      <c r="A117" s="680" t="s">
        <v>6927</v>
      </c>
      <c r="B117" s="680"/>
      <c r="C117" s="680"/>
      <c r="D117" s="680"/>
      <c r="E117" s="680"/>
      <c r="F117" s="680"/>
      <c r="G117" s="680"/>
      <c r="H117" s="680"/>
      <c r="I117" s="680"/>
      <c r="J117" s="288">
        <f>SUM(J22:J116)</f>
        <v>147386.47111785735</v>
      </c>
      <c r="K117" s="255"/>
      <c r="L117" s="255"/>
      <c r="M117" s="255"/>
      <c r="N117" s="255"/>
      <c r="O117" s="257"/>
      <c r="P117" s="257"/>
    </row>
    <row r="118" spans="1:16">
      <c r="A118" s="251"/>
      <c r="B118" s="272">
        <v>170</v>
      </c>
      <c r="C118" s="273" t="s">
        <v>604</v>
      </c>
      <c r="D118" s="274"/>
      <c r="E118" s="279"/>
      <c r="F118" s="279"/>
      <c r="G118" s="279"/>
      <c r="H118" s="280"/>
      <c r="I118" s="275"/>
      <c r="J118" s="276"/>
      <c r="K118" s="255"/>
      <c r="L118" s="255"/>
      <c r="M118" s="255"/>
      <c r="N118" s="255"/>
      <c r="O118" s="257"/>
      <c r="P118" s="257"/>
    </row>
    <row r="119" spans="1:16" ht="24">
      <c r="A119" s="251" t="s">
        <v>7</v>
      </c>
      <c r="B119" s="251">
        <v>95469</v>
      </c>
      <c r="C119" s="282" t="str">
        <f>(IF($A119="SINAPI",INDEX(SINAPI_NOV2020_NDES!$A$7:$H$6703,MATCH($B119,SINAPI_NOV2020_NDES!$A$7:$A$6703,0),2),IF($A119="GOINFRA",INDEX(#REF!,MATCH($B119,#REF!,0),2),(INDEX(COMPOS!$A$4:$G$3900,MATCH($B119,COMPOS!$A$4:A$3900,0),2)))))</f>
        <v>VASO SANITARIO SIFONADO CONVENCIONAL COM  LOUÇA BRANCA - FORNECIMENTO E INSTALAÇÃO. AF_01/2020</v>
      </c>
      <c r="D119" s="274" t="str">
        <f>(IF($A119="SINAPI",INDEX(SINAPI_NOV2020_NDES!$A$7:$H$6703,MATCH($B119,SINAPI_NOV2020_NDES!$A$7:$A$6703,0),3),IF($A119="GOINFRA",INDEX(#REF!,MATCH($B119,#REF!,0),3),(INDEX(COMPOS!$A$4:$G$39000,MATCH($B119,COMPOS!$A$4:A$39000,0),3)))))</f>
        <v>UN</v>
      </c>
      <c r="E119" s="279">
        <v>17</v>
      </c>
      <c r="F119" s="279">
        <f>(IF($A119="SINAPI",INDEX(SINAPI_NOV2020_NDES!$A$7:$H$6703,MATCH($B119,SINAPI_NOV2020_NDES!$A$7:$A$6703,0),5),(INDEX(COMPOS!$A$4:$G$801,MATCH($B119,COMPOS!$A$4:A$801,0),4))))</f>
        <v>12.19</v>
      </c>
      <c r="G119" s="279">
        <f>(IF($A119="SINAPI",INDEX(SINAPI_NOV2020_NDES!$A$7:$H$6703,MATCH($B119,SINAPI_NOV2020_NDES!$A$7:$A$6703,0),6),(INDEX(COMPOS!$A$4:$G$801,MATCH($B119,COMPOS!$A$4:A$801,0),5))))</f>
        <v>155.57</v>
      </c>
      <c r="H119" s="280">
        <f>(IF($A119="SINAPI",INDEX(SINAPI_NOV2020_NDES!$A$7:$H$6703,MATCH($B119,SINAPI_NOV2020_NDES!$A$7:$A$6703,0),7),(INDEX(COMPOS!$A$4:$G$801,MATCH($B119,COMPOS!$A$4:A$801,0),6))))</f>
        <v>0</v>
      </c>
      <c r="I119" s="279">
        <f t="shared" ref="I119" si="22">SUM(F119:H119)</f>
        <v>167.76</v>
      </c>
      <c r="J119" s="276">
        <f t="shared" ref="J119" si="23">+I119*E119</f>
        <v>2851.92</v>
      </c>
      <c r="K119" s="255"/>
      <c r="L119" s="255"/>
      <c r="M119" s="255"/>
      <c r="N119" s="255"/>
      <c r="O119" s="257"/>
      <c r="P119" s="257"/>
    </row>
    <row r="120" spans="1:16" ht="24">
      <c r="A120" s="251" t="s">
        <v>7</v>
      </c>
      <c r="B120" s="251">
        <v>100849</v>
      </c>
      <c r="C120" s="282" t="str">
        <f>(IF($A120="SINAPI",INDEX(SINAPI_NOV2020_NDES!$A$7:$H$6703,MATCH($B120,SINAPI_NOV2020_NDES!$A$7:$A$6703,0),2),IF($A120="GOINFRA",INDEX(#REF!,MATCH($B120,#REF!,0),2),(INDEX(COMPOS!$A$4:$G$3900,MATCH($B120,COMPOS!$A$4:A$3900,0),2)))))</f>
        <v>ASSENTO SANITÁRIO CONVENCIONAL - FORNECIMENTO E INSTALACAO. AF_01/2020</v>
      </c>
      <c r="D120" s="274" t="str">
        <f>(IF($A120="SINAPI",INDEX(SINAPI_NOV2020_NDES!$A$7:$H$6703,MATCH($B120,SINAPI_NOV2020_NDES!$A$7:$A$6703,0),3),IF($A120="GOINFRA",INDEX(#REF!,MATCH($B120,#REF!,0),3),(INDEX(COMPOS!$A$4:$G$39000,MATCH($B120,COMPOS!$A$4:A$39000,0),3)))))</f>
        <v>UN</v>
      </c>
      <c r="E120" s="279">
        <v>17</v>
      </c>
      <c r="F120" s="279">
        <f>(IF($A120="SINAPI",INDEX(SINAPI_NOV2020_NDES!$A$7:$H$6703,MATCH($B120,SINAPI_NOV2020_NDES!$A$7:$A$6703,0),5),(INDEX(COMPOS!$A$4:$G$801,MATCH($B120,COMPOS!$A$4:A$801,0),4))))</f>
        <v>3.12</v>
      </c>
      <c r="G120" s="279">
        <f>(IF($A120="SINAPI",INDEX(SINAPI_NOV2020_NDES!$A$7:$H$6703,MATCH($B120,SINAPI_NOV2020_NDES!$A$7:$A$6703,0),6),(INDEX(COMPOS!$A$4:$G$801,MATCH($B120,COMPOS!$A$4:A$801,0),5))))</f>
        <v>25.86</v>
      </c>
      <c r="H120" s="280">
        <f>(IF($A120="SINAPI",INDEX(SINAPI_NOV2020_NDES!$A$7:$H$6703,MATCH($B120,SINAPI_NOV2020_NDES!$A$7:$A$6703,0),7),(INDEX(COMPOS!$A$4:$G$801,MATCH($B120,COMPOS!$A$4:A$801,0),6))))</f>
        <v>0</v>
      </c>
      <c r="I120" s="279">
        <f t="shared" ref="I120:I146" si="24">SUM(F120:H120)</f>
        <v>28.98</v>
      </c>
      <c r="J120" s="276">
        <f t="shared" ref="J120:J146" si="25">+I120*E120</f>
        <v>492.66</v>
      </c>
      <c r="K120" s="255"/>
      <c r="L120" s="255"/>
      <c r="M120" s="255"/>
      <c r="N120" s="255"/>
      <c r="O120" s="257"/>
      <c r="P120" s="257"/>
    </row>
    <row r="121" spans="1:16" s="88" customFormat="1" ht="15">
      <c r="A121" s="251" t="s">
        <v>6307</v>
      </c>
      <c r="B121" s="251">
        <v>787</v>
      </c>
      <c r="C121" s="282" t="str">
        <f>(IF($A121="SINAPI",INDEX(SINAPI_NOV2020_NDES!$A$7:$H$6703,MATCH($B121,SINAPI_NOV2020_NDES!$A$7:$A$6703,0),2),IF($A121="GOINFRA",INDEX(#REF!,MATCH($B121,#REF!,0),2),(INDEX(COMPOS!$A$4:$G$3900,MATCH($B121,COMPOS!$A$4:A$3900,0),2)))))</f>
        <v>ACABAMENTO PARA VÁLVULA DE DESCARGA</v>
      </c>
      <c r="D121" s="274" t="str">
        <f>(IF($A121="SINAPI",INDEX(SINAPI_NOV2020_NDES!$A$7:$H$6703,MATCH($B121,SINAPI_NOV2020_NDES!$A$7:$A$6703,0),3),IF($A121="GOINFRA",INDEX(#REF!,MATCH($B121,#REF!,0),3),(INDEX(COMPOS!$A$4:$G$39000,MATCH($B121,COMPOS!$A$4:A$39000,0),3)))))</f>
        <v>UN</v>
      </c>
      <c r="E121" s="279">
        <v>17</v>
      </c>
      <c r="F121" s="279">
        <f>(IF($A121="SINAPI",INDEX(SINAPI_NOV2020_NDES!$A$7:$H$6703,MATCH($B121,SINAPI_NOV2020_NDES!$A$7:$A$6703,0),5),(INDEX(COMPOS!$A$4:$G$801,MATCH($B121,COMPOS!$A$4:A$801,0),4))))</f>
        <v>2.9952000000000001</v>
      </c>
      <c r="G121" s="279">
        <f>(IF($A121="SINAPI",INDEX(SINAPI_NOV2020_NDES!$A$7:$H$6703,MATCH($B121,SINAPI_NOV2020_NDES!$A$7:$A$6703,0),6),(INDEX(COMPOS!$A$4:$G$801,MATCH($B121,COMPOS!$A$4:A$801,0),5))))</f>
        <v>64.320000000000007</v>
      </c>
      <c r="H121" s="280">
        <f>(IF($A121="SINAPI",INDEX(SINAPI_NOV2020_NDES!$A$7:$H$6703,MATCH($B121,SINAPI_NOV2020_NDES!$A$7:$A$6703,0),7),(INDEX(COMPOS!$A$4:$G$801,MATCH($B121,COMPOS!$A$4:A$801,0),6))))</f>
        <v>0</v>
      </c>
      <c r="I121" s="279">
        <f t="shared" si="24"/>
        <v>67.315200000000004</v>
      </c>
      <c r="J121" s="276">
        <f t="shared" si="25"/>
        <v>1144.3584000000001</v>
      </c>
      <c r="K121" s="255"/>
      <c r="L121" s="255"/>
      <c r="M121" s="255"/>
      <c r="N121" s="255"/>
      <c r="O121" s="257"/>
      <c r="P121" s="257"/>
    </row>
    <row r="122" spans="1:16">
      <c r="A122" s="285" t="s">
        <v>6307</v>
      </c>
      <c r="B122" s="285">
        <v>324</v>
      </c>
      <c r="C122" s="282" t="str">
        <f>(IF($A122="SINAPI",INDEX(SINAPI_NOV2020_NDES!$A$7:$H$6703,MATCH($B122,SINAPI_NOV2020_NDES!$A$7:$A$6703,0),2),IF($A122="GOINFRA",INDEX(#REF!,MATCH($B122,#REF!,0),2),(INDEX(COMPOS!$A$4:$G$3900,MATCH($B122,COMPOS!$A$4:A$3900,0),2)))))</f>
        <v>TUBO DE LIGAÇÃO PVC CROMADO 1.1/2'' – ESPUDE (ENTRADA)</v>
      </c>
      <c r="D122" s="274" t="str">
        <f>(IF($A122="SINAPI",INDEX(SINAPI_NOV2020_NDES!$A$7:$H$6703,MATCH($B122,SINAPI_NOV2020_NDES!$A$7:$A$6703,0),3),IF($A122="GOINFRA",INDEX(#REF!,MATCH($B122,#REF!,0),3),(INDEX(COMPOS!$A$4:$G$39000,MATCH($B122,COMPOS!$A$4:A$39000,0),3)))))</f>
        <v>UN</v>
      </c>
      <c r="E122" s="530">
        <v>17</v>
      </c>
      <c r="F122" s="279">
        <f>(IF($A122="SINAPI",INDEX(SINAPI_NOV2020_NDES!$A$7:$H$6703,MATCH($B122,SINAPI_NOV2020_NDES!$A$7:$A$6703,0),5),(INDEX(COMPOS!$A$4:$G$801,MATCH($B122,COMPOS!$A$4:A$801,0),4))))</f>
        <v>5.2416</v>
      </c>
      <c r="G122" s="279">
        <f>(IF($A122="SINAPI",INDEX(SINAPI_NOV2020_NDES!$A$7:$H$6703,MATCH($B122,SINAPI_NOV2020_NDES!$A$7:$A$6703,0),6),(INDEX(COMPOS!$A$4:$G$801,MATCH($B122,COMPOS!$A$4:A$801,0),5))))</f>
        <v>5.89</v>
      </c>
      <c r="H122" s="280">
        <f>(IF($A122="SINAPI",INDEX(SINAPI_NOV2020_NDES!$A$7:$H$6703,MATCH($B122,SINAPI_NOV2020_NDES!$A$7:$A$6703,0),7),(INDEX(COMPOS!$A$4:$G$801,MATCH($B122,COMPOS!$A$4:A$801,0),6))))</f>
        <v>0</v>
      </c>
      <c r="I122" s="279">
        <f t="shared" si="24"/>
        <v>11.131599999999999</v>
      </c>
      <c r="J122" s="276">
        <f t="shared" si="25"/>
        <v>189.23719999999997</v>
      </c>
      <c r="K122" s="255"/>
      <c r="L122" s="255"/>
      <c r="M122" s="255"/>
      <c r="N122" s="255"/>
      <c r="O122" s="257"/>
      <c r="P122" s="257"/>
    </row>
    <row r="123" spans="1:16" ht="24">
      <c r="A123" s="251" t="s">
        <v>7</v>
      </c>
      <c r="B123" s="251">
        <v>86906</v>
      </c>
      <c r="C123" s="282" t="str">
        <f>(IF($A123="SINAPI",INDEX(SINAPI_NOV2020_NDES!$A$7:$H$6703,MATCH($B123,SINAPI_NOV2020_NDES!$A$7:$A$6703,0),2),IF($A123="GOINFRA",INDEX(#REF!,MATCH($B123,#REF!,0),2),(INDEX(COMPOS!$A$4:$G$3900,MATCH($B123,COMPOS!$A$4:A$3900,0),2)))))</f>
        <v>TORNEIRA CROMADA DE MESA, 1/2 OU 3/4, PARA LAVATÓRIO, PADRÃO POPULAR - FORNECIMENTO E INSTALAÇÃO. AF_01/2020</v>
      </c>
      <c r="D123" s="274" t="str">
        <f>(IF($A123="SINAPI",INDEX(SINAPI_NOV2020_NDES!$A$7:$H$6703,MATCH($B123,SINAPI_NOV2020_NDES!$A$7:$A$6703,0),3),IF($A123="GOINFRA",INDEX(#REF!,MATCH($B123,#REF!,0),3),(INDEX(COMPOS!$A$4:$G$39000,MATCH($B123,COMPOS!$A$4:A$39000,0),3)))))</f>
        <v>UN</v>
      </c>
      <c r="E123" s="279">
        <f>15+4</f>
        <v>19</v>
      </c>
      <c r="F123" s="279">
        <f>(IF($A123="SINAPI",INDEX(SINAPI_NOV2020_NDES!$A$7:$H$6703,MATCH($B123,SINAPI_NOV2020_NDES!$A$7:$A$6703,0),5),(INDEX(COMPOS!$A$4:$G$801,MATCH($B123,COMPOS!$A$4:A$801,0),4))))</f>
        <v>1.94</v>
      </c>
      <c r="G123" s="279">
        <f>(IF($A123="SINAPI",INDEX(SINAPI_NOV2020_NDES!$A$7:$H$6703,MATCH($B123,SINAPI_NOV2020_NDES!$A$7:$A$6703,0),6),(INDEX(COMPOS!$A$4:$G$801,MATCH($B123,COMPOS!$A$4:A$801,0),5))))</f>
        <v>41.22</v>
      </c>
      <c r="H123" s="280">
        <f>(IF($A123="SINAPI",INDEX(SINAPI_NOV2020_NDES!$A$7:$H$6703,MATCH($B123,SINAPI_NOV2020_NDES!$A$7:$A$6703,0),7),(INDEX(COMPOS!$A$4:$G$801,MATCH($B123,COMPOS!$A$4:A$801,0),6))))</f>
        <v>0</v>
      </c>
      <c r="I123" s="279">
        <f t="shared" si="24"/>
        <v>43.16</v>
      </c>
      <c r="J123" s="276">
        <f t="shared" si="25"/>
        <v>820.04</v>
      </c>
      <c r="K123" s="255"/>
      <c r="L123" s="255"/>
      <c r="M123" s="255"/>
      <c r="N123" s="255"/>
      <c r="O123" s="257"/>
      <c r="P123" s="257"/>
    </row>
    <row r="124" spans="1:16" s="88" customFormat="1" ht="15">
      <c r="A124" s="251" t="s">
        <v>6307</v>
      </c>
      <c r="B124" s="251">
        <v>784</v>
      </c>
      <c r="C124" s="282" t="str">
        <f>(IF($A124="SINAPI",INDEX(SINAPI_NOV2020_NDES!$A$7:$H$6703,MATCH($B124,SINAPI_NOV2020_NDES!$A$7:$A$6703,0),2),IF($A124="GOINFRA",INDEX(#REF!,MATCH($B124,#REF!,0),2),(INDEX(COMPOS!$A$4:$G$3900,MATCH($B124,COMPOS!$A$4:A$3900,0),2)))))</f>
        <v>TORNEIRA DE JARDIM COM BICO PARA MANGUEIRA DIÂMETRO DE 1/2" E 3/4"</v>
      </c>
      <c r="D124" s="274" t="str">
        <f>(IF($A124="SINAPI",INDEX(SINAPI_NOV2020_NDES!$A$7:$H$6703,MATCH($B124,SINAPI_NOV2020_NDES!$A$7:$A$6703,0),3),IF($A124="GOINFRA",INDEX(#REF!,MATCH($B124,#REF!,0),3),(INDEX(COMPOS!$A$4:$G$39000,MATCH($B124,COMPOS!$A$4:A$39000,0),3)))))</f>
        <v>UN</v>
      </c>
      <c r="E124" s="279">
        <v>4</v>
      </c>
      <c r="F124" s="279">
        <f>(IF($A124="SINAPI",INDEX(SINAPI_NOV2020_NDES!$A$7:$H$6703,MATCH($B124,SINAPI_NOV2020_NDES!$A$7:$A$6703,0),5),(INDEX(COMPOS!$A$4:$G$801,MATCH($B124,COMPOS!$A$4:A$801,0),4))))</f>
        <v>7.4880000000000004</v>
      </c>
      <c r="G124" s="279">
        <f>(IF($A124="SINAPI",INDEX(SINAPI_NOV2020_NDES!$A$7:$H$6703,MATCH($B124,SINAPI_NOV2020_NDES!$A$7:$A$6703,0),6),(INDEX(COMPOS!$A$4:$G$801,MATCH($B124,COMPOS!$A$4:A$801,0),5))))</f>
        <v>47.52</v>
      </c>
      <c r="H124" s="280">
        <f>(IF($A124="SINAPI",INDEX(SINAPI_NOV2020_NDES!$A$7:$H$6703,MATCH($B124,SINAPI_NOV2020_NDES!$A$7:$A$6703,0),7),(INDEX(COMPOS!$A$4:$G$801,MATCH($B124,COMPOS!$A$4:A$801,0),6))))</f>
        <v>0</v>
      </c>
      <c r="I124" s="279">
        <f t="shared" si="24"/>
        <v>55.008000000000003</v>
      </c>
      <c r="J124" s="276">
        <f t="shared" si="25"/>
        <v>220.03200000000001</v>
      </c>
      <c r="K124" s="255"/>
      <c r="L124" s="255"/>
      <c r="M124" s="255"/>
      <c r="N124" s="255"/>
      <c r="O124" s="257"/>
      <c r="P124" s="257"/>
    </row>
    <row r="125" spans="1:16" ht="24">
      <c r="A125" s="251" t="s">
        <v>7</v>
      </c>
      <c r="B125" s="251">
        <v>86883</v>
      </c>
      <c r="C125" s="282" t="str">
        <f>(IF($A125="SINAPI",INDEX(SINAPI_NOV2020_NDES!$A$7:$H$6703,MATCH($B125,SINAPI_NOV2020_NDES!$A$7:$A$6703,0),2),IF($A125="GOINFRA",INDEX(#REF!,MATCH($B125,#REF!,0),2),(INDEX(COMPOS!$A$4:$G$3900,MATCH($B125,COMPOS!$A$4:A$3900,0),2)))))</f>
        <v>SIFÃO DO TIPO FLEXÍVEL EM PVC 1  X 1.1/2  - FORNECIMENTO E INSTALAÇÃO. AF_01/2020</v>
      </c>
      <c r="D125" s="274" t="str">
        <f>(IF($A125="SINAPI",INDEX(SINAPI_NOV2020_NDES!$A$7:$H$6703,MATCH($B125,SINAPI_NOV2020_NDES!$A$7:$A$6703,0),3),IF($A125="GOINFRA",INDEX(#REF!,MATCH($B125,#REF!,0),3),(INDEX(COMPOS!$A$4:$G$39000,MATCH($B125,COMPOS!$A$4:A$39000,0),3)))))</f>
        <v>UN</v>
      </c>
      <c r="E125" s="279">
        <f>15+4</f>
        <v>19</v>
      </c>
      <c r="F125" s="279">
        <f>(IF($A125="SINAPI",INDEX(SINAPI_NOV2020_NDES!$A$7:$H$6703,MATCH($B125,SINAPI_NOV2020_NDES!$A$7:$A$6703,0),5),(INDEX(COMPOS!$A$4:$G$801,MATCH($B125,COMPOS!$A$4:A$801,0),4))))</f>
        <v>1.71</v>
      </c>
      <c r="G125" s="279">
        <f>(IF($A125="SINAPI",INDEX(SINAPI_NOV2020_NDES!$A$7:$H$6703,MATCH($B125,SINAPI_NOV2020_NDES!$A$7:$A$6703,0),6),(INDEX(COMPOS!$A$4:$G$801,MATCH($B125,COMPOS!$A$4:A$801,0),5))))</f>
        <v>7.6</v>
      </c>
      <c r="H125" s="280">
        <f>(IF($A125="SINAPI",INDEX(SINAPI_NOV2020_NDES!$A$7:$H$6703,MATCH($B125,SINAPI_NOV2020_NDES!$A$7:$A$6703,0),7),(INDEX(COMPOS!$A$4:$G$801,MATCH($B125,COMPOS!$A$4:A$801,0),6))))</f>
        <v>0</v>
      </c>
      <c r="I125" s="279">
        <f t="shared" si="24"/>
        <v>9.3099999999999987</v>
      </c>
      <c r="J125" s="276">
        <f t="shared" si="25"/>
        <v>176.89</v>
      </c>
      <c r="K125" s="255"/>
      <c r="L125" s="255"/>
      <c r="M125" s="255"/>
      <c r="N125" s="255"/>
      <c r="O125" s="257"/>
      <c r="P125" s="257"/>
    </row>
    <row r="126" spans="1:16" ht="24">
      <c r="A126" s="251" t="s">
        <v>7</v>
      </c>
      <c r="B126" s="251">
        <v>86877</v>
      </c>
      <c r="C126" s="282" t="str">
        <f>(IF($A126="SINAPI",INDEX(SINAPI_NOV2020_NDES!$A$7:$H$6703,MATCH($B126,SINAPI_NOV2020_NDES!$A$7:$A$6703,0),2),IF($A126="GOINFRA",INDEX(#REF!,MATCH($B126,#REF!,0),2),(INDEX(COMPOS!$A$4:$G$3900,MATCH($B126,COMPOS!$A$4:A$3900,0),2)))))</f>
        <v>VÁLVULA EM METAL CROMADO 1.1/2 X 1.1/2 PARA TANQUE OU LAVATÓRIO, COM OU SEM LADRÃO - FORNECIMENTO E INSTALAÇÃO. AF_01/2020</v>
      </c>
      <c r="D126" s="274" t="str">
        <f>(IF($A126="SINAPI",INDEX(SINAPI_NOV2020_NDES!$A$7:$H$6703,MATCH($B126,SINAPI_NOV2020_NDES!$A$7:$A$6703,0),3),IF($A126="GOINFRA",INDEX(#REF!,MATCH($B126,#REF!,0),3),(INDEX(COMPOS!$A$4:$G$39000,MATCH($B126,COMPOS!$A$4:A$39000,0),3)))))</f>
        <v>UN</v>
      </c>
      <c r="E126" s="279">
        <f>15+4</f>
        <v>19</v>
      </c>
      <c r="F126" s="279">
        <f>(IF($A126="SINAPI",INDEX(SINAPI_NOV2020_NDES!$A$7:$H$6703,MATCH($B126,SINAPI_NOV2020_NDES!$A$7:$A$6703,0),5),(INDEX(COMPOS!$A$4:$G$801,MATCH($B126,COMPOS!$A$4:A$801,0),4))))</f>
        <v>3.54</v>
      </c>
      <c r="G126" s="279">
        <f>(IF($A126="SINAPI",INDEX(SINAPI_NOV2020_NDES!$A$7:$H$6703,MATCH($B126,SINAPI_NOV2020_NDES!$A$7:$A$6703,0),6),(INDEX(COMPOS!$A$4:$G$801,MATCH($B126,COMPOS!$A$4:A$801,0),5))))</f>
        <v>19.5</v>
      </c>
      <c r="H126" s="280">
        <f>(IF($A126="SINAPI",INDEX(SINAPI_NOV2020_NDES!$A$7:$H$6703,MATCH($B126,SINAPI_NOV2020_NDES!$A$7:$A$6703,0),7),(INDEX(COMPOS!$A$4:$G$801,MATCH($B126,COMPOS!$A$4:A$801,0),6))))</f>
        <v>0</v>
      </c>
      <c r="I126" s="279">
        <f t="shared" si="24"/>
        <v>23.04</v>
      </c>
      <c r="J126" s="276">
        <f t="shared" si="25"/>
        <v>437.76</v>
      </c>
      <c r="K126" s="255"/>
      <c r="L126" s="255"/>
      <c r="M126" s="255"/>
      <c r="N126" s="255"/>
      <c r="O126" s="257"/>
      <c r="P126" s="257"/>
    </row>
    <row r="127" spans="1:16" s="88" customFormat="1" ht="24">
      <c r="A127" s="251" t="s">
        <v>7</v>
      </c>
      <c r="B127" s="251">
        <v>86885</v>
      </c>
      <c r="C127" s="282" t="str">
        <f>(IF($A127="SINAPI",INDEX(SINAPI_NOV2020_NDES!$A$7:$H$6703,MATCH($B127,SINAPI_NOV2020_NDES!$A$7:$A$6703,0),2),IF($A127="GOINFRA",INDEX(#REF!,MATCH($B127,#REF!,0),2),(INDEX(COMPOS!$A$4:$G$3900,MATCH($B127,COMPOS!$A$4:A$3900,0),2)))))</f>
        <v>ENGATE FLEXÍVEL EM PLÁSTICO BRANCO, 1/2 X 40CM - FORNECIMENTO E INSTALAÇÃO. AF_01/2020</v>
      </c>
      <c r="D127" s="274" t="str">
        <f>(IF($A127="SINAPI",INDEX(SINAPI_NOV2020_NDES!$A$7:$H$6703,MATCH($B127,SINAPI_NOV2020_NDES!$A$7:$A$6703,0),3),IF($A127="GOINFRA",INDEX(#REF!,MATCH($B127,#REF!,0),3),(INDEX(COMPOS!$A$4:$G$39000,MATCH($B127,COMPOS!$A$4:A$39000,0),3)))))</f>
        <v>UN</v>
      </c>
      <c r="E127" s="279">
        <f>5+19</f>
        <v>24</v>
      </c>
      <c r="F127" s="279">
        <f>(IF($A127="SINAPI",INDEX(SINAPI_NOV2020_NDES!$A$7:$H$6703,MATCH($B127,SINAPI_NOV2020_NDES!$A$7:$A$6703,0),5),(INDEX(COMPOS!$A$4:$G$801,MATCH($B127,COMPOS!$A$4:A$801,0),4))))</f>
        <v>3.12</v>
      </c>
      <c r="G127" s="279">
        <f>(IF($A127="SINAPI",INDEX(SINAPI_NOV2020_NDES!$A$7:$H$6703,MATCH($B127,SINAPI_NOV2020_NDES!$A$7:$A$6703,0),6),(INDEX(COMPOS!$A$4:$G$801,MATCH($B127,COMPOS!$A$4:A$801,0),5))))</f>
        <v>6.03</v>
      </c>
      <c r="H127" s="280">
        <f>(IF($A127="SINAPI",INDEX(SINAPI_NOV2020_NDES!$A$7:$H$6703,MATCH($B127,SINAPI_NOV2020_NDES!$A$7:$A$6703,0),7),(INDEX(COMPOS!$A$4:$G$801,MATCH($B127,COMPOS!$A$4:A$801,0),6))))</f>
        <v>0</v>
      </c>
      <c r="I127" s="279">
        <f t="shared" si="24"/>
        <v>9.15</v>
      </c>
      <c r="J127" s="276">
        <f t="shared" si="25"/>
        <v>219.60000000000002</v>
      </c>
      <c r="K127" s="255"/>
      <c r="L127" s="255"/>
      <c r="M127" s="255"/>
      <c r="N127" s="255"/>
      <c r="O127" s="257"/>
      <c r="P127" s="257"/>
    </row>
    <row r="128" spans="1:16" ht="24">
      <c r="A128" s="251" t="s">
        <v>7</v>
      </c>
      <c r="B128" s="251">
        <v>86901</v>
      </c>
      <c r="C128" s="282" t="str">
        <f>(IF($A128="SINAPI",INDEX(SINAPI_NOV2020_NDES!$A$7:$H$6703,MATCH($B128,SINAPI_NOV2020_NDES!$A$7:$A$6703,0),2),IF($A128="GOINFRA",INDEX(#REF!,MATCH($B128,#REF!,0),2),(INDEX(COMPOS!$A$4:$G$3900,MATCH($B128,COMPOS!$A$4:A$3900,0),2)))))</f>
        <v>CUBA DE EMBUTIR OVAL EM LOUÇA BRANCA, 35 X 50CM OU EQUIVALENTE - FORNECIMENTO E INSTALAÇÃO. AF_01/2020</v>
      </c>
      <c r="D128" s="274" t="str">
        <f>(IF($A128="SINAPI",INDEX(SINAPI_NOV2020_NDES!$A$7:$H$6703,MATCH($B128,SINAPI_NOV2020_NDES!$A$7:$A$6703,0),3),IF($A128="GOINFRA",INDEX(#REF!,MATCH($B128,#REF!,0),3),(INDEX(COMPOS!$A$4:$G$39000,MATCH($B128,COMPOS!$A$4:A$39000,0),3)))))</f>
        <v>UN</v>
      </c>
      <c r="E128" s="279">
        <v>15</v>
      </c>
      <c r="F128" s="279">
        <f>(IF($A128="SINAPI",INDEX(SINAPI_NOV2020_NDES!$A$7:$H$6703,MATCH($B128,SINAPI_NOV2020_NDES!$A$7:$A$6703,0),5),(INDEX(COMPOS!$A$4:$G$801,MATCH($B128,COMPOS!$A$4:A$801,0),4))))</f>
        <v>16.93</v>
      </c>
      <c r="G128" s="279">
        <f>(IF($A128="SINAPI",INDEX(SINAPI_NOV2020_NDES!$A$7:$H$6703,MATCH($B128,SINAPI_NOV2020_NDES!$A$7:$A$6703,0),6),(INDEX(COMPOS!$A$4:$G$801,MATCH($B128,COMPOS!$A$4:A$801,0),5))))</f>
        <v>98.56</v>
      </c>
      <c r="H128" s="280">
        <f>(IF($A128="SINAPI",INDEX(SINAPI_NOV2020_NDES!$A$7:$H$6703,MATCH($B128,SINAPI_NOV2020_NDES!$A$7:$A$6703,0),7),(INDEX(COMPOS!$A$4:$G$801,MATCH($B128,COMPOS!$A$4:A$801,0),6))))</f>
        <v>0</v>
      </c>
      <c r="I128" s="279">
        <f t="shared" si="24"/>
        <v>115.49000000000001</v>
      </c>
      <c r="J128" s="276">
        <f t="shared" si="25"/>
        <v>1732.3500000000001</v>
      </c>
      <c r="K128" s="255"/>
      <c r="L128" s="255"/>
      <c r="M128" s="255"/>
      <c r="N128" s="255"/>
      <c r="O128" s="257"/>
      <c r="P128" s="257"/>
    </row>
    <row r="129" spans="1:16">
      <c r="A129" s="251" t="s">
        <v>6307</v>
      </c>
      <c r="B129" s="251">
        <v>786</v>
      </c>
      <c r="C129" s="282" t="str">
        <f>(IF($A129="SINAPI",INDEX(SINAPI_NOV2020_NDES!$A$7:$H$6703,MATCH($B129,SINAPI_NOV2020_NDES!$A$7:$A$6703,0),2),IF($A129="GOINFRA",INDEX(#REF!,MATCH($B129,#REF!,0),2),(INDEX(COMPOS!$A$4:$G$3900,MATCH($B129,COMPOS!$A$4:A$3900,0),2)))))</f>
        <v>PORTA PAPEL HIGIÊNICO EM LOUÇA - EMBUTIR</v>
      </c>
      <c r="D129" s="274" t="str">
        <f>(IF($A129="SINAPI",INDEX(SINAPI_NOV2020_NDES!$A$7:$H$6703,MATCH($B129,SINAPI_NOV2020_NDES!$A$7:$A$6703,0),3),IF($A129="GOINFRA",INDEX(#REF!,MATCH($B129,#REF!,0),3),(INDEX(COMPOS!$A$4:$G$39000,MATCH($B129,COMPOS!$A$4:A$39000,0),3)))))</f>
        <v>UN</v>
      </c>
      <c r="E129" s="279">
        <v>17</v>
      </c>
      <c r="F129" s="279">
        <f>(IF($A129="SINAPI",INDEX(SINAPI_NOV2020_NDES!$A$7:$H$6703,MATCH($B129,SINAPI_NOV2020_NDES!$A$7:$A$6703,0),5),(INDEX(COMPOS!$A$4:$G$801,MATCH($B129,COMPOS!$A$4:A$801,0),4))))</f>
        <v>18.365000000000002</v>
      </c>
      <c r="G129" s="279">
        <f>(IF($A129="SINAPI",INDEX(SINAPI_NOV2020_NDES!$A$7:$H$6703,MATCH($B129,SINAPI_NOV2020_NDES!$A$7:$A$6703,0),6),(INDEX(COMPOS!$A$4:$G$801,MATCH($B129,COMPOS!$A$4:A$801,0),5))))</f>
        <v>22.925999999999998</v>
      </c>
      <c r="H129" s="280">
        <f>(IF($A129="SINAPI",INDEX(SINAPI_NOV2020_NDES!$A$7:$H$6703,MATCH($B129,SINAPI_NOV2020_NDES!$A$7:$A$6703,0),7),(INDEX(COMPOS!$A$4:$G$801,MATCH($B129,COMPOS!$A$4:A$801,0),6))))</f>
        <v>0</v>
      </c>
      <c r="I129" s="279">
        <f t="shared" si="24"/>
        <v>41.290999999999997</v>
      </c>
      <c r="J129" s="276">
        <f t="shared" si="25"/>
        <v>701.94699999999989</v>
      </c>
      <c r="K129" s="255"/>
      <c r="L129" s="255"/>
      <c r="M129" s="255"/>
      <c r="N129" s="255"/>
      <c r="O129" s="257"/>
      <c r="P129" s="257"/>
    </row>
    <row r="130" spans="1:16">
      <c r="A130" s="251" t="s">
        <v>6307</v>
      </c>
      <c r="B130" s="251">
        <v>424</v>
      </c>
      <c r="C130" s="282" t="str">
        <f>(IF($A130="SINAPI",INDEX(SINAPI_NOV2020_NDES!$A$7:$H$6703,MATCH($B130,SINAPI_NOV2020_NDES!$A$7:$A$6703,0),2),IF($A130="GOINFRA",INDEX(#REF!,MATCH($B130,#REF!,0),2),(INDEX(COMPOS!$A$4:$G$3900,MATCH($B130,COMPOS!$A$4:A$3900,0),2)))))</f>
        <v>LAVATÓRIO DE CANTO SEM COLUNA</v>
      </c>
      <c r="D130" s="274" t="str">
        <f>(IF($A130="SINAPI",INDEX(SINAPI_NOV2020_NDES!$A$7:$H$6703,MATCH($B130,SINAPI_NOV2020_NDES!$A$7:$A$6703,0),3),IF($A130="GOINFRA",INDEX(#REF!,MATCH($B130,#REF!,0),3),(INDEX(COMPOS!$A$4:$G$39000,MATCH($B130,COMPOS!$A$4:A$39000,0),3)))))</f>
        <v>UN</v>
      </c>
      <c r="E130" s="279">
        <v>4</v>
      </c>
      <c r="F130" s="279">
        <f>(IF($A130="SINAPI",INDEX(SINAPI_NOV2020_NDES!$A$7:$H$6703,MATCH($B130,SINAPI_NOV2020_NDES!$A$7:$A$6703,0),5),(INDEX(COMPOS!$A$4:$G$801,MATCH($B130,COMPOS!$A$4:A$801,0),4))))</f>
        <v>41.685797999999998</v>
      </c>
      <c r="G130" s="279">
        <f>(IF($A130="SINAPI",INDEX(SINAPI_NOV2020_NDES!$A$7:$H$6703,MATCH($B130,SINAPI_NOV2020_NDES!$A$7:$A$6703,0),6),(INDEX(COMPOS!$A$4:$G$801,MATCH($B130,COMPOS!$A$4:A$801,0),5))))</f>
        <v>166.574478</v>
      </c>
      <c r="H130" s="280">
        <f>(IF($A130="SINAPI",INDEX(SINAPI_NOV2020_NDES!$A$7:$H$6703,MATCH($B130,SINAPI_NOV2020_NDES!$A$7:$A$6703,0),7),(INDEX(COMPOS!$A$4:$G$801,MATCH($B130,COMPOS!$A$4:A$801,0),6))))</f>
        <v>0</v>
      </c>
      <c r="I130" s="279">
        <f t="shared" si="24"/>
        <v>208.260276</v>
      </c>
      <c r="J130" s="276">
        <f t="shared" si="25"/>
        <v>833.04110400000002</v>
      </c>
      <c r="K130" s="255"/>
      <c r="L130" s="255"/>
      <c r="M130" s="255"/>
      <c r="N130" s="255"/>
      <c r="O130" s="257"/>
      <c r="P130" s="257"/>
    </row>
    <row r="131" spans="1:16" ht="24">
      <c r="A131" s="251" t="s">
        <v>7</v>
      </c>
      <c r="B131" s="251">
        <v>100858</v>
      </c>
      <c r="C131" s="282" t="str">
        <f>(IF($A131="SINAPI",INDEX(SINAPI_NOV2020_NDES!$A$7:$H$6703,MATCH($B131,SINAPI_NOV2020_NDES!$A$7:$A$6703,0),2),IF($A131="GOINFRA",INDEX(#REF!,MATCH($B131,#REF!,0),2),(INDEX(COMPOS!$A$4:$G$3900,MATCH($B131,COMPOS!$A$4:A$3900,0),2)))))</f>
        <v>MICTÓRIO SIFONADO LOUÇA BRANCA  PADRÃO MÉDIO  FORNECIMENTO E INSTALAÇÃO. AF_01/2020</v>
      </c>
      <c r="D131" s="274" t="str">
        <f>(IF($A131="SINAPI",INDEX(SINAPI_NOV2020_NDES!$A$7:$H$6703,MATCH($B131,SINAPI_NOV2020_NDES!$A$7:$A$6703,0),3),IF($A131="GOINFRA",INDEX(#REF!,MATCH($B131,#REF!,0),3),(INDEX(COMPOS!$A$4:$G$39000,MATCH($B131,COMPOS!$A$4:A$39000,0),3)))))</f>
        <v>UN</v>
      </c>
      <c r="E131" s="279">
        <v>3</v>
      </c>
      <c r="F131" s="279">
        <f>(IF($A131="SINAPI",INDEX(SINAPI_NOV2020_NDES!$A$7:$H$6703,MATCH($B131,SINAPI_NOV2020_NDES!$A$7:$A$6703,0),5),(INDEX(COMPOS!$A$4:$G$801,MATCH($B131,COMPOS!$A$4:A$801,0),4))))</f>
        <v>20.6</v>
      </c>
      <c r="G131" s="279">
        <f>(IF($A131="SINAPI",INDEX(SINAPI_NOV2020_NDES!$A$7:$H$6703,MATCH($B131,SINAPI_NOV2020_NDES!$A$7:$A$6703,0),6),(INDEX(COMPOS!$A$4:$G$801,MATCH($B131,COMPOS!$A$4:A$801,0),5))))</f>
        <v>433.06</v>
      </c>
      <c r="H131" s="280">
        <f>(IF($A131="SINAPI",INDEX(SINAPI_NOV2020_NDES!$A$7:$H$6703,MATCH($B131,SINAPI_NOV2020_NDES!$A$7:$A$6703,0),7),(INDEX(COMPOS!$A$4:$G$801,MATCH($B131,COMPOS!$A$4:A$801,0),6))))</f>
        <v>0</v>
      </c>
      <c r="I131" s="279">
        <f t="shared" si="24"/>
        <v>453.66</v>
      </c>
      <c r="J131" s="276">
        <f t="shared" si="25"/>
        <v>1360.98</v>
      </c>
      <c r="K131" s="255"/>
      <c r="L131" s="255"/>
      <c r="M131" s="255"/>
      <c r="N131" s="255"/>
      <c r="O131" s="257"/>
      <c r="P131" s="257"/>
    </row>
    <row r="132" spans="1:16" ht="24">
      <c r="A132" s="251" t="s">
        <v>7</v>
      </c>
      <c r="B132" s="251">
        <v>100860</v>
      </c>
      <c r="C132" s="282" t="str">
        <f>(IF($A132="SINAPI",INDEX(SINAPI_NOV2020_NDES!$A$7:$H$6703,MATCH($B132,SINAPI_NOV2020_NDES!$A$7:$A$6703,0),2),IF($A132="GOINFRA",INDEX(#REF!,MATCH($B132,#REF!,0),2),(INDEX(COMPOS!$A$4:$G$3900,MATCH($B132,COMPOS!$A$4:A$3900,0),2)))))</f>
        <v>CHUVEIRO ELÉTRICO COMUM CORPO PLÁSTICO, TIPO DUCHA  FORNECIMENTO E INSTALAÇÃO. AF_01/2020</v>
      </c>
      <c r="D132" s="274" t="str">
        <f>(IF($A132="SINAPI",INDEX(SINAPI_NOV2020_NDES!$A$7:$H$6703,MATCH($B132,SINAPI_NOV2020_NDES!$A$7:$A$6703,0),3),IF($A132="GOINFRA",INDEX(#REF!,MATCH($B132,#REF!,0),3),(INDEX(COMPOS!$A$4:$G$39000,MATCH($B132,COMPOS!$A$4:A$39000,0),3)))))</f>
        <v>UN</v>
      </c>
      <c r="E132" s="279">
        <v>3</v>
      </c>
      <c r="F132" s="279">
        <f>(IF($A132="SINAPI",INDEX(SINAPI_NOV2020_NDES!$A$7:$H$6703,MATCH($B132,SINAPI_NOV2020_NDES!$A$7:$A$6703,0),5),(INDEX(COMPOS!$A$4:$G$801,MATCH($B132,COMPOS!$A$4:A$801,0),4))))</f>
        <v>9.1199999999999992</v>
      </c>
      <c r="G132" s="279">
        <f>(IF($A132="SINAPI",INDEX(SINAPI_NOV2020_NDES!$A$7:$H$6703,MATCH($B132,SINAPI_NOV2020_NDES!$A$7:$A$6703,0),6),(INDEX(COMPOS!$A$4:$G$801,MATCH($B132,COMPOS!$A$4:A$801,0),5))))</f>
        <v>57.45</v>
      </c>
      <c r="H132" s="280">
        <f>(IF($A132="SINAPI",INDEX(SINAPI_NOV2020_NDES!$A$7:$H$6703,MATCH($B132,SINAPI_NOV2020_NDES!$A$7:$A$6703,0),7),(INDEX(COMPOS!$A$4:$G$801,MATCH($B132,COMPOS!$A$4:A$801,0),6))))</f>
        <v>0</v>
      </c>
      <c r="I132" s="279">
        <f t="shared" si="24"/>
        <v>66.570000000000007</v>
      </c>
      <c r="J132" s="276">
        <f t="shared" si="25"/>
        <v>199.71000000000004</v>
      </c>
      <c r="K132" s="255"/>
      <c r="L132" s="255"/>
      <c r="M132" s="255"/>
      <c r="N132" s="255"/>
      <c r="O132" s="257"/>
      <c r="P132" s="257"/>
    </row>
    <row r="133" spans="1:16">
      <c r="A133" s="251" t="s">
        <v>6307</v>
      </c>
      <c r="B133" s="251">
        <v>617</v>
      </c>
      <c r="C133" s="282" t="str">
        <f>(IF($A133="SINAPI",INDEX(SINAPI_NOV2020_NDES!$A$7:$H$6703,MATCH($B133,SINAPI_NOV2020_NDES!$A$7:$A$6703,0),2),IF($A133="GOINFRA",INDEX(#REF!,MATCH($B133,#REF!,0),2),(INDEX(COMPOS!$A$4:$G$3900,MATCH($B133,COMPOS!$A$4:A$3900,0),2)))))</f>
        <v>MEIA SABONETEIRA EM LOUÇA DE EMBUTIR</v>
      </c>
      <c r="D133" s="274" t="str">
        <f>(IF($A133="SINAPI",INDEX(SINAPI_NOV2020_NDES!$A$7:$H$6703,MATCH($B133,SINAPI_NOV2020_NDES!$A$7:$A$6703,0),3),IF($A133="GOINFRA",INDEX(#REF!,MATCH($B133,#REF!,0),3),(INDEX(COMPOS!$A$4:$G$39000,MATCH($B133,COMPOS!$A$4:A$39000,0),3)))))</f>
        <v>UN</v>
      </c>
      <c r="E133" s="279">
        <v>4</v>
      </c>
      <c r="F133" s="279">
        <f>(IF($A133="SINAPI",INDEX(SINAPI_NOV2020_NDES!$A$7:$H$6703,MATCH($B133,SINAPI_NOV2020_NDES!$A$7:$A$6703,0),5),(INDEX(COMPOS!$A$4:$G$801,MATCH($B133,COMPOS!$A$4:A$801,0),4))))</f>
        <v>18.405000000000001</v>
      </c>
      <c r="G133" s="279">
        <f>(IF($A133="SINAPI",INDEX(SINAPI_NOV2020_NDES!$A$7:$H$6703,MATCH($B133,SINAPI_NOV2020_NDES!$A$7:$A$6703,0),6),(INDEX(COMPOS!$A$4:$G$801,MATCH($B133,COMPOS!$A$4:A$801,0),5))))</f>
        <v>21.501000000000001</v>
      </c>
      <c r="H133" s="280">
        <f>(IF($A133="SINAPI",INDEX(SINAPI_NOV2020_NDES!$A$7:$H$6703,MATCH($B133,SINAPI_NOV2020_NDES!$A$7:$A$6703,0),7),(INDEX(COMPOS!$A$4:$G$801,MATCH($B133,COMPOS!$A$4:A$801,0),6))))</f>
        <v>0</v>
      </c>
      <c r="I133" s="279">
        <f t="shared" si="24"/>
        <v>39.906000000000006</v>
      </c>
      <c r="J133" s="276">
        <f t="shared" si="25"/>
        <v>159.62400000000002</v>
      </c>
      <c r="K133" s="255"/>
      <c r="L133" s="255"/>
      <c r="M133" s="255"/>
      <c r="N133" s="255"/>
      <c r="O133" s="257"/>
      <c r="P133" s="257"/>
    </row>
    <row r="134" spans="1:16" ht="36">
      <c r="A134" s="251" t="s">
        <v>7</v>
      </c>
      <c r="B134" s="289">
        <v>86935</v>
      </c>
      <c r="C134" s="282" t="str">
        <f>(IF($A134="SINAPI",INDEX(SINAPI_NOV2020_NDES!$A$7:$H$6703,MATCH($B134,SINAPI_NOV2020_NDES!$A$7:$A$6703,0),2),IF($A134="GOINFRA",INDEX(#REF!,MATCH($B134,#REF!,0),2),(INDEX(COMPOS!$A$4:$G$3900,MATCH($B134,COMPOS!$A$4:A$3900,0),2)))))</f>
        <v>CUBA DE EMBUTIR DE AÇO INOXIDÁVEL MÉDIA, INCLUSO VÁLVULA TIPO AMERICANA EM METAL CROMADO E SIFÃO FLEXÍVEL EM PVC - FORNECIMENTO E INSTALAÇÃO. AF_01/2020</v>
      </c>
      <c r="D134" s="274" t="str">
        <f>(IF($A134="SINAPI",INDEX(SINAPI_NOV2020_NDES!$A$7:$H$6703,MATCH($B134,SINAPI_NOV2020_NDES!$A$7:$A$6703,0),3),IF($A134="GOINFRA",INDEX(#REF!,MATCH($B134,#REF!,0),3),(INDEX(COMPOS!$A$4:$G$39000,MATCH($B134,COMPOS!$A$4:A$39000,0),3)))))</f>
        <v>UN</v>
      </c>
      <c r="E134" s="279">
        <v>2</v>
      </c>
      <c r="F134" s="279">
        <f>(IF($A134="SINAPI",INDEX(SINAPI_NOV2020_NDES!$A$7:$H$6703,MATCH($B134,SINAPI_NOV2020_NDES!$A$7:$A$6703,0),5),(INDEX(COMPOS!$A$4:$G$801,MATCH($B134,COMPOS!$A$4:A$801,0),4))))</f>
        <v>14.79</v>
      </c>
      <c r="G134" s="279">
        <f>(IF($A134="SINAPI",INDEX(SINAPI_NOV2020_NDES!$A$7:$H$6703,MATCH($B134,SINAPI_NOV2020_NDES!$A$7:$A$6703,0),6),(INDEX(COMPOS!$A$4:$G$801,MATCH($B134,COMPOS!$A$4:A$801,0),5))))</f>
        <v>181.27</v>
      </c>
      <c r="H134" s="280">
        <f>(IF($A134="SINAPI",INDEX(SINAPI_NOV2020_NDES!$A$7:$H$6703,MATCH($B134,SINAPI_NOV2020_NDES!$A$7:$A$6703,0),7),(INDEX(COMPOS!$A$4:$G$801,MATCH($B134,COMPOS!$A$4:A$801,0),6))))</f>
        <v>0</v>
      </c>
      <c r="I134" s="279">
        <f t="shared" si="24"/>
        <v>196.06</v>
      </c>
      <c r="J134" s="276">
        <f t="shared" si="25"/>
        <v>392.12</v>
      </c>
      <c r="K134" s="255"/>
      <c r="L134" s="255"/>
      <c r="M134" s="255"/>
      <c r="N134" s="255"/>
      <c r="O134" s="257"/>
      <c r="P134" s="257"/>
    </row>
    <row r="135" spans="1:16" s="88" customFormat="1" ht="24">
      <c r="A135" s="251" t="s">
        <v>7</v>
      </c>
      <c r="B135" s="289">
        <v>86911</v>
      </c>
      <c r="C135" s="282" t="str">
        <f>(IF($A135="SINAPI",INDEX(SINAPI_NOV2020_NDES!$A$7:$H$6703,MATCH($B135,SINAPI_NOV2020_NDES!$A$7:$A$6703,0),2),IF($A135="GOINFRA",INDEX(#REF!,MATCH($B135,#REF!,0),2),(INDEX(COMPOS!$A$4:$G$3900,MATCH($B135,COMPOS!$A$4:A$3900,0),2)))))</f>
        <v>TORNEIRA CROMADA LONGA, DE PAREDE, 1/2 OU 3/4, PARA PIA DE COZINHA, PADRÃO POPULAR - FORNECIMENTO E INSTALAÇÃO. AF_01/2020</v>
      </c>
      <c r="D135" s="274" t="str">
        <f>(IF($A135="SINAPI",INDEX(SINAPI_NOV2020_NDES!$A$7:$H$6703,MATCH($B135,SINAPI_NOV2020_NDES!$A$7:$A$6703,0),3),IF($A135="GOINFRA",INDEX(#REF!,MATCH($B135,#REF!,0),3),(INDEX(COMPOS!$A$4:$G$39000,MATCH($B135,COMPOS!$A$4:A$39000,0),3)))))</f>
        <v>UN</v>
      </c>
      <c r="E135" s="279">
        <v>2</v>
      </c>
      <c r="F135" s="279">
        <f>(IF($A135="SINAPI",INDEX(SINAPI_NOV2020_NDES!$A$7:$H$6703,MATCH($B135,SINAPI_NOV2020_NDES!$A$7:$A$6703,0),5),(INDEX(COMPOS!$A$4:$G$801,MATCH($B135,COMPOS!$A$4:A$801,0),4))))</f>
        <v>2.36</v>
      </c>
      <c r="G135" s="279">
        <f>(IF($A135="SINAPI",INDEX(SINAPI_NOV2020_NDES!$A$7:$H$6703,MATCH($B135,SINAPI_NOV2020_NDES!$A$7:$A$6703,0),6),(INDEX(COMPOS!$A$4:$G$801,MATCH($B135,COMPOS!$A$4:A$801,0),5))))</f>
        <v>34.35</v>
      </c>
      <c r="H135" s="280">
        <f>(IF($A135="SINAPI",INDEX(SINAPI_NOV2020_NDES!$A$7:$H$6703,MATCH($B135,SINAPI_NOV2020_NDES!$A$7:$A$6703,0),7),(INDEX(COMPOS!$A$4:$G$801,MATCH($B135,COMPOS!$A$4:A$801,0),6))))</f>
        <v>0</v>
      </c>
      <c r="I135" s="279">
        <f t="shared" si="24"/>
        <v>36.71</v>
      </c>
      <c r="J135" s="276">
        <f t="shared" si="25"/>
        <v>73.42</v>
      </c>
      <c r="K135" s="255"/>
      <c r="L135" s="255"/>
      <c r="M135" s="255"/>
      <c r="N135" s="255"/>
      <c r="O135" s="257"/>
      <c r="P135" s="257"/>
    </row>
    <row r="136" spans="1:16" ht="24">
      <c r="A136" s="251" t="s">
        <v>7</v>
      </c>
      <c r="B136" s="289">
        <v>86876</v>
      </c>
      <c r="C136" s="282" t="str">
        <f>(IF($A136="SINAPI",INDEX(SINAPI_NOV2020_NDES!$A$7:$H$6703,MATCH($B136,SINAPI_NOV2020_NDES!$A$7:$A$6703,0),2),IF($A136="GOINFRA",INDEX(#REF!,MATCH($B136,#REF!,0),2),(INDEX(COMPOS!$A$4:$G$3900,MATCH($B136,COMPOS!$A$4:A$3900,0),2)))))</f>
        <v>TANQUE DE MÁRMORE SINTÉTICO SUSPENSO, 22L OU EQUIVALENTE - FORNECIMENTO E INSTALAÇÃO. AF_01/2020</v>
      </c>
      <c r="D136" s="274" t="str">
        <f>(IF($A136="SINAPI",INDEX(SINAPI_NOV2020_NDES!$A$7:$H$6703,MATCH($B136,SINAPI_NOV2020_NDES!$A$7:$A$6703,0),3),IF($A136="GOINFRA",INDEX(#REF!,MATCH($B136,#REF!,0),3),(INDEX(COMPOS!$A$4:$G$39000,MATCH($B136,COMPOS!$A$4:A$39000,0),3)))))</f>
        <v>UN</v>
      </c>
      <c r="E136" s="279">
        <v>1</v>
      </c>
      <c r="F136" s="279">
        <f>(IF($A136="SINAPI",INDEX(SINAPI_NOV2020_NDES!$A$7:$H$6703,MATCH($B136,SINAPI_NOV2020_NDES!$A$7:$A$6703,0),5),(INDEX(COMPOS!$A$4:$G$801,MATCH($B136,COMPOS!$A$4:A$801,0),4))))</f>
        <v>15.49</v>
      </c>
      <c r="G136" s="279">
        <f>(IF($A136="SINAPI",INDEX(SINAPI_NOV2020_NDES!$A$7:$H$6703,MATCH($B136,SINAPI_NOV2020_NDES!$A$7:$A$6703,0),6),(INDEX(COMPOS!$A$4:$G$801,MATCH($B136,COMPOS!$A$4:A$801,0),5))))</f>
        <v>201.48</v>
      </c>
      <c r="H136" s="280">
        <f>(IF($A136="SINAPI",INDEX(SINAPI_NOV2020_NDES!$A$7:$H$6703,MATCH($B136,SINAPI_NOV2020_NDES!$A$7:$A$6703,0),7),(INDEX(COMPOS!$A$4:$G$801,MATCH($B136,COMPOS!$A$4:A$801,0),6))))</f>
        <v>0</v>
      </c>
      <c r="I136" s="279">
        <f t="shared" si="24"/>
        <v>216.97</v>
      </c>
      <c r="J136" s="276">
        <f t="shared" si="25"/>
        <v>216.97</v>
      </c>
      <c r="K136" s="255"/>
      <c r="L136" s="255"/>
      <c r="M136" s="255"/>
      <c r="N136" s="255"/>
      <c r="O136" s="257"/>
      <c r="P136" s="257"/>
    </row>
    <row r="137" spans="1:16" ht="24">
      <c r="A137" s="251" t="s">
        <v>7</v>
      </c>
      <c r="B137" s="289">
        <v>86913</v>
      </c>
      <c r="C137" s="282" t="str">
        <f>(IF($A137="SINAPI",INDEX(SINAPI_NOV2020_NDES!$A$7:$H$6703,MATCH($B137,SINAPI_NOV2020_NDES!$A$7:$A$6703,0),2),IF($A137="GOINFRA",INDEX(#REF!,MATCH($B137,#REF!,0),2),(INDEX(COMPOS!$A$4:$G$3900,MATCH($B137,COMPOS!$A$4:A$3900,0),2)))))</f>
        <v>TORNEIRA CROMADA 1/2 OU 3/4 PARA TANQUE, PADRÃO POPULAR - FORNECIMENTO E INSTALAÇÃO. AF_01/2020</v>
      </c>
      <c r="D137" s="274" t="str">
        <f>(IF($A137="SINAPI",INDEX(SINAPI_NOV2020_NDES!$A$7:$H$6703,MATCH($B137,SINAPI_NOV2020_NDES!$A$7:$A$6703,0),3),IF($A137="GOINFRA",INDEX(#REF!,MATCH($B137,#REF!,0),3),(INDEX(COMPOS!$A$4:$G$39000,MATCH($B137,COMPOS!$A$4:A$39000,0),3)))))</f>
        <v>UN</v>
      </c>
      <c r="E137" s="279">
        <v>1</v>
      </c>
      <c r="F137" s="279">
        <f>(IF($A137="SINAPI",INDEX(SINAPI_NOV2020_NDES!$A$7:$H$6703,MATCH($B137,SINAPI_NOV2020_NDES!$A$7:$A$6703,0),5),(INDEX(COMPOS!$A$4:$G$801,MATCH($B137,COMPOS!$A$4:A$801,0),4))))</f>
        <v>3.11</v>
      </c>
      <c r="G137" s="279">
        <f>(IF($A137="SINAPI",INDEX(SINAPI_NOV2020_NDES!$A$7:$H$6703,MATCH($B137,SINAPI_NOV2020_NDES!$A$7:$A$6703,0),6),(INDEX(COMPOS!$A$4:$G$801,MATCH($B137,COMPOS!$A$4:A$801,0),5))))</f>
        <v>13.76</v>
      </c>
      <c r="H137" s="280">
        <f>(IF($A137="SINAPI",INDEX(SINAPI_NOV2020_NDES!$A$7:$H$6703,MATCH($B137,SINAPI_NOV2020_NDES!$A$7:$A$6703,0),7),(INDEX(COMPOS!$A$4:$G$801,MATCH($B137,COMPOS!$A$4:A$801,0),6))))</f>
        <v>0</v>
      </c>
      <c r="I137" s="279">
        <f t="shared" si="24"/>
        <v>16.87</v>
      </c>
      <c r="J137" s="276">
        <f t="shared" si="25"/>
        <v>16.87</v>
      </c>
      <c r="K137" s="255"/>
      <c r="L137" s="255"/>
      <c r="M137" s="255"/>
      <c r="N137" s="255"/>
      <c r="O137" s="257"/>
      <c r="P137" s="257"/>
    </row>
    <row r="138" spans="1:16" s="88" customFormat="1" ht="24">
      <c r="A138" s="251" t="s">
        <v>7</v>
      </c>
      <c r="B138" s="289">
        <v>86879</v>
      </c>
      <c r="C138" s="282" t="str">
        <f>(IF($A138="SINAPI",INDEX(SINAPI_NOV2020_NDES!$A$7:$H$6703,MATCH($B138,SINAPI_NOV2020_NDES!$A$7:$A$6703,0),2),IF($A138="GOINFRA",INDEX(#REF!,MATCH($B138,#REF!,0),2),(INDEX(COMPOS!$A$4:$G$3900,MATCH($B138,COMPOS!$A$4:A$3900,0),2)))))</f>
        <v>VÁLVULA EM PLÁSTICO 1 PARA PIA, TANQUE OU LAVATÓRIO, COM OU SEM LADRÃO - FORNECIMENTO E INSTALAÇÃO. AF_01/2020</v>
      </c>
      <c r="D138" s="274" t="str">
        <f>(IF($A138="SINAPI",INDEX(SINAPI_NOV2020_NDES!$A$7:$H$6703,MATCH($B138,SINAPI_NOV2020_NDES!$A$7:$A$6703,0),3),IF($A138="GOINFRA",INDEX(#REF!,MATCH($B138,#REF!,0),3),(INDEX(COMPOS!$A$4:$G$39000,MATCH($B138,COMPOS!$A$4:A$39000,0),3)))))</f>
        <v>UN</v>
      </c>
      <c r="E138" s="279">
        <v>1</v>
      </c>
      <c r="F138" s="279">
        <f>(IF($A138="SINAPI",INDEX(SINAPI_NOV2020_NDES!$A$7:$H$6703,MATCH($B138,SINAPI_NOV2020_NDES!$A$7:$A$6703,0),5),(INDEX(COMPOS!$A$4:$G$801,MATCH($B138,COMPOS!$A$4:A$801,0),4))))</f>
        <v>2.52</v>
      </c>
      <c r="G138" s="279">
        <f>(IF($A138="SINAPI",INDEX(SINAPI_NOV2020_NDES!$A$7:$H$6703,MATCH($B138,SINAPI_NOV2020_NDES!$A$7:$A$6703,0),6),(INDEX(COMPOS!$A$4:$G$801,MATCH($B138,COMPOS!$A$4:A$801,0),5))))</f>
        <v>3.31</v>
      </c>
      <c r="H138" s="280">
        <f>(IF($A138="SINAPI",INDEX(SINAPI_NOV2020_NDES!$A$7:$H$6703,MATCH($B138,SINAPI_NOV2020_NDES!$A$7:$A$6703,0),7),(INDEX(COMPOS!$A$4:$G$801,MATCH($B138,COMPOS!$A$4:A$801,0),6))))</f>
        <v>0</v>
      </c>
      <c r="I138" s="279">
        <f t="shared" si="24"/>
        <v>5.83</v>
      </c>
      <c r="J138" s="276">
        <f t="shared" si="25"/>
        <v>5.83</v>
      </c>
      <c r="K138" s="255"/>
      <c r="L138" s="255"/>
      <c r="M138" s="255"/>
      <c r="N138" s="255"/>
      <c r="O138" s="257"/>
      <c r="P138" s="257"/>
    </row>
    <row r="139" spans="1:16" ht="24">
      <c r="A139" s="251" t="s">
        <v>7</v>
      </c>
      <c r="B139" s="251">
        <v>86883</v>
      </c>
      <c r="C139" s="282" t="str">
        <f>(IF($A139="SINAPI",INDEX(SINAPI_NOV2020_NDES!$A$7:$H$6703,MATCH($B139,SINAPI_NOV2020_NDES!$A$7:$A$6703,0),2),IF($A139="GOINFRA",INDEX(#REF!,MATCH($B139,#REF!,0),2),(INDEX(COMPOS!$A$4:$G$3900,MATCH($B139,COMPOS!$A$4:A$3900,0),2)))))</f>
        <v>SIFÃO DO TIPO FLEXÍVEL EM PVC 1  X 1.1/2  - FORNECIMENTO E INSTALAÇÃO. AF_01/2020</v>
      </c>
      <c r="D139" s="274" t="str">
        <f>(IF($A139="SINAPI",INDEX(SINAPI_NOV2020_NDES!$A$7:$H$6703,MATCH($B139,SINAPI_NOV2020_NDES!$A$7:$A$6703,0),3),IF($A139="GOINFRA",INDEX(#REF!,MATCH($B139,#REF!,0),3),(INDEX(COMPOS!$A$4:$G$39000,MATCH($B139,COMPOS!$A$4:A$39000,0),3)))))</f>
        <v>UN</v>
      </c>
      <c r="E139" s="279">
        <v>1</v>
      </c>
      <c r="F139" s="279">
        <f>(IF($A139="SINAPI",INDEX(SINAPI_NOV2020_NDES!$A$7:$H$6703,MATCH($B139,SINAPI_NOV2020_NDES!$A$7:$A$6703,0),5),(INDEX(COMPOS!$A$4:$G$801,MATCH($B139,COMPOS!$A$4:A$801,0),4))))</f>
        <v>1.71</v>
      </c>
      <c r="G139" s="279">
        <f>(IF($A139="SINAPI",INDEX(SINAPI_NOV2020_NDES!$A$7:$H$6703,MATCH($B139,SINAPI_NOV2020_NDES!$A$7:$A$6703,0),6),(INDEX(COMPOS!$A$4:$G$801,MATCH($B139,COMPOS!$A$4:A$801,0),5))))</f>
        <v>7.6</v>
      </c>
      <c r="H139" s="280">
        <f>(IF($A139="SINAPI",INDEX(SINAPI_NOV2020_NDES!$A$7:$H$6703,MATCH($B139,SINAPI_NOV2020_NDES!$A$7:$A$6703,0),7),(INDEX(COMPOS!$A$4:$G$801,MATCH($B139,COMPOS!$A$4:A$801,0),6))))</f>
        <v>0</v>
      </c>
      <c r="I139" s="279">
        <f t="shared" si="24"/>
        <v>9.3099999999999987</v>
      </c>
      <c r="J139" s="276">
        <f t="shared" si="25"/>
        <v>9.3099999999999987</v>
      </c>
      <c r="K139" s="255"/>
      <c r="L139" s="255"/>
      <c r="M139" s="255"/>
      <c r="N139" s="255"/>
      <c r="O139" s="257"/>
      <c r="P139" s="257"/>
    </row>
    <row r="140" spans="1:16">
      <c r="A140" s="251" t="s">
        <v>6307</v>
      </c>
      <c r="B140" s="251">
        <v>788</v>
      </c>
      <c r="C140" s="282" t="str">
        <f>(IF($A140="SINAPI",INDEX(SINAPI_NOV2020_NDES!$A$7:$H$6703,MATCH($B140,SINAPI_NOV2020_NDES!$A$7:$A$6703,0),2),IF($A140="GOINFRA",INDEX(#REF!,MATCH($B140,#REF!,0),2),(INDEX(COMPOS!$A$4:$G$3900,MATCH($B140,COMPOS!$A$4:A$3900,0),2)))))</f>
        <v>ACABAMENTO PARA REGISTRO DE GAVETA 3/4"</v>
      </c>
      <c r="D140" s="274" t="str">
        <f>(IF($A140="SINAPI",INDEX(SINAPI_NOV2020_NDES!$A$7:$H$6703,MATCH($B140,SINAPI_NOV2020_NDES!$A$7:$A$6703,0),3),IF($A140="GOINFRA",INDEX(#REF!,MATCH($B140,#REF!,0),3),(INDEX(COMPOS!$A$4:$G$39000,MATCH($B140,COMPOS!$A$4:A$39000,0),3)))))</f>
        <v>UN</v>
      </c>
      <c r="E140" s="279">
        <v>6</v>
      </c>
      <c r="F140" s="279">
        <f>(IF($A140="SINAPI",INDEX(SINAPI_NOV2020_NDES!$A$7:$H$6703,MATCH($B140,SINAPI_NOV2020_NDES!$A$7:$A$6703,0),5),(INDEX(COMPOS!$A$4:$G$801,MATCH($B140,COMPOS!$A$4:A$801,0),4))))</f>
        <v>2.9952000000000001</v>
      </c>
      <c r="G140" s="279">
        <f>(IF($A140="SINAPI",INDEX(SINAPI_NOV2020_NDES!$A$7:$H$6703,MATCH($B140,SINAPI_NOV2020_NDES!$A$7:$A$6703,0),6),(INDEX(COMPOS!$A$4:$G$801,MATCH($B140,COMPOS!$A$4:A$801,0),5))))</f>
        <v>18.329999999999998</v>
      </c>
      <c r="H140" s="280">
        <f>(IF($A140="SINAPI",INDEX(SINAPI_NOV2020_NDES!$A$7:$H$6703,MATCH($B140,SINAPI_NOV2020_NDES!$A$7:$A$6703,0),7),(INDEX(COMPOS!$A$4:$G$801,MATCH($B140,COMPOS!$A$4:A$801,0),6))))</f>
        <v>0</v>
      </c>
      <c r="I140" s="279">
        <f t="shared" si="24"/>
        <v>21.325199999999999</v>
      </c>
      <c r="J140" s="276">
        <f t="shared" si="25"/>
        <v>127.9512</v>
      </c>
      <c r="K140" s="255"/>
      <c r="L140" s="255"/>
      <c r="M140" s="255"/>
      <c r="N140" s="255"/>
      <c r="O140" s="257"/>
      <c r="P140" s="257"/>
    </row>
    <row r="141" spans="1:16">
      <c r="A141" s="251" t="s">
        <v>6307</v>
      </c>
      <c r="B141" s="251">
        <v>789</v>
      </c>
      <c r="C141" s="282" t="str">
        <f>(IF($A141="SINAPI",INDEX(SINAPI_NOV2020_NDES!$A$7:$H$6703,MATCH($B141,SINAPI_NOV2020_NDES!$A$7:$A$6703,0),2),IF($A141="GOINFRA",INDEX(#REF!,MATCH($B141,#REF!,0),2),(INDEX(COMPOS!$A$4:$G$3900,MATCH($B141,COMPOS!$A$4:A$3900,0),2)))))</f>
        <v>ACABAMENTO PARA REGISTRO DE GAVETA 1.1/2"</v>
      </c>
      <c r="D141" s="274" t="str">
        <f>(IF($A141="SINAPI",INDEX(SINAPI_NOV2020_NDES!$A$7:$H$6703,MATCH($B141,SINAPI_NOV2020_NDES!$A$7:$A$6703,0),3),IF($A141="GOINFRA",INDEX(#REF!,MATCH($B141,#REF!,0),3),(INDEX(COMPOS!$A$4:$G$39000,MATCH($B141,COMPOS!$A$4:A$39000,0),3)))))</f>
        <v>UN</v>
      </c>
      <c r="E141" s="279">
        <v>6</v>
      </c>
      <c r="F141" s="279">
        <f>(IF($A141="SINAPI",INDEX(SINAPI_NOV2020_NDES!$A$7:$H$6703,MATCH($B141,SINAPI_NOV2020_NDES!$A$7:$A$6703,0),5),(INDEX(COMPOS!$A$4:$G$801,MATCH($B141,COMPOS!$A$4:A$801,0),4))))</f>
        <v>2.9952000000000001</v>
      </c>
      <c r="G141" s="279">
        <f>(IF($A141="SINAPI",INDEX(SINAPI_NOV2020_NDES!$A$7:$H$6703,MATCH($B141,SINAPI_NOV2020_NDES!$A$7:$A$6703,0),6),(INDEX(COMPOS!$A$4:$G$801,MATCH($B141,COMPOS!$A$4:A$801,0),5))))</f>
        <v>79.59333333333332</v>
      </c>
      <c r="H141" s="280">
        <f>(IF($A141="SINAPI",INDEX(SINAPI_NOV2020_NDES!$A$7:$H$6703,MATCH($B141,SINAPI_NOV2020_NDES!$A$7:$A$6703,0),7),(INDEX(COMPOS!$A$4:$G$801,MATCH($B141,COMPOS!$A$4:A$801,0),6))))</f>
        <v>0</v>
      </c>
      <c r="I141" s="279">
        <f t="shared" si="24"/>
        <v>82.588533333333316</v>
      </c>
      <c r="J141" s="276">
        <f t="shared" si="25"/>
        <v>495.5311999999999</v>
      </c>
      <c r="K141" s="255"/>
      <c r="L141" s="255"/>
      <c r="M141" s="255"/>
      <c r="N141" s="255"/>
      <c r="O141" s="257"/>
      <c r="P141" s="257"/>
    </row>
    <row r="142" spans="1:16">
      <c r="A142" s="251" t="s">
        <v>6307</v>
      </c>
      <c r="B142" s="251">
        <v>788</v>
      </c>
      <c r="C142" s="282" t="str">
        <f>(IF($A142="SINAPI",INDEX(SINAPI_NOV2020_NDES!$A$7:$H$6703,MATCH($B142,SINAPI_NOV2020_NDES!$A$7:$A$6703,0),2),IF($A142="GOINFRA",INDEX(#REF!,MATCH($B142,#REF!,0),2),(INDEX(COMPOS!$A$4:$G$3900,MATCH($B142,COMPOS!$A$4:A$3900,0),2)))))</f>
        <v>ACABAMENTO PARA REGISTRO DE GAVETA 3/4"</v>
      </c>
      <c r="D142" s="274" t="str">
        <f>(IF($A142="SINAPI",INDEX(SINAPI_NOV2020_NDES!$A$7:$H$6703,MATCH($B142,SINAPI_NOV2020_NDES!$A$7:$A$6703,0),3),IF($A142="GOINFRA",INDEX(#REF!,MATCH($B142,#REF!,0),3),(INDEX(COMPOS!$A$4:$G$39000,MATCH($B142,COMPOS!$A$4:A$39000,0),3)))))</f>
        <v>UN</v>
      </c>
      <c r="E142" s="279">
        <v>3</v>
      </c>
      <c r="F142" s="279">
        <f>(IF($A142="SINAPI",INDEX(SINAPI_NOV2020_NDES!$A$7:$H$6703,MATCH($B142,SINAPI_NOV2020_NDES!$A$7:$A$6703,0),5),(INDEX(COMPOS!$A$4:$G$801,MATCH($B142,COMPOS!$A$4:A$801,0),4))))</f>
        <v>2.9952000000000001</v>
      </c>
      <c r="G142" s="279">
        <f>(IF($A142="SINAPI",INDEX(SINAPI_NOV2020_NDES!$A$7:$H$6703,MATCH($B142,SINAPI_NOV2020_NDES!$A$7:$A$6703,0),6),(INDEX(COMPOS!$A$4:$G$801,MATCH($B142,COMPOS!$A$4:A$801,0),5))))</f>
        <v>18.329999999999998</v>
      </c>
      <c r="H142" s="280">
        <f>(IF($A142="SINAPI",INDEX(SINAPI_NOV2020_NDES!$A$7:$H$6703,MATCH($B142,SINAPI_NOV2020_NDES!$A$7:$A$6703,0),7),(INDEX(COMPOS!$A$4:$G$801,MATCH($B142,COMPOS!$A$4:A$801,0),6))))</f>
        <v>0</v>
      </c>
      <c r="I142" s="279">
        <f t="shared" si="24"/>
        <v>21.325199999999999</v>
      </c>
      <c r="J142" s="276">
        <f t="shared" si="25"/>
        <v>63.9756</v>
      </c>
      <c r="K142" s="255"/>
      <c r="L142" s="255"/>
      <c r="M142" s="255"/>
      <c r="N142" s="255"/>
      <c r="O142" s="257"/>
      <c r="P142" s="257"/>
    </row>
    <row r="143" spans="1:16">
      <c r="A143" s="251" t="s">
        <v>6307</v>
      </c>
      <c r="B143" s="290">
        <v>404</v>
      </c>
      <c r="C143" s="282" t="str">
        <f>(IF($A143="SINAPI",INDEX(SINAPI_NOV2020_NDES!$A$7:$H$6703,MATCH($B143,SINAPI_NOV2020_NDES!$A$7:$A$6703,0),2),IF($A143="GOINFRA",INDEX(#REF!,MATCH($B143,#REF!,0),2),(INDEX(COMPOS!$A$4:$G$3900,MATCH($B143,COMPOS!$A$4:A$3900,0),2)))))</f>
        <v>GRELHA REDONDA CROMADA DIAM. 100MM</v>
      </c>
      <c r="D143" s="274" t="str">
        <f>(IF($A143="SINAPI",INDEX(SINAPI_NOV2020_NDES!$A$7:$H$6703,MATCH($B143,SINAPI_NOV2020_NDES!$A$7:$A$6703,0),3),IF($A143="GOINFRA",INDEX(#REF!,MATCH($B143,#REF!,0),3),(INDEX(COMPOS!$A$4:$G$39000,MATCH($B143,COMPOS!$A$4:A$39000,0),3)))))</f>
        <v>UN</v>
      </c>
      <c r="E143" s="279">
        <v>4</v>
      </c>
      <c r="F143" s="279">
        <f>(IF($A143="SINAPI",INDEX(SINAPI_NOV2020_NDES!$A$7:$H$6703,MATCH($B143,SINAPI_NOV2020_NDES!$A$7:$A$6703,0),5),(INDEX(COMPOS!$A$4:$G$801,MATCH($B143,COMPOS!$A$4:A$801,0),4))))</f>
        <v>2.9952000000000001</v>
      </c>
      <c r="G143" s="279">
        <f>(IF($A143="SINAPI",INDEX(SINAPI_NOV2020_NDES!$A$7:$H$6703,MATCH($B143,SINAPI_NOV2020_NDES!$A$7:$A$6703,0),6),(INDEX(COMPOS!$A$4:$G$801,MATCH($B143,COMPOS!$A$4:A$801,0),5))))</f>
        <v>11.88</v>
      </c>
      <c r="H143" s="280">
        <f>(IF($A143="SINAPI",INDEX(SINAPI_NOV2020_NDES!$A$7:$H$6703,MATCH($B143,SINAPI_NOV2020_NDES!$A$7:$A$6703,0),7),(INDEX(COMPOS!$A$4:$G$801,MATCH($B143,COMPOS!$A$4:A$801,0),6))))</f>
        <v>0</v>
      </c>
      <c r="I143" s="279">
        <f t="shared" si="24"/>
        <v>14.875200000000001</v>
      </c>
      <c r="J143" s="276">
        <f t="shared" si="25"/>
        <v>59.500800000000005</v>
      </c>
      <c r="K143" s="255"/>
      <c r="L143" s="255"/>
      <c r="M143" s="255"/>
      <c r="N143" s="255"/>
      <c r="O143" s="257"/>
      <c r="P143" s="257"/>
    </row>
    <row r="144" spans="1:16" s="88" customFormat="1" ht="15">
      <c r="A144" s="251" t="s">
        <v>6307</v>
      </c>
      <c r="B144" s="290">
        <v>405</v>
      </c>
      <c r="C144" s="282" t="str">
        <f>(IF($A144="SINAPI",INDEX(SINAPI_NOV2020_NDES!$A$7:$H$6703,MATCH($B144,SINAPI_NOV2020_NDES!$A$7:$A$6703,0),2),IF($A144="GOINFRA",INDEX(#REF!,MATCH($B144,#REF!,0),2),(INDEX(COMPOS!$A$4:$G$3900,MATCH($B144,COMPOS!$A$4:A$3900,0),2)))))</f>
        <v>PORTA GRELHA QUADRADO PARA GRELHA QUADRADA DIAM. 100MM</v>
      </c>
      <c r="D144" s="274" t="str">
        <f>(IF($A144="SINAPI",INDEX(SINAPI_NOV2020_NDES!$A$7:$H$6703,MATCH($B144,SINAPI_NOV2020_NDES!$A$7:$A$6703,0),3),IF($A144="GOINFRA",INDEX(#REF!,MATCH($B144,#REF!,0),3),(INDEX(COMPOS!$A$4:$G$39000,MATCH($B144,COMPOS!$A$4:A$39000,0),3)))))</f>
        <v>UN</v>
      </c>
      <c r="E144" s="279">
        <v>4</v>
      </c>
      <c r="F144" s="279">
        <f>(IF($A144="SINAPI",INDEX(SINAPI_NOV2020_NDES!$A$7:$H$6703,MATCH($B144,SINAPI_NOV2020_NDES!$A$7:$A$6703,0),5),(INDEX(COMPOS!$A$4:$G$801,MATCH($B144,COMPOS!$A$4:A$801,0),4))))</f>
        <v>3.7440000000000002</v>
      </c>
      <c r="G144" s="279">
        <f>(IF($A144="SINAPI",INDEX(SINAPI_NOV2020_NDES!$A$7:$H$6703,MATCH($B144,SINAPI_NOV2020_NDES!$A$7:$A$6703,0),6),(INDEX(COMPOS!$A$4:$G$801,MATCH($B144,COMPOS!$A$4:A$801,0),5))))</f>
        <v>6.68</v>
      </c>
      <c r="H144" s="280">
        <f>(IF($A144="SINAPI",INDEX(SINAPI_NOV2020_NDES!$A$7:$H$6703,MATCH($B144,SINAPI_NOV2020_NDES!$A$7:$A$6703,0),7),(INDEX(COMPOS!$A$4:$G$801,MATCH($B144,COMPOS!$A$4:A$801,0),6))))</f>
        <v>0</v>
      </c>
      <c r="I144" s="279">
        <f t="shared" si="24"/>
        <v>10.423999999999999</v>
      </c>
      <c r="J144" s="276">
        <f t="shared" si="25"/>
        <v>41.695999999999998</v>
      </c>
      <c r="K144" s="255"/>
      <c r="L144" s="255"/>
      <c r="M144" s="255"/>
      <c r="N144" s="255"/>
      <c r="O144" s="257"/>
      <c r="P144" s="257"/>
    </row>
    <row r="145" spans="1:16">
      <c r="A145" s="251" t="s">
        <v>6307</v>
      </c>
      <c r="B145" s="290">
        <v>378</v>
      </c>
      <c r="C145" s="282" t="str">
        <f>(IF($A145="SINAPI",INDEX(SINAPI_NOV2020_NDES!$A$7:$H$6703,MATCH($B145,SINAPI_NOV2020_NDES!$A$7:$A$6703,0),2),IF($A145="GOINFRA",INDEX(#REF!,MATCH($B145,#REF!,0),2),(INDEX(COMPOS!$A$4:$G$3900,MATCH($B145,COMPOS!$A$4:A$3900,0),2)))))</f>
        <v>GRELHA QUADRADA EM INOX SIMPLES, DIAM. 150MM</v>
      </c>
      <c r="D145" s="274" t="str">
        <f>(IF($A145="SINAPI",INDEX(SINAPI_NOV2020_NDES!$A$7:$H$6703,MATCH($B145,SINAPI_NOV2020_NDES!$A$7:$A$6703,0),3),IF($A145="GOINFRA",INDEX(#REF!,MATCH($B145,#REF!,0),3),(INDEX(COMPOS!$A$4:$G$39000,MATCH($B145,COMPOS!$A$4:A$39000,0),3)))))</f>
        <v>UN</v>
      </c>
      <c r="E145" s="279">
        <v>7</v>
      </c>
      <c r="F145" s="279">
        <f>(IF($A145="SINAPI",INDEX(SINAPI_NOV2020_NDES!$A$7:$H$6703,MATCH($B145,SINAPI_NOV2020_NDES!$A$7:$A$6703,0),5),(INDEX(COMPOS!$A$4:$G$801,MATCH($B145,COMPOS!$A$4:A$801,0),4))))</f>
        <v>2.9952000000000001</v>
      </c>
      <c r="G145" s="279">
        <f>(IF($A145="SINAPI",INDEX(SINAPI_NOV2020_NDES!$A$7:$H$6703,MATCH($B145,SINAPI_NOV2020_NDES!$A$7:$A$6703,0),6),(INDEX(COMPOS!$A$4:$G$801,MATCH($B145,COMPOS!$A$4:A$801,0),5))))</f>
        <v>23.76</v>
      </c>
      <c r="H145" s="280">
        <f>(IF($A145="SINAPI",INDEX(SINAPI_NOV2020_NDES!$A$7:$H$6703,MATCH($B145,SINAPI_NOV2020_NDES!$A$7:$A$6703,0),7),(INDEX(COMPOS!$A$4:$G$801,MATCH($B145,COMPOS!$A$4:A$801,0),6))))</f>
        <v>0</v>
      </c>
      <c r="I145" s="279">
        <f t="shared" si="24"/>
        <v>26.755200000000002</v>
      </c>
      <c r="J145" s="276">
        <f t="shared" si="25"/>
        <v>187.28640000000001</v>
      </c>
      <c r="K145" s="255"/>
      <c r="L145" s="255"/>
      <c r="M145" s="255"/>
      <c r="N145" s="255"/>
      <c r="O145" s="257"/>
      <c r="P145" s="257"/>
    </row>
    <row r="146" spans="1:16">
      <c r="A146" s="251" t="s">
        <v>6307</v>
      </c>
      <c r="B146" s="290">
        <v>379</v>
      </c>
      <c r="C146" s="282" t="str">
        <f>(IF($A146="SINAPI",INDEX(SINAPI_NOV2020_NDES!$A$7:$H$6703,MATCH($B146,SINAPI_NOV2020_NDES!$A$7:$A$6703,0),2),IF($A146="GOINFRA",INDEX(#REF!,MATCH($B146,#REF!,0),2),(INDEX(COMPOS!$A$4:$G$3900,MATCH($B146,COMPOS!$A$4:A$3900,0),2)))))</f>
        <v>PORTA GRELHA QUADRADA PVC CROMADO, DIAM. 150MM</v>
      </c>
      <c r="D146" s="274" t="str">
        <f>(IF($A146="SINAPI",INDEX(SINAPI_NOV2020_NDES!$A$7:$H$6703,MATCH($B146,SINAPI_NOV2020_NDES!$A$7:$A$6703,0),3),IF($A146="GOINFRA",INDEX(#REF!,MATCH($B146,#REF!,0),3),(INDEX(COMPOS!$A$4:$G$39000,MATCH($B146,COMPOS!$A$4:A$39000,0),3)))))</f>
        <v>UN</v>
      </c>
      <c r="E146" s="279">
        <v>7</v>
      </c>
      <c r="F146" s="279">
        <f>(IF($A146="SINAPI",INDEX(SINAPI_NOV2020_NDES!$A$7:$H$6703,MATCH($B146,SINAPI_NOV2020_NDES!$A$7:$A$6703,0),5),(INDEX(COMPOS!$A$4:$G$801,MATCH($B146,COMPOS!$A$4:A$801,0),4))))</f>
        <v>3.7440000000000002</v>
      </c>
      <c r="G146" s="279">
        <f>(IF($A146="SINAPI",INDEX(SINAPI_NOV2020_NDES!$A$7:$H$6703,MATCH($B146,SINAPI_NOV2020_NDES!$A$7:$A$6703,0),6),(INDEX(COMPOS!$A$4:$G$801,MATCH($B146,COMPOS!$A$4:A$801,0),5))))</f>
        <v>6.36</v>
      </c>
      <c r="H146" s="280">
        <f>(IF($A146="SINAPI",INDEX(SINAPI_NOV2020_NDES!$A$7:$H$6703,MATCH($B146,SINAPI_NOV2020_NDES!$A$7:$A$6703,0),7),(INDEX(COMPOS!$A$4:$G$801,MATCH($B146,COMPOS!$A$4:A$801,0),6))))</f>
        <v>0</v>
      </c>
      <c r="I146" s="279">
        <f t="shared" si="24"/>
        <v>10.104000000000001</v>
      </c>
      <c r="J146" s="276">
        <f t="shared" si="25"/>
        <v>70.728000000000009</v>
      </c>
      <c r="K146" s="255"/>
      <c r="L146" s="255"/>
      <c r="M146" s="255"/>
      <c r="N146" s="255"/>
      <c r="O146" s="257"/>
      <c r="P146" s="257"/>
    </row>
    <row r="147" spans="1:16">
      <c r="A147" s="680" t="s">
        <v>6927</v>
      </c>
      <c r="B147" s="680"/>
      <c r="C147" s="680"/>
      <c r="D147" s="680"/>
      <c r="E147" s="680"/>
      <c r="F147" s="680"/>
      <c r="G147" s="680"/>
      <c r="H147" s="680"/>
      <c r="I147" s="680"/>
      <c r="J147" s="288">
        <f>SUM(J119:J146)</f>
        <v>13301.338903999998</v>
      </c>
      <c r="K147" s="255"/>
      <c r="L147" s="255"/>
      <c r="M147" s="255"/>
      <c r="N147" s="255"/>
      <c r="O147" s="257"/>
      <c r="P147" s="257"/>
    </row>
    <row r="148" spans="1:16">
      <c r="A148" s="251"/>
      <c r="B148" s="272">
        <v>174</v>
      </c>
      <c r="C148" s="273" t="s">
        <v>601</v>
      </c>
      <c r="D148" s="274"/>
      <c r="E148" s="279"/>
      <c r="F148" s="279"/>
      <c r="G148" s="279"/>
      <c r="H148" s="280"/>
      <c r="I148" s="275"/>
      <c r="J148" s="276"/>
      <c r="K148" s="255"/>
      <c r="L148" s="255"/>
      <c r="M148" s="255"/>
      <c r="N148" s="255"/>
      <c r="O148" s="257"/>
      <c r="P148" s="257"/>
    </row>
    <row r="149" spans="1:16" ht="24">
      <c r="A149" s="251" t="s">
        <v>6307</v>
      </c>
      <c r="B149" s="290">
        <v>340</v>
      </c>
      <c r="C149" s="282" t="str">
        <f>(IF($A149="SINAPI",INDEX(SINAPI_NOV2020_NDES!$A$7:$H$6703,MATCH($B149,SINAPI_NOV2020_NDES!$A$7:$A$6703,0),2),IF($A149="GOINFRA",INDEX(#REF!,MATCH($B149,#REF!,0),2),(INDEX(COMPOS!$A$4:$G$390,MATCH($B149,COMPOS!$A$4:A$390,0),2)))))</f>
        <v>MASTIQUE A BASE DE POLIURETANO COM PRÉVIO PREPARO E TRATAMENTO DA SUPERFÍCIE</v>
      </c>
      <c r="D149" s="274" t="str">
        <f>(IF($A149="SINAPI",INDEX(SINAPI_NOV2020_NDES!$A$7:$H$6703,MATCH($B149,SINAPI_NOV2020_NDES!$A$7:$A$6703,0),3),IF($A149="GOINFRA",INDEX(#REF!,MATCH($B149,#REF!,0),3),(INDEX(COMPOS!$A$4:$G$39000,MATCH($B149,COMPOS!$A$4:A$39000,0),3)))))</f>
        <v>CM3</v>
      </c>
      <c r="E149" s="279">
        <v>8400</v>
      </c>
      <c r="F149" s="279">
        <f>(IF($A149="SINAPI",INDEX(SINAPI_NOV2020_NDES!$A$7:$H$6703,MATCH($B149,SINAPI_NOV2020_NDES!$A$7:$A$6703,0),5),(INDEX(COMPOS!$A$4:$G$801,MATCH($B149,COMPOS!$A$4:A$801,0),4))))</f>
        <v>8.6940000000000003E-2</v>
      </c>
      <c r="G149" s="279">
        <f>(IF($A149="SINAPI",INDEX(SINAPI_NOV2020_NDES!$A$7:$H$6703,MATCH($B149,SINAPI_NOV2020_NDES!$A$7:$A$6703,0),6),(INDEX(COMPOS!$A$4:$G$801,MATCH($B149,COMPOS!$A$4:A$801,0),5))))</f>
        <v>8.7484000000000006E-2</v>
      </c>
      <c r="H149" s="280">
        <f>(IF($A149="SINAPI",INDEX(SINAPI_NOV2020_NDES!$A$7:$H$6703,MATCH($B149,SINAPI_NOV2020_NDES!$A$7:$A$6703,0),7),(INDEX(COMPOS!$A$4:$G$801,MATCH($B149,COMPOS!$A$4:A$801,0),6))))</f>
        <v>0</v>
      </c>
      <c r="I149" s="279">
        <f t="shared" ref="I149" si="26">SUM(F149:H149)</f>
        <v>0.17442400000000002</v>
      </c>
      <c r="J149" s="276">
        <f t="shared" ref="J149" si="27">+I149*E149</f>
        <v>1465.1616000000001</v>
      </c>
      <c r="K149" s="255"/>
      <c r="L149" s="255"/>
      <c r="M149" s="255"/>
      <c r="N149" s="255"/>
      <c r="O149" s="257"/>
      <c r="P149" s="257"/>
    </row>
    <row r="150" spans="1:16">
      <c r="A150" s="680" t="s">
        <v>6927</v>
      </c>
      <c r="B150" s="680"/>
      <c r="C150" s="680"/>
      <c r="D150" s="680"/>
      <c r="E150" s="680"/>
      <c r="F150" s="680"/>
      <c r="G150" s="680"/>
      <c r="H150" s="680"/>
      <c r="I150" s="680"/>
      <c r="J150" s="281">
        <f>SUM(J149)</f>
        <v>1465.1616000000001</v>
      </c>
      <c r="K150" s="255"/>
      <c r="L150" s="255"/>
      <c r="M150" s="255"/>
      <c r="N150" s="255"/>
      <c r="O150" s="257"/>
      <c r="P150" s="257"/>
    </row>
    <row r="151" spans="1:16">
      <c r="A151" s="251"/>
      <c r="B151" s="272">
        <v>179</v>
      </c>
      <c r="C151" s="273" t="s">
        <v>596</v>
      </c>
      <c r="D151" s="274"/>
      <c r="E151" s="279"/>
      <c r="F151" s="279"/>
      <c r="G151" s="279"/>
      <c r="H151" s="280"/>
      <c r="I151" s="275"/>
      <c r="J151" s="276"/>
      <c r="K151" s="255"/>
      <c r="L151" s="255"/>
      <c r="M151" s="255"/>
      <c r="N151" s="255"/>
      <c r="O151" s="257"/>
      <c r="P151" s="257"/>
    </row>
    <row r="152" spans="1:16" ht="48">
      <c r="A152" s="251" t="s">
        <v>7</v>
      </c>
      <c r="B152" s="250">
        <v>90842</v>
      </c>
      <c r="C152" s="282" t="str">
        <f>(IF($A152="SINAPI",INDEX(SINAPI_NOV2020_NDES!$A$7:$H$6703,MATCH($B152,SINAPI_NOV2020_NDES!$A$7:$A$6703,0),2),IF($A152="GOINFRA",INDEX(#REF!,MATCH($B152,#REF!,0),2),(INDEX(COMPOS!$A$4:$G$390,MATCH($B152,COMPOS!$A$4:A$390,0),2)))))</f>
        <v>KIT DE PORTA DE MADEIRA PARA PINTURA, SEMI-OCA (LEVE OU MÉDIA), PADRÃO MÉDIO, 70X210CM, ESPESSURA DE 3,5CM, ITENS INCLUSOS: DOBRADIÇAS, MONTAGEM E INSTALAÇÃO DO BATENTE, FECHADURA COM EXECUÇÃO DO FURO - FORNECIMENTO E INSTALAÇÃO. AF_12/2019</v>
      </c>
      <c r="D152" s="274" t="str">
        <f>(IF($A152="SINAPI",INDEX(SINAPI_NOV2020_NDES!$A$7:$H$6703,MATCH($B152,SINAPI_NOV2020_NDES!$A$7:$A$6703,0),3),IF($A152="GOINFRA",INDEX(#REF!,MATCH($B152,#REF!,0),3),(INDEX(COMPOS!$A$4:$G$39000,MATCH($B152,COMPOS!$A$4:A$39000,0),3)))))</f>
        <v>UN</v>
      </c>
      <c r="E152" s="279">
        <v>4</v>
      </c>
      <c r="F152" s="279">
        <f>(IF($A152="SINAPI",INDEX(SINAPI_NOV2020_NDES!$A$7:$H$6703,MATCH($B152,SINAPI_NOV2020_NDES!$A$7:$A$6703,0),5),(INDEX(COMPOS!$A$4:$G$801,MATCH($B152,COMPOS!$A$4:A$801,0),4))))</f>
        <v>204.37</v>
      </c>
      <c r="G152" s="279">
        <f>(IF($A152="SINAPI",INDEX(SINAPI_NOV2020_NDES!$A$7:$H$6703,MATCH($B152,SINAPI_NOV2020_NDES!$A$7:$A$6703,0),6),(INDEX(COMPOS!$A$4:$G$801,MATCH($B152,COMPOS!$A$4:A$801,0),5))))</f>
        <v>474.09</v>
      </c>
      <c r="H152" s="280">
        <f>(IF($A152="SINAPI",INDEX(SINAPI_NOV2020_NDES!$A$7:$H$6703,MATCH($B152,SINAPI_NOV2020_NDES!$A$7:$A$6703,0),7),(INDEX(COMPOS!$A$4:$G$801,MATCH($B152,COMPOS!$A$4:A$801,0),6))))</f>
        <v>0</v>
      </c>
      <c r="I152" s="279">
        <f t="shared" ref="I152" si="28">SUM(F152:H152)</f>
        <v>678.46</v>
      </c>
      <c r="J152" s="276">
        <f t="shared" ref="J152" si="29">+I152*E152</f>
        <v>2713.84</v>
      </c>
      <c r="K152" s="255"/>
      <c r="L152" s="255"/>
      <c r="M152" s="255"/>
      <c r="N152" s="255"/>
      <c r="O152" s="257"/>
      <c r="P152" s="257"/>
    </row>
    <row r="153" spans="1:16" ht="48">
      <c r="A153" s="251" t="s">
        <v>7</v>
      </c>
      <c r="B153" s="250">
        <v>90843</v>
      </c>
      <c r="C153" s="282" t="str">
        <f>(IF($A153="SINAPI",INDEX(SINAPI_NOV2020_NDES!$A$7:$H$6703,MATCH($B153,SINAPI_NOV2020_NDES!$A$7:$A$6703,0),2),IF($A153="GOINFRA",INDEX(#REF!,MATCH($B153,#REF!,0),2),(INDEX(COMPOS!$A$4:$G$390,MATCH($B153,COMPOS!$A$4:A$390,0),2)))))</f>
        <v>KIT DE PORTA DE MADEIRA PARA PINTURA, SEMI-OCA (LEVE OU MÉDIA), PADRÃO MÉDIO, 80X210CM, ESPESSURA DE 3,5CM, ITENS INCLUSOS: DOBRADIÇAS, MONTAGEM E INSTALAÇÃO DO BATENTE, FECHADURA COM EXECUÇÃO DO FURO - FORNECIMENTO E INSTALAÇÃO. AF_12/2019</v>
      </c>
      <c r="D153" s="274" t="str">
        <f>(IF($A153="SINAPI",INDEX(SINAPI_NOV2020_NDES!$A$7:$H$6703,MATCH($B153,SINAPI_NOV2020_NDES!$A$7:$A$6703,0),3),IF($A153="GOINFRA",INDEX(#REF!,MATCH($B153,#REF!,0),3),(INDEX(COMPOS!$A$4:$G$39000,MATCH($B153,COMPOS!$A$4:A$39000,0),3)))))</f>
        <v>UN</v>
      </c>
      <c r="E153" s="279">
        <v>13</v>
      </c>
      <c r="F153" s="279">
        <f>(IF($A153="SINAPI",INDEX(SINAPI_NOV2020_NDES!$A$7:$H$6703,MATCH($B153,SINAPI_NOV2020_NDES!$A$7:$A$6703,0),5),(INDEX(COMPOS!$A$4:$G$801,MATCH($B153,COMPOS!$A$4:A$801,0),4))))</f>
        <v>215.01</v>
      </c>
      <c r="G153" s="279">
        <f>(IF($A153="SINAPI",INDEX(SINAPI_NOV2020_NDES!$A$7:$H$6703,MATCH($B153,SINAPI_NOV2020_NDES!$A$7:$A$6703,0),6),(INDEX(COMPOS!$A$4:$G$801,MATCH($B153,COMPOS!$A$4:A$801,0),5))))</f>
        <v>498.49</v>
      </c>
      <c r="H153" s="280">
        <f>(IF($A153="SINAPI",INDEX(SINAPI_NOV2020_NDES!$A$7:$H$6703,MATCH($B153,SINAPI_NOV2020_NDES!$A$7:$A$6703,0),7),(INDEX(COMPOS!$A$4:$G$801,MATCH($B153,COMPOS!$A$4:A$801,0),6))))</f>
        <v>0</v>
      </c>
      <c r="I153" s="279">
        <f t="shared" ref="I153:I157" si="30">SUM(F153:H153)</f>
        <v>713.5</v>
      </c>
      <c r="J153" s="276">
        <f t="shared" ref="J153:J157" si="31">+I153*E153</f>
        <v>9275.5</v>
      </c>
      <c r="K153" s="255"/>
      <c r="L153" s="255"/>
      <c r="M153" s="255"/>
      <c r="N153" s="255"/>
      <c r="O153" s="257"/>
      <c r="P153" s="257"/>
    </row>
    <row r="154" spans="1:16" ht="48">
      <c r="A154" s="251" t="s">
        <v>7</v>
      </c>
      <c r="B154" s="250">
        <v>90844</v>
      </c>
      <c r="C154" s="282" t="str">
        <f>(IF($A154="SINAPI",INDEX(SINAPI_NOV2020_NDES!$A$7:$H$6703,MATCH($B154,SINAPI_NOV2020_NDES!$A$7:$A$6703,0),2),IF($A154="GOINFRA",INDEX(#REF!,MATCH($B154,#REF!,0),2),(INDEX(COMPOS!$A$4:$G$390,MATCH($B154,COMPOS!$A$4:A$390,0),2)))))</f>
        <v>KIT DE PORTA DE MADEIRA PARA PINTURA, SEMI-OCA (LEVE OU MÉDIA), PADRÃO MÉDIO, 90X210CM, ESPESSURA DE 3,5CM, ITENS INCLUSOS: DOBRADIÇAS, MONTAGEM E INSTALAÇÃO DO BATENTE, FECHADURA COM EXECUÇÃO DO FURO - FORNECIMENTO E INSTALAÇÃO. AF_12/2019</v>
      </c>
      <c r="D154" s="274" t="str">
        <f>(IF($A154="SINAPI",INDEX(SINAPI_NOV2020_NDES!$A$7:$H$6703,MATCH($B154,SINAPI_NOV2020_NDES!$A$7:$A$6703,0),3),IF($A154="GOINFRA",INDEX(#REF!,MATCH($B154,#REF!,0),3),(INDEX(COMPOS!$A$4:$G$39000,MATCH($B154,COMPOS!$A$4:A$39000,0),3)))))</f>
        <v>UN</v>
      </c>
      <c r="E154" s="279">
        <v>8</v>
      </c>
      <c r="F154" s="279">
        <f>(IF($A154="SINAPI",INDEX(SINAPI_NOV2020_NDES!$A$7:$H$6703,MATCH($B154,SINAPI_NOV2020_NDES!$A$7:$A$6703,0),5),(INDEX(COMPOS!$A$4:$G$801,MATCH($B154,COMPOS!$A$4:A$801,0),4))))</f>
        <v>219.09</v>
      </c>
      <c r="G154" s="279">
        <f>(IF($A154="SINAPI",INDEX(SINAPI_NOV2020_NDES!$A$7:$H$6703,MATCH($B154,SINAPI_NOV2020_NDES!$A$7:$A$6703,0),6),(INDEX(COMPOS!$A$4:$G$801,MATCH($B154,COMPOS!$A$4:A$801,0),5))))</f>
        <v>545.33000000000004</v>
      </c>
      <c r="H154" s="280">
        <f>(IF($A154="SINAPI",INDEX(SINAPI_NOV2020_NDES!$A$7:$H$6703,MATCH($B154,SINAPI_NOV2020_NDES!$A$7:$A$6703,0),7),(INDEX(COMPOS!$A$4:$G$801,MATCH($B154,COMPOS!$A$4:A$801,0),6))))</f>
        <v>0</v>
      </c>
      <c r="I154" s="279">
        <f t="shared" si="30"/>
        <v>764.42000000000007</v>
      </c>
      <c r="J154" s="276">
        <f t="shared" si="31"/>
        <v>6115.3600000000006</v>
      </c>
      <c r="K154" s="255"/>
      <c r="L154" s="255"/>
      <c r="M154" s="255"/>
      <c r="N154" s="255"/>
      <c r="O154" s="257"/>
      <c r="P154" s="257"/>
    </row>
    <row r="155" spans="1:16" ht="48">
      <c r="A155" s="251" t="s">
        <v>6307</v>
      </c>
      <c r="B155" s="250">
        <v>345</v>
      </c>
      <c r="C155" s="282" t="str">
        <f>(IF($A155="SINAPI",INDEX(SINAPI_NOV2020_NDES!$A$7:$H$6703,MATCH($B155,SINAPI_NOV2020_NDES!$A$7:$A$6703,0),2),IF($A155="GOINFRA",INDEX(#REF!,MATCH($B155,#REF!,0),2),(INDEX(COMPOS!$A$4:$G$390,MATCH($B155,COMPOS!$A$4:A$390,0),2)))))</f>
        <v>KIT DE PORTA DE MADEIRA PARA PINTURA, SEMI-OCA (LEVE OU MÉDIA), PADRÃO MÉDIO, 110 X 210CM, ESPESSURA DE 3,5CM, ITENS INCLUSOS: DOBRADIÇAS, MONTAGEM E INSTALAÇÃO DO BATENTE, FECHADURA COM EXECUÇÃO DO FURO – FORNECIMENTO E INSTALAÇÃO</v>
      </c>
      <c r="D155" s="274" t="str">
        <f>(IF($A155="SINAPI",INDEX(SINAPI_NOV2020_NDES!$A$7:$H$6703,MATCH($B155,SINAPI_NOV2020_NDES!$A$7:$A$6703,0),3),IF($A155="GOINFRA",INDEX(#REF!,MATCH($B155,#REF!,0),3),(INDEX(COMPOS!$A$4:$G$39000,MATCH($B155,COMPOS!$A$4:A$39000,0),3)))))</f>
        <v>UN</v>
      </c>
      <c r="E155" s="279">
        <v>1</v>
      </c>
      <c r="F155" s="279">
        <f>(IF($A155="SINAPI",INDEX(SINAPI_NOV2020_NDES!$A$7:$H$6703,MATCH($B155,SINAPI_NOV2020_NDES!$A$7:$A$6703,0),5),(INDEX(COMPOS!$A$4:$G$801,MATCH($B155,COMPOS!$A$4:A$801,0),4))))</f>
        <v>162.94344500000003</v>
      </c>
      <c r="G155" s="279">
        <f>(IF($A155="SINAPI",INDEX(SINAPI_NOV2020_NDES!$A$7:$H$6703,MATCH($B155,SINAPI_NOV2020_NDES!$A$7:$A$6703,0),6),(INDEX(COMPOS!$A$4:$G$801,MATCH($B155,COMPOS!$A$4:A$801,0),5))))</f>
        <v>777.60460899999987</v>
      </c>
      <c r="H155" s="280">
        <f>(IF($A155="SINAPI",INDEX(SINAPI_NOV2020_NDES!$A$7:$H$6703,MATCH($B155,SINAPI_NOV2020_NDES!$A$7:$A$6703,0),7),(INDEX(COMPOS!$A$4:$G$801,MATCH($B155,COMPOS!$A$4:A$801,0),6))))</f>
        <v>0</v>
      </c>
      <c r="I155" s="279">
        <f t="shared" si="30"/>
        <v>940.54805399999987</v>
      </c>
      <c r="J155" s="276">
        <f t="shared" si="31"/>
        <v>940.54805399999987</v>
      </c>
      <c r="K155" s="255"/>
      <c r="L155" s="255"/>
      <c r="M155" s="255"/>
      <c r="N155" s="255"/>
      <c r="O155" s="257"/>
      <c r="P155" s="257"/>
    </row>
    <row r="156" spans="1:16">
      <c r="A156" s="251" t="s">
        <v>6307</v>
      </c>
      <c r="B156" s="250">
        <v>552</v>
      </c>
      <c r="C156" s="282" t="str">
        <f>(IF($A156="SINAPI",INDEX(SINAPI_NOV2020_NDES!$A$7:$H$6703,MATCH($B156,SINAPI_NOV2020_NDES!$A$7:$A$6703,0),2),IF($A156="GOINFRA",INDEX(#REF!,MATCH($B156,#REF!,0),2),(INDEX(COMPOS!$A$4:$G$390,MATCH($B156,COMPOS!$A$4:A$390,0),2)))))</f>
        <v>TAMPA CEGA PARA CONDULETE METÁLICO</v>
      </c>
      <c r="D156" s="274" t="str">
        <f>(IF($A156="SINAPI",INDEX(SINAPI_NOV2020_NDES!$A$7:$H$6703,MATCH($B156,SINAPI_NOV2020_NDES!$A$7:$A$6703,0),3),IF($A156="GOINFRA",INDEX(#REF!,MATCH($B156,#REF!,0),3),(INDEX(COMPOS!$A$4:$G$39000,MATCH($B156,COMPOS!$A$4:A$39000,0),3)))))</f>
        <v>UN</v>
      </c>
      <c r="E156" s="279">
        <v>8</v>
      </c>
      <c r="F156" s="279">
        <f>(IF($A156="SINAPI",INDEX(SINAPI_NOV2020_NDES!$A$7:$H$6703,MATCH($B156,SINAPI_NOV2020_NDES!$A$7:$A$6703,0),5),(INDEX(COMPOS!$A$4:$G$801,MATCH($B156,COMPOS!$A$4:A$801,0),4))))</f>
        <v>1.1589</v>
      </c>
      <c r="G156" s="279">
        <f>(IF($A156="SINAPI",INDEX(SINAPI_NOV2020_NDES!$A$7:$H$6703,MATCH($B156,SINAPI_NOV2020_NDES!$A$7:$A$6703,0),6),(INDEX(COMPOS!$A$4:$G$801,MATCH($B156,COMPOS!$A$4:A$801,0),5))))</f>
        <v>2.36</v>
      </c>
      <c r="H156" s="280">
        <f>(IF($A156="SINAPI",INDEX(SINAPI_NOV2020_NDES!$A$7:$H$6703,MATCH($B156,SINAPI_NOV2020_NDES!$A$7:$A$6703,0),7),(INDEX(COMPOS!$A$4:$G$801,MATCH($B156,COMPOS!$A$4:A$801,0),6))))</f>
        <v>0</v>
      </c>
      <c r="I156" s="279">
        <f t="shared" si="30"/>
        <v>3.5188999999999999</v>
      </c>
      <c r="J156" s="276">
        <f t="shared" si="31"/>
        <v>28.151199999999999</v>
      </c>
      <c r="K156" s="255"/>
      <c r="L156" s="255"/>
      <c r="M156" s="255"/>
      <c r="N156" s="255"/>
      <c r="O156" s="257"/>
      <c r="P156" s="257"/>
    </row>
    <row r="157" spans="1:16" s="88" customFormat="1" ht="24">
      <c r="A157" s="251" t="s">
        <v>6307</v>
      </c>
      <c r="B157" s="250">
        <v>553</v>
      </c>
      <c r="C157" s="282" t="str">
        <f>(IF($A157="SINAPI",INDEX(SINAPI_NOV2020_NDES!$A$7:$H$6703,MATCH($B157,SINAPI_NOV2020_NDES!$A$7:$A$6703,0),2),IF($A157="GOINFRA",INDEX(#REF!,MATCH($B157,#REF!,0),2),(INDEX(COMPOS!$A$4:$G$390,MATCH($B157,COMPOS!$A$4:A$390,0),2)))))</f>
        <v>ADEQUAÇÃO DE VÃO EXISTENTE COM 80CM PARA PORTAS DE MADEIRA COM LARGURA DE 110CM</v>
      </c>
      <c r="D157" s="274" t="str">
        <f>(IF($A157="SINAPI",INDEX(SINAPI_NOV2020_NDES!$A$7:$H$6703,MATCH($B157,SINAPI_NOV2020_NDES!$A$7:$A$6703,0),3),IF($A157="GOINFRA",INDEX(#REF!,MATCH($B157,#REF!,0),3),(INDEX(COMPOS!$A$4:$G$39000,MATCH($B157,COMPOS!$A$4:A$39000,0),3)))))</f>
        <v>UN</v>
      </c>
      <c r="E157" s="279">
        <v>1</v>
      </c>
      <c r="F157" s="279">
        <f>(IF($A157="SINAPI",INDEX(SINAPI_NOV2020_NDES!$A$7:$H$6703,MATCH($B157,SINAPI_NOV2020_NDES!$A$7:$A$6703,0),5),(INDEX(COMPOS!$A$4:$G$801,MATCH($B157,COMPOS!$A$4:A$801,0),4))))</f>
        <v>58.154116999999999</v>
      </c>
      <c r="G157" s="279">
        <f>(IF($A157="SINAPI",INDEX(SINAPI_NOV2020_NDES!$A$7:$H$6703,MATCH($B157,SINAPI_NOV2020_NDES!$A$7:$A$6703,0),6),(INDEX(COMPOS!$A$4:$G$801,MATCH($B157,COMPOS!$A$4:A$801,0),5))))</f>
        <v>38.364512999999995</v>
      </c>
      <c r="H157" s="280">
        <f>(IF($A157="SINAPI",INDEX(SINAPI_NOV2020_NDES!$A$7:$H$6703,MATCH($B157,SINAPI_NOV2020_NDES!$A$7:$A$6703,0),7),(INDEX(COMPOS!$A$4:$G$801,MATCH($B157,COMPOS!$A$4:A$801,0),6))))</f>
        <v>0</v>
      </c>
      <c r="I157" s="279">
        <f t="shared" si="30"/>
        <v>96.518630000000002</v>
      </c>
      <c r="J157" s="276">
        <f t="shared" si="31"/>
        <v>96.518630000000002</v>
      </c>
      <c r="K157" s="255"/>
      <c r="L157" s="255"/>
      <c r="M157" s="255"/>
      <c r="N157" s="255"/>
      <c r="O157" s="257"/>
      <c r="P157" s="257"/>
    </row>
    <row r="158" spans="1:16">
      <c r="A158" s="680" t="s">
        <v>6927</v>
      </c>
      <c r="B158" s="680"/>
      <c r="C158" s="680"/>
      <c r="D158" s="680"/>
      <c r="E158" s="680"/>
      <c r="F158" s="680"/>
      <c r="G158" s="680"/>
      <c r="H158" s="680"/>
      <c r="I158" s="680"/>
      <c r="J158" s="288">
        <f>SUM(J152:J157)</f>
        <v>19169.917883999999</v>
      </c>
      <c r="K158" s="255"/>
      <c r="L158" s="255"/>
      <c r="M158" s="255"/>
      <c r="N158" s="255"/>
      <c r="O158" s="257"/>
      <c r="P158" s="257"/>
    </row>
    <row r="159" spans="1:16">
      <c r="A159" s="251"/>
      <c r="B159" s="272">
        <v>180</v>
      </c>
      <c r="C159" s="273" t="s">
        <v>595</v>
      </c>
      <c r="D159" s="274"/>
      <c r="E159" s="279"/>
      <c r="F159" s="279"/>
      <c r="G159" s="279"/>
      <c r="H159" s="280"/>
      <c r="I159" s="275"/>
      <c r="J159" s="276"/>
      <c r="K159" s="255"/>
      <c r="L159" s="255"/>
      <c r="M159" s="255"/>
      <c r="N159" s="255"/>
      <c r="O159" s="257"/>
      <c r="P159" s="257"/>
    </row>
    <row r="160" spans="1:16">
      <c r="A160" s="251" t="s">
        <v>6307</v>
      </c>
      <c r="B160" s="250">
        <v>96</v>
      </c>
      <c r="C160" s="282" t="s">
        <v>6315</v>
      </c>
      <c r="D160" s="274" t="str">
        <f>(IF($A160="SINAPI",INDEX(SINAPI_NOV2020_NDES!$A$7:$H$6703,MATCH($B160,SINAPI_NOV2020_NDES!$A$7:$A$6703,0),3),IF($A160="GOINFRA",INDEX(#REF!,MATCH($B160,#REF!,0),3),(INDEX(COMPOS!$A$4:$G$39000,MATCH($B160,COMPOS!$A$4:A$39000,0),3)))))</f>
        <v>M2</v>
      </c>
      <c r="E160" s="279">
        <v>5.6</v>
      </c>
      <c r="F160" s="279">
        <f>(IF($A160="SINAPI",INDEX(SINAPI_NOV2020_NDES!$A$7:$H$6703,MATCH($B160,SINAPI_NOV2020_NDES!$A$7:$A$6703,0),5),(INDEX(COMPOS!$A$4:$G$801,MATCH($B160,COMPOS!$A$4:A$801,0),4))))</f>
        <v>47.084742999999996</v>
      </c>
      <c r="G160" s="279">
        <f>(IF($A160="SINAPI",INDEX(SINAPI_NOV2020_NDES!$A$7:$H$6703,MATCH($B160,SINAPI_NOV2020_NDES!$A$7:$A$6703,0),6),(INDEX(COMPOS!$A$4:$G$801,MATCH($B160,COMPOS!$A$4:A$801,0),5))))</f>
        <v>474.43686159999993</v>
      </c>
      <c r="H160" s="280">
        <f>(IF($A160="SINAPI",INDEX(SINAPI_NOV2020_NDES!$A$7:$H$6703,MATCH($B160,SINAPI_NOV2020_NDES!$A$7:$A$6703,0),7),(INDEX(COMPOS!$A$4:$G$801,MATCH($B160,COMPOS!$A$4:A$801,0),6))))</f>
        <v>0</v>
      </c>
      <c r="I160" s="279">
        <f t="shared" ref="I160" si="32">SUM(F160:H160)</f>
        <v>521.52160459999993</v>
      </c>
      <c r="J160" s="276">
        <f t="shared" ref="J160" si="33">+I160*E160</f>
        <v>2920.5209857599993</v>
      </c>
      <c r="K160" s="255"/>
      <c r="L160" s="255"/>
      <c r="M160" s="255"/>
      <c r="N160" s="255"/>
      <c r="O160" s="257"/>
      <c r="P160" s="257"/>
    </row>
    <row r="161" spans="1:16">
      <c r="A161" s="251" t="s">
        <v>6307</v>
      </c>
      <c r="B161" s="250">
        <v>161</v>
      </c>
      <c r="C161" s="282" t="s">
        <v>6316</v>
      </c>
      <c r="D161" s="274" t="str">
        <f>(IF($A161="SINAPI",INDEX(SINAPI_NOV2020_NDES!$A$7:$H$6703,MATCH($B161,SINAPI_NOV2020_NDES!$A$7:$A$6703,0),3),IF($A161="GOINFRA",INDEX(#REF!,MATCH($B161,#REF!,0),3),(INDEX(COMPOS!$A$4:$G$39000,MATCH($B161,COMPOS!$A$4:A$39000,0),3)))))</f>
        <v>M2</v>
      </c>
      <c r="E161" s="279">
        <v>12.6</v>
      </c>
      <c r="F161" s="279">
        <f>(IF($A161="SINAPI",INDEX(SINAPI_NOV2020_NDES!$A$7:$H$6703,MATCH($B161,SINAPI_NOV2020_NDES!$A$7:$A$6703,0),5),(INDEX(COMPOS!$A$4:$G$801,MATCH($B161,COMPOS!$A$4:A$801,0),4))))</f>
        <v>47.084742999999996</v>
      </c>
      <c r="G161" s="279">
        <f>(IF($A161="SINAPI",INDEX(SINAPI_NOV2020_NDES!$A$7:$H$6703,MATCH($B161,SINAPI_NOV2020_NDES!$A$7:$A$6703,0),6),(INDEX(COMPOS!$A$4:$G$801,MATCH($B161,COMPOS!$A$4:A$801,0),5))))</f>
        <v>632.3175258</v>
      </c>
      <c r="H161" s="280">
        <f>(IF($A161="SINAPI",INDEX(SINAPI_NOV2020_NDES!$A$7:$H$6703,MATCH($B161,SINAPI_NOV2020_NDES!$A$7:$A$6703,0),7),(INDEX(COMPOS!$A$4:$G$801,MATCH($B161,COMPOS!$A$4:A$801,0),6))))</f>
        <v>0</v>
      </c>
      <c r="I161" s="279">
        <f t="shared" ref="I161:I170" si="34">SUM(F161:H161)</f>
        <v>679.4022688</v>
      </c>
      <c r="J161" s="276">
        <f t="shared" ref="J161:J170" si="35">+I161*E161</f>
        <v>8560.4685868800007</v>
      </c>
      <c r="K161" s="255"/>
      <c r="L161" s="255"/>
      <c r="M161" s="255"/>
      <c r="N161" s="255"/>
      <c r="O161" s="257"/>
      <c r="P161" s="257"/>
    </row>
    <row r="162" spans="1:16" s="88" customFormat="1" ht="15">
      <c r="A162" s="251" t="s">
        <v>6307</v>
      </c>
      <c r="B162" s="250">
        <v>12</v>
      </c>
      <c r="C162" s="282" t="s">
        <v>6317</v>
      </c>
      <c r="D162" s="274" t="str">
        <f>(IF($A162="SINAPI",INDEX(SINAPI_NOV2020_NDES!$A$7:$H$6703,MATCH($B162,SINAPI_NOV2020_NDES!$A$7:$A$6703,0),3),IF($A162="GOINFRA",INDEX(#REF!,MATCH($B162,#REF!,0),3),(INDEX(COMPOS!$A$4:$G$39000,MATCH($B162,COMPOS!$A$4:A$39000,0),3)))))</f>
        <v>M2</v>
      </c>
      <c r="E162" s="279">
        <v>2.8</v>
      </c>
      <c r="F162" s="279">
        <f>(IF($A162="SINAPI",INDEX(SINAPI_NOV2020_NDES!$A$7:$H$6703,MATCH($B162,SINAPI_NOV2020_NDES!$A$7:$A$6703,0),5),(INDEX(COMPOS!$A$4:$G$801,MATCH($B162,COMPOS!$A$4:A$801,0),4))))</f>
        <v>47.084742999999996</v>
      </c>
      <c r="G162" s="279">
        <f>(IF($A162="SINAPI",INDEX(SINAPI_NOV2020_NDES!$A$7:$H$6703,MATCH($B162,SINAPI_NOV2020_NDES!$A$7:$A$6703,0),6),(INDEX(COMPOS!$A$4:$G$801,MATCH($B162,COMPOS!$A$4:A$801,0),5))))</f>
        <v>545.27531650000003</v>
      </c>
      <c r="H162" s="280">
        <f>(IF($A162="SINAPI",INDEX(SINAPI_NOV2020_NDES!$A$7:$H$6703,MATCH($B162,SINAPI_NOV2020_NDES!$A$7:$A$6703,0),7),(INDEX(COMPOS!$A$4:$G$801,MATCH($B162,COMPOS!$A$4:A$801,0),6))))</f>
        <v>0</v>
      </c>
      <c r="I162" s="279">
        <f t="shared" si="34"/>
        <v>592.36005950000003</v>
      </c>
      <c r="J162" s="276">
        <f t="shared" si="35"/>
        <v>1658.6081666</v>
      </c>
      <c r="K162" s="255"/>
      <c r="L162" s="255"/>
      <c r="M162" s="255"/>
      <c r="N162" s="255"/>
      <c r="O162" s="257"/>
      <c r="P162" s="257"/>
    </row>
    <row r="163" spans="1:16" s="88" customFormat="1" ht="15">
      <c r="A163" s="251" t="s">
        <v>6307</v>
      </c>
      <c r="B163" s="250">
        <v>9</v>
      </c>
      <c r="C163" s="282" t="s">
        <v>6318</v>
      </c>
      <c r="D163" s="274" t="str">
        <f>(IF($A163="SINAPI",INDEX(SINAPI_NOV2020_NDES!$A$7:$H$6703,MATCH($B163,SINAPI_NOV2020_NDES!$A$7:$A$6703,0),3),IF($A163="GOINFRA",INDEX(#REF!,MATCH($B163,#REF!,0),3),(INDEX(COMPOS!$A$4:$G$39000,MATCH($B163,COMPOS!$A$4:A$39000,0),3)))))</f>
        <v>M2</v>
      </c>
      <c r="E163" s="279">
        <v>18.899999999999999</v>
      </c>
      <c r="F163" s="279">
        <f>(IF($A163="SINAPI",INDEX(SINAPI_NOV2020_NDES!$A$7:$H$6703,MATCH($B163,SINAPI_NOV2020_NDES!$A$7:$A$6703,0),5),(INDEX(COMPOS!$A$4:$G$801,MATCH($B163,COMPOS!$A$4:A$801,0),4))))</f>
        <v>47.084742999999996</v>
      </c>
      <c r="G163" s="279">
        <f>(IF($A163="SINAPI",INDEX(SINAPI_NOV2020_NDES!$A$7:$H$6703,MATCH($B163,SINAPI_NOV2020_NDES!$A$7:$A$6703,0),6),(INDEX(COMPOS!$A$4:$G$801,MATCH($B163,COMPOS!$A$4:A$801,0),5))))</f>
        <v>544.33859599999994</v>
      </c>
      <c r="H163" s="280">
        <f>(IF($A163="SINAPI",INDEX(SINAPI_NOV2020_NDES!$A$7:$H$6703,MATCH($B163,SINAPI_NOV2020_NDES!$A$7:$A$6703,0),7),(INDEX(COMPOS!$A$4:$G$801,MATCH($B163,COMPOS!$A$4:A$801,0),6))))</f>
        <v>0</v>
      </c>
      <c r="I163" s="279">
        <f t="shared" si="34"/>
        <v>591.42333899999994</v>
      </c>
      <c r="J163" s="276">
        <f t="shared" si="35"/>
        <v>11177.901107099999</v>
      </c>
      <c r="K163" s="255"/>
      <c r="L163" s="255"/>
      <c r="M163" s="255"/>
      <c r="N163" s="255"/>
      <c r="O163" s="257"/>
      <c r="P163" s="257"/>
    </row>
    <row r="164" spans="1:16" s="88" customFormat="1" ht="15">
      <c r="A164" s="251" t="s">
        <v>6307</v>
      </c>
      <c r="B164" s="250">
        <v>153</v>
      </c>
      <c r="C164" s="282" t="s">
        <v>6319</v>
      </c>
      <c r="D164" s="274" t="str">
        <f>(IF($A164="SINAPI",INDEX(SINAPI_NOV2020_NDES!$A$7:$H$6703,MATCH($B164,SINAPI_NOV2020_NDES!$A$7:$A$6703,0),3),IF($A164="GOINFRA",INDEX(#REF!,MATCH($B164,#REF!,0),3),(INDEX(COMPOS!$A$4:$G$39000,MATCH($B164,COMPOS!$A$4:A$39000,0),3)))))</f>
        <v>M2</v>
      </c>
      <c r="E164" s="279">
        <v>8.82</v>
      </c>
      <c r="F164" s="279">
        <f>(IF($A164="SINAPI",INDEX(SINAPI_NOV2020_NDES!$A$7:$H$6703,MATCH($B164,SINAPI_NOV2020_NDES!$A$7:$A$6703,0),5),(INDEX(COMPOS!$A$4:$G$801,MATCH($B164,COMPOS!$A$4:A$801,0),4))))</f>
        <v>47.084742999999996</v>
      </c>
      <c r="G164" s="279">
        <f>(IF($A164="SINAPI",INDEX(SINAPI_NOV2020_NDES!$A$7:$H$6703,MATCH($B164,SINAPI_NOV2020_NDES!$A$7:$A$6703,0),6),(INDEX(COMPOS!$A$4:$G$801,MATCH($B164,COMPOS!$A$4:A$801,0),5))))</f>
        <v>436.37288639999997</v>
      </c>
      <c r="H164" s="280">
        <f>(IF($A164="SINAPI",INDEX(SINAPI_NOV2020_NDES!$A$7:$H$6703,MATCH($B164,SINAPI_NOV2020_NDES!$A$7:$A$6703,0),7),(INDEX(COMPOS!$A$4:$G$801,MATCH($B164,COMPOS!$A$4:A$801,0),6))))</f>
        <v>0</v>
      </c>
      <c r="I164" s="279">
        <f t="shared" si="34"/>
        <v>483.45762939999997</v>
      </c>
      <c r="J164" s="276">
        <f t="shared" si="35"/>
        <v>4264.0962913080002</v>
      </c>
      <c r="K164" s="255"/>
      <c r="L164" s="255"/>
      <c r="M164" s="255"/>
      <c r="N164" s="255"/>
      <c r="O164" s="257"/>
      <c r="P164" s="257"/>
    </row>
    <row r="165" spans="1:16" s="99" customFormat="1" ht="15">
      <c r="A165" s="251" t="s">
        <v>6307</v>
      </c>
      <c r="B165" s="250">
        <v>107</v>
      </c>
      <c r="C165" s="282" t="s">
        <v>6320</v>
      </c>
      <c r="D165" s="274" t="str">
        <f>(IF($A165="SINAPI",INDEX(SINAPI_NOV2020_NDES!$A$7:$H$6703,MATCH($B165,SINAPI_NOV2020_NDES!$A$7:$A$6703,0),3),IF($A165="GOINFRA",INDEX(#REF!,MATCH($B165,#REF!,0),3),(INDEX(COMPOS!$A$4:$G$39000,MATCH($B165,COMPOS!$A$4:A$39000,0),3)))))</f>
        <v>M2</v>
      </c>
      <c r="E165" s="279">
        <v>8.64</v>
      </c>
      <c r="F165" s="279">
        <f>(IF($A165="SINAPI",INDEX(SINAPI_NOV2020_NDES!$A$7:$H$6703,MATCH($B165,SINAPI_NOV2020_NDES!$A$7:$A$6703,0),5),(INDEX(COMPOS!$A$4:$G$801,MATCH($B165,COMPOS!$A$4:A$801,0),4))))</f>
        <v>47.084742999999996</v>
      </c>
      <c r="G165" s="279">
        <f>(IF($A165="SINAPI",INDEX(SINAPI_NOV2020_NDES!$A$7:$H$6703,MATCH($B165,SINAPI_NOV2020_NDES!$A$7:$A$6703,0),6),(INDEX(COMPOS!$A$4:$G$801,MATCH($B165,COMPOS!$A$4:A$801,0),5))))</f>
        <v>433.56921126595739</v>
      </c>
      <c r="H165" s="280">
        <f>(IF($A165="SINAPI",INDEX(SINAPI_NOV2020_NDES!$A$7:$H$6703,MATCH($B165,SINAPI_NOV2020_NDES!$A$7:$A$6703,0),7),(INDEX(COMPOS!$A$4:$G$801,MATCH($B165,COMPOS!$A$4:A$801,0),6))))</f>
        <v>0</v>
      </c>
      <c r="I165" s="279">
        <f t="shared" si="34"/>
        <v>480.6539542659574</v>
      </c>
      <c r="J165" s="276">
        <f t="shared" si="35"/>
        <v>4152.8501648578722</v>
      </c>
      <c r="K165" s="255"/>
      <c r="L165" s="255"/>
      <c r="M165" s="255"/>
      <c r="N165" s="255"/>
      <c r="O165" s="257"/>
      <c r="P165" s="257"/>
    </row>
    <row r="166" spans="1:16" s="1" customFormat="1" ht="15">
      <c r="A166" s="251" t="s">
        <v>6307</v>
      </c>
      <c r="B166" s="250">
        <v>157</v>
      </c>
      <c r="C166" s="282" t="s">
        <v>6321</v>
      </c>
      <c r="D166" s="274" t="str">
        <f>(IF($A166="SINAPI",INDEX(SINAPI_NOV2020_NDES!$A$7:$H$6703,MATCH($B166,SINAPI_NOV2020_NDES!$A$7:$A$6703,0),3),IF($A166="GOINFRA",INDEX(#REF!,MATCH($B166,#REF!,0),3),(INDEX(COMPOS!$A$4:$G$39000,MATCH($B166,COMPOS!$A$4:A$39000,0),3)))))</f>
        <v>M2</v>
      </c>
      <c r="E166" s="279">
        <v>13.86</v>
      </c>
      <c r="F166" s="279">
        <f>(IF($A166="SINAPI",INDEX(SINAPI_NOV2020_NDES!$A$7:$H$6703,MATCH($B166,SINAPI_NOV2020_NDES!$A$7:$A$6703,0),5),(INDEX(COMPOS!$A$4:$G$801,MATCH($B166,COMPOS!$A$4:A$801,0),4))))</f>
        <v>134.02471</v>
      </c>
      <c r="G166" s="279">
        <f>(IF($A166="SINAPI",INDEX(SINAPI_NOV2020_NDES!$A$7:$H$6703,MATCH($B166,SINAPI_NOV2020_NDES!$A$7:$A$6703,0),6),(INDEX(COMPOS!$A$4:$G$801,MATCH($B166,COMPOS!$A$4:A$801,0),5))))</f>
        <v>624.43732750000015</v>
      </c>
      <c r="H166" s="280">
        <f>(IF($A166="SINAPI",INDEX(SINAPI_NOV2020_NDES!$A$7:$H$6703,MATCH($B166,SINAPI_NOV2020_NDES!$A$7:$A$6703,0),7),(INDEX(COMPOS!$A$4:$G$801,MATCH($B166,COMPOS!$A$4:A$801,0),6))))</f>
        <v>0</v>
      </c>
      <c r="I166" s="279">
        <f t="shared" si="34"/>
        <v>758.46203750000018</v>
      </c>
      <c r="J166" s="276">
        <f t="shared" si="35"/>
        <v>10512.283839750002</v>
      </c>
      <c r="K166" s="255"/>
      <c r="L166" s="255"/>
      <c r="M166" s="255"/>
      <c r="N166" s="255"/>
      <c r="O166" s="257"/>
      <c r="P166" s="257"/>
    </row>
    <row r="167" spans="1:16" s="88" customFormat="1" ht="15">
      <c r="A167" s="251" t="s">
        <v>6307</v>
      </c>
      <c r="B167" s="250">
        <v>157</v>
      </c>
      <c r="C167" s="282" t="s">
        <v>6322</v>
      </c>
      <c r="D167" s="274" t="str">
        <f>(IF($A167="SINAPI",INDEX(SINAPI_NOV2020_NDES!$A$7:$H$6703,MATCH($B167,SINAPI_NOV2020_NDES!$A$7:$A$6703,0),3),IF($A167="GOINFRA",INDEX(#REF!,MATCH($B167,#REF!,0),3),(INDEX(COMPOS!$A$4:$G$39000,MATCH($B167,COMPOS!$A$4:A$39000,0),3)))))</f>
        <v>M2</v>
      </c>
      <c r="E167" s="279">
        <v>3.43</v>
      </c>
      <c r="F167" s="279">
        <f>(IF($A167="SINAPI",INDEX(SINAPI_NOV2020_NDES!$A$7:$H$6703,MATCH($B167,SINAPI_NOV2020_NDES!$A$7:$A$6703,0),5),(INDEX(COMPOS!$A$4:$G$801,MATCH($B167,COMPOS!$A$4:A$801,0),4))))</f>
        <v>134.02471</v>
      </c>
      <c r="G167" s="279">
        <f>(IF($A167="SINAPI",INDEX(SINAPI_NOV2020_NDES!$A$7:$H$6703,MATCH($B167,SINAPI_NOV2020_NDES!$A$7:$A$6703,0),6),(INDEX(COMPOS!$A$4:$G$801,MATCH($B167,COMPOS!$A$4:A$801,0),5))))</f>
        <v>624.43732750000015</v>
      </c>
      <c r="H167" s="280">
        <f>(IF($A167="SINAPI",INDEX(SINAPI_NOV2020_NDES!$A$7:$H$6703,MATCH($B167,SINAPI_NOV2020_NDES!$A$7:$A$6703,0),7),(INDEX(COMPOS!$A$4:$G$801,MATCH($B167,COMPOS!$A$4:A$801,0),6))))</f>
        <v>0</v>
      </c>
      <c r="I167" s="279">
        <f t="shared" si="34"/>
        <v>758.46203750000018</v>
      </c>
      <c r="J167" s="276">
        <f t="shared" si="35"/>
        <v>2601.5247886250008</v>
      </c>
      <c r="K167" s="255"/>
      <c r="L167" s="255"/>
      <c r="M167" s="255"/>
      <c r="N167" s="255"/>
      <c r="O167" s="257"/>
      <c r="P167" s="257"/>
    </row>
    <row r="168" spans="1:16" s="99" customFormat="1" ht="15">
      <c r="A168" s="251" t="s">
        <v>6307</v>
      </c>
      <c r="B168" s="250">
        <v>157</v>
      </c>
      <c r="C168" s="282" t="s">
        <v>6323</v>
      </c>
      <c r="D168" s="274" t="str">
        <f>(IF($A168="SINAPI",INDEX(SINAPI_NOV2020_NDES!$A$7:$H$6703,MATCH($B168,SINAPI_NOV2020_NDES!$A$7:$A$6703,0),3),IF($A168="GOINFRA",INDEX(#REF!,MATCH($B168,#REF!,0),3),(INDEX(COMPOS!$A$4:$G$39000,MATCH($B168,COMPOS!$A$4:A$39000,0),3)))))</f>
        <v>M2</v>
      </c>
      <c r="E168" s="279">
        <v>7.68</v>
      </c>
      <c r="F168" s="279">
        <f>(IF($A168="SINAPI",INDEX(SINAPI_NOV2020_NDES!$A$7:$H$6703,MATCH($B168,SINAPI_NOV2020_NDES!$A$7:$A$6703,0),5),(INDEX(COMPOS!$A$4:$G$801,MATCH($B168,COMPOS!$A$4:A$801,0),4))))</f>
        <v>134.02471</v>
      </c>
      <c r="G168" s="279">
        <f>(IF($A168="SINAPI",INDEX(SINAPI_NOV2020_NDES!$A$7:$H$6703,MATCH($B168,SINAPI_NOV2020_NDES!$A$7:$A$6703,0),6),(INDEX(COMPOS!$A$4:$G$801,MATCH($B168,COMPOS!$A$4:A$801,0),5))))</f>
        <v>624.43732750000015</v>
      </c>
      <c r="H168" s="280">
        <f>(IF($A168="SINAPI",INDEX(SINAPI_NOV2020_NDES!$A$7:$H$6703,MATCH($B168,SINAPI_NOV2020_NDES!$A$7:$A$6703,0),7),(INDEX(COMPOS!$A$4:$G$801,MATCH($B168,COMPOS!$A$4:A$801,0),6))))</f>
        <v>0</v>
      </c>
      <c r="I168" s="279">
        <f t="shared" si="34"/>
        <v>758.46203750000018</v>
      </c>
      <c r="J168" s="276">
        <f t="shared" si="35"/>
        <v>5824.988448000001</v>
      </c>
      <c r="K168" s="255"/>
      <c r="L168" s="255"/>
      <c r="M168" s="255"/>
      <c r="N168" s="255"/>
      <c r="O168" s="257"/>
      <c r="P168" s="257"/>
    </row>
    <row r="169" spans="1:16" s="1" customFormat="1" ht="15">
      <c r="A169" s="251" t="s">
        <v>6307</v>
      </c>
      <c r="B169" s="250">
        <v>156</v>
      </c>
      <c r="C169" s="282" t="s">
        <v>6324</v>
      </c>
      <c r="D169" s="274" t="str">
        <f>(IF($A169="SINAPI",INDEX(SINAPI_NOV2020_NDES!$A$7:$H$6703,MATCH($B169,SINAPI_NOV2020_NDES!$A$7:$A$6703,0),3),IF($A169="GOINFRA",INDEX(#REF!,MATCH($B169,#REF!,0),3),(INDEX(COMPOS!$A$4:$G$39000,MATCH($B169,COMPOS!$A$4:A$39000,0),3)))))</f>
        <v>M2</v>
      </c>
      <c r="E169" s="279">
        <v>7.84</v>
      </c>
      <c r="F169" s="279">
        <f>(IF($A169="SINAPI",INDEX(SINAPI_NOV2020_NDES!$A$7:$H$6703,MATCH($B169,SINAPI_NOV2020_NDES!$A$7:$A$6703,0),5),(INDEX(COMPOS!$A$4:$G$801,MATCH($B169,COMPOS!$A$4:A$801,0),4))))</f>
        <v>134.02471</v>
      </c>
      <c r="G169" s="279">
        <f>(IF($A169="SINAPI",INDEX(SINAPI_NOV2020_NDES!$A$7:$H$6703,MATCH($B169,SINAPI_NOV2020_NDES!$A$7:$A$6703,0),6),(INDEX(COMPOS!$A$4:$G$801,MATCH($B169,COMPOS!$A$4:A$801,0),5))))</f>
        <v>503.49081699999999</v>
      </c>
      <c r="H169" s="280">
        <f>(IF($A169="SINAPI",INDEX(SINAPI_NOV2020_NDES!$A$7:$H$6703,MATCH($B169,SINAPI_NOV2020_NDES!$A$7:$A$6703,0),7),(INDEX(COMPOS!$A$4:$G$801,MATCH($B169,COMPOS!$A$4:A$801,0),6))))</f>
        <v>0</v>
      </c>
      <c r="I169" s="279">
        <f t="shared" si="34"/>
        <v>637.51552700000002</v>
      </c>
      <c r="J169" s="276">
        <f t="shared" si="35"/>
        <v>4998.1217316800003</v>
      </c>
      <c r="K169" s="255"/>
      <c r="L169" s="255"/>
      <c r="M169" s="255"/>
      <c r="N169" s="255"/>
      <c r="O169" s="257"/>
      <c r="P169" s="257"/>
    </row>
    <row r="170" spans="1:16" s="88" customFormat="1" ht="15">
      <c r="A170" s="251" t="s">
        <v>6307</v>
      </c>
      <c r="B170" s="250">
        <v>156</v>
      </c>
      <c r="C170" s="282" t="s">
        <v>6325</v>
      </c>
      <c r="D170" s="274" t="str">
        <f>(IF($A170="SINAPI",INDEX(SINAPI_NOV2020_NDES!$A$7:$H$6703,MATCH($B170,SINAPI_NOV2020_NDES!$A$7:$A$6703,0),3),IF($A170="GOINFRA",INDEX(#REF!,MATCH($B170,#REF!,0),3),(INDEX(COMPOS!$A$4:$G$39000,MATCH($B170,COMPOS!$A$4:A$39000,0),3)))))</f>
        <v>M2</v>
      </c>
      <c r="E170" s="279">
        <v>3.5</v>
      </c>
      <c r="F170" s="279">
        <f>(IF($A170="SINAPI",INDEX(SINAPI_NOV2020_NDES!$A$7:$H$6703,MATCH($B170,SINAPI_NOV2020_NDES!$A$7:$A$6703,0),5),(INDEX(COMPOS!$A$4:$G$801,MATCH($B170,COMPOS!$A$4:A$801,0),4))))</f>
        <v>134.02471</v>
      </c>
      <c r="G170" s="279">
        <f>(IF($A170="SINAPI",INDEX(SINAPI_NOV2020_NDES!$A$7:$H$6703,MATCH($B170,SINAPI_NOV2020_NDES!$A$7:$A$6703,0),6),(INDEX(COMPOS!$A$4:$G$801,MATCH($B170,COMPOS!$A$4:A$801,0),5))))</f>
        <v>503.49081699999999</v>
      </c>
      <c r="H170" s="280">
        <f>(IF($A170="SINAPI",INDEX(SINAPI_NOV2020_NDES!$A$7:$H$6703,MATCH($B170,SINAPI_NOV2020_NDES!$A$7:$A$6703,0),7),(INDEX(COMPOS!$A$4:$G$801,MATCH($B170,COMPOS!$A$4:A$801,0),6))))</f>
        <v>0</v>
      </c>
      <c r="I170" s="279">
        <f t="shared" si="34"/>
        <v>637.51552700000002</v>
      </c>
      <c r="J170" s="276">
        <f t="shared" si="35"/>
        <v>2231.3043445000003</v>
      </c>
      <c r="K170" s="255"/>
      <c r="L170" s="255"/>
      <c r="M170" s="255"/>
      <c r="N170" s="255"/>
      <c r="O170" s="257"/>
      <c r="P170" s="257"/>
    </row>
    <row r="171" spans="1:16" s="1" customFormat="1" ht="15">
      <c r="A171" s="680" t="s">
        <v>6927</v>
      </c>
      <c r="B171" s="680"/>
      <c r="C171" s="680"/>
      <c r="D171" s="680"/>
      <c r="E171" s="680"/>
      <c r="F171" s="680"/>
      <c r="G171" s="680"/>
      <c r="H171" s="680"/>
      <c r="I171" s="680"/>
      <c r="J171" s="276">
        <f>SUM(J160:J170)</f>
        <v>58902.668455060877</v>
      </c>
      <c r="K171" s="255"/>
      <c r="L171" s="255"/>
      <c r="M171" s="255"/>
      <c r="N171" s="255"/>
      <c r="O171" s="257"/>
      <c r="P171" s="257"/>
    </row>
    <row r="172" spans="1:16" s="88" customFormat="1" ht="15">
      <c r="A172" s="251"/>
      <c r="B172" s="272">
        <v>181</v>
      </c>
      <c r="C172" s="273" t="s">
        <v>594</v>
      </c>
      <c r="D172" s="274"/>
      <c r="E172" s="279"/>
      <c r="F172" s="279"/>
      <c r="G172" s="279"/>
      <c r="H172" s="280"/>
      <c r="I172" s="275"/>
      <c r="J172" s="276"/>
      <c r="K172" s="255"/>
      <c r="L172" s="255"/>
      <c r="M172" s="255"/>
      <c r="N172" s="255"/>
      <c r="O172" s="257"/>
      <c r="P172" s="257"/>
    </row>
    <row r="173" spans="1:16" s="99" customFormat="1" ht="15">
      <c r="A173" s="251" t="s">
        <v>7</v>
      </c>
      <c r="B173" s="292">
        <v>72117</v>
      </c>
      <c r="C173" s="282" t="str">
        <f>(IF($A173="SINAPI",INDEX(SINAPI_NOV2020_NDES!$A$7:$H$6703,MATCH($B173,SINAPI_NOV2020_NDES!$A$7:$A$6703,0),2),IF($A173="GOINFRA",INDEX(#REF!,MATCH($B173,#REF!,0),2),(INDEX(COMPOS!$A$4:$G$390,MATCH($B173,COMPOS!$A$4:A$390,0),2)))))</f>
        <v>VIDRO LISO COMUM TRANSPARENTE, ESPESSURA 4MM</v>
      </c>
      <c r="D173" s="274" t="str">
        <f>(IF($A173="SINAPI",INDEX(SINAPI_NOV2020_NDES!$A$7:$H$6703,MATCH($B173,SINAPI_NOV2020_NDES!$A$7:$A$6703,0),3),IF($A173="GOINFRA",INDEX(#REF!,MATCH($B173,#REF!,0),3),(INDEX(COMPOS!$A$4:$G$39000,MATCH($B173,COMPOS!$A$4:A$39000,0),3)))))</f>
        <v>M2</v>
      </c>
      <c r="E173" s="279">
        <v>89.77</v>
      </c>
      <c r="F173" s="279">
        <f>(IF($A173="SINAPI",INDEX(SINAPI_NOV2020_NDES!$A$7:$H$6703,MATCH($B173,SINAPI_NOV2020_NDES!$A$7:$A$6703,0),5),(INDEX(COMPOS!$A$4:$G$801,MATCH($B173,COMPOS!$A$4:A$801,0),4))))</f>
        <v>11.8</v>
      </c>
      <c r="G173" s="279">
        <f>(IF($A173="SINAPI",INDEX(SINAPI_NOV2020_NDES!$A$7:$H$6703,MATCH($B173,SINAPI_NOV2020_NDES!$A$7:$A$6703,0),6),(INDEX(COMPOS!$A$4:$G$801,MATCH($B173,COMPOS!$A$4:A$801,0),5))))</f>
        <v>171.51</v>
      </c>
      <c r="H173" s="280">
        <f>(IF($A173="SINAPI",INDEX(SINAPI_NOV2020_NDES!$A$7:$H$6703,MATCH($B173,SINAPI_NOV2020_NDES!$A$7:$A$6703,0),7),(INDEX(COMPOS!$A$4:$G$801,MATCH($B173,COMPOS!$A$4:A$801,0),6))))</f>
        <v>0</v>
      </c>
      <c r="I173" s="279">
        <f t="shared" ref="I173" si="36">SUM(F173:H173)</f>
        <v>183.31</v>
      </c>
      <c r="J173" s="276">
        <f t="shared" ref="J173" si="37">+I173*E173</f>
        <v>16455.738699999998</v>
      </c>
      <c r="K173" s="255"/>
      <c r="L173" s="255"/>
      <c r="M173" s="255"/>
      <c r="N173" s="255"/>
      <c r="O173" s="257"/>
      <c r="P173" s="257"/>
    </row>
    <row r="174" spans="1:16" s="1" customFormat="1" ht="15">
      <c r="A174" s="680" t="s">
        <v>6927</v>
      </c>
      <c r="B174" s="680"/>
      <c r="C174" s="680"/>
      <c r="D174" s="680"/>
      <c r="E174" s="680"/>
      <c r="F174" s="680"/>
      <c r="G174" s="680"/>
      <c r="H174" s="680"/>
      <c r="I174" s="680"/>
      <c r="J174" s="281">
        <f>SUM(J173)</f>
        <v>16455.738699999998</v>
      </c>
      <c r="K174" s="255"/>
      <c r="L174" s="255"/>
      <c r="M174" s="255"/>
      <c r="N174" s="255"/>
      <c r="O174" s="257"/>
      <c r="P174" s="257"/>
    </row>
    <row r="175" spans="1:16" s="88" customFormat="1" ht="15">
      <c r="A175" s="251"/>
      <c r="B175" s="272">
        <v>182</v>
      </c>
      <c r="C175" s="273" t="s">
        <v>593</v>
      </c>
      <c r="D175" s="274"/>
      <c r="E175" s="279"/>
      <c r="F175" s="279"/>
      <c r="G175" s="279"/>
      <c r="H175" s="280"/>
      <c r="I175" s="275"/>
      <c r="J175" s="276"/>
      <c r="K175" s="255"/>
      <c r="L175" s="255"/>
      <c r="M175" s="255"/>
      <c r="N175" s="255"/>
      <c r="O175" s="257"/>
      <c r="P175" s="257"/>
    </row>
    <row r="176" spans="1:16" s="99" customFormat="1" ht="36">
      <c r="A176" s="251" t="s">
        <v>7</v>
      </c>
      <c r="B176" s="250">
        <v>87267</v>
      </c>
      <c r="C176" s="291" t="str">
        <f>(IF($A176="SINAPI",INDEX(SINAPI_NOV2020_NDES!$A$7:$H$6703,MATCH($B176,SINAPI_NOV2020_NDES!$A$7:$A$6703,0),2),IF($A176="GOINFRA",INDEX(#REF!,MATCH($B176,#REF!,0),2),(INDEX(COMPOS!$A$4:$G$390,MATCH($B176,COMPOS!$A$4:A$390,0),3)))))</f>
        <v>REVESTIMENTO CERÂMICO PARA PAREDES INTERNAS COM PLACAS TIPO ESMALTADA EXTRA DE DIMENSÕES 20X20 CM APLICADAS EM AMBIENTES DE ÁREA MAIOR QUE 5 M² A MEIA ALTURA DAS PAREDES. AF_06/2014</v>
      </c>
      <c r="D176" s="274" t="str">
        <f>(IF($A176="SINAPI",INDEX(SINAPI_NOV2020_NDES!$A$7:$H$6703,MATCH($B176,SINAPI_NOV2020_NDES!$A$7:$A$6703,0),3),IF($A176="GOINFRA",INDEX(#REF!,MATCH($B176,#REF!,0),3),(INDEX(COMPOS!$A$4:$G$39000,MATCH($B176,COMPOS!$A$4:A$39000,0),3)))))</f>
        <v>M2</v>
      </c>
      <c r="E176" s="279">
        <v>361.56</v>
      </c>
      <c r="F176" s="279">
        <f>(IF($A176="SINAPI",INDEX(SINAPI_NOV2020_NDES!$A$7:$H$6703,MATCH($B176,SINAPI_NOV2020_NDES!$A$7:$A$6703,0),5),(INDEX(COMPOS!$A$4:$G$801,MATCH($B176,COMPOS!$A$4:A$801,0),4))))</f>
        <v>15.86</v>
      </c>
      <c r="G176" s="279">
        <f>(IF($A176="SINAPI",INDEX(SINAPI_NOV2020_NDES!$A$7:$H$6703,MATCH($B176,SINAPI_NOV2020_NDES!$A$7:$A$6703,0),6),(INDEX(COMPOS!$A$4:$G$801,MATCH($B176,COMPOS!$A$4:A$801,0),5))))</f>
        <v>27.49</v>
      </c>
      <c r="H176" s="280">
        <f>(IF($A176="SINAPI",INDEX(SINAPI_NOV2020_NDES!$A$7:$H$6703,MATCH($B176,SINAPI_NOV2020_NDES!$A$7:$A$6703,0),7),(INDEX(COMPOS!$A$4:$G$801,MATCH($B176,COMPOS!$A$4:A$801,0),6))))</f>
        <v>0</v>
      </c>
      <c r="I176" s="279">
        <f t="shared" ref="I176" si="38">SUM(F176:H176)</f>
        <v>43.349999999999994</v>
      </c>
      <c r="J176" s="276">
        <f t="shared" ref="J176" si="39">+I176*E176</f>
        <v>15673.625999999998</v>
      </c>
      <c r="K176" s="255"/>
      <c r="L176" s="255"/>
      <c r="M176" s="255"/>
      <c r="N176" s="255"/>
      <c r="O176" s="257"/>
      <c r="P176" s="257"/>
    </row>
    <row r="177" spans="1:16" s="1" customFormat="1" ht="15">
      <c r="A177" s="680" t="s">
        <v>6927</v>
      </c>
      <c r="B177" s="680"/>
      <c r="C177" s="680"/>
      <c r="D177" s="680"/>
      <c r="E177" s="680"/>
      <c r="F177" s="680"/>
      <c r="G177" s="680"/>
      <c r="H177" s="680"/>
      <c r="I177" s="680"/>
      <c r="J177" s="281">
        <f>SUM(J176)</f>
        <v>15673.625999999998</v>
      </c>
      <c r="K177" s="255"/>
      <c r="L177" s="255"/>
      <c r="M177" s="255"/>
      <c r="N177" s="255"/>
      <c r="O177" s="257"/>
      <c r="P177" s="257"/>
    </row>
    <row r="178" spans="1:16" s="88" customFormat="1" ht="15">
      <c r="A178" s="251"/>
      <c r="B178" s="272">
        <v>184</v>
      </c>
      <c r="C178" s="273" t="s">
        <v>591</v>
      </c>
      <c r="D178" s="274"/>
      <c r="E178" s="279"/>
      <c r="F178" s="279"/>
      <c r="G178" s="279"/>
      <c r="H178" s="280"/>
      <c r="I178" s="275"/>
      <c r="J178" s="276"/>
      <c r="K178" s="255"/>
      <c r="L178" s="255"/>
      <c r="M178" s="255"/>
      <c r="N178" s="255"/>
      <c r="O178" s="257"/>
      <c r="P178" s="257"/>
    </row>
    <row r="179" spans="1:16" s="99" customFormat="1" ht="24">
      <c r="A179" s="251" t="s">
        <v>7</v>
      </c>
      <c r="B179" s="289">
        <v>95241</v>
      </c>
      <c r="C179" s="282" t="str">
        <f>(IF($A179="SINAPI",INDEX(SINAPI_NOV2020_NDES!$A$7:$H$6703,MATCH($B179,SINAPI_NOV2020_NDES!$A$7:$A$6703,0),2),IF($A179="GOINFRA",INDEX(#REF!,MATCH($B179,#REF!,0),2),(INDEX(COMPOS!$A$4:$G$390,MATCH($B179,COMPOS!$A$4:A$390,0),2)))))</f>
        <v>LASTRO DE CONCRETO MAGRO, APLICADO EM PISOS OU RADIERS, ESPESSURA DE 5 CM. AF_07/2016</v>
      </c>
      <c r="D179" s="274" t="str">
        <f>(IF($A179="SINAPI",INDEX(SINAPI_NOV2020_NDES!$A$7:$H$6703,MATCH($B179,SINAPI_NOV2020_NDES!$A$7:$A$6703,0),3),IF($A179="GOINFRA",INDEX(#REF!,MATCH($B179,#REF!,0),3),(INDEX(COMPOS!$A$4:$G$39000,MATCH($B179,COMPOS!$A$4:A$39000,0),3)))))</f>
        <v>M2</v>
      </c>
      <c r="E179" s="279">
        <f>19.64+80.69</f>
        <v>100.33</v>
      </c>
      <c r="F179" s="279">
        <f>(IF($A179="SINAPI",INDEX(SINAPI_NOV2020_NDES!$A$7:$H$6703,MATCH($B179,SINAPI_NOV2020_NDES!$A$7:$A$6703,0),5),(INDEX(COMPOS!$A$4:$G$801,MATCH($B179,COMPOS!$A$4:A$801,0),4))))</f>
        <v>8.26</v>
      </c>
      <c r="G179" s="279">
        <f>(IF($A179="SINAPI",INDEX(SINAPI_NOV2020_NDES!$A$7:$H$6703,MATCH($B179,SINAPI_NOV2020_NDES!$A$7:$A$6703,0),6),(INDEX(COMPOS!$A$4:$G$801,MATCH($B179,COMPOS!$A$4:A$801,0),5))))</f>
        <v>16.48</v>
      </c>
      <c r="H179" s="280">
        <f>(IF($A179="SINAPI",INDEX(SINAPI_NOV2020_NDES!$A$7:$H$6703,MATCH($B179,SINAPI_NOV2020_NDES!$A$7:$A$6703,0),7),(INDEX(COMPOS!$A$4:$G$801,MATCH($B179,COMPOS!$A$4:A$801,0),6))))</f>
        <v>0.09</v>
      </c>
      <c r="I179" s="279">
        <f t="shared" ref="I179" si="40">SUM(F179:H179)</f>
        <v>24.830000000000002</v>
      </c>
      <c r="J179" s="276">
        <f t="shared" ref="J179" si="41">+I179*E179</f>
        <v>2491.1939000000002</v>
      </c>
      <c r="K179" s="255"/>
      <c r="L179" s="255"/>
      <c r="M179" s="255"/>
      <c r="N179" s="255"/>
      <c r="O179" s="257"/>
      <c r="P179" s="257"/>
    </row>
    <row r="180" spans="1:16" s="1" customFormat="1" ht="24">
      <c r="A180" s="251" t="s">
        <v>6307</v>
      </c>
      <c r="B180" s="290">
        <v>348</v>
      </c>
      <c r="C180" s="282" t="str">
        <f>(IF($A180="SINAPI",INDEX(SINAPI_NOV2020_NDES!$A$7:$H$6703,MATCH($B180,SINAPI_NOV2020_NDES!$A$7:$A$6703,0),2),IF($A180="GOINFRA",INDEX(#REF!,MATCH($B180,#REF!,0),2),(INDEX(COMPOS!$A$4:$G$390,MATCH($B180,COMPOS!$A$4:A$390,0),2)))))</f>
        <v>PASSEIO DE PROTEÇÃO EM CONCRETO DESEMPENADO 5CM (1:2,5:3,5) (INCLUSO ESPELHO DE 30CM/ESCAVAÇÃO/REATERRO/APILOAMENTO/ATERRO INTERNO)</v>
      </c>
      <c r="D180" s="274" t="str">
        <f>(IF($A180="SINAPI",INDEX(SINAPI_NOV2020_NDES!$A$7:$H$6703,MATCH($B180,SINAPI_NOV2020_NDES!$A$7:$A$6703,0),3),IF($A180="GOINFRA",INDEX(#REF!,MATCH($B180,#REF!,0),3),(INDEX(COMPOS!$A$4:$G$39000,MATCH($B180,COMPOS!$A$4:A$39000,0),3)))))</f>
        <v>M2</v>
      </c>
      <c r="E180" s="279">
        <v>54.21</v>
      </c>
      <c r="F180" s="279">
        <f>(IF($A180="SINAPI",INDEX(SINAPI_NOV2020_NDES!$A$7:$H$6703,MATCH($B180,SINAPI_NOV2020_NDES!$A$7:$A$6703,0),5),(INDEX(COMPOS!$A$4:$G$801,MATCH($B180,COMPOS!$A$4:A$801,0),4))))</f>
        <v>43.421984000000002</v>
      </c>
      <c r="G180" s="279">
        <f>(IF($A180="SINAPI",INDEX(SINAPI_NOV2020_NDES!$A$7:$H$6703,MATCH($B180,SINAPI_NOV2020_NDES!$A$7:$A$6703,0),6),(INDEX(COMPOS!$A$4:$G$801,MATCH($B180,COMPOS!$A$4:A$801,0),5))))</f>
        <v>31.570292999999999</v>
      </c>
      <c r="H180" s="280">
        <f>(IF($A180="SINAPI",INDEX(SINAPI_NOV2020_NDES!$A$7:$H$6703,MATCH($B180,SINAPI_NOV2020_NDES!$A$7:$A$6703,0),7),(INDEX(COMPOS!$A$4:$G$801,MATCH($B180,COMPOS!$A$4:A$801,0),6))))</f>
        <v>0</v>
      </c>
      <c r="I180" s="279">
        <f t="shared" ref="I180:I184" si="42">SUM(F180:H180)</f>
        <v>74.992277000000001</v>
      </c>
      <c r="J180" s="276">
        <f t="shared" ref="J180:J184" si="43">+I180*E180</f>
        <v>4065.3313361700002</v>
      </c>
      <c r="K180" s="255"/>
      <c r="L180" s="255"/>
      <c r="M180" s="255"/>
      <c r="N180" s="255"/>
      <c r="O180" s="257"/>
      <c r="P180" s="257"/>
    </row>
    <row r="181" spans="1:16" s="88" customFormat="1" ht="15">
      <c r="A181" s="251" t="s">
        <v>6307</v>
      </c>
      <c r="B181" s="290">
        <v>349</v>
      </c>
      <c r="C181" s="282" t="str">
        <f>(IF($A181="SINAPI",INDEX(SINAPI_NOV2020_NDES!$A$7:$H$6703,MATCH($B181,SINAPI_NOV2020_NDES!$A$7:$A$6703,0),2),IF($A181="GOINFRA",INDEX(#REF!,MATCH($B181,#REF!,0),2),(INDEX(COMPOS!$A$4:$G$390,MATCH($B181,COMPOS!$A$4:A$390,0),2)))))</f>
        <v>PISO EM CONCRETO DESEMPENADO 5CM (1:2,5:3,5)</v>
      </c>
      <c r="D181" s="274" t="str">
        <f>(IF($A181="SINAPI",INDEX(SINAPI_NOV2020_NDES!$A$7:$H$6703,MATCH($B181,SINAPI_NOV2020_NDES!$A$7:$A$6703,0),3),IF($A181="GOINFRA",INDEX(#REF!,MATCH($B181,#REF!,0),3),(INDEX(COMPOS!$A$4:$G$39000,MATCH($B181,COMPOS!$A$4:A$39000,0),3)))))</f>
        <v>M2</v>
      </c>
      <c r="E181" s="279">
        <v>52.5</v>
      </c>
      <c r="F181" s="279">
        <f>(IF($A181="SINAPI",INDEX(SINAPI_NOV2020_NDES!$A$7:$H$6703,MATCH($B181,SINAPI_NOV2020_NDES!$A$7:$A$6703,0),5),(INDEX(COMPOS!$A$4:$G$801,MATCH($B181,COMPOS!$A$4:A$801,0),4))))</f>
        <v>14.561212999999999</v>
      </c>
      <c r="G181" s="279">
        <f>(IF($A181="SINAPI",INDEX(SINAPI_NOV2020_NDES!$A$7:$H$6703,MATCH($B181,SINAPI_NOV2020_NDES!$A$7:$A$6703,0),6),(INDEX(COMPOS!$A$4:$G$801,MATCH($B181,COMPOS!$A$4:A$801,0),5))))</f>
        <v>15.349762</v>
      </c>
      <c r="H181" s="280">
        <f>(IF($A181="SINAPI",INDEX(SINAPI_NOV2020_NDES!$A$7:$H$6703,MATCH($B181,SINAPI_NOV2020_NDES!$A$7:$A$6703,0),7),(INDEX(COMPOS!$A$4:$G$801,MATCH($B181,COMPOS!$A$4:A$801,0),6))))</f>
        <v>0</v>
      </c>
      <c r="I181" s="279">
        <f t="shared" si="42"/>
        <v>29.910975000000001</v>
      </c>
      <c r="J181" s="276">
        <f t="shared" si="43"/>
        <v>1570.3261875000001</v>
      </c>
      <c r="K181" s="255"/>
      <c r="L181" s="255"/>
      <c r="M181" s="255"/>
      <c r="N181" s="255"/>
      <c r="O181" s="257"/>
      <c r="P181" s="257"/>
    </row>
    <row r="182" spans="1:16" s="99" customFormat="1" ht="15">
      <c r="A182" s="251" t="s">
        <v>6307</v>
      </c>
      <c r="B182" s="290">
        <v>350</v>
      </c>
      <c r="C182" s="282" t="str">
        <f>(IF($A182="SINAPI",INDEX(SINAPI_NOV2020_NDES!$A$7:$H$6703,MATCH($B182,SINAPI_NOV2020_NDES!$A$7:$A$6703,0),2),IF($A182="GOINFRA",INDEX(#REF!,MATCH($B182,#REF!,0),2),(INDEX(COMPOS!$A$4:$G$390,MATCH($B182,COMPOS!$A$4:A$390,0),2)))))</f>
        <v>GRANITINA 8MM FUNDIDA COM CONTRAPISO, ESP. 2CM E JUNTA PLÁSTICA 27MM</v>
      </c>
      <c r="D182" s="274" t="str">
        <f>(IF($A182="SINAPI",INDEX(SINAPI_NOV2020_NDES!$A$7:$H$6703,MATCH($B182,SINAPI_NOV2020_NDES!$A$7:$A$6703,0),3),IF($A182="GOINFRA",INDEX(#REF!,MATCH($B182,#REF!,0),3),(INDEX(COMPOS!$A$4:$G$39000,MATCH($B182,COMPOS!$A$4:A$39000,0),3)))))</f>
        <v>M2</v>
      </c>
      <c r="E182" s="279">
        <v>808.36</v>
      </c>
      <c r="F182" s="279">
        <f>(IF($A182="SINAPI",INDEX(SINAPI_NOV2020_NDES!$A$7:$H$6703,MATCH($B182,SINAPI_NOV2020_NDES!$A$7:$A$6703,0),5),(INDEX(COMPOS!$A$4:$G$801,MATCH($B182,COMPOS!$A$4:A$801,0),4))))</f>
        <v>19.118230999999998</v>
      </c>
      <c r="G182" s="279">
        <f>(IF($A182="SINAPI",INDEX(SINAPI_NOV2020_NDES!$A$7:$H$6703,MATCH($B182,SINAPI_NOV2020_NDES!$A$7:$A$6703,0),6),(INDEX(COMPOS!$A$4:$G$801,MATCH($B182,COMPOS!$A$4:A$801,0),5))))</f>
        <v>97.538049999999998</v>
      </c>
      <c r="H182" s="280">
        <f>(IF($A182="SINAPI",INDEX(SINAPI_NOV2020_NDES!$A$7:$H$6703,MATCH($B182,SINAPI_NOV2020_NDES!$A$7:$A$6703,0),7),(INDEX(COMPOS!$A$4:$G$801,MATCH($B182,COMPOS!$A$4:A$801,0),6))))</f>
        <v>0</v>
      </c>
      <c r="I182" s="279">
        <f t="shared" si="42"/>
        <v>116.65628099999999</v>
      </c>
      <c r="J182" s="276">
        <f t="shared" si="43"/>
        <v>94300.271309160002</v>
      </c>
      <c r="K182" s="255"/>
      <c r="L182" s="255"/>
      <c r="M182" s="255"/>
      <c r="N182" s="255"/>
      <c r="O182" s="257"/>
      <c r="P182" s="257"/>
    </row>
    <row r="183" spans="1:16" s="1" customFormat="1" ht="15">
      <c r="A183" s="251" t="s">
        <v>6307</v>
      </c>
      <c r="B183" s="290">
        <v>351</v>
      </c>
      <c r="C183" s="282" t="str">
        <f>(IF($A183="SINAPI",INDEX(SINAPI_NOV2020_NDES!$A$7:$H$6703,MATCH($B183,SINAPI_NOV2020_NDES!$A$7:$A$6703,0),2),IF($A183="GOINFRA",INDEX(#REF!,MATCH($B183,#REF!,0),2),(INDEX(COMPOS!$A$4:$G$390,MATCH($B183,COMPOS!$A$4:A$390,0),2)))))</f>
        <v>RODAPÉ FUNDIDO DE GRANITINA 7CM</v>
      </c>
      <c r="D183" s="274" t="str">
        <f>(IF($A183="SINAPI",INDEX(SINAPI_NOV2020_NDES!$A$7:$H$6703,MATCH($B183,SINAPI_NOV2020_NDES!$A$7:$A$6703,0),3),IF($A183="GOINFRA",INDEX(#REF!,MATCH($B183,#REF!,0),3),(INDEX(COMPOS!$A$4:$G$39000,MATCH($B183,COMPOS!$A$4:A$39000,0),3)))))</f>
        <v>M</v>
      </c>
      <c r="E183" s="279">
        <v>718.28</v>
      </c>
      <c r="F183" s="279">
        <f>(IF($A183="SINAPI",INDEX(SINAPI_NOV2020_NDES!$A$7:$H$6703,MATCH($B183,SINAPI_NOV2020_NDES!$A$7:$A$6703,0),5),(INDEX(COMPOS!$A$4:$G$801,MATCH($B183,COMPOS!$A$4:A$801,0),4))))</f>
        <v>0</v>
      </c>
      <c r="G183" s="279">
        <f>(IF($A183="SINAPI",INDEX(SINAPI_NOV2020_NDES!$A$7:$H$6703,MATCH($B183,SINAPI_NOV2020_NDES!$A$7:$A$6703,0),6),(INDEX(COMPOS!$A$4:$G$801,MATCH($B183,COMPOS!$A$4:A$801,0),5))))</f>
        <v>20.94</v>
      </c>
      <c r="H183" s="280">
        <f>(IF($A183="SINAPI",INDEX(SINAPI_NOV2020_NDES!$A$7:$H$6703,MATCH($B183,SINAPI_NOV2020_NDES!$A$7:$A$6703,0),7),(INDEX(COMPOS!$A$4:$G$801,MATCH($B183,COMPOS!$A$4:A$801,0),6))))</f>
        <v>0</v>
      </c>
      <c r="I183" s="279">
        <f t="shared" si="42"/>
        <v>20.94</v>
      </c>
      <c r="J183" s="276">
        <f t="shared" si="43"/>
        <v>15040.7832</v>
      </c>
      <c r="K183" s="255"/>
      <c r="L183" s="255"/>
      <c r="M183" s="255"/>
      <c r="N183" s="255"/>
      <c r="O183" s="257"/>
      <c r="P183" s="257"/>
    </row>
    <row r="184" spans="1:16" s="88" customFormat="1" ht="15">
      <c r="A184" s="251" t="s">
        <v>6307</v>
      </c>
      <c r="B184" s="251">
        <v>482</v>
      </c>
      <c r="C184" s="282" t="str">
        <f>(IF($A184="SINAPI",INDEX(SINAPI_NOV2020_NDES!$A$7:$H$6703,MATCH($B184,SINAPI_NOV2020_NDES!$A$7:$A$6703,0),2),IF($A184="GOINFRA",INDEX(#REF!,MATCH($B184,#REF!,0),2),(INDEX(COMPOS!$A$4:$G$390,MATCH($B184,COMPOS!$A$4:A$390,0),2)))))</f>
        <v>PISO PODOTÁTIL CONCRETO 25X25 DIRECIONAL</v>
      </c>
      <c r="D184" s="274" t="str">
        <f>(IF($A184="SINAPI",INDEX(SINAPI_NOV2020_NDES!$A$7:$H$6703,MATCH($B184,SINAPI_NOV2020_NDES!$A$7:$A$6703,0),3),IF($A184="GOINFRA",INDEX(#REF!,MATCH($B184,#REF!,0),3),(INDEX(COMPOS!$A$4:$G$39000,MATCH($B184,COMPOS!$A$4:A$39000,0),3)))))</f>
        <v>M2</v>
      </c>
      <c r="E184" s="279">
        <f>25.996+7.625+4.16</f>
        <v>37.780999999999992</v>
      </c>
      <c r="F184" s="279">
        <f>(IF($A184="SINAPI",INDEX(SINAPI_NOV2020_NDES!$A$7:$H$6703,MATCH($B184,SINAPI_NOV2020_NDES!$A$7:$A$6703,0),5),(INDEX(COMPOS!$A$4:$G$801,MATCH($B184,COMPOS!$A$4:A$801,0),4))))</f>
        <v>26.110093999999997</v>
      </c>
      <c r="G184" s="279">
        <f>(IF($A184="SINAPI",INDEX(SINAPI_NOV2020_NDES!$A$7:$H$6703,MATCH($B184,SINAPI_NOV2020_NDES!$A$7:$A$6703,0),6),(INDEX(COMPOS!$A$4:$G$801,MATCH($B184,COMPOS!$A$4:A$801,0),5))))</f>
        <v>65.552500000000009</v>
      </c>
      <c r="H184" s="280">
        <f>(IF($A184="SINAPI",INDEX(SINAPI_NOV2020_NDES!$A$7:$H$6703,MATCH($B184,SINAPI_NOV2020_NDES!$A$7:$A$6703,0),7),(INDEX(COMPOS!$A$4:$G$801,MATCH($B184,COMPOS!$A$4:A$801,0),6))))</f>
        <v>0</v>
      </c>
      <c r="I184" s="279">
        <f t="shared" si="42"/>
        <v>91.662594000000013</v>
      </c>
      <c r="J184" s="276">
        <f t="shared" si="43"/>
        <v>3463.1044639139996</v>
      </c>
      <c r="K184" s="255"/>
      <c r="L184" s="255"/>
      <c r="M184" s="255"/>
      <c r="N184" s="255"/>
      <c r="O184" s="257"/>
      <c r="P184" s="257"/>
    </row>
    <row r="185" spans="1:16" s="1" customFormat="1" ht="15">
      <c r="A185" s="680" t="s">
        <v>6927</v>
      </c>
      <c r="B185" s="680"/>
      <c r="C185" s="680"/>
      <c r="D185" s="680"/>
      <c r="E185" s="680"/>
      <c r="F185" s="680"/>
      <c r="G185" s="680"/>
      <c r="H185" s="680"/>
      <c r="I185" s="680"/>
      <c r="J185" s="281">
        <f>SUM(J179:J184)</f>
        <v>120931.01039674401</v>
      </c>
      <c r="K185" s="255"/>
      <c r="L185" s="255"/>
      <c r="M185" s="255"/>
      <c r="N185" s="255"/>
      <c r="O185" s="257"/>
      <c r="P185" s="257"/>
    </row>
    <row r="186" spans="1:16" s="88" customFormat="1" ht="15">
      <c r="A186" s="251"/>
      <c r="B186" s="272">
        <v>185</v>
      </c>
      <c r="C186" s="273" t="s">
        <v>590</v>
      </c>
      <c r="D186" s="274"/>
      <c r="E186" s="279"/>
      <c r="F186" s="279"/>
      <c r="G186" s="279"/>
      <c r="H186" s="280"/>
      <c r="I186" s="275"/>
      <c r="J186" s="276"/>
      <c r="K186" s="255"/>
      <c r="L186" s="255"/>
      <c r="M186" s="255"/>
      <c r="N186" s="255"/>
      <c r="O186" s="257"/>
      <c r="P186" s="257"/>
    </row>
    <row r="187" spans="1:16" s="99" customFormat="1" ht="24">
      <c r="A187" s="251" t="s">
        <v>7</v>
      </c>
      <c r="B187" s="289">
        <v>100866</v>
      </c>
      <c r="C187" s="291" t="str">
        <f>(IF($A187="SINAPI",INDEX(SINAPI_NOV2020_NDES!$A$7:$H$6703,MATCH($B187,SINAPI_NOV2020_NDES!$A$7:$A$6703,0),2),IF($A187="GOINFRA",INDEX(#REF!,MATCH($B187,#REF!,0),2),(INDEX(COMPOS!$A$4:$G$390,MATCH($B187,COMPOS!$A$4:A$390,0),3)))))</f>
        <v>BARRA DE APOIO RETA, EM ACO INOX POLIDO, COMPRIMENTO 60CM, FIXADA NA PAREDE - FORNECIMENTO E INSTALAÇÃO. AF_01/2020</v>
      </c>
      <c r="D187" s="274" t="str">
        <f>(IF($A187="SINAPI",INDEX(SINAPI_NOV2020_NDES!$A$7:$H$6790,MATCH($B187,SINAPI_NOV2020_NDES!$A$7:$A$6790,0),3),(INDEX(COMPOS!$A$4:$G$5000,MATCH($B187,COMPOS!$A$4:$A$5000,0),3))))</f>
        <v>UN</v>
      </c>
      <c r="E187" s="279">
        <v>6</v>
      </c>
      <c r="F187" s="279">
        <f>(IF($A187="SINAPI",INDEX(SINAPI_NOV2020_NDES!$A$7:$H$6703,MATCH($B187,SINAPI_NOV2020_NDES!$A$7:$A$6703,0),5),(INDEX(COMPOS!$A$4:$G$801,MATCH($B187,COMPOS!$A$4:A$801,0),4))))</f>
        <v>19.36</v>
      </c>
      <c r="G187" s="279">
        <f>(IF($A187="SINAPI",INDEX(SINAPI_NOV2020_NDES!$A$7:$H$6703,MATCH($B187,SINAPI_NOV2020_NDES!$A$7:$A$6703,0),6),(INDEX(COMPOS!$A$4:$G$801,MATCH($B187,COMPOS!$A$4:A$801,0),5))))</f>
        <v>193.84</v>
      </c>
      <c r="H187" s="280">
        <f>(IF($A187="SINAPI",INDEX(SINAPI_NOV2020_NDES!$A$7:$H$6703,MATCH($B187,SINAPI_NOV2020_NDES!$A$7:$A$6703,0),7),(INDEX(COMPOS!$A$4:$G$801,MATCH($B187,COMPOS!$A$4:A$801,0),6))))</f>
        <v>0</v>
      </c>
      <c r="I187" s="279">
        <f t="shared" ref="I187" si="44">SUM(F187:H187)</f>
        <v>213.2</v>
      </c>
      <c r="J187" s="276">
        <f t="shared" ref="J187" si="45">+I187*E187</f>
        <v>1279.1999999999998</v>
      </c>
      <c r="K187" s="255"/>
      <c r="L187" s="255"/>
      <c r="M187" s="255"/>
      <c r="N187" s="255"/>
      <c r="O187" s="257"/>
      <c r="P187" s="257"/>
    </row>
    <row r="188" spans="1:16" s="1" customFormat="1" ht="15">
      <c r="A188" s="680" t="s">
        <v>6927</v>
      </c>
      <c r="B188" s="680"/>
      <c r="C188" s="680"/>
      <c r="D188" s="680"/>
      <c r="E188" s="680"/>
      <c r="F188" s="680"/>
      <c r="G188" s="680"/>
      <c r="H188" s="680"/>
      <c r="I188" s="680"/>
      <c r="J188" s="281">
        <f>SUM(J187)</f>
        <v>1279.1999999999998</v>
      </c>
      <c r="K188" s="255"/>
      <c r="L188" s="255"/>
      <c r="M188" s="255"/>
      <c r="N188" s="255"/>
      <c r="O188" s="257"/>
      <c r="P188" s="257"/>
    </row>
    <row r="189" spans="1:16" s="88" customFormat="1" ht="15">
      <c r="A189" s="251"/>
      <c r="B189" s="272">
        <v>186</v>
      </c>
      <c r="C189" s="273" t="s">
        <v>589</v>
      </c>
      <c r="D189" s="274"/>
      <c r="E189" s="279"/>
      <c r="F189" s="279"/>
      <c r="G189" s="279"/>
      <c r="H189" s="280"/>
      <c r="I189" s="275"/>
      <c r="J189" s="276"/>
      <c r="K189" s="255"/>
      <c r="L189" s="255"/>
      <c r="M189" s="255"/>
      <c r="N189" s="255"/>
      <c r="O189" s="257"/>
      <c r="P189" s="257"/>
    </row>
    <row r="190" spans="1:16" s="99" customFormat="1" ht="15">
      <c r="A190" s="251" t="s">
        <v>6307</v>
      </c>
      <c r="B190" s="290">
        <v>353</v>
      </c>
      <c r="C190" s="291" t="str">
        <f>(IF($A190="SINAPI",INDEX(SINAPI_NOV2020_NDES!$A$7:$H$6703,MATCH($B190,SINAPI_NOV2020_NDES!$A$7:$A$6703,0),2),IF($A190="GOINFRA",INDEX(#REF!,MATCH($B190,#REF!,0),2),(INDEX(COMPOS!$A$4:$G$390,MATCH($B190,COMPOS!$A$4:A$390,0),2)))))</f>
        <v>BATE CARTEIRA</v>
      </c>
      <c r="D190" s="274" t="str">
        <f>(IF($A190="SINAPI",INDEX(SINAPI_NOV2020_NDES!$A$7:$H$6790,MATCH($B190,SINAPI_NOV2020_NDES!$A$7:$A$6790,0),3),(INDEX(COMPOS!$A$4:$G$5000,MATCH($B190,COMPOS!$A$4:$A$5000,0),3))))</f>
        <v>M</v>
      </c>
      <c r="E190" s="279">
        <v>52.44</v>
      </c>
      <c r="F190" s="279">
        <f>(IF($A190="SINAPI",INDEX(SINAPI_NOV2020_NDES!$A$7:$H$6703,MATCH($B190,SINAPI_NOV2020_NDES!$A$7:$A$6703,0),5),(INDEX(COMPOS!$A$4:$G$801,MATCH($B190,COMPOS!$A$4:A$801,0),4))))</f>
        <v>15.581209999999999</v>
      </c>
      <c r="G190" s="279">
        <f>(IF($A190="SINAPI",INDEX(SINAPI_NOV2020_NDES!$A$7:$H$6703,MATCH($B190,SINAPI_NOV2020_NDES!$A$7:$A$6703,0),6),(INDEX(COMPOS!$A$4:$G$801,MATCH($B190,COMPOS!$A$4:A$801,0),5))))</f>
        <v>15.275206000000001</v>
      </c>
      <c r="H190" s="280">
        <f>(IF($A190="SINAPI",INDEX(SINAPI_NOV2020_NDES!$A$7:$H$6703,MATCH($B190,SINAPI_NOV2020_NDES!$A$7:$A$6703,0),7),(INDEX(COMPOS!$A$4:$G$801,MATCH($B190,COMPOS!$A$4:A$801,0),6))))</f>
        <v>0</v>
      </c>
      <c r="I190" s="279">
        <f t="shared" ref="I190" si="46">SUM(F190:H190)</f>
        <v>30.856415999999999</v>
      </c>
      <c r="J190" s="276">
        <f t="shared" ref="J190" si="47">+I190*E190</f>
        <v>1618.1104550399998</v>
      </c>
      <c r="K190" s="255"/>
      <c r="L190" s="255"/>
      <c r="M190" s="255"/>
      <c r="N190" s="255"/>
      <c r="O190" s="257"/>
      <c r="P190" s="257"/>
    </row>
    <row r="191" spans="1:16" s="1" customFormat="1" ht="15">
      <c r="A191" s="251" t="s">
        <v>6307</v>
      </c>
      <c r="B191" s="290">
        <v>354</v>
      </c>
      <c r="C191" s="291" t="str">
        <f>(IF($A191="SINAPI",INDEX(SINAPI_NOV2020_NDES!$A$7:$H$6703,MATCH($B191,SINAPI_NOV2020_NDES!$A$7:$A$6703,0),2),IF($A191="GOINFRA",INDEX(#REF!,MATCH($B191,#REF!,0),2),(INDEX(COMPOS!$A$4:$G$390,MATCH($B191,COMPOS!$A$4:A$390,0),2)))))</f>
        <v>BATE MACA</v>
      </c>
      <c r="D191" s="274" t="str">
        <f>(IF($A191="SINAPI",INDEX(SINAPI_NOV2020_NDES!$A$7:$H$6790,MATCH($B191,SINAPI_NOV2020_NDES!$A$7:$A$6790,0),3),(INDEX(COMPOS!$A$4:$G$5000,MATCH($B191,COMPOS!$A$4:$A$5000,0),3))))</f>
        <v>M</v>
      </c>
      <c r="E191" s="279">
        <v>25.86</v>
      </c>
      <c r="F191" s="279">
        <f>(IF($A191="SINAPI",INDEX(SINAPI_NOV2020_NDES!$A$7:$H$6703,MATCH($B191,SINAPI_NOV2020_NDES!$A$7:$A$6703,0),5),(INDEX(COMPOS!$A$4:$G$801,MATCH($B191,COMPOS!$A$4:A$801,0),4))))</f>
        <v>15.581209999999999</v>
      </c>
      <c r="G191" s="279">
        <f>(IF($A191="SINAPI",INDEX(SINAPI_NOV2020_NDES!$A$7:$H$6703,MATCH($B191,SINAPI_NOV2020_NDES!$A$7:$A$6703,0),6),(INDEX(COMPOS!$A$4:$G$801,MATCH($B191,COMPOS!$A$4:A$801,0),5))))</f>
        <v>15.662903999999999</v>
      </c>
      <c r="H191" s="280">
        <f>(IF($A191="SINAPI",INDEX(SINAPI_NOV2020_NDES!$A$7:$H$6703,MATCH($B191,SINAPI_NOV2020_NDES!$A$7:$A$6703,0),7),(INDEX(COMPOS!$A$4:$G$801,MATCH($B191,COMPOS!$A$4:A$801,0),6))))</f>
        <v>0</v>
      </c>
      <c r="I191" s="279">
        <f t="shared" ref="I191:I193" si="48">SUM(F191:H191)</f>
        <v>31.244113999999996</v>
      </c>
      <c r="J191" s="276">
        <f t="shared" ref="J191:J193" si="49">+I191*E191</f>
        <v>807.97278803999984</v>
      </c>
      <c r="K191" s="255"/>
      <c r="L191" s="255"/>
      <c r="M191" s="255"/>
      <c r="N191" s="255"/>
      <c r="O191" s="257"/>
      <c r="P191" s="257"/>
    </row>
    <row r="192" spans="1:16" s="88" customFormat="1" ht="15">
      <c r="A192" s="251" t="s">
        <v>6307</v>
      </c>
      <c r="B192" s="290">
        <v>355</v>
      </c>
      <c r="C192" s="291" t="str">
        <f>(IF($A192="SINAPI",INDEX(SINAPI_NOV2020_NDES!$A$7:$H$6703,MATCH($B192,SINAPI_NOV2020_NDES!$A$7:$A$6703,0),2),IF($A192="GOINFRA",INDEX(#REF!,MATCH($B192,#REF!,0),2),(INDEX(COMPOS!$A$4:$G$390,MATCH($B192,COMPOS!$A$4:A$390,0),2)))))</f>
        <v>PRATELEIRA EST. CAIBRO 4+1, TÁBUAS APARELHADAS E ENVERNIZADAS</v>
      </c>
      <c r="D192" s="274" t="str">
        <f>(IF($A192="SINAPI",INDEX(SINAPI_NOV2020_NDES!$A$7:$H$6790,MATCH($B192,SINAPI_NOV2020_NDES!$A$7:$A$6790,0),3),(INDEX(COMPOS!$A$4:$G$5000,MATCH($B192,COMPOS!$A$4:$A$5000,0),3))))</f>
        <v>M</v>
      </c>
      <c r="E192" s="279">
        <v>24.2</v>
      </c>
      <c r="F192" s="279">
        <f>(IF($A192="SINAPI",INDEX(SINAPI_NOV2020_NDES!$A$7:$H$6703,MATCH($B192,SINAPI_NOV2020_NDES!$A$7:$A$6703,0),5),(INDEX(COMPOS!$A$4:$G$801,MATCH($B192,COMPOS!$A$4:A$801,0),4))))</f>
        <v>153.93822700000001</v>
      </c>
      <c r="G192" s="279">
        <f>(IF($A192="SINAPI",INDEX(SINAPI_NOV2020_NDES!$A$7:$H$6703,MATCH($B192,SINAPI_NOV2020_NDES!$A$7:$A$6703,0),6),(INDEX(COMPOS!$A$4:$G$801,MATCH($B192,COMPOS!$A$4:A$801,0),5))))</f>
        <v>187.35803200000001</v>
      </c>
      <c r="H192" s="280">
        <f>(IF($A192="SINAPI",INDEX(SINAPI_NOV2020_NDES!$A$7:$H$6703,MATCH($B192,SINAPI_NOV2020_NDES!$A$7:$A$6703,0),7),(INDEX(COMPOS!$A$4:$G$801,MATCH($B192,COMPOS!$A$4:A$801,0),6))))</f>
        <v>0</v>
      </c>
      <c r="I192" s="279">
        <f t="shared" si="48"/>
        <v>341.29625900000002</v>
      </c>
      <c r="J192" s="276">
        <f t="shared" si="49"/>
        <v>8259.3694678000011</v>
      </c>
      <c r="K192" s="255"/>
      <c r="L192" s="255"/>
      <c r="M192" s="255"/>
      <c r="N192" s="255"/>
      <c r="O192" s="257"/>
      <c r="P192" s="257"/>
    </row>
    <row r="193" spans="1:16" s="99" customFormat="1" ht="15">
      <c r="A193" s="251" t="s">
        <v>6307</v>
      </c>
      <c r="B193" s="290">
        <v>356</v>
      </c>
      <c r="C193" s="291" t="str">
        <f>(IF($A193="SINAPI",INDEX(SINAPI_NOV2020_NDES!$A$7:$H$6703,MATCH($B193,SINAPI_NOV2020_NDES!$A$7:$A$6703,0),2),IF($A193="GOINFRA",INDEX(#REF!,MATCH($B193,#REF!,0),2),(INDEX(COMPOS!$A$4:$G$390,MATCH($B193,COMPOS!$A$4:A$390,0),2)))))</f>
        <v>TÁBUA APARELHADA PARA GUICHÊ</v>
      </c>
      <c r="D193" s="274" t="str">
        <f>(IF($A193="SINAPI",INDEX(SINAPI_NOV2020_NDES!$A$7:$H$6790,MATCH($B193,SINAPI_NOV2020_NDES!$A$7:$A$6790,0),3),(INDEX(COMPOS!$A$4:$G$5000,MATCH($B193,COMPOS!$A$4:$A$5000,0),3))))</f>
        <v>M</v>
      </c>
      <c r="E193" s="279">
        <v>0.64</v>
      </c>
      <c r="F193" s="279">
        <f>(IF($A193="SINAPI",INDEX(SINAPI_NOV2020_NDES!$A$7:$H$6703,MATCH($B193,SINAPI_NOV2020_NDES!$A$7:$A$6703,0),5),(INDEX(COMPOS!$A$4:$G$801,MATCH($B193,COMPOS!$A$4:A$801,0),4))))</f>
        <v>104.734392</v>
      </c>
      <c r="G193" s="279">
        <f>(IF($A193="SINAPI",INDEX(SINAPI_NOV2020_NDES!$A$7:$H$6703,MATCH($B193,SINAPI_NOV2020_NDES!$A$7:$A$6703,0),6),(INDEX(COMPOS!$A$4:$G$801,MATCH($B193,COMPOS!$A$4:A$801,0),5))))</f>
        <v>80.704067000000009</v>
      </c>
      <c r="H193" s="280">
        <f>(IF($A193="SINAPI",INDEX(SINAPI_NOV2020_NDES!$A$7:$H$6703,MATCH($B193,SINAPI_NOV2020_NDES!$A$7:$A$6703,0),7),(INDEX(COMPOS!$A$4:$G$801,MATCH($B193,COMPOS!$A$4:A$801,0),6))))</f>
        <v>0</v>
      </c>
      <c r="I193" s="279">
        <f t="shared" si="48"/>
        <v>185.43845900000002</v>
      </c>
      <c r="J193" s="276">
        <f t="shared" si="49"/>
        <v>118.68061376000001</v>
      </c>
      <c r="K193" s="255"/>
      <c r="L193" s="255"/>
      <c r="M193" s="255"/>
      <c r="N193" s="255"/>
      <c r="O193" s="257"/>
      <c r="P193" s="257"/>
    </row>
    <row r="194" spans="1:16" s="99" customFormat="1" ht="15">
      <c r="A194" s="680" t="s">
        <v>6927</v>
      </c>
      <c r="B194" s="680"/>
      <c r="C194" s="680"/>
      <c r="D194" s="680"/>
      <c r="E194" s="680"/>
      <c r="F194" s="680"/>
      <c r="G194" s="680"/>
      <c r="H194" s="680"/>
      <c r="I194" s="680"/>
      <c r="J194" s="281">
        <f>SUM(J190:J193)</f>
        <v>10804.133324640001</v>
      </c>
      <c r="K194" s="255"/>
      <c r="L194" s="255"/>
      <c r="M194" s="255"/>
      <c r="N194" s="255"/>
      <c r="O194" s="257"/>
      <c r="P194" s="257"/>
    </row>
    <row r="195" spans="1:16" s="1" customFormat="1" ht="15">
      <c r="A195" s="251"/>
      <c r="B195" s="272">
        <v>188</v>
      </c>
      <c r="C195" s="273" t="s">
        <v>587</v>
      </c>
      <c r="D195" s="274"/>
      <c r="E195" s="279"/>
      <c r="F195" s="279"/>
      <c r="G195" s="279"/>
      <c r="H195" s="280"/>
      <c r="I195" s="275"/>
      <c r="J195" s="276"/>
      <c r="K195" s="255"/>
      <c r="L195" s="255"/>
      <c r="M195" s="255"/>
      <c r="N195" s="255"/>
      <c r="O195" s="257"/>
      <c r="P195" s="257"/>
    </row>
    <row r="196" spans="1:16" s="88" customFormat="1" ht="15">
      <c r="A196" s="251" t="s">
        <v>7</v>
      </c>
      <c r="B196" s="289">
        <v>88482</v>
      </c>
      <c r="C196" s="282" t="str">
        <f>(IF($A196="SINAPI",INDEX(SINAPI_NOV2020_NDES!$A$7:$H$6703,MATCH($B196,SINAPI_NOV2020_NDES!$A$7:$A$6703,0),2),IF($A196="GOINFRA",INDEX(#REF!,MATCH($B196,#REF!,0),2),(INDEX(COMPOS!$A$4:$G$390,MATCH($B196,COMPOS!$A$4:A$390,0),2)))))</f>
        <v>APLICAÇÃO DE FUNDO SELADOR LÁTEX PVA EM TETO, UMA DEMÃO. AF_06/2014</v>
      </c>
      <c r="D196" s="274" t="str">
        <f>(IF($A196="SINAPI",INDEX(SINAPI_NOV2020_NDES!$A$7:$H$6790,MATCH($B196,SINAPI_NOV2020_NDES!$A$7:$A$6790,0),3),(INDEX(COMPOS!$A$4:$G$5000,MATCH($B196,COMPOS!$A$4:$A$5000,0),3))))</f>
        <v>M2</v>
      </c>
      <c r="E196" s="279">
        <v>727.46</v>
      </c>
      <c r="F196" s="279">
        <f>(IF($A196="SINAPI",INDEX(SINAPI_NOV2020_NDES!$A$7:$H$6703,MATCH($B196,SINAPI_NOV2020_NDES!$A$7:$A$6703,0),5),(INDEX(COMPOS!$A$4:$G$801,MATCH($B196,COMPOS!$A$4:A$801,0),4))))</f>
        <v>0.74</v>
      </c>
      <c r="G196" s="279">
        <f>(IF($A196="SINAPI",INDEX(SINAPI_NOV2020_NDES!$A$7:$H$6703,MATCH($B196,SINAPI_NOV2020_NDES!$A$7:$A$6703,0),6),(INDEX(COMPOS!$A$4:$G$801,MATCH($B196,COMPOS!$A$4:A$801,0),5))))</f>
        <v>2.44</v>
      </c>
      <c r="H196" s="280">
        <f>(IF($A196="SINAPI",INDEX(SINAPI_NOV2020_NDES!$A$7:$H$6703,MATCH($B196,SINAPI_NOV2020_NDES!$A$7:$A$6703,0),7),(INDEX(COMPOS!$A$4:$G$801,MATCH($B196,COMPOS!$A$4:A$801,0),6))))</f>
        <v>0</v>
      </c>
      <c r="I196" s="279">
        <f t="shared" ref="I196" si="50">SUM(F196:H196)</f>
        <v>3.1799999999999997</v>
      </c>
      <c r="J196" s="276">
        <f t="shared" ref="J196" si="51">+I196*E196</f>
        <v>2313.3227999999999</v>
      </c>
      <c r="K196" s="255"/>
      <c r="L196" s="255"/>
      <c r="M196" s="255"/>
      <c r="N196" s="255"/>
      <c r="O196" s="257"/>
      <c r="P196" s="257"/>
    </row>
    <row r="197" spans="1:16" s="99" customFormat="1" ht="15">
      <c r="A197" s="251" t="s">
        <v>7</v>
      </c>
      <c r="B197" s="289">
        <v>88496</v>
      </c>
      <c r="C197" s="282" t="str">
        <f>(IF($A197="SINAPI",INDEX(SINAPI_NOV2020_NDES!$A$7:$H$6703,MATCH($B197,SINAPI_NOV2020_NDES!$A$7:$A$6703,0),2),IF($A197="GOINFRA",INDEX(#REF!,MATCH($B197,#REF!,0),2),(INDEX(COMPOS!$A$4:$G$390,MATCH($B197,COMPOS!$A$4:A$390,0),2)))))</f>
        <v>APLICAÇÃO E LIXAMENTO DE MASSA LÁTEX EM TETO, DUAS DEMÃOS. AF_06/2014</v>
      </c>
      <c r="D197" s="274" t="str">
        <f>(IF($A197="SINAPI",INDEX(SINAPI_NOV2020_NDES!$A$7:$H$6790,MATCH($B197,SINAPI_NOV2020_NDES!$A$7:$A$6790,0),3),(INDEX(COMPOS!$A$4:$G$5000,MATCH($B197,COMPOS!$A$4:$A$5000,0),3))))</f>
        <v>M2</v>
      </c>
      <c r="E197" s="279">
        <v>727.46</v>
      </c>
      <c r="F197" s="279">
        <f>(IF($A197="SINAPI",INDEX(SINAPI_NOV2020_NDES!$A$7:$H$6703,MATCH($B197,SINAPI_NOV2020_NDES!$A$7:$A$6703,0),5),(INDEX(COMPOS!$A$4:$G$801,MATCH($B197,COMPOS!$A$4:A$801,0),4))))</f>
        <v>14.1</v>
      </c>
      <c r="G197" s="279">
        <f>(IF($A197="SINAPI",INDEX(SINAPI_NOV2020_NDES!$A$7:$H$6703,MATCH($B197,SINAPI_NOV2020_NDES!$A$7:$A$6703,0),6),(INDEX(COMPOS!$A$4:$G$801,MATCH($B197,COMPOS!$A$4:A$801,0),5))))</f>
        <v>7.4</v>
      </c>
      <c r="H197" s="280">
        <f>(IF($A197="SINAPI",INDEX(SINAPI_NOV2020_NDES!$A$7:$H$6703,MATCH($B197,SINAPI_NOV2020_NDES!$A$7:$A$6703,0),7),(INDEX(COMPOS!$A$4:$G$801,MATCH($B197,COMPOS!$A$4:A$801,0),6))))</f>
        <v>0</v>
      </c>
      <c r="I197" s="279">
        <f t="shared" ref="I197:I206" si="52">SUM(F197:H197)</f>
        <v>21.5</v>
      </c>
      <c r="J197" s="276">
        <f t="shared" ref="J197:J206" si="53">+I197*E197</f>
        <v>15640.390000000001</v>
      </c>
      <c r="K197" s="255"/>
      <c r="L197" s="255"/>
      <c r="M197" s="255"/>
      <c r="N197" s="255"/>
      <c r="O197" s="257"/>
      <c r="P197" s="257"/>
    </row>
    <row r="198" spans="1:16" s="1" customFormat="1" ht="24">
      <c r="A198" s="251" t="s">
        <v>7</v>
      </c>
      <c r="B198" s="289">
        <v>88486</v>
      </c>
      <c r="C198" s="282" t="str">
        <f>(IF($A198="SINAPI",INDEX(SINAPI_NOV2020_NDES!$A$7:$H$6703,MATCH($B198,SINAPI_NOV2020_NDES!$A$7:$A$6703,0),2),IF($A198="GOINFRA",INDEX(#REF!,MATCH($B198,#REF!,0),2),(INDEX(COMPOS!$A$4:$G$390,MATCH($B198,COMPOS!$A$4:A$390,0),2)))))</f>
        <v>APLICAÇÃO MANUAL DE PINTURA COM TINTA LÁTEX PVA EM TETO, DUAS DEMÃOS. AF_06/2014</v>
      </c>
      <c r="D198" s="274" t="str">
        <f>(IF($A198="SINAPI",INDEX(SINAPI_NOV2020_NDES!$A$7:$H$6790,MATCH($B198,SINAPI_NOV2020_NDES!$A$7:$A$6790,0),3),(INDEX(COMPOS!$A$4:$G$5000,MATCH($B198,COMPOS!$A$4:$A$5000,0),3))))</f>
        <v>M2</v>
      </c>
      <c r="E198" s="279">
        <v>727.46</v>
      </c>
      <c r="F198" s="279">
        <f>(IF($A198="SINAPI",INDEX(SINAPI_NOV2020_NDES!$A$7:$H$6703,MATCH($B198,SINAPI_NOV2020_NDES!$A$7:$A$6703,0),5),(INDEX(COMPOS!$A$4:$G$801,MATCH($B198,COMPOS!$A$4:A$801,0),4))))</f>
        <v>3.54</v>
      </c>
      <c r="G198" s="279">
        <f>(IF($A198="SINAPI",INDEX(SINAPI_NOV2020_NDES!$A$7:$H$6703,MATCH($B198,SINAPI_NOV2020_NDES!$A$7:$A$6703,0),6),(INDEX(COMPOS!$A$4:$G$801,MATCH($B198,COMPOS!$A$4:A$801,0),5))))</f>
        <v>7.47</v>
      </c>
      <c r="H198" s="280">
        <f>(IF($A198="SINAPI",INDEX(SINAPI_NOV2020_NDES!$A$7:$H$6703,MATCH($B198,SINAPI_NOV2020_NDES!$A$7:$A$6703,0),7),(INDEX(COMPOS!$A$4:$G$801,MATCH($B198,COMPOS!$A$4:A$801,0),6))))</f>
        <v>0</v>
      </c>
      <c r="I198" s="279">
        <f t="shared" si="52"/>
        <v>11.01</v>
      </c>
      <c r="J198" s="276">
        <f t="shared" si="53"/>
        <v>8009.3346000000001</v>
      </c>
      <c r="K198" s="255"/>
      <c r="L198" s="255"/>
      <c r="M198" s="255"/>
      <c r="N198" s="255"/>
      <c r="O198" s="257"/>
      <c r="P198" s="257"/>
    </row>
    <row r="199" spans="1:16" s="88" customFormat="1" ht="24">
      <c r="A199" s="251" t="s">
        <v>7</v>
      </c>
      <c r="B199" s="289">
        <v>88485</v>
      </c>
      <c r="C199" s="282" t="str">
        <f>(IF($A199="SINAPI",INDEX(SINAPI_NOV2020_NDES!$A$7:$H$6703,MATCH($B199,SINAPI_NOV2020_NDES!$A$7:$A$6703,0),2),IF($A199="GOINFRA",INDEX(#REF!,MATCH($B199,#REF!,0),2),(INDEX(COMPOS!$A$4:$G$390,MATCH($B199,COMPOS!$A$4:A$390,0),2)))))</f>
        <v>APLICAÇÃO DE FUNDO SELADOR ACRÍLICO EM PAREDES, UMA DEMÃO. AF_06/2014</v>
      </c>
      <c r="D199" s="274" t="str">
        <f>(IF($A199="SINAPI",INDEX(SINAPI_NOV2020_NDES!$A$7:$H$6790,MATCH($B199,SINAPI_NOV2020_NDES!$A$7:$A$6790,0),3),(INDEX(COMPOS!$A$4:$G$5000,MATCH($B199,COMPOS!$A$4:$A$5000,0),3))))</f>
        <v>M2</v>
      </c>
      <c r="E199" s="279">
        <v>1285.3699999999999</v>
      </c>
      <c r="F199" s="279">
        <f>(IF($A199="SINAPI",INDEX(SINAPI_NOV2020_NDES!$A$7:$H$6703,MATCH($B199,SINAPI_NOV2020_NDES!$A$7:$A$6703,0),5),(INDEX(COMPOS!$A$4:$G$801,MATCH($B199,COMPOS!$A$4:A$801,0),4))))</f>
        <v>0.81</v>
      </c>
      <c r="G199" s="279">
        <f>(IF($A199="SINAPI",INDEX(SINAPI_NOV2020_NDES!$A$7:$H$6703,MATCH($B199,SINAPI_NOV2020_NDES!$A$7:$A$6703,0),6),(INDEX(COMPOS!$A$4:$G$801,MATCH($B199,COMPOS!$A$4:A$801,0),5))))</f>
        <v>1.43</v>
      </c>
      <c r="H199" s="280">
        <f>(IF($A199="SINAPI",INDEX(SINAPI_NOV2020_NDES!$A$7:$H$6703,MATCH($B199,SINAPI_NOV2020_NDES!$A$7:$A$6703,0),7),(INDEX(COMPOS!$A$4:$G$801,MATCH($B199,COMPOS!$A$4:A$801,0),6))))</f>
        <v>0</v>
      </c>
      <c r="I199" s="279">
        <f t="shared" si="52"/>
        <v>2.2400000000000002</v>
      </c>
      <c r="J199" s="276">
        <f t="shared" si="53"/>
        <v>2879.2287999999999</v>
      </c>
      <c r="K199" s="255"/>
      <c r="L199" s="255"/>
      <c r="M199" s="255"/>
      <c r="N199" s="255"/>
      <c r="O199" s="257"/>
      <c r="P199" s="257"/>
    </row>
    <row r="200" spans="1:16" s="99" customFormat="1" ht="26.25" customHeight="1">
      <c r="A200" s="251" t="s">
        <v>7</v>
      </c>
      <c r="B200" s="289">
        <v>88497</v>
      </c>
      <c r="C200" s="282" t="str">
        <f>(IF($A200="SINAPI",INDEX(SINAPI_NOV2020_NDES!$A$7:$H$6703,MATCH($B200,SINAPI_NOV2020_NDES!$A$7:$A$6703,0),2),IF($A200="GOINFRA",INDEX(#REF!,MATCH($B200,#REF!,0),2),(INDEX(COMPOS!$A$4:$G$390,MATCH($B200,COMPOS!$A$4:A$390,0),2)))))</f>
        <v>APLICAÇÃO E LIXAMENTO DE MASSA LÁTEX EM PAREDES, DUAS DEMÃOS. AF_06/2014</v>
      </c>
      <c r="D200" s="274" t="str">
        <f>(IF($A200="SINAPI",INDEX(SINAPI_NOV2020_NDES!$A$7:$H$6790,MATCH($B200,SINAPI_NOV2020_NDES!$A$7:$A$6790,0),3),(INDEX(COMPOS!$A$4:$G$5000,MATCH($B200,COMPOS!$A$4:$A$5000,0),3))))</f>
        <v>M2</v>
      </c>
      <c r="E200" s="279">
        <v>1285.3699999999999</v>
      </c>
      <c r="F200" s="279">
        <f>(IF($A200="SINAPI",INDEX(SINAPI_NOV2020_NDES!$A$7:$H$6703,MATCH($B200,SINAPI_NOV2020_NDES!$A$7:$A$6703,0),5),(INDEX(COMPOS!$A$4:$G$801,MATCH($B200,COMPOS!$A$4:A$801,0),4))))</f>
        <v>6.56</v>
      </c>
      <c r="G200" s="279">
        <f>(IF($A200="SINAPI",INDEX(SINAPI_NOV2020_NDES!$A$7:$H$6703,MATCH($B200,SINAPI_NOV2020_NDES!$A$7:$A$6703,0),6),(INDEX(COMPOS!$A$4:$G$801,MATCH($B200,COMPOS!$A$4:A$801,0),5))))</f>
        <v>4.76</v>
      </c>
      <c r="H200" s="280">
        <f>(IF($A200="SINAPI",INDEX(SINAPI_NOV2020_NDES!$A$7:$H$6703,MATCH($B200,SINAPI_NOV2020_NDES!$A$7:$A$6703,0),7),(INDEX(COMPOS!$A$4:$G$801,MATCH($B200,COMPOS!$A$4:A$801,0),6))))</f>
        <v>0</v>
      </c>
      <c r="I200" s="279">
        <f t="shared" si="52"/>
        <v>11.32</v>
      </c>
      <c r="J200" s="276">
        <f t="shared" si="53"/>
        <v>14550.3884</v>
      </c>
      <c r="K200" s="255"/>
      <c r="L200" s="255"/>
      <c r="M200" s="255"/>
      <c r="N200" s="255"/>
      <c r="O200" s="257"/>
      <c r="P200" s="257"/>
    </row>
    <row r="201" spans="1:16" s="1" customFormat="1" ht="24">
      <c r="A201" s="251" t="s">
        <v>7</v>
      </c>
      <c r="B201" s="289">
        <v>88489</v>
      </c>
      <c r="C201" s="282" t="str">
        <f>(IF($A201="SINAPI",INDEX(SINAPI_NOV2020_NDES!$A$7:$H$6703,MATCH($B201,SINAPI_NOV2020_NDES!$A$7:$A$6703,0),2),IF($A201="GOINFRA",INDEX(#REF!,MATCH($B201,#REF!,0),2),(INDEX(COMPOS!$A$4:$G$390,MATCH($B201,COMPOS!$A$4:A$390,0),2)))))</f>
        <v>APLICAÇÃO MANUAL DE PINTURA COM TINTA LÁTEX ACRÍLICA EM PAREDES, DUAS DEMÃOS. AF_06/2014</v>
      </c>
      <c r="D201" s="274" t="str">
        <f>(IF($A201="SINAPI",INDEX(SINAPI_NOV2020_NDES!$A$7:$H$6790,MATCH($B201,SINAPI_NOV2020_NDES!$A$7:$A$6790,0),3),(INDEX(COMPOS!$A$4:$G$5000,MATCH($B201,COMPOS!$A$4:$A$5000,0),3))))</f>
        <v>M2</v>
      </c>
      <c r="E201" s="279">
        <v>1285.3699999999999</v>
      </c>
      <c r="F201" s="279">
        <f>(IF($A201="SINAPI",INDEX(SINAPI_NOV2020_NDES!$A$7:$H$6703,MATCH($B201,SINAPI_NOV2020_NDES!$A$7:$A$6703,0),5),(INDEX(COMPOS!$A$4:$G$801,MATCH($B201,COMPOS!$A$4:A$801,0),4))))</f>
        <v>3.93</v>
      </c>
      <c r="G201" s="279">
        <f>(IF($A201="SINAPI",INDEX(SINAPI_NOV2020_NDES!$A$7:$H$6703,MATCH($B201,SINAPI_NOV2020_NDES!$A$7:$A$6703,0),6),(INDEX(COMPOS!$A$4:$G$801,MATCH($B201,COMPOS!$A$4:A$801,0),5))))</f>
        <v>8.56</v>
      </c>
      <c r="H201" s="280">
        <f>(IF($A201="SINAPI",INDEX(SINAPI_NOV2020_NDES!$A$7:$H$6703,MATCH($B201,SINAPI_NOV2020_NDES!$A$7:$A$6703,0),7),(INDEX(COMPOS!$A$4:$G$801,MATCH($B201,COMPOS!$A$4:A$801,0),6))))</f>
        <v>0</v>
      </c>
      <c r="I201" s="279">
        <f t="shared" si="52"/>
        <v>12.49</v>
      </c>
      <c r="J201" s="276">
        <f t="shared" si="53"/>
        <v>16054.271299999999</v>
      </c>
      <c r="K201" s="255"/>
      <c r="L201" s="255"/>
      <c r="M201" s="255"/>
      <c r="N201" s="255"/>
      <c r="O201" s="257"/>
      <c r="P201" s="257"/>
    </row>
    <row r="202" spans="1:16" s="1" customFormat="1" ht="24">
      <c r="A202" s="251" t="s">
        <v>7</v>
      </c>
      <c r="B202" s="289">
        <v>88415</v>
      </c>
      <c r="C202" s="282" t="str">
        <f>(IF($A202="SINAPI",INDEX(SINAPI_NOV2020_NDES!$A$7:$H$6703,MATCH($B202,SINAPI_NOV2020_NDES!$A$7:$A$6703,0),2),IF($A202="GOINFRA",INDEX(#REF!,MATCH($B202,#REF!,0),2),(INDEX(COMPOS!$A$4:$G$390,MATCH($B202,COMPOS!$A$4:A$390,0),2)))))</f>
        <v>APLICAÇÃO MANUAL DE FUNDO SELADOR ACRÍLICO EM PAREDES EXTERNAS DE CASAS. AF_06/2014</v>
      </c>
      <c r="D202" s="274" t="str">
        <f>(IF($A202="SINAPI",INDEX(SINAPI_NOV2020_NDES!$A$7:$H$6790,MATCH($B202,SINAPI_NOV2020_NDES!$A$7:$A$6790,0),3),(INDEX(COMPOS!$A$4:$G$5000,MATCH($B202,COMPOS!$A$4:$A$5000,0),3))))</f>
        <v>M2</v>
      </c>
      <c r="E202" s="279">
        <v>856.24</v>
      </c>
      <c r="F202" s="279">
        <f>(IF($A202="SINAPI",INDEX(SINAPI_NOV2020_NDES!$A$7:$H$6703,MATCH($B202,SINAPI_NOV2020_NDES!$A$7:$A$6703,0),5),(INDEX(COMPOS!$A$4:$G$801,MATCH($B202,COMPOS!$A$4:A$801,0),4))))</f>
        <v>1.07</v>
      </c>
      <c r="G202" s="279">
        <f>(IF($A202="SINAPI",INDEX(SINAPI_NOV2020_NDES!$A$7:$H$6703,MATCH($B202,SINAPI_NOV2020_NDES!$A$7:$A$6703,0),6),(INDEX(COMPOS!$A$4:$G$801,MATCH($B202,COMPOS!$A$4:A$801,0),5))))</f>
        <v>1.51</v>
      </c>
      <c r="H202" s="280">
        <f>(IF($A202="SINAPI",INDEX(SINAPI_NOV2020_NDES!$A$7:$H$6703,MATCH($B202,SINAPI_NOV2020_NDES!$A$7:$A$6703,0),7),(INDEX(COMPOS!$A$4:$G$801,MATCH($B202,COMPOS!$A$4:A$801,0),6))))</f>
        <v>0</v>
      </c>
      <c r="I202" s="279">
        <f t="shared" si="52"/>
        <v>2.58</v>
      </c>
      <c r="J202" s="276">
        <f t="shared" si="53"/>
        <v>2209.0992000000001</v>
      </c>
      <c r="K202" s="255"/>
      <c r="L202" s="255"/>
      <c r="M202" s="255"/>
      <c r="N202" s="255"/>
      <c r="O202" s="257"/>
      <c r="P202" s="257"/>
    </row>
    <row r="203" spans="1:16" s="1" customFormat="1" ht="24">
      <c r="A203" s="251" t="s">
        <v>7</v>
      </c>
      <c r="B203" s="289">
        <v>88423</v>
      </c>
      <c r="C203" s="282" t="str">
        <f>(IF($A203="SINAPI",INDEX(SINAPI_NOV2020_NDES!$A$7:$H$6703,MATCH($B203,SINAPI_NOV2020_NDES!$A$7:$A$6703,0),2),IF($A203="GOINFRA",INDEX(#REF!,MATCH($B203,#REF!,0),2),(INDEX(COMPOS!$A$4:$G$390,MATCH($B203,COMPOS!$A$4:A$390,0),2)))))</f>
        <v>APLICAÇÃO MANUAL DE PINTURA COM TINTA TEXTURIZADA ACRÍLICA EM PAREDES EXTERNAS DE CASAS, UMA COR. AF_06/2014</v>
      </c>
      <c r="D203" s="274" t="str">
        <f>(IF($A203="SINAPI",INDEX(SINAPI_NOV2020_NDES!$A$7:$H$6790,MATCH($B203,SINAPI_NOV2020_NDES!$A$7:$A$6790,0),3),(INDEX(COMPOS!$A$4:$G$5000,MATCH($B203,COMPOS!$A$4:$A$5000,0),3))))</f>
        <v>M2</v>
      </c>
      <c r="E203" s="279">
        <v>856.24</v>
      </c>
      <c r="F203" s="279">
        <f>(IF($A203="SINAPI",INDEX(SINAPI_NOV2020_NDES!$A$7:$H$6703,MATCH($B203,SINAPI_NOV2020_NDES!$A$7:$A$6703,0),5),(INDEX(COMPOS!$A$4:$G$801,MATCH($B203,COMPOS!$A$4:A$801,0),4))))</f>
        <v>3.45</v>
      </c>
      <c r="G203" s="279">
        <f>(IF($A203="SINAPI",INDEX(SINAPI_NOV2020_NDES!$A$7:$H$6703,MATCH($B203,SINAPI_NOV2020_NDES!$A$7:$A$6703,0),6),(INDEX(COMPOS!$A$4:$G$801,MATCH($B203,COMPOS!$A$4:A$801,0),5))))</f>
        <v>14.24</v>
      </c>
      <c r="H203" s="280">
        <f>(IF($A203="SINAPI",INDEX(SINAPI_NOV2020_NDES!$A$7:$H$6703,MATCH($B203,SINAPI_NOV2020_NDES!$A$7:$A$6703,0),7),(INDEX(COMPOS!$A$4:$G$801,MATCH($B203,COMPOS!$A$4:A$801,0),6))))</f>
        <v>0</v>
      </c>
      <c r="I203" s="279">
        <f t="shared" si="52"/>
        <v>17.690000000000001</v>
      </c>
      <c r="J203" s="276">
        <f t="shared" si="53"/>
        <v>15146.885600000001</v>
      </c>
      <c r="K203" s="255"/>
      <c r="L203" s="255"/>
      <c r="M203" s="255"/>
      <c r="N203" s="255"/>
      <c r="O203" s="257"/>
      <c r="P203" s="257"/>
    </row>
    <row r="204" spans="1:16" s="88" customFormat="1" ht="15">
      <c r="A204" s="251" t="s">
        <v>6307</v>
      </c>
      <c r="B204" s="290">
        <v>359</v>
      </c>
      <c r="C204" s="282" t="str">
        <f>(IF($A204="SINAPI",INDEX(SINAPI_NOV2020_NDES!$A$7:$H$6703,MATCH($B204,SINAPI_NOV2020_NDES!$A$7:$A$6703,0),2),IF($A204="GOINFRA",INDEX(#REF!,MATCH($B204,#REF!,0),2),(INDEX(COMPOS!$A$4:$G$390,MATCH($B204,COMPOS!$A$4:A$390,0),2)))))</f>
        <v>EMASSAMENTO/ÓLEO ESQUADRIAS DE MADEIRA</v>
      </c>
      <c r="D204" s="274" t="str">
        <f>(IF($A204="SINAPI",INDEX(SINAPI_NOV2020_NDES!$A$7:$H$6790,MATCH($B204,SINAPI_NOV2020_NDES!$A$7:$A$6790,0),3),(INDEX(COMPOS!$A$4:$G$5000,MATCH($B204,COMPOS!$A$4:$A$5000,0),3))))</f>
        <v>M2</v>
      </c>
      <c r="E204" s="279">
        <v>122.85</v>
      </c>
      <c r="F204" s="279">
        <f>(IF($A204="SINAPI",INDEX(SINAPI_NOV2020_NDES!$A$7:$H$6703,MATCH($B204,SINAPI_NOV2020_NDES!$A$7:$A$6703,0),5),(INDEX(COMPOS!$A$4:$G$801,MATCH($B204,COMPOS!$A$4:A$801,0),4))))</f>
        <v>12.426500000000001</v>
      </c>
      <c r="G204" s="279">
        <f>(IF($A204="SINAPI",INDEX(SINAPI_NOV2020_NDES!$A$7:$H$6703,MATCH($B204,SINAPI_NOV2020_NDES!$A$7:$A$6703,0),6),(INDEX(COMPOS!$A$4:$G$801,MATCH($B204,COMPOS!$A$4:A$801,0),5))))</f>
        <v>4.6935000000000002</v>
      </c>
      <c r="H204" s="280">
        <f>(IF($A204="SINAPI",INDEX(SINAPI_NOV2020_NDES!$A$7:$H$6703,MATCH($B204,SINAPI_NOV2020_NDES!$A$7:$A$6703,0),7),(INDEX(COMPOS!$A$4:$G$801,MATCH($B204,COMPOS!$A$4:A$801,0),6))))</f>
        <v>0</v>
      </c>
      <c r="I204" s="279">
        <f t="shared" si="52"/>
        <v>17.12</v>
      </c>
      <c r="J204" s="276">
        <f t="shared" si="53"/>
        <v>2103.192</v>
      </c>
      <c r="K204" s="255"/>
      <c r="L204" s="255"/>
      <c r="M204" s="255"/>
      <c r="N204" s="255"/>
      <c r="O204" s="257"/>
      <c r="P204" s="257"/>
    </row>
    <row r="205" spans="1:16" s="99" customFormat="1" ht="24">
      <c r="A205" s="251" t="s">
        <v>7</v>
      </c>
      <c r="B205" s="289" t="s">
        <v>6900</v>
      </c>
      <c r="C205" s="282" t="str">
        <f>(IF($A205="SINAPI",INDEX(SINAPI_NOV2020_NDES!$A$7:$H$6703,MATCH($B205,SINAPI_NOV2020_NDES!$A$7:$A$6703,0),2),IF($A205="GOINFRA",INDEX(#REF!,MATCH($B205,#REF!,0),2),(INDEX(COMPOS!$A$4:$G$390,MATCH($B205,COMPOS!$A$4:A$390,0),2)))))</f>
        <v>PINTURA ESMALTE BRILHANTE PARA MADEIRA, DUAS DEMAOS, SOBRE FUNDO NIVELADOR BRANCO</v>
      </c>
      <c r="D205" s="274" t="str">
        <f>(IF($A205="SINAPI",INDEX(SINAPI_NOV2020_NDES!$A$7:$H$6790,MATCH($B205,SINAPI_NOV2020_NDES!$A$7:$A$6790,0),3),(INDEX(COMPOS!$A$4:$G$5000,MATCH($B205,COMPOS!$A$4:$A$5000,0),3))))</f>
        <v>M2</v>
      </c>
      <c r="E205" s="279">
        <v>122.85</v>
      </c>
      <c r="F205" s="279">
        <f>(IF($A205="SINAPI",INDEX(SINAPI_NOV2020_NDES!$A$7:$H$6703,MATCH($B205,SINAPI_NOV2020_NDES!$A$7:$A$6703,0),5),(INDEX(COMPOS!$A$4:$G$801,MATCH($B205,COMPOS!$A$4:A$801,0),4))))</f>
        <v>10.54</v>
      </c>
      <c r="G205" s="279">
        <f>(IF($A205="SINAPI",INDEX(SINAPI_NOV2020_NDES!$A$7:$H$6703,MATCH($B205,SINAPI_NOV2020_NDES!$A$7:$A$6703,0),6),(INDEX(COMPOS!$A$4:$G$801,MATCH($B205,COMPOS!$A$4:A$801,0),5))))</f>
        <v>10.67</v>
      </c>
      <c r="H205" s="280">
        <f>(IF($A205="SINAPI",INDEX(SINAPI_NOV2020_NDES!$A$7:$H$6703,MATCH($B205,SINAPI_NOV2020_NDES!$A$7:$A$6703,0),7),(INDEX(COMPOS!$A$4:$G$801,MATCH($B205,COMPOS!$A$4:A$801,0),6))))</f>
        <v>0</v>
      </c>
      <c r="I205" s="279">
        <f t="shared" si="52"/>
        <v>21.21</v>
      </c>
      <c r="J205" s="276">
        <f t="shared" si="53"/>
        <v>2605.6484999999998</v>
      </c>
      <c r="K205" s="255"/>
      <c r="L205" s="255"/>
      <c r="M205" s="255"/>
      <c r="N205" s="255"/>
      <c r="O205" s="257"/>
      <c r="P205" s="257"/>
    </row>
    <row r="206" spans="1:16" s="1" customFormat="1" ht="15">
      <c r="A206" s="251" t="s">
        <v>6307</v>
      </c>
      <c r="B206" s="290">
        <v>360</v>
      </c>
      <c r="C206" s="282" t="str">
        <f>(IF($A206="SINAPI",INDEX(SINAPI_NOV2020_NDES!$A$7:$H$6703,MATCH($B206,SINAPI_NOV2020_NDES!$A$7:$A$6703,0),2),IF($A206="GOINFRA",INDEX(#REF!,MATCH($B206,#REF!,0),2),(INDEX(COMPOS!$A$4:$G$390,MATCH($B206,COMPOS!$A$4:A$390,0),2)))))</f>
        <v>PINTURA ESMALTE/ESQUADRIA DE FERRO COM FUNDO ANTI-CORROSIVO</v>
      </c>
      <c r="D206" s="274" t="str">
        <f>(IF($A206="SINAPI",INDEX(SINAPI_NOV2020_NDES!$A$7:$H$6790,MATCH($B206,SINAPI_NOV2020_NDES!$A$7:$A$6790,0),3),(INDEX(COMPOS!$A$4:$G$5000,MATCH($B206,COMPOS!$A$4:$A$5000,0),3))))</f>
        <v>M2</v>
      </c>
      <c r="E206" s="279">
        <v>438.17</v>
      </c>
      <c r="F206" s="279">
        <f>(IF($A206="SINAPI",INDEX(SINAPI_NOV2020_NDES!$A$7:$H$6703,MATCH($B206,SINAPI_NOV2020_NDES!$A$7:$A$6703,0),5),(INDEX(COMPOS!$A$4:$G$801,MATCH($B206,COMPOS!$A$4:A$801,0),4))))</f>
        <v>15.847708000000001</v>
      </c>
      <c r="G206" s="279">
        <f>(IF($A206="SINAPI",INDEX(SINAPI_NOV2020_NDES!$A$7:$H$6703,MATCH($B206,SINAPI_NOV2020_NDES!$A$7:$A$6703,0),6),(INDEX(COMPOS!$A$4:$G$801,MATCH($B206,COMPOS!$A$4:A$801,0),5))))</f>
        <v>6.5686479999999996</v>
      </c>
      <c r="H206" s="280">
        <f>(IF($A206="SINAPI",INDEX(SINAPI_NOV2020_NDES!$A$7:$H$6703,MATCH($B206,SINAPI_NOV2020_NDES!$A$7:$A$6703,0),7),(INDEX(COMPOS!$A$4:$G$801,MATCH($B206,COMPOS!$A$4:A$801,0),6))))</f>
        <v>0</v>
      </c>
      <c r="I206" s="279">
        <f t="shared" si="52"/>
        <v>22.416356</v>
      </c>
      <c r="J206" s="276">
        <f t="shared" si="53"/>
        <v>9822.1747085200004</v>
      </c>
      <c r="K206" s="255"/>
      <c r="L206" s="255"/>
      <c r="M206" s="255"/>
      <c r="N206" s="255"/>
      <c r="O206" s="257"/>
      <c r="P206" s="257"/>
    </row>
    <row r="207" spans="1:16" s="88" customFormat="1" ht="15">
      <c r="A207" s="680" t="s">
        <v>6927</v>
      </c>
      <c r="B207" s="680"/>
      <c r="C207" s="680"/>
      <c r="D207" s="680"/>
      <c r="E207" s="680"/>
      <c r="F207" s="680"/>
      <c r="G207" s="680"/>
      <c r="H207" s="680"/>
      <c r="I207" s="680"/>
      <c r="J207" s="281">
        <f>SUM(J196:J206)</f>
        <v>91333.935908519998</v>
      </c>
      <c r="K207" s="255"/>
      <c r="L207" s="255"/>
      <c r="M207" s="255"/>
      <c r="N207" s="255"/>
      <c r="O207" s="257"/>
      <c r="P207" s="257"/>
    </row>
    <row r="208" spans="1:16" s="99" customFormat="1" ht="15">
      <c r="A208" s="251"/>
      <c r="B208" s="272">
        <v>189</v>
      </c>
      <c r="C208" s="273" t="s">
        <v>2</v>
      </c>
      <c r="D208" s="274"/>
      <c r="E208" s="279"/>
      <c r="F208" s="279"/>
      <c r="G208" s="279"/>
      <c r="H208" s="280"/>
      <c r="I208" s="275"/>
      <c r="J208" s="276"/>
      <c r="K208" s="255"/>
      <c r="L208" s="255"/>
      <c r="M208" s="255"/>
      <c r="N208" s="255"/>
      <c r="O208" s="257"/>
      <c r="P208" s="257"/>
    </row>
    <row r="209" spans="1:1001" s="1" customFormat="1" ht="15">
      <c r="A209" s="251" t="s">
        <v>6307</v>
      </c>
      <c r="B209" s="290">
        <v>362</v>
      </c>
      <c r="C209" s="282" t="str">
        <f>(IF($A209="SINAPI",INDEX(SINAPI_NOV2020_NDES!$A$7:$H$6703,MATCH($B209,SINAPI_NOV2020_NDES!$A$7:$A$6703,0),2),IF($A209="GOINFRA",INDEX(#REF!,MATCH($B209,#REF!,0),2),(INDEX(COMPOS!$A$4:$G$390,MATCH($B209,COMPOS!$A$4:A$390,0),2)))))</f>
        <v>LIMPEZA FINAL DA OBRA</v>
      </c>
      <c r="D209" s="274" t="str">
        <f>(IF($A209="SINAPI",INDEX(SINAPI_NOV2020_NDES!$A$7:$H$6790,MATCH($B209,SINAPI_NOV2020_NDES!$A$7:$A$6790,0),3),(INDEX(COMPOS!$A$4:$G$5000,MATCH($B209,COMPOS!$A$4:$A$5000,0),3))))</f>
        <v>M2</v>
      </c>
      <c r="E209" s="279">
        <v>890.11</v>
      </c>
      <c r="F209" s="279">
        <f>(IF($A209="SINAPI",INDEX(SINAPI_NOV2020_NDES!$A$7:$H$6703,MATCH($B209,SINAPI_NOV2020_NDES!$A$7:$A$6703,0),5),(INDEX(COMPOS!$A$4:$G$801,MATCH($B209,COMPOS!$A$4:A$801,0),4))))</f>
        <v>2.2664999999999997</v>
      </c>
      <c r="G209" s="279">
        <f>(IF($A209="SINAPI",INDEX(SINAPI_NOV2020_NDES!$A$7:$H$6703,MATCH($B209,SINAPI_NOV2020_NDES!$A$7:$A$6703,0),6),(INDEX(COMPOS!$A$4:$G$801,MATCH($B209,COMPOS!$A$4:A$801,0),5))))</f>
        <v>0.62687100000000007</v>
      </c>
      <c r="H209" s="280">
        <f>(IF($A209="SINAPI",INDEX(SINAPI_NOV2020_NDES!$A$7:$H$6703,MATCH($B209,SINAPI_NOV2020_NDES!$A$7:$A$6703,0),7),(INDEX(COMPOS!$A$4:$G$801,MATCH($B209,COMPOS!$A$4:A$801,0),6))))</f>
        <v>0</v>
      </c>
      <c r="I209" s="279">
        <f t="shared" ref="I209" si="54">SUM(F209:H209)</f>
        <v>2.8933709999999997</v>
      </c>
      <c r="J209" s="276">
        <f t="shared" ref="J209" si="55">+I209*E209</f>
        <v>2575.4184608099999</v>
      </c>
      <c r="K209" s="255"/>
      <c r="L209" s="255"/>
      <c r="M209" s="255"/>
      <c r="N209" s="255"/>
      <c r="O209" s="257"/>
      <c r="P209" s="257"/>
    </row>
    <row r="210" spans="1:1001" s="88" customFormat="1" ht="15">
      <c r="A210" s="251" t="s">
        <v>6307</v>
      </c>
      <c r="B210" s="293">
        <v>363</v>
      </c>
      <c r="C210" s="282" t="str">
        <f>(IF($A210="SINAPI",INDEX(SINAPI_NOV2020_NDES!$A$7:$H$6703,MATCH($B210,SINAPI_NOV2020_NDES!$A$7:$A$6703,0),2),IF($A210="GOINFRA",INDEX(#REF!,MATCH($B210,#REF!,0),2),(INDEX(COMPOS!$A$4:$G$390,MATCH($B210,COMPOS!$A$4:A$390,0),2)))))</f>
        <v>SUPORTE PARA BANCADA EM FERRO “T” 1/8'' X 1.1/4''</v>
      </c>
      <c r="D210" s="274" t="str">
        <f>(IF($A210="SINAPI",INDEX(SINAPI_NOV2020_NDES!$A$7:$H$6790,MATCH($B210,SINAPI_NOV2020_NDES!$A$7:$A$6790,0),3),(INDEX(COMPOS!$A$4:$G$5000,MATCH($B210,COMPOS!$A$4:$A$5000,0),3))))</f>
        <v>UN</v>
      </c>
      <c r="E210" s="279">
        <v>28</v>
      </c>
      <c r="F210" s="279">
        <f>(IF($A210="SINAPI",INDEX(SINAPI_NOV2020_NDES!$A$7:$H$6703,MATCH($B210,SINAPI_NOV2020_NDES!$A$7:$A$6703,0),5),(INDEX(COMPOS!$A$4:$G$801,MATCH($B210,COMPOS!$A$4:A$801,0),4))))</f>
        <v>9.2025000000000006</v>
      </c>
      <c r="G210" s="279">
        <f>(IF($A210="SINAPI",INDEX(SINAPI_NOV2020_NDES!$A$7:$H$6703,MATCH($B210,SINAPI_NOV2020_NDES!$A$7:$A$6703,0),6),(INDEX(COMPOS!$A$4:$G$801,MATCH($B210,COMPOS!$A$4:A$801,0),5))))</f>
        <v>8.2471180000000004</v>
      </c>
      <c r="H210" s="280">
        <f>(IF($A210="SINAPI",INDEX(SINAPI_NOV2020_NDES!$A$7:$H$6703,MATCH($B210,SINAPI_NOV2020_NDES!$A$7:$A$6703,0),7),(INDEX(COMPOS!$A$4:$G$801,MATCH($B210,COMPOS!$A$4:A$801,0),6))))</f>
        <v>0</v>
      </c>
      <c r="I210" s="279">
        <f t="shared" ref="I210:I211" si="56">SUM(F210:H210)</f>
        <v>17.449618000000001</v>
      </c>
      <c r="J210" s="276">
        <f t="shared" ref="J210:J211" si="57">+I210*E210</f>
        <v>488.58930400000003</v>
      </c>
      <c r="K210" s="255"/>
      <c r="L210" s="255"/>
      <c r="M210" s="255"/>
      <c r="N210" s="255"/>
      <c r="O210" s="257"/>
      <c r="P210" s="257"/>
    </row>
    <row r="211" spans="1:1001" s="99" customFormat="1" ht="15">
      <c r="A211" s="251" t="s">
        <v>6307</v>
      </c>
      <c r="B211" s="293">
        <v>364</v>
      </c>
      <c r="C211" s="282" t="str">
        <f>(IF($A211="SINAPI",INDEX(SINAPI_NOV2020_NDES!$A$7:$H$6703,MATCH($B211,SINAPI_NOV2020_NDES!$A$7:$A$6703,0),2),IF($A211="GOINFRA",INDEX(#REF!,MATCH($B211,#REF!,0),2),(INDEX(COMPOS!$A$4:$G$390,MATCH($B211,COMPOS!$A$4:A$390,0),2)))))</f>
        <v>BANCADA DE GRANITO COM ESPELHO</v>
      </c>
      <c r="D211" s="274" t="str">
        <f>(IF($A211="SINAPI",INDEX(SINAPI_NOV2020_NDES!$A$7:$H$6790,MATCH($B211,SINAPI_NOV2020_NDES!$A$7:$A$6790,0),3),(INDEX(COMPOS!$A$4:$G$5000,MATCH($B211,COMPOS!$A$4:$A$5000,0),3))))</f>
        <v>M2</v>
      </c>
      <c r="E211" s="279">
        <v>23.47</v>
      </c>
      <c r="F211" s="279">
        <f>(IF($A211="SINAPI",INDEX(SINAPI_NOV2020_NDES!$A$7:$H$6703,MATCH($B211,SINAPI_NOV2020_NDES!$A$7:$A$6703,0),5),(INDEX(COMPOS!$A$4:$G$801,MATCH($B211,COMPOS!$A$4:A$801,0),4))))</f>
        <v>52.764523999999994</v>
      </c>
      <c r="G211" s="279">
        <f>(IF($A211="SINAPI",INDEX(SINAPI_NOV2020_NDES!$A$7:$H$6703,MATCH($B211,SINAPI_NOV2020_NDES!$A$7:$A$6703,0),6),(INDEX(COMPOS!$A$4:$G$801,MATCH($B211,COMPOS!$A$4:A$801,0),5))))</f>
        <v>420.03860000000003</v>
      </c>
      <c r="H211" s="280">
        <f>(IF($A211="SINAPI",INDEX(SINAPI_NOV2020_NDES!$A$7:$H$6703,MATCH($B211,SINAPI_NOV2020_NDES!$A$7:$A$6703,0),7),(INDEX(COMPOS!$A$4:$G$801,MATCH($B211,COMPOS!$A$4:A$801,0),6))))</f>
        <v>0</v>
      </c>
      <c r="I211" s="279">
        <f t="shared" si="56"/>
        <v>472.80312400000003</v>
      </c>
      <c r="J211" s="276">
        <f t="shared" si="57"/>
        <v>11096.68932028</v>
      </c>
      <c r="K211" s="255"/>
      <c r="L211" s="255"/>
      <c r="M211" s="255"/>
      <c r="N211" s="255"/>
      <c r="O211" s="257"/>
      <c r="P211" s="257"/>
    </row>
    <row r="212" spans="1:1001">
      <c r="A212" s="680" t="s">
        <v>6927</v>
      </c>
      <c r="B212" s="680"/>
      <c r="C212" s="680"/>
      <c r="D212" s="680"/>
      <c r="E212" s="680"/>
      <c r="F212" s="680"/>
      <c r="G212" s="680"/>
      <c r="H212" s="680"/>
      <c r="I212" s="680"/>
      <c r="J212" s="281">
        <f>SUM(J209:J211)</f>
        <v>14160.69708509</v>
      </c>
      <c r="K212" s="255"/>
      <c r="L212" s="255"/>
      <c r="M212" s="255"/>
      <c r="N212" s="255"/>
      <c r="O212" s="257"/>
      <c r="P212" s="257"/>
    </row>
    <row r="213" spans="1:1001">
      <c r="A213" s="680" t="s">
        <v>7104</v>
      </c>
      <c r="B213" s="680"/>
      <c r="C213" s="680"/>
      <c r="D213" s="680"/>
      <c r="E213" s="680"/>
      <c r="F213" s="680"/>
      <c r="G213" s="680"/>
      <c r="H213" s="680"/>
      <c r="I213" s="680"/>
      <c r="J213" s="281">
        <f>SUMPRODUCT(E13:E211,F13:F211)</f>
        <v>142090.11474482404</v>
      </c>
      <c r="P213" s="257"/>
    </row>
    <row r="214" spans="1:1001">
      <c r="A214" s="680" t="s">
        <v>7103</v>
      </c>
      <c r="B214" s="680"/>
      <c r="C214" s="680"/>
      <c r="D214" s="680"/>
      <c r="E214" s="680"/>
      <c r="F214" s="680"/>
      <c r="G214" s="680"/>
      <c r="H214" s="680"/>
      <c r="I214" s="680"/>
      <c r="J214" s="281">
        <f>SUMPRODUCT(E13:E211,G13:G211)+SUMPRODUCT(E13:E211,H13:H211)</f>
        <v>372532.95446031814</v>
      </c>
    </row>
    <row r="215" spans="1:1001" s="191" customFormat="1" ht="12.75" customHeight="1">
      <c r="A215" s="690" t="s">
        <v>6928</v>
      </c>
      <c r="B215" s="691"/>
      <c r="C215" s="691"/>
      <c r="D215" s="691"/>
      <c r="E215" s="691"/>
      <c r="F215" s="691"/>
      <c r="G215" s="691"/>
      <c r="H215" s="691"/>
      <c r="I215" s="692"/>
      <c r="J215" s="281">
        <f>J212+J207+J194+J188+J185+J177+J174+J171+J158+J150+J147+J20+J16+J117</f>
        <v>514623.06920514221</v>
      </c>
      <c r="K215" s="255"/>
      <c r="L215" s="255"/>
      <c r="M215" s="255"/>
      <c r="N215" s="255"/>
      <c r="O215" s="257"/>
      <c r="P215" s="257"/>
      <c r="Q215" s="255"/>
      <c r="R215" s="255"/>
      <c r="S215" s="255"/>
      <c r="T215" s="255"/>
      <c r="U215" s="255"/>
      <c r="V215" s="255"/>
      <c r="W215" s="255"/>
      <c r="X215" s="255"/>
      <c r="Y215" s="255"/>
      <c r="Z215" s="255"/>
      <c r="AA215" s="255"/>
      <c r="AB215" s="255"/>
      <c r="AC215" s="255"/>
      <c r="AD215" s="255"/>
      <c r="AE215" s="255"/>
      <c r="AF215" s="255"/>
      <c r="AG215" s="255"/>
      <c r="AH215" s="255"/>
      <c r="AI215" s="255"/>
      <c r="AJ215" s="255"/>
      <c r="AK215" s="255"/>
      <c r="AL215" s="255"/>
      <c r="AM215" s="255"/>
      <c r="AN215" s="255"/>
      <c r="AO215" s="255"/>
      <c r="AP215" s="255"/>
      <c r="AQ215" s="255"/>
      <c r="AR215" s="255"/>
      <c r="AS215" s="255"/>
      <c r="AT215" s="255"/>
      <c r="AU215" s="255"/>
      <c r="AV215" s="255"/>
      <c r="AW215" s="255"/>
      <c r="AX215" s="255"/>
      <c r="AY215" s="255"/>
      <c r="AZ215" s="255"/>
      <c r="BA215" s="255"/>
      <c r="BB215" s="255"/>
      <c r="BC215" s="255"/>
      <c r="BD215" s="255"/>
      <c r="BE215" s="255"/>
      <c r="BF215" s="255"/>
      <c r="BG215" s="255"/>
      <c r="BH215" s="255"/>
      <c r="BI215" s="255"/>
      <c r="BJ215" s="255"/>
      <c r="BK215" s="255"/>
      <c r="BL215" s="255"/>
      <c r="BM215" s="255"/>
      <c r="BN215" s="255"/>
      <c r="BO215" s="255"/>
      <c r="BP215" s="255"/>
      <c r="BQ215" s="255"/>
      <c r="BR215" s="255"/>
      <c r="BS215" s="255"/>
      <c r="BT215" s="255"/>
      <c r="BU215" s="255"/>
      <c r="BV215" s="255"/>
      <c r="BW215" s="255"/>
      <c r="BX215" s="255"/>
      <c r="BY215" s="255"/>
      <c r="BZ215" s="255"/>
      <c r="CA215" s="255"/>
      <c r="CB215" s="255"/>
      <c r="CC215" s="255"/>
      <c r="CD215" s="255"/>
      <c r="CE215" s="255"/>
      <c r="CF215" s="255"/>
      <c r="CG215" s="255"/>
      <c r="CH215" s="255"/>
      <c r="CI215" s="255"/>
      <c r="CJ215" s="255"/>
      <c r="CK215" s="255"/>
      <c r="CL215" s="255"/>
      <c r="CM215" s="255"/>
      <c r="CN215" s="255"/>
      <c r="CO215" s="255"/>
      <c r="CP215" s="255"/>
      <c r="CQ215" s="255"/>
      <c r="CR215" s="255"/>
      <c r="CS215" s="255"/>
      <c r="CT215" s="255"/>
      <c r="CU215" s="255"/>
      <c r="CV215" s="255"/>
      <c r="CW215" s="255"/>
      <c r="CX215" s="255"/>
      <c r="CY215" s="255"/>
      <c r="CZ215" s="255"/>
      <c r="DA215" s="255"/>
      <c r="DB215" s="255"/>
      <c r="DC215" s="255"/>
      <c r="DD215" s="255"/>
      <c r="DE215" s="255"/>
      <c r="DF215" s="255"/>
      <c r="DG215" s="255"/>
      <c r="DH215" s="255"/>
      <c r="DI215" s="255"/>
      <c r="DJ215" s="255"/>
      <c r="DK215" s="255"/>
      <c r="DL215" s="255"/>
      <c r="DM215" s="255"/>
      <c r="DN215" s="255"/>
      <c r="DO215" s="255"/>
      <c r="DP215" s="255"/>
      <c r="DQ215" s="255"/>
      <c r="DR215" s="255"/>
      <c r="DS215" s="255"/>
      <c r="DT215" s="255"/>
      <c r="DU215" s="255"/>
      <c r="DV215" s="255"/>
      <c r="DW215" s="255"/>
      <c r="DX215" s="255"/>
      <c r="DY215" s="255"/>
      <c r="DZ215" s="255"/>
      <c r="EA215" s="255"/>
      <c r="EB215" s="255"/>
      <c r="EC215" s="255"/>
      <c r="ED215" s="255"/>
      <c r="EE215" s="255"/>
      <c r="EF215" s="255"/>
      <c r="EG215" s="255"/>
      <c r="EH215" s="255"/>
      <c r="EI215" s="255"/>
      <c r="EJ215" s="255"/>
      <c r="EK215" s="255"/>
      <c r="EL215" s="255"/>
      <c r="EM215" s="255"/>
      <c r="EN215" s="255"/>
      <c r="EO215" s="255"/>
      <c r="EP215" s="255"/>
      <c r="EQ215" s="255"/>
      <c r="ER215" s="255"/>
      <c r="ES215" s="255"/>
      <c r="ET215" s="255"/>
      <c r="EU215" s="255"/>
      <c r="EV215" s="255"/>
      <c r="EW215" s="255"/>
      <c r="EX215" s="255"/>
      <c r="EY215" s="255"/>
      <c r="EZ215" s="255"/>
      <c r="FA215" s="255"/>
      <c r="FB215" s="255"/>
      <c r="FC215" s="255"/>
      <c r="FD215" s="255"/>
      <c r="FE215" s="255"/>
      <c r="FF215" s="255"/>
      <c r="FG215" s="255"/>
      <c r="FH215" s="255"/>
      <c r="FI215" s="255"/>
      <c r="FJ215" s="255"/>
      <c r="FK215" s="255"/>
      <c r="FL215" s="255"/>
      <c r="FM215" s="255"/>
      <c r="FN215" s="255"/>
      <c r="FO215" s="255"/>
      <c r="FP215" s="255"/>
      <c r="FQ215" s="255"/>
      <c r="FR215" s="255"/>
      <c r="FS215" s="255"/>
      <c r="FT215" s="255"/>
      <c r="FU215" s="255"/>
      <c r="FV215" s="255"/>
      <c r="FW215" s="255"/>
      <c r="FX215" s="255"/>
      <c r="FY215" s="255"/>
      <c r="FZ215" s="255"/>
      <c r="GA215" s="255"/>
      <c r="GB215" s="255"/>
      <c r="GC215" s="255"/>
      <c r="GD215" s="255"/>
      <c r="GE215" s="255"/>
      <c r="GF215" s="255"/>
      <c r="GG215" s="255"/>
      <c r="GH215" s="255"/>
      <c r="GI215" s="255"/>
      <c r="GJ215" s="255"/>
      <c r="GK215" s="255"/>
      <c r="GL215" s="255"/>
      <c r="GM215" s="255"/>
      <c r="GN215" s="255"/>
      <c r="GO215" s="255"/>
      <c r="GP215" s="255"/>
      <c r="GQ215" s="255"/>
      <c r="GR215" s="255"/>
      <c r="GS215" s="255"/>
      <c r="GT215" s="255"/>
      <c r="GU215" s="255"/>
      <c r="GV215" s="255"/>
      <c r="GW215" s="255"/>
      <c r="GX215" s="255"/>
      <c r="GY215" s="255"/>
      <c r="GZ215" s="255"/>
      <c r="HA215" s="255"/>
      <c r="HB215" s="255"/>
      <c r="HC215" s="255"/>
      <c r="HD215" s="255"/>
      <c r="HE215" s="255"/>
      <c r="HF215" s="255"/>
      <c r="HG215" s="255"/>
      <c r="HH215" s="255"/>
      <c r="HI215" s="255"/>
      <c r="HJ215" s="255"/>
      <c r="HK215" s="255"/>
      <c r="HL215" s="255"/>
      <c r="HM215" s="255"/>
      <c r="HN215" s="255"/>
      <c r="HO215" s="255"/>
      <c r="HP215" s="255"/>
      <c r="HQ215" s="255"/>
      <c r="HR215" s="255"/>
      <c r="HS215" s="255"/>
      <c r="HT215" s="255"/>
      <c r="HU215" s="255"/>
      <c r="HV215" s="255"/>
      <c r="HW215" s="255"/>
      <c r="HX215" s="255"/>
      <c r="HY215" s="255"/>
      <c r="HZ215" s="255"/>
      <c r="IA215" s="255"/>
      <c r="IB215" s="255"/>
      <c r="IC215" s="255"/>
      <c r="ID215" s="255"/>
      <c r="IE215" s="255"/>
      <c r="IF215" s="255"/>
      <c r="IG215" s="255"/>
      <c r="IH215" s="255"/>
      <c r="II215" s="255"/>
      <c r="IJ215" s="255"/>
      <c r="IK215" s="255"/>
      <c r="IL215" s="255"/>
      <c r="IM215" s="255"/>
      <c r="IN215" s="255"/>
      <c r="IO215" s="255"/>
      <c r="IP215" s="255"/>
      <c r="IQ215" s="255"/>
      <c r="IR215" s="255"/>
      <c r="IS215" s="255"/>
      <c r="IT215" s="255"/>
      <c r="IU215" s="255"/>
      <c r="IV215" s="255"/>
      <c r="IW215" s="255"/>
      <c r="IX215" s="255"/>
      <c r="IY215" s="255"/>
      <c r="IZ215" s="255"/>
      <c r="JA215" s="255"/>
      <c r="JB215" s="255"/>
      <c r="JC215" s="255"/>
      <c r="JD215" s="255"/>
      <c r="JE215" s="255"/>
      <c r="JF215" s="255"/>
      <c r="JG215" s="255"/>
      <c r="JH215" s="255"/>
      <c r="JI215" s="255"/>
      <c r="JJ215" s="255"/>
      <c r="JK215" s="255"/>
      <c r="JL215" s="255"/>
      <c r="JM215" s="255"/>
      <c r="JN215" s="255"/>
      <c r="JO215" s="255"/>
      <c r="JP215" s="255"/>
      <c r="JQ215" s="255"/>
      <c r="JR215" s="255"/>
      <c r="JS215" s="255"/>
      <c r="JT215" s="255"/>
      <c r="JU215" s="255"/>
      <c r="JV215" s="255"/>
      <c r="JW215" s="255"/>
      <c r="JX215" s="255"/>
      <c r="JY215" s="255"/>
      <c r="JZ215" s="255"/>
      <c r="KA215" s="255"/>
      <c r="KB215" s="255"/>
      <c r="KC215" s="255"/>
      <c r="KD215" s="255"/>
      <c r="KE215" s="255"/>
      <c r="KF215" s="255"/>
      <c r="KG215" s="255"/>
      <c r="KH215" s="255"/>
      <c r="KI215" s="255"/>
      <c r="KJ215" s="255"/>
      <c r="KK215" s="255"/>
      <c r="KL215" s="255"/>
      <c r="KM215" s="255"/>
      <c r="KN215" s="255"/>
      <c r="KO215" s="255"/>
      <c r="KP215" s="255"/>
      <c r="KQ215" s="255"/>
      <c r="KR215" s="255"/>
      <c r="KS215" s="255"/>
      <c r="KT215" s="255"/>
      <c r="KU215" s="255"/>
      <c r="KV215" s="255"/>
      <c r="KW215" s="255"/>
      <c r="KX215" s="255"/>
      <c r="KY215" s="255"/>
      <c r="KZ215" s="255"/>
      <c r="LA215" s="255"/>
      <c r="LB215" s="255"/>
      <c r="LC215" s="255"/>
      <c r="LD215" s="255"/>
      <c r="LE215" s="255"/>
      <c r="LF215" s="255"/>
      <c r="LG215" s="255"/>
      <c r="LH215" s="255"/>
      <c r="LI215" s="255"/>
      <c r="LJ215" s="255"/>
      <c r="LK215" s="255"/>
      <c r="LL215" s="255"/>
      <c r="LM215" s="255"/>
      <c r="LN215" s="255"/>
      <c r="LO215" s="255"/>
      <c r="LP215" s="255"/>
      <c r="LQ215" s="255"/>
      <c r="LR215" s="255"/>
      <c r="LS215" s="255"/>
      <c r="LT215" s="255"/>
      <c r="LU215" s="255"/>
      <c r="LV215" s="255"/>
      <c r="LW215" s="255"/>
      <c r="LX215" s="255"/>
      <c r="LY215" s="255"/>
      <c r="LZ215" s="255"/>
      <c r="MA215" s="255"/>
      <c r="MB215" s="255"/>
      <c r="MC215" s="255"/>
      <c r="MD215" s="255"/>
      <c r="ME215" s="255"/>
      <c r="MF215" s="255"/>
      <c r="MG215" s="255"/>
      <c r="MH215" s="255"/>
      <c r="MI215" s="255"/>
      <c r="MJ215" s="255"/>
      <c r="MK215" s="255"/>
      <c r="ML215" s="255"/>
      <c r="MM215" s="255"/>
      <c r="MN215" s="255"/>
      <c r="MO215" s="255"/>
      <c r="MP215" s="255"/>
      <c r="MQ215" s="255"/>
      <c r="MR215" s="255"/>
      <c r="MS215" s="255"/>
      <c r="MT215" s="255"/>
      <c r="MU215" s="255"/>
      <c r="MV215" s="255"/>
      <c r="MW215" s="255"/>
      <c r="MX215" s="255"/>
      <c r="MY215" s="255"/>
      <c r="MZ215" s="255"/>
      <c r="NA215" s="255"/>
      <c r="NB215" s="255"/>
      <c r="NC215" s="255"/>
      <c r="ND215" s="255"/>
      <c r="NE215" s="255"/>
      <c r="NF215" s="255"/>
      <c r="NG215" s="255"/>
      <c r="NH215" s="255"/>
      <c r="NI215" s="255"/>
      <c r="NJ215" s="255"/>
      <c r="NK215" s="255"/>
      <c r="NL215" s="255"/>
      <c r="NM215" s="255"/>
      <c r="NN215" s="255"/>
      <c r="NO215" s="255"/>
      <c r="NP215" s="255"/>
      <c r="NQ215" s="255"/>
      <c r="NR215" s="255"/>
      <c r="NS215" s="255"/>
      <c r="NT215" s="255"/>
      <c r="NU215" s="255"/>
      <c r="NV215" s="255"/>
      <c r="NW215" s="255"/>
      <c r="NX215" s="255"/>
      <c r="NY215" s="255"/>
      <c r="NZ215" s="255"/>
      <c r="OA215" s="255"/>
      <c r="OB215" s="255"/>
      <c r="OC215" s="255"/>
      <c r="OD215" s="255"/>
      <c r="OE215" s="255"/>
      <c r="OF215" s="255"/>
      <c r="OG215" s="255"/>
      <c r="OH215" s="255"/>
      <c r="OI215" s="255"/>
      <c r="OJ215" s="255"/>
      <c r="OK215" s="255"/>
      <c r="OL215" s="255"/>
      <c r="OM215" s="255"/>
      <c r="ON215" s="255"/>
      <c r="OO215" s="255"/>
      <c r="OP215" s="255"/>
      <c r="OQ215" s="255"/>
      <c r="OR215" s="255"/>
      <c r="OS215" s="255"/>
      <c r="OT215" s="255"/>
      <c r="OU215" s="255"/>
      <c r="OV215" s="255"/>
      <c r="OW215" s="255"/>
      <c r="OX215" s="255"/>
      <c r="OY215" s="255"/>
      <c r="OZ215" s="255"/>
      <c r="PA215" s="255"/>
      <c r="PB215" s="255"/>
      <c r="PC215" s="255"/>
      <c r="PD215" s="255"/>
      <c r="PE215" s="255"/>
      <c r="PF215" s="255"/>
      <c r="PG215" s="255"/>
      <c r="PH215" s="255"/>
      <c r="PI215" s="255"/>
      <c r="PJ215" s="255"/>
      <c r="PK215" s="255"/>
      <c r="PL215" s="255"/>
      <c r="PM215" s="255"/>
      <c r="PN215" s="255"/>
      <c r="PO215" s="255"/>
      <c r="PP215" s="255"/>
      <c r="PQ215" s="255"/>
      <c r="PR215" s="255"/>
      <c r="PS215" s="255"/>
      <c r="PT215" s="255"/>
      <c r="PU215" s="255"/>
      <c r="PV215" s="255"/>
      <c r="PW215" s="255"/>
      <c r="PX215" s="255"/>
      <c r="PY215" s="255"/>
      <c r="PZ215" s="255"/>
      <c r="QA215" s="255"/>
      <c r="QB215" s="255"/>
      <c r="QC215" s="255"/>
      <c r="QD215" s="255"/>
      <c r="QE215" s="255"/>
      <c r="QF215" s="255"/>
      <c r="QG215" s="255"/>
      <c r="QH215" s="255"/>
      <c r="QI215" s="255"/>
      <c r="QJ215" s="255"/>
      <c r="QK215" s="255"/>
      <c r="QL215" s="255"/>
      <c r="QM215" s="255"/>
      <c r="QN215" s="255"/>
      <c r="QO215" s="255"/>
      <c r="QP215" s="255"/>
      <c r="QQ215" s="255"/>
      <c r="QR215" s="255"/>
      <c r="QS215" s="255"/>
      <c r="QT215" s="255"/>
      <c r="QU215" s="255"/>
      <c r="QV215" s="255"/>
      <c r="QW215" s="255"/>
      <c r="QX215" s="255"/>
      <c r="QY215" s="255"/>
      <c r="QZ215" s="255"/>
      <c r="RA215" s="255"/>
      <c r="RB215" s="255"/>
      <c r="RC215" s="255"/>
      <c r="RD215" s="255"/>
      <c r="RE215" s="255"/>
      <c r="RF215" s="255"/>
      <c r="RG215" s="255"/>
      <c r="RH215" s="255"/>
      <c r="RI215" s="255"/>
      <c r="RJ215" s="255"/>
      <c r="RK215" s="255"/>
      <c r="RL215" s="255"/>
      <c r="RM215" s="255"/>
      <c r="RN215" s="255"/>
      <c r="RO215" s="255"/>
      <c r="RP215" s="255"/>
      <c r="RQ215" s="255"/>
      <c r="RR215" s="255"/>
      <c r="RS215" s="255"/>
      <c r="RT215" s="255"/>
      <c r="RU215" s="255"/>
      <c r="RV215" s="255"/>
      <c r="RW215" s="255"/>
      <c r="RX215" s="255"/>
      <c r="RY215" s="255"/>
      <c r="RZ215" s="255"/>
      <c r="SA215" s="255"/>
      <c r="SB215" s="255"/>
      <c r="SC215" s="255"/>
      <c r="SD215" s="255"/>
      <c r="SE215" s="255"/>
      <c r="SF215" s="255"/>
      <c r="SG215" s="255"/>
      <c r="SH215" s="255"/>
      <c r="SI215" s="255"/>
      <c r="SJ215" s="255"/>
      <c r="SK215" s="255"/>
      <c r="SL215" s="255"/>
      <c r="SM215" s="255"/>
      <c r="SN215" s="255"/>
      <c r="SO215" s="255"/>
      <c r="SP215" s="255"/>
      <c r="SQ215" s="255"/>
      <c r="SR215" s="255"/>
      <c r="SS215" s="255"/>
      <c r="ST215" s="255"/>
      <c r="SU215" s="255"/>
      <c r="SV215" s="255"/>
      <c r="SW215" s="255"/>
      <c r="SX215" s="255"/>
      <c r="SY215" s="255"/>
      <c r="SZ215" s="255"/>
      <c r="TA215" s="255"/>
      <c r="TB215" s="255"/>
      <c r="TC215" s="255"/>
      <c r="TD215" s="255"/>
      <c r="TE215" s="255"/>
      <c r="TF215" s="255"/>
      <c r="TG215" s="255"/>
      <c r="TH215" s="255"/>
      <c r="TI215" s="255"/>
      <c r="TJ215" s="255"/>
      <c r="TK215" s="255"/>
      <c r="TL215" s="255"/>
      <c r="TM215" s="255"/>
      <c r="TN215" s="255"/>
      <c r="TO215" s="255"/>
      <c r="TP215" s="255"/>
      <c r="TQ215" s="255"/>
      <c r="TR215" s="255"/>
      <c r="TS215" s="255"/>
      <c r="TT215" s="255"/>
      <c r="TU215" s="255"/>
      <c r="TV215" s="255"/>
      <c r="TW215" s="255"/>
      <c r="TX215" s="255"/>
      <c r="TY215" s="255"/>
      <c r="TZ215" s="255"/>
      <c r="UA215" s="255"/>
      <c r="UB215" s="255"/>
      <c r="UC215" s="255"/>
      <c r="UD215" s="255"/>
      <c r="UE215" s="255"/>
      <c r="UF215" s="255"/>
      <c r="UG215" s="255"/>
      <c r="UH215" s="255"/>
      <c r="UI215" s="255"/>
      <c r="UJ215" s="255"/>
      <c r="UK215" s="255"/>
      <c r="UL215" s="255"/>
      <c r="UM215" s="255"/>
      <c r="UN215" s="255"/>
      <c r="UO215" s="255"/>
      <c r="UP215" s="255"/>
      <c r="UQ215" s="255"/>
      <c r="UR215" s="255"/>
      <c r="US215" s="255"/>
      <c r="UT215" s="255"/>
      <c r="UU215" s="255"/>
      <c r="UV215" s="255"/>
      <c r="UW215" s="255"/>
      <c r="UX215" s="255"/>
      <c r="UY215" s="255"/>
      <c r="UZ215" s="255"/>
      <c r="VA215" s="255"/>
      <c r="VB215" s="255"/>
      <c r="VC215" s="255"/>
      <c r="VD215" s="255"/>
      <c r="VE215" s="255"/>
      <c r="VF215" s="255"/>
      <c r="VG215" s="255"/>
      <c r="VH215" s="255"/>
      <c r="VI215" s="255"/>
      <c r="VJ215" s="255"/>
      <c r="VK215" s="255"/>
      <c r="VL215" s="255"/>
      <c r="VM215" s="255"/>
      <c r="VN215" s="255"/>
      <c r="VO215" s="255"/>
      <c r="VP215" s="255"/>
      <c r="VQ215" s="255"/>
      <c r="VR215" s="255"/>
      <c r="VS215" s="255"/>
      <c r="VT215" s="255"/>
      <c r="VU215" s="255"/>
      <c r="VV215" s="255"/>
      <c r="VW215" s="255"/>
      <c r="VX215" s="255"/>
      <c r="VY215" s="255"/>
      <c r="VZ215" s="255"/>
      <c r="WA215" s="255"/>
      <c r="WB215" s="255"/>
      <c r="WC215" s="255"/>
      <c r="WD215" s="255"/>
      <c r="WE215" s="255"/>
      <c r="WF215" s="255"/>
      <c r="WG215" s="255"/>
      <c r="WH215" s="255"/>
      <c r="WI215" s="255"/>
      <c r="WJ215" s="255"/>
      <c r="WK215" s="255"/>
      <c r="WL215" s="255"/>
      <c r="WM215" s="255"/>
      <c r="WN215" s="255"/>
      <c r="WO215" s="255"/>
      <c r="WP215" s="255"/>
      <c r="WQ215" s="255"/>
      <c r="WR215" s="255"/>
      <c r="WS215" s="255"/>
      <c r="WT215" s="255"/>
      <c r="WU215" s="255"/>
      <c r="WV215" s="255"/>
      <c r="WW215" s="255"/>
      <c r="WX215" s="255"/>
      <c r="WY215" s="255"/>
      <c r="WZ215" s="255"/>
      <c r="XA215" s="255"/>
      <c r="XB215" s="255"/>
      <c r="XC215" s="255"/>
      <c r="XD215" s="255"/>
      <c r="XE215" s="255"/>
      <c r="XF215" s="255"/>
      <c r="XG215" s="255"/>
      <c r="XH215" s="255"/>
      <c r="XI215" s="255"/>
      <c r="XJ215" s="255"/>
      <c r="XK215" s="255"/>
      <c r="XL215" s="255"/>
      <c r="XM215" s="255"/>
      <c r="XN215" s="255"/>
      <c r="XO215" s="255"/>
      <c r="XP215" s="255"/>
      <c r="XQ215" s="255"/>
      <c r="XR215" s="255"/>
      <c r="XS215" s="255"/>
      <c r="XT215" s="255"/>
      <c r="XU215" s="255"/>
      <c r="XV215" s="255"/>
      <c r="XW215" s="255"/>
      <c r="XX215" s="255"/>
      <c r="XY215" s="255"/>
      <c r="XZ215" s="255"/>
      <c r="YA215" s="255"/>
      <c r="YB215" s="255"/>
      <c r="YC215" s="255"/>
      <c r="YD215" s="255"/>
      <c r="YE215" s="255"/>
      <c r="YF215" s="255"/>
      <c r="YG215" s="255"/>
      <c r="YH215" s="255"/>
      <c r="YI215" s="255"/>
      <c r="YJ215" s="255"/>
      <c r="YK215" s="255"/>
      <c r="YL215" s="255"/>
      <c r="YM215" s="255"/>
      <c r="YN215" s="255"/>
      <c r="YO215" s="255"/>
      <c r="YP215" s="255"/>
      <c r="YQ215" s="255"/>
      <c r="YR215" s="255"/>
      <c r="YS215" s="255"/>
      <c r="YT215" s="255"/>
      <c r="YU215" s="255"/>
      <c r="YV215" s="255"/>
      <c r="YW215" s="255"/>
      <c r="YX215" s="255"/>
      <c r="YY215" s="255"/>
      <c r="YZ215" s="255"/>
      <c r="ZA215" s="255"/>
      <c r="ZB215" s="255"/>
      <c r="ZC215" s="255"/>
      <c r="ZD215" s="255"/>
      <c r="ZE215" s="255"/>
      <c r="ZF215" s="255"/>
      <c r="ZG215" s="255"/>
      <c r="ZH215" s="255"/>
      <c r="ZI215" s="255"/>
      <c r="ZJ215" s="255"/>
      <c r="ZK215" s="255"/>
      <c r="ZL215" s="255"/>
      <c r="ZM215" s="255"/>
      <c r="ZN215" s="255"/>
      <c r="ZO215" s="255"/>
      <c r="ZP215" s="255"/>
      <c r="ZQ215" s="255"/>
      <c r="ZR215" s="255"/>
      <c r="ZS215" s="255"/>
      <c r="ZT215" s="255"/>
      <c r="ZU215" s="255"/>
      <c r="ZV215" s="255"/>
      <c r="ZW215" s="255"/>
      <c r="ZX215" s="255"/>
      <c r="ZY215" s="255"/>
      <c r="ZZ215" s="255"/>
      <c r="AAA215" s="255"/>
      <c r="AAB215" s="255"/>
      <c r="AAC215" s="255"/>
      <c r="AAD215" s="255"/>
      <c r="AAE215" s="255"/>
      <c r="AAF215" s="255"/>
      <c r="AAG215" s="255"/>
      <c r="AAH215" s="255"/>
      <c r="AAI215" s="255"/>
      <c r="AAJ215" s="255"/>
      <c r="AAK215" s="255"/>
      <c r="AAL215" s="255"/>
      <c r="AAM215" s="255"/>
      <c r="AAN215" s="255"/>
      <c r="AAO215" s="255"/>
      <c r="AAP215" s="255"/>
      <c r="AAQ215" s="255"/>
      <c r="AAR215" s="255"/>
      <c r="AAS215" s="255"/>
      <c r="AAT215" s="255"/>
      <c r="AAU215" s="255"/>
      <c r="AAV215" s="255"/>
      <c r="AAW215" s="255"/>
      <c r="AAX215" s="255"/>
      <c r="AAY215" s="255"/>
      <c r="AAZ215" s="255"/>
      <c r="ABA215" s="255"/>
      <c r="ABB215" s="255"/>
      <c r="ABC215" s="255"/>
      <c r="ABD215" s="255"/>
      <c r="ABE215" s="255"/>
      <c r="ABF215" s="255"/>
      <c r="ABG215" s="255"/>
      <c r="ABH215" s="255"/>
      <c r="ABI215" s="255"/>
      <c r="ABJ215" s="255"/>
      <c r="ABK215" s="255"/>
      <c r="ABL215" s="255"/>
      <c r="ABM215" s="255"/>
      <c r="ABN215" s="255"/>
      <c r="ABO215" s="255"/>
      <c r="ABP215" s="255"/>
      <c r="ABQ215" s="255"/>
      <c r="ABR215" s="255"/>
      <c r="ABS215" s="255"/>
      <c r="ABT215" s="255"/>
      <c r="ABU215" s="255"/>
      <c r="ABV215" s="255"/>
      <c r="ABW215" s="255"/>
      <c r="ABX215" s="255"/>
      <c r="ABY215" s="255"/>
      <c r="ABZ215" s="255"/>
      <c r="ACA215" s="255"/>
      <c r="ACB215" s="255"/>
      <c r="ACC215" s="255"/>
      <c r="ACD215" s="255"/>
      <c r="ACE215" s="255"/>
      <c r="ACF215" s="255"/>
      <c r="ACG215" s="255"/>
      <c r="ACH215" s="255"/>
      <c r="ACI215" s="255"/>
      <c r="ACJ215" s="255"/>
      <c r="ACK215" s="255"/>
      <c r="ACL215" s="255"/>
      <c r="ACM215" s="255"/>
      <c r="ACN215" s="255"/>
      <c r="ACO215" s="255"/>
      <c r="ACP215" s="255"/>
      <c r="ACQ215" s="255"/>
      <c r="ACR215" s="255"/>
      <c r="ACS215" s="255"/>
      <c r="ACT215" s="255"/>
      <c r="ACU215" s="255"/>
      <c r="ACV215" s="255"/>
      <c r="ACW215" s="255"/>
      <c r="ACX215" s="255"/>
      <c r="ACY215" s="255"/>
      <c r="ACZ215" s="255"/>
      <c r="ADA215" s="255"/>
      <c r="ADB215" s="255"/>
      <c r="ADC215" s="255"/>
      <c r="ADD215" s="255"/>
      <c r="ADE215" s="255"/>
      <c r="ADF215" s="255"/>
      <c r="ADG215" s="255"/>
      <c r="ADH215" s="255"/>
      <c r="ADI215" s="255"/>
      <c r="ADJ215" s="255"/>
      <c r="ADK215" s="255"/>
      <c r="ADL215" s="255"/>
      <c r="ADM215" s="255"/>
      <c r="ADN215" s="255"/>
      <c r="ADO215" s="255"/>
      <c r="ADP215" s="255"/>
      <c r="ADQ215" s="255"/>
      <c r="ADR215" s="255"/>
      <c r="ADS215" s="255"/>
      <c r="ADT215" s="255"/>
      <c r="ADU215" s="255"/>
      <c r="ADV215" s="255"/>
      <c r="ADW215" s="255"/>
      <c r="ADX215" s="255"/>
      <c r="ADY215" s="255"/>
      <c r="ADZ215" s="255"/>
      <c r="AEA215" s="255"/>
      <c r="AEB215" s="255"/>
      <c r="AEC215" s="255"/>
      <c r="AED215" s="255"/>
      <c r="AEE215" s="255"/>
      <c r="AEF215" s="255"/>
      <c r="AEG215" s="255"/>
      <c r="AEH215" s="255"/>
      <c r="AEI215" s="255"/>
      <c r="AEJ215" s="255"/>
      <c r="AEK215" s="255"/>
      <c r="AEL215" s="255"/>
      <c r="AEM215" s="255"/>
      <c r="AEN215" s="255"/>
      <c r="AEO215" s="255"/>
      <c r="AEP215" s="255"/>
      <c r="AEQ215" s="255"/>
      <c r="AER215" s="255"/>
      <c r="AES215" s="255"/>
      <c r="AET215" s="255"/>
      <c r="AEU215" s="255"/>
      <c r="AEV215" s="255"/>
      <c r="AEW215" s="255"/>
      <c r="AEX215" s="255"/>
      <c r="AEY215" s="255"/>
      <c r="AEZ215" s="255"/>
      <c r="AFA215" s="255"/>
      <c r="AFB215" s="255"/>
      <c r="AFC215" s="255"/>
      <c r="AFD215" s="255"/>
      <c r="AFE215" s="255"/>
      <c r="AFF215" s="255"/>
      <c r="AFG215" s="255"/>
      <c r="AFH215" s="255"/>
      <c r="AFI215" s="255"/>
      <c r="AFJ215" s="255"/>
      <c r="AFK215" s="255"/>
      <c r="AFL215" s="255"/>
      <c r="AFM215" s="255"/>
      <c r="AFN215" s="255"/>
      <c r="AFO215" s="255"/>
      <c r="AFP215" s="255"/>
      <c r="AFQ215" s="255"/>
      <c r="AFR215" s="255"/>
      <c r="AFS215" s="255"/>
      <c r="AFT215" s="255"/>
      <c r="AFU215" s="255"/>
      <c r="AFV215" s="255"/>
      <c r="AFW215" s="255"/>
      <c r="AFX215" s="255"/>
      <c r="AFY215" s="255"/>
      <c r="AFZ215" s="255"/>
      <c r="AGA215" s="255"/>
      <c r="AGB215" s="255"/>
      <c r="AGC215" s="255"/>
      <c r="AGD215" s="255"/>
      <c r="AGE215" s="255"/>
      <c r="AGF215" s="255"/>
      <c r="AGG215" s="255"/>
      <c r="AGH215" s="255"/>
      <c r="AGI215" s="255"/>
      <c r="AGJ215" s="255"/>
      <c r="AGK215" s="255"/>
      <c r="AGL215" s="255"/>
      <c r="AGM215" s="255"/>
      <c r="AGN215" s="255"/>
      <c r="AGO215" s="255"/>
      <c r="AGP215" s="255"/>
      <c r="AGQ215" s="255"/>
      <c r="AGR215" s="255"/>
      <c r="AGS215" s="255"/>
      <c r="AGT215" s="255"/>
      <c r="AGU215" s="255"/>
      <c r="AGV215" s="255"/>
      <c r="AGW215" s="255"/>
      <c r="AGX215" s="255"/>
      <c r="AGY215" s="255"/>
      <c r="AGZ215" s="255"/>
      <c r="AHA215" s="255"/>
      <c r="AHB215" s="255"/>
      <c r="AHC215" s="255"/>
      <c r="AHD215" s="255"/>
      <c r="AHE215" s="255"/>
      <c r="AHF215" s="255"/>
      <c r="AHG215" s="255"/>
      <c r="AHH215" s="255"/>
      <c r="AHI215" s="255"/>
      <c r="AHJ215" s="255"/>
      <c r="AHK215" s="255"/>
      <c r="AHL215" s="255"/>
      <c r="AHM215" s="255"/>
      <c r="AHN215" s="255"/>
      <c r="AHO215" s="255"/>
      <c r="AHP215" s="255"/>
      <c r="AHQ215" s="255"/>
      <c r="AHR215" s="255"/>
      <c r="AHS215" s="255"/>
      <c r="AHT215" s="255"/>
      <c r="AHU215" s="255"/>
      <c r="AHV215" s="255"/>
      <c r="AHW215" s="255"/>
      <c r="AHX215" s="255"/>
      <c r="AHY215" s="255"/>
      <c r="AHZ215" s="255"/>
      <c r="AIA215" s="255"/>
      <c r="AIB215" s="255"/>
      <c r="AIC215" s="255"/>
      <c r="AID215" s="255"/>
      <c r="AIE215" s="255"/>
      <c r="AIF215" s="255"/>
      <c r="AIG215" s="255"/>
      <c r="AIH215" s="255"/>
      <c r="AII215" s="255"/>
      <c r="AIJ215" s="255"/>
      <c r="AIK215" s="255"/>
      <c r="AIL215" s="255"/>
      <c r="AIM215" s="255"/>
      <c r="AIN215" s="255"/>
      <c r="AIO215" s="255"/>
      <c r="AIP215" s="255"/>
      <c r="AIQ215" s="255"/>
      <c r="AIR215" s="255"/>
      <c r="AIS215" s="255"/>
      <c r="AIT215" s="255"/>
      <c r="AIU215" s="255"/>
      <c r="AIV215" s="255"/>
      <c r="AIW215" s="255"/>
      <c r="AIX215" s="255"/>
      <c r="AIY215" s="255"/>
      <c r="AIZ215" s="255"/>
      <c r="AJA215" s="255"/>
      <c r="AJB215" s="255"/>
      <c r="AJC215" s="255"/>
      <c r="AJD215" s="255"/>
      <c r="AJE215" s="255"/>
      <c r="AJF215" s="255"/>
      <c r="AJG215" s="255"/>
      <c r="AJH215" s="255"/>
      <c r="AJI215" s="255"/>
      <c r="AJJ215" s="255"/>
      <c r="AJK215" s="255"/>
      <c r="AJL215" s="255"/>
      <c r="AJM215" s="255"/>
      <c r="AJN215" s="255"/>
      <c r="AJO215" s="255"/>
      <c r="AJP215" s="255"/>
      <c r="AJQ215" s="255"/>
      <c r="AJR215" s="255"/>
      <c r="AJS215" s="255"/>
      <c r="AJT215" s="255"/>
      <c r="AJU215" s="255"/>
      <c r="AJV215" s="255"/>
      <c r="AJW215" s="255"/>
      <c r="AJX215" s="255"/>
      <c r="AJY215" s="255"/>
      <c r="AJZ215" s="255"/>
      <c r="AKA215" s="255"/>
      <c r="AKB215" s="255"/>
      <c r="AKC215" s="255"/>
      <c r="AKD215" s="255"/>
      <c r="AKE215" s="255"/>
      <c r="AKF215" s="255"/>
      <c r="AKG215" s="255"/>
      <c r="AKH215" s="255"/>
      <c r="AKI215" s="255"/>
      <c r="AKJ215" s="255"/>
      <c r="AKK215" s="255"/>
      <c r="AKL215" s="255"/>
      <c r="AKM215" s="255"/>
      <c r="AKN215" s="255"/>
      <c r="AKO215" s="255"/>
      <c r="AKP215" s="255"/>
      <c r="AKQ215" s="255"/>
      <c r="AKR215" s="255"/>
      <c r="AKS215" s="255"/>
      <c r="AKT215" s="255"/>
      <c r="AKU215" s="255"/>
      <c r="AKV215" s="255"/>
      <c r="AKW215" s="255"/>
      <c r="AKX215" s="255"/>
      <c r="AKY215" s="255"/>
      <c r="AKZ215" s="255"/>
      <c r="ALA215" s="255"/>
      <c r="ALB215" s="255"/>
      <c r="ALC215" s="255"/>
      <c r="ALD215" s="255"/>
      <c r="ALE215" s="42"/>
      <c r="ALF215" s="42"/>
      <c r="ALG215" s="42"/>
      <c r="ALH215" s="42"/>
      <c r="ALI215" s="42"/>
      <c r="ALJ215" s="42"/>
      <c r="ALK215" s="42"/>
      <c r="ALL215" s="42"/>
      <c r="ALM215" s="42"/>
    </row>
    <row r="216" spans="1:1001" ht="13.5">
      <c r="B216" s="98"/>
      <c r="C216" s="222"/>
      <c r="D216" s="12"/>
    </row>
    <row r="217" spans="1:1001" ht="13.5">
      <c r="B217" s="98"/>
      <c r="C217" s="222"/>
      <c r="D217" s="12"/>
    </row>
    <row r="218" spans="1:1001" ht="13.5">
      <c r="B218" s="98"/>
      <c r="C218" s="222"/>
      <c r="D218" s="12"/>
    </row>
    <row r="219" spans="1:1001" ht="13.5">
      <c r="B219" s="98"/>
      <c r="C219" s="222"/>
      <c r="D219" s="12"/>
    </row>
    <row r="220" spans="1:1001" ht="13.5">
      <c r="B220" s="98"/>
      <c r="C220" s="222"/>
      <c r="D220" s="12"/>
    </row>
    <row r="221" spans="1:1001" ht="13.5">
      <c r="B221" s="98"/>
      <c r="C221" s="222"/>
      <c r="D221" s="12"/>
    </row>
    <row r="222" spans="1:1001" ht="13.5">
      <c r="B222" s="98"/>
      <c r="C222" s="222"/>
      <c r="D222" s="12"/>
    </row>
    <row r="223" spans="1:1001" ht="13.5">
      <c r="B223" s="98"/>
      <c r="C223" s="222"/>
      <c r="D223" s="12"/>
    </row>
    <row r="224" spans="1:1001" ht="13.5">
      <c r="B224" s="98"/>
      <c r="C224" s="222"/>
      <c r="D224" s="12"/>
    </row>
    <row r="225" spans="2:4" ht="13.5">
      <c r="B225" s="98"/>
      <c r="C225" s="222"/>
      <c r="D225" s="12"/>
    </row>
    <row r="226" spans="2:4" ht="13.5">
      <c r="B226" s="98"/>
      <c r="C226" s="222"/>
      <c r="D226" s="12"/>
    </row>
    <row r="227" spans="2:4" ht="13.5">
      <c r="B227" s="98"/>
      <c r="C227" s="222"/>
      <c r="D227" s="12"/>
    </row>
    <row r="228" spans="2:4" ht="13.5">
      <c r="B228" s="98"/>
      <c r="C228" s="222"/>
      <c r="D228" s="12"/>
    </row>
    <row r="229" spans="2:4" ht="13.5">
      <c r="B229" s="98"/>
      <c r="C229" s="222"/>
      <c r="D229" s="12"/>
    </row>
  </sheetData>
  <autoFilter ref="A12:J212" xr:uid="{00000000-0009-0000-0000-000002000000}"/>
  <mergeCells count="18">
    <mergeCell ref="A215:I215"/>
    <mergeCell ref="A177:I177"/>
    <mergeCell ref="A185:I185"/>
    <mergeCell ref="A188:I188"/>
    <mergeCell ref="A194:I194"/>
    <mergeCell ref="A207:I207"/>
    <mergeCell ref="A213:I213"/>
    <mergeCell ref="A214:I214"/>
    <mergeCell ref="A158:I158"/>
    <mergeCell ref="A171:I171"/>
    <mergeCell ref="A174:I174"/>
    <mergeCell ref="A212:I212"/>
    <mergeCell ref="A1:J3"/>
    <mergeCell ref="A16:I16"/>
    <mergeCell ref="A20:I20"/>
    <mergeCell ref="A147:I147"/>
    <mergeCell ref="A150:I150"/>
    <mergeCell ref="A117:I117"/>
  </mergeCells>
  <pageMargins left="0.43307086614173229" right="0.23622047244094491" top="0.31496062992125984" bottom="0.51181102362204722" header="0.31496062992125984" footer="0.31496062992125984"/>
  <pageSetup paperSize="9" scale="80" firstPageNumber="0" fitToHeight="0" orientation="landscape" r:id="rId1"/>
  <headerFooter>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M158"/>
  <sheetViews>
    <sheetView showGridLines="0" zoomScaleNormal="100" zoomScaleSheetLayoutView="85" workbookViewId="0">
      <selection activeCell="C7" sqref="C7"/>
    </sheetView>
  </sheetViews>
  <sheetFormatPr defaultColWidth="9.140625" defaultRowHeight="12.75"/>
  <cols>
    <col min="1" max="1" width="10.7109375" style="32" customWidth="1"/>
    <col min="2" max="2" width="10.7109375" style="81" customWidth="1"/>
    <col min="3" max="3" width="70.7109375" style="31" customWidth="1"/>
    <col min="4" max="4" width="4.7109375" style="32" customWidth="1"/>
    <col min="5" max="8" width="11.7109375" style="60" customWidth="1"/>
    <col min="9" max="10" width="14.28515625" style="60" customWidth="1"/>
    <col min="11" max="13" width="12.140625" style="30" bestFit="1" customWidth="1"/>
    <col min="14" max="15" width="9.140625" style="30"/>
    <col min="16" max="16" width="9.140625" style="258"/>
    <col min="17" max="660" width="9.140625" style="30"/>
    <col min="661" max="669" width="9.140625" style="42"/>
    <col min="670" max="16384" width="9.140625" style="18"/>
  </cols>
  <sheetData>
    <row r="1" spans="1:668" ht="24.95" customHeight="1">
      <c r="A1" s="416"/>
      <c r="B1" s="68"/>
      <c r="C1" s="43"/>
      <c r="D1" s="43"/>
      <c r="E1" s="56"/>
      <c r="F1" s="56"/>
      <c r="G1" s="56"/>
      <c r="H1" s="56"/>
      <c r="I1" s="56"/>
      <c r="J1" s="417"/>
    </row>
    <row r="2" spans="1:668" ht="24.95" customHeight="1">
      <c r="A2" s="418"/>
      <c r="B2" s="69"/>
      <c r="C2" s="37"/>
      <c r="D2" s="37"/>
      <c r="E2" s="57"/>
      <c r="F2" s="57"/>
      <c r="G2" s="57"/>
      <c r="H2" s="57"/>
      <c r="I2" s="57"/>
      <c r="J2" s="419"/>
    </row>
    <row r="3" spans="1:668" ht="24.95" customHeight="1">
      <c r="A3" s="418"/>
      <c r="B3" s="69"/>
      <c r="C3" s="37"/>
      <c r="D3" s="37"/>
      <c r="E3" s="57"/>
      <c r="F3" s="57"/>
      <c r="G3" s="57"/>
      <c r="H3" s="57"/>
      <c r="I3" s="57"/>
      <c r="J3" s="419"/>
    </row>
    <row r="4" spans="1:668" ht="14.1" customHeight="1">
      <c r="A4" s="420" t="s">
        <v>6295</v>
      </c>
      <c r="B4" s="421"/>
      <c r="C4" s="422" t="str">
        <f>+RESUMO!B5</f>
        <v>CONCLUSÃO DA CONSTRUÇÃO DO CENTRO DE ATENDIMENTO SÓCIO EDUCATIVO - CASE ITUMBIARA</v>
      </c>
      <c r="D4" s="423"/>
      <c r="E4" s="424"/>
      <c r="F4" s="424"/>
      <c r="G4" s="424"/>
      <c r="H4" s="424"/>
      <c r="I4" s="424"/>
      <c r="J4" s="425"/>
    </row>
    <row r="5" spans="1:668" s="14" customFormat="1" ht="14.85" customHeight="1">
      <c r="A5" s="426" t="s">
        <v>6297</v>
      </c>
      <c r="B5" s="427"/>
      <c r="C5" s="422" t="str">
        <f>+RESUMO!B6</f>
        <v>SINAPI – NOVEMBRO/2020 (ONERADA)</v>
      </c>
      <c r="D5" s="408"/>
      <c r="E5" s="428"/>
      <c r="F5" s="428"/>
      <c r="G5" s="428"/>
      <c r="H5" s="428"/>
      <c r="I5" s="428"/>
      <c r="J5" s="429"/>
      <c r="P5" s="223"/>
      <c r="YK5" s="42"/>
      <c r="YL5" s="42"/>
      <c r="YM5" s="42"/>
      <c r="YN5" s="42"/>
      <c r="YO5" s="42"/>
      <c r="YP5" s="42"/>
      <c r="YQ5" s="42"/>
      <c r="YR5" s="42"/>
    </row>
    <row r="6" spans="1:668" ht="14.85" customHeight="1">
      <c r="A6" s="414" t="s">
        <v>5545</v>
      </c>
      <c r="B6" s="421"/>
      <c r="C6" s="422" t="str">
        <f>+RESUMO!B7</f>
        <v>MAIO / 2021</v>
      </c>
      <c r="D6" s="430"/>
      <c r="E6" s="424"/>
      <c r="F6" s="424"/>
      <c r="G6" s="424"/>
      <c r="H6" s="424"/>
      <c r="I6" s="424"/>
      <c r="J6" s="425"/>
    </row>
    <row r="7" spans="1:668" ht="14.85" customHeight="1">
      <c r="A7" s="414" t="s">
        <v>6298</v>
      </c>
      <c r="B7" s="431"/>
      <c r="C7" s="432">
        <v>2.02000036012687E+18</v>
      </c>
      <c r="D7" s="423"/>
      <c r="E7" s="433"/>
      <c r="F7" s="433"/>
      <c r="G7" s="433"/>
      <c r="H7" s="433"/>
      <c r="I7" s="433"/>
      <c r="J7" s="434"/>
    </row>
    <row r="8" spans="1:668" ht="14.85" customHeight="1">
      <c r="A8" s="414" t="s">
        <v>6299</v>
      </c>
      <c r="B8" s="431"/>
      <c r="C8" s="435" t="s">
        <v>6339</v>
      </c>
      <c r="D8" s="423"/>
      <c r="E8" s="433"/>
      <c r="F8" s="433"/>
      <c r="G8" s="433"/>
      <c r="H8" s="433"/>
      <c r="I8" s="433"/>
      <c r="J8" s="434"/>
    </row>
    <row r="9" spans="1:668" ht="14.85" customHeight="1">
      <c r="A9" s="414" t="s">
        <v>6300</v>
      </c>
      <c r="B9" s="431"/>
      <c r="C9" s="435" t="s">
        <v>6340</v>
      </c>
      <c r="D9" s="423"/>
      <c r="E9" s="433"/>
      <c r="F9" s="433"/>
      <c r="G9" s="433"/>
      <c r="H9" s="433"/>
      <c r="I9" s="433"/>
      <c r="J9" s="434"/>
    </row>
    <row r="10" spans="1:668" ht="14.85" customHeight="1">
      <c r="A10" s="62"/>
      <c r="B10" s="80"/>
      <c r="C10" s="62"/>
      <c r="D10" s="62"/>
      <c r="E10" s="63"/>
      <c r="F10" s="63"/>
      <c r="G10" s="63"/>
      <c r="H10" s="63"/>
      <c r="I10" s="63"/>
      <c r="J10" s="63"/>
    </row>
    <row r="11" spans="1:668" ht="20.85" customHeight="1">
      <c r="A11" s="15" t="s">
        <v>5551</v>
      </c>
      <c r="B11" s="72" t="s">
        <v>0</v>
      </c>
      <c r="C11" s="15" t="s">
        <v>6305</v>
      </c>
      <c r="D11" s="15" t="s">
        <v>6306</v>
      </c>
      <c r="E11" s="59" t="s">
        <v>6311</v>
      </c>
      <c r="F11" s="59" t="s">
        <v>6285</v>
      </c>
      <c r="G11" s="59" t="s">
        <v>586</v>
      </c>
      <c r="H11" s="59" t="s">
        <v>6286</v>
      </c>
      <c r="I11" s="59" t="s">
        <v>7100</v>
      </c>
      <c r="J11" s="59" t="s">
        <v>6309</v>
      </c>
    </row>
    <row r="12" spans="1:668">
      <c r="A12" s="294"/>
      <c r="B12" s="295"/>
      <c r="C12" s="296"/>
      <c r="D12" s="297"/>
      <c r="E12" s="298"/>
      <c r="F12" s="298"/>
      <c r="G12" s="298"/>
      <c r="H12" s="298"/>
      <c r="I12" s="298"/>
      <c r="J12" s="298"/>
    </row>
    <row r="13" spans="1:668">
      <c r="A13" s="251"/>
      <c r="B13" s="299">
        <v>165</v>
      </c>
      <c r="C13" s="300" t="s">
        <v>611</v>
      </c>
      <c r="D13" s="274"/>
      <c r="E13" s="276"/>
      <c r="F13" s="276"/>
      <c r="G13" s="276"/>
      <c r="H13" s="276"/>
      <c r="I13" s="276"/>
      <c r="J13" s="276"/>
    </row>
    <row r="14" spans="1:668" ht="24">
      <c r="A14" s="251" t="s">
        <v>6307</v>
      </c>
      <c r="B14" s="290">
        <v>450</v>
      </c>
      <c r="C14" s="301"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276">
        <f>45.04*0.07*0.5</f>
        <v>1.5764</v>
      </c>
      <c r="F14" s="279">
        <f>(IF($A14="SINAPI",INDEX(SINAPI_NOV2020_NDES!$A$7:$H$6703,MATCH($B14,SINAPI_NOV2020_NDES!$A$7:$A$6703,0),5),(INDEX(COMPOS!$A$4:$G$801,MATCH($B14,COMPOS!$A$4:A$801,0),4))))</f>
        <v>10.879199999999999</v>
      </c>
      <c r="G14" s="279">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96.584766880000004</v>
      </c>
      <c r="O14" s="256"/>
    </row>
    <row r="15" spans="1:668" s="88" customFormat="1" ht="24" customHeight="1">
      <c r="A15" s="680" t="s">
        <v>6927</v>
      </c>
      <c r="B15" s="680"/>
      <c r="C15" s="680"/>
      <c r="D15" s="680"/>
      <c r="E15" s="680"/>
      <c r="F15" s="680"/>
      <c r="G15" s="680"/>
      <c r="H15" s="680"/>
      <c r="I15" s="680"/>
      <c r="J15" s="281">
        <f>SUM(J14)</f>
        <v>96.584766880000004</v>
      </c>
      <c r="K15" s="30"/>
      <c r="L15" s="30"/>
      <c r="M15" s="30"/>
      <c r="N15" s="30"/>
      <c r="O15" s="30"/>
      <c r="P15" s="258"/>
    </row>
    <row r="16" spans="1:668">
      <c r="A16" s="251"/>
      <c r="B16" s="299">
        <v>166</v>
      </c>
      <c r="C16" s="300" t="s">
        <v>609</v>
      </c>
      <c r="D16" s="274"/>
      <c r="E16" s="276"/>
      <c r="F16" s="276"/>
      <c r="G16" s="276"/>
      <c r="H16" s="276"/>
      <c r="I16" s="276"/>
      <c r="J16" s="276"/>
    </row>
    <row r="17" spans="1:669" ht="24">
      <c r="A17" s="250" t="s">
        <v>6307</v>
      </c>
      <c r="B17" s="302">
        <v>305</v>
      </c>
      <c r="C17" s="301"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03">
        <f>38.82+24.26</f>
        <v>63.08</v>
      </c>
      <c r="F17" s="279">
        <f>(IF($A17="SINAPI",INDEX(SINAPI_NOV2020_NDES!$A$7:$H$6703,MATCH($B17,SINAPI_NOV2020_NDES!$A$7:$A$6703,0),5),(INDEX(COMPOS!$A$4:$G$801,MATCH($B17,COMPOS!$A$4:A$801,0),4))))</f>
        <v>2.842123</v>
      </c>
      <c r="G17" s="279">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179.28111884</v>
      </c>
      <c r="O17" s="256"/>
    </row>
    <row r="18" spans="1:669">
      <c r="A18" s="250" t="s">
        <v>6307</v>
      </c>
      <c r="B18" s="302">
        <v>302</v>
      </c>
      <c r="C18" s="301"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03">
        <f>E17</f>
        <v>63.08</v>
      </c>
      <c r="F18" s="279">
        <f>(IF($A18="SINAPI",INDEX(SINAPI_NOV2020_NDES!$A$7:$H$6703,MATCH($B18,SINAPI_NOV2020_NDES!$A$7:$A$6703,0),5),(INDEX(COMPOS!$A$4:$G$801,MATCH($B18,COMPOS!$A$4:A$801,0),4))))</f>
        <v>6.0440000000000005</v>
      </c>
      <c r="G18" s="279">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I19" si="4">SUM(F18:H18)</f>
        <v>6.0440000000000005</v>
      </c>
      <c r="J18" s="276">
        <f t="shared" ref="J18:J19" si="5">+I18*E18</f>
        <v>381.25552000000005</v>
      </c>
      <c r="O18" s="256"/>
    </row>
    <row r="19" spans="1:669">
      <c r="A19" s="250" t="s">
        <v>6307</v>
      </c>
      <c r="B19" s="302">
        <v>303</v>
      </c>
      <c r="C19" s="301" t="str">
        <f>(IF($A19="SINAPI",INDEX(SINAPI_NOV2020_NDES!$A$7:$H$6703,MATCH($B19,SINAPI_NOV2020_NDES!$A$7:$A$6703,0),2),IF($A19="GOINFRA",INDEX(#REF!,MATCH($B19,#REF!,0),2),(INDEX(COMPOS!$A$4:$G$390,MATCH($B19,COMPOS!$A$4:A$390,0),2)))))</f>
        <v>ATERRO INTERNO SEM APILOAMENTO</v>
      </c>
      <c r="D19" s="274" t="str">
        <f>(IF($A19="SINAPI",INDEX(SINAPI_NOV2020_NDES!$A$7:$H$6790,MATCH($B19,SINAPI_NOV2020_NDES!$A$7:$A$6790,0),3),(INDEX(COMPOS!$A$4:$G$5000,MATCH($B19,COMPOS!$A$4:$A$5000,0),3))))</f>
        <v>M3</v>
      </c>
      <c r="E19" s="303">
        <f>38.82*0.2</f>
        <v>7.7640000000000002</v>
      </c>
      <c r="F19" s="279">
        <f>(IF($A19="SINAPI",INDEX(SINAPI_NOV2020_NDES!$A$7:$H$6703,MATCH($B19,SINAPI_NOV2020_NDES!$A$7:$A$6703,0),5),(INDEX(COMPOS!$A$4:$G$801,MATCH($B19,COMPOS!$A$4:A$801,0),4))))</f>
        <v>30.22</v>
      </c>
      <c r="G19" s="279">
        <f>(IF($A19="SINAPI",INDEX(SINAPI_NOV2020_NDES!$A$7:$H$6703,MATCH($B19,SINAPI_NOV2020_NDES!$A$7:$A$6703,0),6),(INDEX(COMPOS!$A$4:$G$801,MATCH($B19,COMPOS!$A$4:A$801,0),5))))</f>
        <v>0</v>
      </c>
      <c r="H19" s="280">
        <f>(IF($A19="SINAPI",INDEX(SINAPI_NOV2020_NDES!$A$7:$H$6703,MATCH($B19,SINAPI_NOV2020_NDES!$A$7:$A$6703,0),7),(INDEX(COMPOS!$A$4:$G$801,MATCH($B19,COMPOS!$A$4:A$801,0),6))))</f>
        <v>0</v>
      </c>
      <c r="I19" s="279">
        <f t="shared" si="4"/>
        <v>30.22</v>
      </c>
      <c r="J19" s="276">
        <f t="shared" si="5"/>
        <v>234.62808000000001</v>
      </c>
      <c r="O19" s="256"/>
    </row>
    <row r="20" spans="1:669" s="88" customFormat="1" ht="24" customHeight="1">
      <c r="A20" s="680" t="s">
        <v>6927</v>
      </c>
      <c r="B20" s="680"/>
      <c r="C20" s="680"/>
      <c r="D20" s="680"/>
      <c r="E20" s="680"/>
      <c r="F20" s="680"/>
      <c r="G20" s="680"/>
      <c r="H20" s="680"/>
      <c r="I20" s="680"/>
      <c r="J20" s="281">
        <f>SUM(J17:J19)</f>
        <v>795.16471883999998</v>
      </c>
      <c r="K20" s="30"/>
      <c r="L20" s="30"/>
      <c r="M20" s="30"/>
      <c r="N20" s="30"/>
      <c r="O20" s="30"/>
      <c r="P20" s="258"/>
    </row>
    <row r="21" spans="1:669">
      <c r="A21" s="251"/>
      <c r="B21" s="299">
        <v>168</v>
      </c>
      <c r="C21" s="300" t="s">
        <v>607</v>
      </c>
      <c r="D21" s="274"/>
      <c r="E21" s="276"/>
      <c r="F21" s="276"/>
      <c r="G21" s="276"/>
      <c r="H21" s="276"/>
      <c r="I21" s="276"/>
      <c r="J21" s="276"/>
    </row>
    <row r="22" spans="1:669" ht="26.25" customHeight="1">
      <c r="A22" s="251" t="s">
        <v>6307</v>
      </c>
      <c r="B22" s="290">
        <v>307</v>
      </c>
      <c r="C22" s="301" t="str">
        <f>(IF($A22="SINAPI",INDEX(SINAPI_NOV2020_NDES!$A$7:$H$6703,MATCH($B22,SINAPI_NOV2020_NDES!$A$7:$A$6703,0),2),IF($A22="GOINFRA",INDEX(#REF!,MATCH($B22,#REF!,0),2),(INDEX(COMPOS!$A$4:$G$390,MATCH($B22,COMPOS!$A$4:A$390,0),2)))))</f>
        <v>FORMA CHAPA COMPENSADA 12MM – VIGA/PILAR U=3X (OBRAS CIVIS)</v>
      </c>
      <c r="D22" s="274" t="str">
        <f>(IF($A22="SINAPI",INDEX(SINAPI_NOV2020_NDES!$A$7:$H$6790,MATCH($B22,SINAPI_NOV2020_NDES!$A$7:$A$6790,0),3),(INDEX(COMPOS!$A$4:$G$5000,MATCH($B22,COMPOS!$A$4:$A$5000,0),3))))</f>
        <v>M2</v>
      </c>
      <c r="E22" s="276">
        <v>9.2200000000000006</v>
      </c>
      <c r="F22" s="276">
        <f>(IF($A22="SINAPI",INDEX(SINAPI_NOV2020_NDES!$A$7:$H$6703,MATCH($B22,SINAPI_NOV2020_NDES!$A$7:$A$6703,0),5),(INDEX(COMPOS!$A$4:$G$801,MATCH($B22,COMPOS!$A$4:A$801,0),4))))</f>
        <v>49.396500000000003</v>
      </c>
      <c r="G22" s="276">
        <f>(IF($A22="SINAPI",INDEX(SINAPI_NOV2020_NDES!$A$7:$H$6703,MATCH($B22,SINAPI_NOV2020_NDES!$A$7:$A$6703,0),6),(INDEX(COMPOS!$A$4:$G$801,MATCH($B22,COMPOS!$A$4:A$801,0),5))))</f>
        <v>30.385095041322312</v>
      </c>
      <c r="H22" s="276">
        <f>(IF($A22="SINAPI",INDEX(SINAPI_NOV2020_NDES!$A$7:$H$6703,MATCH($B22,SINAPI_NOV2020_NDES!$A$7:$A$6703,0),7),(INDEX(COMPOS!$A$4:$G$801,MATCH($B22,COMPOS!$A$4:A$801,0),6))))</f>
        <v>0</v>
      </c>
      <c r="I22" s="276">
        <f>SUM(F22:H22)</f>
        <v>79.781595041322319</v>
      </c>
      <c r="J22" s="276">
        <f>+I22*E22</f>
        <v>735.58630628099183</v>
      </c>
      <c r="O22" s="256"/>
    </row>
    <row r="23" spans="1:669" ht="36" customHeight="1">
      <c r="A23" s="251" t="s">
        <v>7</v>
      </c>
      <c r="B23" s="290">
        <v>92775</v>
      </c>
      <c r="C23" s="301" t="str">
        <f>(IF($A23="SINAPI",INDEX(SINAPI_NOV2020_NDES!$A$7:$H$6703,MATCH($B23,SINAPI_NOV2020_NDES!$A$7:$A$6703,0),2),IF($A23="GOINFRA",INDEX(#REF!,MATCH($B23,#REF!,0),2),(INDEX(COMPOS!$A$4:$G$390,MATCH($B23,COMPOS!$A$4:A$390,0),2)))))</f>
        <v>ARMAÇÃO DE PILAR OU VIGA DE UMA ESTRUTURA CONVENCIONAL DE CONCRETO ARMADO EM UMA EDIFICAÇÃO TÉRREA OU SOBRADO UTILIZANDO AÇO CA-60 DE 5,0 MM - MONTAGEM. AF_12/2015</v>
      </c>
      <c r="D23" s="274" t="str">
        <f>(IF($A23="SINAPI",INDEX(SINAPI_NOV2020_NDES!$A$7:$H$6790,MATCH($B23,SINAPI_NOV2020_NDES!$A$7:$A$6790,0),3),(INDEX(COMPOS!$A$4:$G$5000,MATCH($B23,COMPOS!$A$4:$A$5000,0),3))))</f>
        <v>KG</v>
      </c>
      <c r="E23" s="276">
        <v>25.54</v>
      </c>
      <c r="F23" s="276">
        <f>(IF($A23="SINAPI",INDEX(SINAPI_NOV2020_NDES!$A$7:$H$6703,MATCH($B23,SINAPI_NOV2020_NDES!$A$7:$A$6703,0),5),(INDEX(COMPOS!$A$4:$G$801,MATCH($B23,COMPOS!$A$4:A$801,0),4))))</f>
        <v>5.68</v>
      </c>
      <c r="G23" s="276">
        <f>(IF($A23="SINAPI",INDEX(SINAPI_NOV2020_NDES!$A$7:$H$6703,MATCH($B23,SINAPI_NOV2020_NDES!$A$7:$A$6703,0),6),(INDEX(COMPOS!$A$4:$G$801,MATCH($B23,COMPOS!$A$4:A$801,0),5))))</f>
        <v>8.75</v>
      </c>
      <c r="H23" s="276">
        <f>(IF($A23="SINAPI",INDEX(SINAPI_NOV2020_NDES!$A$7:$H$6703,MATCH($B23,SINAPI_NOV2020_NDES!$A$7:$A$6703,0),7),(INDEX(COMPOS!$A$4:$G$801,MATCH($B23,COMPOS!$A$4:A$801,0),6))))</f>
        <v>0</v>
      </c>
      <c r="I23" s="276">
        <f t="shared" ref="I23:I26" si="6">SUM(F23:H23)</f>
        <v>14.43</v>
      </c>
      <c r="J23" s="276">
        <f t="shared" ref="J23:J26" si="7">+I23*E23</f>
        <v>368.54219999999998</v>
      </c>
      <c r="O23" s="256"/>
    </row>
    <row r="24" spans="1:669" ht="36" customHeight="1">
      <c r="A24" s="251" t="s">
        <v>7</v>
      </c>
      <c r="B24" s="290">
        <v>92776</v>
      </c>
      <c r="C24" s="301" t="str">
        <f>(IF($A24="SINAPI",INDEX(SINAPI_NOV2020_NDES!$A$7:$H$6703,MATCH($B24,SINAPI_NOV2020_NDES!$A$7:$A$6703,0),2),IF($A24="GOINFRA",INDEX(#REF!,MATCH($B24,#REF!,0),2),(INDEX(COMPOS!$A$4:$G$390,MATCH($B24,COMPOS!$A$4:A$390,0),2)))))</f>
        <v>ARMAÇÃO DE PILAR OU VIGA DE UMA ESTRUTURA CONVENCIONAL DE CONCRETO ARMADO EM UMA EDIFICAÇÃO TÉRREA OU SOBRADO UTILIZANDO AÇO CA-50 DE 6,3 MM - MONTAGEM. AF_12/2015</v>
      </c>
      <c r="D24" s="274" t="str">
        <f>(IF($A24="SINAPI",INDEX(SINAPI_NOV2020_NDES!$A$7:$H$6790,MATCH($B24,SINAPI_NOV2020_NDES!$A$7:$A$6790,0),3),(INDEX(COMPOS!$A$4:$G$5000,MATCH($B24,COMPOS!$A$4:$A$5000,0),3))))</f>
        <v>KG</v>
      </c>
      <c r="E24" s="276">
        <v>31</v>
      </c>
      <c r="F24" s="276">
        <f>(IF($A24="SINAPI",INDEX(SINAPI_NOV2020_NDES!$A$7:$H$6703,MATCH($B24,SINAPI_NOV2020_NDES!$A$7:$A$6703,0),5),(INDEX(COMPOS!$A$4:$G$801,MATCH($B24,COMPOS!$A$4:A$801,0),4))))</f>
        <v>4.0199999999999996</v>
      </c>
      <c r="G24" s="276">
        <f>(IF($A24="SINAPI",INDEX(SINAPI_NOV2020_NDES!$A$7:$H$6703,MATCH($B24,SINAPI_NOV2020_NDES!$A$7:$A$6703,0),6),(INDEX(COMPOS!$A$4:$G$801,MATCH($B24,COMPOS!$A$4:A$801,0),5))))</f>
        <v>9.0299999999999994</v>
      </c>
      <c r="H24" s="276">
        <f>(IF($A24="SINAPI",INDEX(SINAPI_NOV2020_NDES!$A$7:$H$6703,MATCH($B24,SINAPI_NOV2020_NDES!$A$7:$A$6703,0),7),(INDEX(COMPOS!$A$4:$G$801,MATCH($B24,COMPOS!$A$4:A$801,0),6))))</f>
        <v>0</v>
      </c>
      <c r="I24" s="276">
        <f t="shared" si="6"/>
        <v>13.049999999999999</v>
      </c>
      <c r="J24" s="276">
        <f t="shared" si="7"/>
        <v>404.54999999999995</v>
      </c>
      <c r="O24" s="256"/>
    </row>
    <row r="25" spans="1:669" ht="24" customHeight="1">
      <c r="A25" s="251" t="s">
        <v>7</v>
      </c>
      <c r="B25" s="290">
        <v>94965</v>
      </c>
      <c r="C25" s="301" t="str">
        <f>(IF($A25="SINAPI",INDEX(SINAPI_NOV2020_NDES!$A$7:$H$6703,MATCH($B25,SINAPI_NOV2020_NDES!$A$7:$A$6703,0),2),IF($A25="GOINFRA",INDEX(#REF!,MATCH($B25,#REF!,0),2),(INDEX(COMPOS!$A$4:$G$390,MATCH($B25,COMPOS!$A$4:A$390,0),2)))))</f>
        <v>CONCRETO FCK = 25MPA, TRAÇO 1:2,3:2,7 (CIMENTO/ AREIA MÉDIA/ BRITA 1)  - PREPARO MECÂNICO COM BETONEIRA 400 L. AF_07/2016</v>
      </c>
      <c r="D25" s="274" t="str">
        <f>(IF($A25="SINAPI",INDEX(SINAPI_NOV2020_NDES!$A$7:$H$6790,MATCH($B25,SINAPI_NOV2020_NDES!$A$7:$A$6790,0),3),(INDEX(COMPOS!$A$4:$G$5000,MATCH($B25,COMPOS!$A$4:$A$5000,0),3))))</f>
        <v>M3</v>
      </c>
      <c r="E25" s="276">
        <v>0.88</v>
      </c>
      <c r="F25" s="276">
        <f>(IF($A25="SINAPI",INDEX(SINAPI_NOV2020_NDES!$A$7:$H$6703,MATCH($B25,SINAPI_NOV2020_NDES!$A$7:$A$6703,0),5),(INDEX(COMPOS!$A$4:$G$801,MATCH($B25,COMPOS!$A$4:A$801,0),4))))</f>
        <v>54.49</v>
      </c>
      <c r="G25" s="276">
        <f>(IF($A25="SINAPI",INDEX(SINAPI_NOV2020_NDES!$A$7:$H$6703,MATCH($B25,SINAPI_NOV2020_NDES!$A$7:$A$6703,0),6),(INDEX(COMPOS!$A$4:$G$801,MATCH($B25,COMPOS!$A$4:A$801,0),5))))</f>
        <v>326.26</v>
      </c>
      <c r="H25" s="276">
        <f>(IF($A25="SINAPI",INDEX(SINAPI_NOV2020_NDES!$A$7:$H$6703,MATCH($B25,SINAPI_NOV2020_NDES!$A$7:$A$6703,0),7),(INDEX(COMPOS!$A$4:$G$801,MATCH($B25,COMPOS!$A$4:A$801,0),6))))</f>
        <v>0.53</v>
      </c>
      <c r="I25" s="276">
        <f t="shared" si="6"/>
        <v>381.28</v>
      </c>
      <c r="J25" s="276">
        <f t="shared" si="7"/>
        <v>335.52639999999997</v>
      </c>
      <c r="O25" s="256"/>
    </row>
    <row r="26" spans="1:669" ht="24" customHeight="1">
      <c r="A26" s="251" t="s">
        <v>7</v>
      </c>
      <c r="B26" s="290">
        <v>92873</v>
      </c>
      <c r="C26" s="301" t="str">
        <f>(IF($A26="SINAPI",INDEX(SINAPI_NOV2020_NDES!$A$7:$H$6703,MATCH($B26,SINAPI_NOV2020_NDES!$A$7:$A$6703,0),2),IF($A26="GOINFRA",INDEX(#REF!,MATCH($B26,#REF!,0),2),(INDEX(COMPOS!$A$4:$G$390,MATCH($B26,COMPOS!$A$4:A$390,0),2)))))</f>
        <v>LANÇAMENTO COM USO DE BALDES, ADENSAMENTO E ACABAMENTO DE CONCRETO EM ESTRUTURAS. AF_12/2015</v>
      </c>
      <c r="D26" s="274" t="str">
        <f>(IF($A26="SINAPI",INDEX(SINAPI_NOV2020_NDES!$A$7:$H$6790,MATCH($B26,SINAPI_NOV2020_NDES!$A$7:$A$6790,0),3),(INDEX(COMPOS!$A$4:$G$5000,MATCH($B26,COMPOS!$A$4:$A$5000,0),3))))</f>
        <v>M3</v>
      </c>
      <c r="E26" s="276">
        <v>0.88</v>
      </c>
      <c r="F26" s="276">
        <f>(IF($A26="SINAPI",INDEX(SINAPI_NOV2020_NDES!$A$7:$H$6703,MATCH($B26,SINAPI_NOV2020_NDES!$A$7:$A$6703,0),5),(INDEX(COMPOS!$A$4:$G$801,MATCH($B26,COMPOS!$A$4:A$801,0),4))))</f>
        <v>121.95</v>
      </c>
      <c r="G26" s="276">
        <f>(IF($A26="SINAPI",INDEX(SINAPI_NOV2020_NDES!$A$7:$H$6703,MATCH($B26,SINAPI_NOV2020_NDES!$A$7:$A$6703,0),6),(INDEX(COMPOS!$A$4:$G$801,MATCH($B26,COMPOS!$A$4:A$801,0),5))))</f>
        <v>41.44</v>
      </c>
      <c r="H26" s="276">
        <f>(IF($A26="SINAPI",INDEX(SINAPI_NOV2020_NDES!$A$7:$H$6703,MATCH($B26,SINAPI_NOV2020_NDES!$A$7:$A$6703,0),7),(INDEX(COMPOS!$A$4:$G$801,MATCH($B26,COMPOS!$A$4:A$801,0),6))))</f>
        <v>0.9</v>
      </c>
      <c r="I26" s="276">
        <f t="shared" si="6"/>
        <v>164.29</v>
      </c>
      <c r="J26" s="276">
        <f t="shared" si="7"/>
        <v>144.5752</v>
      </c>
      <c r="O26" s="256"/>
    </row>
    <row r="27" spans="1:669" s="88" customFormat="1" ht="24" customHeight="1">
      <c r="A27" s="680" t="s">
        <v>6927</v>
      </c>
      <c r="B27" s="680"/>
      <c r="C27" s="680"/>
      <c r="D27" s="680"/>
      <c r="E27" s="680"/>
      <c r="F27" s="680"/>
      <c r="G27" s="680"/>
      <c r="H27" s="680"/>
      <c r="I27" s="680"/>
      <c r="J27" s="281">
        <f>SUM(J22:J26)</f>
        <v>1988.7801062809917</v>
      </c>
      <c r="K27" s="30"/>
      <c r="L27" s="30"/>
      <c r="M27" s="30"/>
      <c r="N27" s="30"/>
      <c r="O27" s="30"/>
      <c r="P27" s="258"/>
    </row>
    <row r="28" spans="1:669">
      <c r="A28" s="289"/>
      <c r="B28" s="299">
        <v>169</v>
      </c>
      <c r="C28" s="300" t="s">
        <v>605</v>
      </c>
      <c r="D28" s="274"/>
      <c r="E28" s="276"/>
      <c r="F28" s="276"/>
      <c r="G28" s="276"/>
      <c r="H28" s="276"/>
      <c r="I28" s="276"/>
      <c r="J28" s="276"/>
    </row>
    <row r="29" spans="1:669" ht="36" customHeight="1">
      <c r="A29" s="251" t="s">
        <v>7</v>
      </c>
      <c r="B29" s="290">
        <v>91927</v>
      </c>
      <c r="C29" s="301" t="str">
        <f>(IF($A29="SINAPI",INDEX(SINAPI_NOV2020_NDES!$A$7:$H$6703,MATCH($B29,SINAPI_NOV2020_NDES!$A$7:$A$6703,0),2),IF($A29="GOINFRA",INDEX(#REF!,MATCH($B29,#REF!,0),2),(INDEX(COMPOS!$A$4:$G$390,MATCH($B29,COMPOS!$A$4:A$390,0),2)))))</f>
        <v>CABO DE COBRE FLEXÍVEL ISOLADO, 2,5 MM², ANTI-CHAMA 0,6/1,0 KV, PARA CIRCUITOS TERMINAIS - FORNECIMENTO E INSTALAÇÃO. AF_12/2015</v>
      </c>
      <c r="D29" s="274" t="str">
        <f>(IF($A29="SINAPI",INDEX(SINAPI_NOV2020_NDES!$A$7:$H$6790,MATCH($B29,SINAPI_NOV2020_NDES!$A$7:$A$6790,0),3),(INDEX(COMPOS!$A$4:$G$5000,MATCH($B29,COMPOS!$A$4:$A$5000,0),3))))</f>
        <v>M</v>
      </c>
      <c r="E29" s="276">
        <v>135</v>
      </c>
      <c r="F29" s="276">
        <f>(IF($A29="SINAPI",INDEX(SINAPI_NOV2020_NDES!$A$7:$H$6703,MATCH($B29,SINAPI_NOV2020_NDES!$A$7:$A$6703,0),5),(INDEX(COMPOS!$A$4:$G$801,MATCH($B29,COMPOS!$A$4:A$801,0),4))))</f>
        <v>0.88</v>
      </c>
      <c r="G29" s="276">
        <f>(IF($A29="SINAPI",INDEX(SINAPI_NOV2020_NDES!$A$7:$H$6703,MATCH($B29,SINAPI_NOV2020_NDES!$A$7:$A$6703,0),6),(INDEX(COMPOS!$A$4:$G$801,MATCH($B29,COMPOS!$A$4:A$801,0),5))))</f>
        <v>2.68</v>
      </c>
      <c r="H29" s="276">
        <f>(IF($A29="SINAPI",INDEX(SINAPI_NOV2020_NDES!$A$7:$H$6703,MATCH($B29,SINAPI_NOV2020_NDES!$A$7:$A$6703,0),7),(INDEX(COMPOS!$A$4:$G$801,MATCH($B29,COMPOS!$A$4:A$801,0),6))))</f>
        <v>0</v>
      </c>
      <c r="I29" s="276">
        <f t="shared" ref="I29" si="8">SUM(F29:H29)</f>
        <v>3.56</v>
      </c>
      <c r="J29" s="276">
        <f t="shared" ref="J29" si="9">+I29*E29</f>
        <v>480.6</v>
      </c>
      <c r="O29" s="256"/>
    </row>
    <row r="30" spans="1:669" ht="36" customHeight="1">
      <c r="A30" s="251" t="s">
        <v>7</v>
      </c>
      <c r="B30" s="290">
        <v>91931</v>
      </c>
      <c r="C30" s="301" t="str">
        <f>(IF($A30="SINAPI",INDEX(SINAPI_NOV2020_NDES!$A$7:$H$6703,MATCH($B30,SINAPI_NOV2020_NDES!$A$7:$A$6703,0),2),IF($A30="GOINFRA",INDEX(#REF!,MATCH($B30,#REF!,0),2),(INDEX(COMPOS!$A$4:$G$390,MATCH($B30,COMPOS!$A$4:A$390,0),2)))))</f>
        <v>CABO DE COBRE FLEXÍVEL ISOLADO, 6 MM², ANTI-CHAMA 0,6/1,0 KV, PARA CIRCUITOS TERMINAIS - FORNECIMENTO E INSTALAÇÃO. AF_12/2015</v>
      </c>
      <c r="D30" s="274" t="str">
        <f>(IF($A30="SINAPI",INDEX(SINAPI_NOV2020_NDES!$A$7:$H$6790,MATCH($B30,SINAPI_NOV2020_NDES!$A$7:$A$6790,0),3),(INDEX(COMPOS!$A$4:$G$5000,MATCH($B30,COMPOS!$A$4:$A$5000,0),3))))</f>
        <v>M</v>
      </c>
      <c r="E30" s="276">
        <v>75</v>
      </c>
      <c r="F30" s="276">
        <f>(IF($A30="SINAPI",INDEX(SINAPI_NOV2020_NDES!$A$7:$H$6703,MATCH($B30,SINAPI_NOV2020_NDES!$A$7:$A$6703,0),5),(INDEX(COMPOS!$A$4:$G$801,MATCH($B30,COMPOS!$A$4:A$801,0),4))))</f>
        <v>1.52</v>
      </c>
      <c r="G30" s="276">
        <f>(IF($A30="SINAPI",INDEX(SINAPI_NOV2020_NDES!$A$7:$H$6703,MATCH($B30,SINAPI_NOV2020_NDES!$A$7:$A$6703,0),6),(INDEX(COMPOS!$A$4:$G$801,MATCH($B30,COMPOS!$A$4:A$801,0),5))))</f>
        <v>5.18</v>
      </c>
      <c r="H30" s="276">
        <f>(IF($A30="SINAPI",INDEX(SINAPI_NOV2020_NDES!$A$7:$H$6703,MATCH($B30,SINAPI_NOV2020_NDES!$A$7:$A$6703,0),7),(INDEX(COMPOS!$A$4:$G$801,MATCH($B30,COMPOS!$A$4:A$801,0),6))))</f>
        <v>0</v>
      </c>
      <c r="I30" s="276">
        <f t="shared" ref="I30:I42" si="10">SUM(F30:H30)</f>
        <v>6.6999999999999993</v>
      </c>
      <c r="J30" s="276">
        <f t="shared" ref="J30:J42" si="11">+I30*E30</f>
        <v>502.49999999999994</v>
      </c>
      <c r="O30" s="256"/>
    </row>
    <row r="31" spans="1:669" ht="24" customHeight="1">
      <c r="A31" s="251" t="s">
        <v>7</v>
      </c>
      <c r="B31" s="290">
        <v>92871</v>
      </c>
      <c r="C31" s="301" t="str">
        <f>(IF($A31="SINAPI",INDEX(SINAPI_NOV2020_NDES!$A$7:$H$6703,MATCH($B31,SINAPI_NOV2020_NDES!$A$7:$A$6703,0),2),IF($A31="GOINFRA",INDEX(#REF!,MATCH($B31,#REF!,0),2),(INDEX(COMPOS!$A$4:$G$390,MATCH($B31,COMPOS!$A$4:A$390,0),2)))))</f>
        <v>CAIXA RETANGULAR 4" X 4" MÉDIA (1,30 M DO PISO), METÁLICA, INSTALADA EM PAREDE - FORNECIMENTO E INSTALAÇÃO. AF_12/2015</v>
      </c>
      <c r="D31" s="274" t="str">
        <f>(IF($A31="SINAPI",INDEX(SINAPI_NOV2020_NDES!$A$7:$H$6790,MATCH($B31,SINAPI_NOV2020_NDES!$A$7:$A$6790,0),3),(INDEX(COMPOS!$A$4:$G$5000,MATCH($B31,COMPOS!$A$4:$A$5000,0),3))))</f>
        <v>UN</v>
      </c>
      <c r="E31" s="276">
        <v>14</v>
      </c>
      <c r="F31" s="276">
        <f>(IF($A31="SINAPI",INDEX(SINAPI_NOV2020_NDES!$A$7:$H$6703,MATCH($B31,SINAPI_NOV2020_NDES!$A$7:$A$6703,0),5),(INDEX(COMPOS!$A$4:$G$801,MATCH($B31,COMPOS!$A$4:A$801,0),4))))</f>
        <v>8.5</v>
      </c>
      <c r="G31" s="276">
        <f>(IF($A31="SINAPI",INDEX(SINAPI_NOV2020_NDES!$A$7:$H$6703,MATCH($B31,SINAPI_NOV2020_NDES!$A$7:$A$6703,0),6),(INDEX(COMPOS!$A$4:$G$801,MATCH($B31,COMPOS!$A$4:A$801,0),5))))</f>
        <v>5.87</v>
      </c>
      <c r="H31" s="276">
        <f>(IF($A31="SINAPI",INDEX(SINAPI_NOV2020_NDES!$A$7:$H$6703,MATCH($B31,SINAPI_NOV2020_NDES!$A$7:$A$6703,0),7),(INDEX(COMPOS!$A$4:$G$801,MATCH($B31,COMPOS!$A$4:A$801,0),6))))</f>
        <v>0</v>
      </c>
      <c r="I31" s="276">
        <f t="shared" si="10"/>
        <v>14.370000000000001</v>
      </c>
      <c r="J31" s="276">
        <f t="shared" si="11"/>
        <v>201.18</v>
      </c>
      <c r="O31" s="256"/>
    </row>
    <row r="32" spans="1:669" ht="24" customHeight="1">
      <c r="A32" s="251" t="s">
        <v>7</v>
      </c>
      <c r="B32" s="290">
        <v>93668</v>
      </c>
      <c r="C32" s="301" t="str">
        <f>(IF($A32="SINAPI",INDEX(SINAPI_NOV2020_NDES!$A$7:$H$6703,MATCH($B32,SINAPI_NOV2020_NDES!$A$7:$A$6703,0),2),IF($A32="GOINFRA",INDEX(#REF!,MATCH($B32,#REF!,0),2),(INDEX(COMPOS!$A$4:$G$390,MATCH($B32,COMPOS!$A$4:A$390,0),2)))))</f>
        <v>DISJUNTOR TRIPOLAR TIPO DIN, CORRENTE NOMINAL DE 16A - FORNECIMENTO E INSTALAÇÃO. AF_10/2020</v>
      </c>
      <c r="D32" s="274" t="str">
        <f>(IF($A32="SINAPI",INDEX(SINAPI_NOV2020_NDES!$A$7:$H$6790,MATCH($B32,SINAPI_NOV2020_NDES!$A$7:$A$6790,0),3),(INDEX(COMPOS!$A$4:$G$5000,MATCH($B32,COMPOS!$A$4:$A$5000,0),3))))</f>
        <v>UN</v>
      </c>
      <c r="E32" s="276">
        <v>1</v>
      </c>
      <c r="F32" s="276">
        <f>(IF($A32="SINAPI",INDEX(SINAPI_NOV2020_NDES!$A$7:$H$6703,MATCH($B32,SINAPI_NOV2020_NDES!$A$7:$A$6703,0),5),(INDEX(COMPOS!$A$4:$G$801,MATCH($B32,COMPOS!$A$4:A$801,0),4))))</f>
        <v>4.1900000000000004</v>
      </c>
      <c r="G32" s="276">
        <f>(IF($A32="SINAPI",INDEX(SINAPI_NOV2020_NDES!$A$7:$H$6703,MATCH($B32,SINAPI_NOV2020_NDES!$A$7:$A$6703,0),6),(INDEX(COMPOS!$A$4:$G$801,MATCH($B32,COMPOS!$A$4:A$801,0),5))))</f>
        <v>62.1</v>
      </c>
      <c r="H32" s="276">
        <f>(IF($A32="SINAPI",INDEX(SINAPI_NOV2020_NDES!$A$7:$H$6703,MATCH($B32,SINAPI_NOV2020_NDES!$A$7:$A$6703,0),7),(INDEX(COMPOS!$A$4:$G$801,MATCH($B32,COMPOS!$A$4:A$801,0),6))))</f>
        <v>0</v>
      </c>
      <c r="I32" s="276">
        <f t="shared" si="10"/>
        <v>66.290000000000006</v>
      </c>
      <c r="J32" s="276">
        <f t="shared" si="11"/>
        <v>66.290000000000006</v>
      </c>
      <c r="O32" s="256"/>
      <c r="XS32" s="42"/>
      <c r="XT32" s="42"/>
      <c r="XU32" s="42"/>
      <c r="XV32" s="42"/>
      <c r="XW32" s="42"/>
      <c r="XX32" s="42"/>
      <c r="XY32" s="42"/>
      <c r="XZ32" s="42"/>
      <c r="YA32" s="42"/>
      <c r="YB32" s="18"/>
      <c r="YC32" s="18"/>
      <c r="YD32" s="18"/>
      <c r="YE32" s="18"/>
      <c r="YF32" s="18"/>
      <c r="YG32" s="18"/>
      <c r="YH32" s="18"/>
      <c r="YI32" s="18"/>
      <c r="YJ32" s="18"/>
      <c r="YK32" s="18"/>
      <c r="YL32" s="18"/>
      <c r="YM32" s="18"/>
      <c r="YN32" s="18"/>
      <c r="YO32" s="18"/>
      <c r="YP32" s="18"/>
      <c r="YQ32" s="18"/>
      <c r="YR32" s="18"/>
      <c r="YS32" s="18"/>
    </row>
    <row r="33" spans="1:669" ht="24" customHeight="1">
      <c r="A33" s="251" t="s">
        <v>7</v>
      </c>
      <c r="B33" s="290">
        <v>93670</v>
      </c>
      <c r="C33" s="301" t="str">
        <f>(IF($A33="SINAPI",INDEX(SINAPI_NOV2020_NDES!$A$7:$H$6703,MATCH($B33,SINAPI_NOV2020_NDES!$A$7:$A$6703,0),2),IF($A33="GOINFRA",INDEX(#REF!,MATCH($B33,#REF!,0),2),(INDEX(COMPOS!$A$4:$G$390,MATCH($B33,COMPOS!$A$4:A$390,0),2)))))</f>
        <v>DISJUNTOR TRIPOLAR TIPO DIN, CORRENTE NOMINAL DE 25A - FORNECIMENTO E INSTALAÇÃO. AF_10/2020</v>
      </c>
      <c r="D33" s="274" t="str">
        <f>(IF($A33="SINAPI",INDEX(SINAPI_NOV2020_NDES!$A$7:$H$6790,MATCH($B33,SINAPI_NOV2020_NDES!$A$7:$A$6790,0),3),(INDEX(COMPOS!$A$4:$G$5000,MATCH($B33,COMPOS!$A$4:$A$5000,0),3))))</f>
        <v>UN</v>
      </c>
      <c r="E33" s="276">
        <v>2</v>
      </c>
      <c r="F33" s="276">
        <f>(IF($A33="SINAPI",INDEX(SINAPI_NOV2020_NDES!$A$7:$H$6703,MATCH($B33,SINAPI_NOV2020_NDES!$A$7:$A$6703,0),5),(INDEX(COMPOS!$A$4:$G$801,MATCH($B33,COMPOS!$A$4:A$801,0),4))))</f>
        <v>5.84</v>
      </c>
      <c r="G33" s="276">
        <f>(IF($A33="SINAPI",INDEX(SINAPI_NOV2020_NDES!$A$7:$H$6703,MATCH($B33,SINAPI_NOV2020_NDES!$A$7:$A$6703,0),6),(INDEX(COMPOS!$A$4:$G$801,MATCH($B33,COMPOS!$A$4:A$801,0),5))))</f>
        <v>63.15</v>
      </c>
      <c r="H33" s="276">
        <f>(IF($A33="SINAPI",INDEX(SINAPI_NOV2020_NDES!$A$7:$H$6703,MATCH($B33,SINAPI_NOV2020_NDES!$A$7:$A$6703,0),7),(INDEX(COMPOS!$A$4:$G$801,MATCH($B33,COMPOS!$A$4:A$801,0),6))))</f>
        <v>0</v>
      </c>
      <c r="I33" s="276">
        <f t="shared" si="10"/>
        <v>68.989999999999995</v>
      </c>
      <c r="J33" s="276">
        <f t="shared" si="11"/>
        <v>137.97999999999999</v>
      </c>
      <c r="O33" s="256"/>
      <c r="XS33" s="42"/>
      <c r="XT33" s="42"/>
      <c r="XU33" s="42"/>
      <c r="XV33" s="42"/>
      <c r="XW33" s="42"/>
      <c r="XX33" s="42"/>
      <c r="XY33" s="42"/>
      <c r="XZ33" s="42"/>
      <c r="YA33" s="42"/>
      <c r="YB33" s="18"/>
      <c r="YC33" s="18"/>
      <c r="YD33" s="18"/>
      <c r="YE33" s="18"/>
      <c r="YF33" s="18"/>
      <c r="YG33" s="18"/>
      <c r="YH33" s="18"/>
      <c r="YI33" s="18"/>
      <c r="YJ33" s="18"/>
      <c r="YK33" s="18"/>
      <c r="YL33" s="18"/>
      <c r="YM33" s="18"/>
      <c r="YN33" s="18"/>
      <c r="YO33" s="18"/>
      <c r="YP33" s="18"/>
      <c r="YQ33" s="18"/>
      <c r="YR33" s="18"/>
      <c r="YS33" s="18"/>
    </row>
    <row r="34" spans="1:669" ht="36" customHeight="1">
      <c r="A34" s="251" t="s">
        <v>7</v>
      </c>
      <c r="B34" s="290">
        <v>91831</v>
      </c>
      <c r="C34" s="301" t="str">
        <f>(IF($A34="SINAPI",INDEX(SINAPI_NOV2020_NDES!$A$7:$H$6703,MATCH($B34,SINAPI_NOV2020_NDES!$A$7:$A$6703,0),2),IF($A34="GOINFRA",INDEX(#REF!,MATCH($B34,#REF!,0),2),(INDEX(COMPOS!$A$4:$G$390,MATCH($B34,COMPOS!$A$4:A$390,0),2)))))</f>
        <v>ELETRODUTO FLEXÍVEL CORRUGADO, PVC, DN 20 MM (1/2"), PARA CIRCUITOS TERMINAIS, INSTALADO EM FORRO - FORNECIMENTO E INSTALAÇÃO. AF_12/2015</v>
      </c>
      <c r="D34" s="274" t="str">
        <f>(IF($A34="SINAPI",INDEX(SINAPI_NOV2020_NDES!$A$7:$H$6790,MATCH($B34,SINAPI_NOV2020_NDES!$A$7:$A$6790,0),3),(INDEX(COMPOS!$A$4:$G$5000,MATCH($B34,COMPOS!$A$4:$A$5000,0),3))))</f>
        <v>M</v>
      </c>
      <c r="E34" s="276">
        <v>70</v>
      </c>
      <c r="F34" s="276">
        <f>(IF($A34="SINAPI",INDEX(SINAPI_NOV2020_NDES!$A$7:$H$6703,MATCH($B34,SINAPI_NOV2020_NDES!$A$7:$A$6703,0),5),(INDEX(COMPOS!$A$4:$G$801,MATCH($B34,COMPOS!$A$4:A$801,0),4))))</f>
        <v>2.96</v>
      </c>
      <c r="G34" s="276">
        <f>(IF($A34="SINAPI",INDEX(SINAPI_NOV2020_NDES!$A$7:$H$6703,MATCH($B34,SINAPI_NOV2020_NDES!$A$7:$A$6703,0),6),(INDEX(COMPOS!$A$4:$G$801,MATCH($B34,COMPOS!$A$4:A$801,0),5))))</f>
        <v>2.34</v>
      </c>
      <c r="H34" s="276">
        <f>(IF($A34="SINAPI",INDEX(SINAPI_NOV2020_NDES!$A$7:$H$6703,MATCH($B34,SINAPI_NOV2020_NDES!$A$7:$A$6703,0),7),(INDEX(COMPOS!$A$4:$G$801,MATCH($B34,COMPOS!$A$4:A$801,0),6))))</f>
        <v>0</v>
      </c>
      <c r="I34" s="276">
        <f t="shared" si="10"/>
        <v>5.3</v>
      </c>
      <c r="J34" s="276">
        <f t="shared" si="11"/>
        <v>371</v>
      </c>
      <c r="O34" s="256"/>
    </row>
    <row r="35" spans="1:669" ht="15" customHeight="1">
      <c r="A35" s="251" t="s">
        <v>6307</v>
      </c>
      <c r="B35" s="290">
        <v>722</v>
      </c>
      <c r="C35" s="301" t="str">
        <f>(IF($A35="SINAPI",INDEX(SINAPI_NOV2020_NDES!$A$7:$H$6703,MATCH($B35,SINAPI_NOV2020_NDES!$A$7:$A$6703,0),2),IF($A35="GOINFRA",INDEX(#REF!,MATCH($B35,#REF!,0),2),(INDEX(COMPOS!$A$4:$G$390,MATCH($B35,COMPOS!$A$4:A$390,0),2)))))</f>
        <v>FITA ISOLANTE, ROLO DE 20,00 M</v>
      </c>
      <c r="D35" s="274" t="str">
        <f>(IF($A35="SINAPI",INDEX(SINAPI_NOV2020_NDES!$A$7:$H$6790,MATCH($B35,SINAPI_NOV2020_NDES!$A$7:$A$6790,0),3),(INDEX(COMPOS!$A$4:$G$5000,MATCH($B35,COMPOS!$A$4:$A$5000,0),3))))</f>
        <v>UN</v>
      </c>
      <c r="E35" s="276">
        <v>3</v>
      </c>
      <c r="F35" s="276">
        <f>(IF($A35="SINAPI",INDEX(SINAPI_NOV2020_NDES!$A$7:$H$6703,MATCH($B35,SINAPI_NOV2020_NDES!$A$7:$A$6703,0),5),(INDEX(COMPOS!$A$4:$G$801,MATCH($B35,COMPOS!$A$4:A$801,0),4))))</f>
        <v>15.452</v>
      </c>
      <c r="G35" s="276">
        <f>(IF($A35="SINAPI",INDEX(SINAPI_NOV2020_NDES!$A$7:$H$6703,MATCH($B35,SINAPI_NOV2020_NDES!$A$7:$A$6703,0),6),(INDEX(COMPOS!$A$4:$G$801,MATCH($B35,COMPOS!$A$4:A$801,0),5))))</f>
        <v>10</v>
      </c>
      <c r="H35" s="276">
        <f>(IF($A35="SINAPI",INDEX(SINAPI_NOV2020_NDES!$A$7:$H$6703,MATCH($B35,SINAPI_NOV2020_NDES!$A$7:$A$6703,0),7),(INDEX(COMPOS!$A$4:$G$801,MATCH($B35,COMPOS!$A$4:A$801,0),6))))</f>
        <v>0</v>
      </c>
      <c r="I35" s="276">
        <f t="shared" si="10"/>
        <v>25.451999999999998</v>
      </c>
      <c r="J35" s="276">
        <f t="shared" si="11"/>
        <v>76.355999999999995</v>
      </c>
      <c r="O35" s="256"/>
    </row>
    <row r="36" spans="1:669" ht="24" customHeight="1">
      <c r="A36" s="251" t="s">
        <v>7</v>
      </c>
      <c r="B36" s="290">
        <v>91953</v>
      </c>
      <c r="C36" s="301" t="str">
        <f>(IF($A36="SINAPI",INDEX(SINAPI_NOV2020_NDES!$A$7:$H$6703,MATCH($B36,SINAPI_NOV2020_NDES!$A$7:$A$6703,0),2),IF($A36="GOINFRA",INDEX(#REF!,MATCH($B36,#REF!,0),2),(INDEX(COMPOS!$A$4:$G$390,MATCH($B36,COMPOS!$A$4:A$390,0),2)))))</f>
        <v>INTERRUPTOR SIMPLES (1 MÓDULO), 10A/250V, INCLUINDO SUPORTE E PLACA - FORNECIMENTO E INSTALAÇÃO. AF_12/2015</v>
      </c>
      <c r="D36" s="274" t="str">
        <f>(IF($A36="SINAPI",INDEX(SINAPI_NOV2020_NDES!$A$7:$H$6790,MATCH($B36,SINAPI_NOV2020_NDES!$A$7:$A$6790,0),3),(INDEX(COMPOS!$A$4:$G$5000,MATCH($B36,COMPOS!$A$4:$A$5000,0),3))))</f>
        <v>UN</v>
      </c>
      <c r="E36" s="276">
        <v>2</v>
      </c>
      <c r="F36" s="276">
        <f>(IF($A36="SINAPI",INDEX(SINAPI_NOV2020_NDES!$A$7:$H$6703,MATCH($B36,SINAPI_NOV2020_NDES!$A$7:$A$6703,0),5),(INDEX(COMPOS!$A$4:$G$801,MATCH($B36,COMPOS!$A$4:A$801,0),4))))</f>
        <v>8.7899999999999991</v>
      </c>
      <c r="G36" s="276">
        <f>(IF($A36="SINAPI",INDEX(SINAPI_NOV2020_NDES!$A$7:$H$6703,MATCH($B36,SINAPI_NOV2020_NDES!$A$7:$A$6703,0),6),(INDEX(COMPOS!$A$4:$G$801,MATCH($B36,COMPOS!$A$4:A$801,0),5))))</f>
        <v>9.4499999999999993</v>
      </c>
      <c r="H36" s="276">
        <f>(IF($A36="SINAPI",INDEX(SINAPI_NOV2020_NDES!$A$7:$H$6703,MATCH($B36,SINAPI_NOV2020_NDES!$A$7:$A$6703,0),7),(INDEX(COMPOS!$A$4:$G$801,MATCH($B36,COMPOS!$A$4:A$801,0),6))))</f>
        <v>0</v>
      </c>
      <c r="I36" s="276">
        <f t="shared" si="10"/>
        <v>18.239999999999998</v>
      </c>
      <c r="J36" s="276">
        <f t="shared" si="11"/>
        <v>36.479999999999997</v>
      </c>
      <c r="O36" s="256"/>
    </row>
    <row r="37" spans="1:669" ht="24" customHeight="1">
      <c r="A37" s="251" t="s">
        <v>6307</v>
      </c>
      <c r="B37" s="290">
        <v>745</v>
      </c>
      <c r="C37" s="301" t="str">
        <f>(IF($A37="SINAPI",INDEX(SINAPI_NOV2020_NDES!$A$7:$H$6703,MATCH($B37,SINAPI_NOV2020_NDES!$A$7:$A$6703,0),2),IF($A37="GOINFRA",INDEX(#REF!,MATCH($B37,#REF!,0),2),(INDEX(COMPOS!$A$4:$G$390,MATCH($B37,COMPOS!$A$4:A$390,0),2)))))</f>
        <v>TERMINAL DE PRESSAO 2,5MM3</v>
      </c>
      <c r="D37" s="274" t="str">
        <f>(IF($A37="SINAPI",INDEX(SINAPI_NOV2020_NDES!$A$7:$H$6790,MATCH($B37,SINAPI_NOV2020_NDES!$A$7:$A$6790,0),3),(INDEX(COMPOS!$A$4:$G$5000,MATCH($B37,COMPOS!$A$4:$A$5000,0),3))))</f>
        <v>UN</v>
      </c>
      <c r="E37" s="276">
        <v>3</v>
      </c>
      <c r="F37" s="276">
        <f>(IF($A37="SINAPI",INDEX(SINAPI_NOV2020_NDES!$A$7:$H$6703,MATCH($B37,SINAPI_NOV2020_NDES!$A$7:$A$6703,0),5),(INDEX(COMPOS!$A$4:$G$801,MATCH($B37,COMPOS!$A$4:A$801,0),4))))</f>
        <v>11.588999999999999</v>
      </c>
      <c r="G37" s="276">
        <f>(IF($A37="SINAPI",INDEX(SINAPI_NOV2020_NDES!$A$7:$H$6703,MATCH($B37,SINAPI_NOV2020_NDES!$A$7:$A$6703,0),6),(INDEX(COMPOS!$A$4:$G$801,MATCH($B37,COMPOS!$A$4:A$801,0),5))))</f>
        <v>0.32</v>
      </c>
      <c r="H37" s="276">
        <f>(IF($A37="SINAPI",INDEX(SINAPI_NOV2020_NDES!$A$7:$H$6703,MATCH($B37,SINAPI_NOV2020_NDES!$A$7:$A$6703,0),7),(INDEX(COMPOS!$A$4:$G$801,MATCH($B37,COMPOS!$A$4:A$801,0),6))))</f>
        <v>0</v>
      </c>
      <c r="I37" s="276">
        <f t="shared" si="10"/>
        <v>11.908999999999999</v>
      </c>
      <c r="J37" s="276">
        <f t="shared" si="11"/>
        <v>35.726999999999997</v>
      </c>
      <c r="O37" s="256"/>
    </row>
    <row r="38" spans="1:669" ht="24" customHeight="1">
      <c r="A38" s="251" t="s">
        <v>7</v>
      </c>
      <c r="B38" s="290">
        <v>91993</v>
      </c>
      <c r="C38" s="301" t="str">
        <f>(IF($A38="SINAPI",INDEX(SINAPI_NOV2020_NDES!$A$7:$H$6703,MATCH($B38,SINAPI_NOV2020_NDES!$A$7:$A$6703,0),2),IF($A38="GOINFRA",INDEX(#REF!,MATCH($B38,#REF!,0),2),(INDEX(COMPOS!$A$4:$G$390,MATCH($B38,COMPOS!$A$4:A$390,0),2)))))</f>
        <v>TOMADA ALTA DE EMBUTIR (1 MÓDULO), 2P+T 20 A, INCLUINDO SUPORTE E PLACA - FORNECIMENTO E INSTALAÇÃO. AF_12/2015</v>
      </c>
      <c r="D38" s="274" t="str">
        <f>(IF($A38="SINAPI",INDEX(SINAPI_NOV2020_NDES!$A$7:$H$6790,MATCH($B38,SINAPI_NOV2020_NDES!$A$7:$A$6790,0),3),(INDEX(COMPOS!$A$4:$G$5000,MATCH($B38,COMPOS!$A$4:$A$5000,0),3))))</f>
        <v>UN</v>
      </c>
      <c r="E38" s="276">
        <v>2</v>
      </c>
      <c r="F38" s="276">
        <f>(IF($A38="SINAPI",INDEX(SINAPI_NOV2020_NDES!$A$7:$H$6703,MATCH($B38,SINAPI_NOV2020_NDES!$A$7:$A$6703,0),5),(INDEX(COMPOS!$A$4:$G$801,MATCH($B38,COMPOS!$A$4:A$801,0),4))))</f>
        <v>16.8</v>
      </c>
      <c r="G38" s="276">
        <f>(IF($A38="SINAPI",INDEX(SINAPI_NOV2020_NDES!$A$7:$H$6703,MATCH($B38,SINAPI_NOV2020_NDES!$A$7:$A$6703,0),6),(INDEX(COMPOS!$A$4:$G$801,MATCH($B38,COMPOS!$A$4:A$801,0),5))))</f>
        <v>13.81</v>
      </c>
      <c r="H38" s="276">
        <f>(IF($A38="SINAPI",INDEX(SINAPI_NOV2020_NDES!$A$7:$H$6703,MATCH($B38,SINAPI_NOV2020_NDES!$A$7:$A$6703,0),7),(INDEX(COMPOS!$A$4:$G$801,MATCH($B38,COMPOS!$A$4:A$801,0),6))))</f>
        <v>0</v>
      </c>
      <c r="I38" s="276">
        <f t="shared" si="10"/>
        <v>30.61</v>
      </c>
      <c r="J38" s="276">
        <f t="shared" si="11"/>
        <v>61.22</v>
      </c>
      <c r="O38" s="256"/>
    </row>
    <row r="39" spans="1:669" ht="33" customHeight="1">
      <c r="A39" s="251" t="s">
        <v>7</v>
      </c>
      <c r="B39" s="290">
        <v>100860</v>
      </c>
      <c r="C39" s="301" t="str">
        <f>(IF($A39="SINAPI",INDEX(SINAPI_NOV2020_NDES!$A$7:$H$6703,MATCH($B39,SINAPI_NOV2020_NDES!$A$7:$A$6703,0),2),IF($A39="GOINFRA",INDEX(#REF!,MATCH($B39,#REF!,0),2),(INDEX(COMPOS!$A$4:$G$390,MATCH($B39,COMPOS!$A$4:A$390,0),2)))))</f>
        <v>CHUVEIRO ELÉTRICO COMUM CORPO PLÁSTICO, TIPO DUCHA  FORNECIMENTO E INSTALAÇÃO. AF_01/2020</v>
      </c>
      <c r="D39" s="274" t="str">
        <f>(IF($A39="SINAPI",INDEX(SINAPI_NOV2020_NDES!$A$7:$H$6790,MATCH($B39,SINAPI_NOV2020_NDES!$A$7:$A$6790,0),3),(INDEX(COMPOS!$A$4:$G$5000,MATCH($B39,COMPOS!$A$4:$A$5000,0),3))))</f>
        <v>UN</v>
      </c>
      <c r="E39" s="276">
        <v>2</v>
      </c>
      <c r="F39" s="276">
        <f>(IF($A39="SINAPI",INDEX(SINAPI_NOV2020_NDES!$A$7:$H$6703,MATCH($B39,SINAPI_NOV2020_NDES!$A$7:$A$6703,0),5),(INDEX(COMPOS!$A$4:$G$801,MATCH($B39,COMPOS!$A$4:A$801,0),4))))</f>
        <v>9.1199999999999992</v>
      </c>
      <c r="G39" s="276">
        <f>(IF($A39="SINAPI",INDEX(SINAPI_NOV2020_NDES!$A$7:$H$6703,MATCH($B39,SINAPI_NOV2020_NDES!$A$7:$A$6703,0),6),(INDEX(COMPOS!$A$4:$G$801,MATCH($B39,COMPOS!$A$4:A$801,0),5))))</f>
        <v>57.45</v>
      </c>
      <c r="H39" s="276">
        <f>(IF($A39="SINAPI",INDEX(SINAPI_NOV2020_NDES!$A$7:$H$6703,MATCH($B39,SINAPI_NOV2020_NDES!$A$7:$A$6703,0),7),(INDEX(COMPOS!$A$4:$G$801,MATCH($B39,COMPOS!$A$4:A$801,0),6))))</f>
        <v>0</v>
      </c>
      <c r="I39" s="276">
        <f t="shared" si="10"/>
        <v>66.570000000000007</v>
      </c>
      <c r="J39" s="276">
        <f t="shared" si="11"/>
        <v>133.14000000000001</v>
      </c>
      <c r="O39" s="256"/>
    </row>
    <row r="40" spans="1:669" ht="39" customHeight="1">
      <c r="A40" s="251" t="s">
        <v>7</v>
      </c>
      <c r="B40" s="290">
        <v>97608</v>
      </c>
      <c r="C40" s="301" t="str">
        <f>(IF($A40="SINAPI",INDEX(SINAPI_NOV2020_NDES!$A$7:$H$6703,MATCH($B40,SINAPI_NOV2020_NDES!$A$7:$A$6703,0),2),IF($A40="GOINFRA",INDEX(#REF!,MATCH($B40,#REF!,0),2),(INDEX(COMPOS!$A$4:$G$390,MATCH($B40,COMPOS!$A$4:A$390,0),2)))))</f>
        <v>LUMINÁRIA ARANDELA TIPO TARTARUGA, COM GRADE, DE SOBREPOR, COM 1 LÂMPADA FLUORESCENTE DE 15 W, SEM REATOR - FORNECIMENTO E INSTALAÇÃO. AF_02/2020</v>
      </c>
      <c r="D40" s="274" t="str">
        <f>(IF($A40="SINAPI",INDEX(SINAPI_NOV2020_NDES!$A$7:$H$6790,MATCH($B40,SINAPI_NOV2020_NDES!$A$7:$A$6790,0),3),(INDEX(COMPOS!$A$4:$G$5000,MATCH($B40,COMPOS!$A$4:$A$5000,0),3))))</f>
        <v>UN</v>
      </c>
      <c r="E40" s="276">
        <v>2</v>
      </c>
      <c r="F40" s="276">
        <f>(IF($A40="SINAPI",INDEX(SINAPI_NOV2020_NDES!$A$7:$H$6703,MATCH($B40,SINAPI_NOV2020_NDES!$A$7:$A$6703,0),5),(INDEX(COMPOS!$A$4:$G$801,MATCH($B40,COMPOS!$A$4:A$801,0),4))))</f>
        <v>12.33</v>
      </c>
      <c r="G40" s="276">
        <f>(IF($A40="SINAPI",INDEX(SINAPI_NOV2020_NDES!$A$7:$H$6703,MATCH($B40,SINAPI_NOV2020_NDES!$A$7:$A$6703,0),6),(INDEX(COMPOS!$A$4:$G$801,MATCH($B40,COMPOS!$A$4:A$801,0),5))))</f>
        <v>61.64</v>
      </c>
      <c r="H40" s="276">
        <f>(IF($A40="SINAPI",INDEX(SINAPI_NOV2020_NDES!$A$7:$H$6703,MATCH($B40,SINAPI_NOV2020_NDES!$A$7:$A$6703,0),7),(INDEX(COMPOS!$A$4:$G$801,MATCH($B40,COMPOS!$A$4:A$801,0),6))))</f>
        <v>0</v>
      </c>
      <c r="I40" s="276">
        <f t="shared" si="10"/>
        <v>73.97</v>
      </c>
      <c r="J40" s="276">
        <f t="shared" si="11"/>
        <v>147.94</v>
      </c>
      <c r="O40" s="256"/>
    </row>
    <row r="41" spans="1:669" ht="24" customHeight="1">
      <c r="A41" s="251" t="s">
        <v>7</v>
      </c>
      <c r="B41" s="290">
        <v>97592</v>
      </c>
      <c r="C41" s="301" t="str">
        <f>(IF($A41="SINAPI",INDEX(SINAPI_NOV2020_NDES!$A$7:$H$6703,MATCH($B41,SINAPI_NOV2020_NDES!$A$7:$A$6703,0),2),IF($A41="GOINFRA",INDEX(#REF!,MATCH($B41,#REF!,0),2),(INDEX(COMPOS!$A$4:$G$390,MATCH($B41,COMPOS!$A$4:A$390,0),2)))))</f>
        <v>LUMINÁRIA TIPO PLAFON, DE SOBREPOR, COM 1 LÂMPADA LED DE 12/13 W, SEM REATOR - FORNECIMENTO E INSTALAÇÃO. AF_02/2020</v>
      </c>
      <c r="D41" s="274" t="str">
        <f>(IF($A41="SINAPI",INDEX(SINAPI_NOV2020_NDES!$A$7:$H$6790,MATCH($B41,SINAPI_NOV2020_NDES!$A$7:$A$6790,0),3),(INDEX(COMPOS!$A$4:$G$5000,MATCH($B41,COMPOS!$A$4:$A$5000,0),3))))</f>
        <v>UN</v>
      </c>
      <c r="E41" s="276">
        <v>7</v>
      </c>
      <c r="F41" s="276">
        <f>(IF($A41="SINAPI",INDEX(SINAPI_NOV2020_NDES!$A$7:$H$6703,MATCH($B41,SINAPI_NOV2020_NDES!$A$7:$A$6703,0),5),(INDEX(COMPOS!$A$4:$G$801,MATCH($B41,COMPOS!$A$4:A$801,0),4))))</f>
        <v>11.98</v>
      </c>
      <c r="G41" s="276">
        <f>(IF($A41="SINAPI",INDEX(SINAPI_NOV2020_NDES!$A$7:$H$6703,MATCH($B41,SINAPI_NOV2020_NDES!$A$7:$A$6703,0),6),(INDEX(COMPOS!$A$4:$G$801,MATCH($B41,COMPOS!$A$4:A$801,0),5))))</f>
        <v>23.99</v>
      </c>
      <c r="H41" s="276">
        <f>(IF($A41="SINAPI",INDEX(SINAPI_NOV2020_NDES!$A$7:$H$6703,MATCH($B41,SINAPI_NOV2020_NDES!$A$7:$A$6703,0),7),(INDEX(COMPOS!$A$4:$G$801,MATCH($B41,COMPOS!$A$4:A$801,0),6))))</f>
        <v>0</v>
      </c>
      <c r="I41" s="276">
        <f t="shared" si="10"/>
        <v>35.97</v>
      </c>
      <c r="J41" s="276">
        <f t="shared" si="11"/>
        <v>251.79</v>
      </c>
      <c r="O41" s="256"/>
    </row>
    <row r="42" spans="1:669" ht="24" customHeight="1">
      <c r="A42" s="251" t="s">
        <v>6307</v>
      </c>
      <c r="B42" s="290">
        <v>772</v>
      </c>
      <c r="C42" s="301" t="str">
        <f>(IF($A42="SINAPI",INDEX(SINAPI_NOV2020_NDES!$A$7:$H$6703,MATCH($B42,SINAPI_NOV2020_NDES!$A$7:$A$6703,0),2),IF($A42="GOINFRA",INDEX(#REF!,MATCH($B42,#REF!,0),2),(INDEX(COMPOS!$A$4:$G$390,MATCH($B42,COMPOS!$A$4:A$390,0),2)))))</f>
        <v>DISJUNTOR DIFERENCIAL RESIDUAL (DDR) 50A - 30mA</v>
      </c>
      <c r="D42" s="274" t="str">
        <f>(IF($A42="SINAPI",INDEX(SINAPI_NOV2020_NDES!$A$7:$H$6790,MATCH($B42,SINAPI_NOV2020_NDES!$A$7:$A$6790,0),3),(INDEX(COMPOS!$A$4:$G$5000,MATCH($B42,COMPOS!$A$4:$A$5000,0),3))))</f>
        <v>UN</v>
      </c>
      <c r="E42" s="276">
        <v>2</v>
      </c>
      <c r="F42" s="276">
        <f>(IF($A42="SINAPI",INDEX(SINAPI_NOV2020_NDES!$A$7:$H$6703,MATCH($B42,SINAPI_NOV2020_NDES!$A$7:$A$6703,0),5),(INDEX(COMPOS!$A$4:$G$801,MATCH($B42,COMPOS!$A$4:A$801,0),4))))</f>
        <v>23.177999999999997</v>
      </c>
      <c r="G42" s="276">
        <f>(IF($A42="SINAPI",INDEX(SINAPI_NOV2020_NDES!$A$7:$H$6703,MATCH($B42,SINAPI_NOV2020_NDES!$A$7:$A$6703,0),6),(INDEX(COMPOS!$A$4:$G$801,MATCH($B42,COMPOS!$A$4:A$801,0),5))))</f>
        <v>265.68</v>
      </c>
      <c r="H42" s="276">
        <f>(IF($A42="SINAPI",INDEX(SINAPI_NOV2020_NDES!$A$7:$H$6703,MATCH($B42,SINAPI_NOV2020_NDES!$A$7:$A$6703,0),7),(INDEX(COMPOS!$A$4:$G$801,MATCH($B42,COMPOS!$A$4:A$801,0),6))))</f>
        <v>0</v>
      </c>
      <c r="I42" s="276">
        <f t="shared" si="10"/>
        <v>288.858</v>
      </c>
      <c r="J42" s="276">
        <f t="shared" si="11"/>
        <v>577.71600000000001</v>
      </c>
      <c r="O42" s="256"/>
    </row>
    <row r="43" spans="1:669" s="88" customFormat="1" ht="24" customHeight="1">
      <c r="A43" s="680" t="s">
        <v>6927</v>
      </c>
      <c r="B43" s="680"/>
      <c r="C43" s="680"/>
      <c r="D43" s="680"/>
      <c r="E43" s="680"/>
      <c r="F43" s="680"/>
      <c r="G43" s="680"/>
      <c r="H43" s="680"/>
      <c r="I43" s="680"/>
      <c r="J43" s="281">
        <f>SUM(J29:J42)</f>
        <v>3079.9189999999999</v>
      </c>
      <c r="K43" s="30"/>
      <c r="L43" s="30"/>
      <c r="M43" s="30"/>
      <c r="N43" s="30"/>
      <c r="O43" s="30"/>
      <c r="P43" s="258"/>
    </row>
    <row r="44" spans="1:669">
      <c r="A44" s="304"/>
      <c r="B44" s="299">
        <v>170</v>
      </c>
      <c r="C44" s="300" t="s">
        <v>604</v>
      </c>
      <c r="D44" s="274"/>
      <c r="E44" s="276"/>
      <c r="F44" s="276"/>
      <c r="G44" s="276"/>
      <c r="H44" s="276"/>
      <c r="I44" s="276"/>
      <c r="J44" s="276"/>
    </row>
    <row r="45" spans="1:669" ht="24" customHeight="1">
      <c r="A45" s="251" t="s">
        <v>7</v>
      </c>
      <c r="B45" s="290">
        <v>95469</v>
      </c>
      <c r="C45" s="301" t="str">
        <f>(IF($A45="SINAPI",INDEX(SINAPI_NOV2020_NDES!$A$7:$H$6703,MATCH($B45,SINAPI_NOV2020_NDES!$A$7:$A$6703,0),2),IF($A45="GOINFRA",INDEX(#REF!,MATCH($B45,#REF!,0),2),(INDEX(COMPOS!$A$4:$G$390,MATCH($B45,COMPOS!$A$4:A$390,0),2)))))</f>
        <v>VASO SANITARIO SIFONADO CONVENCIONAL COM  LOUÇA BRANCA - FORNECIMENTO E INSTALAÇÃO. AF_01/2020</v>
      </c>
      <c r="D45" s="274" t="str">
        <f>(IF($A45="SINAPI",INDEX(SINAPI_NOV2020_NDES!$A$7:$H$6790,MATCH($B45,SINAPI_NOV2020_NDES!$A$7:$A$6790,0),3),(INDEX(COMPOS!$A$4:$G$5000,MATCH($B45,COMPOS!$A$4:$A$5000,0),3))))</f>
        <v>UN</v>
      </c>
      <c r="E45" s="276">
        <v>2</v>
      </c>
      <c r="F45" s="276">
        <f>(IF($A45="SINAPI",INDEX(SINAPI_NOV2020_NDES!$A$7:$H$6703,MATCH($B45,SINAPI_NOV2020_NDES!$A$7:$A$6703,0),5),(INDEX(COMPOS!$A$4:$G$801,MATCH($B45,COMPOS!$A$4:A$801,0),4))))</f>
        <v>12.19</v>
      </c>
      <c r="G45" s="276">
        <f>(IF($A45="SINAPI",INDEX(SINAPI_NOV2020_NDES!$A$7:$H$6703,MATCH($B45,SINAPI_NOV2020_NDES!$A$7:$A$6703,0),6),(INDEX(COMPOS!$A$4:$G$801,MATCH($B45,COMPOS!$A$4:A$801,0),5))))</f>
        <v>155.57</v>
      </c>
      <c r="H45" s="276">
        <f>(IF($A45="SINAPI",INDEX(SINAPI_NOV2020_NDES!$A$7:$H$6703,MATCH($B45,SINAPI_NOV2020_NDES!$A$7:$A$6703,0),7),(INDEX(COMPOS!$A$4:$G$801,MATCH($B45,COMPOS!$A$4:A$801,0),6))))</f>
        <v>0</v>
      </c>
      <c r="I45" s="276">
        <f t="shared" ref="I45" si="12">SUM(F45:H45)</f>
        <v>167.76</v>
      </c>
      <c r="J45" s="276">
        <f t="shared" ref="J45" si="13">+I45*E45</f>
        <v>335.52</v>
      </c>
      <c r="O45" s="256"/>
    </row>
    <row r="46" spans="1:669" ht="15" customHeight="1">
      <c r="A46" s="251" t="s">
        <v>6307</v>
      </c>
      <c r="B46" s="290">
        <v>791</v>
      </c>
      <c r="C46" s="301" t="str">
        <f>(IF($A46="SINAPI",INDEX(SINAPI_NOV2020_NDES!$A$7:$H$6703,MATCH($B46,SINAPI_NOV2020_NDES!$A$7:$A$6703,0),2),IF($A46="GOINFRA",INDEX(#REF!,MATCH($B46,#REF!,0),2),(INDEX(COMPOS!$A$4:$G$390,MATCH($B46,COMPOS!$A$4:A$390,0),2)))))</f>
        <v>ANEL DE VEDAÇÃO PARA VASO SANITÁRIO</v>
      </c>
      <c r="D46" s="274" t="str">
        <f>(IF($A46="SINAPI",INDEX(SINAPI_NOV2020_NDES!$A$7:$H$6790,MATCH($B46,SINAPI_NOV2020_NDES!$A$7:$A$6790,0),3),(INDEX(COMPOS!$A$4:$G$5000,MATCH($B46,COMPOS!$A$4:$A$5000,0),3))))</f>
        <v>UN</v>
      </c>
      <c r="E46" s="276">
        <v>2</v>
      </c>
      <c r="F46" s="276">
        <f>(IF($A46="SINAPI",INDEX(SINAPI_NOV2020_NDES!$A$7:$H$6703,MATCH($B46,SINAPI_NOV2020_NDES!$A$7:$A$6703,0),5),(INDEX(COMPOS!$A$4:$G$801,MATCH($B46,COMPOS!$A$4:A$801,0),4))))</f>
        <v>5.6159999999999997</v>
      </c>
      <c r="G46" s="276">
        <f>(IF($A46="SINAPI",INDEX(SINAPI_NOV2020_NDES!$A$7:$H$6703,MATCH($B46,SINAPI_NOV2020_NDES!$A$7:$A$6703,0),6),(INDEX(COMPOS!$A$4:$G$801,MATCH($B46,COMPOS!$A$4:A$801,0),5))))</f>
        <v>1.69</v>
      </c>
      <c r="H46" s="276">
        <f>(IF($A46="SINAPI",INDEX(SINAPI_NOV2020_NDES!$A$7:$H$6703,MATCH($B46,SINAPI_NOV2020_NDES!$A$7:$A$6703,0),7),(INDEX(COMPOS!$A$4:$G$801,MATCH($B46,COMPOS!$A$4:A$801,0),6))))</f>
        <v>0</v>
      </c>
      <c r="I46" s="276">
        <f t="shared" ref="I46:I93" si="14">SUM(F46:H46)</f>
        <v>7.3059999999999992</v>
      </c>
      <c r="J46" s="276">
        <f t="shared" ref="J46:J93" si="15">+I46*E46</f>
        <v>14.611999999999998</v>
      </c>
      <c r="O46" s="256"/>
    </row>
    <row r="47" spans="1:669" ht="24" customHeight="1">
      <c r="A47" s="251" t="s">
        <v>7</v>
      </c>
      <c r="B47" s="290">
        <v>100849</v>
      </c>
      <c r="C47" s="301" t="str">
        <f>(IF($A47="SINAPI",INDEX(SINAPI_NOV2020_NDES!$A$7:$H$6703,MATCH($B47,SINAPI_NOV2020_NDES!$A$7:$A$6703,0),2),IF($A47="GOINFRA",INDEX(#REF!,MATCH($B47,#REF!,0),2),(INDEX(COMPOS!$A$4:$G$390,MATCH($B47,COMPOS!$A$4:A$390,0),2)))))</f>
        <v>ASSENTO SANITÁRIO CONVENCIONAL - FORNECIMENTO E INSTALACAO. AF_01/2020</v>
      </c>
      <c r="D47" s="274" t="str">
        <f>(IF($A47="SINAPI",INDEX(SINAPI_NOV2020_NDES!$A$7:$H$6790,MATCH($B47,SINAPI_NOV2020_NDES!$A$7:$A$6790,0),3),(INDEX(COMPOS!$A$4:$G$5000,MATCH($B47,COMPOS!$A$4:$A$5000,0),3))))</f>
        <v>UN</v>
      </c>
      <c r="E47" s="276">
        <v>2</v>
      </c>
      <c r="F47" s="276">
        <f>(IF($A47="SINAPI",INDEX(SINAPI_NOV2020_NDES!$A$7:$H$6703,MATCH($B47,SINAPI_NOV2020_NDES!$A$7:$A$6703,0),5),(INDEX(COMPOS!$A$4:$G$801,MATCH($B47,COMPOS!$A$4:A$801,0),4))))</f>
        <v>3.12</v>
      </c>
      <c r="G47" s="276">
        <f>(IF($A47="SINAPI",INDEX(SINAPI_NOV2020_NDES!$A$7:$H$6703,MATCH($B47,SINAPI_NOV2020_NDES!$A$7:$A$6703,0),6),(INDEX(COMPOS!$A$4:$G$801,MATCH($B47,COMPOS!$A$4:A$801,0),5))))</f>
        <v>25.86</v>
      </c>
      <c r="H47" s="276">
        <f>(IF($A47="SINAPI",INDEX(SINAPI_NOV2020_NDES!$A$7:$H$6703,MATCH($B47,SINAPI_NOV2020_NDES!$A$7:$A$6703,0),7),(INDEX(COMPOS!$A$4:$G$801,MATCH($B47,COMPOS!$A$4:A$801,0),6))))</f>
        <v>0</v>
      </c>
      <c r="I47" s="276">
        <f t="shared" si="14"/>
        <v>28.98</v>
      </c>
      <c r="J47" s="276">
        <f t="shared" si="15"/>
        <v>57.96</v>
      </c>
      <c r="O47" s="256"/>
    </row>
    <row r="48" spans="1:669" ht="24" customHeight="1">
      <c r="A48" s="251" t="s">
        <v>7</v>
      </c>
      <c r="B48" s="290">
        <v>99635</v>
      </c>
      <c r="C48" s="301" t="str">
        <f>(IF($A48="SINAPI",INDEX(SINAPI_NOV2020_NDES!$A$7:$H$6703,MATCH($B48,SINAPI_NOV2020_NDES!$A$7:$A$6703,0),2),IF($A48="GOINFRA",INDEX(#REF!,MATCH($B48,#REF!,0),2),(INDEX(COMPOS!$A$4:$G$390,MATCH($B48,COMPOS!$A$4:A$390,0),2)))))</f>
        <v>VÁLVULA DE DESCARGA METÁLICA, BASE 1 1/2 ", ACABAMENTO METALICO CROMADO - FORNECIMENTO E INSTALAÇÃO. AF_01/2019</v>
      </c>
      <c r="D48" s="274" t="str">
        <f>(IF($A48="SINAPI",INDEX(SINAPI_NOV2020_NDES!$A$7:$H$6790,MATCH($B48,SINAPI_NOV2020_NDES!$A$7:$A$6790,0),3),(INDEX(COMPOS!$A$4:$G$5000,MATCH($B48,COMPOS!$A$4:$A$5000,0),3))))</f>
        <v>UN</v>
      </c>
      <c r="E48" s="276">
        <v>2</v>
      </c>
      <c r="F48" s="276">
        <f>(IF($A48="SINAPI",INDEX(SINAPI_NOV2020_NDES!$A$7:$H$6703,MATCH($B48,SINAPI_NOV2020_NDES!$A$7:$A$6703,0),5),(INDEX(COMPOS!$A$4:$G$801,MATCH($B48,COMPOS!$A$4:A$801,0),4))))</f>
        <v>23</v>
      </c>
      <c r="G48" s="276">
        <f>(IF($A48="SINAPI",INDEX(SINAPI_NOV2020_NDES!$A$7:$H$6703,MATCH($B48,SINAPI_NOV2020_NDES!$A$7:$A$6703,0),6),(INDEX(COMPOS!$A$4:$G$801,MATCH($B48,COMPOS!$A$4:A$801,0),5))))</f>
        <v>158.25</v>
      </c>
      <c r="H48" s="276">
        <f>(IF($A48="SINAPI",INDEX(SINAPI_NOV2020_NDES!$A$7:$H$6703,MATCH($B48,SINAPI_NOV2020_NDES!$A$7:$A$6703,0),7),(INDEX(COMPOS!$A$4:$G$801,MATCH($B48,COMPOS!$A$4:A$801,0),6))))</f>
        <v>0</v>
      </c>
      <c r="I48" s="276">
        <f t="shared" si="14"/>
        <v>181.25</v>
      </c>
      <c r="J48" s="276">
        <f t="shared" si="15"/>
        <v>362.5</v>
      </c>
      <c r="O48" s="256"/>
    </row>
    <row r="49" spans="1:15" ht="15" customHeight="1">
      <c r="A49" s="251" t="s">
        <v>6307</v>
      </c>
      <c r="B49" s="290">
        <v>323</v>
      </c>
      <c r="C49" s="301" t="str">
        <f>(IF($A49="SINAPI",INDEX(SINAPI_NOV2020_NDES!$A$7:$H$6703,MATCH($B49,SINAPI_NOV2020_NDES!$A$7:$A$6703,0),2),IF($A49="GOINFRA",INDEX(#REF!,MATCH($B49,#REF!,0),2),(INDEX(COMPOS!$A$4:$G$390,MATCH($B49,COMPOS!$A$4:A$390,0),2)))))</f>
        <v>TUBO PARA VÁLVULA DE DESCARGA CURTO 1.1/4''</v>
      </c>
      <c r="D49" s="274" t="str">
        <f>(IF($A49="SINAPI",INDEX(SINAPI_NOV2020_NDES!$A$7:$H$6790,MATCH($B49,SINAPI_NOV2020_NDES!$A$7:$A$6790,0),3),(INDEX(COMPOS!$A$4:$G$5000,MATCH($B49,COMPOS!$A$4:$A$5000,0),3))))</f>
        <v>UN</v>
      </c>
      <c r="E49" s="276">
        <v>2</v>
      </c>
      <c r="F49" s="276">
        <f>(IF($A49="SINAPI",INDEX(SINAPI_NOV2020_NDES!$A$7:$H$6703,MATCH($B49,SINAPI_NOV2020_NDES!$A$7:$A$6703,0),5),(INDEX(COMPOS!$A$4:$G$801,MATCH($B49,COMPOS!$A$4:A$801,0),4))))</f>
        <v>11.9808</v>
      </c>
      <c r="G49" s="276">
        <f>(IF($A49="SINAPI",INDEX(SINAPI_NOV2020_NDES!$A$7:$H$6703,MATCH($B49,SINAPI_NOV2020_NDES!$A$7:$A$6703,0),6),(INDEX(COMPOS!$A$4:$G$801,MATCH($B49,COMPOS!$A$4:A$801,0),5))))</f>
        <v>5.94</v>
      </c>
      <c r="H49" s="276">
        <f>(IF($A49="SINAPI",INDEX(SINAPI_NOV2020_NDES!$A$7:$H$6703,MATCH($B49,SINAPI_NOV2020_NDES!$A$7:$A$6703,0),7),(INDEX(COMPOS!$A$4:$G$801,MATCH($B49,COMPOS!$A$4:A$801,0),6))))</f>
        <v>0</v>
      </c>
      <c r="I49" s="276">
        <f t="shared" si="14"/>
        <v>17.9208</v>
      </c>
      <c r="J49" s="276">
        <f t="shared" si="15"/>
        <v>35.8416</v>
      </c>
      <c r="O49" s="256"/>
    </row>
    <row r="50" spans="1:15" ht="15" customHeight="1">
      <c r="A50" s="251" t="s">
        <v>6307</v>
      </c>
      <c r="B50" s="290">
        <v>324</v>
      </c>
      <c r="C50" s="301" t="str">
        <f>(IF($A50="SINAPI",INDEX(SINAPI_NOV2020_NDES!$A$7:$H$6703,MATCH($B50,SINAPI_NOV2020_NDES!$A$7:$A$6703,0),2),IF($A50="GOINFRA",INDEX(#REF!,MATCH($B50,#REF!,0),2),(INDEX(COMPOS!$A$4:$G$390,MATCH($B50,COMPOS!$A$4:A$390,0),2)))))</f>
        <v>TUBO DE LIGAÇÃO PVC CROMADO 1.1/2'' – ESPUDE (ENTRADA)</v>
      </c>
      <c r="D50" s="274" t="str">
        <f>(IF($A50="SINAPI",INDEX(SINAPI_NOV2020_NDES!$A$7:$H$6790,MATCH($B50,SINAPI_NOV2020_NDES!$A$7:$A$6790,0),3),(INDEX(COMPOS!$A$4:$G$5000,MATCH($B50,COMPOS!$A$4:$A$5000,0),3))))</f>
        <v>UN</v>
      </c>
      <c r="E50" s="276">
        <v>2</v>
      </c>
      <c r="F50" s="276">
        <f>(IF($A50="SINAPI",INDEX(SINAPI_NOV2020_NDES!$A$7:$H$6703,MATCH($B50,SINAPI_NOV2020_NDES!$A$7:$A$6703,0),5),(INDEX(COMPOS!$A$4:$G$801,MATCH($B50,COMPOS!$A$4:A$801,0),4))))</f>
        <v>5.2416</v>
      </c>
      <c r="G50" s="276">
        <f>(IF($A50="SINAPI",INDEX(SINAPI_NOV2020_NDES!$A$7:$H$6703,MATCH($B50,SINAPI_NOV2020_NDES!$A$7:$A$6703,0),6),(INDEX(COMPOS!$A$4:$G$801,MATCH($B50,COMPOS!$A$4:A$801,0),5))))</f>
        <v>5.89</v>
      </c>
      <c r="H50" s="276">
        <f>(IF($A50="SINAPI",INDEX(SINAPI_NOV2020_NDES!$A$7:$H$6703,MATCH($B50,SINAPI_NOV2020_NDES!$A$7:$A$6703,0),7),(INDEX(COMPOS!$A$4:$G$801,MATCH($B50,COMPOS!$A$4:A$801,0),6))))</f>
        <v>0</v>
      </c>
      <c r="I50" s="276">
        <f t="shared" si="14"/>
        <v>11.131599999999999</v>
      </c>
      <c r="J50" s="276">
        <f t="shared" si="15"/>
        <v>22.263199999999998</v>
      </c>
      <c r="O50" s="256"/>
    </row>
    <row r="51" spans="1:15" ht="24" customHeight="1">
      <c r="A51" s="251" t="s">
        <v>7</v>
      </c>
      <c r="B51" s="290">
        <v>86906</v>
      </c>
      <c r="C51" s="301" t="str">
        <f>(IF($A51="SINAPI",INDEX(SINAPI_NOV2020_NDES!$A$7:$H$6703,MATCH($B51,SINAPI_NOV2020_NDES!$A$7:$A$6703,0),2),IF($A51="GOINFRA",INDEX(#REF!,MATCH($B51,#REF!,0),2),(INDEX(COMPOS!$A$4:$G$390,MATCH($B51,COMPOS!$A$4:A$390,0),2)))))</f>
        <v>TORNEIRA CROMADA DE MESA, 1/2 OU 3/4, PARA LAVATÓRIO, PADRÃO POPULAR - FORNECIMENTO E INSTALAÇÃO. AF_01/2020</v>
      </c>
      <c r="D51" s="274" t="str">
        <f>(IF($A51="SINAPI",INDEX(SINAPI_NOV2020_NDES!$A$7:$H$6790,MATCH($B51,SINAPI_NOV2020_NDES!$A$7:$A$6790,0),3),(INDEX(COMPOS!$A$4:$G$5000,MATCH($B51,COMPOS!$A$4:$A$5000,0),3))))</f>
        <v>UN</v>
      </c>
      <c r="E51" s="276">
        <v>2</v>
      </c>
      <c r="F51" s="276">
        <f>(IF($A51="SINAPI",INDEX(SINAPI_NOV2020_NDES!$A$7:$H$6703,MATCH($B51,SINAPI_NOV2020_NDES!$A$7:$A$6703,0),5),(INDEX(COMPOS!$A$4:$G$801,MATCH($B51,COMPOS!$A$4:A$801,0),4))))</f>
        <v>1.94</v>
      </c>
      <c r="G51" s="276">
        <f>(IF($A51="SINAPI",INDEX(SINAPI_NOV2020_NDES!$A$7:$H$6703,MATCH($B51,SINAPI_NOV2020_NDES!$A$7:$A$6703,0),6),(INDEX(COMPOS!$A$4:$G$801,MATCH($B51,COMPOS!$A$4:A$801,0),5))))</f>
        <v>41.22</v>
      </c>
      <c r="H51" s="276">
        <f>(IF($A51="SINAPI",INDEX(SINAPI_NOV2020_NDES!$A$7:$H$6703,MATCH($B51,SINAPI_NOV2020_NDES!$A$7:$A$6703,0),7),(INDEX(COMPOS!$A$4:$G$801,MATCH($B51,COMPOS!$A$4:A$801,0),6))))</f>
        <v>0</v>
      </c>
      <c r="I51" s="276">
        <f t="shared" si="14"/>
        <v>43.16</v>
      </c>
      <c r="J51" s="276">
        <f t="shared" si="15"/>
        <v>86.32</v>
      </c>
      <c r="O51" s="256"/>
    </row>
    <row r="52" spans="1:15" ht="24" customHeight="1">
      <c r="A52" s="251" t="s">
        <v>7</v>
      </c>
      <c r="B52" s="290">
        <v>86883</v>
      </c>
      <c r="C52" s="301" t="str">
        <f>(IF($A52="SINAPI",INDEX(SINAPI_NOV2020_NDES!$A$7:$H$6703,MATCH($B52,SINAPI_NOV2020_NDES!$A$7:$A$6703,0),2),IF($A52="GOINFRA",INDEX(#REF!,MATCH($B52,#REF!,0),2),(INDEX(COMPOS!$A$4:$G$390,MATCH($B52,COMPOS!$A$4:A$390,0),2)))))</f>
        <v>SIFÃO DO TIPO FLEXÍVEL EM PVC 1  X 1.1/2  - FORNECIMENTO E INSTALAÇÃO. AF_01/2020</v>
      </c>
      <c r="D52" s="274" t="str">
        <f>(IF($A52="SINAPI",INDEX(SINAPI_NOV2020_NDES!$A$7:$H$6790,MATCH($B52,SINAPI_NOV2020_NDES!$A$7:$A$6790,0),3),(INDEX(COMPOS!$A$4:$G$5000,MATCH($B52,COMPOS!$A$4:$A$5000,0),3))))</f>
        <v>UN</v>
      </c>
      <c r="E52" s="276">
        <v>2</v>
      </c>
      <c r="F52" s="276">
        <f>(IF($A52="SINAPI",INDEX(SINAPI_NOV2020_NDES!$A$7:$H$6703,MATCH($B52,SINAPI_NOV2020_NDES!$A$7:$A$6703,0),5),(INDEX(COMPOS!$A$4:$G$801,MATCH($B52,COMPOS!$A$4:A$801,0),4))))</f>
        <v>1.71</v>
      </c>
      <c r="G52" s="276">
        <f>(IF($A52="SINAPI",INDEX(SINAPI_NOV2020_NDES!$A$7:$H$6703,MATCH($B52,SINAPI_NOV2020_NDES!$A$7:$A$6703,0),6),(INDEX(COMPOS!$A$4:$G$801,MATCH($B52,COMPOS!$A$4:A$801,0),5))))</f>
        <v>7.6</v>
      </c>
      <c r="H52" s="276">
        <f>(IF($A52="SINAPI",INDEX(SINAPI_NOV2020_NDES!$A$7:$H$6703,MATCH($B52,SINAPI_NOV2020_NDES!$A$7:$A$6703,0),7),(INDEX(COMPOS!$A$4:$G$801,MATCH($B52,COMPOS!$A$4:A$801,0),6))))</f>
        <v>0</v>
      </c>
      <c r="I52" s="276">
        <f t="shared" si="14"/>
        <v>9.3099999999999987</v>
      </c>
      <c r="J52" s="276">
        <f t="shared" si="15"/>
        <v>18.619999999999997</v>
      </c>
      <c r="O52" s="256"/>
    </row>
    <row r="53" spans="1:15" ht="36" customHeight="1">
      <c r="A53" s="251" t="s">
        <v>7</v>
      </c>
      <c r="B53" s="290">
        <v>86877</v>
      </c>
      <c r="C53" s="301" t="str">
        <f>(IF($A53="SINAPI",INDEX(SINAPI_NOV2020_NDES!$A$7:$H$6703,MATCH($B53,SINAPI_NOV2020_NDES!$A$7:$A$6703,0),2),IF($A53="GOINFRA",INDEX(#REF!,MATCH($B53,#REF!,0),2),(INDEX(COMPOS!$A$4:$G$390,MATCH($B53,COMPOS!$A$4:A$390,0),2)))))</f>
        <v>VÁLVULA EM METAL CROMADO 1.1/2 X 1.1/2 PARA TANQUE OU LAVATÓRIO, COM OU SEM LADRÃO - FORNECIMENTO E INSTALAÇÃO. AF_01/2020</v>
      </c>
      <c r="D53" s="274" t="str">
        <f>(IF($A53="SINAPI",INDEX(SINAPI_NOV2020_NDES!$A$7:$H$6790,MATCH($B53,SINAPI_NOV2020_NDES!$A$7:$A$6790,0),3),(INDEX(COMPOS!$A$4:$G$5000,MATCH($B53,COMPOS!$A$4:$A$5000,0),3))))</f>
        <v>UN</v>
      </c>
      <c r="E53" s="276">
        <v>2</v>
      </c>
      <c r="F53" s="276">
        <f>(IF($A53="SINAPI",INDEX(SINAPI_NOV2020_NDES!$A$7:$H$6703,MATCH($B53,SINAPI_NOV2020_NDES!$A$7:$A$6703,0),5),(INDEX(COMPOS!$A$4:$G$801,MATCH($B53,COMPOS!$A$4:A$801,0),4))))</f>
        <v>3.54</v>
      </c>
      <c r="G53" s="276">
        <f>(IF($A53="SINAPI",INDEX(SINAPI_NOV2020_NDES!$A$7:$H$6703,MATCH($B53,SINAPI_NOV2020_NDES!$A$7:$A$6703,0),6),(INDEX(COMPOS!$A$4:$G$801,MATCH($B53,COMPOS!$A$4:A$801,0),5))))</f>
        <v>19.5</v>
      </c>
      <c r="H53" s="276">
        <f>(IF($A53="SINAPI",INDEX(SINAPI_NOV2020_NDES!$A$7:$H$6703,MATCH($B53,SINAPI_NOV2020_NDES!$A$7:$A$6703,0),7),(INDEX(COMPOS!$A$4:$G$801,MATCH($B53,COMPOS!$A$4:A$801,0),6))))</f>
        <v>0</v>
      </c>
      <c r="I53" s="276">
        <f t="shared" si="14"/>
        <v>23.04</v>
      </c>
      <c r="J53" s="276">
        <f t="shared" si="15"/>
        <v>46.08</v>
      </c>
      <c r="O53" s="256"/>
    </row>
    <row r="54" spans="1:15" ht="36" customHeight="1">
      <c r="A54" s="251" t="s">
        <v>7</v>
      </c>
      <c r="B54" s="290">
        <v>89596</v>
      </c>
      <c r="C54" s="301" t="str">
        <f>(IF($A54="SINAPI",INDEX(SINAPI_NOV2020_NDES!$A$7:$H$6703,MATCH($B54,SINAPI_NOV2020_NDES!$A$7:$A$6703,0),2),IF($A54="GOINFRA",INDEX(#REF!,MATCH($B54,#REF!,0),2),(INDEX(COMPOS!$A$4:$G$390,MATCH($B54,COMPOS!$A$4:A$390,0),2)))))</f>
        <v>ADAPTADOR CURTO COM BOLSA E ROSCA PARA REGISTRO, PVC, SOLDÁVEL, DN 50MM X 1.1/2, INSTALADO EM PRUMADA DE ÁGUA - FORNECIMENTO E INSTALAÇÃO. AF_12/2014</v>
      </c>
      <c r="D54" s="274" t="str">
        <f>(IF($A54="SINAPI",INDEX(SINAPI_NOV2020_NDES!$A$7:$H$6790,MATCH($B54,SINAPI_NOV2020_NDES!$A$7:$A$6790,0),3),(INDEX(COMPOS!$A$4:$G$5000,MATCH($B54,COMPOS!$A$4:$A$5000,0),3))))</f>
        <v>UN</v>
      </c>
      <c r="E54" s="276">
        <v>2</v>
      </c>
      <c r="F54" s="276">
        <f>(IF($A54="SINAPI",INDEX(SINAPI_NOV2020_NDES!$A$7:$H$6703,MATCH($B54,SINAPI_NOV2020_NDES!$A$7:$A$6703,0),5),(INDEX(COMPOS!$A$4:$G$801,MATCH($B54,COMPOS!$A$4:A$801,0),4))))</f>
        <v>2.1</v>
      </c>
      <c r="G54" s="276">
        <f>(IF($A54="SINAPI",INDEX(SINAPI_NOV2020_NDES!$A$7:$H$6703,MATCH($B54,SINAPI_NOV2020_NDES!$A$7:$A$6703,0),6),(INDEX(COMPOS!$A$4:$G$801,MATCH($B54,COMPOS!$A$4:A$801,0),5))))</f>
        <v>6.46</v>
      </c>
      <c r="H54" s="276">
        <f>(IF($A54="SINAPI",INDEX(SINAPI_NOV2020_NDES!$A$7:$H$6703,MATCH($B54,SINAPI_NOV2020_NDES!$A$7:$A$6703,0),7),(INDEX(COMPOS!$A$4:$G$801,MATCH($B54,COMPOS!$A$4:A$801,0),6))))</f>
        <v>0</v>
      </c>
      <c r="I54" s="276">
        <f t="shared" si="14"/>
        <v>8.56</v>
      </c>
      <c r="J54" s="276">
        <f t="shared" si="15"/>
        <v>17.12</v>
      </c>
      <c r="O54" s="256"/>
    </row>
    <row r="55" spans="1:15" ht="24" customHeight="1">
      <c r="A55" s="251" t="s">
        <v>7</v>
      </c>
      <c r="B55" s="290">
        <v>100860</v>
      </c>
      <c r="C55" s="301" t="str">
        <f>(IF($A55="SINAPI",INDEX(SINAPI_NOV2020_NDES!$A$7:$H$6703,MATCH($B55,SINAPI_NOV2020_NDES!$A$7:$A$6703,0),2),IF($A55="GOINFRA",INDEX(#REF!,MATCH($B55,#REF!,0),2),(INDEX(COMPOS!$A$4:$G$390,MATCH($B55,COMPOS!$A$4:A$390,0),2)))))</f>
        <v>CHUVEIRO ELÉTRICO COMUM CORPO PLÁSTICO, TIPO DUCHA  FORNECIMENTO E INSTALAÇÃO. AF_01/2020</v>
      </c>
      <c r="D55" s="274" t="str">
        <f>(IF($A55="SINAPI",INDEX(SINAPI_NOV2020_NDES!$A$7:$H$6790,MATCH($B55,SINAPI_NOV2020_NDES!$A$7:$A$6790,0),3),(INDEX(COMPOS!$A$4:$G$5000,MATCH($B55,COMPOS!$A$4:$A$5000,0),3))))</f>
        <v>UN</v>
      </c>
      <c r="E55" s="276">
        <v>2</v>
      </c>
      <c r="F55" s="276">
        <f>(IF($A55="SINAPI",INDEX(SINAPI_NOV2020_NDES!$A$7:$H$6703,MATCH($B55,SINAPI_NOV2020_NDES!$A$7:$A$6703,0),5),(INDEX(COMPOS!$A$4:$G$801,MATCH($B55,COMPOS!$A$4:A$801,0),4))))</f>
        <v>9.1199999999999992</v>
      </c>
      <c r="G55" s="276">
        <f>(IF($A55="SINAPI",INDEX(SINAPI_NOV2020_NDES!$A$7:$H$6703,MATCH($B55,SINAPI_NOV2020_NDES!$A$7:$A$6703,0),6),(INDEX(COMPOS!$A$4:$G$801,MATCH($B55,COMPOS!$A$4:A$801,0),5))))</f>
        <v>57.45</v>
      </c>
      <c r="H55" s="276">
        <f>(IF($A55="SINAPI",INDEX(SINAPI_NOV2020_NDES!$A$7:$H$6703,MATCH($B55,SINAPI_NOV2020_NDES!$A$7:$A$6703,0),7),(INDEX(COMPOS!$A$4:$G$801,MATCH($B55,COMPOS!$A$4:A$801,0),6))))</f>
        <v>0</v>
      </c>
      <c r="I55" s="276">
        <f t="shared" si="14"/>
        <v>66.570000000000007</v>
      </c>
      <c r="J55" s="276">
        <f t="shared" si="15"/>
        <v>133.14000000000001</v>
      </c>
      <c r="O55" s="256"/>
    </row>
    <row r="56" spans="1:15" ht="24" customHeight="1">
      <c r="A56" s="251" t="s">
        <v>7</v>
      </c>
      <c r="B56" s="290">
        <v>86885</v>
      </c>
      <c r="C56" s="301" t="str">
        <f>(IF($A56="SINAPI",INDEX(SINAPI_NOV2020_NDES!$A$7:$H$6703,MATCH($B56,SINAPI_NOV2020_NDES!$A$7:$A$6703,0),2),IF($A56="GOINFRA",INDEX(#REF!,MATCH($B56,#REF!,0),2),(INDEX(COMPOS!$A$4:$G$390,MATCH($B56,COMPOS!$A$4:A$390,0),2)))))</f>
        <v>ENGATE FLEXÍVEL EM PLÁSTICO BRANCO, 1/2 X 40CM - FORNECIMENTO E INSTALAÇÃO. AF_01/2020</v>
      </c>
      <c r="D56" s="274" t="str">
        <f>(IF($A56="SINAPI",INDEX(SINAPI_NOV2020_NDES!$A$7:$H$6790,MATCH($B56,SINAPI_NOV2020_NDES!$A$7:$A$6790,0),3),(INDEX(COMPOS!$A$4:$G$5000,MATCH($B56,COMPOS!$A$4:$A$5000,0),3))))</f>
        <v>UN</v>
      </c>
      <c r="E56" s="276">
        <v>2</v>
      </c>
      <c r="F56" s="276">
        <f>(IF($A56="SINAPI",INDEX(SINAPI_NOV2020_NDES!$A$7:$H$6703,MATCH($B56,SINAPI_NOV2020_NDES!$A$7:$A$6703,0),5),(INDEX(COMPOS!$A$4:$G$801,MATCH($B56,COMPOS!$A$4:A$801,0),4))))</f>
        <v>3.12</v>
      </c>
      <c r="G56" s="276">
        <f>(IF($A56="SINAPI",INDEX(SINAPI_NOV2020_NDES!$A$7:$H$6703,MATCH($B56,SINAPI_NOV2020_NDES!$A$7:$A$6703,0),6),(INDEX(COMPOS!$A$4:$G$801,MATCH($B56,COMPOS!$A$4:A$801,0),5))))</f>
        <v>6.03</v>
      </c>
      <c r="H56" s="276">
        <f>(IF($A56="SINAPI",INDEX(SINAPI_NOV2020_NDES!$A$7:$H$6703,MATCH($B56,SINAPI_NOV2020_NDES!$A$7:$A$6703,0),7),(INDEX(COMPOS!$A$4:$G$801,MATCH($B56,COMPOS!$A$4:A$801,0),6))))</f>
        <v>0</v>
      </c>
      <c r="I56" s="276">
        <f t="shared" si="14"/>
        <v>9.15</v>
      </c>
      <c r="J56" s="276">
        <f t="shared" si="15"/>
        <v>18.3</v>
      </c>
      <c r="O56" s="256"/>
    </row>
    <row r="57" spans="1:15" ht="24" customHeight="1">
      <c r="A57" s="251" t="s">
        <v>7</v>
      </c>
      <c r="B57" s="290">
        <v>86901</v>
      </c>
      <c r="C57" s="301" t="str">
        <f>(IF($A57="SINAPI",INDEX(SINAPI_NOV2020_NDES!$A$7:$H$6703,MATCH($B57,SINAPI_NOV2020_NDES!$A$7:$A$6703,0),2),IF($A57="GOINFRA",INDEX(#REF!,MATCH($B57,#REF!,0),2),(INDEX(COMPOS!$A$4:$G$390,MATCH($B57,COMPOS!$A$4:A$390,0),2)))))</f>
        <v>CUBA DE EMBUTIR OVAL EM LOUÇA BRANCA, 35 X 50CM OU EQUIVALENTE - FORNECIMENTO E INSTALAÇÃO. AF_01/2020</v>
      </c>
      <c r="D57" s="274" t="str">
        <f>(IF($A57="SINAPI",INDEX(SINAPI_NOV2020_NDES!$A$7:$H$6790,MATCH($B57,SINAPI_NOV2020_NDES!$A$7:$A$6790,0),3),(INDEX(COMPOS!$A$4:$G$5000,MATCH($B57,COMPOS!$A$4:$A$5000,0),3))))</f>
        <v>UN</v>
      </c>
      <c r="E57" s="276">
        <v>1</v>
      </c>
      <c r="F57" s="276">
        <f>(IF($A57="SINAPI",INDEX(SINAPI_NOV2020_NDES!$A$7:$H$6703,MATCH($B57,SINAPI_NOV2020_NDES!$A$7:$A$6703,0),5),(INDEX(COMPOS!$A$4:$G$801,MATCH($B57,COMPOS!$A$4:A$801,0),4))))</f>
        <v>16.93</v>
      </c>
      <c r="G57" s="276">
        <f>(IF($A57="SINAPI",INDEX(SINAPI_NOV2020_NDES!$A$7:$H$6703,MATCH($B57,SINAPI_NOV2020_NDES!$A$7:$A$6703,0),6),(INDEX(COMPOS!$A$4:$G$801,MATCH($B57,COMPOS!$A$4:A$801,0),5))))</f>
        <v>98.56</v>
      </c>
      <c r="H57" s="276">
        <f>(IF($A57="SINAPI",INDEX(SINAPI_NOV2020_NDES!$A$7:$H$6703,MATCH($B57,SINAPI_NOV2020_NDES!$A$7:$A$6703,0),7),(INDEX(COMPOS!$A$4:$G$801,MATCH($B57,COMPOS!$A$4:A$801,0),6))))</f>
        <v>0</v>
      </c>
      <c r="I57" s="276">
        <f t="shared" si="14"/>
        <v>115.49000000000001</v>
      </c>
      <c r="J57" s="276">
        <f t="shared" si="15"/>
        <v>115.49000000000001</v>
      </c>
      <c r="O57" s="256"/>
    </row>
    <row r="58" spans="1:15" ht="24" customHeight="1">
      <c r="A58" s="251" t="s">
        <v>7</v>
      </c>
      <c r="B58" s="290">
        <v>95544</v>
      </c>
      <c r="C58" s="301" t="str">
        <f>(IF($A58="SINAPI",INDEX(SINAPI_NOV2020_NDES!$A$7:$H$6703,MATCH($B58,SINAPI_NOV2020_NDES!$A$7:$A$6703,0),2),IF($A58="GOINFRA",INDEX(#REF!,MATCH($B58,#REF!,0),2),(INDEX(COMPOS!$A$4:$G$390,MATCH($B58,COMPOS!$A$4:A$390,0),2)))))</f>
        <v>PAPELEIRA DE PAREDE EM METAL CROMADO SEM TAMPA, INCLUSO FIXAÇÃO. AF_01/2020</v>
      </c>
      <c r="D58" s="274" t="str">
        <f>(IF($A58="SINAPI",INDEX(SINAPI_NOV2020_NDES!$A$7:$H$6790,MATCH($B58,SINAPI_NOV2020_NDES!$A$7:$A$6790,0),3),(INDEX(COMPOS!$A$4:$G$5000,MATCH($B58,COMPOS!$A$4:$A$5000,0),3))))</f>
        <v>UN</v>
      </c>
      <c r="E58" s="276">
        <v>2</v>
      </c>
      <c r="F58" s="276">
        <f>(IF($A58="SINAPI",INDEX(SINAPI_NOV2020_NDES!$A$7:$H$6703,MATCH($B58,SINAPI_NOV2020_NDES!$A$7:$A$6703,0),5),(INDEX(COMPOS!$A$4:$G$801,MATCH($B58,COMPOS!$A$4:A$801,0),4))))</f>
        <v>6.45</v>
      </c>
      <c r="G58" s="276">
        <f>(IF($A58="SINAPI",INDEX(SINAPI_NOV2020_NDES!$A$7:$H$6703,MATCH($B58,SINAPI_NOV2020_NDES!$A$7:$A$6703,0),6),(INDEX(COMPOS!$A$4:$G$801,MATCH($B58,COMPOS!$A$4:A$801,0),5))))</f>
        <v>22.21</v>
      </c>
      <c r="H58" s="276">
        <f>(IF($A58="SINAPI",INDEX(SINAPI_NOV2020_NDES!$A$7:$H$6703,MATCH($B58,SINAPI_NOV2020_NDES!$A$7:$A$6703,0),7),(INDEX(COMPOS!$A$4:$G$801,MATCH($B58,COMPOS!$A$4:A$801,0),6))))</f>
        <v>0</v>
      </c>
      <c r="I58" s="276">
        <f t="shared" si="14"/>
        <v>28.66</v>
      </c>
      <c r="J58" s="276">
        <f t="shared" si="15"/>
        <v>57.32</v>
      </c>
      <c r="O58" s="256"/>
    </row>
    <row r="59" spans="1:15" ht="24" customHeight="1">
      <c r="A59" s="251" t="s">
        <v>7</v>
      </c>
      <c r="B59" s="290">
        <v>95545</v>
      </c>
      <c r="C59" s="301" t="str">
        <f>(IF($A59="SINAPI",INDEX(SINAPI_NOV2020_NDES!$A$7:$H$6703,MATCH($B59,SINAPI_NOV2020_NDES!$A$7:$A$6703,0),2),IF($A59="GOINFRA",INDEX(#REF!,MATCH($B59,#REF!,0),2),(INDEX(COMPOS!$A$4:$G$390,MATCH($B59,COMPOS!$A$4:A$390,0),2)))))</f>
        <v>SABONETEIRA DE PAREDE EM METAL CROMADO, INCLUSO FIXAÇÃO. AF_01/2020</v>
      </c>
      <c r="D59" s="274" t="str">
        <f>(IF($A59="SINAPI",INDEX(SINAPI_NOV2020_NDES!$A$7:$H$6790,MATCH($B59,SINAPI_NOV2020_NDES!$A$7:$A$6790,0),3),(INDEX(COMPOS!$A$4:$G$5000,MATCH($B59,COMPOS!$A$4:$A$5000,0),3))))</f>
        <v>UN</v>
      </c>
      <c r="E59" s="276">
        <v>2</v>
      </c>
      <c r="F59" s="276">
        <f>(IF($A59="SINAPI",INDEX(SINAPI_NOV2020_NDES!$A$7:$H$6703,MATCH($B59,SINAPI_NOV2020_NDES!$A$7:$A$6703,0),5),(INDEX(COMPOS!$A$4:$G$801,MATCH($B59,COMPOS!$A$4:A$801,0),4))))</f>
        <v>6.45</v>
      </c>
      <c r="G59" s="276">
        <f>(IF($A59="SINAPI",INDEX(SINAPI_NOV2020_NDES!$A$7:$H$6703,MATCH($B59,SINAPI_NOV2020_NDES!$A$7:$A$6703,0),6),(INDEX(COMPOS!$A$4:$G$801,MATCH($B59,COMPOS!$A$4:A$801,0),5))))</f>
        <v>21.7</v>
      </c>
      <c r="H59" s="276">
        <f>(IF($A59="SINAPI",INDEX(SINAPI_NOV2020_NDES!$A$7:$H$6703,MATCH($B59,SINAPI_NOV2020_NDES!$A$7:$A$6703,0),7),(INDEX(COMPOS!$A$4:$G$801,MATCH($B59,COMPOS!$A$4:A$801,0),6))))</f>
        <v>0</v>
      </c>
      <c r="I59" s="276">
        <f t="shared" si="14"/>
        <v>28.15</v>
      </c>
      <c r="J59" s="276">
        <f t="shared" si="15"/>
        <v>56.3</v>
      </c>
      <c r="O59" s="256"/>
    </row>
    <row r="60" spans="1:15" ht="24" customHeight="1">
      <c r="A60" s="251" t="s">
        <v>6307</v>
      </c>
      <c r="B60" s="290">
        <v>500</v>
      </c>
      <c r="C60" s="301" t="str">
        <f>(IF($A60="SINAPI",INDEX(SINAPI_NOV2020_NDES!$A$7:$H$6703,MATCH($B60,SINAPI_NOV2020_NDES!$A$7:$A$6703,0),2),IF($A60="GOINFRA",INDEX(#REF!,MATCH($B60,#REF!,0),2),(INDEX(COMPOS!$A$4:$G$390,MATCH($B60,COMPOS!$A$4:A$390,0),2)))))</f>
        <v>ADAPTADOR CURTO C/BOLSA ROSCA P/REGISTRO, PVC, SOLDÁVEL 25MM X 3/4"</v>
      </c>
      <c r="D60" s="274" t="str">
        <f>(IF($A60="SINAPI",INDEX(SINAPI_NOV2020_NDES!$A$7:$H$6790,MATCH($B60,SINAPI_NOV2020_NDES!$A$7:$A$6790,0),3),(INDEX(COMPOS!$A$4:$G$5000,MATCH($B60,COMPOS!$A$4:$A$5000,0),3))))</f>
        <v>UN</v>
      </c>
      <c r="E60" s="276">
        <v>2</v>
      </c>
      <c r="F60" s="276">
        <f>(IF($A60="SINAPI",INDEX(SINAPI_NOV2020_NDES!$A$7:$H$6703,MATCH($B60,SINAPI_NOV2020_NDES!$A$7:$A$6703,0),5),(INDEX(COMPOS!$A$4:$G$801,MATCH($B60,COMPOS!$A$4:A$801,0),4))))</f>
        <v>3.3696000000000002</v>
      </c>
      <c r="G60" s="276">
        <f>(IF($A60="SINAPI",INDEX(SINAPI_NOV2020_NDES!$A$7:$H$6703,MATCH($B60,SINAPI_NOV2020_NDES!$A$7:$A$6703,0),6),(INDEX(COMPOS!$A$4:$G$801,MATCH($B60,COMPOS!$A$4:A$801,0),5))))</f>
        <v>0.86209999999999998</v>
      </c>
      <c r="H60" s="276">
        <f>(IF($A60="SINAPI",INDEX(SINAPI_NOV2020_NDES!$A$7:$H$6703,MATCH($B60,SINAPI_NOV2020_NDES!$A$7:$A$6703,0),7),(INDEX(COMPOS!$A$4:$G$801,MATCH($B60,COMPOS!$A$4:A$801,0),6))))</f>
        <v>0</v>
      </c>
      <c r="I60" s="276">
        <f t="shared" si="14"/>
        <v>4.2317</v>
      </c>
      <c r="J60" s="276">
        <f t="shared" si="15"/>
        <v>8.4634</v>
      </c>
      <c r="O60" s="256"/>
    </row>
    <row r="61" spans="1:15" ht="24" customHeight="1">
      <c r="A61" s="251" t="s">
        <v>7</v>
      </c>
      <c r="B61" s="290">
        <v>89353</v>
      </c>
      <c r="C61" s="301" t="str">
        <f>(IF($A61="SINAPI",INDEX(SINAPI_NOV2020_NDES!$A$7:$H$6703,MATCH($B61,SINAPI_NOV2020_NDES!$A$7:$A$6703,0),2),IF($A61="GOINFRA",INDEX(#REF!,MATCH($B61,#REF!,0),2),(INDEX(COMPOS!$A$4:$G$390,MATCH($B61,COMPOS!$A$4:A$390,0),2)))))</f>
        <v>REGISTRO DE GAVETA BRUTO, LATÃO, ROSCÁVEL, 3/4", FORNECIDO E INSTALADO EM RAMAL DE ÁGUA. AF_12/2014</v>
      </c>
      <c r="D61" s="274" t="str">
        <f>(IF($A61="SINAPI",INDEX(SINAPI_NOV2020_NDES!$A$7:$H$6790,MATCH($B61,SINAPI_NOV2020_NDES!$A$7:$A$6790,0),3),(INDEX(COMPOS!$A$4:$G$5000,MATCH($B61,COMPOS!$A$4:$A$5000,0),3))))</f>
        <v>UN</v>
      </c>
      <c r="E61" s="276">
        <v>2</v>
      </c>
      <c r="F61" s="276">
        <f>(IF($A61="SINAPI",INDEX(SINAPI_NOV2020_NDES!$A$7:$H$6703,MATCH($B61,SINAPI_NOV2020_NDES!$A$7:$A$6703,0),5),(INDEX(COMPOS!$A$4:$G$801,MATCH($B61,COMPOS!$A$4:A$801,0),4))))</f>
        <v>5.83</v>
      </c>
      <c r="G61" s="276">
        <f>(IF($A61="SINAPI",INDEX(SINAPI_NOV2020_NDES!$A$7:$H$6703,MATCH($B61,SINAPI_NOV2020_NDES!$A$7:$A$6703,0),6),(INDEX(COMPOS!$A$4:$G$801,MATCH($B61,COMPOS!$A$4:A$801,0),5))))</f>
        <v>21.76</v>
      </c>
      <c r="H61" s="276">
        <f>(IF($A61="SINAPI",INDEX(SINAPI_NOV2020_NDES!$A$7:$H$6703,MATCH($B61,SINAPI_NOV2020_NDES!$A$7:$A$6703,0),7),(INDEX(COMPOS!$A$4:$G$801,MATCH($B61,COMPOS!$A$4:A$801,0),6))))</f>
        <v>0</v>
      </c>
      <c r="I61" s="276">
        <f t="shared" si="14"/>
        <v>27.590000000000003</v>
      </c>
      <c r="J61" s="276">
        <f t="shared" si="15"/>
        <v>55.180000000000007</v>
      </c>
      <c r="O61" s="256"/>
    </row>
    <row r="62" spans="1:15" ht="24" customHeight="1">
      <c r="A62" s="251" t="s">
        <v>7</v>
      </c>
      <c r="B62" s="290">
        <v>89356</v>
      </c>
      <c r="C62" s="301" t="str">
        <f>(IF($A62="SINAPI",INDEX(SINAPI_NOV2020_NDES!$A$7:$H$6703,MATCH($B62,SINAPI_NOV2020_NDES!$A$7:$A$6703,0),2),IF($A62="GOINFRA",INDEX(#REF!,MATCH($B62,#REF!,0),2),(INDEX(COMPOS!$A$4:$G$390,MATCH($B62,COMPOS!$A$4:A$390,0),2)))))</f>
        <v>TUBO, PVC, SOLDÁVEL, DN 25MM, INSTALADO EM RAMAL OU SUB-RAMAL DE ÁGUA - FORNECIMENTO E INSTALAÇÃO. AF_12/2014</v>
      </c>
      <c r="D62" s="274" t="str">
        <f>(IF($A62="SINAPI",INDEX(SINAPI_NOV2020_NDES!$A$7:$H$6790,MATCH($B62,SINAPI_NOV2020_NDES!$A$7:$A$6790,0),3),(INDEX(COMPOS!$A$4:$G$5000,MATCH($B62,COMPOS!$A$4:$A$5000,0),3))))</f>
        <v>M</v>
      </c>
      <c r="E62" s="276">
        <v>12</v>
      </c>
      <c r="F62" s="276">
        <f>(IF($A62="SINAPI",INDEX(SINAPI_NOV2020_NDES!$A$7:$H$6703,MATCH($B62,SINAPI_NOV2020_NDES!$A$7:$A$6703,0),5),(INDEX(COMPOS!$A$4:$G$801,MATCH($B62,COMPOS!$A$4:A$801,0),4))))</f>
        <v>10.78</v>
      </c>
      <c r="G62" s="276">
        <f>(IF($A62="SINAPI",INDEX(SINAPI_NOV2020_NDES!$A$7:$H$6703,MATCH($B62,SINAPI_NOV2020_NDES!$A$7:$A$6703,0),6),(INDEX(COMPOS!$A$4:$G$801,MATCH($B62,COMPOS!$A$4:A$801,0),5))))</f>
        <v>6.42</v>
      </c>
      <c r="H62" s="276">
        <f>(IF($A62="SINAPI",INDEX(SINAPI_NOV2020_NDES!$A$7:$H$6703,MATCH($B62,SINAPI_NOV2020_NDES!$A$7:$A$6703,0),7),(INDEX(COMPOS!$A$4:$G$801,MATCH($B62,COMPOS!$A$4:A$801,0),6))))</f>
        <v>0</v>
      </c>
      <c r="I62" s="276">
        <f t="shared" si="14"/>
        <v>17.2</v>
      </c>
      <c r="J62" s="276">
        <f t="shared" si="15"/>
        <v>206.39999999999998</v>
      </c>
      <c r="O62" s="256"/>
    </row>
    <row r="63" spans="1:15" ht="24" customHeight="1">
      <c r="A63" s="251" t="s">
        <v>7</v>
      </c>
      <c r="B63" s="290">
        <v>89575</v>
      </c>
      <c r="C63" s="301" t="str">
        <f>(IF($A63="SINAPI",INDEX(SINAPI_NOV2020_NDES!$A$7:$H$6703,MATCH($B63,SINAPI_NOV2020_NDES!$A$7:$A$6703,0),2),IF($A63="GOINFRA",INDEX(#REF!,MATCH($B63,#REF!,0),2),(INDEX(COMPOS!$A$4:$G$390,MATCH($B63,COMPOS!$A$4:A$390,0),2)))))</f>
        <v>LUVA, PVC, SOLDÁVEL, DN 50MM, INSTALADO EM PRUMADA DE ÁGUA - FORNECIMENTO E INSTALAÇÃO. AF_12/2014</v>
      </c>
      <c r="D63" s="274" t="str">
        <f>(IF($A63="SINAPI",INDEX(SINAPI_NOV2020_NDES!$A$7:$H$6790,MATCH($B63,SINAPI_NOV2020_NDES!$A$7:$A$6790,0),3),(INDEX(COMPOS!$A$4:$G$5000,MATCH($B63,COMPOS!$A$4:$A$5000,0),3))))</f>
        <v>UN</v>
      </c>
      <c r="E63" s="276">
        <v>2</v>
      </c>
      <c r="F63" s="276">
        <f>(IF($A63="SINAPI",INDEX(SINAPI_NOV2020_NDES!$A$7:$H$6703,MATCH($B63,SINAPI_NOV2020_NDES!$A$7:$A$6703,0),5),(INDEX(COMPOS!$A$4:$G$801,MATCH($B63,COMPOS!$A$4:A$801,0),4))))</f>
        <v>2.1</v>
      </c>
      <c r="G63" s="276">
        <f>(IF($A63="SINAPI",INDEX(SINAPI_NOV2020_NDES!$A$7:$H$6703,MATCH($B63,SINAPI_NOV2020_NDES!$A$7:$A$6703,0),6),(INDEX(COMPOS!$A$4:$G$801,MATCH($B63,COMPOS!$A$4:A$801,0),5))))</f>
        <v>6.61</v>
      </c>
      <c r="H63" s="276">
        <f>(IF($A63="SINAPI",INDEX(SINAPI_NOV2020_NDES!$A$7:$H$6703,MATCH($B63,SINAPI_NOV2020_NDES!$A$7:$A$6703,0),7),(INDEX(COMPOS!$A$4:$G$801,MATCH($B63,COMPOS!$A$4:A$801,0),6))))</f>
        <v>0</v>
      </c>
      <c r="I63" s="276">
        <f t="shared" si="14"/>
        <v>8.7100000000000009</v>
      </c>
      <c r="J63" s="276">
        <f t="shared" si="15"/>
        <v>17.420000000000002</v>
      </c>
      <c r="O63" s="256"/>
    </row>
    <row r="64" spans="1:15" ht="36" customHeight="1">
      <c r="A64" s="251" t="s">
        <v>7</v>
      </c>
      <c r="B64" s="290">
        <v>89985</v>
      </c>
      <c r="C64" s="301" t="str">
        <f>(IF($A64="SINAPI",INDEX(SINAPI_NOV2020_NDES!$A$7:$H$6703,MATCH($B64,SINAPI_NOV2020_NDES!$A$7:$A$6703,0),2),IF($A64="GOINFRA",INDEX(#REF!,MATCH($B64,#REF!,0),2),(INDEX(COMPOS!$A$4:$G$390,MATCH($B64,COMPOS!$A$4:A$390,0),2)))))</f>
        <v>REGISTRO DE PRESSÃO BRUTO, LATÃO, ROSCÁVEL, 3/4", COM ACABAMENTO E CANOPLA CROMADOS. FORNECIDO E INSTALADO EM RAMAL DE ÁGUA. AF_12/2014</v>
      </c>
      <c r="D64" s="274" t="str">
        <f>(IF($A64="SINAPI",INDEX(SINAPI_NOV2020_NDES!$A$7:$H$6790,MATCH($B64,SINAPI_NOV2020_NDES!$A$7:$A$6790,0),3),(INDEX(COMPOS!$A$4:$G$5000,MATCH($B64,COMPOS!$A$4:$A$5000,0),3))))</f>
        <v>UN</v>
      </c>
      <c r="E64" s="276">
        <v>2</v>
      </c>
      <c r="F64" s="276">
        <f>(IF($A64="SINAPI",INDEX(SINAPI_NOV2020_NDES!$A$7:$H$6703,MATCH($B64,SINAPI_NOV2020_NDES!$A$7:$A$6703,0),5),(INDEX(COMPOS!$A$4:$G$801,MATCH($B64,COMPOS!$A$4:A$801,0),4))))</f>
        <v>7.89</v>
      </c>
      <c r="G64" s="276">
        <f>(IF($A64="SINAPI",INDEX(SINAPI_NOV2020_NDES!$A$7:$H$6703,MATCH($B64,SINAPI_NOV2020_NDES!$A$7:$A$6703,0),6),(INDEX(COMPOS!$A$4:$G$801,MATCH($B64,COMPOS!$A$4:A$801,0),5))))</f>
        <v>48.24</v>
      </c>
      <c r="H64" s="276">
        <f>(IF($A64="SINAPI",INDEX(SINAPI_NOV2020_NDES!$A$7:$H$6703,MATCH($B64,SINAPI_NOV2020_NDES!$A$7:$A$6703,0),7),(INDEX(COMPOS!$A$4:$G$801,MATCH($B64,COMPOS!$A$4:A$801,0),6))))</f>
        <v>0</v>
      </c>
      <c r="I64" s="276">
        <f t="shared" si="14"/>
        <v>56.13</v>
      </c>
      <c r="J64" s="276">
        <f t="shared" si="15"/>
        <v>112.26</v>
      </c>
      <c r="O64" s="256"/>
    </row>
    <row r="65" spans="1:15" ht="24" customHeight="1">
      <c r="A65" s="251" t="s">
        <v>7</v>
      </c>
      <c r="B65" s="290">
        <v>89449</v>
      </c>
      <c r="C65" s="301" t="str">
        <f>(IF($A65="SINAPI",INDEX(SINAPI_NOV2020_NDES!$A$7:$H$6703,MATCH($B65,SINAPI_NOV2020_NDES!$A$7:$A$6703,0),2),IF($A65="GOINFRA",INDEX(#REF!,MATCH($B65,#REF!,0),2),(INDEX(COMPOS!$A$4:$G$390,MATCH($B65,COMPOS!$A$4:A$390,0),2)))))</f>
        <v>TUBO, PVC, SOLDÁVEL, DN 50MM, INSTALADO EM PRUMADA DE ÁGUA - FORNECIMENTO E INSTALAÇÃO. AF_12/2014</v>
      </c>
      <c r="D65" s="274" t="str">
        <f>(IF($A65="SINAPI",INDEX(SINAPI_NOV2020_NDES!$A$7:$H$6790,MATCH($B65,SINAPI_NOV2020_NDES!$A$7:$A$6790,0),3),(INDEX(COMPOS!$A$4:$G$5000,MATCH($B65,COMPOS!$A$4:$A$5000,0),3))))</f>
        <v>M</v>
      </c>
      <c r="E65" s="276">
        <v>6</v>
      </c>
      <c r="F65" s="276">
        <f>(IF($A65="SINAPI",INDEX(SINAPI_NOV2020_NDES!$A$7:$H$6703,MATCH($B65,SINAPI_NOV2020_NDES!$A$7:$A$6703,0),5),(INDEX(COMPOS!$A$4:$G$801,MATCH($B65,COMPOS!$A$4:A$801,0),4))))</f>
        <v>0.82</v>
      </c>
      <c r="G65" s="276">
        <f>(IF($A65="SINAPI",INDEX(SINAPI_NOV2020_NDES!$A$7:$H$6703,MATCH($B65,SINAPI_NOV2020_NDES!$A$7:$A$6703,0),6),(INDEX(COMPOS!$A$4:$G$801,MATCH($B65,COMPOS!$A$4:A$801,0),5))))</f>
        <v>12.26</v>
      </c>
      <c r="H65" s="276">
        <f>(IF($A65="SINAPI",INDEX(SINAPI_NOV2020_NDES!$A$7:$H$6703,MATCH($B65,SINAPI_NOV2020_NDES!$A$7:$A$6703,0),7),(INDEX(COMPOS!$A$4:$G$801,MATCH($B65,COMPOS!$A$4:A$801,0),6))))</f>
        <v>0</v>
      </c>
      <c r="I65" s="276">
        <f t="shared" si="14"/>
        <v>13.08</v>
      </c>
      <c r="J65" s="276">
        <f t="shared" si="15"/>
        <v>78.48</v>
      </c>
      <c r="O65" s="256"/>
    </row>
    <row r="66" spans="1:15" ht="24" customHeight="1">
      <c r="A66" s="251" t="s">
        <v>7</v>
      </c>
      <c r="B66" s="290">
        <v>89627</v>
      </c>
      <c r="C66" s="301" t="str">
        <f>(IF($A66="SINAPI",INDEX(SINAPI_NOV2020_NDES!$A$7:$H$6703,MATCH($B66,SINAPI_NOV2020_NDES!$A$7:$A$6703,0),2),IF($A66="GOINFRA",INDEX(#REF!,MATCH($B66,#REF!,0),2),(INDEX(COMPOS!$A$4:$G$390,MATCH($B66,COMPOS!$A$4:A$390,0),2)))))</f>
        <v>TÊ DE REDUÇÃO, PVC, SOLDÁVEL, DN 50MM X 25MM, INSTALADO EM PRUMADA DE ÁGUA - FORNECIMENTO E INSTALAÇÃO. AF_12/2014</v>
      </c>
      <c r="D66" s="274" t="str">
        <f>(IF($A66="SINAPI",INDEX(SINAPI_NOV2020_NDES!$A$7:$H$6790,MATCH($B66,SINAPI_NOV2020_NDES!$A$7:$A$6790,0),3),(INDEX(COMPOS!$A$4:$G$5000,MATCH($B66,COMPOS!$A$4:$A$5000,0),3))))</f>
        <v>UN</v>
      </c>
      <c r="E66" s="276">
        <v>2</v>
      </c>
      <c r="F66" s="276">
        <f>(IF($A66="SINAPI",INDEX(SINAPI_NOV2020_NDES!$A$7:$H$6703,MATCH($B66,SINAPI_NOV2020_NDES!$A$7:$A$6703,0),5),(INDEX(COMPOS!$A$4:$G$801,MATCH($B66,COMPOS!$A$4:A$801,0),4))))</f>
        <v>4.2</v>
      </c>
      <c r="G66" s="276">
        <f>(IF($A66="SINAPI",INDEX(SINAPI_NOV2020_NDES!$A$7:$H$6703,MATCH($B66,SINAPI_NOV2020_NDES!$A$7:$A$6703,0),6),(INDEX(COMPOS!$A$4:$G$801,MATCH($B66,COMPOS!$A$4:A$801,0),5))))</f>
        <v>11.83</v>
      </c>
      <c r="H66" s="276">
        <f>(IF($A66="SINAPI",INDEX(SINAPI_NOV2020_NDES!$A$7:$H$6703,MATCH($B66,SINAPI_NOV2020_NDES!$A$7:$A$6703,0),7),(INDEX(COMPOS!$A$4:$G$801,MATCH($B66,COMPOS!$A$4:A$801,0),6))))</f>
        <v>0</v>
      </c>
      <c r="I66" s="276">
        <f t="shared" si="14"/>
        <v>16.03</v>
      </c>
      <c r="J66" s="276">
        <f t="shared" si="15"/>
        <v>32.06</v>
      </c>
      <c r="O66" s="256"/>
    </row>
    <row r="67" spans="1:15" ht="15" customHeight="1">
      <c r="A67" s="251" t="s">
        <v>6307</v>
      </c>
      <c r="B67" s="290">
        <v>326</v>
      </c>
      <c r="C67" s="301" t="str">
        <f>(IF($A67="SINAPI",INDEX(SINAPI_NOV2020_NDES!$A$7:$H$6703,MATCH($B67,SINAPI_NOV2020_NDES!$A$7:$A$6703,0),2),IF($A67="GOINFRA",INDEX(#REF!,MATCH($B67,#REF!,0),2),(INDEX(COMPOS!$A$4:$G$390,MATCH($B67,COMPOS!$A$4:A$390,0),2)))))</f>
        <v>BUCHA DE REDUÇÃO, SOLDÁVEL LONGA, 50MM X 25MM</v>
      </c>
      <c r="D67" s="274" t="str">
        <f>(IF($A67="SINAPI",INDEX(SINAPI_NOV2020_NDES!$A$7:$H$6790,MATCH($B67,SINAPI_NOV2020_NDES!$A$7:$A$6790,0),3),(INDEX(COMPOS!$A$4:$G$5000,MATCH($B67,COMPOS!$A$4:$A$5000,0),3))))</f>
        <v>UN</v>
      </c>
      <c r="E67" s="276">
        <v>2</v>
      </c>
      <c r="F67" s="276">
        <f>(IF($A67="SINAPI",INDEX(SINAPI_NOV2020_NDES!$A$7:$H$6703,MATCH($B67,SINAPI_NOV2020_NDES!$A$7:$A$6703,0),5),(INDEX(COMPOS!$A$4:$G$801,MATCH($B67,COMPOS!$A$4:A$801,0),4))))</f>
        <v>5.2416</v>
      </c>
      <c r="G67" s="276">
        <f>(IF($A67="SINAPI",INDEX(SINAPI_NOV2020_NDES!$A$7:$H$6703,MATCH($B67,SINAPI_NOV2020_NDES!$A$7:$A$6703,0),6),(INDEX(COMPOS!$A$4:$G$801,MATCH($B67,COMPOS!$A$4:A$801,0),5))))</f>
        <v>3.39</v>
      </c>
      <c r="H67" s="276">
        <f>(IF($A67="SINAPI",INDEX(SINAPI_NOV2020_NDES!$A$7:$H$6703,MATCH($B67,SINAPI_NOV2020_NDES!$A$7:$A$6703,0),7),(INDEX(COMPOS!$A$4:$G$801,MATCH($B67,COMPOS!$A$4:A$801,0),6))))</f>
        <v>0</v>
      </c>
      <c r="I67" s="276">
        <f t="shared" si="14"/>
        <v>8.6316000000000006</v>
      </c>
      <c r="J67" s="276">
        <f t="shared" si="15"/>
        <v>17.263200000000001</v>
      </c>
      <c r="O67" s="256"/>
    </row>
    <row r="68" spans="1:15" ht="24" customHeight="1">
      <c r="A68" s="251" t="s">
        <v>7</v>
      </c>
      <c r="B68" s="290">
        <v>89625</v>
      </c>
      <c r="C68" s="301" t="str">
        <f>(IF($A68="SINAPI",INDEX(SINAPI_NOV2020_NDES!$A$7:$H$6703,MATCH($B68,SINAPI_NOV2020_NDES!$A$7:$A$6703,0),2),IF($A68="GOINFRA",INDEX(#REF!,MATCH($B68,#REF!,0),2),(INDEX(COMPOS!$A$4:$G$390,MATCH($B68,COMPOS!$A$4:A$390,0),2)))))</f>
        <v>TE, PVC, SOLDÁVEL, DN 50MM, INSTALADO EM PRUMADA DE ÁGUA - FORNECIMENTO E INSTALAÇÃO. AF_12/2014</v>
      </c>
      <c r="D68" s="274" t="str">
        <f>(IF($A68="SINAPI",INDEX(SINAPI_NOV2020_NDES!$A$7:$H$6790,MATCH($B68,SINAPI_NOV2020_NDES!$A$7:$A$6790,0),3),(INDEX(COMPOS!$A$4:$G$5000,MATCH($B68,COMPOS!$A$4:$A$5000,0),3))))</f>
        <v>UN</v>
      </c>
      <c r="E68" s="276">
        <v>3</v>
      </c>
      <c r="F68" s="276">
        <f>(IF($A68="SINAPI",INDEX(SINAPI_NOV2020_NDES!$A$7:$H$6703,MATCH($B68,SINAPI_NOV2020_NDES!$A$7:$A$6703,0),5),(INDEX(COMPOS!$A$4:$G$801,MATCH($B68,COMPOS!$A$4:A$801,0),4))))</f>
        <v>4.2</v>
      </c>
      <c r="G68" s="276">
        <f>(IF($A68="SINAPI",INDEX(SINAPI_NOV2020_NDES!$A$7:$H$6703,MATCH($B68,SINAPI_NOV2020_NDES!$A$7:$A$6703,0),6),(INDEX(COMPOS!$A$4:$G$801,MATCH($B68,COMPOS!$A$4:A$801,0),5))))</f>
        <v>12.77</v>
      </c>
      <c r="H68" s="276">
        <f>(IF($A68="SINAPI",INDEX(SINAPI_NOV2020_NDES!$A$7:$H$6703,MATCH($B68,SINAPI_NOV2020_NDES!$A$7:$A$6703,0),7),(INDEX(COMPOS!$A$4:$G$801,MATCH($B68,COMPOS!$A$4:A$801,0),6))))</f>
        <v>0</v>
      </c>
      <c r="I68" s="276">
        <f t="shared" si="14"/>
        <v>16.97</v>
      </c>
      <c r="J68" s="276">
        <f t="shared" si="15"/>
        <v>50.91</v>
      </c>
      <c r="O68" s="256"/>
    </row>
    <row r="69" spans="1:15" ht="15" customHeight="1">
      <c r="A69" s="251" t="s">
        <v>6307</v>
      </c>
      <c r="B69" s="290">
        <v>802</v>
      </c>
      <c r="C69" s="301" t="str">
        <f>(IF($A69="SINAPI",INDEX(SINAPI_NOV2020_NDES!$A$7:$H$6703,MATCH($B69,SINAPI_NOV2020_NDES!$A$7:$A$6703,0),2),IF($A69="GOINFRA",INDEX(#REF!,MATCH($B69,#REF!,0),2),(INDEX(COMPOS!$A$4:$G$390,MATCH($B69,COMPOS!$A$4:A$390,0),2)))))</f>
        <v>SOLUCAO LIMPADORA 200 CM3</v>
      </c>
      <c r="D69" s="274" t="str">
        <f>(IF($A69="SINAPI",INDEX(SINAPI_NOV2020_NDES!$A$7:$H$6790,MATCH($B69,SINAPI_NOV2020_NDES!$A$7:$A$6790,0),3),(INDEX(COMPOS!$A$4:$G$5000,MATCH($B69,COMPOS!$A$4:$A$5000,0),3))))</f>
        <v>UN</v>
      </c>
      <c r="E69" s="276">
        <v>1</v>
      </c>
      <c r="F69" s="276">
        <f>(IF($A69="SINAPI",INDEX(SINAPI_NOV2020_NDES!$A$7:$H$6703,MATCH($B69,SINAPI_NOV2020_NDES!$A$7:$A$6703,0),5),(INDEX(COMPOS!$A$4:$G$801,MATCH($B69,COMPOS!$A$4:A$801,0),4))))</f>
        <v>0</v>
      </c>
      <c r="G69" s="276">
        <f>(IF($A69="SINAPI",INDEX(SINAPI_NOV2020_NDES!$A$7:$H$6703,MATCH($B69,SINAPI_NOV2020_NDES!$A$7:$A$6703,0),6),(INDEX(COMPOS!$A$4:$G$801,MATCH($B69,COMPOS!$A$4:A$801,0),5))))</f>
        <v>18.27</v>
      </c>
      <c r="H69" s="276">
        <f>(IF($A69="SINAPI",INDEX(SINAPI_NOV2020_NDES!$A$7:$H$6703,MATCH($B69,SINAPI_NOV2020_NDES!$A$7:$A$6703,0),7),(INDEX(COMPOS!$A$4:$G$801,MATCH($B69,COMPOS!$A$4:A$801,0),6))))</f>
        <v>0</v>
      </c>
      <c r="I69" s="276">
        <f t="shared" si="14"/>
        <v>18.27</v>
      </c>
      <c r="J69" s="276">
        <f t="shared" si="15"/>
        <v>18.27</v>
      </c>
      <c r="O69" s="256"/>
    </row>
    <row r="70" spans="1:15" ht="15" customHeight="1">
      <c r="A70" s="251" t="s">
        <v>6307</v>
      </c>
      <c r="B70" s="290">
        <v>803</v>
      </c>
      <c r="C70" s="301" t="str">
        <f>(IF($A70="SINAPI",INDEX(SINAPI_NOV2020_NDES!$A$7:$H$6703,MATCH($B70,SINAPI_NOV2020_NDES!$A$7:$A$6703,0),2),IF($A70="GOINFRA",INDEX(#REF!,MATCH($B70,#REF!,0),2),(INDEX(COMPOS!$A$4:$G$390,MATCH($B70,COMPOS!$A$4:A$390,0),2)))))</f>
        <v>ADESIVO PLASTICO - FRASCO 850 G</v>
      </c>
      <c r="D70" s="274" t="str">
        <f>(IF($A70="SINAPI",INDEX(SINAPI_NOV2020_NDES!$A$7:$H$6790,MATCH($B70,SINAPI_NOV2020_NDES!$A$7:$A$6790,0),3),(INDEX(COMPOS!$A$4:$G$5000,MATCH($B70,COMPOS!$A$4:$A$5000,0),3))))</f>
        <v>UN</v>
      </c>
      <c r="E70" s="276">
        <v>1</v>
      </c>
      <c r="F70" s="276">
        <f>(IF($A70="SINAPI",INDEX(SINAPI_NOV2020_NDES!$A$7:$H$6703,MATCH($B70,SINAPI_NOV2020_NDES!$A$7:$A$6703,0),5),(INDEX(COMPOS!$A$4:$G$801,MATCH($B70,COMPOS!$A$4:A$801,0),4))))</f>
        <v>0</v>
      </c>
      <c r="G70" s="276">
        <f>(IF($A70="SINAPI",INDEX(SINAPI_NOV2020_NDES!$A$7:$H$6703,MATCH($B70,SINAPI_NOV2020_NDES!$A$7:$A$6703,0),6),(INDEX(COMPOS!$A$4:$G$801,MATCH($B70,COMPOS!$A$4:A$801,0),5))))</f>
        <v>5.98</v>
      </c>
      <c r="H70" s="276">
        <f>(IF($A70="SINAPI",INDEX(SINAPI_NOV2020_NDES!$A$7:$H$6703,MATCH($B70,SINAPI_NOV2020_NDES!$A$7:$A$6703,0),7),(INDEX(COMPOS!$A$4:$G$801,MATCH($B70,COMPOS!$A$4:A$801,0),6))))</f>
        <v>0</v>
      </c>
      <c r="I70" s="276">
        <f t="shared" si="14"/>
        <v>5.98</v>
      </c>
      <c r="J70" s="276">
        <f t="shared" si="15"/>
        <v>5.98</v>
      </c>
      <c r="O70" s="256"/>
    </row>
    <row r="71" spans="1:15" ht="36" customHeight="1">
      <c r="A71" s="251" t="s">
        <v>7</v>
      </c>
      <c r="B71" s="290">
        <v>89396</v>
      </c>
      <c r="C71" s="301" t="str">
        <f>(IF($A71="SINAPI",INDEX(SINAPI_NOV2020_NDES!$A$7:$H$6703,MATCH($B71,SINAPI_NOV2020_NDES!$A$7:$A$6703,0),2),IF($A71="GOINFRA",INDEX(#REF!,MATCH($B71,#REF!,0),2),(INDEX(COMPOS!$A$4:$G$390,MATCH($B71,COMPOS!$A$4:A$390,0),2)))))</f>
        <v>TÊ COM BUCHA DE LATÃO NA BOLSA CENTRAL, PVC, SOLDÁVEL, DN 25MM X 1/2, INSTALADO EM RAMAL OU SUB-RAMAL DE ÁGUA - FORNECIMENTO E INSTALAÇÃO. AF_12/2014</v>
      </c>
      <c r="D71" s="274" t="str">
        <f>(IF($A71="SINAPI",INDEX(SINAPI_NOV2020_NDES!$A$7:$H$6790,MATCH($B71,SINAPI_NOV2020_NDES!$A$7:$A$6790,0),3),(INDEX(COMPOS!$A$4:$G$5000,MATCH($B71,COMPOS!$A$4:$A$5000,0),3))))</f>
        <v>UN</v>
      </c>
      <c r="E71" s="276">
        <v>1</v>
      </c>
      <c r="F71" s="276">
        <f>(IF($A71="SINAPI",INDEX(SINAPI_NOV2020_NDES!$A$7:$H$6703,MATCH($B71,SINAPI_NOV2020_NDES!$A$7:$A$6703,0),5),(INDEX(COMPOS!$A$4:$G$801,MATCH($B71,COMPOS!$A$4:A$801,0),4))))</f>
        <v>5.84</v>
      </c>
      <c r="G71" s="276">
        <f>(IF($A71="SINAPI",INDEX(SINAPI_NOV2020_NDES!$A$7:$H$6703,MATCH($B71,SINAPI_NOV2020_NDES!$A$7:$A$6703,0),6),(INDEX(COMPOS!$A$4:$G$801,MATCH($B71,COMPOS!$A$4:A$801,0),5))))</f>
        <v>10.210000000000001</v>
      </c>
      <c r="H71" s="276">
        <f>(IF($A71="SINAPI",INDEX(SINAPI_NOV2020_NDES!$A$7:$H$6703,MATCH($B71,SINAPI_NOV2020_NDES!$A$7:$A$6703,0),7),(INDEX(COMPOS!$A$4:$G$801,MATCH($B71,COMPOS!$A$4:A$801,0),6))))</f>
        <v>0</v>
      </c>
      <c r="I71" s="276">
        <f t="shared" si="14"/>
        <v>16.05</v>
      </c>
      <c r="J71" s="276">
        <f t="shared" si="15"/>
        <v>16.05</v>
      </c>
      <c r="O71" s="256"/>
    </row>
    <row r="72" spans="1:15" ht="15" customHeight="1">
      <c r="A72" s="251" t="s">
        <v>6307</v>
      </c>
      <c r="B72" s="290">
        <v>404</v>
      </c>
      <c r="C72" s="301" t="str">
        <f>(IF($A72="SINAPI",INDEX(SINAPI_NOV2020_NDES!$A$7:$H$6703,MATCH($B72,SINAPI_NOV2020_NDES!$A$7:$A$6703,0),2),IF($A72="GOINFRA",INDEX(#REF!,MATCH($B72,#REF!,0),2),(INDEX(COMPOS!$A$4:$G$390,MATCH($B72,COMPOS!$A$4:A$390,0),2)))))</f>
        <v>GRELHA REDONDA CROMADA DIAM. 100MM</v>
      </c>
      <c r="D72" s="274" t="str">
        <f>(IF($A72="SINAPI",INDEX(SINAPI_NOV2020_NDES!$A$7:$H$6790,MATCH($B72,SINAPI_NOV2020_NDES!$A$7:$A$6790,0),3),(INDEX(COMPOS!$A$4:$G$5000,MATCH($B72,COMPOS!$A$4:$A$5000,0),3))))</f>
        <v>UN</v>
      </c>
      <c r="E72" s="276">
        <v>2</v>
      </c>
      <c r="F72" s="276">
        <f>(IF($A72="SINAPI",INDEX(SINAPI_NOV2020_NDES!$A$7:$H$6703,MATCH($B72,SINAPI_NOV2020_NDES!$A$7:$A$6703,0),5),(INDEX(COMPOS!$A$4:$G$801,MATCH($B72,COMPOS!$A$4:A$801,0),4))))</f>
        <v>2.9952000000000001</v>
      </c>
      <c r="G72" s="276">
        <f>(IF($A72="SINAPI",INDEX(SINAPI_NOV2020_NDES!$A$7:$H$6703,MATCH($B72,SINAPI_NOV2020_NDES!$A$7:$A$6703,0),6),(INDEX(COMPOS!$A$4:$G$801,MATCH($B72,COMPOS!$A$4:A$801,0),5))))</f>
        <v>11.88</v>
      </c>
      <c r="H72" s="276">
        <f>(IF($A72="SINAPI",INDEX(SINAPI_NOV2020_NDES!$A$7:$H$6703,MATCH($B72,SINAPI_NOV2020_NDES!$A$7:$A$6703,0),7),(INDEX(COMPOS!$A$4:$G$801,MATCH($B72,COMPOS!$A$4:A$801,0),6))))</f>
        <v>0</v>
      </c>
      <c r="I72" s="276">
        <f t="shared" si="14"/>
        <v>14.875200000000001</v>
      </c>
      <c r="J72" s="276">
        <f t="shared" si="15"/>
        <v>29.750400000000003</v>
      </c>
      <c r="O72" s="256"/>
    </row>
    <row r="73" spans="1:15" ht="15" customHeight="1">
      <c r="A73" s="251" t="s">
        <v>6307</v>
      </c>
      <c r="B73" s="290">
        <v>404</v>
      </c>
      <c r="C73" s="301" t="str">
        <f>(IF($A73="SINAPI",INDEX(SINAPI_NOV2020_NDES!$A$7:$H$6703,MATCH($B73,SINAPI_NOV2020_NDES!$A$7:$A$6703,0),2),IF($A73="GOINFRA",INDEX(#REF!,MATCH($B73,#REF!,0),2),(INDEX(COMPOS!$A$4:$G$390,MATCH($B73,COMPOS!$A$4:A$390,0),2)))))</f>
        <v>GRELHA REDONDA CROMADA DIAM. 100MM</v>
      </c>
      <c r="D73" s="274" t="str">
        <f>(IF($A73="SINAPI",INDEX(SINAPI_NOV2020_NDES!$A$7:$H$6790,MATCH($B73,SINAPI_NOV2020_NDES!$A$7:$A$6790,0),3),(INDEX(COMPOS!$A$4:$G$5000,MATCH($B73,COMPOS!$A$4:$A$5000,0),3))))</f>
        <v>UN</v>
      </c>
      <c r="E73" s="276">
        <v>2</v>
      </c>
      <c r="F73" s="276">
        <f>(IF($A73="SINAPI",INDEX(SINAPI_NOV2020_NDES!$A$7:$H$6703,MATCH($B73,SINAPI_NOV2020_NDES!$A$7:$A$6703,0),5),(INDEX(COMPOS!$A$4:$G$801,MATCH($B73,COMPOS!$A$4:A$801,0),4))))</f>
        <v>2.9952000000000001</v>
      </c>
      <c r="G73" s="276">
        <f>(IF($A73="SINAPI",INDEX(SINAPI_NOV2020_NDES!$A$7:$H$6703,MATCH($B73,SINAPI_NOV2020_NDES!$A$7:$A$6703,0),6),(INDEX(COMPOS!$A$4:$G$801,MATCH($B73,COMPOS!$A$4:A$801,0),5))))</f>
        <v>11.88</v>
      </c>
      <c r="H73" s="276">
        <f>(IF($A73="SINAPI",INDEX(SINAPI_NOV2020_NDES!$A$7:$H$6703,MATCH($B73,SINAPI_NOV2020_NDES!$A$7:$A$6703,0),7),(INDEX(COMPOS!$A$4:$G$801,MATCH($B73,COMPOS!$A$4:A$801,0),6))))</f>
        <v>0</v>
      </c>
      <c r="I73" s="276">
        <f t="shared" si="14"/>
        <v>14.875200000000001</v>
      </c>
      <c r="J73" s="276">
        <f t="shared" si="15"/>
        <v>29.750400000000003</v>
      </c>
      <c r="O73" s="256"/>
    </row>
    <row r="74" spans="1:15" ht="15" customHeight="1">
      <c r="A74" s="251" t="s">
        <v>6307</v>
      </c>
      <c r="B74" s="290">
        <v>810</v>
      </c>
      <c r="C74" s="301" t="str">
        <f>(IF($A74="SINAPI",INDEX(SINAPI_NOV2020_NDES!$A$7:$H$6703,MATCH($B74,SINAPI_NOV2020_NDES!$A$7:$A$6703,0),2),IF($A74="GOINFRA",INDEX(#REF!,MATCH($B74,#REF!,0),2),(INDEX(COMPOS!$A$4:$G$390,MATCH($B74,COMPOS!$A$4:A$390,0),2)))))</f>
        <v>PORTA GRELHA REDONDO BRANCO DIAM. 100 MM</v>
      </c>
      <c r="D74" s="274" t="str">
        <f>(IF($A74="SINAPI",INDEX(SINAPI_NOV2020_NDES!$A$7:$H$6790,MATCH($B74,SINAPI_NOV2020_NDES!$A$7:$A$6790,0),3),(INDEX(COMPOS!$A$4:$G$5000,MATCH($B74,COMPOS!$A$4:$A$5000,0),3))))</f>
        <v>UN</v>
      </c>
      <c r="E74" s="276">
        <v>2</v>
      </c>
      <c r="F74" s="276">
        <f>(IF($A74="SINAPI",INDEX(SINAPI_NOV2020_NDES!$A$7:$H$6703,MATCH($B74,SINAPI_NOV2020_NDES!$A$7:$A$6703,0),5),(INDEX(COMPOS!$A$4:$G$801,MATCH($B74,COMPOS!$A$4:A$801,0),4))))</f>
        <v>3.7440000000000002</v>
      </c>
      <c r="G74" s="276">
        <f>(IF($A74="SINAPI",INDEX(SINAPI_NOV2020_NDES!$A$7:$H$6703,MATCH($B74,SINAPI_NOV2020_NDES!$A$7:$A$6703,0),6),(INDEX(COMPOS!$A$4:$G$801,MATCH($B74,COMPOS!$A$4:A$801,0),5))))</f>
        <v>4.2</v>
      </c>
      <c r="H74" s="276">
        <f>(IF($A74="SINAPI",INDEX(SINAPI_NOV2020_NDES!$A$7:$H$6703,MATCH($B74,SINAPI_NOV2020_NDES!$A$7:$A$6703,0),7),(INDEX(COMPOS!$A$4:$G$801,MATCH($B74,COMPOS!$A$4:A$801,0),6))))</f>
        <v>0</v>
      </c>
      <c r="I74" s="276">
        <f t="shared" si="14"/>
        <v>7.9440000000000008</v>
      </c>
      <c r="J74" s="276">
        <f t="shared" si="15"/>
        <v>15.888000000000002</v>
      </c>
      <c r="O74" s="256"/>
    </row>
    <row r="75" spans="1:15" ht="36" customHeight="1">
      <c r="A75" s="251" t="s">
        <v>7</v>
      </c>
      <c r="B75" s="290">
        <v>89710</v>
      </c>
      <c r="C75" s="301" t="str">
        <f>(IF($A75="SINAPI",INDEX(SINAPI_NOV2020_NDES!$A$7:$H$6703,MATCH($B75,SINAPI_NOV2020_NDES!$A$7:$A$6703,0),2),IF($A75="GOINFRA",INDEX(#REF!,MATCH($B75,#REF!,0),2),(INDEX(COMPOS!$A$4:$G$390,MATCH($B75,COMPOS!$A$4:A$390,0),2)))))</f>
        <v>RALO SECO, PVC, DN 100 X 40 MM, JUNTA SOLDÁVEL, FORNECIDO E INSTALADO EM RAMAL DE DESCARGA OU EM RAMAL DE ESGOTO SANITÁRIO. AF_12/2014</v>
      </c>
      <c r="D75" s="274" t="str">
        <f>(IF($A75="SINAPI",INDEX(SINAPI_NOV2020_NDES!$A$7:$H$6790,MATCH($B75,SINAPI_NOV2020_NDES!$A$7:$A$6790,0),3),(INDEX(COMPOS!$A$4:$G$5000,MATCH($B75,COMPOS!$A$4:$A$5000,0),3))))</f>
        <v>UN</v>
      </c>
      <c r="E75" s="276">
        <v>2</v>
      </c>
      <c r="F75" s="276">
        <f>(IF($A75="SINAPI",INDEX(SINAPI_NOV2020_NDES!$A$7:$H$6703,MATCH($B75,SINAPI_NOV2020_NDES!$A$7:$A$6703,0),5),(INDEX(COMPOS!$A$4:$G$801,MATCH($B75,COMPOS!$A$4:A$801,0),4))))</f>
        <v>2.04</v>
      </c>
      <c r="G75" s="276">
        <f>(IF($A75="SINAPI",INDEX(SINAPI_NOV2020_NDES!$A$7:$H$6703,MATCH($B75,SINAPI_NOV2020_NDES!$A$7:$A$6703,0),6),(INDEX(COMPOS!$A$4:$G$801,MATCH($B75,COMPOS!$A$4:A$801,0),5))))</f>
        <v>6.63</v>
      </c>
      <c r="H75" s="276">
        <f>(IF($A75="SINAPI",INDEX(SINAPI_NOV2020_NDES!$A$7:$H$6703,MATCH($B75,SINAPI_NOV2020_NDES!$A$7:$A$6703,0),7),(INDEX(COMPOS!$A$4:$G$801,MATCH($B75,COMPOS!$A$4:A$801,0),6))))</f>
        <v>0</v>
      </c>
      <c r="I75" s="276">
        <f t="shared" si="14"/>
        <v>8.67</v>
      </c>
      <c r="J75" s="276">
        <f t="shared" si="15"/>
        <v>17.34</v>
      </c>
      <c r="O75" s="256"/>
    </row>
    <row r="76" spans="1:15" ht="15" customHeight="1">
      <c r="A76" s="251" t="s">
        <v>6307</v>
      </c>
      <c r="B76" s="290">
        <v>504</v>
      </c>
      <c r="C76" s="301" t="str">
        <f>(IF($A76="SINAPI",INDEX(SINAPI_NOV2020_NDES!$A$7:$H$6703,MATCH($B76,SINAPI_NOV2020_NDES!$A$7:$A$6703,0),2),IF($A76="GOINFRA",INDEX(#REF!,MATCH($B76,#REF!,0),2),(INDEX(COMPOS!$A$4:$G$390,MATCH($B76,COMPOS!$A$4:A$390,0),2)))))</f>
        <v>JOELHO REDUÇÃO 90º SOLD. C/BUCHA DE LATÃO 25X1/2"</v>
      </c>
      <c r="D76" s="274" t="str">
        <f>(IF($A76="SINAPI",INDEX(SINAPI_NOV2020_NDES!$A$7:$H$6790,MATCH($B76,SINAPI_NOV2020_NDES!$A$7:$A$6790,0),3),(INDEX(COMPOS!$A$4:$G$5000,MATCH($B76,COMPOS!$A$4:$A$5000,0),3))))</f>
        <v>UN</v>
      </c>
      <c r="E76" s="276">
        <v>5</v>
      </c>
      <c r="F76" s="276">
        <f>(IF($A76="SINAPI",INDEX(SINAPI_NOV2020_NDES!$A$7:$H$6703,MATCH($B76,SINAPI_NOV2020_NDES!$A$7:$A$6703,0),5),(INDEX(COMPOS!$A$4:$G$801,MATCH($B76,COMPOS!$A$4:A$801,0),4))))</f>
        <v>4.26816</v>
      </c>
      <c r="G76" s="276">
        <f>(IF($A76="SINAPI",INDEX(SINAPI_NOV2020_NDES!$A$7:$H$6703,MATCH($B76,SINAPI_NOV2020_NDES!$A$7:$A$6703,0),6),(INDEX(COMPOS!$A$4:$G$801,MATCH($B76,COMPOS!$A$4:A$801,0),5))))</f>
        <v>4.97</v>
      </c>
      <c r="H76" s="276">
        <f>(IF($A76="SINAPI",INDEX(SINAPI_NOV2020_NDES!$A$7:$H$6703,MATCH($B76,SINAPI_NOV2020_NDES!$A$7:$A$6703,0),7),(INDEX(COMPOS!$A$4:$G$801,MATCH($B76,COMPOS!$A$4:A$801,0),6))))</f>
        <v>0</v>
      </c>
      <c r="I76" s="276">
        <f t="shared" si="14"/>
        <v>9.2381600000000006</v>
      </c>
      <c r="J76" s="276">
        <f t="shared" si="15"/>
        <v>46.190800000000003</v>
      </c>
      <c r="O76" s="256"/>
    </row>
    <row r="77" spans="1:15" ht="15" customHeight="1">
      <c r="A77" s="251" t="s">
        <v>6307</v>
      </c>
      <c r="B77" s="290">
        <v>809</v>
      </c>
      <c r="C77" s="301" t="str">
        <f>(IF($A77="SINAPI",INDEX(SINAPI_NOV2020_NDES!$A$7:$H$6703,MATCH($B77,SINAPI_NOV2020_NDES!$A$7:$A$6703,0),2),IF($A77="GOINFRA",INDEX(#REF!,MATCH($B77,#REF!,0),2),(INDEX(COMPOS!$A$4:$G$390,MATCH($B77,COMPOS!$A$4:A$390,0),2)))))</f>
        <v>PROLONGAMENTO PARA CAIXA SIFONADA 100MM</v>
      </c>
      <c r="D77" s="274" t="str">
        <f>(IF($A77="SINAPI",INDEX(SINAPI_NOV2020_NDES!$A$7:$H$6790,MATCH($B77,SINAPI_NOV2020_NDES!$A$7:$A$6790,0),3),(INDEX(COMPOS!$A$4:$G$5000,MATCH($B77,COMPOS!$A$4:$A$5000,0),3))))</f>
        <v>M</v>
      </c>
      <c r="E77" s="276">
        <v>2</v>
      </c>
      <c r="F77" s="276">
        <f>(IF($A77="SINAPI",INDEX(SINAPI_NOV2020_NDES!$A$7:$H$6703,MATCH($B77,SINAPI_NOV2020_NDES!$A$7:$A$6703,0),5),(INDEX(COMPOS!$A$4:$G$801,MATCH($B77,COMPOS!$A$4:A$801,0),4))))</f>
        <v>19.468800000000002</v>
      </c>
      <c r="G77" s="276">
        <f>(IF($A77="SINAPI",INDEX(SINAPI_NOV2020_NDES!$A$7:$H$6703,MATCH($B77,SINAPI_NOV2020_NDES!$A$7:$A$6703,0),6),(INDEX(COMPOS!$A$4:$G$801,MATCH($B77,COMPOS!$A$4:A$801,0),5))))</f>
        <v>10.0192</v>
      </c>
      <c r="H77" s="276">
        <f>(IF($A77="SINAPI",INDEX(SINAPI_NOV2020_NDES!$A$7:$H$6703,MATCH($B77,SINAPI_NOV2020_NDES!$A$7:$A$6703,0),7),(INDEX(COMPOS!$A$4:$G$801,MATCH($B77,COMPOS!$A$4:A$801,0),6))))</f>
        <v>0</v>
      </c>
      <c r="I77" s="276">
        <f t="shared" si="14"/>
        <v>29.488</v>
      </c>
      <c r="J77" s="276">
        <f t="shared" si="15"/>
        <v>58.975999999999999</v>
      </c>
      <c r="O77" s="256"/>
    </row>
    <row r="78" spans="1:15" ht="15" customHeight="1">
      <c r="A78" s="251" t="s">
        <v>6307</v>
      </c>
      <c r="B78" s="290">
        <v>336</v>
      </c>
      <c r="C78" s="301" t="str">
        <f>(IF($A78="SINAPI",INDEX(SINAPI_NOV2020_NDES!$A$7:$H$6703,MATCH($B78,SINAPI_NOV2020_NDES!$A$7:$A$6703,0),2),IF($A78="GOINFRA",INDEX(#REF!,MATCH($B78,#REF!,0),2),(INDEX(COMPOS!$A$4:$G$390,MATCH($B78,COMPOS!$A$4:A$390,0),2)))))</f>
        <v>TERMINAL DE VENTILAÇÃO DIAM. 50MM</v>
      </c>
      <c r="D78" s="274" t="str">
        <f>(IF($A78="SINAPI",INDEX(SINAPI_NOV2020_NDES!$A$7:$H$6790,MATCH($B78,SINAPI_NOV2020_NDES!$A$7:$A$6790,0),3),(INDEX(COMPOS!$A$4:$G$5000,MATCH($B78,COMPOS!$A$4:$A$5000,0),3))))</f>
        <v>UN</v>
      </c>
      <c r="E78" s="276">
        <v>1</v>
      </c>
      <c r="F78" s="276">
        <f>(IF($A78="SINAPI",INDEX(SINAPI_NOV2020_NDES!$A$7:$H$6703,MATCH($B78,SINAPI_NOV2020_NDES!$A$7:$A$6703,0),5),(INDEX(COMPOS!$A$4:$G$801,MATCH($B78,COMPOS!$A$4:A$801,0),4))))</f>
        <v>2.6208</v>
      </c>
      <c r="G78" s="276">
        <f>(IF($A78="SINAPI",INDEX(SINAPI_NOV2020_NDES!$A$7:$H$6703,MATCH($B78,SINAPI_NOV2020_NDES!$A$7:$A$6703,0),6),(INDEX(COMPOS!$A$4:$G$801,MATCH($B78,COMPOS!$A$4:A$801,0),5))))</f>
        <v>4.6500000000000004</v>
      </c>
      <c r="H78" s="276">
        <f>(IF($A78="SINAPI",INDEX(SINAPI_NOV2020_NDES!$A$7:$H$6703,MATCH($B78,SINAPI_NOV2020_NDES!$A$7:$A$6703,0),7),(INDEX(COMPOS!$A$4:$G$801,MATCH($B78,COMPOS!$A$4:A$801,0),6))))</f>
        <v>0</v>
      </c>
      <c r="I78" s="276">
        <f t="shared" si="14"/>
        <v>7.2708000000000004</v>
      </c>
      <c r="J78" s="276">
        <f t="shared" si="15"/>
        <v>7.2708000000000004</v>
      </c>
      <c r="O78" s="256"/>
    </row>
    <row r="79" spans="1:15" ht="36" customHeight="1">
      <c r="A79" s="251" t="s">
        <v>7</v>
      </c>
      <c r="B79" s="290">
        <v>89724</v>
      </c>
      <c r="C79" s="301" t="str">
        <f>(IF($A79="SINAPI",INDEX(SINAPI_NOV2020_NDES!$A$7:$H$6703,MATCH($B79,SINAPI_NOV2020_NDES!$A$7:$A$6703,0),2),IF($A79="GOINFRA",INDEX(#REF!,MATCH($B79,#REF!,0),2),(INDEX(COMPOS!$A$4:$G$390,MATCH($B79,COMPOS!$A$4:A$390,0),2)))))</f>
        <v>JOELHO 90 GRAUS, PVC, SERIE NORMAL, ESGOTO PREDIAL, DN 40 MM, JUNTA SOLDÁVEL, FORNECIDO E INSTALADO EM RAMAL DE DESCARGA OU RAMAL DE ESGOTO SANITÁRIO. AF_12/2014</v>
      </c>
      <c r="D79" s="274" t="str">
        <f>(IF($A79="SINAPI",INDEX(SINAPI_NOV2020_NDES!$A$7:$H$6790,MATCH($B79,SINAPI_NOV2020_NDES!$A$7:$A$6790,0),3),(INDEX(COMPOS!$A$4:$G$5000,MATCH($B79,COMPOS!$A$4:$A$5000,0),3))))</f>
        <v>UN</v>
      </c>
      <c r="E79" s="276">
        <v>2</v>
      </c>
      <c r="F79" s="276">
        <f>(IF($A79="SINAPI",INDEX(SINAPI_NOV2020_NDES!$A$7:$H$6703,MATCH($B79,SINAPI_NOV2020_NDES!$A$7:$A$6703,0),5),(INDEX(COMPOS!$A$4:$G$801,MATCH($B79,COMPOS!$A$4:A$801,0),4))))</f>
        <v>2.92</v>
      </c>
      <c r="G79" s="276">
        <f>(IF($A79="SINAPI",INDEX(SINAPI_NOV2020_NDES!$A$7:$H$6703,MATCH($B79,SINAPI_NOV2020_NDES!$A$7:$A$6703,0),6),(INDEX(COMPOS!$A$4:$G$801,MATCH($B79,COMPOS!$A$4:A$801,0),5))))</f>
        <v>4.72</v>
      </c>
      <c r="H79" s="276">
        <f>(IF($A79="SINAPI",INDEX(SINAPI_NOV2020_NDES!$A$7:$H$6703,MATCH($B79,SINAPI_NOV2020_NDES!$A$7:$A$6703,0),7),(INDEX(COMPOS!$A$4:$G$801,MATCH($B79,COMPOS!$A$4:A$801,0),6))))</f>
        <v>0</v>
      </c>
      <c r="I79" s="276">
        <f t="shared" si="14"/>
        <v>7.64</v>
      </c>
      <c r="J79" s="276">
        <f t="shared" si="15"/>
        <v>15.28</v>
      </c>
      <c r="O79" s="256"/>
    </row>
    <row r="80" spans="1:15" ht="36" customHeight="1">
      <c r="A80" s="251" t="s">
        <v>7</v>
      </c>
      <c r="B80" s="290">
        <v>89731</v>
      </c>
      <c r="C80" s="301" t="str">
        <f>(IF($A80="SINAPI",INDEX(SINAPI_NOV2020_NDES!$A$7:$H$6703,MATCH($B80,SINAPI_NOV2020_NDES!$A$7:$A$6703,0),2),IF($A80="GOINFRA",INDEX(#REF!,MATCH($B80,#REF!,0),2),(INDEX(COMPOS!$A$4:$G$390,MATCH($B80,COMPOS!$A$4:A$390,0),2)))))</f>
        <v>JOELHO 90 GRAUS, PVC, SERIE NORMAL, ESGOTO PREDIAL, DN 50 MM, JUNTA ELÁSTICA, FORNECIDO E INSTALADO EM RAMAL DE DESCARGA OU RAMAL DE ESGOTO SANITÁRIO. AF_12/2014</v>
      </c>
      <c r="D80" s="274" t="str">
        <f>(IF($A80="SINAPI",INDEX(SINAPI_NOV2020_NDES!$A$7:$H$6790,MATCH($B80,SINAPI_NOV2020_NDES!$A$7:$A$6790,0),3),(INDEX(COMPOS!$A$4:$G$5000,MATCH($B80,COMPOS!$A$4:$A$5000,0),3))))</f>
        <v>UN</v>
      </c>
      <c r="E80" s="276">
        <v>2</v>
      </c>
      <c r="F80" s="276">
        <f>(IF($A80="SINAPI",INDEX(SINAPI_NOV2020_NDES!$A$7:$H$6703,MATCH($B80,SINAPI_NOV2020_NDES!$A$7:$A$6703,0),5),(INDEX(COMPOS!$A$4:$G$801,MATCH($B80,COMPOS!$A$4:A$801,0),4))))</f>
        <v>3.79</v>
      </c>
      <c r="G80" s="276">
        <f>(IF($A80="SINAPI",INDEX(SINAPI_NOV2020_NDES!$A$7:$H$6703,MATCH($B80,SINAPI_NOV2020_NDES!$A$7:$A$6703,0),6),(INDEX(COMPOS!$A$4:$G$801,MATCH($B80,COMPOS!$A$4:A$801,0),5))))</f>
        <v>4.87</v>
      </c>
      <c r="H80" s="276">
        <f>(IF($A80="SINAPI",INDEX(SINAPI_NOV2020_NDES!$A$7:$H$6703,MATCH($B80,SINAPI_NOV2020_NDES!$A$7:$A$6703,0),7),(INDEX(COMPOS!$A$4:$G$801,MATCH($B80,COMPOS!$A$4:A$801,0),6))))</f>
        <v>0</v>
      </c>
      <c r="I80" s="276">
        <f t="shared" si="14"/>
        <v>8.66</v>
      </c>
      <c r="J80" s="276">
        <f t="shared" si="15"/>
        <v>17.32</v>
      </c>
      <c r="O80" s="256"/>
    </row>
    <row r="81" spans="1:16" ht="36" customHeight="1">
      <c r="A81" s="251" t="s">
        <v>7</v>
      </c>
      <c r="B81" s="290">
        <v>89744</v>
      </c>
      <c r="C81" s="301" t="str">
        <f>(IF($A81="SINAPI",INDEX(SINAPI_NOV2020_NDES!$A$7:$H$6703,MATCH($B81,SINAPI_NOV2020_NDES!$A$7:$A$6703,0),2),IF($A81="GOINFRA",INDEX(#REF!,MATCH($B81,#REF!,0),2),(INDEX(COMPOS!$A$4:$G$390,MATCH($B81,COMPOS!$A$4:A$390,0),2)))))</f>
        <v>JOELHO 90 GRAUS, PVC, SERIE NORMAL, ESGOTO PREDIAL, DN 100 MM, JUNTA ELÁSTICA, FORNECIDO E INSTALADO EM RAMAL DE DESCARGA OU RAMAL DE ESGOTO SANITÁRIO. AF_12/2014</v>
      </c>
      <c r="D81" s="274" t="str">
        <f>(IF($A81="SINAPI",INDEX(SINAPI_NOV2020_NDES!$A$7:$H$6790,MATCH($B81,SINAPI_NOV2020_NDES!$A$7:$A$6790,0),3),(INDEX(COMPOS!$A$4:$G$5000,MATCH($B81,COMPOS!$A$4:$A$5000,0),3))))</f>
        <v>UN</v>
      </c>
      <c r="E81" s="276">
        <v>2</v>
      </c>
      <c r="F81" s="276">
        <f>(IF($A81="SINAPI",INDEX(SINAPI_NOV2020_NDES!$A$7:$H$6703,MATCH($B81,SINAPI_NOV2020_NDES!$A$7:$A$6703,0),5),(INDEX(COMPOS!$A$4:$G$801,MATCH($B81,COMPOS!$A$4:A$801,0),4))))</f>
        <v>7.29</v>
      </c>
      <c r="G81" s="276">
        <f>(IF($A81="SINAPI",INDEX(SINAPI_NOV2020_NDES!$A$7:$H$6703,MATCH($B81,SINAPI_NOV2020_NDES!$A$7:$A$6703,0),6),(INDEX(COMPOS!$A$4:$G$801,MATCH($B81,COMPOS!$A$4:A$801,0),5))))</f>
        <v>11.68</v>
      </c>
      <c r="H81" s="276">
        <f>(IF($A81="SINAPI",INDEX(SINAPI_NOV2020_NDES!$A$7:$H$6703,MATCH($B81,SINAPI_NOV2020_NDES!$A$7:$A$6703,0),7),(INDEX(COMPOS!$A$4:$G$801,MATCH($B81,COMPOS!$A$4:A$801,0),6))))</f>
        <v>0</v>
      </c>
      <c r="I81" s="276">
        <f t="shared" si="14"/>
        <v>18.97</v>
      </c>
      <c r="J81" s="276">
        <f t="shared" si="15"/>
        <v>37.94</v>
      </c>
      <c r="O81" s="256"/>
    </row>
    <row r="82" spans="1:16" ht="24" customHeight="1">
      <c r="A82" s="251" t="s">
        <v>7</v>
      </c>
      <c r="B82" s="290">
        <v>89362</v>
      </c>
      <c r="C82" s="301" t="str">
        <f>(IF($A82="SINAPI",INDEX(SINAPI_NOV2020_NDES!$A$7:$H$6703,MATCH($B82,SINAPI_NOV2020_NDES!$A$7:$A$6703,0),2),IF($A82="GOINFRA",INDEX(#REF!,MATCH($B82,#REF!,0),2),(INDEX(COMPOS!$A$4:$G$390,MATCH($B82,COMPOS!$A$4:A$390,0),2)))))</f>
        <v>JOELHO 90 GRAUS, PVC, SOLDÁVEL, DN 25MM, INSTALADO EM RAMAL OU SUB-RAMAL DE ÁGUA - FORNECIMENTO E INSTALAÇÃO. AF_12/2014</v>
      </c>
      <c r="D82" s="274" t="str">
        <f>(IF($A82="SINAPI",INDEX(SINAPI_NOV2020_NDES!$A$7:$H$6790,MATCH($B82,SINAPI_NOV2020_NDES!$A$7:$A$6790,0),3),(INDEX(COMPOS!$A$4:$G$5000,MATCH($B82,COMPOS!$A$4:$A$5000,0),3))))</f>
        <v>UN</v>
      </c>
      <c r="E82" s="276">
        <v>3</v>
      </c>
      <c r="F82" s="276">
        <f>(IF($A82="SINAPI",INDEX(SINAPI_NOV2020_NDES!$A$7:$H$6703,MATCH($B82,SINAPI_NOV2020_NDES!$A$7:$A$6703,0),5),(INDEX(COMPOS!$A$4:$G$801,MATCH($B82,COMPOS!$A$4:A$801,0),4))))</f>
        <v>4.4000000000000004</v>
      </c>
      <c r="G82" s="276">
        <f>(IF($A82="SINAPI",INDEX(SINAPI_NOV2020_NDES!$A$7:$H$6703,MATCH($B82,SINAPI_NOV2020_NDES!$A$7:$A$6703,0),6),(INDEX(COMPOS!$A$4:$G$801,MATCH($B82,COMPOS!$A$4:A$801,0),5))))</f>
        <v>2.72</v>
      </c>
      <c r="H82" s="276">
        <f>(IF($A82="SINAPI",INDEX(SINAPI_NOV2020_NDES!$A$7:$H$6703,MATCH($B82,SINAPI_NOV2020_NDES!$A$7:$A$6703,0),7),(INDEX(COMPOS!$A$4:$G$801,MATCH($B82,COMPOS!$A$4:A$801,0),6))))</f>
        <v>0</v>
      </c>
      <c r="I82" s="276">
        <f t="shared" si="14"/>
        <v>7.120000000000001</v>
      </c>
      <c r="J82" s="276">
        <f t="shared" si="15"/>
        <v>21.360000000000003</v>
      </c>
      <c r="O82" s="256"/>
    </row>
    <row r="83" spans="1:16" ht="24" customHeight="1">
      <c r="A83" s="251" t="s">
        <v>7</v>
      </c>
      <c r="B83" s="290">
        <v>89395</v>
      </c>
      <c r="C83" s="301" t="str">
        <f>(IF($A83="SINAPI",INDEX(SINAPI_NOV2020_NDES!$A$7:$H$6703,MATCH($B83,SINAPI_NOV2020_NDES!$A$7:$A$6703,0),2),IF($A83="GOINFRA",INDEX(#REF!,MATCH($B83,#REF!,0),2),(INDEX(COMPOS!$A$4:$G$390,MATCH($B83,COMPOS!$A$4:A$390,0),2)))))</f>
        <v>TE, PVC, SOLDÁVEL, DN 25MM, INSTALADO EM RAMAL OU SUB-RAMAL DE ÁGUA - FORNECIMENTO E INSTALAÇÃO. AF_12/2014</v>
      </c>
      <c r="D83" s="274" t="str">
        <f>(IF($A83="SINAPI",INDEX(SINAPI_NOV2020_NDES!$A$7:$H$6790,MATCH($B83,SINAPI_NOV2020_NDES!$A$7:$A$6790,0),3),(INDEX(COMPOS!$A$4:$G$5000,MATCH($B83,COMPOS!$A$4:$A$5000,0),3))))</f>
        <v>UN</v>
      </c>
      <c r="E83" s="276">
        <v>3</v>
      </c>
      <c r="F83" s="276">
        <f>(IF($A83="SINAPI",INDEX(SINAPI_NOV2020_NDES!$A$7:$H$6703,MATCH($B83,SINAPI_NOV2020_NDES!$A$7:$A$6703,0),5),(INDEX(COMPOS!$A$4:$G$801,MATCH($B83,COMPOS!$A$4:A$801,0),4))))</f>
        <v>5.85</v>
      </c>
      <c r="G83" s="276">
        <f>(IF($A83="SINAPI",INDEX(SINAPI_NOV2020_NDES!$A$7:$H$6703,MATCH($B83,SINAPI_NOV2020_NDES!$A$7:$A$6703,0),6),(INDEX(COMPOS!$A$4:$G$801,MATCH($B83,COMPOS!$A$4:A$801,0),5))))</f>
        <v>4.0599999999999996</v>
      </c>
      <c r="H83" s="276">
        <f>(IF($A83="SINAPI",INDEX(SINAPI_NOV2020_NDES!$A$7:$H$6703,MATCH($B83,SINAPI_NOV2020_NDES!$A$7:$A$6703,0),7),(INDEX(COMPOS!$A$4:$G$801,MATCH($B83,COMPOS!$A$4:A$801,0),6))))</f>
        <v>0</v>
      </c>
      <c r="I83" s="276">
        <f t="shared" si="14"/>
        <v>9.91</v>
      </c>
      <c r="J83" s="276">
        <f t="shared" si="15"/>
        <v>29.73</v>
      </c>
      <c r="O83" s="256"/>
    </row>
    <row r="84" spans="1:16" ht="24" customHeight="1">
      <c r="A84" s="251" t="s">
        <v>7</v>
      </c>
      <c r="B84" s="290">
        <v>89625</v>
      </c>
      <c r="C84" s="301" t="str">
        <f>(IF($A84="SINAPI",INDEX(SINAPI_NOV2020_NDES!$A$7:$H$6703,MATCH($B84,SINAPI_NOV2020_NDES!$A$7:$A$6703,0),2),IF($A84="GOINFRA",INDEX(#REF!,MATCH($B84,#REF!,0),2),(INDEX(COMPOS!$A$4:$G$390,MATCH($B84,COMPOS!$A$4:A$390,0),2)))))</f>
        <v>TE, PVC, SOLDÁVEL, DN 50MM, INSTALADO EM PRUMADA DE ÁGUA - FORNECIMENTO E INSTALAÇÃO. AF_12/2014</v>
      </c>
      <c r="D84" s="274" t="str">
        <f>(IF($A84="SINAPI",INDEX(SINAPI_NOV2020_NDES!$A$7:$H$6790,MATCH($B84,SINAPI_NOV2020_NDES!$A$7:$A$6790,0),3),(INDEX(COMPOS!$A$4:$G$5000,MATCH($B84,COMPOS!$A$4:$A$5000,0),3))))</f>
        <v>UN</v>
      </c>
      <c r="E84" s="276">
        <v>1</v>
      </c>
      <c r="F84" s="276">
        <f>(IF($A84="SINAPI",INDEX(SINAPI_NOV2020_NDES!$A$7:$H$6703,MATCH($B84,SINAPI_NOV2020_NDES!$A$7:$A$6703,0),5),(INDEX(COMPOS!$A$4:$G$801,MATCH($B84,COMPOS!$A$4:A$801,0),4))))</f>
        <v>4.2</v>
      </c>
      <c r="G84" s="276">
        <f>(IF($A84="SINAPI",INDEX(SINAPI_NOV2020_NDES!$A$7:$H$6703,MATCH($B84,SINAPI_NOV2020_NDES!$A$7:$A$6703,0),6),(INDEX(COMPOS!$A$4:$G$801,MATCH($B84,COMPOS!$A$4:A$801,0),5))))</f>
        <v>12.77</v>
      </c>
      <c r="H84" s="276">
        <f>(IF($A84="SINAPI",INDEX(SINAPI_NOV2020_NDES!$A$7:$H$6703,MATCH($B84,SINAPI_NOV2020_NDES!$A$7:$A$6703,0),7),(INDEX(COMPOS!$A$4:$G$801,MATCH($B84,COMPOS!$A$4:A$801,0),6))))</f>
        <v>0</v>
      </c>
      <c r="I84" s="276">
        <f t="shared" si="14"/>
        <v>16.97</v>
      </c>
      <c r="J84" s="276">
        <f t="shared" si="15"/>
        <v>16.97</v>
      </c>
      <c r="O84" s="256"/>
    </row>
    <row r="85" spans="1:16" ht="36" customHeight="1">
      <c r="A85" s="251" t="s">
        <v>7</v>
      </c>
      <c r="B85" s="290">
        <v>89724</v>
      </c>
      <c r="C85" s="301" t="str">
        <f>(IF($A85="SINAPI",INDEX(SINAPI_NOV2020_NDES!$A$7:$H$6703,MATCH($B85,SINAPI_NOV2020_NDES!$A$7:$A$6703,0),2),IF($A85="GOINFRA",INDEX(#REF!,MATCH($B85,#REF!,0),2),(INDEX(COMPOS!$A$4:$G$390,MATCH($B85,COMPOS!$A$4:A$390,0),2)))))</f>
        <v>JOELHO 90 GRAUS, PVC, SERIE NORMAL, ESGOTO PREDIAL, DN 40 MM, JUNTA SOLDÁVEL, FORNECIDO E INSTALADO EM RAMAL DE DESCARGA OU RAMAL DE ESGOTO SANITÁRIO. AF_12/2014</v>
      </c>
      <c r="D85" s="274" t="str">
        <f>(IF($A85="SINAPI",INDEX(SINAPI_NOV2020_NDES!$A$7:$H$6790,MATCH($B85,SINAPI_NOV2020_NDES!$A$7:$A$6790,0),3),(INDEX(COMPOS!$A$4:$G$5000,MATCH($B85,COMPOS!$A$4:$A$5000,0),3))))</f>
        <v>UN</v>
      </c>
      <c r="E85" s="276">
        <v>2</v>
      </c>
      <c r="F85" s="276">
        <f>(IF($A85="SINAPI",INDEX(SINAPI_NOV2020_NDES!$A$7:$H$6703,MATCH($B85,SINAPI_NOV2020_NDES!$A$7:$A$6703,0),5),(INDEX(COMPOS!$A$4:$G$801,MATCH($B85,COMPOS!$A$4:A$801,0),4))))</f>
        <v>2.92</v>
      </c>
      <c r="G85" s="276">
        <f>(IF($A85="SINAPI",INDEX(SINAPI_NOV2020_NDES!$A$7:$H$6703,MATCH($B85,SINAPI_NOV2020_NDES!$A$7:$A$6703,0),6),(INDEX(COMPOS!$A$4:$G$801,MATCH($B85,COMPOS!$A$4:A$801,0),5))))</f>
        <v>4.72</v>
      </c>
      <c r="H85" s="276">
        <f>(IF($A85="SINAPI",INDEX(SINAPI_NOV2020_NDES!$A$7:$H$6703,MATCH($B85,SINAPI_NOV2020_NDES!$A$7:$A$6703,0),7),(INDEX(COMPOS!$A$4:$G$801,MATCH($B85,COMPOS!$A$4:A$801,0),6))))</f>
        <v>0</v>
      </c>
      <c r="I85" s="276">
        <f t="shared" si="14"/>
        <v>7.64</v>
      </c>
      <c r="J85" s="276">
        <f t="shared" si="15"/>
        <v>15.28</v>
      </c>
      <c r="O85" s="256"/>
    </row>
    <row r="86" spans="1:16" ht="36" customHeight="1">
      <c r="A86" s="251" t="s">
        <v>7</v>
      </c>
      <c r="B86" s="290">
        <v>89732</v>
      </c>
      <c r="C86" s="301" t="str">
        <f>(IF($A86="SINAPI",INDEX(SINAPI_NOV2020_NDES!$A$7:$H$6703,MATCH($B86,SINAPI_NOV2020_NDES!$A$7:$A$6703,0),2),IF($A86="GOINFRA",INDEX(#REF!,MATCH($B86,#REF!,0),2),(INDEX(COMPOS!$A$4:$G$390,MATCH($B86,COMPOS!$A$4:A$390,0),2)))))</f>
        <v>JOELHO 45 GRAUS, PVC, SERIE NORMAL, ESGOTO PREDIAL, DN 50 MM, JUNTA ELÁSTICA, FORNECIDO E INSTALADO EM RAMAL DE DESCARGA OU RAMAL DE ESGOTO SANITÁRIO. AF_12/2014</v>
      </c>
      <c r="D86" s="274" t="str">
        <f>(IF($A86="SINAPI",INDEX(SINAPI_NOV2020_NDES!$A$7:$H$6790,MATCH($B86,SINAPI_NOV2020_NDES!$A$7:$A$6790,0),3),(INDEX(COMPOS!$A$4:$G$5000,MATCH($B86,COMPOS!$A$4:$A$5000,0),3))))</f>
        <v>UN</v>
      </c>
      <c r="E86" s="276">
        <v>1</v>
      </c>
      <c r="F86" s="276">
        <f>(IF($A86="SINAPI",INDEX(SINAPI_NOV2020_NDES!$A$7:$H$6703,MATCH($B86,SINAPI_NOV2020_NDES!$A$7:$A$6703,0),5),(INDEX(COMPOS!$A$4:$G$801,MATCH($B86,COMPOS!$A$4:A$801,0),4))))</f>
        <v>3.79</v>
      </c>
      <c r="G86" s="276">
        <f>(IF($A86="SINAPI",INDEX(SINAPI_NOV2020_NDES!$A$7:$H$6703,MATCH($B86,SINAPI_NOV2020_NDES!$A$7:$A$6703,0),6),(INDEX(COMPOS!$A$4:$G$801,MATCH($B86,COMPOS!$A$4:A$801,0),5))))</f>
        <v>5.29</v>
      </c>
      <c r="H86" s="276">
        <f>(IF($A86="SINAPI",INDEX(SINAPI_NOV2020_NDES!$A$7:$H$6703,MATCH($B86,SINAPI_NOV2020_NDES!$A$7:$A$6703,0),7),(INDEX(COMPOS!$A$4:$G$801,MATCH($B86,COMPOS!$A$4:A$801,0),6))))</f>
        <v>0</v>
      </c>
      <c r="I86" s="276">
        <f t="shared" si="14"/>
        <v>9.08</v>
      </c>
      <c r="J86" s="276">
        <f t="shared" si="15"/>
        <v>9.08</v>
      </c>
      <c r="O86" s="256"/>
    </row>
    <row r="87" spans="1:16" ht="75" customHeight="1">
      <c r="A87" s="251" t="s">
        <v>7</v>
      </c>
      <c r="B87" s="290">
        <v>89711</v>
      </c>
      <c r="C87" s="301" t="str">
        <f>(IF($A87="SINAPI",INDEX(SINAPI_NOV2020_NDES!$A$7:$H$6703,MATCH($B87,SINAPI_NOV2020_NDES!$A$7:$A$6703,0),2),IF($A87="GOINFRA",INDEX(#REF!,MATCH($B87,#REF!,0),2),(INDEX(COMPOS!$A$4:$G$390,MATCH($B87,COMPOS!$A$4:A$390,0),2)))))</f>
        <v>TUBO PVC, SERIE NORMAL, ESGOTO PREDIAL, DN 40 MM, FORNECIDO E INSTALADO EM RAMAL DE DESCARGA OU RAMAL DE ESGOTO SANITÁRIO. AF_12/2014</v>
      </c>
      <c r="D87" s="274" t="str">
        <f>(IF($A87="SINAPI",INDEX(SINAPI_NOV2020_NDES!$A$7:$H$6790,MATCH($B87,SINAPI_NOV2020_NDES!$A$7:$A$6790,0),3),(INDEX(COMPOS!$A$4:$G$5000,MATCH($B87,COMPOS!$A$4:$A$5000,0),3))))</f>
        <v>M</v>
      </c>
      <c r="E87" s="276">
        <v>7</v>
      </c>
      <c r="F87" s="276">
        <f>(IF($A87="SINAPI",INDEX(SINAPI_NOV2020_NDES!$A$7:$H$6703,MATCH($B87,SINAPI_NOV2020_NDES!$A$7:$A$6703,0),5),(INDEX(COMPOS!$A$4:$G$801,MATCH($B87,COMPOS!$A$4:A$801,0),4))))</f>
        <v>8.7799999999999994</v>
      </c>
      <c r="G87" s="276">
        <f>(IF($A87="SINAPI",INDEX(SINAPI_NOV2020_NDES!$A$7:$H$6703,MATCH($B87,SINAPI_NOV2020_NDES!$A$7:$A$6703,0),6),(INDEX(COMPOS!$A$4:$G$801,MATCH($B87,COMPOS!$A$4:A$801,0),5))))</f>
        <v>6.34</v>
      </c>
      <c r="H87" s="276">
        <f>(IF($A87="SINAPI",INDEX(SINAPI_NOV2020_NDES!$A$7:$H$6703,MATCH($B87,SINAPI_NOV2020_NDES!$A$7:$A$6703,0),7),(INDEX(COMPOS!$A$4:$G$801,MATCH($B87,COMPOS!$A$4:A$801,0),6))))</f>
        <v>0</v>
      </c>
      <c r="I87" s="276">
        <f t="shared" si="14"/>
        <v>15.12</v>
      </c>
      <c r="J87" s="276">
        <f t="shared" si="15"/>
        <v>105.83999999999999</v>
      </c>
      <c r="O87" s="256"/>
    </row>
    <row r="88" spans="1:16" ht="36" customHeight="1">
      <c r="A88" s="251" t="s">
        <v>7</v>
      </c>
      <c r="B88" s="290">
        <v>89712</v>
      </c>
      <c r="C88" s="301" t="str">
        <f>(IF($A88="SINAPI",INDEX(SINAPI_NOV2020_NDES!$A$7:$H$6703,MATCH($B88,SINAPI_NOV2020_NDES!$A$7:$A$6703,0),2),IF($A88="GOINFRA",INDEX(#REF!,MATCH($B88,#REF!,0),2),(INDEX(COMPOS!$A$4:$G$390,MATCH($B88,COMPOS!$A$4:A$390,0),2)))))</f>
        <v>TUBO PVC, SERIE NORMAL, ESGOTO PREDIAL, DN 50 MM, FORNECIDO E INSTALADO EM RAMAL DE DESCARGA OU RAMAL DE ESGOTO SANITÁRIO. AF_12/2014</v>
      </c>
      <c r="D88" s="274" t="str">
        <f>(IF($A88="SINAPI",INDEX(SINAPI_NOV2020_NDES!$A$7:$H$6790,MATCH($B88,SINAPI_NOV2020_NDES!$A$7:$A$6790,0),3),(INDEX(COMPOS!$A$4:$G$5000,MATCH($B88,COMPOS!$A$4:$A$5000,0),3))))</f>
        <v>M</v>
      </c>
      <c r="E88" s="276">
        <v>12</v>
      </c>
      <c r="F88" s="276">
        <f>(IF($A88="SINAPI",INDEX(SINAPI_NOV2020_NDES!$A$7:$H$6703,MATCH($B88,SINAPI_NOV2020_NDES!$A$7:$A$6703,0),5),(INDEX(COMPOS!$A$4:$G$801,MATCH($B88,COMPOS!$A$4:A$801,0),4))))</f>
        <v>11.09</v>
      </c>
      <c r="G88" s="276">
        <f>(IF($A88="SINAPI",INDEX(SINAPI_NOV2020_NDES!$A$7:$H$6703,MATCH($B88,SINAPI_NOV2020_NDES!$A$7:$A$6703,0),6),(INDEX(COMPOS!$A$4:$G$801,MATCH($B88,COMPOS!$A$4:A$801,0),5))))</f>
        <v>11.23</v>
      </c>
      <c r="H88" s="276">
        <f>(IF($A88="SINAPI",INDEX(SINAPI_NOV2020_NDES!$A$7:$H$6703,MATCH($B88,SINAPI_NOV2020_NDES!$A$7:$A$6703,0),7),(INDEX(COMPOS!$A$4:$G$801,MATCH($B88,COMPOS!$A$4:A$801,0),6))))</f>
        <v>0</v>
      </c>
      <c r="I88" s="276">
        <f t="shared" si="14"/>
        <v>22.32</v>
      </c>
      <c r="J88" s="276">
        <f t="shared" si="15"/>
        <v>267.84000000000003</v>
      </c>
      <c r="O88" s="256"/>
    </row>
    <row r="89" spans="1:16" ht="36" customHeight="1">
      <c r="A89" s="251" t="s">
        <v>7</v>
      </c>
      <c r="B89" s="290">
        <v>89714</v>
      </c>
      <c r="C89" s="301" t="str">
        <f>(IF($A89="SINAPI",INDEX(SINAPI_NOV2020_NDES!$A$7:$H$6703,MATCH($B89,SINAPI_NOV2020_NDES!$A$7:$A$6703,0),2),IF($A89="GOINFRA",INDEX(#REF!,MATCH($B89,#REF!,0),2),(INDEX(COMPOS!$A$4:$G$390,MATCH($B89,COMPOS!$A$4:A$390,0),2)))))</f>
        <v>TUBO PVC, SERIE NORMAL, ESGOTO PREDIAL, DN 100 MM, FORNECIDO E INSTALADO EM RAMAL DE DESCARGA OU RAMAL DE ESGOTO SANITÁRIO. AF_12/2014</v>
      </c>
      <c r="D89" s="274" t="str">
        <f>(IF($A89="SINAPI",INDEX(SINAPI_NOV2020_NDES!$A$7:$H$6790,MATCH($B89,SINAPI_NOV2020_NDES!$A$7:$A$6790,0),3),(INDEX(COMPOS!$A$4:$G$5000,MATCH($B89,COMPOS!$A$4:$A$5000,0),3))))</f>
        <v>M</v>
      </c>
      <c r="E89" s="276">
        <v>36</v>
      </c>
      <c r="F89" s="276">
        <f>(IF($A89="SINAPI",INDEX(SINAPI_NOV2020_NDES!$A$7:$H$6703,MATCH($B89,SINAPI_NOV2020_NDES!$A$7:$A$6703,0),5),(INDEX(COMPOS!$A$4:$G$801,MATCH($B89,COMPOS!$A$4:A$801,0),4))))</f>
        <v>21.61</v>
      </c>
      <c r="G89" s="276">
        <f>(IF($A89="SINAPI",INDEX(SINAPI_NOV2020_NDES!$A$7:$H$6703,MATCH($B89,SINAPI_NOV2020_NDES!$A$7:$A$6703,0),6),(INDEX(COMPOS!$A$4:$G$801,MATCH($B89,COMPOS!$A$4:A$801,0),5))))</f>
        <v>22.25</v>
      </c>
      <c r="H89" s="276">
        <f>(IF($A89="SINAPI",INDEX(SINAPI_NOV2020_NDES!$A$7:$H$6703,MATCH($B89,SINAPI_NOV2020_NDES!$A$7:$A$6703,0),7),(INDEX(COMPOS!$A$4:$G$801,MATCH($B89,COMPOS!$A$4:A$801,0),6))))</f>
        <v>0</v>
      </c>
      <c r="I89" s="276">
        <f t="shared" si="14"/>
        <v>43.86</v>
      </c>
      <c r="J89" s="276">
        <f t="shared" si="15"/>
        <v>1578.96</v>
      </c>
      <c r="O89" s="256"/>
    </row>
    <row r="90" spans="1:16" ht="36" customHeight="1">
      <c r="A90" s="251" t="s">
        <v>7</v>
      </c>
      <c r="B90" s="290">
        <v>89726</v>
      </c>
      <c r="C90" s="301" t="str">
        <f>(IF($A90="SINAPI",INDEX(SINAPI_NOV2020_NDES!$A$7:$H$6703,MATCH($B90,SINAPI_NOV2020_NDES!$A$7:$A$6703,0),2),IF($A90="GOINFRA",INDEX(#REF!,MATCH($B90,#REF!,0),2),(INDEX(COMPOS!$A$4:$G$390,MATCH($B90,COMPOS!$A$4:A$390,0),2)))))</f>
        <v>JOELHO 45 GRAUS, PVC, SERIE NORMAL, ESGOTO PREDIAL, DN 40 MM, JUNTA SOLDÁVEL, FORNECIDO E INSTALADO EM RAMAL DE DESCARGA OU RAMAL DE ESGOTO SANITÁRIO. AF_12/2014</v>
      </c>
      <c r="D90" s="274" t="str">
        <f>(IF($A90="SINAPI",INDEX(SINAPI_NOV2020_NDES!$A$7:$H$6790,MATCH($B90,SINAPI_NOV2020_NDES!$A$7:$A$6790,0),3),(INDEX(COMPOS!$A$4:$G$5000,MATCH($B90,COMPOS!$A$4:$A$5000,0),3))))</f>
        <v>UN</v>
      </c>
      <c r="E90" s="276">
        <v>2</v>
      </c>
      <c r="F90" s="276">
        <f>(IF($A90="SINAPI",INDEX(SINAPI_NOV2020_NDES!$A$7:$H$6703,MATCH($B90,SINAPI_NOV2020_NDES!$A$7:$A$6703,0),5),(INDEX(COMPOS!$A$4:$G$801,MATCH($B90,COMPOS!$A$4:A$801,0),4))))</f>
        <v>2.92</v>
      </c>
      <c r="G90" s="276">
        <f>(IF($A90="SINAPI",INDEX(SINAPI_NOV2020_NDES!$A$7:$H$6703,MATCH($B90,SINAPI_NOV2020_NDES!$A$7:$A$6703,0),6),(INDEX(COMPOS!$A$4:$G$801,MATCH($B90,COMPOS!$A$4:A$801,0),5))))</f>
        <v>2.95</v>
      </c>
      <c r="H90" s="276">
        <f>(IF($A90="SINAPI",INDEX(SINAPI_NOV2020_NDES!$A$7:$H$6703,MATCH($B90,SINAPI_NOV2020_NDES!$A$7:$A$6703,0),7),(INDEX(COMPOS!$A$4:$G$801,MATCH($B90,COMPOS!$A$4:A$801,0),6))))</f>
        <v>0</v>
      </c>
      <c r="I90" s="276">
        <f t="shared" si="14"/>
        <v>5.87</v>
      </c>
      <c r="J90" s="276">
        <f t="shared" si="15"/>
        <v>11.74</v>
      </c>
      <c r="O90" s="256"/>
    </row>
    <row r="91" spans="1:16" ht="36" customHeight="1">
      <c r="A91" s="251" t="s">
        <v>7</v>
      </c>
      <c r="B91" s="290">
        <v>89746</v>
      </c>
      <c r="C91" s="301" t="str">
        <f>(IF($A91="SINAPI",INDEX(SINAPI_NOV2020_NDES!$A$7:$H$6703,MATCH($B91,SINAPI_NOV2020_NDES!$A$7:$A$6703,0),2),IF($A91="GOINFRA",INDEX(#REF!,MATCH($B91,#REF!,0),2),(INDEX(COMPOS!$A$4:$G$390,MATCH($B91,COMPOS!$A$4:A$390,0),2)))))</f>
        <v>JOELHO 45 GRAUS, PVC, SERIE NORMAL, ESGOTO PREDIAL, DN 100 MM, JUNTA ELÁSTICA, FORNECIDO E INSTALADO EM RAMAL DE DESCARGA OU RAMAL DE ESGOTO SANITÁRIO. AF_12/2014</v>
      </c>
      <c r="D91" s="274" t="str">
        <f>(IF($A91="SINAPI",INDEX(SINAPI_NOV2020_NDES!$A$7:$H$6790,MATCH($B91,SINAPI_NOV2020_NDES!$A$7:$A$6790,0),3),(INDEX(COMPOS!$A$4:$G$5000,MATCH($B91,COMPOS!$A$4:$A$5000,0),3))))</f>
        <v>UN</v>
      </c>
      <c r="E91" s="276">
        <v>1</v>
      </c>
      <c r="F91" s="276">
        <f>(IF($A91="SINAPI",INDEX(SINAPI_NOV2020_NDES!$A$7:$H$6703,MATCH($B91,SINAPI_NOV2020_NDES!$A$7:$A$6703,0),5),(INDEX(COMPOS!$A$4:$G$801,MATCH($B91,COMPOS!$A$4:A$801,0),4))))</f>
        <v>7.29</v>
      </c>
      <c r="G91" s="276">
        <f>(IF($A91="SINAPI",INDEX(SINAPI_NOV2020_NDES!$A$7:$H$6703,MATCH($B91,SINAPI_NOV2020_NDES!$A$7:$A$6703,0),6),(INDEX(COMPOS!$A$4:$G$801,MATCH($B91,COMPOS!$A$4:A$801,0),5))))</f>
        <v>11.64</v>
      </c>
      <c r="H91" s="276">
        <f>(IF($A91="SINAPI",INDEX(SINAPI_NOV2020_NDES!$A$7:$H$6703,MATCH($B91,SINAPI_NOV2020_NDES!$A$7:$A$6703,0),7),(INDEX(COMPOS!$A$4:$G$801,MATCH($B91,COMPOS!$A$4:A$801,0),6))))</f>
        <v>0</v>
      </c>
      <c r="I91" s="276">
        <f t="shared" si="14"/>
        <v>18.93</v>
      </c>
      <c r="J91" s="276">
        <f t="shared" si="15"/>
        <v>18.93</v>
      </c>
      <c r="O91" s="256"/>
    </row>
    <row r="92" spans="1:16" ht="36" customHeight="1">
      <c r="A92" s="251" t="s">
        <v>7</v>
      </c>
      <c r="B92" s="290">
        <v>89784</v>
      </c>
      <c r="C92" s="301" t="str">
        <f>(IF($A92="SINAPI",INDEX(SINAPI_NOV2020_NDES!$A$7:$H$6703,MATCH($B92,SINAPI_NOV2020_NDES!$A$7:$A$6703,0),2),IF($A92="GOINFRA",INDEX(#REF!,MATCH($B92,#REF!,0),2),(INDEX(COMPOS!$A$4:$G$390,MATCH($B92,COMPOS!$A$4:A$390,0),2)))))</f>
        <v>TE, PVC, SERIE NORMAL, ESGOTO PREDIAL, DN 50 X 50 MM, JUNTA ELÁSTICA, FORNECIDO E INSTALADO EM RAMAL DE DESCARGA OU RAMAL DE ESGOTO SANITÁRIO. AF_12/2014</v>
      </c>
      <c r="D92" s="274" t="str">
        <f>(IF($A92="SINAPI",INDEX(SINAPI_NOV2020_NDES!$A$7:$H$6790,MATCH($B92,SINAPI_NOV2020_NDES!$A$7:$A$6790,0),3),(INDEX(COMPOS!$A$4:$G$5000,MATCH($B92,COMPOS!$A$4:$A$5000,0),3))))</f>
        <v>UN</v>
      </c>
      <c r="E92" s="276">
        <v>3</v>
      </c>
      <c r="F92" s="276">
        <f>(IF($A92="SINAPI",INDEX(SINAPI_NOV2020_NDES!$A$7:$H$6703,MATCH($B92,SINAPI_NOV2020_NDES!$A$7:$A$6703,0),5),(INDEX(COMPOS!$A$4:$G$801,MATCH($B92,COMPOS!$A$4:A$801,0),4))))</f>
        <v>4.96</v>
      </c>
      <c r="G92" s="276">
        <f>(IF($A92="SINAPI",INDEX(SINAPI_NOV2020_NDES!$A$7:$H$6703,MATCH($B92,SINAPI_NOV2020_NDES!$A$7:$A$6703,0),6),(INDEX(COMPOS!$A$4:$G$801,MATCH($B92,COMPOS!$A$4:A$801,0),5))))</f>
        <v>10.43</v>
      </c>
      <c r="H92" s="276">
        <f>(IF($A92="SINAPI",INDEX(SINAPI_NOV2020_NDES!$A$7:$H$6703,MATCH($B92,SINAPI_NOV2020_NDES!$A$7:$A$6703,0),7),(INDEX(COMPOS!$A$4:$G$801,MATCH($B92,COMPOS!$A$4:A$801,0),6))))</f>
        <v>0</v>
      </c>
      <c r="I92" s="276">
        <f t="shared" si="14"/>
        <v>15.39</v>
      </c>
      <c r="J92" s="276">
        <f t="shared" si="15"/>
        <v>46.17</v>
      </c>
      <c r="O92" s="256"/>
    </row>
    <row r="93" spans="1:16" ht="36" customHeight="1">
      <c r="A93" s="251" t="s">
        <v>7</v>
      </c>
      <c r="B93" s="290">
        <v>89709</v>
      </c>
      <c r="C93" s="301" t="str">
        <f>(IF($A93="SINAPI",INDEX(SINAPI_NOV2020_NDES!$A$7:$H$6703,MATCH($B93,SINAPI_NOV2020_NDES!$A$7:$A$6703,0),2),IF($A93="GOINFRA",INDEX(#REF!,MATCH($B93,#REF!,0),2),(INDEX(COMPOS!$A$4:$G$390,MATCH($B93,COMPOS!$A$4:A$390,0),2)))))</f>
        <v>RALO SIFONADO, PVC, DN 100 X 40 MM, JUNTA SOLDÁVEL, FORNECIDO E INSTALADO EM RAMAL DE DESCARGA OU EM RAMAL DE ESGOTO SANITÁRIO. AF_12/2014</v>
      </c>
      <c r="D93" s="274" t="str">
        <f>(IF($A93="SINAPI",INDEX(SINAPI_NOV2020_NDES!$A$7:$H$6790,MATCH($B93,SINAPI_NOV2020_NDES!$A$7:$A$6790,0),3),(INDEX(COMPOS!$A$4:$G$5000,MATCH($B93,COMPOS!$A$4:$A$5000,0),3))))</f>
        <v>UN</v>
      </c>
      <c r="E93" s="276">
        <v>2</v>
      </c>
      <c r="F93" s="276">
        <f>(IF($A93="SINAPI",INDEX(SINAPI_NOV2020_NDES!$A$7:$H$6703,MATCH($B93,SINAPI_NOV2020_NDES!$A$7:$A$6703,0),5),(INDEX(COMPOS!$A$4:$G$801,MATCH($B93,COMPOS!$A$4:A$801,0),4))))</f>
        <v>2.04</v>
      </c>
      <c r="G93" s="276">
        <f>(IF($A93="SINAPI",INDEX(SINAPI_NOV2020_NDES!$A$7:$H$6703,MATCH($B93,SINAPI_NOV2020_NDES!$A$7:$A$6703,0),6),(INDEX(COMPOS!$A$4:$G$801,MATCH($B93,COMPOS!$A$4:A$801,0),5))))</f>
        <v>6.8</v>
      </c>
      <c r="H93" s="276">
        <f>(IF($A93="SINAPI",INDEX(SINAPI_NOV2020_NDES!$A$7:$H$6703,MATCH($B93,SINAPI_NOV2020_NDES!$A$7:$A$6703,0),7),(INDEX(COMPOS!$A$4:$G$801,MATCH($B93,COMPOS!$A$4:A$801,0),6))))</f>
        <v>0</v>
      </c>
      <c r="I93" s="276">
        <f t="shared" si="14"/>
        <v>8.84</v>
      </c>
      <c r="J93" s="276">
        <f t="shared" si="15"/>
        <v>17.68</v>
      </c>
      <c r="O93" s="256"/>
    </row>
    <row r="94" spans="1:16" s="88" customFormat="1" ht="24" customHeight="1">
      <c r="A94" s="680" t="s">
        <v>6927</v>
      </c>
      <c r="B94" s="680"/>
      <c r="C94" s="680"/>
      <c r="D94" s="680"/>
      <c r="E94" s="680"/>
      <c r="F94" s="680"/>
      <c r="G94" s="680"/>
      <c r="H94" s="680"/>
      <c r="I94" s="680"/>
      <c r="J94" s="281">
        <f>SUM(J45:J93)</f>
        <v>4411.4098000000013</v>
      </c>
      <c r="K94" s="30"/>
      <c r="L94" s="30"/>
      <c r="M94" s="30"/>
      <c r="N94" s="30"/>
      <c r="O94" s="30"/>
      <c r="P94" s="258"/>
    </row>
    <row r="95" spans="1:16">
      <c r="A95" s="289"/>
      <c r="B95" s="299">
        <v>172</v>
      </c>
      <c r="C95" s="300" t="s">
        <v>602</v>
      </c>
      <c r="D95" s="305"/>
      <c r="E95" s="276"/>
      <c r="F95" s="276"/>
      <c r="G95" s="276"/>
      <c r="H95" s="276"/>
      <c r="I95" s="276"/>
      <c r="J95" s="276"/>
    </row>
    <row r="96" spans="1:16" ht="48">
      <c r="A96" s="251" t="s">
        <v>7</v>
      </c>
      <c r="B96" s="290">
        <v>87503</v>
      </c>
      <c r="C96" s="301" t="str">
        <f>(IF($A96="SINAPI",INDEX(SINAPI_NOV2020_NDES!$A$7:$H$6703,MATCH($B96,SINAPI_NOV2020_NDES!$A$7:$A$6703,0),2),IF($A96="GOINFRA",INDEX(#REF!,MATCH($B96,#REF!,0),2),(INDEX(COMPOS!$A$4:$G$390,MATCH($B96,COMPOS!$A$4:A$390,0),2)))))</f>
        <v>ALVENARIA DE VEDAÇÃO DE BLOCOS CERÂMICOS FURADOS NA HORIZONTAL DE 9X19X19CM (ESPESSURA 9CM) DE PAREDES COM ÁREA LÍQUIDA MAIOR OU IGUAL A 6M² SEM VÃOS E ARGAMASSA DE ASSENTAMENTO COM PREPARO EM BETONEIRA. AF_06/2014</v>
      </c>
      <c r="D96" s="274" t="str">
        <f>(IF($A96="SINAPI",INDEX(SINAPI_NOV2020_NDES!$A$7:$H$6790,MATCH($B96,SINAPI_NOV2020_NDES!$A$7:$A$6790,0),3),(INDEX(COMPOS!$A$4:$G$5000,MATCH($B96,COMPOS!$A$4:$A$5000,0),3))))</f>
        <v>M2</v>
      </c>
      <c r="E96" s="276">
        <f>30.7*1</f>
        <v>30.7</v>
      </c>
      <c r="F96" s="276">
        <f>(IF($A96="SINAPI",INDEX(SINAPI_NOV2020_NDES!$A$7:$H$6703,MATCH($B96,SINAPI_NOV2020_NDES!$A$7:$A$6703,0),5),(INDEX(COMPOS!$A$4:$G$801,MATCH($B96,COMPOS!$A$4:A$801,0),4))))</f>
        <v>31.67</v>
      </c>
      <c r="G96" s="276">
        <f>(IF($A96="SINAPI",INDEX(SINAPI_NOV2020_NDES!$A$7:$H$6703,MATCH($B96,SINAPI_NOV2020_NDES!$A$7:$A$6703,0),6),(INDEX(COMPOS!$A$4:$G$801,MATCH($B96,COMPOS!$A$4:A$801,0),5))))</f>
        <v>32.130000000000003</v>
      </c>
      <c r="H96" s="276">
        <f>(IF($A96="SINAPI",INDEX(SINAPI_NOV2020_NDES!$A$7:$H$6703,MATCH($B96,SINAPI_NOV2020_NDES!$A$7:$A$6703,0),7),(INDEX(COMPOS!$A$4:$G$801,MATCH($B96,COMPOS!$A$4:A$801,0),6))))</f>
        <v>0</v>
      </c>
      <c r="I96" s="276">
        <f>SUM(F96:H96)</f>
        <v>63.800000000000004</v>
      </c>
      <c r="J96" s="276">
        <f>+I96*E96</f>
        <v>1958.66</v>
      </c>
      <c r="O96" s="256"/>
    </row>
    <row r="97" spans="1:669" s="191" customFormat="1" ht="36">
      <c r="A97" s="251" t="s">
        <v>7</v>
      </c>
      <c r="B97" s="290">
        <v>101161</v>
      </c>
      <c r="C97" s="301" t="str">
        <f>(IF($A97="SINAPI",INDEX(SINAPI_NOV2020_NDES!$A$7:$H$6703,MATCH($B97,SINAPI_NOV2020_NDES!$A$7:$A$6703,0),2),IF($A97="GOINFRA",INDEX(#REF!,MATCH($B97,#REF!,0),2),(INDEX(COMPOS!$A$4:$G$390,MATCH($B97,COMPOS!$A$4:A$390,0),2)))))</f>
        <v>ALVENARIA DE VEDAÇÃO COM ELEMENTO VAZADO DE CONCRETO (COBOGÓ) DE 7X50X50CM E ARGAMASSA DE ASSENTAMENTO COM PREPARO EM BETONEIRA. AF_05/2020</v>
      </c>
      <c r="D97" s="274" t="str">
        <f>(IF($A97="SINAPI",INDEX(SINAPI_NOV2020_NDES!$A$7:$H$6790,MATCH($B97,SINAPI_NOV2020_NDES!$A$7:$A$6790,0),3),(INDEX(COMPOS!$A$4:$G$5000,MATCH($B97,COMPOS!$A$4:$A$5000,0),3))))</f>
        <v>M2</v>
      </c>
      <c r="E97" s="276">
        <v>7.29</v>
      </c>
      <c r="F97" s="276">
        <f>(IF($A97="SINAPI",INDEX(SINAPI_NOV2020_NDES!$A$7:$H$6703,MATCH($B97,SINAPI_NOV2020_NDES!$A$7:$A$6703,0),5),(INDEX(COMPOS!$A$4:$G$801,MATCH($B97,COMPOS!$A$4:A$801,0),4))))</f>
        <v>46.7</v>
      </c>
      <c r="G97" s="276">
        <f>(IF($A97="SINAPI",INDEX(SINAPI_NOV2020_NDES!$A$7:$H$6703,MATCH($B97,SINAPI_NOV2020_NDES!$A$7:$A$6703,0),6),(INDEX(COMPOS!$A$4:$G$801,MATCH($B97,COMPOS!$A$4:A$801,0),5))))</f>
        <v>103.48</v>
      </c>
      <c r="H97" s="276">
        <f>(IF($A97="SINAPI",INDEX(SINAPI_NOV2020_NDES!$A$7:$H$6703,MATCH($B97,SINAPI_NOV2020_NDES!$A$7:$A$6703,0),7),(INDEX(COMPOS!$A$4:$G$801,MATCH($B97,COMPOS!$A$4:A$801,0),6))))</f>
        <v>0.01</v>
      </c>
      <c r="I97" s="276">
        <f>SUM(F97:H97)</f>
        <v>150.19</v>
      </c>
      <c r="J97" s="276">
        <f>+I97*E97</f>
        <v>1094.8851</v>
      </c>
      <c r="K97" s="30"/>
      <c r="L97" s="30"/>
      <c r="M97" s="30"/>
      <c r="N97" s="30"/>
      <c r="O97" s="256"/>
      <c r="P97" s="258"/>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c r="HB97" s="30"/>
      <c r="HC97" s="30"/>
      <c r="HD97" s="30"/>
      <c r="HE97" s="30"/>
      <c r="HF97" s="30"/>
      <c r="HG97" s="30"/>
      <c r="HH97" s="30"/>
      <c r="HI97" s="30"/>
      <c r="HJ97" s="30"/>
      <c r="HK97" s="30"/>
      <c r="HL97" s="30"/>
      <c r="HM97" s="30"/>
      <c r="HN97" s="30"/>
      <c r="HO97" s="30"/>
      <c r="HP97" s="30"/>
      <c r="HQ97" s="30"/>
      <c r="HR97" s="30"/>
      <c r="HS97" s="30"/>
      <c r="HT97" s="30"/>
      <c r="HU97" s="30"/>
      <c r="HV97" s="30"/>
      <c r="HW97" s="30"/>
      <c r="HX97" s="30"/>
      <c r="HY97" s="30"/>
      <c r="HZ97" s="30"/>
      <c r="IA97" s="30"/>
      <c r="IB97" s="30"/>
      <c r="IC97" s="30"/>
      <c r="ID97" s="30"/>
      <c r="IE97" s="30"/>
      <c r="IF97" s="30"/>
      <c r="IG97" s="30"/>
      <c r="IH97" s="30"/>
      <c r="II97" s="30"/>
      <c r="IJ97" s="30"/>
      <c r="IK97" s="30"/>
      <c r="IL97" s="30"/>
      <c r="IM97" s="30"/>
      <c r="IN97" s="30"/>
      <c r="IO97" s="30"/>
      <c r="IP97" s="30"/>
      <c r="IQ97" s="30"/>
      <c r="IR97" s="30"/>
      <c r="IS97" s="30"/>
      <c r="IT97" s="30"/>
      <c r="IU97" s="30"/>
      <c r="IV97" s="30"/>
      <c r="IW97" s="30"/>
      <c r="IX97" s="30"/>
      <c r="IY97" s="30"/>
      <c r="IZ97" s="30"/>
      <c r="JA97" s="30"/>
      <c r="JB97" s="30"/>
      <c r="JC97" s="30"/>
      <c r="JD97" s="30"/>
      <c r="JE97" s="30"/>
      <c r="JF97" s="30"/>
      <c r="JG97" s="30"/>
      <c r="JH97" s="30"/>
      <c r="JI97" s="30"/>
      <c r="JJ97" s="30"/>
      <c r="JK97" s="30"/>
      <c r="JL97" s="30"/>
      <c r="JM97" s="30"/>
      <c r="JN97" s="30"/>
      <c r="JO97" s="30"/>
      <c r="JP97" s="30"/>
      <c r="JQ97" s="30"/>
      <c r="JR97" s="30"/>
      <c r="JS97" s="30"/>
      <c r="JT97" s="30"/>
      <c r="JU97" s="30"/>
      <c r="JV97" s="30"/>
      <c r="JW97" s="30"/>
      <c r="JX97" s="30"/>
      <c r="JY97" s="30"/>
      <c r="JZ97" s="30"/>
      <c r="KA97" s="30"/>
      <c r="KB97" s="30"/>
      <c r="KC97" s="30"/>
      <c r="KD97" s="30"/>
      <c r="KE97" s="30"/>
      <c r="KF97" s="30"/>
      <c r="KG97" s="30"/>
      <c r="KH97" s="30"/>
      <c r="KI97" s="30"/>
      <c r="KJ97" s="30"/>
      <c r="KK97" s="30"/>
      <c r="KL97" s="30"/>
      <c r="KM97" s="30"/>
      <c r="KN97" s="30"/>
      <c r="KO97" s="30"/>
      <c r="KP97" s="30"/>
      <c r="KQ97" s="30"/>
      <c r="KR97" s="30"/>
      <c r="KS97" s="30"/>
      <c r="KT97" s="30"/>
      <c r="KU97" s="30"/>
      <c r="KV97" s="30"/>
      <c r="KW97" s="30"/>
      <c r="KX97" s="30"/>
      <c r="KY97" s="30"/>
      <c r="KZ97" s="30"/>
      <c r="LA97" s="30"/>
      <c r="LB97" s="30"/>
      <c r="LC97" s="30"/>
      <c r="LD97" s="30"/>
      <c r="LE97" s="30"/>
      <c r="LF97" s="30"/>
      <c r="LG97" s="30"/>
      <c r="LH97" s="30"/>
      <c r="LI97" s="30"/>
      <c r="LJ97" s="30"/>
      <c r="LK97" s="30"/>
      <c r="LL97" s="30"/>
      <c r="LM97" s="30"/>
      <c r="LN97" s="30"/>
      <c r="LO97" s="30"/>
      <c r="LP97" s="30"/>
      <c r="LQ97" s="30"/>
      <c r="LR97" s="30"/>
      <c r="LS97" s="30"/>
      <c r="LT97" s="30"/>
      <c r="LU97" s="30"/>
      <c r="LV97" s="30"/>
      <c r="LW97" s="30"/>
      <c r="LX97" s="30"/>
      <c r="LY97" s="30"/>
      <c r="LZ97" s="30"/>
      <c r="MA97" s="30"/>
      <c r="MB97" s="30"/>
      <c r="MC97" s="30"/>
      <c r="MD97" s="30"/>
      <c r="ME97" s="30"/>
      <c r="MF97" s="30"/>
      <c r="MG97" s="30"/>
      <c r="MH97" s="30"/>
      <c r="MI97" s="30"/>
      <c r="MJ97" s="30"/>
      <c r="MK97" s="30"/>
      <c r="ML97" s="30"/>
      <c r="MM97" s="30"/>
      <c r="MN97" s="30"/>
      <c r="MO97" s="30"/>
      <c r="MP97" s="30"/>
      <c r="MQ97" s="30"/>
      <c r="MR97" s="30"/>
      <c r="MS97" s="30"/>
      <c r="MT97" s="30"/>
      <c r="MU97" s="30"/>
      <c r="MV97" s="30"/>
      <c r="MW97" s="30"/>
      <c r="MX97" s="30"/>
      <c r="MY97" s="30"/>
      <c r="MZ97" s="30"/>
      <c r="NA97" s="30"/>
      <c r="NB97" s="30"/>
      <c r="NC97" s="30"/>
      <c r="ND97" s="30"/>
      <c r="NE97" s="30"/>
      <c r="NF97" s="30"/>
      <c r="NG97" s="30"/>
      <c r="NH97" s="30"/>
      <c r="NI97" s="30"/>
      <c r="NJ97" s="30"/>
      <c r="NK97" s="30"/>
      <c r="NL97" s="30"/>
      <c r="NM97" s="30"/>
      <c r="NN97" s="30"/>
      <c r="NO97" s="30"/>
      <c r="NP97" s="30"/>
      <c r="NQ97" s="30"/>
      <c r="NR97" s="30"/>
      <c r="NS97" s="30"/>
      <c r="NT97" s="30"/>
      <c r="NU97" s="30"/>
      <c r="NV97" s="30"/>
      <c r="NW97" s="30"/>
      <c r="NX97" s="30"/>
      <c r="NY97" s="30"/>
      <c r="NZ97" s="30"/>
      <c r="OA97" s="30"/>
      <c r="OB97" s="30"/>
      <c r="OC97" s="30"/>
      <c r="OD97" s="30"/>
      <c r="OE97" s="30"/>
      <c r="OF97" s="30"/>
      <c r="OG97" s="30"/>
      <c r="OH97" s="30"/>
      <c r="OI97" s="30"/>
      <c r="OJ97" s="30"/>
      <c r="OK97" s="30"/>
      <c r="OL97" s="30"/>
      <c r="OM97" s="30"/>
      <c r="ON97" s="30"/>
      <c r="OO97" s="30"/>
      <c r="OP97" s="30"/>
      <c r="OQ97" s="30"/>
      <c r="OR97" s="30"/>
      <c r="OS97" s="30"/>
      <c r="OT97" s="30"/>
      <c r="OU97" s="30"/>
      <c r="OV97" s="30"/>
      <c r="OW97" s="30"/>
      <c r="OX97" s="30"/>
      <c r="OY97" s="30"/>
      <c r="OZ97" s="30"/>
      <c r="PA97" s="30"/>
      <c r="PB97" s="30"/>
      <c r="PC97" s="30"/>
      <c r="PD97" s="30"/>
      <c r="PE97" s="30"/>
      <c r="PF97" s="30"/>
      <c r="PG97" s="30"/>
      <c r="PH97" s="30"/>
      <c r="PI97" s="30"/>
      <c r="PJ97" s="30"/>
      <c r="PK97" s="30"/>
      <c r="PL97" s="30"/>
      <c r="PM97" s="30"/>
      <c r="PN97" s="30"/>
      <c r="PO97" s="30"/>
      <c r="PP97" s="30"/>
      <c r="PQ97" s="30"/>
      <c r="PR97" s="30"/>
      <c r="PS97" s="30"/>
      <c r="PT97" s="30"/>
      <c r="PU97" s="30"/>
      <c r="PV97" s="30"/>
      <c r="PW97" s="30"/>
      <c r="PX97" s="30"/>
      <c r="PY97" s="30"/>
      <c r="PZ97" s="30"/>
      <c r="QA97" s="30"/>
      <c r="QB97" s="30"/>
      <c r="QC97" s="30"/>
      <c r="QD97" s="30"/>
      <c r="QE97" s="30"/>
      <c r="QF97" s="30"/>
      <c r="QG97" s="30"/>
      <c r="QH97" s="30"/>
      <c r="QI97" s="30"/>
      <c r="QJ97" s="30"/>
      <c r="QK97" s="30"/>
      <c r="QL97" s="30"/>
      <c r="QM97" s="30"/>
      <c r="QN97" s="30"/>
      <c r="QO97" s="30"/>
      <c r="QP97" s="30"/>
      <c r="QQ97" s="30"/>
      <c r="QR97" s="30"/>
      <c r="QS97" s="30"/>
      <c r="QT97" s="30"/>
      <c r="QU97" s="30"/>
      <c r="QV97" s="30"/>
      <c r="QW97" s="30"/>
      <c r="QX97" s="30"/>
      <c r="QY97" s="30"/>
      <c r="QZ97" s="30"/>
      <c r="RA97" s="30"/>
      <c r="RB97" s="30"/>
      <c r="RC97" s="30"/>
      <c r="RD97" s="30"/>
      <c r="RE97" s="30"/>
      <c r="RF97" s="30"/>
      <c r="RG97" s="30"/>
      <c r="RH97" s="30"/>
      <c r="RI97" s="30"/>
      <c r="RJ97" s="30"/>
      <c r="RK97" s="30"/>
      <c r="RL97" s="30"/>
      <c r="RM97" s="30"/>
      <c r="RN97" s="30"/>
      <c r="RO97" s="30"/>
      <c r="RP97" s="30"/>
      <c r="RQ97" s="30"/>
      <c r="RR97" s="30"/>
      <c r="RS97" s="30"/>
      <c r="RT97" s="30"/>
      <c r="RU97" s="30"/>
      <c r="RV97" s="30"/>
      <c r="RW97" s="30"/>
      <c r="RX97" s="30"/>
      <c r="RY97" s="30"/>
      <c r="RZ97" s="30"/>
      <c r="SA97" s="30"/>
      <c r="SB97" s="30"/>
      <c r="SC97" s="30"/>
      <c r="SD97" s="30"/>
      <c r="SE97" s="30"/>
      <c r="SF97" s="30"/>
      <c r="SG97" s="30"/>
      <c r="SH97" s="30"/>
      <c r="SI97" s="30"/>
      <c r="SJ97" s="30"/>
      <c r="SK97" s="30"/>
      <c r="SL97" s="30"/>
      <c r="SM97" s="30"/>
      <c r="SN97" s="30"/>
      <c r="SO97" s="30"/>
      <c r="SP97" s="30"/>
      <c r="SQ97" s="30"/>
      <c r="SR97" s="30"/>
      <c r="SS97" s="30"/>
      <c r="ST97" s="30"/>
      <c r="SU97" s="30"/>
      <c r="SV97" s="30"/>
      <c r="SW97" s="30"/>
      <c r="SX97" s="30"/>
      <c r="SY97" s="30"/>
      <c r="SZ97" s="30"/>
      <c r="TA97" s="30"/>
      <c r="TB97" s="30"/>
      <c r="TC97" s="30"/>
      <c r="TD97" s="30"/>
      <c r="TE97" s="30"/>
      <c r="TF97" s="30"/>
      <c r="TG97" s="30"/>
      <c r="TH97" s="30"/>
      <c r="TI97" s="30"/>
      <c r="TJ97" s="30"/>
      <c r="TK97" s="30"/>
      <c r="TL97" s="30"/>
      <c r="TM97" s="30"/>
      <c r="TN97" s="30"/>
      <c r="TO97" s="30"/>
      <c r="TP97" s="30"/>
      <c r="TQ97" s="30"/>
      <c r="TR97" s="30"/>
      <c r="TS97" s="30"/>
      <c r="TT97" s="30"/>
      <c r="TU97" s="30"/>
      <c r="TV97" s="30"/>
      <c r="TW97" s="30"/>
      <c r="TX97" s="30"/>
      <c r="TY97" s="30"/>
      <c r="TZ97" s="30"/>
      <c r="UA97" s="30"/>
      <c r="UB97" s="30"/>
      <c r="UC97" s="30"/>
      <c r="UD97" s="30"/>
      <c r="UE97" s="30"/>
      <c r="UF97" s="30"/>
      <c r="UG97" s="30"/>
      <c r="UH97" s="30"/>
      <c r="UI97" s="30"/>
      <c r="UJ97" s="30"/>
      <c r="UK97" s="30"/>
      <c r="UL97" s="30"/>
      <c r="UM97" s="30"/>
      <c r="UN97" s="30"/>
      <c r="UO97" s="30"/>
      <c r="UP97" s="30"/>
      <c r="UQ97" s="30"/>
      <c r="UR97" s="30"/>
      <c r="US97" s="30"/>
      <c r="UT97" s="30"/>
      <c r="UU97" s="30"/>
      <c r="UV97" s="30"/>
      <c r="UW97" s="30"/>
      <c r="UX97" s="30"/>
      <c r="UY97" s="30"/>
      <c r="UZ97" s="30"/>
      <c r="VA97" s="30"/>
      <c r="VB97" s="30"/>
      <c r="VC97" s="30"/>
      <c r="VD97" s="30"/>
      <c r="VE97" s="30"/>
      <c r="VF97" s="30"/>
      <c r="VG97" s="30"/>
      <c r="VH97" s="30"/>
      <c r="VI97" s="30"/>
      <c r="VJ97" s="30"/>
      <c r="VK97" s="30"/>
      <c r="VL97" s="30"/>
      <c r="VM97" s="30"/>
      <c r="VN97" s="30"/>
      <c r="VO97" s="30"/>
      <c r="VP97" s="30"/>
      <c r="VQ97" s="30"/>
      <c r="VR97" s="30"/>
      <c r="VS97" s="30"/>
      <c r="VT97" s="30"/>
      <c r="VU97" s="30"/>
      <c r="VV97" s="30"/>
      <c r="VW97" s="30"/>
      <c r="VX97" s="30"/>
      <c r="VY97" s="30"/>
      <c r="VZ97" s="30"/>
      <c r="WA97" s="30"/>
      <c r="WB97" s="30"/>
      <c r="WC97" s="30"/>
      <c r="WD97" s="30"/>
      <c r="WE97" s="30"/>
      <c r="WF97" s="30"/>
      <c r="WG97" s="30"/>
      <c r="WH97" s="30"/>
      <c r="WI97" s="30"/>
      <c r="WJ97" s="30"/>
      <c r="WK97" s="30"/>
      <c r="WL97" s="30"/>
      <c r="WM97" s="30"/>
      <c r="WN97" s="30"/>
      <c r="WO97" s="30"/>
      <c r="WP97" s="30"/>
      <c r="WQ97" s="30"/>
      <c r="WR97" s="30"/>
      <c r="WS97" s="30"/>
      <c r="WT97" s="30"/>
      <c r="WU97" s="30"/>
      <c r="WV97" s="30"/>
      <c r="WW97" s="30"/>
      <c r="WX97" s="30"/>
      <c r="WY97" s="30"/>
      <c r="WZ97" s="30"/>
      <c r="XA97" s="30"/>
      <c r="XB97" s="30"/>
      <c r="XC97" s="30"/>
      <c r="XD97" s="30"/>
      <c r="XE97" s="30"/>
      <c r="XF97" s="30"/>
      <c r="XG97" s="30"/>
      <c r="XH97" s="30"/>
      <c r="XI97" s="30"/>
      <c r="XJ97" s="30"/>
      <c r="XK97" s="30"/>
      <c r="XL97" s="30"/>
      <c r="XM97" s="30"/>
      <c r="XN97" s="30"/>
      <c r="XO97" s="30"/>
      <c r="XP97" s="30"/>
      <c r="XQ97" s="30"/>
      <c r="XR97" s="30"/>
      <c r="XS97" s="30"/>
      <c r="XT97" s="30"/>
      <c r="XU97" s="30"/>
      <c r="XV97" s="30"/>
      <c r="XW97" s="30"/>
      <c r="XX97" s="30"/>
      <c r="XY97" s="30"/>
      <c r="XZ97" s="30"/>
      <c r="YA97" s="30"/>
      <c r="YB97" s="30"/>
      <c r="YC97" s="30"/>
      <c r="YD97" s="30"/>
      <c r="YE97" s="30"/>
      <c r="YF97" s="30"/>
      <c r="YG97" s="30"/>
      <c r="YH97" s="30"/>
      <c r="YI97" s="30"/>
      <c r="YJ97" s="30"/>
      <c r="YK97" s="42"/>
      <c r="YL97" s="42"/>
      <c r="YM97" s="42"/>
      <c r="YN97" s="42"/>
      <c r="YO97" s="42"/>
      <c r="YP97" s="42"/>
      <c r="YQ97" s="42"/>
      <c r="YR97" s="42"/>
      <c r="YS97" s="42"/>
    </row>
    <row r="98" spans="1:669" s="88" customFormat="1" ht="24" customHeight="1">
      <c r="A98" s="680" t="s">
        <v>6927</v>
      </c>
      <c r="B98" s="680"/>
      <c r="C98" s="680"/>
      <c r="D98" s="680"/>
      <c r="E98" s="680"/>
      <c r="F98" s="680"/>
      <c r="G98" s="680"/>
      <c r="H98" s="680"/>
      <c r="I98" s="680"/>
      <c r="J98" s="281">
        <f>SUM(J96:J97)</f>
        <v>3053.5451000000003</v>
      </c>
      <c r="K98" s="30"/>
      <c r="L98" s="30"/>
      <c r="M98" s="30"/>
      <c r="N98" s="30"/>
      <c r="O98" s="30"/>
      <c r="P98" s="258"/>
    </row>
    <row r="99" spans="1:669">
      <c r="A99" s="289"/>
      <c r="B99" s="299">
        <v>177</v>
      </c>
      <c r="C99" s="300" t="s">
        <v>598</v>
      </c>
      <c r="D99" s="274"/>
      <c r="E99" s="276"/>
      <c r="F99" s="276"/>
      <c r="G99" s="276"/>
      <c r="H99" s="276"/>
      <c r="I99" s="276"/>
      <c r="J99" s="276"/>
    </row>
    <row r="100" spans="1:669">
      <c r="A100" s="251" t="s">
        <v>6307</v>
      </c>
      <c r="B100" s="290">
        <v>341</v>
      </c>
      <c r="C100" s="301" t="str">
        <f>(IF($A100="SINAPI",INDEX(SINAPI_NOV2020_NDES!$A$7:$H$6703,MATCH($B100,SINAPI_NOV2020_NDES!$A$7:$A$6703,0),2),IF($A100="GOINFRA",INDEX(#REF!,MATCH($B100,#REF!,0),2),(INDEX(COMPOS!$A$4:$G$390,MATCH($B100,COMPOS!$A$4:A$390,0),2)))))</f>
        <v>ESTRUTURA METÁLICA SAC 300</v>
      </c>
      <c r="D100" s="274" t="str">
        <f>(IF($A100="SINAPI",INDEX(SINAPI_NOV2020_NDES!$A$7:$H$6790,MATCH($B100,SINAPI_NOV2020_NDES!$A$7:$A$6790,0),3),(INDEX(COMPOS!$A$4:$G$5000,MATCH($B100,COMPOS!$A$4:$A$5000,0),3))))</f>
        <v>KG</v>
      </c>
      <c r="E100" s="276">
        <v>395.83</v>
      </c>
      <c r="F100" s="276">
        <f>(IF($A100="SINAPI",INDEX(SINAPI_NOV2020_NDES!$A$7:$H$6703,MATCH($B100,SINAPI_NOV2020_NDES!$A$7:$A$6703,0),5),(INDEX(COMPOS!$A$4:$G$801,MATCH($B100,COMPOS!$A$4:A$801,0),4))))</f>
        <v>0</v>
      </c>
      <c r="G100" s="276">
        <f>(IF($A100="SINAPI",INDEX(SINAPI_NOV2020_NDES!$A$7:$H$6703,MATCH($B100,SINAPI_NOV2020_NDES!$A$7:$A$6703,0),6),(INDEX(COMPOS!$A$4:$G$801,MATCH($B100,COMPOS!$A$4:A$801,0),5))))</f>
        <v>14.124000000000001</v>
      </c>
      <c r="H100" s="276">
        <f>(IF($A100="SINAPI",INDEX(SINAPI_NOV2020_NDES!$A$7:$H$6703,MATCH($B100,SINAPI_NOV2020_NDES!$A$7:$A$6703,0),7),(INDEX(COMPOS!$A$4:$G$801,MATCH($B100,COMPOS!$A$4:A$801,0),6))))</f>
        <v>0</v>
      </c>
      <c r="I100" s="276">
        <f t="shared" ref="I100" si="16">SUM(F100:H100)</f>
        <v>14.124000000000001</v>
      </c>
      <c r="J100" s="276">
        <f t="shared" ref="J100" si="17">+I100*E100</f>
        <v>5590.7029199999997</v>
      </c>
      <c r="O100" s="256"/>
    </row>
    <row r="101" spans="1:669" s="88" customFormat="1" ht="24" customHeight="1">
      <c r="A101" s="680" t="s">
        <v>6927</v>
      </c>
      <c r="B101" s="680"/>
      <c r="C101" s="680"/>
      <c r="D101" s="680"/>
      <c r="E101" s="680"/>
      <c r="F101" s="680"/>
      <c r="G101" s="680"/>
      <c r="H101" s="680"/>
      <c r="I101" s="680"/>
      <c r="J101" s="281">
        <f>SUM(J100)</f>
        <v>5590.7029199999997</v>
      </c>
      <c r="K101" s="30"/>
      <c r="L101" s="30"/>
      <c r="M101" s="30"/>
      <c r="N101" s="30"/>
      <c r="O101" s="30"/>
      <c r="P101" s="258"/>
    </row>
    <row r="102" spans="1:669">
      <c r="A102" s="289"/>
      <c r="B102" s="299">
        <v>179</v>
      </c>
      <c r="C102" s="300" t="s">
        <v>596</v>
      </c>
      <c r="D102" s="274"/>
      <c r="E102" s="276"/>
      <c r="F102" s="276"/>
      <c r="G102" s="276"/>
      <c r="H102" s="276"/>
      <c r="I102" s="276"/>
      <c r="J102" s="276"/>
    </row>
    <row r="103" spans="1:669" ht="48">
      <c r="A103" s="251" t="s">
        <v>7</v>
      </c>
      <c r="B103" s="290">
        <v>90844</v>
      </c>
      <c r="C103" s="301" t="str">
        <f>(IF($A103="SINAPI",INDEX(SINAPI_NOV2020_NDES!$A$7:$H$6703,MATCH($B103,SINAPI_NOV2020_NDES!$A$7:$A$6703,0),2),IF($A103="GOINFRA",INDEX(#REF!,MATCH($B103,#REF!,0),2),(INDEX(COMPOS!$A$4:$G$390,MATCH($B103,COMPOS!$A$4:A$390,0),2)))))</f>
        <v>KIT DE PORTA DE MADEIRA PARA PINTURA, SEMI-OCA (LEVE OU MÉDIA), PADRÃO MÉDIO, 90X210CM, ESPESSURA DE 3,5CM, ITENS INCLUSOS: DOBRADIÇAS, MONTAGEM E INSTALAÇÃO DO BATENTE, FECHADURA COM EXECUÇÃO DO FURO - FORNECIMENTO E INSTALAÇÃO. AF_12/2019</v>
      </c>
      <c r="D103" s="274" t="str">
        <f>(IF($A103="SINAPI",INDEX(SINAPI_NOV2020_NDES!$A$7:$H$6790,MATCH($B103,SINAPI_NOV2020_NDES!$A$7:$A$6790,0),3),(INDEX(COMPOS!$A$4:$G$5000,MATCH($B103,COMPOS!$A$4:$A$5000,0),3))))</f>
        <v>UN</v>
      </c>
      <c r="E103" s="276">
        <v>2</v>
      </c>
      <c r="F103" s="276">
        <f>(IF($A103="SINAPI",INDEX(SINAPI_NOV2020_NDES!$A$7:$H$6703,MATCH($B103,SINAPI_NOV2020_NDES!$A$7:$A$6703,0),5),(INDEX(COMPOS!$A$4:$G$801,MATCH($B103,COMPOS!$A$4:A$801,0),4))))</f>
        <v>219.09</v>
      </c>
      <c r="G103" s="276">
        <f>(IF($A103="SINAPI",INDEX(SINAPI_NOV2020_NDES!$A$7:$H$6703,MATCH($B103,SINAPI_NOV2020_NDES!$A$7:$A$6703,0),6),(INDEX(COMPOS!$A$4:$G$801,MATCH($B103,COMPOS!$A$4:A$801,0),5))))</f>
        <v>545.33000000000004</v>
      </c>
      <c r="H103" s="276">
        <f>(IF($A103="SINAPI",INDEX(SINAPI_NOV2020_NDES!$A$7:$H$6703,MATCH($B103,SINAPI_NOV2020_NDES!$A$7:$A$6703,0),7),(INDEX(COMPOS!$A$4:$G$801,MATCH($B103,COMPOS!$A$4:A$801,0),6))))</f>
        <v>0</v>
      </c>
      <c r="I103" s="276">
        <f t="shared" ref="I103" si="18">SUM(F103:H103)</f>
        <v>764.42000000000007</v>
      </c>
      <c r="J103" s="276">
        <f t="shared" ref="J103" si="19">+I103*E103</f>
        <v>1528.8400000000001</v>
      </c>
      <c r="O103" s="256"/>
    </row>
    <row r="104" spans="1:669" s="88" customFormat="1" ht="24" customHeight="1">
      <c r="A104" s="680" t="s">
        <v>6927</v>
      </c>
      <c r="B104" s="680"/>
      <c r="C104" s="680"/>
      <c r="D104" s="680"/>
      <c r="E104" s="680"/>
      <c r="F104" s="680"/>
      <c r="G104" s="680"/>
      <c r="H104" s="680"/>
      <c r="I104" s="680"/>
      <c r="J104" s="281">
        <f>SUM(J103)</f>
        <v>1528.8400000000001</v>
      </c>
      <c r="K104" s="30"/>
      <c r="L104" s="30"/>
      <c r="M104" s="30"/>
      <c r="N104" s="30"/>
      <c r="O104" s="30"/>
      <c r="P104" s="258"/>
    </row>
    <row r="105" spans="1:669">
      <c r="A105" s="289"/>
      <c r="B105" s="299">
        <v>178</v>
      </c>
      <c r="C105" s="300" t="s">
        <v>597</v>
      </c>
      <c r="D105" s="274"/>
      <c r="E105" s="276"/>
      <c r="F105" s="276"/>
      <c r="G105" s="276"/>
      <c r="H105" s="276"/>
      <c r="I105" s="276"/>
      <c r="J105" s="276"/>
    </row>
    <row r="106" spans="1:669" ht="36">
      <c r="A106" s="251" t="s">
        <v>7</v>
      </c>
      <c r="B106" s="290">
        <v>94210</v>
      </c>
      <c r="C106" s="301" t="str">
        <f>(IF($A106="SINAPI",INDEX(SINAPI_NOV2020_NDES!$A$7:$H$6703,MATCH($B106,SINAPI_NOV2020_NDES!$A$7:$A$6703,0),2),IF($A106="GOINFRA",INDEX(#REF!,MATCH($B106,#REF!,0),2),(INDEX(COMPOS!$A$4:$G$390,MATCH($B106,COMPOS!$A$4:A$390,0),2)))))</f>
        <v>TELHAMENTO COM TELHA ONDULADA DE FIBROCIMENTO E = 6 MM, COM RECOBRIMENTO LATERAL DE 1 1/4 DE ONDA PARA TELHADO COM INCLINAÇÃO MÁXIMA DE 10°, COM ATÉ 2 ÁGUAS, INCLUSO IÇAMENTO. AF_07/2019</v>
      </c>
      <c r="D106" s="274" t="str">
        <f>(IF($A106="SINAPI",INDEX(SINAPI_NOV2020_NDES!$A$7:$H$6790,MATCH($B106,SINAPI_NOV2020_NDES!$A$7:$A$6790,0),3),(INDEX(COMPOS!$A$4:$G$5000,MATCH($B106,COMPOS!$A$4:$A$5000,0),3))))</f>
        <v>M2</v>
      </c>
      <c r="E106" s="276">
        <v>36.56</v>
      </c>
      <c r="F106" s="276">
        <f>(IF($A106="SINAPI",INDEX(SINAPI_NOV2020_NDES!$A$7:$H$6703,MATCH($B106,SINAPI_NOV2020_NDES!$A$7:$A$6703,0),5),(INDEX(COMPOS!$A$4:$G$801,MATCH($B106,COMPOS!$A$4:A$801,0),4))))</f>
        <v>4.32</v>
      </c>
      <c r="G106" s="276">
        <f>(IF($A106="SINAPI",INDEX(SINAPI_NOV2020_NDES!$A$7:$H$6703,MATCH($B106,SINAPI_NOV2020_NDES!$A$7:$A$6703,0),6),(INDEX(COMPOS!$A$4:$G$801,MATCH($B106,COMPOS!$A$4:A$801,0),5))))</f>
        <v>37.479999999999997</v>
      </c>
      <c r="H106" s="276">
        <f>(IF($A106="SINAPI",INDEX(SINAPI_NOV2020_NDES!$A$7:$H$6703,MATCH($B106,SINAPI_NOV2020_NDES!$A$7:$A$6703,0),7),(INDEX(COMPOS!$A$4:$G$801,MATCH($B106,COMPOS!$A$4:A$801,0),6))))</f>
        <v>0</v>
      </c>
      <c r="I106" s="276">
        <f>SUM(F106:H106)</f>
        <v>41.8</v>
      </c>
      <c r="J106" s="276">
        <f>+I106*E106</f>
        <v>1528.2080000000001</v>
      </c>
      <c r="O106" s="256"/>
    </row>
    <row r="107" spans="1:669">
      <c r="A107" s="251" t="s">
        <v>6307</v>
      </c>
      <c r="B107" s="290">
        <v>342</v>
      </c>
      <c r="C107" s="301" t="str">
        <f>(IF($A107="SINAPI",INDEX(SINAPI_NOV2020_NDES!$A$7:$H$6703,MATCH($B107,SINAPI_NOV2020_NDES!$A$7:$A$6703,0),2),IF($A107="GOINFRA",INDEX(#REF!,MATCH($B107,#REF!,0),2),(INDEX(COMPOS!$A$4:$G$390,MATCH($B107,COMPOS!$A$4:A$390,0),2)))))</f>
        <v>CALHA DE CHAPA GALVANIZADA Nº 26, 60CM</v>
      </c>
      <c r="D107" s="274" t="str">
        <f>(IF($A107="SINAPI",INDEX(SINAPI_NOV2020_NDES!$A$7:$H$6790,MATCH($B107,SINAPI_NOV2020_NDES!$A$7:$A$6790,0),3),(INDEX(COMPOS!$A$4:$G$5000,MATCH($B107,COMPOS!$A$4:$A$5000,0),3))))</f>
        <v>M</v>
      </c>
      <c r="E107" s="276">
        <v>7.3</v>
      </c>
      <c r="F107" s="276">
        <f>(IF($A107="SINAPI",INDEX(SINAPI_NOV2020_NDES!$A$7:$H$6703,MATCH($B107,SINAPI_NOV2020_NDES!$A$7:$A$6703,0),5),(INDEX(COMPOS!$A$4:$G$801,MATCH($B107,COMPOS!$A$4:A$801,0),4))))</f>
        <v>39.185000000000002</v>
      </c>
      <c r="G107" s="276">
        <f>(IF($A107="SINAPI",INDEX(SINAPI_NOV2020_NDES!$A$7:$H$6703,MATCH($B107,SINAPI_NOV2020_NDES!$A$7:$A$6703,0),6),(INDEX(COMPOS!$A$4:$G$801,MATCH($B107,COMPOS!$A$4:A$801,0),5))))</f>
        <v>20.28</v>
      </c>
      <c r="H107" s="276">
        <f>(IF($A107="SINAPI",INDEX(SINAPI_NOV2020_NDES!$A$7:$H$6703,MATCH($B107,SINAPI_NOV2020_NDES!$A$7:$A$6703,0),7),(INDEX(COMPOS!$A$4:$G$801,MATCH($B107,COMPOS!$A$4:A$801,0),6))))</f>
        <v>0</v>
      </c>
      <c r="I107" s="276">
        <f t="shared" ref="I107:I109" si="20">SUM(F107:H107)</f>
        <v>59.465000000000003</v>
      </c>
      <c r="J107" s="276">
        <f t="shared" ref="J107:J109" si="21">+I107*E107</f>
        <v>434.09450000000004</v>
      </c>
      <c r="O107" s="256"/>
    </row>
    <row r="108" spans="1:669">
      <c r="A108" s="251" t="s">
        <v>6307</v>
      </c>
      <c r="B108" s="290">
        <v>343</v>
      </c>
      <c r="C108" s="301" t="str">
        <f>(IF($A108="SINAPI",INDEX(SINAPI_NOV2020_NDES!$A$7:$H$6703,MATCH($B108,SINAPI_NOV2020_NDES!$A$7:$A$6703,0),2),IF($A108="GOINFRA",INDEX(#REF!,MATCH($B108,#REF!,0),2),(INDEX(COMPOS!$A$4:$G$390,MATCH($B108,COMPOS!$A$4:A$390,0),2)))))</f>
        <v>RUFO DE CHAPA GALVANIZADA</v>
      </c>
      <c r="D108" s="274" t="str">
        <f>(IF($A108="SINAPI",INDEX(SINAPI_NOV2020_NDES!$A$7:$H$6790,MATCH($B108,SINAPI_NOV2020_NDES!$A$7:$A$6790,0),3),(INDEX(COMPOS!$A$4:$G$5000,MATCH($B108,COMPOS!$A$4:$A$5000,0),3))))</f>
        <v>M</v>
      </c>
      <c r="E108" s="276">
        <v>20.6</v>
      </c>
      <c r="F108" s="276">
        <f>(IF($A108="SINAPI",INDEX(SINAPI_NOV2020_NDES!$A$7:$H$6703,MATCH($B108,SINAPI_NOV2020_NDES!$A$7:$A$6703,0),5),(INDEX(COMPOS!$A$4:$G$801,MATCH($B108,COMPOS!$A$4:A$801,0),4))))</f>
        <v>18.405000000000001</v>
      </c>
      <c r="G108" s="276">
        <f>(IF($A108="SINAPI",INDEX(SINAPI_NOV2020_NDES!$A$7:$H$6703,MATCH($B108,SINAPI_NOV2020_NDES!$A$7:$A$6703,0),6),(INDEX(COMPOS!$A$4:$G$801,MATCH($B108,COMPOS!$A$4:A$801,0),5))))</f>
        <v>15.034979999999999</v>
      </c>
      <c r="H108" s="276">
        <f>(IF($A108="SINAPI",INDEX(SINAPI_NOV2020_NDES!$A$7:$H$6703,MATCH($B108,SINAPI_NOV2020_NDES!$A$7:$A$6703,0),7),(INDEX(COMPOS!$A$4:$G$801,MATCH($B108,COMPOS!$A$4:A$801,0),6))))</f>
        <v>0</v>
      </c>
      <c r="I108" s="276">
        <f t="shared" si="20"/>
        <v>33.439979999999998</v>
      </c>
      <c r="J108" s="276">
        <f t="shared" si="21"/>
        <v>688.86358800000005</v>
      </c>
      <c r="O108" s="256"/>
    </row>
    <row r="109" spans="1:669">
      <c r="A109" s="251" t="s">
        <v>6307</v>
      </c>
      <c r="B109" s="290">
        <v>344</v>
      </c>
      <c r="C109" s="301" t="str">
        <f>(IF($A109="SINAPI",INDEX(SINAPI_NOV2020_NDES!$A$7:$H$6703,MATCH($B109,SINAPI_NOV2020_NDES!$A$7:$A$6703,0),2),IF($A109="GOINFRA",INDEX(#REF!,MATCH($B109,#REF!,0),2),(INDEX(COMPOS!$A$4:$G$390,MATCH($B109,COMPOS!$A$4:A$390,0),2)))))</f>
        <v>CUMEEIRA PARA TELHA GALVANIZADA TRAPEZOIDAL, 0,5MM</v>
      </c>
      <c r="D109" s="274" t="str">
        <f>(IF($A109="SINAPI",INDEX(SINAPI_NOV2020_NDES!$A$7:$H$6790,MATCH($B109,SINAPI_NOV2020_NDES!$A$7:$A$6790,0),3),(INDEX(COMPOS!$A$4:$G$5000,MATCH($B109,COMPOS!$A$4:$A$5000,0),3))))</f>
        <v>M</v>
      </c>
      <c r="E109" s="276">
        <v>21.6</v>
      </c>
      <c r="F109" s="276">
        <f>(IF($A109="SINAPI",INDEX(SINAPI_NOV2020_NDES!$A$7:$H$6703,MATCH($B109,SINAPI_NOV2020_NDES!$A$7:$A$6703,0),5),(INDEX(COMPOS!$A$4:$G$801,MATCH($B109,COMPOS!$A$4:A$801,0),4))))</f>
        <v>3.0528</v>
      </c>
      <c r="G109" s="276">
        <f>(IF($A109="SINAPI",INDEX(SINAPI_NOV2020_NDES!$A$7:$H$6703,MATCH($B109,SINAPI_NOV2020_NDES!$A$7:$A$6703,0),6),(INDEX(COMPOS!$A$4:$G$801,MATCH($B109,COMPOS!$A$4:A$801,0),5))))</f>
        <v>17.917200000000001</v>
      </c>
      <c r="H109" s="276">
        <f>(IF($A109="SINAPI",INDEX(SINAPI_NOV2020_NDES!$A$7:$H$6703,MATCH($B109,SINAPI_NOV2020_NDES!$A$7:$A$6703,0),7),(INDEX(COMPOS!$A$4:$G$801,MATCH($B109,COMPOS!$A$4:A$801,0),6))))</f>
        <v>0</v>
      </c>
      <c r="I109" s="276">
        <f t="shared" si="20"/>
        <v>20.970000000000002</v>
      </c>
      <c r="J109" s="276">
        <f t="shared" si="21"/>
        <v>452.95200000000006</v>
      </c>
      <c r="O109" s="256"/>
    </row>
    <row r="110" spans="1:669" s="88" customFormat="1" ht="24" customHeight="1">
      <c r="A110" s="680" t="s">
        <v>6927</v>
      </c>
      <c r="B110" s="680"/>
      <c r="C110" s="680"/>
      <c r="D110" s="680"/>
      <c r="E110" s="680"/>
      <c r="F110" s="680"/>
      <c r="G110" s="680"/>
      <c r="H110" s="680"/>
      <c r="I110" s="680"/>
      <c r="J110" s="281">
        <f>SUM(J106:J109)</f>
        <v>3104.1180880000006</v>
      </c>
      <c r="K110" s="30"/>
      <c r="L110" s="30"/>
      <c r="M110" s="30"/>
      <c r="N110" s="30"/>
      <c r="O110" s="30"/>
      <c r="P110" s="258"/>
    </row>
    <row r="111" spans="1:669">
      <c r="A111" s="289"/>
      <c r="B111" s="299">
        <v>180</v>
      </c>
      <c r="C111" s="300" t="s">
        <v>595</v>
      </c>
      <c r="D111" s="274"/>
      <c r="E111" s="276"/>
      <c r="F111" s="276"/>
      <c r="G111" s="276"/>
      <c r="H111" s="276"/>
      <c r="I111" s="276"/>
      <c r="J111" s="276"/>
    </row>
    <row r="112" spans="1:669">
      <c r="A112" s="251" t="s">
        <v>6307</v>
      </c>
      <c r="B112" s="290">
        <v>144</v>
      </c>
      <c r="C112" s="301" t="str">
        <f>(IF($A112="SINAPI",INDEX(SINAPI_NOV2020_NDES!$A$7:$H$6703,MATCH($B112,SINAPI_NOV2020_NDES!$A$7:$A$6703,0),2),IF($A112="GOINFRA",INDEX(#REF!,MATCH($B112,#REF!,0),2),(INDEX(COMPOS!$A$4:$G$390,MATCH($B112,COMPOS!$A$4:A$390,0),2)))))</f>
        <v>PORTA METÁLICA CASE – PcD - 90X210 CM</v>
      </c>
      <c r="D112" s="274" t="str">
        <f>(IF($A112="SINAPI",INDEX(SINAPI_NOV2020_NDES!$A$7:$H$6790,MATCH($B112,SINAPI_NOV2020_NDES!$A$7:$A$6790,0),3),(INDEX(COMPOS!$A$4:$G$5000,MATCH($B112,COMPOS!$A$4:$A$5000,0),3))))</f>
        <v>M2</v>
      </c>
      <c r="E112" s="276">
        <v>3.78</v>
      </c>
      <c r="F112" s="276">
        <f>(IF($A112="SINAPI",INDEX(SINAPI_NOV2020_NDES!$A$7:$H$6703,MATCH($B112,SINAPI_NOV2020_NDES!$A$7:$A$6703,0),5),(INDEX(COMPOS!$A$4:$G$801,MATCH($B112,COMPOS!$A$4:A$801,0),4))))</f>
        <v>47.084742999999996</v>
      </c>
      <c r="G112" s="276">
        <f>(IF($A112="SINAPI",INDEX(SINAPI_NOV2020_NDES!$A$7:$H$6703,MATCH($B112,SINAPI_NOV2020_NDES!$A$7:$A$6703,0),6),(INDEX(COMPOS!$A$4:$G$801,MATCH($B112,COMPOS!$A$4:A$801,0),5))))</f>
        <v>410.39035100000001</v>
      </c>
      <c r="H112" s="276">
        <f>(IF($A112="SINAPI",INDEX(SINAPI_NOV2020_NDES!$A$7:$H$6703,MATCH($B112,SINAPI_NOV2020_NDES!$A$7:$A$6703,0),7),(INDEX(COMPOS!$A$4:$G$801,MATCH($B112,COMPOS!$A$4:A$801,0),6))))</f>
        <v>0</v>
      </c>
      <c r="I112" s="276">
        <f>SUM(F112:H112)</f>
        <v>457.47509400000001</v>
      </c>
      <c r="J112" s="276">
        <f>+I112*E112</f>
        <v>1729.2558553199999</v>
      </c>
      <c r="O112" s="256"/>
    </row>
    <row r="113" spans="1:16">
      <c r="A113" s="251" t="s">
        <v>6307</v>
      </c>
      <c r="B113" s="290">
        <v>146</v>
      </c>
      <c r="C113" s="301" t="str">
        <f>(IF($A113="SINAPI",INDEX(SINAPI_NOV2020_NDES!$A$7:$H$6703,MATCH($B113,SINAPI_NOV2020_NDES!$A$7:$A$6703,0),2),IF($A113="GOINFRA",INDEX(#REF!,MATCH($B113,#REF!,0),2),(INDEX(COMPOS!$A$4:$G$390,MATCH($B113,COMPOS!$A$4:A$390,0),2)))))</f>
        <v>PORTA METÁLICA CASE – PS - 1 FOLHA 80X210 CM</v>
      </c>
      <c r="D113" s="274" t="str">
        <f>(IF($A113="SINAPI",INDEX(SINAPI_NOV2020_NDES!$A$7:$H$6790,MATCH($B113,SINAPI_NOV2020_NDES!$A$7:$A$6790,0),3),(INDEX(COMPOS!$A$4:$G$5000,MATCH($B113,COMPOS!$A$4:$A$5000,0),3))))</f>
        <v>M2</v>
      </c>
      <c r="E113" s="276">
        <f>0.8*2.1</f>
        <v>1.6800000000000002</v>
      </c>
      <c r="F113" s="276">
        <f>(IF($A113="SINAPI",INDEX(SINAPI_NOV2020_NDES!$A$7:$H$6703,MATCH($B113,SINAPI_NOV2020_NDES!$A$7:$A$6703,0),5),(INDEX(COMPOS!$A$4:$G$801,MATCH($B113,COMPOS!$A$4:A$801,0),4))))</f>
        <v>47.084742999999996</v>
      </c>
      <c r="G113" s="276">
        <f>(IF($A113="SINAPI",INDEX(SINAPI_NOV2020_NDES!$A$7:$H$6703,MATCH($B113,SINAPI_NOV2020_NDES!$A$7:$A$6703,0),6),(INDEX(COMPOS!$A$4:$G$801,MATCH($B113,COMPOS!$A$4:A$801,0),5))))</f>
        <v>314.37935849999997</v>
      </c>
      <c r="H113" s="276">
        <f>(IF($A113="SINAPI",INDEX(SINAPI_NOV2020_NDES!$A$7:$H$6703,MATCH($B113,SINAPI_NOV2020_NDES!$A$7:$A$6703,0),7),(INDEX(COMPOS!$A$4:$G$801,MATCH($B113,COMPOS!$A$4:A$801,0),6))))</f>
        <v>0</v>
      </c>
      <c r="I113" s="276">
        <f t="shared" ref="I113:I116" si="22">SUM(F113:H113)</f>
        <v>361.46410149999997</v>
      </c>
      <c r="J113" s="276">
        <f t="shared" ref="J113:J116" si="23">+I113*E113</f>
        <v>607.25969052000005</v>
      </c>
      <c r="O113" s="256"/>
    </row>
    <row r="114" spans="1:16" ht="52.15" customHeight="1">
      <c r="A114" s="251" t="s">
        <v>7</v>
      </c>
      <c r="B114" s="290">
        <v>90789</v>
      </c>
      <c r="C114" s="301" t="str">
        <f>(IF($A114="SINAPI",INDEX(SINAPI_NOV2020_NDES!$A$7:$H$6703,MATCH($B114,SINAPI_NOV2020_NDES!$A$7:$A$6703,0),2),IF($A114="GOINFRA",INDEX(#REF!,MATCH($B114,#REF!,0),2),(INDEX(COMPOS!$A$4:$G$390,MATCH($B114,COMPOS!$A$4:A$390,0),2)))))</f>
        <v>KIT DE PORTA-PRONTA DE MADEIRA EM ACABAMENTO MELAMÍNICO BRANCO, FOLHA LEVE OU MÉDIA, 70X210CM, EXCLUSIVE FECHADURA, FIXAÇÃO COM PREENCHIMENTO PARCIAL DE ESPUMA EXPANSIVA - FORNECIMENTO E INSTALAÇÃO. AF_12/2019</v>
      </c>
      <c r="D114" s="274" t="str">
        <f>(IF($A114="SINAPI",INDEX(SINAPI_NOV2020_NDES!$A$7:$H$6790,MATCH($B114,SINAPI_NOV2020_NDES!$A$7:$A$6790,0),3),(INDEX(COMPOS!$A$4:$G$5000,MATCH($B114,COMPOS!$A$4:$A$5000,0),3))))</f>
        <v>UN</v>
      </c>
      <c r="E114" s="276">
        <v>1.47</v>
      </c>
      <c r="F114" s="276">
        <f>(IF($A114="SINAPI",INDEX(SINAPI_NOV2020_NDES!$A$7:$H$6703,MATCH($B114,SINAPI_NOV2020_NDES!$A$7:$A$6703,0),5),(INDEX(COMPOS!$A$4:$G$801,MATCH($B114,COMPOS!$A$4:A$801,0),4))))</f>
        <v>14.2</v>
      </c>
      <c r="G114" s="276">
        <f>(IF($A114="SINAPI",INDEX(SINAPI_NOV2020_NDES!$A$7:$H$6703,MATCH($B114,SINAPI_NOV2020_NDES!$A$7:$A$6703,0),6),(INDEX(COMPOS!$A$4:$G$801,MATCH($B114,COMPOS!$A$4:A$801,0),5))))</f>
        <v>491.49</v>
      </c>
      <c r="H114" s="276">
        <f>(IF($A114="SINAPI",INDEX(SINAPI_NOV2020_NDES!$A$7:$H$6703,MATCH($B114,SINAPI_NOV2020_NDES!$A$7:$A$6703,0),7),(INDEX(COMPOS!$A$4:$G$801,MATCH($B114,COMPOS!$A$4:A$801,0),6))))</f>
        <v>0</v>
      </c>
      <c r="I114" s="276">
        <f t="shared" si="22"/>
        <v>505.69</v>
      </c>
      <c r="J114" s="276">
        <f t="shared" si="23"/>
        <v>743.36429999999996</v>
      </c>
      <c r="O114" s="256"/>
    </row>
    <row r="115" spans="1:16" ht="46.15" customHeight="1">
      <c r="A115" s="251" t="s">
        <v>7</v>
      </c>
      <c r="B115" s="290">
        <v>94559</v>
      </c>
      <c r="C115" s="301" t="str">
        <f>(IF($A115="SINAPI",INDEX(SINAPI_NOV2020_NDES!$A$7:$H$6703,MATCH($B115,SINAPI_NOV2020_NDES!$A$7:$A$6703,0),2),IF($A115="GOINFRA",INDEX(#REF!,MATCH($B115,#REF!,0),2),(INDEX(COMPOS!$A$4:$G$390,MATCH($B115,COMPOS!$A$4:A$390,0),2)))))</f>
        <v>JANELA DE AÇO TIPO BASCULANTE PARA VIDROS, COM BATENTE, FERRAGENS E PINTURA ANTICORROSIVA. EXCLUSIVE VIDROS, ACABAMENTO, ALIZAR E CONTRAMARCO. FORNECIMENTO E INSTALAÇÃO. AF_12/2019</v>
      </c>
      <c r="D115" s="274" t="str">
        <f>(IF($A115="SINAPI",INDEX(SINAPI_NOV2020_NDES!$A$7:$H$6790,MATCH($B115,SINAPI_NOV2020_NDES!$A$7:$A$6790,0),3),(INDEX(COMPOS!$A$4:$G$5000,MATCH($B115,COMPOS!$A$4:$A$5000,0),3))))</f>
        <v>M2</v>
      </c>
      <c r="E115" s="276">
        <f>0.7*0.7*2</f>
        <v>0.97999999999999987</v>
      </c>
      <c r="F115" s="276">
        <f>(IF($A115="SINAPI",INDEX(SINAPI_NOV2020_NDES!$A$7:$H$6703,MATCH($B115,SINAPI_NOV2020_NDES!$A$7:$A$6703,0),5),(INDEX(COMPOS!$A$4:$G$801,MATCH($B115,COMPOS!$A$4:A$801,0),4))))</f>
        <v>104.7</v>
      </c>
      <c r="G115" s="276">
        <f>(IF($A115="SINAPI",INDEX(SINAPI_NOV2020_NDES!$A$7:$H$6703,MATCH($B115,SINAPI_NOV2020_NDES!$A$7:$A$6703,0),6),(INDEX(COMPOS!$A$4:$G$801,MATCH($B115,COMPOS!$A$4:A$801,0),5))))</f>
        <v>494.8</v>
      </c>
      <c r="H115" s="276">
        <f>(IF($A115="SINAPI",INDEX(SINAPI_NOV2020_NDES!$A$7:$H$6703,MATCH($B115,SINAPI_NOV2020_NDES!$A$7:$A$6703,0),7),(INDEX(COMPOS!$A$4:$G$801,MATCH($B115,COMPOS!$A$4:A$801,0),6))))</f>
        <v>0</v>
      </c>
      <c r="I115" s="276">
        <f t="shared" si="22"/>
        <v>599.5</v>
      </c>
      <c r="J115" s="276">
        <f t="shared" si="23"/>
        <v>587.50999999999988</v>
      </c>
      <c r="O115" s="256"/>
    </row>
    <row r="116" spans="1:16" ht="36">
      <c r="A116" s="251" t="s">
        <v>7</v>
      </c>
      <c r="B116" s="290">
        <v>94559</v>
      </c>
      <c r="C116" s="301" t="str">
        <f>(IF($A116="SINAPI",INDEX(SINAPI_NOV2020_NDES!$A$7:$H$6703,MATCH($B116,SINAPI_NOV2020_NDES!$A$7:$A$6703,0),2),IF($A116="GOINFRA",INDEX(#REF!,MATCH($B116,#REF!,0),2),(INDEX(COMPOS!$A$4:$G$390,MATCH($B116,COMPOS!$A$4:A$390,0),2)))))</f>
        <v>JANELA DE AÇO TIPO BASCULANTE PARA VIDROS, COM BATENTE, FERRAGENS E PINTURA ANTICORROSIVA. EXCLUSIVE VIDROS, ACABAMENTO, ALIZAR E CONTRAMARCO. FORNECIMENTO E INSTALAÇÃO. AF_12/2019</v>
      </c>
      <c r="D116" s="274" t="str">
        <f>(IF($A116="SINAPI",INDEX(SINAPI_NOV2020_NDES!$A$7:$H$6790,MATCH($B116,SINAPI_NOV2020_NDES!$A$7:$A$6790,0),3),(INDEX(COMPOS!$A$4:$G$5000,MATCH($B116,COMPOS!$A$4:$A$5000,0),3))))</f>
        <v>M2</v>
      </c>
      <c r="E116" s="276">
        <f>1.8*0.7*4</f>
        <v>5.04</v>
      </c>
      <c r="F116" s="276">
        <f>(IF($A116="SINAPI",INDEX(SINAPI_NOV2020_NDES!$A$7:$H$6703,MATCH($B116,SINAPI_NOV2020_NDES!$A$7:$A$6703,0),5),(INDEX(COMPOS!$A$4:$G$801,MATCH($B116,COMPOS!$A$4:A$801,0),4))))</f>
        <v>104.7</v>
      </c>
      <c r="G116" s="276">
        <f>(IF($A116="SINAPI",INDEX(SINAPI_NOV2020_NDES!$A$7:$H$6703,MATCH($B116,SINAPI_NOV2020_NDES!$A$7:$A$6703,0),6),(INDEX(COMPOS!$A$4:$G$801,MATCH($B116,COMPOS!$A$4:A$801,0),5))))</f>
        <v>494.8</v>
      </c>
      <c r="H116" s="276">
        <f>(IF($A116="SINAPI",INDEX(SINAPI_NOV2020_NDES!$A$7:$H$6703,MATCH($B116,SINAPI_NOV2020_NDES!$A$7:$A$6703,0),7),(INDEX(COMPOS!$A$4:$G$801,MATCH($B116,COMPOS!$A$4:A$801,0),6))))</f>
        <v>0</v>
      </c>
      <c r="I116" s="276">
        <f t="shared" si="22"/>
        <v>599.5</v>
      </c>
      <c r="J116" s="276">
        <f t="shared" si="23"/>
        <v>3021.48</v>
      </c>
      <c r="O116" s="256"/>
    </row>
    <row r="117" spans="1:16" s="88" customFormat="1" ht="24" customHeight="1">
      <c r="A117" s="680" t="s">
        <v>6927</v>
      </c>
      <c r="B117" s="680"/>
      <c r="C117" s="680"/>
      <c r="D117" s="680"/>
      <c r="E117" s="680"/>
      <c r="F117" s="680"/>
      <c r="G117" s="680"/>
      <c r="H117" s="680"/>
      <c r="I117" s="680"/>
      <c r="J117" s="281">
        <f>SUM(J112:J116)</f>
        <v>6688.8698458399995</v>
      </c>
      <c r="K117" s="30"/>
      <c r="L117" s="30"/>
      <c r="M117" s="30"/>
      <c r="N117" s="30"/>
      <c r="O117" s="30"/>
      <c r="P117" s="258"/>
    </row>
    <row r="118" spans="1:16">
      <c r="A118" s="289"/>
      <c r="B118" s="299">
        <v>181</v>
      </c>
      <c r="C118" s="300" t="s">
        <v>594</v>
      </c>
      <c r="D118" s="274"/>
      <c r="E118" s="276"/>
      <c r="F118" s="276"/>
      <c r="G118" s="276"/>
      <c r="H118" s="276"/>
      <c r="I118" s="276"/>
      <c r="J118" s="276"/>
    </row>
    <row r="119" spans="1:16">
      <c r="A119" s="251" t="s">
        <v>7</v>
      </c>
      <c r="B119" s="302">
        <v>72117</v>
      </c>
      <c r="C119" s="301" t="str">
        <f>(IF($A119="SINAPI",INDEX(SINAPI_NOV2020_NDES!$A$7:$H$6703,MATCH($B119,SINAPI_NOV2020_NDES!$A$7:$A$6703,0),2),IF($A119="GOINFRA",INDEX(#REF!,MATCH($B119,#REF!,0),2),(INDEX(COMPOS!$A$4:$G$390,MATCH($B119,COMPOS!$A$4:A$390,0),2)))))</f>
        <v>VIDRO LISO COMUM TRANSPARENTE, ESPESSURA 4MM</v>
      </c>
      <c r="D119" s="274" t="str">
        <f>(IF($A119="SINAPI",INDEX(SINAPI_NOV2020_NDES!$A$7:$H$6790,MATCH($B119,SINAPI_NOV2020_NDES!$A$7:$A$6790,0),3),(INDEX(COMPOS!$A$4:$G$5000,MATCH($B119,COMPOS!$A$4:$A$5000,0),3))))</f>
        <v>M2</v>
      </c>
      <c r="E119" s="276">
        <v>4.82</v>
      </c>
      <c r="F119" s="276">
        <f>(IF($A119="SINAPI",INDEX(SINAPI_NOV2020_NDES!$A$7:$H$6703,MATCH($B119,SINAPI_NOV2020_NDES!$A$7:$A$6703,0),5),(INDEX(COMPOS!$A$4:$G$801,MATCH($B119,COMPOS!$A$4:A$801,0),4))))</f>
        <v>11.8</v>
      </c>
      <c r="G119" s="276">
        <f>(IF($A119="SINAPI",INDEX(SINAPI_NOV2020_NDES!$A$7:$H$6703,MATCH($B119,SINAPI_NOV2020_NDES!$A$7:$A$6703,0),6),(INDEX(COMPOS!$A$4:$G$801,MATCH($B119,COMPOS!$A$4:A$801,0),5))))</f>
        <v>171.51</v>
      </c>
      <c r="H119" s="276">
        <f>(IF($A119="SINAPI",INDEX(SINAPI_NOV2020_NDES!$A$7:$H$6703,MATCH($B119,SINAPI_NOV2020_NDES!$A$7:$A$6703,0),7),(INDEX(COMPOS!$A$4:$G$801,MATCH($B119,COMPOS!$A$4:A$801,0),6))))</f>
        <v>0</v>
      </c>
      <c r="I119" s="276">
        <f>SUM(F119:H119)</f>
        <v>183.31</v>
      </c>
      <c r="J119" s="276">
        <f>+I119*E119</f>
        <v>883.55420000000004</v>
      </c>
      <c r="O119" s="256"/>
    </row>
    <row r="120" spans="1:16" s="88" customFormat="1" ht="24" customHeight="1">
      <c r="A120" s="680" t="s">
        <v>6927</v>
      </c>
      <c r="B120" s="680"/>
      <c r="C120" s="680"/>
      <c r="D120" s="680"/>
      <c r="E120" s="680"/>
      <c r="F120" s="680"/>
      <c r="G120" s="680"/>
      <c r="H120" s="680"/>
      <c r="I120" s="680"/>
      <c r="J120" s="281">
        <f>SUM(J119)</f>
        <v>883.55420000000004</v>
      </c>
      <c r="K120" s="30"/>
      <c r="L120" s="30"/>
      <c r="M120" s="30"/>
      <c r="N120" s="30"/>
      <c r="O120" s="30"/>
      <c r="P120" s="258"/>
    </row>
    <row r="121" spans="1:16">
      <c r="A121" s="289"/>
      <c r="B121" s="299">
        <v>182</v>
      </c>
      <c r="C121" s="300" t="s">
        <v>593</v>
      </c>
      <c r="D121" s="274"/>
      <c r="E121" s="276"/>
      <c r="F121" s="276"/>
      <c r="G121" s="276"/>
      <c r="H121" s="276"/>
      <c r="I121" s="276"/>
      <c r="J121" s="276"/>
    </row>
    <row r="122" spans="1:16" ht="36">
      <c r="A122" s="251" t="s">
        <v>7</v>
      </c>
      <c r="B122" s="290">
        <v>87879</v>
      </c>
      <c r="C122" s="301" t="str">
        <f>(IF($A122="SINAPI",INDEX(SINAPI_NOV2020_NDES!$A$7:$H$6703,MATCH($B122,SINAPI_NOV2020_NDES!$A$7:$A$6703,0),2),IF($A122="GOINFRA",INDEX(#REF!,MATCH($B122,#REF!,0),2),(INDEX(COMPOS!$A$4:$G$390,MATCH($B122,COMPOS!$A$4:A$390,0),2)))))</f>
        <v>CHAPISCO APLICADO EM ALVENARIAS E ESTRUTURAS DE CONCRETO INTERNAS, COM COLHER DE PEDREIRO.  ARGAMASSA TRAÇO 1:3 COM PREPARO EM BETONEIRA 400L. AF_06/2014</v>
      </c>
      <c r="D122" s="274" t="str">
        <f>(IF($A122="SINAPI",INDEX(SINAPI_NOV2020_NDES!$A$7:$H$6790,MATCH($B122,SINAPI_NOV2020_NDES!$A$7:$A$6790,0),3),(INDEX(COMPOS!$A$4:$G$5000,MATCH($B122,COMPOS!$A$4:$A$5000,0),3))))</f>
        <v>M2</v>
      </c>
      <c r="E122" s="276">
        <f>250.78-(30.7*4.16-4*1.8*0.7-2*0.7*0.7-0.8*2.1-0.9*2.1)</f>
        <v>132.65800000000002</v>
      </c>
      <c r="F122" s="276">
        <f>(IF($A122="SINAPI",INDEX(SINAPI_NOV2020_NDES!$A$7:$H$6703,MATCH($B122,SINAPI_NOV2020_NDES!$A$7:$A$6703,0),5),(INDEX(COMPOS!$A$4:$G$801,MATCH($B122,COMPOS!$A$4:A$801,0),4))))</f>
        <v>1.67</v>
      </c>
      <c r="G122" s="276">
        <f>(IF($A122="SINAPI",INDEX(SINAPI_NOV2020_NDES!$A$7:$H$6703,MATCH($B122,SINAPI_NOV2020_NDES!$A$7:$A$6703,0),6),(INDEX(COMPOS!$A$4:$G$801,MATCH($B122,COMPOS!$A$4:A$801,0),5))))</f>
        <v>1.74</v>
      </c>
      <c r="H122" s="276">
        <f>(IF($A122="SINAPI",INDEX(SINAPI_NOV2020_NDES!$A$7:$H$6703,MATCH($B122,SINAPI_NOV2020_NDES!$A$7:$A$6703,0),7),(INDEX(COMPOS!$A$4:$G$801,MATCH($B122,COMPOS!$A$4:A$801,0),6))))</f>
        <v>0</v>
      </c>
      <c r="I122" s="276">
        <f t="shared" ref="I122" si="24">SUM(F122:H122)</f>
        <v>3.41</v>
      </c>
      <c r="J122" s="276">
        <f t="shared" ref="J122" si="25">+I122*E122</f>
        <v>452.36378000000008</v>
      </c>
      <c r="O122" s="256"/>
    </row>
    <row r="123" spans="1:16" ht="36">
      <c r="A123" s="251" t="s">
        <v>7</v>
      </c>
      <c r="B123" s="290">
        <v>87894</v>
      </c>
      <c r="C123" s="301" t="str">
        <f>(IF($A123="SINAPI",INDEX(SINAPI_NOV2020_NDES!$A$7:$H$6703,MATCH($B123,SINAPI_NOV2020_NDES!$A$7:$A$6703,0),2),IF($A123="GOINFRA",INDEX(#REF!,MATCH($B123,#REF!,0),2),(INDEX(COMPOS!$A$4:$G$390,MATCH($B123,COMPOS!$A$4:A$390,0),2)))))</f>
        <v>CHAPISCO APLICADO EM ALVENARIA (SEM PRESENÇA DE VÃOS) E ESTRUTURAS DE CONCRETO DE FACHADA, COM COLHER DE PEDREIRO.  ARGAMASSA TRAÇO 1:3 COM PREPARO EM BETONEIRA 400L. AF_06/2014</v>
      </c>
      <c r="D123" s="274" t="str">
        <f>(IF($A123="SINAPI",INDEX(SINAPI_NOV2020_NDES!$A$7:$H$6790,MATCH($B123,SINAPI_NOV2020_NDES!$A$7:$A$6790,0),3),(INDEX(COMPOS!$A$4:$G$5000,MATCH($B123,COMPOS!$A$4:$A$5000,0),3))))</f>
        <v>M2</v>
      </c>
      <c r="E123" s="276">
        <f>(30.7*4.16-4*1.8*0.7-2*0.7*0.7-0.8*2.1-0.9*2.1)+109.71</f>
        <v>227.83199999999999</v>
      </c>
      <c r="F123" s="276">
        <f>(IF($A123="SINAPI",INDEX(SINAPI_NOV2020_NDES!$A$7:$H$6703,MATCH($B123,SINAPI_NOV2020_NDES!$A$7:$A$6703,0),5),(INDEX(COMPOS!$A$4:$G$801,MATCH($B123,COMPOS!$A$4:A$801,0),4))))</f>
        <v>3.2</v>
      </c>
      <c r="G123" s="276">
        <f>(IF($A123="SINAPI",INDEX(SINAPI_NOV2020_NDES!$A$7:$H$6703,MATCH($B123,SINAPI_NOV2020_NDES!$A$7:$A$6703,0),6),(INDEX(COMPOS!$A$4:$G$801,MATCH($B123,COMPOS!$A$4:A$801,0),5))))</f>
        <v>2.2200000000000002</v>
      </c>
      <c r="H123" s="276">
        <f>(IF($A123="SINAPI",INDEX(SINAPI_NOV2020_NDES!$A$7:$H$6703,MATCH($B123,SINAPI_NOV2020_NDES!$A$7:$A$6703,0),7),(INDEX(COMPOS!$A$4:$G$801,MATCH($B123,COMPOS!$A$4:A$801,0),6))))</f>
        <v>0</v>
      </c>
      <c r="I123" s="276">
        <f t="shared" ref="I123:I127" si="26">SUM(F123:H123)</f>
        <v>5.42</v>
      </c>
      <c r="J123" s="276">
        <f t="shared" ref="J123:J127" si="27">+I123*E123</f>
        <v>1234.84944</v>
      </c>
      <c r="O123" s="256"/>
    </row>
    <row r="124" spans="1:16" ht="48">
      <c r="A124" s="251" t="s">
        <v>7</v>
      </c>
      <c r="B124" s="290">
        <v>87529</v>
      </c>
      <c r="C124" s="301" t="str">
        <f>(IF($A124="SINAPI",INDEX(SINAPI_NOV2020_NDES!$A$7:$H$6703,MATCH($B124,SINAPI_NOV2020_NDES!$A$7:$A$6703,0),2),IF($A124="GOINFRA",INDEX(#REF!,MATCH($B124,#REF!,0),2),(INDEX(COMPOS!$A$4:$G$390,MATCH($B124,COMPOS!$A$4:A$390,0),2)))))</f>
        <v>MASSA ÚNICA, PARA RECEBIMENTO DE PINTURA, EM ARGAMASSA TRAÇO 1:2:8, PREPARO MECÂNICO COM BETONEIRA 400L, APLICADA MANUALMENTE EM FACES INTERNAS DE PAREDES, ESPESSURA DE 20MM, COM EXECUÇÃO DE TALISCAS. AF_06/2014</v>
      </c>
      <c r="D124" s="274" t="str">
        <f>(IF($A124="SINAPI",INDEX(SINAPI_NOV2020_NDES!$A$7:$H$6790,MATCH($B124,SINAPI_NOV2020_NDES!$A$7:$A$6790,0),3),(INDEX(COMPOS!$A$4:$G$5000,MATCH($B124,COMPOS!$A$4:$A$5000,0),3))))</f>
        <v>M2</v>
      </c>
      <c r="E124" s="276">
        <v>321.8</v>
      </c>
      <c r="F124" s="276">
        <f>(IF($A124="SINAPI",INDEX(SINAPI_NOV2020_NDES!$A$7:$H$6703,MATCH($B124,SINAPI_NOV2020_NDES!$A$7:$A$6703,0),5),(INDEX(COMPOS!$A$4:$G$801,MATCH($B124,COMPOS!$A$4:A$801,0),4))))</f>
        <v>13.35</v>
      </c>
      <c r="G124" s="276">
        <f>(IF($A124="SINAPI",INDEX(SINAPI_NOV2020_NDES!$A$7:$H$6703,MATCH($B124,SINAPI_NOV2020_NDES!$A$7:$A$6703,0),6),(INDEX(COMPOS!$A$4:$G$801,MATCH($B124,COMPOS!$A$4:A$801,0),5))))</f>
        <v>17.5</v>
      </c>
      <c r="H124" s="276">
        <f>(IF($A124="SINAPI",INDEX(SINAPI_NOV2020_NDES!$A$7:$H$6703,MATCH($B124,SINAPI_NOV2020_NDES!$A$7:$A$6703,0),7),(INDEX(COMPOS!$A$4:$G$801,MATCH($B124,COMPOS!$A$4:A$801,0),6))))</f>
        <v>0.03</v>
      </c>
      <c r="I124" s="276">
        <f t="shared" si="26"/>
        <v>30.880000000000003</v>
      </c>
      <c r="J124" s="276">
        <f t="shared" si="27"/>
        <v>9937.1840000000011</v>
      </c>
      <c r="O124" s="256"/>
    </row>
    <row r="125" spans="1:16" ht="48">
      <c r="A125" s="251" t="s">
        <v>7</v>
      </c>
      <c r="B125" s="290">
        <v>87531</v>
      </c>
      <c r="C125" s="301" t="str">
        <f>(IF($A125="SINAPI",INDEX(SINAPI_NOV2020_NDES!$A$7:$H$6703,MATCH($B125,SINAPI_NOV2020_NDES!$A$7:$A$6703,0),2),IF($A125="GOINFRA",INDEX(#REF!,MATCH($B125,#REF!,0),2),(INDEX(COMPOS!$A$4:$G$390,MATCH($B125,COMPOS!$A$4:A$390,0),2)))))</f>
        <v>EMBOÇO, PARA RECEBIMENTO DE CERÂMICA, EM ARGAMASSA TRAÇO 1:2:8, PREPARO MECÂNICO COM BETONEIRA 400L, APLICADO MANUALMENTE EM FACES INTERNAS DE PAREDES, PARA AMBIENTE COM ÁREA ENTRE 5M2 E 10M2, ESPESSURA DE 20MM, COM EXECUÇÃO DE TALISCAS. AF_06/2014</v>
      </c>
      <c r="D125" s="274" t="str">
        <f>(IF($A125="SINAPI",INDEX(SINAPI_NOV2020_NDES!$A$7:$H$6790,MATCH($B125,SINAPI_NOV2020_NDES!$A$7:$A$6790,0),3),(INDEX(COMPOS!$A$4:$G$5000,MATCH($B125,COMPOS!$A$4:$A$5000,0),3))))</f>
        <v>M2</v>
      </c>
      <c r="E125" s="276">
        <v>38.700000000000003</v>
      </c>
      <c r="F125" s="276">
        <f>(IF($A125="SINAPI",INDEX(SINAPI_NOV2020_NDES!$A$7:$H$6703,MATCH($B125,SINAPI_NOV2020_NDES!$A$7:$A$6703,0),5),(INDEX(COMPOS!$A$4:$G$801,MATCH($B125,COMPOS!$A$4:A$801,0),4))))</f>
        <v>12.55</v>
      </c>
      <c r="G125" s="276">
        <f>(IF($A125="SINAPI",INDEX(SINAPI_NOV2020_NDES!$A$7:$H$6703,MATCH($B125,SINAPI_NOV2020_NDES!$A$7:$A$6703,0),6),(INDEX(COMPOS!$A$4:$G$801,MATCH($B125,COMPOS!$A$4:A$801,0),5))))</f>
        <v>17.239999999999998</v>
      </c>
      <c r="H125" s="276">
        <f>(IF($A125="SINAPI",INDEX(SINAPI_NOV2020_NDES!$A$7:$H$6703,MATCH($B125,SINAPI_NOV2020_NDES!$A$7:$A$6703,0),7),(INDEX(COMPOS!$A$4:$G$801,MATCH($B125,COMPOS!$A$4:A$801,0),6))))</f>
        <v>0.03</v>
      </c>
      <c r="I125" s="276">
        <f t="shared" si="26"/>
        <v>29.82</v>
      </c>
      <c r="J125" s="276">
        <f t="shared" si="27"/>
        <v>1154.0340000000001</v>
      </c>
      <c r="O125" s="256"/>
    </row>
    <row r="126" spans="1:16" ht="36">
      <c r="A126" s="251" t="s">
        <v>7</v>
      </c>
      <c r="B126" s="290">
        <v>87267</v>
      </c>
      <c r="C126" s="301" t="str">
        <f>(IF($A126="SINAPI",INDEX(SINAPI_NOV2020_NDES!$A$7:$H$6703,MATCH($B126,SINAPI_NOV2020_NDES!$A$7:$A$6703,0),2),IF($A126="GOINFRA",INDEX(#REF!,MATCH($B126,#REF!,0),2),(INDEX(COMPOS!$A$4:$G$390,MATCH($B126,COMPOS!$A$4:A$390,0),2)))))</f>
        <v>REVESTIMENTO CERÂMICO PARA PAREDES INTERNAS COM PLACAS TIPO ESMALTADA EXTRA DE DIMENSÕES 20X20 CM APLICADAS EM AMBIENTES DE ÁREA MAIOR QUE 5 M² A MEIA ALTURA DAS PAREDES. AF_06/2014</v>
      </c>
      <c r="D126" s="274" t="str">
        <f>(IF($A126="SINAPI",INDEX(SINAPI_NOV2020_NDES!$A$7:$H$6790,MATCH($B126,SINAPI_NOV2020_NDES!$A$7:$A$6790,0),3),(INDEX(COMPOS!$A$4:$G$5000,MATCH($B126,COMPOS!$A$4:$A$5000,0),3))))</f>
        <v>M2</v>
      </c>
      <c r="E126" s="276">
        <v>38.700000000000003</v>
      </c>
      <c r="F126" s="276">
        <f>(IF($A126="SINAPI",INDEX(SINAPI_NOV2020_NDES!$A$7:$H$6703,MATCH($B126,SINAPI_NOV2020_NDES!$A$7:$A$6703,0),5),(INDEX(COMPOS!$A$4:$G$801,MATCH($B126,COMPOS!$A$4:A$801,0),4))))</f>
        <v>15.86</v>
      </c>
      <c r="G126" s="276">
        <f>(IF($A126="SINAPI",INDEX(SINAPI_NOV2020_NDES!$A$7:$H$6703,MATCH($B126,SINAPI_NOV2020_NDES!$A$7:$A$6703,0),6),(INDEX(COMPOS!$A$4:$G$801,MATCH($B126,COMPOS!$A$4:A$801,0),5))))</f>
        <v>27.49</v>
      </c>
      <c r="H126" s="276">
        <f>(IF($A126="SINAPI",INDEX(SINAPI_NOV2020_NDES!$A$7:$H$6703,MATCH($B126,SINAPI_NOV2020_NDES!$A$7:$A$6703,0),7),(INDEX(COMPOS!$A$4:$G$801,MATCH($B126,COMPOS!$A$4:A$801,0),6))))</f>
        <v>0</v>
      </c>
      <c r="I126" s="276">
        <f t="shared" si="26"/>
        <v>43.349999999999994</v>
      </c>
      <c r="J126" s="276">
        <f t="shared" si="27"/>
        <v>1677.645</v>
      </c>
      <c r="O126" s="256"/>
    </row>
    <row r="127" spans="1:16" ht="24">
      <c r="A127" s="251" t="s">
        <v>6307</v>
      </c>
      <c r="B127" s="290">
        <v>347</v>
      </c>
      <c r="C127" s="301" t="str">
        <f>(IF($A127="SINAPI",INDEX(SINAPI_NOV2020_NDES!$A$7:$H$6703,MATCH($B127,SINAPI_NOV2020_NDES!$A$7:$A$6703,0),2),IF($A127="GOINFRA",INDEX(#REF!,MATCH($B127,#REF!,0),2),(INDEX(COMPOS!$A$4:$G$390,MATCH($B127,COMPOS!$A$4:A$390,0),2)))))</f>
        <v>MOLDURA TIPO “U” INVERTIDO EM ARGAMASSA COM 2CM DE ESPESSURA TIPO PINGADEIRA EM MURO/PLATIBANDA (A PARTE VETICAL DESCE 2,5CM)</v>
      </c>
      <c r="D127" s="274" t="str">
        <f>(IF($A127="SINAPI",INDEX(SINAPI_NOV2020_NDES!$A$7:$H$6790,MATCH($B127,SINAPI_NOV2020_NDES!$A$7:$A$6790,0),3),(INDEX(COMPOS!$A$4:$G$5000,MATCH($B127,COMPOS!$A$4:$A$5000,0),3))))</f>
        <v>M2</v>
      </c>
      <c r="E127" s="276">
        <v>5.22</v>
      </c>
      <c r="F127" s="276">
        <f>(IF($A127="SINAPI",INDEX(SINAPI_NOV2020_NDES!$A$7:$H$6703,MATCH($B127,SINAPI_NOV2020_NDES!$A$7:$A$6703,0),5),(INDEX(COMPOS!$A$4:$G$801,MATCH($B127,COMPOS!$A$4:A$801,0),4))))</f>
        <v>48.24633</v>
      </c>
      <c r="G127" s="276">
        <f>(IF($A127="SINAPI",INDEX(SINAPI_NOV2020_NDES!$A$7:$H$6703,MATCH($B127,SINAPI_NOV2020_NDES!$A$7:$A$6703,0),6),(INDEX(COMPOS!$A$4:$G$801,MATCH($B127,COMPOS!$A$4:A$801,0),5))))</f>
        <v>15.812080000000002</v>
      </c>
      <c r="H127" s="276">
        <f>(IF($A127="SINAPI",INDEX(SINAPI_NOV2020_NDES!$A$7:$H$6703,MATCH($B127,SINAPI_NOV2020_NDES!$A$7:$A$6703,0),7),(INDEX(COMPOS!$A$4:$G$801,MATCH($B127,COMPOS!$A$4:A$801,0),6))))</f>
        <v>0</v>
      </c>
      <c r="I127" s="276">
        <f t="shared" si="26"/>
        <v>64.058410000000009</v>
      </c>
      <c r="J127" s="276">
        <f t="shared" si="27"/>
        <v>334.3849002</v>
      </c>
      <c r="O127" s="256"/>
    </row>
    <row r="128" spans="1:16" s="88" customFormat="1" ht="24" customHeight="1">
      <c r="A128" s="680" t="s">
        <v>6927</v>
      </c>
      <c r="B128" s="680"/>
      <c r="C128" s="680"/>
      <c r="D128" s="680"/>
      <c r="E128" s="680"/>
      <c r="F128" s="680"/>
      <c r="G128" s="680"/>
      <c r="H128" s="680"/>
      <c r="I128" s="680"/>
      <c r="J128" s="281">
        <f>SUM(J122:J127)</f>
        <v>14790.461120200001</v>
      </c>
      <c r="K128" s="30"/>
      <c r="L128" s="30"/>
      <c r="M128" s="30"/>
      <c r="N128" s="30"/>
      <c r="O128" s="30"/>
      <c r="P128" s="258"/>
    </row>
    <row r="129" spans="1:16">
      <c r="A129" s="289"/>
      <c r="B129" s="299">
        <v>183</v>
      </c>
      <c r="C129" s="300" t="s">
        <v>592</v>
      </c>
      <c r="D129" s="274"/>
      <c r="E129" s="276"/>
      <c r="F129" s="276"/>
      <c r="G129" s="276"/>
      <c r="H129" s="276"/>
      <c r="I129" s="276"/>
      <c r="J129" s="276"/>
    </row>
    <row r="130" spans="1:16" ht="36">
      <c r="A130" s="251" t="s">
        <v>7</v>
      </c>
      <c r="B130" s="290">
        <v>87882</v>
      </c>
      <c r="C130" s="301" t="str">
        <f>(IF($A130="SINAPI",INDEX(SINAPI_NOV2020_NDES!$A$7:$H$6703,MATCH($B130,SINAPI_NOV2020_NDES!$A$7:$A$6703,0),2),IF($A130="GOINFRA",INDEX(#REF!,MATCH($B130,#REF!,0),2),(INDEX(COMPOS!$A$4:$G$390,MATCH($B130,COMPOS!$A$4:A$390,0),3)))))</f>
        <v>CHAPISCO APLICADO NO TETO, COM ROLO PARA TEXTURA ACRÍLICA. ARGAMASSA TRAÇO 1:4 E EMULSÃO POLIMÉRICA (ADESIVO) COM PREPARO EM BETONEIRA 400L. AF_06/2014</v>
      </c>
      <c r="D130" s="274" t="str">
        <f>(IF($A130="SINAPI",INDEX(SINAPI_NOV2020_NDES!$A$7:$H$6790,MATCH($B130,SINAPI_NOV2020_NDES!$A$7:$A$6790,0),3),(INDEX(COMPOS!$A$4:$G$5000,MATCH($B130,COMPOS!$A$4:$A$5000,0),3))))</f>
        <v>M2</v>
      </c>
      <c r="E130" s="276">
        <v>38.76</v>
      </c>
      <c r="F130" s="276">
        <f>(IF($A130="SINAPI",INDEX(SINAPI_NOV2020_NDES!$A$7:$H$6703,MATCH($B130,SINAPI_NOV2020_NDES!$A$7:$A$6703,0),5),IF($A130="GOINFRA",INDEX(#REF!,MATCH($B130,#REF!,0),5),(INDEX(COMPOS!$A$4:$G$801,MATCH($B130,COMPOS!$A$4:A$801,0),4)))))</f>
        <v>0.82</v>
      </c>
      <c r="G130" s="276">
        <f>(IF($A130="SINAPI",INDEX(SINAPI_NOV2020_NDES!$A$7:$H$6703,MATCH($B130,SINAPI_NOV2020_NDES!$A$7:$A$6703,0),6),IF($A130="GOINFRA",INDEX(#REF!,MATCH($B130,#REF!,0),4),(INDEX(COMPOS!$A$4:$G$801,MATCH($B130,COMPOS!$A$4:A$801,0),5)))))</f>
        <v>3.11</v>
      </c>
      <c r="H130" s="276">
        <f>(IF($A130="SINAPI",INDEX(SINAPI_NOV2020_NDES!$A$7:$H$6703,MATCH($B130,SINAPI_NOV2020_NDES!$A$7:$A$6703,0),7),IF($A130="GOINFRA",0,(INDEX(COMPOS!$A$4:$G$801,MATCH($B130,COMPOS!$A$4:A$801,0),6)))))</f>
        <v>0</v>
      </c>
      <c r="I130" s="276">
        <f t="shared" ref="I130" si="28">SUM(F130:H130)</f>
        <v>3.9299999999999997</v>
      </c>
      <c r="J130" s="276">
        <f>+I130*E130</f>
        <v>152.32679999999999</v>
      </c>
      <c r="O130" s="256"/>
    </row>
    <row r="131" spans="1:16" ht="36">
      <c r="A131" s="251" t="s">
        <v>7</v>
      </c>
      <c r="B131" s="290">
        <v>90406</v>
      </c>
      <c r="C131" s="301" t="str">
        <f>(IF($A131="SINAPI",INDEX(SINAPI_NOV2020_NDES!$A$7:$H$6703,MATCH($B131,SINAPI_NOV2020_NDES!$A$7:$A$6703,0),2),IF($A131="GOINFRA",INDEX(#REF!,MATCH($B131,#REF!,0),2),(INDEX(COMPOS!$A$4:$G$390,MATCH($B131,COMPOS!$A$4:A$390,0),3)))))</f>
        <v>MASSA ÚNICA, PARA RECEBIMENTO DE PINTURA, EM ARGAMASSA TRAÇO 1:2:8, PREPARO MECÂNICO COM BETONEIRA 400L, APLICADA MANUALMENTE EM TETO, ESPESSURA DE 20MM, COM EXECUÇÃO DE TALISCAS. AF_03/2015</v>
      </c>
      <c r="D131" s="274" t="str">
        <f>(IF($A131="SINAPI",INDEX(SINAPI_NOV2020_NDES!$A$7:$H$6790,MATCH($B131,SINAPI_NOV2020_NDES!$A$7:$A$6790,0),3),(INDEX(COMPOS!$A$4:$G$5000,MATCH($B131,COMPOS!$A$4:$A$5000,0),3))))</f>
        <v>M2</v>
      </c>
      <c r="E131" s="276">
        <v>38.76</v>
      </c>
      <c r="F131" s="276">
        <f>(IF($A131="SINAPI",INDEX(SINAPI_NOV2020_NDES!$A$7:$H$6703,MATCH($B131,SINAPI_NOV2020_NDES!$A$7:$A$6703,0),5),IF($A131="GOINFRA",INDEX(#REF!,MATCH($B131,#REF!,0),5),(INDEX(COMPOS!$A$4:$G$801,MATCH($B131,COMPOS!$A$4:A$801,0),4)))))</f>
        <v>20.13</v>
      </c>
      <c r="G131" s="276">
        <f>(IF($A131="SINAPI",INDEX(SINAPI_NOV2020_NDES!$A$7:$H$6703,MATCH($B131,SINAPI_NOV2020_NDES!$A$7:$A$6703,0),6),IF($A131="GOINFRA",INDEX(#REF!,MATCH($B131,#REF!,0),4),(INDEX(COMPOS!$A$4:$G$801,MATCH($B131,COMPOS!$A$4:A$801,0),5)))))</f>
        <v>19.45</v>
      </c>
      <c r="H131" s="276">
        <f>(IF($A131="SINAPI",INDEX(SINAPI_NOV2020_NDES!$A$7:$H$6703,MATCH($B131,SINAPI_NOV2020_NDES!$A$7:$A$6703,0),7),IF($A131="GOINFRA",0,(INDEX(COMPOS!$A$4:$G$801,MATCH($B131,COMPOS!$A$4:A$801,0),6)))))</f>
        <v>0.03</v>
      </c>
      <c r="I131" s="276">
        <f t="shared" ref="I131" si="29">SUM(F131:H131)</f>
        <v>39.61</v>
      </c>
      <c r="J131" s="276">
        <f>+I131*E131</f>
        <v>1535.2836</v>
      </c>
      <c r="O131" s="256"/>
    </row>
    <row r="132" spans="1:16" s="88" customFormat="1" ht="24" customHeight="1">
      <c r="A132" s="680" t="s">
        <v>6927</v>
      </c>
      <c r="B132" s="680"/>
      <c r="C132" s="680"/>
      <c r="D132" s="680"/>
      <c r="E132" s="680"/>
      <c r="F132" s="680"/>
      <c r="G132" s="680"/>
      <c r="H132" s="680"/>
      <c r="I132" s="680"/>
      <c r="J132" s="281">
        <f>SUM(J130:J131)</f>
        <v>1687.6104</v>
      </c>
      <c r="K132" s="30"/>
      <c r="L132" s="30"/>
      <c r="M132" s="30"/>
      <c r="N132" s="30"/>
      <c r="O132" s="30"/>
      <c r="P132" s="258"/>
    </row>
    <row r="133" spans="1:16">
      <c r="A133" s="289"/>
      <c r="B133" s="299">
        <v>184</v>
      </c>
      <c r="C133" s="300" t="s">
        <v>591</v>
      </c>
      <c r="D133" s="274"/>
      <c r="E133" s="276"/>
      <c r="F133" s="276"/>
      <c r="G133" s="276"/>
      <c r="H133" s="276"/>
      <c r="I133" s="276"/>
      <c r="J133" s="276"/>
    </row>
    <row r="134" spans="1:16" ht="24">
      <c r="A134" s="251" t="s">
        <v>7</v>
      </c>
      <c r="B134" s="290">
        <v>95241</v>
      </c>
      <c r="C134" s="301" t="str">
        <f>(IF($A134="SINAPI",INDEX(SINAPI_NOV2020_NDES!$A$7:$H$6703,MATCH($B134,SINAPI_NOV2020_NDES!$A$7:$A$6703,0),2),IF($A134="GOINFRA",INDEX(#REF!,MATCH($B134,#REF!,0),2),(INDEX(COMPOS!$A$4:$G$390,MATCH($B134,COMPOS!$A$4:A$390,0),3)))))</f>
        <v>LASTRO DE CONCRETO MAGRO, APLICADO EM PISOS OU RADIERS, ESPESSURA DE 5 CM. AF_07/2016</v>
      </c>
      <c r="D134" s="274" t="str">
        <f>(IF($A134="SINAPI",INDEX(SINAPI_NOV2020_NDES!$A$7:$H$6790,MATCH($B134,SINAPI_NOV2020_NDES!$A$7:$A$6790,0),3),(INDEX(COMPOS!$A$4:$G$5000,MATCH($B134,COMPOS!$A$4:$A$5000,0),3))))</f>
        <v>M2</v>
      </c>
      <c r="E134" s="276">
        <v>38.76</v>
      </c>
      <c r="F134" s="276">
        <f>(IF($A134="SINAPI",INDEX(SINAPI_NOV2020_NDES!$A$7:$H$6703,MATCH($B134,SINAPI_NOV2020_NDES!$A$7:$A$6703,0),5),(INDEX(COMPOS!$A$4:$G$801,MATCH($B134,COMPOS!$A$4:A$801,0),4))))</f>
        <v>8.26</v>
      </c>
      <c r="G134" s="276">
        <f>(IF($A134="SINAPI",INDEX(SINAPI_NOV2020_NDES!$A$7:$H$6703,MATCH($B134,SINAPI_NOV2020_NDES!$A$7:$A$6703,0),6),(INDEX(COMPOS!$A$4:$G$801,MATCH($B134,COMPOS!$A$4:A$801,0),5))))</f>
        <v>16.48</v>
      </c>
      <c r="H134" s="276">
        <f>(IF($A134="SINAPI",INDEX(SINAPI_NOV2020_NDES!$A$7:$H$6703,MATCH($B134,SINAPI_NOV2020_NDES!$A$7:$A$6703,0),7),(INDEX(COMPOS!$A$4:$G$801,MATCH($B134,COMPOS!$A$4:A$801,0),6))))</f>
        <v>0.09</v>
      </c>
      <c r="I134" s="276">
        <f>SUM(F134:H134)</f>
        <v>24.830000000000002</v>
      </c>
      <c r="J134" s="276">
        <f>+I134*E134</f>
        <v>962.41079999999999</v>
      </c>
      <c r="O134" s="256"/>
    </row>
    <row r="135" spans="1:16" ht="24">
      <c r="A135" s="251" t="s">
        <v>6307</v>
      </c>
      <c r="B135" s="290">
        <v>348</v>
      </c>
      <c r="C135" s="301" t="str">
        <f>(IF($A135="SINAPI",INDEX(SINAPI_NOV2020_NDES!$A$7:$H$6703,MATCH($B135,SINAPI_NOV2020_NDES!$A$7:$A$6703,0),2),IF($A135="GOINFRA",INDEX(#REF!,MATCH($B135,#REF!,0),2),(INDEX(COMPOS!$A$4:$G$390,MATCH($B135,COMPOS!$A$4:A$390,0),2)))))</f>
        <v>PASSEIO DE PROTEÇÃO EM CONCRETO DESEMPENADO 5CM (1:2,5:3,5) (INCLUSO ESPELHO DE 30CM/ESCAVAÇÃO/REATERRO/APILOAMENTO/ATERRO INTERNO)</v>
      </c>
      <c r="D135" s="274" t="str">
        <f>(IF($A135="SINAPI",INDEX(SINAPI_NOV2020_NDES!$A$7:$H$6790,MATCH($B135,SINAPI_NOV2020_NDES!$A$7:$A$6790,0),3),(INDEX(COMPOS!$A$4:$G$5000,MATCH($B135,COMPOS!$A$4:$A$5000,0),3))))</f>
        <v>M2</v>
      </c>
      <c r="E135" s="276">
        <v>41.4</v>
      </c>
      <c r="F135" s="276">
        <f>(IF($A135="SINAPI",INDEX(SINAPI_NOV2020_NDES!$A$7:$H$6703,MATCH($B135,SINAPI_NOV2020_NDES!$A$7:$A$6703,0),5),(INDEX(COMPOS!$A$4:$G$801,MATCH($B135,COMPOS!$A$4:A$801,0),4))))</f>
        <v>43.421984000000002</v>
      </c>
      <c r="G135" s="276">
        <f>(IF($A135="SINAPI",INDEX(SINAPI_NOV2020_NDES!$A$7:$H$6703,MATCH($B135,SINAPI_NOV2020_NDES!$A$7:$A$6703,0),6),(INDEX(COMPOS!$A$4:$G$801,MATCH($B135,COMPOS!$A$4:A$801,0),5))))</f>
        <v>31.570292999999999</v>
      </c>
      <c r="H135" s="276">
        <f>(IF($A135="SINAPI",INDEX(SINAPI_NOV2020_NDES!$A$7:$H$6703,MATCH($B135,SINAPI_NOV2020_NDES!$A$7:$A$6703,0),7),(INDEX(COMPOS!$A$4:$G$801,MATCH($B135,COMPOS!$A$4:A$801,0),6))))</f>
        <v>0</v>
      </c>
      <c r="I135" s="276">
        <f t="shared" ref="I135:I137" si="30">SUM(F135:H135)</f>
        <v>74.992277000000001</v>
      </c>
      <c r="J135" s="276">
        <f t="shared" ref="J135:J137" si="31">+I135*E135</f>
        <v>3104.6802677999999</v>
      </c>
      <c r="O135" s="256"/>
    </row>
    <row r="136" spans="1:16">
      <c r="A136" s="251" t="s">
        <v>6307</v>
      </c>
      <c r="B136" s="290">
        <v>350</v>
      </c>
      <c r="C136" s="301" t="str">
        <f>(IF($A136="SINAPI",INDEX(SINAPI_NOV2020_NDES!$A$7:$H$6703,MATCH($B136,SINAPI_NOV2020_NDES!$A$7:$A$6703,0),2),IF($A136="GOINFRA",INDEX(#REF!,MATCH($B136,#REF!,0),2),(INDEX(COMPOS!$A$4:$G$390,MATCH($B136,COMPOS!$A$4:A$390,0),2)))))</f>
        <v>GRANITINA 8MM FUNDIDA COM CONTRAPISO, ESP. 2CM E JUNTA PLÁSTICA 27MM</v>
      </c>
      <c r="D136" s="274" t="str">
        <f>(IF($A136="SINAPI",INDEX(SINAPI_NOV2020_NDES!$A$7:$H$6790,MATCH($B136,SINAPI_NOV2020_NDES!$A$7:$A$6790,0),3),(INDEX(COMPOS!$A$4:$G$5000,MATCH($B136,COMPOS!$A$4:$A$5000,0),3))))</f>
        <v>M2</v>
      </c>
      <c r="E136" s="276">
        <v>38.76</v>
      </c>
      <c r="F136" s="276">
        <f>(IF($A136="SINAPI",INDEX(SINAPI_NOV2020_NDES!$A$7:$H$6703,MATCH($B136,SINAPI_NOV2020_NDES!$A$7:$A$6703,0),5),(INDEX(COMPOS!$A$4:$G$801,MATCH($B136,COMPOS!$A$4:A$801,0),4))))</f>
        <v>19.118230999999998</v>
      </c>
      <c r="G136" s="276">
        <f>(IF($A136="SINAPI",INDEX(SINAPI_NOV2020_NDES!$A$7:$H$6703,MATCH($B136,SINAPI_NOV2020_NDES!$A$7:$A$6703,0),6),(INDEX(COMPOS!$A$4:$G$801,MATCH($B136,COMPOS!$A$4:A$801,0),5))))</f>
        <v>97.538049999999998</v>
      </c>
      <c r="H136" s="276">
        <f>(IF($A136="SINAPI",INDEX(SINAPI_NOV2020_NDES!$A$7:$H$6703,MATCH($B136,SINAPI_NOV2020_NDES!$A$7:$A$6703,0),7),(INDEX(COMPOS!$A$4:$G$801,MATCH($B136,COMPOS!$A$4:A$801,0),6))))</f>
        <v>0</v>
      </c>
      <c r="I136" s="276">
        <f t="shared" si="30"/>
        <v>116.65628099999999</v>
      </c>
      <c r="J136" s="276">
        <f t="shared" si="31"/>
        <v>4521.5974515599992</v>
      </c>
      <c r="O136" s="256"/>
    </row>
    <row r="137" spans="1:16">
      <c r="A137" s="251" t="s">
        <v>6307</v>
      </c>
      <c r="B137" s="290">
        <v>351</v>
      </c>
      <c r="C137" s="301" t="str">
        <f>(IF($A137="SINAPI",INDEX(SINAPI_NOV2020_NDES!$A$7:$H$6703,MATCH($B137,SINAPI_NOV2020_NDES!$A$7:$A$6703,0),2),IF($A137="GOINFRA",INDEX(#REF!,MATCH($B137,#REF!,0),2),(INDEX(COMPOS!$A$4:$G$390,MATCH($B137,COMPOS!$A$4:A$390,0),2)))))</f>
        <v>RODAPÉ FUNDIDO DE GRANITINA 7CM</v>
      </c>
      <c r="D137" s="274" t="str">
        <f>(IF($A137="SINAPI",INDEX(SINAPI_NOV2020_NDES!$A$7:$H$6790,MATCH($B137,SINAPI_NOV2020_NDES!$A$7:$A$6790,0),3),(INDEX(COMPOS!$A$4:$G$5000,MATCH($B137,COMPOS!$A$4:$A$5000,0),3))))</f>
        <v>M</v>
      </c>
      <c r="E137" s="276">
        <v>44.22</v>
      </c>
      <c r="F137" s="276">
        <f>(IF($A137="SINAPI",INDEX(SINAPI_NOV2020_NDES!$A$7:$H$6703,MATCH($B137,SINAPI_NOV2020_NDES!$A$7:$A$6703,0),5),(INDEX(COMPOS!$A$4:$G$801,MATCH($B137,COMPOS!$A$4:A$801,0),4))))</f>
        <v>0</v>
      </c>
      <c r="G137" s="276">
        <f>(IF($A137="SINAPI",INDEX(SINAPI_NOV2020_NDES!$A$7:$H$6703,MATCH($B137,SINAPI_NOV2020_NDES!$A$7:$A$6703,0),6),(INDEX(COMPOS!$A$4:$G$801,MATCH($B137,COMPOS!$A$4:A$801,0),5))))</f>
        <v>20.94</v>
      </c>
      <c r="H137" s="276">
        <f>(IF($A137="SINAPI",INDEX(SINAPI_NOV2020_NDES!$A$7:$H$6703,MATCH($B137,SINAPI_NOV2020_NDES!$A$7:$A$6703,0),7),(INDEX(COMPOS!$A$4:$G$801,MATCH($B137,COMPOS!$A$4:A$801,0),6))))</f>
        <v>0</v>
      </c>
      <c r="I137" s="276">
        <f t="shared" si="30"/>
        <v>20.94</v>
      </c>
      <c r="J137" s="276">
        <f t="shared" si="31"/>
        <v>925.96680000000003</v>
      </c>
      <c r="O137" s="256"/>
    </row>
    <row r="138" spans="1:16" s="88" customFormat="1" ht="24" customHeight="1">
      <c r="A138" s="680" t="s">
        <v>6927</v>
      </c>
      <c r="B138" s="680"/>
      <c r="C138" s="680"/>
      <c r="D138" s="680"/>
      <c r="E138" s="680"/>
      <c r="F138" s="680"/>
      <c r="G138" s="680"/>
      <c r="H138" s="680"/>
      <c r="I138" s="680"/>
      <c r="J138" s="281">
        <f>SUM(J134:J137)</f>
        <v>9514.6553193599993</v>
      </c>
      <c r="K138" s="30"/>
      <c r="L138" s="30"/>
      <c r="M138" s="30"/>
      <c r="N138" s="30"/>
      <c r="O138" s="30"/>
      <c r="P138" s="258"/>
    </row>
    <row r="139" spans="1:16">
      <c r="A139" s="289"/>
      <c r="B139" s="299">
        <v>188</v>
      </c>
      <c r="C139" s="300" t="s">
        <v>587</v>
      </c>
      <c r="D139" s="274"/>
      <c r="E139" s="276"/>
      <c r="F139" s="276"/>
      <c r="G139" s="276"/>
      <c r="H139" s="276"/>
      <c r="I139" s="276"/>
      <c r="J139" s="276"/>
    </row>
    <row r="140" spans="1:16">
      <c r="A140" s="251" t="s">
        <v>7</v>
      </c>
      <c r="B140" s="290">
        <v>84645</v>
      </c>
      <c r="C140" s="301" t="str">
        <f>(IF($A140="SINAPI",INDEX(SINAPI_NOV2020_NDES!$A$7:$H$6703,MATCH($B140,SINAPI_NOV2020_NDES!$A$7:$A$6703,0),2),IF($A140="GOINFRA",INDEX(#REF!,MATCH($B140,#REF!,0),2),(INDEX(COMPOS!$A$4:$G$390,MATCH($B140,COMPOS!$A$4:A$390,0),2)))))</f>
        <v>VERNIZ SINTETICO BRILHANTE, 2 DEMAOS</v>
      </c>
      <c r="D140" s="274" t="str">
        <f>(IF($A140="SINAPI",INDEX(SINAPI_NOV2020_NDES!$A$7:$H$6790,MATCH($B140,SINAPI_NOV2020_NDES!$A$7:$A$6790,0),3),(INDEX(COMPOS!$A$4:$G$5000,MATCH($B140,COMPOS!$A$4:$A$5000,0),3))))</f>
        <v>M2</v>
      </c>
      <c r="E140" s="276">
        <f>5.25*3</f>
        <v>15.75</v>
      </c>
      <c r="F140" s="276">
        <f>(IF($A140="SINAPI",INDEX(SINAPI_NOV2020_NDES!$A$7:$H$6703,MATCH($B140,SINAPI_NOV2020_NDES!$A$7:$A$6703,0),5),(INDEX(COMPOS!$A$4:$G$801,MATCH($B140,COMPOS!$A$4:A$801,0),4))))</f>
        <v>8.6300000000000008</v>
      </c>
      <c r="G140" s="276">
        <f>(IF($A140="SINAPI",INDEX(SINAPI_NOV2020_NDES!$A$7:$H$6703,MATCH($B140,SINAPI_NOV2020_NDES!$A$7:$A$6703,0),6),(INDEX(COMPOS!$A$4:$G$801,MATCH($B140,COMPOS!$A$4:A$801,0),5))))</f>
        <v>9.2899999999999991</v>
      </c>
      <c r="H140" s="276">
        <f>(IF($A140="SINAPI",INDEX(SINAPI_NOV2020_NDES!$A$7:$H$6703,MATCH($B140,SINAPI_NOV2020_NDES!$A$7:$A$6703,0),7),(INDEX(COMPOS!$A$4:$G$801,MATCH($B140,COMPOS!$A$4:A$801,0),6))))</f>
        <v>0</v>
      </c>
      <c r="I140" s="276">
        <f t="shared" ref="I140" si="32">SUM(F140:H140)</f>
        <v>17.920000000000002</v>
      </c>
      <c r="J140" s="276">
        <f t="shared" ref="J140" si="33">+I140*E140</f>
        <v>282.24</v>
      </c>
      <c r="O140" s="256"/>
    </row>
    <row r="141" spans="1:16" ht="24">
      <c r="A141" s="251" t="s">
        <v>7</v>
      </c>
      <c r="B141" s="290">
        <v>88486</v>
      </c>
      <c r="C141" s="301" t="str">
        <f>(IF($A141="SINAPI",INDEX(SINAPI_NOV2020_NDES!$A$7:$H$6703,MATCH($B141,SINAPI_NOV2020_NDES!$A$7:$A$6703,0),2),IF($A141="GOINFRA",INDEX(#REF!,MATCH($B141,#REF!,0),2),(INDEX(COMPOS!$A$4:$G$390,MATCH($B141,COMPOS!$A$4:A$390,0),2)))))</f>
        <v>APLICAÇÃO MANUAL DE PINTURA COM TINTA LÁTEX PVA EM TETO, DUAS DEMÃOS. AF_06/2014</v>
      </c>
      <c r="D141" s="274" t="str">
        <f>(IF($A141="SINAPI",INDEX(SINAPI_NOV2020_NDES!$A$7:$H$6790,MATCH($B141,SINAPI_NOV2020_NDES!$A$7:$A$6790,0),3),(INDEX(COMPOS!$A$4:$G$5000,MATCH($B141,COMPOS!$A$4:$A$5000,0),3))))</f>
        <v>M2</v>
      </c>
      <c r="E141" s="276">
        <v>45.03</v>
      </c>
      <c r="F141" s="276">
        <f>(IF($A141="SINAPI",INDEX(SINAPI_NOV2020_NDES!$A$7:$H$6703,MATCH($B141,SINAPI_NOV2020_NDES!$A$7:$A$6703,0),5),(INDEX(COMPOS!$A$4:$G$801,MATCH($B141,COMPOS!$A$4:A$801,0),4))))</f>
        <v>3.54</v>
      </c>
      <c r="G141" s="276">
        <f>(IF($A141="SINAPI",INDEX(SINAPI_NOV2020_NDES!$A$7:$H$6703,MATCH($B141,SINAPI_NOV2020_NDES!$A$7:$A$6703,0),6),(INDEX(COMPOS!$A$4:$G$801,MATCH($B141,COMPOS!$A$4:A$801,0),5))))</f>
        <v>7.47</v>
      </c>
      <c r="H141" s="276">
        <f>(IF($A141="SINAPI",INDEX(SINAPI_NOV2020_NDES!$A$7:$H$6703,MATCH($B141,SINAPI_NOV2020_NDES!$A$7:$A$6703,0),7),(INDEX(COMPOS!$A$4:$G$801,MATCH($B141,COMPOS!$A$4:A$801,0),6))))</f>
        <v>0</v>
      </c>
      <c r="I141" s="276">
        <f t="shared" ref="I141:I148" si="34">SUM(F141:H141)</f>
        <v>11.01</v>
      </c>
      <c r="J141" s="276">
        <f t="shared" ref="J141:J148" si="35">+I141*E141</f>
        <v>495.78030000000001</v>
      </c>
      <c r="O141" s="256"/>
    </row>
    <row r="142" spans="1:16" ht="24">
      <c r="A142" s="251" t="s">
        <v>7</v>
      </c>
      <c r="B142" s="290">
        <v>88485</v>
      </c>
      <c r="C142" s="301" t="str">
        <f>(IF($A142="SINAPI",INDEX(SINAPI_NOV2020_NDES!$A$7:$H$6703,MATCH($B142,SINAPI_NOV2020_NDES!$A$7:$A$6703,0),2),IF($A142="GOINFRA",INDEX(#REF!,MATCH($B142,#REF!,0),2),(INDEX(COMPOS!$A$4:$G$390,MATCH($B142,COMPOS!$A$4:A$390,0),2)))))</f>
        <v>APLICAÇÃO DE FUNDO SELADOR ACRÍLICO EM PAREDES, UMA DEMÃO. AF_06/2014</v>
      </c>
      <c r="D142" s="274" t="str">
        <f>(IF($A142="SINAPI",INDEX(SINAPI_NOV2020_NDES!$A$7:$H$6790,MATCH($B142,SINAPI_NOV2020_NDES!$A$7:$A$6790,0),3),(INDEX(COMPOS!$A$4:$G$5000,MATCH($B142,COMPOS!$A$4:$A$5000,0),3))))</f>
        <v>M2</v>
      </c>
      <c r="E142" s="276">
        <v>284.25</v>
      </c>
      <c r="F142" s="276">
        <f>(IF($A142="SINAPI",INDEX(SINAPI_NOV2020_NDES!$A$7:$H$6703,MATCH($B142,SINAPI_NOV2020_NDES!$A$7:$A$6703,0),5),(INDEX(COMPOS!$A$4:$G$801,MATCH($B142,COMPOS!$A$4:A$801,0),4))))</f>
        <v>0.81</v>
      </c>
      <c r="G142" s="276">
        <f>(IF($A142="SINAPI",INDEX(SINAPI_NOV2020_NDES!$A$7:$H$6703,MATCH($B142,SINAPI_NOV2020_NDES!$A$7:$A$6703,0),6),(INDEX(COMPOS!$A$4:$G$801,MATCH($B142,COMPOS!$A$4:A$801,0),5))))</f>
        <v>1.43</v>
      </c>
      <c r="H142" s="276">
        <f>(IF($A142="SINAPI",INDEX(SINAPI_NOV2020_NDES!$A$7:$H$6703,MATCH($B142,SINAPI_NOV2020_NDES!$A$7:$A$6703,0),7),(INDEX(COMPOS!$A$4:$G$801,MATCH($B142,COMPOS!$A$4:A$801,0),6))))</f>
        <v>0</v>
      </c>
      <c r="I142" s="276">
        <f t="shared" si="34"/>
        <v>2.2400000000000002</v>
      </c>
      <c r="J142" s="276">
        <f t="shared" si="35"/>
        <v>636.72</v>
      </c>
      <c r="O142" s="256"/>
    </row>
    <row r="143" spans="1:16">
      <c r="A143" s="251" t="s">
        <v>7</v>
      </c>
      <c r="B143" s="290">
        <v>95305</v>
      </c>
      <c r="C143" s="301" t="str">
        <f>(IF($A143="SINAPI",INDEX(SINAPI_NOV2020_NDES!$A$7:$H$6703,MATCH($B143,SINAPI_NOV2020_NDES!$A$7:$A$6703,0),2),IF($A143="GOINFRA",INDEX(#REF!,MATCH($B143,#REF!,0),2),(INDEX(COMPOS!$A$4:$G$390,MATCH($B143,COMPOS!$A$4:A$390,0),2)))))</f>
        <v>TEXTURA ACRÍLICA, APLICAÇÃO MANUAL EM PAREDE, UMA DEMÃO. AF_09/2016</v>
      </c>
      <c r="D143" s="274" t="str">
        <f>(IF($A143="SINAPI",INDEX(SINAPI_NOV2020_NDES!$A$7:$H$6790,MATCH($B143,SINAPI_NOV2020_NDES!$A$7:$A$6790,0),3),(INDEX(COMPOS!$A$4:$G$5000,MATCH($B143,COMPOS!$A$4:$A$5000,0),3))))</f>
        <v>M2</v>
      </c>
      <c r="E143" s="276">
        <v>177.67</v>
      </c>
      <c r="F143" s="276">
        <f>(IF($A143="SINAPI",INDEX(SINAPI_NOV2020_NDES!$A$7:$H$6703,MATCH($B143,SINAPI_NOV2020_NDES!$A$7:$A$6703,0),5),(INDEX(COMPOS!$A$4:$G$801,MATCH($B143,COMPOS!$A$4:A$801,0),4))))</f>
        <v>3.94</v>
      </c>
      <c r="G143" s="276">
        <f>(IF($A143="SINAPI",INDEX(SINAPI_NOV2020_NDES!$A$7:$H$6703,MATCH($B143,SINAPI_NOV2020_NDES!$A$7:$A$6703,0),6),(INDEX(COMPOS!$A$4:$G$801,MATCH($B143,COMPOS!$A$4:A$801,0),5))))</f>
        <v>9.0299999999999994</v>
      </c>
      <c r="H143" s="276">
        <f>(IF($A143="SINAPI",INDEX(SINAPI_NOV2020_NDES!$A$7:$H$6703,MATCH($B143,SINAPI_NOV2020_NDES!$A$7:$A$6703,0),7),(INDEX(COMPOS!$A$4:$G$801,MATCH($B143,COMPOS!$A$4:A$801,0),6))))</f>
        <v>0</v>
      </c>
      <c r="I143" s="276">
        <f t="shared" si="34"/>
        <v>12.969999999999999</v>
      </c>
      <c r="J143" s="276">
        <f t="shared" si="35"/>
        <v>2304.3798999999995</v>
      </c>
      <c r="O143" s="256"/>
    </row>
    <row r="144" spans="1:16">
      <c r="A144" s="251" t="s">
        <v>7</v>
      </c>
      <c r="B144" s="290">
        <v>88494</v>
      </c>
      <c r="C144" s="301" t="str">
        <f>(IF($A144="SINAPI",INDEX(SINAPI_NOV2020_NDES!$A$7:$H$6703,MATCH($B144,SINAPI_NOV2020_NDES!$A$7:$A$6703,0),2),IF($A144="GOINFRA",INDEX(#REF!,MATCH($B144,#REF!,0),2),(INDEX(COMPOS!$A$4:$G$390,MATCH($B144,COMPOS!$A$4:A$390,0),2)))))</f>
        <v>APLICAÇÃO E LIXAMENTO DE MASSA LÁTEX EM TETO, UMA DEMÃO. AF_06/2014</v>
      </c>
      <c r="D144" s="274" t="str">
        <f>(IF($A144="SINAPI",INDEX(SINAPI_NOV2020_NDES!$A$7:$H$6790,MATCH($B144,SINAPI_NOV2020_NDES!$A$7:$A$6790,0),3),(INDEX(COMPOS!$A$4:$G$5000,MATCH($B144,COMPOS!$A$4:$A$5000,0),3))))</f>
        <v>M2</v>
      </c>
      <c r="E144" s="276">
        <v>45.03</v>
      </c>
      <c r="F144" s="276">
        <f>(IF($A144="SINAPI",INDEX(SINAPI_NOV2020_NDES!$A$7:$H$6703,MATCH($B144,SINAPI_NOV2020_NDES!$A$7:$A$6703,0),5),(INDEX(COMPOS!$A$4:$G$801,MATCH($B144,COMPOS!$A$4:A$801,0),4))))</f>
        <v>10.58</v>
      </c>
      <c r="G144" s="276">
        <f>(IF($A144="SINAPI",INDEX(SINAPI_NOV2020_NDES!$A$7:$H$6703,MATCH($B144,SINAPI_NOV2020_NDES!$A$7:$A$6703,0),6),(INDEX(COMPOS!$A$4:$G$801,MATCH($B144,COMPOS!$A$4:A$801,0),5))))</f>
        <v>5.33</v>
      </c>
      <c r="H144" s="276">
        <f>(IF($A144="SINAPI",INDEX(SINAPI_NOV2020_NDES!$A$7:$H$6703,MATCH($B144,SINAPI_NOV2020_NDES!$A$7:$A$6703,0),7),(INDEX(COMPOS!$A$4:$G$801,MATCH($B144,COMPOS!$A$4:A$801,0),6))))</f>
        <v>0</v>
      </c>
      <c r="I144" s="276">
        <f t="shared" si="34"/>
        <v>15.91</v>
      </c>
      <c r="J144" s="276">
        <f t="shared" si="35"/>
        <v>716.42730000000006</v>
      </c>
      <c r="O144" s="256"/>
    </row>
    <row r="145" spans="1:1001" ht="24">
      <c r="A145" s="251" t="s">
        <v>7</v>
      </c>
      <c r="B145" s="290">
        <v>88489</v>
      </c>
      <c r="C145" s="301" t="str">
        <f>(IF($A145="SINAPI",INDEX(SINAPI_NOV2020_NDES!$A$7:$H$6703,MATCH($B145,SINAPI_NOV2020_NDES!$A$7:$A$6703,0),2),IF($A145="GOINFRA",INDEX(#REF!,MATCH($B145,#REF!,0),2),(INDEX(COMPOS!$A$4:$G$390,MATCH($B145,COMPOS!$A$4:A$390,0),2)))))</f>
        <v>APLICAÇÃO MANUAL DE PINTURA COM TINTA LÁTEX ACRÍLICA EM PAREDES, DUAS DEMÃOS. AF_06/2014</v>
      </c>
      <c r="D145" s="274" t="str">
        <f>(IF($A145="SINAPI",INDEX(SINAPI_NOV2020_NDES!$A$7:$H$6790,MATCH($B145,SINAPI_NOV2020_NDES!$A$7:$A$6790,0),3),(INDEX(COMPOS!$A$4:$G$5000,MATCH($B145,COMPOS!$A$4:$A$5000,0),3))))</f>
        <v>M2</v>
      </c>
      <c r="E145" s="276">
        <v>106.58</v>
      </c>
      <c r="F145" s="276">
        <f>(IF($A145="SINAPI",INDEX(SINAPI_NOV2020_NDES!$A$7:$H$6703,MATCH($B145,SINAPI_NOV2020_NDES!$A$7:$A$6703,0),5),(INDEX(COMPOS!$A$4:$G$801,MATCH($B145,COMPOS!$A$4:A$801,0),4))))</f>
        <v>3.93</v>
      </c>
      <c r="G145" s="276">
        <f>(IF($A145="SINAPI",INDEX(SINAPI_NOV2020_NDES!$A$7:$H$6703,MATCH($B145,SINAPI_NOV2020_NDES!$A$7:$A$6703,0),6),(INDEX(COMPOS!$A$4:$G$801,MATCH($B145,COMPOS!$A$4:A$801,0),5))))</f>
        <v>8.56</v>
      </c>
      <c r="H145" s="276">
        <f>(IF($A145="SINAPI",INDEX(SINAPI_NOV2020_NDES!$A$7:$H$6703,MATCH($B145,SINAPI_NOV2020_NDES!$A$7:$A$6703,0),7),(INDEX(COMPOS!$A$4:$G$801,MATCH($B145,COMPOS!$A$4:A$801,0),6))))</f>
        <v>0</v>
      </c>
      <c r="I145" s="276">
        <f t="shared" si="34"/>
        <v>12.49</v>
      </c>
      <c r="J145" s="276">
        <f t="shared" si="35"/>
        <v>1331.1841999999999</v>
      </c>
      <c r="O145" s="256"/>
    </row>
    <row r="146" spans="1:1001" ht="24">
      <c r="A146" s="251" t="s">
        <v>7</v>
      </c>
      <c r="B146" s="290">
        <v>96135</v>
      </c>
      <c r="C146" s="301" t="str">
        <f>(IF($A146="SINAPI",INDEX(SINAPI_NOV2020_NDES!$A$7:$H$6703,MATCH($B146,SINAPI_NOV2020_NDES!$A$7:$A$6703,0),2),IF($A146="GOINFRA",INDEX(#REF!,MATCH($B146,#REF!,0),2),(INDEX(COMPOS!$A$4:$G$390,MATCH($B146,COMPOS!$A$4:A$390,0),2)))))</f>
        <v>APLICAÇÃO MANUAL DE MASSA ACRÍLICA EM PAREDES EXTERNAS DE CASAS, DUAS DEMÃOS. AF_05/2017</v>
      </c>
      <c r="D146" s="274" t="str">
        <f>(IF($A146="SINAPI",INDEX(SINAPI_NOV2020_NDES!$A$7:$H$6790,MATCH($B146,SINAPI_NOV2020_NDES!$A$7:$A$6790,0),3),(INDEX(COMPOS!$A$4:$G$5000,MATCH($B146,COMPOS!$A$4:$A$5000,0),3))))</f>
        <v>M2</v>
      </c>
      <c r="E146" s="276">
        <v>106.58</v>
      </c>
      <c r="F146" s="276">
        <f>(IF($A146="SINAPI",INDEX(SINAPI_NOV2020_NDES!$A$7:$H$6703,MATCH($B146,SINAPI_NOV2020_NDES!$A$7:$A$6703,0),5),(INDEX(COMPOS!$A$4:$G$801,MATCH($B146,COMPOS!$A$4:A$801,0),4))))</f>
        <v>11.29</v>
      </c>
      <c r="G146" s="276">
        <f>(IF($A146="SINAPI",INDEX(SINAPI_NOV2020_NDES!$A$7:$H$6703,MATCH($B146,SINAPI_NOV2020_NDES!$A$7:$A$6703,0),6),(INDEX(COMPOS!$A$4:$G$801,MATCH($B146,COMPOS!$A$4:A$801,0),5))))</f>
        <v>8.84</v>
      </c>
      <c r="H146" s="276">
        <f>(IF($A146="SINAPI",INDEX(SINAPI_NOV2020_NDES!$A$7:$H$6703,MATCH($B146,SINAPI_NOV2020_NDES!$A$7:$A$6703,0),7),(INDEX(COMPOS!$A$4:$G$801,MATCH($B146,COMPOS!$A$4:A$801,0),6))))</f>
        <v>0</v>
      </c>
      <c r="I146" s="276">
        <f t="shared" si="34"/>
        <v>20.13</v>
      </c>
      <c r="J146" s="276">
        <f t="shared" si="35"/>
        <v>2145.4553999999998</v>
      </c>
      <c r="O146" s="256"/>
    </row>
    <row r="147" spans="1:1001">
      <c r="A147" s="251" t="s">
        <v>6307</v>
      </c>
      <c r="B147" s="290">
        <v>230</v>
      </c>
      <c r="C147" s="301" t="str">
        <f>(IF($A147="SINAPI",INDEX(SINAPI_NOV2020_NDES!$A$7:$H$6703,MATCH($B147,SINAPI_NOV2020_NDES!$A$7:$A$6703,0),2),IF($A147="GOINFRA",INDEX(#REF!,MATCH($B147,#REF!,0),2),(INDEX(COMPOS!$A$4:$G$390,MATCH($B147,COMPOS!$A$4:A$390,0),2)))))</f>
        <v>PINTURA ESMALTE ESQUADRIAS METÁLICAS</v>
      </c>
      <c r="D147" s="274" t="str">
        <f>(IF($A147="SINAPI",INDEX(SINAPI_NOV2020_NDES!$A$7:$H$6790,MATCH($B147,SINAPI_NOV2020_NDES!$A$7:$A$6790,0),3),(INDEX(COMPOS!$A$4:$G$5000,MATCH($B147,COMPOS!$A$4:$A$5000,0),3))))</f>
        <v>M2</v>
      </c>
      <c r="E147" s="276">
        <v>17.43</v>
      </c>
      <c r="F147" s="276">
        <f>(IF($A147="SINAPI",INDEX(SINAPI_NOV2020_NDES!$A$7:$H$6703,MATCH($B147,SINAPI_NOV2020_NDES!$A$7:$A$6703,0),5),(INDEX(COMPOS!$A$4:$G$801,MATCH($B147,COMPOS!$A$4:A$801,0),4))))</f>
        <v>15.073703000000002</v>
      </c>
      <c r="G147" s="276">
        <f>(IF($A147="SINAPI",INDEX(SINAPI_NOV2020_NDES!$A$7:$H$6703,MATCH($B147,SINAPI_NOV2020_NDES!$A$7:$A$6703,0),6),(INDEX(COMPOS!$A$4:$G$801,MATCH($B147,COMPOS!$A$4:A$801,0),5))))</f>
        <v>7.2764049999999996</v>
      </c>
      <c r="H147" s="276">
        <f>(IF($A147="SINAPI",INDEX(SINAPI_NOV2020_NDES!$A$7:$H$6703,MATCH($B147,SINAPI_NOV2020_NDES!$A$7:$A$6703,0),7),(INDEX(COMPOS!$A$4:$G$801,MATCH($B147,COMPOS!$A$4:A$801,0),6))))</f>
        <v>0</v>
      </c>
      <c r="I147" s="276">
        <f t="shared" si="34"/>
        <v>22.350108000000002</v>
      </c>
      <c r="J147" s="276">
        <f t="shared" si="35"/>
        <v>389.56238244000002</v>
      </c>
      <c r="O147" s="256"/>
    </row>
    <row r="148" spans="1:1001">
      <c r="A148" s="251" t="s">
        <v>6307</v>
      </c>
      <c r="B148" s="290">
        <v>361</v>
      </c>
      <c r="C148" s="301" t="str">
        <f>(IF($A148="SINAPI",INDEX(SINAPI_NOV2020_NDES!$A$7:$H$6703,MATCH($B148,SINAPI_NOV2020_NDES!$A$7:$A$6703,0),2),IF($A148="GOINFRA",INDEX(#REF!,MATCH($B148,#REF!,0),2),(INDEX(COMPOS!$A$4:$G$390,MATCH($B148,COMPOS!$A$4:A$390,0),2)))))</f>
        <v>PINTURA ALQUÍDICA BRILHANTE DUPLA FUNÇÃO, DUAS DEMÃOS, 50 MÍCRONS</v>
      </c>
      <c r="D148" s="274" t="str">
        <f>(IF($A148="SINAPI",INDEX(SINAPI_NOV2020_NDES!$A$7:$H$6790,MATCH($B148,SINAPI_NOV2020_NDES!$A$7:$A$6790,0),3),(INDEX(COMPOS!$A$4:$G$5000,MATCH($B148,COMPOS!$A$4:$A$5000,0),3))))</f>
        <v>M2</v>
      </c>
      <c r="E148" s="276">
        <v>33.619999999999997</v>
      </c>
      <c r="F148" s="276">
        <f>(IF($A148="SINAPI",INDEX(SINAPI_NOV2020_NDES!$A$7:$H$6703,MATCH($B148,SINAPI_NOV2020_NDES!$A$7:$A$6703,0),5),(INDEX(COMPOS!$A$4:$G$801,MATCH($B148,COMPOS!$A$4:A$801,0),4))))</f>
        <v>4.2055000000000007</v>
      </c>
      <c r="G148" s="276">
        <f>(IF($A148="SINAPI",INDEX(SINAPI_NOV2020_NDES!$A$7:$H$6703,MATCH($B148,SINAPI_NOV2020_NDES!$A$7:$A$6703,0),6),(INDEX(COMPOS!$A$4:$G$801,MATCH($B148,COMPOS!$A$4:A$801,0),5))))</f>
        <v>6.6579670000000011</v>
      </c>
      <c r="H148" s="276">
        <f>(IF($A148="SINAPI",INDEX(SINAPI_NOV2020_NDES!$A$7:$H$6703,MATCH($B148,SINAPI_NOV2020_NDES!$A$7:$A$6703,0),7),(INDEX(COMPOS!$A$4:$G$801,MATCH($B148,COMPOS!$A$4:A$801,0),6))))</f>
        <v>0</v>
      </c>
      <c r="I148" s="276">
        <f t="shared" si="34"/>
        <v>10.863467000000002</v>
      </c>
      <c r="J148" s="276">
        <f t="shared" si="35"/>
        <v>365.22976054000003</v>
      </c>
      <c r="O148" s="256"/>
    </row>
    <row r="149" spans="1:1001" s="88" customFormat="1" ht="24" customHeight="1">
      <c r="A149" s="680" t="s">
        <v>6927</v>
      </c>
      <c r="B149" s="680"/>
      <c r="C149" s="680"/>
      <c r="D149" s="680"/>
      <c r="E149" s="680"/>
      <c r="F149" s="680"/>
      <c r="G149" s="680"/>
      <c r="H149" s="680"/>
      <c r="I149" s="680"/>
      <c r="J149" s="281">
        <f>SUM(J140:J148)</f>
        <v>8666.97924298</v>
      </c>
      <c r="K149" s="30"/>
      <c r="L149" s="30"/>
      <c r="M149" s="30"/>
      <c r="N149" s="30"/>
      <c r="O149" s="30"/>
      <c r="P149" s="258"/>
    </row>
    <row r="150" spans="1:1001">
      <c r="A150" s="289"/>
      <c r="B150" s="299">
        <v>189</v>
      </c>
      <c r="C150" s="300" t="s">
        <v>2</v>
      </c>
      <c r="D150" s="274"/>
      <c r="E150" s="276"/>
      <c r="F150" s="276"/>
      <c r="G150" s="276"/>
      <c r="H150" s="276"/>
      <c r="I150" s="276"/>
      <c r="J150" s="276"/>
    </row>
    <row r="151" spans="1:1001">
      <c r="A151" s="251" t="s">
        <v>6307</v>
      </c>
      <c r="B151" s="290">
        <v>352</v>
      </c>
      <c r="C151" s="301" t="str">
        <f>(IF($A151="SINAPI",INDEX(SINAPI_NOV2020_NDES!$A$7:$H$6703,MATCH($B151,SINAPI_NOV2020_NDES!$A$7:$A$6703,0),2),IF($A151="GOINFRA",INDEX(#REF!,MATCH($B151,#REF!,0),2),(INDEX(COMPOS!$A$4:$G$390,MATCH($B151,COMPOS!$A$4:A$390,0),2)))))</f>
        <v>BARRA DE APOIO EM AÇO INOX – 40CM</v>
      </c>
      <c r="D151" s="274" t="str">
        <f>(IF($A151="SINAPI",INDEX(SINAPI_NOV2020_NDES!$A$7:$H$6790,MATCH($B151,SINAPI_NOV2020_NDES!$A$7:$A$6790,0),3),(INDEX(COMPOS!$A$4:$G$5000,MATCH($B151,COMPOS!$A$4:$A$5000,0),3))))</f>
        <v>UN</v>
      </c>
      <c r="E151" s="276">
        <v>6</v>
      </c>
      <c r="F151" s="276">
        <f>(IF($A151="SINAPI",INDEX(SINAPI_NOV2020_NDES!$A$7:$H$6703,MATCH($B151,SINAPI_NOV2020_NDES!$A$7:$A$6703,0),5),(INDEX(COMPOS!$A$4:$G$801,MATCH($B151,COMPOS!$A$4:A$801,0),4))))</f>
        <v>13.103999999999999</v>
      </c>
      <c r="G151" s="276">
        <f>(IF($A151="SINAPI",INDEX(SINAPI_NOV2020_NDES!$A$7:$H$6703,MATCH($B151,SINAPI_NOV2020_NDES!$A$7:$A$6703,0),6),(INDEX(COMPOS!$A$4:$G$801,MATCH($B151,COMPOS!$A$4:A$801,0),5))))</f>
        <v>103.69</v>
      </c>
      <c r="H151" s="276">
        <f>(IF($A151="SINAPI",INDEX(SINAPI_NOV2020_NDES!$A$7:$H$6703,MATCH($B151,SINAPI_NOV2020_NDES!$A$7:$A$6703,0),7),(INDEX(COMPOS!$A$4:$G$801,MATCH($B151,COMPOS!$A$4:A$801,0),6))))</f>
        <v>0</v>
      </c>
      <c r="I151" s="276">
        <f>SUM(F151:H151)</f>
        <v>116.794</v>
      </c>
      <c r="J151" s="276">
        <f>+I151*E151</f>
        <v>700.76400000000001</v>
      </c>
      <c r="O151" s="256"/>
    </row>
    <row r="152" spans="1:1001">
      <c r="A152" s="251" t="s">
        <v>6307</v>
      </c>
      <c r="B152" s="290">
        <v>362</v>
      </c>
      <c r="C152" s="301" t="str">
        <f>(IF($A152="SINAPI",INDEX(SINAPI_NOV2020_NDES!$A$7:$H$6703,MATCH($B152,SINAPI_NOV2020_NDES!$A$7:$A$6703,0),2),IF($A152="GOINFRA",INDEX(#REF!,MATCH($B152,#REF!,0),2),(INDEX(COMPOS!$A$4:$G$390,MATCH($B152,COMPOS!$A$4:A$390,0),2)))))</f>
        <v>LIMPEZA FINAL DA OBRA</v>
      </c>
      <c r="D152" s="274" t="str">
        <f>(IF($A152="SINAPI",INDEX(SINAPI_NOV2020_NDES!$A$7:$H$6790,MATCH($B152,SINAPI_NOV2020_NDES!$A$7:$A$6790,0),3),(INDEX(COMPOS!$A$4:$G$5000,MATCH($B152,COMPOS!$A$4:$A$5000,0),3))))</f>
        <v>M2</v>
      </c>
      <c r="E152" s="276">
        <v>45.03</v>
      </c>
      <c r="F152" s="276">
        <f>(IF($A152="SINAPI",INDEX(SINAPI_NOV2020_NDES!$A$7:$H$6703,MATCH($B152,SINAPI_NOV2020_NDES!$A$7:$A$6703,0),5),(INDEX(COMPOS!$A$4:$G$801,MATCH($B152,COMPOS!$A$4:A$801,0),4))))</f>
        <v>2.2664999999999997</v>
      </c>
      <c r="G152" s="276">
        <f>(IF($A152="SINAPI",INDEX(SINAPI_NOV2020_NDES!$A$7:$H$6703,MATCH($B152,SINAPI_NOV2020_NDES!$A$7:$A$6703,0),6),(INDEX(COMPOS!$A$4:$G$801,MATCH($B152,COMPOS!$A$4:A$801,0),5))))</f>
        <v>0.62687100000000007</v>
      </c>
      <c r="H152" s="276">
        <f>(IF($A152="SINAPI",INDEX(SINAPI_NOV2020_NDES!$A$7:$H$6703,MATCH($B152,SINAPI_NOV2020_NDES!$A$7:$A$6703,0),7),(INDEX(COMPOS!$A$4:$G$801,MATCH($B152,COMPOS!$A$4:A$801,0),6))))</f>
        <v>0</v>
      </c>
      <c r="I152" s="276">
        <f t="shared" ref="I152:I153" si="36">SUM(F152:H152)</f>
        <v>2.8933709999999997</v>
      </c>
      <c r="J152" s="276">
        <f t="shared" ref="J152:J153" si="37">+I152*E152</f>
        <v>130.28849613</v>
      </c>
      <c r="O152" s="256"/>
    </row>
    <row r="153" spans="1:1001">
      <c r="A153" s="251" t="s">
        <v>6307</v>
      </c>
      <c r="B153" s="290">
        <v>141</v>
      </c>
      <c r="C153" s="301" t="str">
        <f>(IF($A153="SINAPI",INDEX(SINAPI_NOV2020_NDES!$A$7:$H$6703,MATCH($B153,SINAPI_NOV2020_NDES!$A$7:$A$6703,0),2),IF($A153="GOINFRA",INDEX(#REF!,MATCH($B153,#REF!,0),2),(INDEX(COMPOS!$A$4:$G$390,MATCH($B153,COMPOS!$A$4:A$390,0),2)))))</f>
        <v>BANCO DE CONCRETO POLIDO 1,20 X 0,40M</v>
      </c>
      <c r="D153" s="274" t="str">
        <f>(IF($A153="SINAPI",INDEX(SINAPI_NOV2020_NDES!$A$7:$H$6790,MATCH($B153,SINAPI_NOV2020_NDES!$A$7:$A$6790,0),3),(INDEX(COMPOS!$A$4:$G$5000,MATCH($B153,COMPOS!$A$4:$A$5000,0),3))))</f>
        <v>UN</v>
      </c>
      <c r="E153" s="276">
        <v>1</v>
      </c>
      <c r="F153" s="276">
        <f>(IF($A153="SINAPI",INDEX(SINAPI_NOV2020_NDES!$A$7:$H$6703,MATCH($B153,SINAPI_NOV2020_NDES!$A$7:$A$6703,0),5),(INDEX(COMPOS!$A$4:$G$801,MATCH($B153,COMPOS!$A$4:A$801,0),4))))</f>
        <v>68.73098499999999</v>
      </c>
      <c r="G153" s="276">
        <f>(IF($A153="SINAPI",INDEX(SINAPI_NOV2020_NDES!$A$7:$H$6703,MATCH($B153,SINAPI_NOV2020_NDES!$A$7:$A$6703,0),6),(INDEX(COMPOS!$A$4:$G$801,MATCH($B153,COMPOS!$A$4:A$801,0),5))))</f>
        <v>81.858417000000003</v>
      </c>
      <c r="H153" s="276">
        <f>(IF($A153="SINAPI",INDEX(SINAPI_NOV2020_NDES!$A$7:$H$6703,MATCH($B153,SINAPI_NOV2020_NDES!$A$7:$A$6703,0),7),(INDEX(COMPOS!$A$4:$G$801,MATCH($B153,COMPOS!$A$4:A$801,0),6))))</f>
        <v>0.84754700000000005</v>
      </c>
      <c r="I153" s="276">
        <f t="shared" si="36"/>
        <v>151.436949</v>
      </c>
      <c r="J153" s="276">
        <f t="shared" si="37"/>
        <v>151.436949</v>
      </c>
      <c r="O153" s="256"/>
    </row>
    <row r="154" spans="1:1001" s="88" customFormat="1" ht="15">
      <c r="A154" s="680" t="s">
        <v>6927</v>
      </c>
      <c r="B154" s="680"/>
      <c r="C154" s="680"/>
      <c r="D154" s="680"/>
      <c r="E154" s="680"/>
      <c r="F154" s="680"/>
      <c r="G154" s="680"/>
      <c r="H154" s="680"/>
      <c r="I154" s="680"/>
      <c r="J154" s="281">
        <f>SUM(J151:J153)</f>
        <v>982.48944513000004</v>
      </c>
      <c r="K154" s="30"/>
      <c r="L154" s="30"/>
      <c r="M154" s="30"/>
      <c r="N154" s="30"/>
      <c r="O154" s="30"/>
      <c r="P154" s="258"/>
    </row>
    <row r="155" spans="1:1001" ht="13.5">
      <c r="A155" s="251"/>
      <c r="B155" s="306"/>
      <c r="C155" s="307"/>
      <c r="D155" s="308"/>
      <c r="E155" s="309"/>
      <c r="F155" s="309"/>
      <c r="G155" s="309"/>
      <c r="H155" s="309"/>
      <c r="I155" s="309"/>
      <c r="J155" s="309"/>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c r="KB155" s="14"/>
      <c r="KC155" s="14"/>
      <c r="KD155" s="14"/>
      <c r="KE155" s="14"/>
      <c r="KF155" s="14"/>
      <c r="KG155" s="14"/>
      <c r="KH155" s="14"/>
      <c r="KI155" s="14"/>
      <c r="KJ155" s="14"/>
      <c r="KK155" s="14"/>
      <c r="KL155" s="14"/>
      <c r="KM155" s="14"/>
      <c r="KN155" s="14"/>
      <c r="KO155" s="14"/>
      <c r="KP155" s="14"/>
      <c r="KQ155" s="14"/>
      <c r="KR155" s="14"/>
      <c r="KS155" s="14"/>
      <c r="KT155" s="14"/>
      <c r="KU155" s="14"/>
      <c r="KV155" s="14"/>
      <c r="KW155" s="14"/>
      <c r="KX155" s="14"/>
      <c r="KY155" s="14"/>
      <c r="KZ155" s="14"/>
      <c r="LA155" s="14"/>
      <c r="LB155" s="14"/>
      <c r="LC155" s="14"/>
      <c r="LD155" s="14"/>
      <c r="LE155" s="14"/>
      <c r="LF155" s="14"/>
      <c r="LG155" s="14"/>
      <c r="LH155" s="14"/>
      <c r="LI155" s="14"/>
      <c r="LJ155" s="14"/>
      <c r="LK155" s="14"/>
      <c r="LL155" s="14"/>
      <c r="LM155" s="14"/>
      <c r="LN155" s="14"/>
      <c r="LO155" s="14"/>
      <c r="LP155" s="14"/>
      <c r="LQ155" s="14"/>
      <c r="LR155" s="14"/>
      <c r="LS155" s="14"/>
      <c r="LT155" s="14"/>
      <c r="LU155" s="14"/>
      <c r="LV155" s="14"/>
      <c r="LW155" s="14"/>
      <c r="LX155" s="14"/>
      <c r="LY155" s="14"/>
      <c r="LZ155" s="14"/>
      <c r="MA155" s="14"/>
      <c r="MB155" s="14"/>
      <c r="MC155" s="14"/>
      <c r="MD155" s="14"/>
      <c r="ME155" s="14"/>
      <c r="MF155" s="14"/>
      <c r="MG155" s="14"/>
      <c r="MH155" s="14"/>
      <c r="MI155" s="14"/>
      <c r="MJ155" s="14"/>
      <c r="MK155" s="14"/>
      <c r="ML155" s="14"/>
      <c r="MM155" s="14"/>
      <c r="MN155" s="14"/>
      <c r="MO155" s="14"/>
      <c r="MP155" s="14"/>
      <c r="MQ155" s="14"/>
      <c r="MR155" s="14"/>
      <c r="MS155" s="14"/>
      <c r="MT155" s="14"/>
      <c r="MU155" s="14"/>
      <c r="MV155" s="14"/>
      <c r="MW155" s="14"/>
      <c r="MX155" s="14"/>
      <c r="MY155" s="14"/>
      <c r="MZ155" s="14"/>
      <c r="NA155" s="14"/>
      <c r="NB155" s="14"/>
      <c r="NC155" s="14"/>
      <c r="ND155" s="14"/>
      <c r="NE155" s="14"/>
      <c r="NF155" s="14"/>
      <c r="NG155" s="14"/>
      <c r="NH155" s="14"/>
      <c r="NI155" s="14"/>
      <c r="NJ155" s="14"/>
      <c r="NK155" s="14"/>
      <c r="NL155" s="14"/>
      <c r="NM155" s="14"/>
      <c r="NN155" s="14"/>
      <c r="NO155" s="14"/>
      <c r="NP155" s="14"/>
      <c r="NQ155" s="14"/>
      <c r="NR155" s="14"/>
      <c r="NS155" s="14"/>
      <c r="NT155" s="14"/>
      <c r="NU155" s="14"/>
      <c r="NV155" s="14"/>
      <c r="NW155" s="14"/>
      <c r="NX155" s="14"/>
      <c r="NY155" s="14"/>
      <c r="NZ155" s="14"/>
      <c r="OA155" s="14"/>
      <c r="OB155" s="14"/>
      <c r="OC155" s="14"/>
      <c r="OD155" s="14"/>
      <c r="OE155" s="14"/>
      <c r="OF155" s="14"/>
      <c r="OG155" s="14"/>
      <c r="OH155" s="14"/>
      <c r="OI155" s="14"/>
      <c r="OJ155" s="14"/>
      <c r="OK155" s="14"/>
      <c r="OL155" s="14"/>
      <c r="OM155" s="14"/>
      <c r="ON155" s="14"/>
      <c r="OO155" s="14"/>
      <c r="OP155" s="14"/>
      <c r="OQ155" s="14"/>
      <c r="OR155" s="14"/>
      <c r="OS155" s="14"/>
      <c r="OT155" s="14"/>
      <c r="OU155" s="14"/>
      <c r="OV155" s="14"/>
      <c r="OW155" s="14"/>
      <c r="OX155" s="14"/>
      <c r="OY155" s="14"/>
      <c r="OZ155" s="14"/>
      <c r="PA155" s="14"/>
      <c r="PB155" s="14"/>
      <c r="PC155" s="14"/>
      <c r="PD155" s="14"/>
      <c r="PE155" s="14"/>
      <c r="PF155" s="14"/>
      <c r="PG155" s="14"/>
      <c r="PH155" s="14"/>
      <c r="PI155" s="14"/>
      <c r="PJ155" s="14"/>
      <c r="PK155" s="14"/>
      <c r="PL155" s="14"/>
      <c r="PM155" s="14"/>
      <c r="PN155" s="14"/>
      <c r="PO155" s="14"/>
      <c r="PP155" s="14"/>
      <c r="PQ155" s="14"/>
      <c r="PR155" s="14"/>
      <c r="PS155" s="14"/>
      <c r="PT155" s="14"/>
      <c r="PU155" s="14"/>
      <c r="PV155" s="14"/>
      <c r="PW155" s="14"/>
      <c r="PX155" s="14"/>
      <c r="PY155" s="14"/>
      <c r="PZ155" s="14"/>
      <c r="QA155" s="14"/>
      <c r="QB155" s="14"/>
      <c r="QC155" s="14"/>
      <c r="QD155" s="14"/>
      <c r="QE155" s="14"/>
      <c r="QF155" s="14"/>
      <c r="QG155" s="14"/>
      <c r="QH155" s="14"/>
      <c r="QI155" s="14"/>
      <c r="QJ155" s="14"/>
      <c r="QK155" s="14"/>
      <c r="QL155" s="14"/>
      <c r="QM155" s="14"/>
      <c r="QN155" s="14"/>
      <c r="QO155" s="14"/>
      <c r="QP155" s="14"/>
      <c r="QQ155" s="14"/>
      <c r="QR155" s="14"/>
      <c r="QS155" s="14"/>
      <c r="QT155" s="14"/>
      <c r="QU155" s="14"/>
      <c r="QV155" s="14"/>
      <c r="QW155" s="14"/>
      <c r="QX155" s="14"/>
      <c r="QY155" s="14"/>
      <c r="QZ155" s="14"/>
      <c r="RA155" s="14"/>
      <c r="RB155" s="14"/>
      <c r="RC155" s="14"/>
      <c r="RD155" s="14"/>
      <c r="RE155" s="14"/>
      <c r="RF155" s="14"/>
      <c r="RG155" s="14"/>
      <c r="RH155" s="14"/>
      <c r="RI155" s="14"/>
      <c r="RJ155" s="14"/>
      <c r="RK155" s="14"/>
      <c r="RL155" s="14"/>
      <c r="RM155" s="14"/>
      <c r="RN155" s="14"/>
      <c r="RO155" s="14"/>
      <c r="RP155" s="14"/>
      <c r="RQ155" s="14"/>
      <c r="RR155" s="14"/>
      <c r="RS155" s="14"/>
      <c r="RT155" s="14"/>
      <c r="RU155" s="14"/>
      <c r="RV155" s="14"/>
      <c r="RW155" s="14"/>
      <c r="RX155" s="14"/>
      <c r="RY155" s="14"/>
      <c r="RZ155" s="14"/>
      <c r="SA155" s="14"/>
      <c r="SB155" s="14"/>
      <c r="SC155" s="14"/>
      <c r="SD155" s="14"/>
      <c r="SE155" s="14"/>
      <c r="SF155" s="14"/>
      <c r="SG155" s="14"/>
      <c r="SH155" s="14"/>
      <c r="SI155" s="14"/>
      <c r="SJ155" s="14"/>
      <c r="SK155" s="14"/>
      <c r="SL155" s="14"/>
      <c r="SM155" s="14"/>
      <c r="SN155" s="14"/>
      <c r="SO155" s="14"/>
      <c r="SP155" s="14"/>
      <c r="SQ155" s="14"/>
      <c r="SR155" s="14"/>
      <c r="SS155" s="14"/>
      <c r="ST155" s="14"/>
      <c r="SU155" s="14"/>
      <c r="SV155" s="14"/>
      <c r="SW155" s="14"/>
      <c r="SX155" s="14"/>
      <c r="SY155" s="14"/>
      <c r="SZ155" s="14"/>
      <c r="TA155" s="14"/>
      <c r="TB155" s="14"/>
      <c r="TC155" s="14"/>
      <c r="TD155" s="14"/>
      <c r="TE155" s="14"/>
      <c r="TF155" s="14"/>
      <c r="TG155" s="14"/>
      <c r="TH155" s="14"/>
      <c r="TI155" s="14"/>
      <c r="TJ155" s="14"/>
      <c r="TK155" s="14"/>
      <c r="TL155" s="14"/>
      <c r="TM155" s="14"/>
      <c r="TN155" s="14"/>
      <c r="TO155" s="14"/>
      <c r="TP155" s="14"/>
      <c r="TQ155" s="14"/>
      <c r="TR155" s="14"/>
      <c r="TS155" s="14"/>
      <c r="TT155" s="14"/>
      <c r="TU155" s="14"/>
      <c r="TV155" s="14"/>
      <c r="TW155" s="14"/>
      <c r="TX155" s="14"/>
      <c r="TY155" s="14"/>
      <c r="TZ155" s="14"/>
      <c r="UA155" s="14"/>
      <c r="UB155" s="14"/>
      <c r="UC155" s="14"/>
      <c r="UD155" s="14"/>
      <c r="UE155" s="14"/>
      <c r="UF155" s="14"/>
      <c r="UG155" s="14"/>
      <c r="UH155" s="14"/>
      <c r="UI155" s="14"/>
      <c r="UJ155" s="14"/>
      <c r="UK155" s="14"/>
      <c r="UL155" s="14"/>
      <c r="UM155" s="14"/>
      <c r="UN155" s="14"/>
      <c r="UO155" s="14"/>
      <c r="UP155" s="14"/>
      <c r="UQ155" s="14"/>
      <c r="UR155" s="14"/>
      <c r="US155" s="14"/>
      <c r="UT155" s="14"/>
      <c r="UU155" s="14"/>
      <c r="UV155" s="14"/>
      <c r="UW155" s="14"/>
      <c r="UX155" s="14"/>
      <c r="UY155" s="14"/>
      <c r="UZ155" s="14"/>
      <c r="VA155" s="14"/>
      <c r="VB155" s="14"/>
      <c r="VC155" s="14"/>
      <c r="VD155" s="14"/>
      <c r="VE155" s="14"/>
      <c r="VF155" s="14"/>
      <c r="VG155" s="14"/>
      <c r="VH155" s="14"/>
      <c r="VI155" s="14"/>
      <c r="VJ155" s="14"/>
      <c r="VK155" s="14"/>
      <c r="VL155" s="14"/>
      <c r="VM155" s="14"/>
      <c r="VN155" s="14"/>
      <c r="VO155" s="14"/>
      <c r="VP155" s="14"/>
      <c r="VQ155" s="14"/>
      <c r="VR155" s="14"/>
      <c r="VS155" s="14"/>
      <c r="VT155" s="14"/>
      <c r="VU155" s="14"/>
      <c r="VV155" s="14"/>
      <c r="VW155" s="14"/>
      <c r="VX155" s="14"/>
      <c r="VY155" s="14"/>
      <c r="VZ155" s="14"/>
      <c r="WA155" s="14"/>
      <c r="WB155" s="14"/>
      <c r="WC155" s="14"/>
      <c r="WD155" s="14"/>
      <c r="WE155" s="14"/>
      <c r="WF155" s="14"/>
      <c r="WG155" s="14"/>
      <c r="WH155" s="14"/>
      <c r="WI155" s="14"/>
      <c r="WJ155" s="14"/>
      <c r="WK155" s="14"/>
      <c r="WL155" s="14"/>
      <c r="WM155" s="14"/>
      <c r="WN155" s="14"/>
      <c r="WO155" s="14"/>
      <c r="WP155" s="14"/>
      <c r="WQ155" s="14"/>
      <c r="WR155" s="14"/>
      <c r="WS155" s="14"/>
      <c r="WT155" s="14"/>
      <c r="WU155" s="14"/>
      <c r="WV155" s="14"/>
      <c r="WW155" s="14"/>
      <c r="WX155" s="14"/>
      <c r="WY155" s="14"/>
      <c r="WZ155" s="14"/>
      <c r="XA155" s="14"/>
      <c r="XB155" s="14"/>
      <c r="XC155" s="14"/>
      <c r="XD155" s="14"/>
      <c r="XE155" s="14"/>
      <c r="XF155" s="14"/>
      <c r="XG155" s="14"/>
      <c r="XH155" s="14"/>
      <c r="XI155" s="14"/>
      <c r="XJ155" s="14"/>
      <c r="XK155" s="14"/>
      <c r="XL155" s="14"/>
      <c r="XM155" s="14"/>
      <c r="XN155" s="14"/>
      <c r="XO155" s="14"/>
      <c r="XP155" s="14"/>
      <c r="XQ155" s="14"/>
      <c r="XR155" s="14"/>
      <c r="XS155" s="14"/>
      <c r="XT155" s="14"/>
      <c r="XU155" s="14"/>
      <c r="XV155" s="14"/>
      <c r="XW155" s="14"/>
      <c r="XX155" s="14"/>
      <c r="XY155" s="14"/>
      <c r="XZ155" s="14"/>
      <c r="YA155" s="14"/>
      <c r="YB155" s="14"/>
      <c r="YC155" s="14"/>
      <c r="YD155" s="14"/>
      <c r="YE155" s="14"/>
      <c r="YF155" s="14"/>
      <c r="YG155" s="14"/>
      <c r="YH155" s="14"/>
      <c r="YI155" s="14"/>
      <c r="YJ155" s="14"/>
      <c r="YK155" s="14"/>
      <c r="YL155" s="14"/>
      <c r="YM155" s="14"/>
      <c r="YT155" s="42"/>
      <c r="YU155" s="42"/>
      <c r="YV155" s="42"/>
    </row>
    <row r="156" spans="1:1001" s="191" customFormat="1" ht="12.75" customHeight="1">
      <c r="A156" s="680" t="s">
        <v>7104</v>
      </c>
      <c r="B156" s="680"/>
      <c r="C156" s="680"/>
      <c r="D156" s="680"/>
      <c r="E156" s="680"/>
      <c r="F156" s="680"/>
      <c r="G156" s="680"/>
      <c r="H156" s="680"/>
      <c r="I156" s="680"/>
      <c r="J156" s="281">
        <f>SUMPRODUCT(E14:E155,F14:F155)</f>
        <v>22006.284403549998</v>
      </c>
      <c r="K156" s="255"/>
      <c r="L156" s="255"/>
      <c r="M156" s="255"/>
      <c r="N156" s="255"/>
      <c r="O156" s="255"/>
      <c r="P156" s="257"/>
      <c r="Q156" s="255"/>
      <c r="R156" s="255"/>
      <c r="S156" s="255"/>
      <c r="T156" s="255"/>
      <c r="U156" s="255"/>
      <c r="V156" s="255"/>
      <c r="W156" s="255"/>
      <c r="X156" s="255"/>
      <c r="Y156" s="255"/>
      <c r="Z156" s="255"/>
      <c r="AA156" s="255"/>
      <c r="AB156" s="255"/>
      <c r="AC156" s="255"/>
      <c r="AD156" s="255"/>
      <c r="AE156" s="255"/>
      <c r="AF156" s="255"/>
      <c r="AG156" s="255"/>
      <c r="AH156" s="255"/>
      <c r="AI156" s="255"/>
      <c r="AJ156" s="255"/>
      <c r="AK156" s="255"/>
      <c r="AL156" s="255"/>
      <c r="AM156" s="255"/>
      <c r="AN156" s="255"/>
      <c r="AO156" s="255"/>
      <c r="AP156" s="255"/>
      <c r="AQ156" s="255"/>
      <c r="AR156" s="255"/>
      <c r="AS156" s="255"/>
      <c r="AT156" s="255"/>
      <c r="AU156" s="255"/>
      <c r="AV156" s="255"/>
      <c r="AW156" s="255"/>
      <c r="AX156" s="255"/>
      <c r="AY156" s="255"/>
      <c r="AZ156" s="255"/>
      <c r="BA156" s="255"/>
      <c r="BB156" s="255"/>
      <c r="BC156" s="255"/>
      <c r="BD156" s="255"/>
      <c r="BE156" s="255"/>
      <c r="BF156" s="255"/>
      <c r="BG156" s="255"/>
      <c r="BH156" s="255"/>
      <c r="BI156" s="255"/>
      <c r="BJ156" s="255"/>
      <c r="BK156" s="255"/>
      <c r="BL156" s="255"/>
      <c r="BM156" s="255"/>
      <c r="BN156" s="255"/>
      <c r="BO156" s="255"/>
      <c r="BP156" s="255"/>
      <c r="BQ156" s="255"/>
      <c r="BR156" s="255"/>
      <c r="BS156" s="255"/>
      <c r="BT156" s="255"/>
      <c r="BU156" s="255"/>
      <c r="BV156" s="255"/>
      <c r="BW156" s="255"/>
      <c r="BX156" s="255"/>
      <c r="BY156" s="255"/>
      <c r="BZ156" s="255"/>
      <c r="CA156" s="255"/>
      <c r="CB156" s="255"/>
      <c r="CC156" s="255"/>
      <c r="CD156" s="255"/>
      <c r="CE156" s="255"/>
      <c r="CF156" s="255"/>
      <c r="CG156" s="255"/>
      <c r="CH156" s="255"/>
      <c r="CI156" s="255"/>
      <c r="CJ156" s="255"/>
      <c r="CK156" s="255"/>
      <c r="CL156" s="255"/>
      <c r="CM156" s="255"/>
      <c r="CN156" s="255"/>
      <c r="CO156" s="255"/>
      <c r="CP156" s="255"/>
      <c r="CQ156" s="255"/>
      <c r="CR156" s="255"/>
      <c r="CS156" s="255"/>
      <c r="CT156" s="255"/>
      <c r="CU156" s="255"/>
      <c r="CV156" s="255"/>
      <c r="CW156" s="255"/>
      <c r="CX156" s="255"/>
      <c r="CY156" s="255"/>
      <c r="CZ156" s="255"/>
      <c r="DA156" s="255"/>
      <c r="DB156" s="255"/>
      <c r="DC156" s="255"/>
      <c r="DD156" s="255"/>
      <c r="DE156" s="255"/>
      <c r="DF156" s="255"/>
      <c r="DG156" s="255"/>
      <c r="DH156" s="255"/>
      <c r="DI156" s="255"/>
      <c r="DJ156" s="255"/>
      <c r="DK156" s="255"/>
      <c r="DL156" s="255"/>
      <c r="DM156" s="255"/>
      <c r="DN156" s="255"/>
      <c r="DO156" s="255"/>
      <c r="DP156" s="255"/>
      <c r="DQ156" s="255"/>
      <c r="DR156" s="255"/>
      <c r="DS156" s="255"/>
      <c r="DT156" s="255"/>
      <c r="DU156" s="255"/>
      <c r="DV156" s="255"/>
      <c r="DW156" s="255"/>
      <c r="DX156" s="255"/>
      <c r="DY156" s="255"/>
      <c r="DZ156" s="255"/>
      <c r="EA156" s="255"/>
      <c r="EB156" s="255"/>
      <c r="EC156" s="255"/>
      <c r="ED156" s="255"/>
      <c r="EE156" s="255"/>
      <c r="EF156" s="255"/>
      <c r="EG156" s="255"/>
      <c r="EH156" s="255"/>
      <c r="EI156" s="255"/>
      <c r="EJ156" s="255"/>
      <c r="EK156" s="255"/>
      <c r="EL156" s="255"/>
      <c r="EM156" s="255"/>
      <c r="EN156" s="255"/>
      <c r="EO156" s="255"/>
      <c r="EP156" s="255"/>
      <c r="EQ156" s="255"/>
      <c r="ER156" s="255"/>
      <c r="ES156" s="255"/>
      <c r="ET156" s="255"/>
      <c r="EU156" s="255"/>
      <c r="EV156" s="255"/>
      <c r="EW156" s="255"/>
      <c r="EX156" s="255"/>
      <c r="EY156" s="255"/>
      <c r="EZ156" s="255"/>
      <c r="FA156" s="255"/>
      <c r="FB156" s="255"/>
      <c r="FC156" s="255"/>
      <c r="FD156" s="255"/>
      <c r="FE156" s="255"/>
      <c r="FF156" s="255"/>
      <c r="FG156" s="255"/>
      <c r="FH156" s="255"/>
      <c r="FI156" s="255"/>
      <c r="FJ156" s="255"/>
      <c r="FK156" s="255"/>
      <c r="FL156" s="255"/>
      <c r="FM156" s="255"/>
      <c r="FN156" s="255"/>
      <c r="FO156" s="255"/>
      <c r="FP156" s="255"/>
      <c r="FQ156" s="255"/>
      <c r="FR156" s="255"/>
      <c r="FS156" s="255"/>
      <c r="FT156" s="255"/>
      <c r="FU156" s="255"/>
      <c r="FV156" s="255"/>
      <c r="FW156" s="255"/>
      <c r="FX156" s="255"/>
      <c r="FY156" s="255"/>
      <c r="FZ156" s="255"/>
      <c r="GA156" s="255"/>
      <c r="GB156" s="255"/>
      <c r="GC156" s="255"/>
      <c r="GD156" s="255"/>
      <c r="GE156" s="255"/>
      <c r="GF156" s="255"/>
      <c r="GG156" s="255"/>
      <c r="GH156" s="255"/>
      <c r="GI156" s="255"/>
      <c r="GJ156" s="255"/>
      <c r="GK156" s="255"/>
      <c r="GL156" s="255"/>
      <c r="GM156" s="255"/>
      <c r="GN156" s="255"/>
      <c r="GO156" s="255"/>
      <c r="GP156" s="255"/>
      <c r="GQ156" s="255"/>
      <c r="GR156" s="255"/>
      <c r="GS156" s="255"/>
      <c r="GT156" s="255"/>
      <c r="GU156" s="255"/>
      <c r="GV156" s="255"/>
      <c r="GW156" s="255"/>
      <c r="GX156" s="255"/>
      <c r="GY156" s="255"/>
      <c r="GZ156" s="255"/>
      <c r="HA156" s="255"/>
      <c r="HB156" s="255"/>
      <c r="HC156" s="255"/>
      <c r="HD156" s="255"/>
      <c r="HE156" s="255"/>
      <c r="HF156" s="255"/>
      <c r="HG156" s="255"/>
      <c r="HH156" s="255"/>
      <c r="HI156" s="255"/>
      <c r="HJ156" s="255"/>
      <c r="HK156" s="255"/>
      <c r="HL156" s="255"/>
      <c r="HM156" s="255"/>
      <c r="HN156" s="255"/>
      <c r="HO156" s="255"/>
      <c r="HP156" s="255"/>
      <c r="HQ156" s="255"/>
      <c r="HR156" s="255"/>
      <c r="HS156" s="255"/>
      <c r="HT156" s="255"/>
      <c r="HU156" s="255"/>
      <c r="HV156" s="255"/>
      <c r="HW156" s="255"/>
      <c r="HX156" s="255"/>
      <c r="HY156" s="255"/>
      <c r="HZ156" s="255"/>
      <c r="IA156" s="255"/>
      <c r="IB156" s="255"/>
      <c r="IC156" s="255"/>
      <c r="ID156" s="255"/>
      <c r="IE156" s="255"/>
      <c r="IF156" s="255"/>
      <c r="IG156" s="255"/>
      <c r="IH156" s="255"/>
      <c r="II156" s="255"/>
      <c r="IJ156" s="255"/>
      <c r="IK156" s="255"/>
      <c r="IL156" s="255"/>
      <c r="IM156" s="255"/>
      <c r="IN156" s="255"/>
      <c r="IO156" s="255"/>
      <c r="IP156" s="255"/>
      <c r="IQ156" s="255"/>
      <c r="IR156" s="255"/>
      <c r="IS156" s="255"/>
      <c r="IT156" s="255"/>
      <c r="IU156" s="255"/>
      <c r="IV156" s="255"/>
      <c r="IW156" s="255"/>
      <c r="IX156" s="255"/>
      <c r="IY156" s="255"/>
      <c r="IZ156" s="255"/>
      <c r="JA156" s="255"/>
      <c r="JB156" s="255"/>
      <c r="JC156" s="255"/>
      <c r="JD156" s="255"/>
      <c r="JE156" s="255"/>
      <c r="JF156" s="255"/>
      <c r="JG156" s="255"/>
      <c r="JH156" s="255"/>
      <c r="JI156" s="255"/>
      <c r="JJ156" s="255"/>
      <c r="JK156" s="255"/>
      <c r="JL156" s="255"/>
      <c r="JM156" s="255"/>
      <c r="JN156" s="255"/>
      <c r="JO156" s="255"/>
      <c r="JP156" s="255"/>
      <c r="JQ156" s="255"/>
      <c r="JR156" s="255"/>
      <c r="JS156" s="255"/>
      <c r="JT156" s="255"/>
      <c r="JU156" s="255"/>
      <c r="JV156" s="255"/>
      <c r="JW156" s="255"/>
      <c r="JX156" s="255"/>
      <c r="JY156" s="255"/>
      <c r="JZ156" s="255"/>
      <c r="KA156" s="255"/>
      <c r="KB156" s="255"/>
      <c r="KC156" s="255"/>
      <c r="KD156" s="255"/>
      <c r="KE156" s="255"/>
      <c r="KF156" s="255"/>
      <c r="KG156" s="255"/>
      <c r="KH156" s="255"/>
      <c r="KI156" s="255"/>
      <c r="KJ156" s="255"/>
      <c r="KK156" s="255"/>
      <c r="KL156" s="255"/>
      <c r="KM156" s="255"/>
      <c r="KN156" s="255"/>
      <c r="KO156" s="255"/>
      <c r="KP156" s="255"/>
      <c r="KQ156" s="255"/>
      <c r="KR156" s="255"/>
      <c r="KS156" s="255"/>
      <c r="KT156" s="255"/>
      <c r="KU156" s="255"/>
      <c r="KV156" s="255"/>
      <c r="KW156" s="255"/>
      <c r="KX156" s="255"/>
      <c r="KY156" s="255"/>
      <c r="KZ156" s="255"/>
      <c r="LA156" s="255"/>
      <c r="LB156" s="255"/>
      <c r="LC156" s="255"/>
      <c r="LD156" s="255"/>
      <c r="LE156" s="255"/>
      <c r="LF156" s="255"/>
      <c r="LG156" s="255"/>
      <c r="LH156" s="255"/>
      <c r="LI156" s="255"/>
      <c r="LJ156" s="255"/>
      <c r="LK156" s="255"/>
      <c r="LL156" s="255"/>
      <c r="LM156" s="255"/>
      <c r="LN156" s="255"/>
      <c r="LO156" s="255"/>
      <c r="LP156" s="255"/>
      <c r="LQ156" s="255"/>
      <c r="LR156" s="255"/>
      <c r="LS156" s="255"/>
      <c r="LT156" s="255"/>
      <c r="LU156" s="255"/>
      <c r="LV156" s="255"/>
      <c r="LW156" s="255"/>
      <c r="LX156" s="255"/>
      <c r="LY156" s="255"/>
      <c r="LZ156" s="255"/>
      <c r="MA156" s="255"/>
      <c r="MB156" s="255"/>
      <c r="MC156" s="255"/>
      <c r="MD156" s="255"/>
      <c r="ME156" s="255"/>
      <c r="MF156" s="255"/>
      <c r="MG156" s="255"/>
      <c r="MH156" s="255"/>
      <c r="MI156" s="255"/>
      <c r="MJ156" s="255"/>
      <c r="MK156" s="255"/>
      <c r="ML156" s="255"/>
      <c r="MM156" s="255"/>
      <c r="MN156" s="255"/>
      <c r="MO156" s="255"/>
      <c r="MP156" s="255"/>
      <c r="MQ156" s="255"/>
      <c r="MR156" s="255"/>
      <c r="MS156" s="255"/>
      <c r="MT156" s="255"/>
      <c r="MU156" s="255"/>
      <c r="MV156" s="255"/>
      <c r="MW156" s="255"/>
      <c r="MX156" s="255"/>
      <c r="MY156" s="255"/>
      <c r="MZ156" s="255"/>
      <c r="NA156" s="255"/>
      <c r="NB156" s="255"/>
      <c r="NC156" s="255"/>
      <c r="ND156" s="255"/>
      <c r="NE156" s="255"/>
      <c r="NF156" s="255"/>
      <c r="NG156" s="255"/>
      <c r="NH156" s="255"/>
      <c r="NI156" s="255"/>
      <c r="NJ156" s="255"/>
      <c r="NK156" s="255"/>
      <c r="NL156" s="255"/>
      <c r="NM156" s="255"/>
      <c r="NN156" s="255"/>
      <c r="NO156" s="255"/>
      <c r="NP156" s="255"/>
      <c r="NQ156" s="255"/>
      <c r="NR156" s="255"/>
      <c r="NS156" s="255"/>
      <c r="NT156" s="255"/>
      <c r="NU156" s="255"/>
      <c r="NV156" s="255"/>
      <c r="NW156" s="255"/>
      <c r="NX156" s="255"/>
      <c r="NY156" s="255"/>
      <c r="NZ156" s="255"/>
      <c r="OA156" s="255"/>
      <c r="OB156" s="255"/>
      <c r="OC156" s="255"/>
      <c r="OD156" s="255"/>
      <c r="OE156" s="255"/>
      <c r="OF156" s="255"/>
      <c r="OG156" s="255"/>
      <c r="OH156" s="255"/>
      <c r="OI156" s="255"/>
      <c r="OJ156" s="255"/>
      <c r="OK156" s="255"/>
      <c r="OL156" s="255"/>
      <c r="OM156" s="255"/>
      <c r="ON156" s="255"/>
      <c r="OO156" s="255"/>
      <c r="OP156" s="255"/>
      <c r="OQ156" s="255"/>
      <c r="OR156" s="255"/>
      <c r="OS156" s="255"/>
      <c r="OT156" s="255"/>
      <c r="OU156" s="255"/>
      <c r="OV156" s="255"/>
      <c r="OW156" s="255"/>
      <c r="OX156" s="255"/>
      <c r="OY156" s="255"/>
      <c r="OZ156" s="255"/>
      <c r="PA156" s="255"/>
      <c r="PB156" s="255"/>
      <c r="PC156" s="255"/>
      <c r="PD156" s="255"/>
      <c r="PE156" s="255"/>
      <c r="PF156" s="255"/>
      <c r="PG156" s="255"/>
      <c r="PH156" s="255"/>
      <c r="PI156" s="255"/>
      <c r="PJ156" s="255"/>
      <c r="PK156" s="255"/>
      <c r="PL156" s="255"/>
      <c r="PM156" s="255"/>
      <c r="PN156" s="255"/>
      <c r="PO156" s="255"/>
      <c r="PP156" s="255"/>
      <c r="PQ156" s="255"/>
      <c r="PR156" s="255"/>
      <c r="PS156" s="255"/>
      <c r="PT156" s="255"/>
      <c r="PU156" s="255"/>
      <c r="PV156" s="255"/>
      <c r="PW156" s="255"/>
      <c r="PX156" s="255"/>
      <c r="PY156" s="255"/>
      <c r="PZ156" s="255"/>
      <c r="QA156" s="255"/>
      <c r="QB156" s="255"/>
      <c r="QC156" s="255"/>
      <c r="QD156" s="255"/>
      <c r="QE156" s="255"/>
      <c r="QF156" s="255"/>
      <c r="QG156" s="255"/>
      <c r="QH156" s="255"/>
      <c r="QI156" s="255"/>
      <c r="QJ156" s="255"/>
      <c r="QK156" s="255"/>
      <c r="QL156" s="255"/>
      <c r="QM156" s="255"/>
      <c r="QN156" s="255"/>
      <c r="QO156" s="255"/>
      <c r="QP156" s="255"/>
      <c r="QQ156" s="255"/>
      <c r="QR156" s="255"/>
      <c r="QS156" s="255"/>
      <c r="QT156" s="255"/>
      <c r="QU156" s="255"/>
      <c r="QV156" s="255"/>
      <c r="QW156" s="255"/>
      <c r="QX156" s="255"/>
      <c r="QY156" s="255"/>
      <c r="QZ156" s="255"/>
      <c r="RA156" s="255"/>
      <c r="RB156" s="255"/>
      <c r="RC156" s="255"/>
      <c r="RD156" s="255"/>
      <c r="RE156" s="255"/>
      <c r="RF156" s="255"/>
      <c r="RG156" s="255"/>
      <c r="RH156" s="255"/>
      <c r="RI156" s="255"/>
      <c r="RJ156" s="255"/>
      <c r="RK156" s="255"/>
      <c r="RL156" s="255"/>
      <c r="RM156" s="255"/>
      <c r="RN156" s="255"/>
      <c r="RO156" s="255"/>
      <c r="RP156" s="255"/>
      <c r="RQ156" s="255"/>
      <c r="RR156" s="255"/>
      <c r="RS156" s="255"/>
      <c r="RT156" s="255"/>
      <c r="RU156" s="255"/>
      <c r="RV156" s="255"/>
      <c r="RW156" s="255"/>
      <c r="RX156" s="255"/>
      <c r="RY156" s="255"/>
      <c r="RZ156" s="255"/>
      <c r="SA156" s="255"/>
      <c r="SB156" s="255"/>
      <c r="SC156" s="255"/>
      <c r="SD156" s="255"/>
      <c r="SE156" s="255"/>
      <c r="SF156" s="255"/>
      <c r="SG156" s="255"/>
      <c r="SH156" s="255"/>
      <c r="SI156" s="255"/>
      <c r="SJ156" s="255"/>
      <c r="SK156" s="255"/>
      <c r="SL156" s="255"/>
      <c r="SM156" s="255"/>
      <c r="SN156" s="255"/>
      <c r="SO156" s="255"/>
      <c r="SP156" s="255"/>
      <c r="SQ156" s="255"/>
      <c r="SR156" s="255"/>
      <c r="SS156" s="255"/>
      <c r="ST156" s="255"/>
      <c r="SU156" s="255"/>
      <c r="SV156" s="255"/>
      <c r="SW156" s="255"/>
      <c r="SX156" s="255"/>
      <c r="SY156" s="255"/>
      <c r="SZ156" s="255"/>
      <c r="TA156" s="255"/>
      <c r="TB156" s="255"/>
      <c r="TC156" s="255"/>
      <c r="TD156" s="255"/>
      <c r="TE156" s="255"/>
      <c r="TF156" s="255"/>
      <c r="TG156" s="255"/>
      <c r="TH156" s="255"/>
      <c r="TI156" s="255"/>
      <c r="TJ156" s="255"/>
      <c r="TK156" s="255"/>
      <c r="TL156" s="255"/>
      <c r="TM156" s="255"/>
      <c r="TN156" s="255"/>
      <c r="TO156" s="255"/>
      <c r="TP156" s="255"/>
      <c r="TQ156" s="255"/>
      <c r="TR156" s="255"/>
      <c r="TS156" s="255"/>
      <c r="TT156" s="255"/>
      <c r="TU156" s="255"/>
      <c r="TV156" s="255"/>
      <c r="TW156" s="255"/>
      <c r="TX156" s="255"/>
      <c r="TY156" s="255"/>
      <c r="TZ156" s="255"/>
      <c r="UA156" s="255"/>
      <c r="UB156" s="255"/>
      <c r="UC156" s="255"/>
      <c r="UD156" s="255"/>
      <c r="UE156" s="255"/>
      <c r="UF156" s="255"/>
      <c r="UG156" s="255"/>
      <c r="UH156" s="255"/>
      <c r="UI156" s="255"/>
      <c r="UJ156" s="255"/>
      <c r="UK156" s="255"/>
      <c r="UL156" s="255"/>
      <c r="UM156" s="255"/>
      <c r="UN156" s="255"/>
      <c r="UO156" s="255"/>
      <c r="UP156" s="255"/>
      <c r="UQ156" s="255"/>
      <c r="UR156" s="255"/>
      <c r="US156" s="255"/>
      <c r="UT156" s="255"/>
      <c r="UU156" s="255"/>
      <c r="UV156" s="255"/>
      <c r="UW156" s="255"/>
      <c r="UX156" s="255"/>
      <c r="UY156" s="255"/>
      <c r="UZ156" s="255"/>
      <c r="VA156" s="255"/>
      <c r="VB156" s="255"/>
      <c r="VC156" s="255"/>
      <c r="VD156" s="255"/>
      <c r="VE156" s="255"/>
      <c r="VF156" s="255"/>
      <c r="VG156" s="255"/>
      <c r="VH156" s="255"/>
      <c r="VI156" s="255"/>
      <c r="VJ156" s="255"/>
      <c r="VK156" s="255"/>
      <c r="VL156" s="255"/>
      <c r="VM156" s="255"/>
      <c r="VN156" s="255"/>
      <c r="VO156" s="255"/>
      <c r="VP156" s="255"/>
      <c r="VQ156" s="255"/>
      <c r="VR156" s="255"/>
      <c r="VS156" s="255"/>
      <c r="VT156" s="255"/>
      <c r="VU156" s="255"/>
      <c r="VV156" s="255"/>
      <c r="VW156" s="255"/>
      <c r="VX156" s="255"/>
      <c r="VY156" s="255"/>
      <c r="VZ156" s="255"/>
      <c r="WA156" s="255"/>
      <c r="WB156" s="255"/>
      <c r="WC156" s="255"/>
      <c r="WD156" s="255"/>
      <c r="WE156" s="255"/>
      <c r="WF156" s="255"/>
      <c r="WG156" s="255"/>
      <c r="WH156" s="255"/>
      <c r="WI156" s="255"/>
      <c r="WJ156" s="255"/>
      <c r="WK156" s="255"/>
      <c r="WL156" s="255"/>
      <c r="WM156" s="255"/>
      <c r="WN156" s="255"/>
      <c r="WO156" s="255"/>
      <c r="WP156" s="255"/>
      <c r="WQ156" s="255"/>
      <c r="WR156" s="255"/>
      <c r="WS156" s="255"/>
      <c r="WT156" s="255"/>
      <c r="WU156" s="255"/>
      <c r="WV156" s="255"/>
      <c r="WW156" s="255"/>
      <c r="WX156" s="255"/>
      <c r="WY156" s="255"/>
      <c r="WZ156" s="255"/>
      <c r="XA156" s="255"/>
      <c r="XB156" s="255"/>
      <c r="XC156" s="255"/>
      <c r="XD156" s="255"/>
      <c r="XE156" s="255"/>
      <c r="XF156" s="255"/>
      <c r="XG156" s="255"/>
      <c r="XH156" s="255"/>
      <c r="XI156" s="255"/>
      <c r="XJ156" s="255"/>
      <c r="XK156" s="255"/>
      <c r="XL156" s="255"/>
      <c r="XM156" s="255"/>
      <c r="XN156" s="255"/>
      <c r="XO156" s="255"/>
      <c r="XP156" s="255"/>
      <c r="XQ156" s="255"/>
      <c r="XR156" s="255"/>
      <c r="XS156" s="255"/>
      <c r="XT156" s="255"/>
      <c r="XU156" s="255"/>
      <c r="XV156" s="255"/>
      <c r="XW156" s="255"/>
      <c r="XX156" s="255"/>
      <c r="XY156" s="255"/>
      <c r="XZ156" s="255"/>
      <c r="YA156" s="255"/>
      <c r="YB156" s="255"/>
      <c r="YC156" s="255"/>
      <c r="YD156" s="255"/>
      <c r="YE156" s="255"/>
      <c r="YF156" s="255"/>
      <c r="YG156" s="255"/>
      <c r="YH156" s="255"/>
      <c r="YI156" s="255"/>
      <c r="YJ156" s="255"/>
      <c r="YK156" s="255"/>
      <c r="YL156" s="255"/>
      <c r="YM156" s="255"/>
      <c r="YN156" s="255"/>
      <c r="YO156" s="255"/>
      <c r="YP156" s="255"/>
      <c r="YQ156" s="255"/>
      <c r="YR156" s="255"/>
      <c r="YS156" s="255"/>
      <c r="YT156" s="255"/>
      <c r="YU156" s="255"/>
      <c r="YV156" s="255"/>
      <c r="YW156" s="255"/>
      <c r="YX156" s="255"/>
      <c r="YY156" s="255"/>
      <c r="YZ156" s="255"/>
      <c r="ZA156" s="255"/>
      <c r="ZB156" s="255"/>
      <c r="ZC156" s="255"/>
      <c r="ZD156" s="255"/>
      <c r="ZE156" s="255"/>
      <c r="ZF156" s="255"/>
      <c r="ZG156" s="255"/>
      <c r="ZH156" s="255"/>
      <c r="ZI156" s="255"/>
      <c r="ZJ156" s="255"/>
      <c r="ZK156" s="255"/>
      <c r="ZL156" s="255"/>
      <c r="ZM156" s="255"/>
      <c r="ZN156" s="255"/>
      <c r="ZO156" s="255"/>
      <c r="ZP156" s="255"/>
      <c r="ZQ156" s="255"/>
      <c r="ZR156" s="255"/>
      <c r="ZS156" s="255"/>
      <c r="ZT156" s="255"/>
      <c r="ZU156" s="255"/>
      <c r="ZV156" s="255"/>
      <c r="ZW156" s="255"/>
      <c r="ZX156" s="255"/>
      <c r="ZY156" s="255"/>
      <c r="ZZ156" s="255"/>
      <c r="AAA156" s="255"/>
      <c r="AAB156" s="255"/>
      <c r="AAC156" s="255"/>
      <c r="AAD156" s="255"/>
      <c r="AAE156" s="255"/>
      <c r="AAF156" s="255"/>
      <c r="AAG156" s="255"/>
      <c r="AAH156" s="255"/>
      <c r="AAI156" s="255"/>
      <c r="AAJ156" s="255"/>
      <c r="AAK156" s="255"/>
      <c r="AAL156" s="255"/>
      <c r="AAM156" s="255"/>
      <c r="AAN156" s="255"/>
      <c r="AAO156" s="255"/>
      <c r="AAP156" s="255"/>
      <c r="AAQ156" s="255"/>
      <c r="AAR156" s="255"/>
      <c r="AAS156" s="255"/>
      <c r="AAT156" s="255"/>
      <c r="AAU156" s="255"/>
      <c r="AAV156" s="255"/>
      <c r="AAW156" s="255"/>
      <c r="AAX156" s="255"/>
      <c r="AAY156" s="255"/>
      <c r="AAZ156" s="255"/>
      <c r="ABA156" s="255"/>
      <c r="ABB156" s="255"/>
      <c r="ABC156" s="255"/>
      <c r="ABD156" s="255"/>
      <c r="ABE156" s="255"/>
      <c r="ABF156" s="255"/>
      <c r="ABG156" s="255"/>
      <c r="ABH156" s="255"/>
      <c r="ABI156" s="255"/>
      <c r="ABJ156" s="255"/>
      <c r="ABK156" s="255"/>
      <c r="ABL156" s="255"/>
      <c r="ABM156" s="255"/>
      <c r="ABN156" s="255"/>
      <c r="ABO156" s="255"/>
      <c r="ABP156" s="255"/>
      <c r="ABQ156" s="255"/>
      <c r="ABR156" s="255"/>
      <c r="ABS156" s="255"/>
      <c r="ABT156" s="255"/>
      <c r="ABU156" s="255"/>
      <c r="ABV156" s="255"/>
      <c r="ABW156" s="255"/>
      <c r="ABX156" s="255"/>
      <c r="ABY156" s="255"/>
      <c r="ABZ156" s="255"/>
      <c r="ACA156" s="255"/>
      <c r="ACB156" s="255"/>
      <c r="ACC156" s="255"/>
      <c r="ACD156" s="255"/>
      <c r="ACE156" s="255"/>
      <c r="ACF156" s="255"/>
      <c r="ACG156" s="255"/>
      <c r="ACH156" s="255"/>
      <c r="ACI156" s="255"/>
      <c r="ACJ156" s="255"/>
      <c r="ACK156" s="255"/>
      <c r="ACL156" s="255"/>
      <c r="ACM156" s="255"/>
      <c r="ACN156" s="255"/>
      <c r="ACO156" s="255"/>
      <c r="ACP156" s="255"/>
      <c r="ACQ156" s="255"/>
      <c r="ACR156" s="255"/>
      <c r="ACS156" s="255"/>
      <c r="ACT156" s="255"/>
      <c r="ACU156" s="255"/>
      <c r="ACV156" s="255"/>
      <c r="ACW156" s="255"/>
      <c r="ACX156" s="255"/>
      <c r="ACY156" s="255"/>
      <c r="ACZ156" s="255"/>
      <c r="ADA156" s="255"/>
      <c r="ADB156" s="255"/>
      <c r="ADC156" s="255"/>
      <c r="ADD156" s="255"/>
      <c r="ADE156" s="255"/>
      <c r="ADF156" s="255"/>
      <c r="ADG156" s="255"/>
      <c r="ADH156" s="255"/>
      <c r="ADI156" s="255"/>
      <c r="ADJ156" s="255"/>
      <c r="ADK156" s="255"/>
      <c r="ADL156" s="255"/>
      <c r="ADM156" s="255"/>
      <c r="ADN156" s="255"/>
      <c r="ADO156" s="255"/>
      <c r="ADP156" s="255"/>
      <c r="ADQ156" s="255"/>
      <c r="ADR156" s="255"/>
      <c r="ADS156" s="255"/>
      <c r="ADT156" s="255"/>
      <c r="ADU156" s="255"/>
      <c r="ADV156" s="255"/>
      <c r="ADW156" s="255"/>
      <c r="ADX156" s="255"/>
      <c r="ADY156" s="255"/>
      <c r="ADZ156" s="255"/>
      <c r="AEA156" s="255"/>
      <c r="AEB156" s="255"/>
      <c r="AEC156" s="255"/>
      <c r="AED156" s="255"/>
      <c r="AEE156" s="255"/>
      <c r="AEF156" s="255"/>
      <c r="AEG156" s="255"/>
      <c r="AEH156" s="255"/>
      <c r="AEI156" s="255"/>
      <c r="AEJ156" s="255"/>
      <c r="AEK156" s="255"/>
      <c r="AEL156" s="255"/>
      <c r="AEM156" s="255"/>
      <c r="AEN156" s="255"/>
      <c r="AEO156" s="255"/>
      <c r="AEP156" s="255"/>
      <c r="AEQ156" s="255"/>
      <c r="AER156" s="255"/>
      <c r="AES156" s="255"/>
      <c r="AET156" s="255"/>
      <c r="AEU156" s="255"/>
      <c r="AEV156" s="255"/>
      <c r="AEW156" s="255"/>
      <c r="AEX156" s="255"/>
      <c r="AEY156" s="255"/>
      <c r="AEZ156" s="255"/>
      <c r="AFA156" s="255"/>
      <c r="AFB156" s="255"/>
      <c r="AFC156" s="255"/>
      <c r="AFD156" s="255"/>
      <c r="AFE156" s="255"/>
      <c r="AFF156" s="255"/>
      <c r="AFG156" s="255"/>
      <c r="AFH156" s="255"/>
      <c r="AFI156" s="255"/>
      <c r="AFJ156" s="255"/>
      <c r="AFK156" s="255"/>
      <c r="AFL156" s="255"/>
      <c r="AFM156" s="255"/>
      <c r="AFN156" s="255"/>
      <c r="AFO156" s="255"/>
      <c r="AFP156" s="255"/>
      <c r="AFQ156" s="255"/>
      <c r="AFR156" s="255"/>
      <c r="AFS156" s="255"/>
      <c r="AFT156" s="255"/>
      <c r="AFU156" s="255"/>
      <c r="AFV156" s="255"/>
      <c r="AFW156" s="255"/>
      <c r="AFX156" s="255"/>
      <c r="AFY156" s="255"/>
      <c r="AFZ156" s="255"/>
      <c r="AGA156" s="255"/>
      <c r="AGB156" s="255"/>
      <c r="AGC156" s="255"/>
      <c r="AGD156" s="255"/>
      <c r="AGE156" s="255"/>
      <c r="AGF156" s="255"/>
      <c r="AGG156" s="255"/>
      <c r="AGH156" s="255"/>
      <c r="AGI156" s="255"/>
      <c r="AGJ156" s="255"/>
      <c r="AGK156" s="255"/>
      <c r="AGL156" s="255"/>
      <c r="AGM156" s="255"/>
      <c r="AGN156" s="255"/>
      <c r="AGO156" s="255"/>
      <c r="AGP156" s="255"/>
      <c r="AGQ156" s="255"/>
      <c r="AGR156" s="255"/>
      <c r="AGS156" s="255"/>
      <c r="AGT156" s="255"/>
      <c r="AGU156" s="255"/>
      <c r="AGV156" s="255"/>
      <c r="AGW156" s="255"/>
      <c r="AGX156" s="255"/>
      <c r="AGY156" s="255"/>
      <c r="AGZ156" s="255"/>
      <c r="AHA156" s="255"/>
      <c r="AHB156" s="255"/>
      <c r="AHC156" s="255"/>
      <c r="AHD156" s="255"/>
      <c r="AHE156" s="255"/>
      <c r="AHF156" s="255"/>
      <c r="AHG156" s="255"/>
      <c r="AHH156" s="255"/>
      <c r="AHI156" s="255"/>
      <c r="AHJ156" s="255"/>
      <c r="AHK156" s="255"/>
      <c r="AHL156" s="255"/>
      <c r="AHM156" s="255"/>
      <c r="AHN156" s="255"/>
      <c r="AHO156" s="255"/>
      <c r="AHP156" s="255"/>
      <c r="AHQ156" s="255"/>
      <c r="AHR156" s="255"/>
      <c r="AHS156" s="255"/>
      <c r="AHT156" s="255"/>
      <c r="AHU156" s="255"/>
      <c r="AHV156" s="255"/>
      <c r="AHW156" s="255"/>
      <c r="AHX156" s="255"/>
      <c r="AHY156" s="255"/>
      <c r="AHZ156" s="255"/>
      <c r="AIA156" s="255"/>
      <c r="AIB156" s="255"/>
      <c r="AIC156" s="255"/>
      <c r="AID156" s="255"/>
      <c r="AIE156" s="255"/>
      <c r="AIF156" s="255"/>
      <c r="AIG156" s="255"/>
      <c r="AIH156" s="255"/>
      <c r="AII156" s="255"/>
      <c r="AIJ156" s="255"/>
      <c r="AIK156" s="255"/>
      <c r="AIL156" s="255"/>
      <c r="AIM156" s="255"/>
      <c r="AIN156" s="255"/>
      <c r="AIO156" s="255"/>
      <c r="AIP156" s="255"/>
      <c r="AIQ156" s="255"/>
      <c r="AIR156" s="255"/>
      <c r="AIS156" s="255"/>
      <c r="AIT156" s="255"/>
      <c r="AIU156" s="255"/>
      <c r="AIV156" s="255"/>
      <c r="AIW156" s="255"/>
      <c r="AIX156" s="255"/>
      <c r="AIY156" s="255"/>
      <c r="AIZ156" s="255"/>
      <c r="AJA156" s="255"/>
      <c r="AJB156" s="255"/>
      <c r="AJC156" s="255"/>
      <c r="AJD156" s="255"/>
      <c r="AJE156" s="255"/>
      <c r="AJF156" s="255"/>
      <c r="AJG156" s="255"/>
      <c r="AJH156" s="255"/>
      <c r="AJI156" s="255"/>
      <c r="AJJ156" s="255"/>
      <c r="AJK156" s="255"/>
      <c r="AJL156" s="255"/>
      <c r="AJM156" s="255"/>
      <c r="AJN156" s="255"/>
      <c r="AJO156" s="255"/>
      <c r="AJP156" s="255"/>
      <c r="AJQ156" s="255"/>
      <c r="AJR156" s="255"/>
      <c r="AJS156" s="255"/>
      <c r="AJT156" s="255"/>
      <c r="AJU156" s="255"/>
      <c r="AJV156" s="255"/>
      <c r="AJW156" s="255"/>
      <c r="AJX156" s="255"/>
      <c r="AJY156" s="255"/>
      <c r="AJZ156" s="255"/>
      <c r="AKA156" s="255"/>
      <c r="AKB156" s="255"/>
      <c r="AKC156" s="255"/>
      <c r="AKD156" s="255"/>
      <c r="AKE156" s="255"/>
      <c r="AKF156" s="255"/>
      <c r="AKG156" s="255"/>
      <c r="AKH156" s="255"/>
      <c r="AKI156" s="255"/>
      <c r="AKJ156" s="255"/>
      <c r="AKK156" s="255"/>
      <c r="AKL156" s="255"/>
      <c r="AKM156" s="255"/>
      <c r="AKN156" s="255"/>
      <c r="AKO156" s="255"/>
      <c r="AKP156" s="255"/>
      <c r="AKQ156" s="255"/>
      <c r="AKR156" s="255"/>
      <c r="AKS156" s="255"/>
      <c r="AKT156" s="255"/>
      <c r="AKU156" s="255"/>
      <c r="AKV156" s="255"/>
      <c r="AKW156" s="255"/>
      <c r="AKX156" s="255"/>
      <c r="AKY156" s="255"/>
      <c r="AKZ156" s="255"/>
      <c r="ALA156" s="255"/>
      <c r="ALB156" s="255"/>
      <c r="ALC156" s="255"/>
      <c r="ALD156" s="255"/>
      <c r="ALE156" s="42"/>
      <c r="ALF156" s="42"/>
      <c r="ALG156" s="42"/>
      <c r="ALH156" s="42"/>
      <c r="ALI156" s="42"/>
      <c r="ALJ156" s="42"/>
      <c r="ALK156" s="42"/>
      <c r="ALL156" s="42"/>
      <c r="ALM156" s="42"/>
    </row>
    <row r="157" spans="1:1001" s="191" customFormat="1" ht="12.75" customHeight="1">
      <c r="A157" s="680" t="s">
        <v>7103</v>
      </c>
      <c r="B157" s="680"/>
      <c r="C157" s="680"/>
      <c r="D157" s="680"/>
      <c r="E157" s="680"/>
      <c r="F157" s="680"/>
      <c r="G157" s="680"/>
      <c r="H157" s="680"/>
      <c r="I157" s="680"/>
      <c r="J157" s="281">
        <f>SUMPRODUCT(E14:E155,G14:G155)+SUMPRODUCT(E14:E155,H14:H155)</f>
        <v>44857.399669960992</v>
      </c>
      <c r="K157" s="255"/>
      <c r="L157" s="255"/>
      <c r="M157" s="255"/>
      <c r="N157" s="255"/>
      <c r="O157" s="255"/>
      <c r="P157" s="255"/>
      <c r="Q157" s="255"/>
      <c r="R157" s="255"/>
      <c r="S157" s="255"/>
      <c r="T157" s="255"/>
      <c r="U157" s="255"/>
      <c r="V157" s="255"/>
      <c r="W157" s="255"/>
      <c r="X157" s="255"/>
      <c r="Y157" s="255"/>
      <c r="Z157" s="255"/>
      <c r="AA157" s="255"/>
      <c r="AB157" s="255"/>
      <c r="AC157" s="255"/>
      <c r="AD157" s="255"/>
      <c r="AE157" s="255"/>
      <c r="AF157" s="255"/>
      <c r="AG157" s="255"/>
      <c r="AH157" s="255"/>
      <c r="AI157" s="255"/>
      <c r="AJ157" s="255"/>
      <c r="AK157" s="255"/>
      <c r="AL157" s="255"/>
      <c r="AM157" s="255"/>
      <c r="AN157" s="255"/>
      <c r="AO157" s="255"/>
      <c r="AP157" s="255"/>
      <c r="AQ157" s="255"/>
      <c r="AR157" s="255"/>
      <c r="AS157" s="255"/>
      <c r="AT157" s="255"/>
      <c r="AU157" s="255"/>
      <c r="AV157" s="255"/>
      <c r="AW157" s="255"/>
      <c r="AX157" s="255"/>
      <c r="AY157" s="255"/>
      <c r="AZ157" s="255"/>
      <c r="BA157" s="255"/>
      <c r="BB157" s="255"/>
      <c r="BC157" s="255"/>
      <c r="BD157" s="255"/>
      <c r="BE157" s="255"/>
      <c r="BF157" s="255"/>
      <c r="BG157" s="255"/>
      <c r="BH157" s="255"/>
      <c r="BI157" s="255"/>
      <c r="BJ157" s="255"/>
      <c r="BK157" s="255"/>
      <c r="BL157" s="255"/>
      <c r="BM157" s="255"/>
      <c r="BN157" s="255"/>
      <c r="BO157" s="255"/>
      <c r="BP157" s="255"/>
      <c r="BQ157" s="255"/>
      <c r="BR157" s="255"/>
      <c r="BS157" s="255"/>
      <c r="BT157" s="255"/>
      <c r="BU157" s="255"/>
      <c r="BV157" s="255"/>
      <c r="BW157" s="255"/>
      <c r="BX157" s="255"/>
      <c r="BY157" s="255"/>
      <c r="BZ157" s="255"/>
      <c r="CA157" s="255"/>
      <c r="CB157" s="255"/>
      <c r="CC157" s="255"/>
      <c r="CD157" s="255"/>
      <c r="CE157" s="255"/>
      <c r="CF157" s="255"/>
      <c r="CG157" s="255"/>
      <c r="CH157" s="255"/>
      <c r="CI157" s="255"/>
      <c r="CJ157" s="255"/>
      <c r="CK157" s="255"/>
      <c r="CL157" s="255"/>
      <c r="CM157" s="255"/>
      <c r="CN157" s="255"/>
      <c r="CO157" s="255"/>
      <c r="CP157" s="255"/>
      <c r="CQ157" s="255"/>
      <c r="CR157" s="255"/>
      <c r="CS157" s="255"/>
      <c r="CT157" s="255"/>
      <c r="CU157" s="255"/>
      <c r="CV157" s="255"/>
      <c r="CW157" s="255"/>
      <c r="CX157" s="255"/>
      <c r="CY157" s="255"/>
      <c r="CZ157" s="255"/>
      <c r="DA157" s="255"/>
      <c r="DB157" s="255"/>
      <c r="DC157" s="255"/>
      <c r="DD157" s="255"/>
      <c r="DE157" s="255"/>
      <c r="DF157" s="255"/>
      <c r="DG157" s="255"/>
      <c r="DH157" s="255"/>
      <c r="DI157" s="255"/>
      <c r="DJ157" s="255"/>
      <c r="DK157" s="255"/>
      <c r="DL157" s="255"/>
      <c r="DM157" s="255"/>
      <c r="DN157" s="255"/>
      <c r="DO157" s="255"/>
      <c r="DP157" s="255"/>
      <c r="DQ157" s="255"/>
      <c r="DR157" s="255"/>
      <c r="DS157" s="255"/>
      <c r="DT157" s="255"/>
      <c r="DU157" s="255"/>
      <c r="DV157" s="255"/>
      <c r="DW157" s="255"/>
      <c r="DX157" s="255"/>
      <c r="DY157" s="255"/>
      <c r="DZ157" s="255"/>
      <c r="EA157" s="255"/>
      <c r="EB157" s="255"/>
      <c r="EC157" s="255"/>
      <c r="ED157" s="255"/>
      <c r="EE157" s="255"/>
      <c r="EF157" s="255"/>
      <c r="EG157" s="255"/>
      <c r="EH157" s="255"/>
      <c r="EI157" s="255"/>
      <c r="EJ157" s="255"/>
      <c r="EK157" s="255"/>
      <c r="EL157" s="255"/>
      <c r="EM157" s="255"/>
      <c r="EN157" s="255"/>
      <c r="EO157" s="255"/>
      <c r="EP157" s="255"/>
      <c r="EQ157" s="255"/>
      <c r="ER157" s="255"/>
      <c r="ES157" s="255"/>
      <c r="ET157" s="255"/>
      <c r="EU157" s="255"/>
      <c r="EV157" s="255"/>
      <c r="EW157" s="255"/>
      <c r="EX157" s="255"/>
      <c r="EY157" s="255"/>
      <c r="EZ157" s="255"/>
      <c r="FA157" s="255"/>
      <c r="FB157" s="255"/>
      <c r="FC157" s="255"/>
      <c r="FD157" s="255"/>
      <c r="FE157" s="255"/>
      <c r="FF157" s="255"/>
      <c r="FG157" s="255"/>
      <c r="FH157" s="255"/>
      <c r="FI157" s="255"/>
      <c r="FJ157" s="255"/>
      <c r="FK157" s="255"/>
      <c r="FL157" s="255"/>
      <c r="FM157" s="255"/>
      <c r="FN157" s="255"/>
      <c r="FO157" s="255"/>
      <c r="FP157" s="255"/>
      <c r="FQ157" s="255"/>
      <c r="FR157" s="255"/>
      <c r="FS157" s="255"/>
      <c r="FT157" s="255"/>
      <c r="FU157" s="255"/>
      <c r="FV157" s="255"/>
      <c r="FW157" s="255"/>
      <c r="FX157" s="255"/>
      <c r="FY157" s="255"/>
      <c r="FZ157" s="255"/>
      <c r="GA157" s="255"/>
      <c r="GB157" s="255"/>
      <c r="GC157" s="255"/>
      <c r="GD157" s="255"/>
      <c r="GE157" s="255"/>
      <c r="GF157" s="255"/>
      <c r="GG157" s="255"/>
      <c r="GH157" s="255"/>
      <c r="GI157" s="255"/>
      <c r="GJ157" s="255"/>
      <c r="GK157" s="255"/>
      <c r="GL157" s="255"/>
      <c r="GM157" s="255"/>
      <c r="GN157" s="255"/>
      <c r="GO157" s="255"/>
      <c r="GP157" s="255"/>
      <c r="GQ157" s="255"/>
      <c r="GR157" s="255"/>
      <c r="GS157" s="255"/>
      <c r="GT157" s="255"/>
      <c r="GU157" s="255"/>
      <c r="GV157" s="255"/>
      <c r="GW157" s="255"/>
      <c r="GX157" s="255"/>
      <c r="GY157" s="255"/>
      <c r="GZ157" s="255"/>
      <c r="HA157" s="255"/>
      <c r="HB157" s="255"/>
      <c r="HC157" s="255"/>
      <c r="HD157" s="255"/>
      <c r="HE157" s="255"/>
      <c r="HF157" s="255"/>
      <c r="HG157" s="255"/>
      <c r="HH157" s="255"/>
      <c r="HI157" s="255"/>
      <c r="HJ157" s="255"/>
      <c r="HK157" s="255"/>
      <c r="HL157" s="255"/>
      <c r="HM157" s="255"/>
      <c r="HN157" s="255"/>
      <c r="HO157" s="255"/>
      <c r="HP157" s="255"/>
      <c r="HQ157" s="255"/>
      <c r="HR157" s="255"/>
      <c r="HS157" s="255"/>
      <c r="HT157" s="255"/>
      <c r="HU157" s="255"/>
      <c r="HV157" s="255"/>
      <c r="HW157" s="255"/>
      <c r="HX157" s="255"/>
      <c r="HY157" s="255"/>
      <c r="HZ157" s="255"/>
      <c r="IA157" s="255"/>
      <c r="IB157" s="255"/>
      <c r="IC157" s="255"/>
      <c r="ID157" s="255"/>
      <c r="IE157" s="255"/>
      <c r="IF157" s="255"/>
      <c r="IG157" s="255"/>
      <c r="IH157" s="255"/>
      <c r="II157" s="255"/>
      <c r="IJ157" s="255"/>
      <c r="IK157" s="255"/>
      <c r="IL157" s="255"/>
      <c r="IM157" s="255"/>
      <c r="IN157" s="255"/>
      <c r="IO157" s="255"/>
      <c r="IP157" s="255"/>
      <c r="IQ157" s="255"/>
      <c r="IR157" s="255"/>
      <c r="IS157" s="255"/>
      <c r="IT157" s="255"/>
      <c r="IU157" s="255"/>
      <c r="IV157" s="255"/>
      <c r="IW157" s="255"/>
      <c r="IX157" s="255"/>
      <c r="IY157" s="255"/>
      <c r="IZ157" s="255"/>
      <c r="JA157" s="255"/>
      <c r="JB157" s="255"/>
      <c r="JC157" s="255"/>
      <c r="JD157" s="255"/>
      <c r="JE157" s="255"/>
      <c r="JF157" s="255"/>
      <c r="JG157" s="255"/>
      <c r="JH157" s="255"/>
      <c r="JI157" s="255"/>
      <c r="JJ157" s="255"/>
      <c r="JK157" s="255"/>
      <c r="JL157" s="255"/>
      <c r="JM157" s="255"/>
      <c r="JN157" s="255"/>
      <c r="JO157" s="255"/>
      <c r="JP157" s="255"/>
      <c r="JQ157" s="255"/>
      <c r="JR157" s="255"/>
      <c r="JS157" s="255"/>
      <c r="JT157" s="255"/>
      <c r="JU157" s="255"/>
      <c r="JV157" s="255"/>
      <c r="JW157" s="255"/>
      <c r="JX157" s="255"/>
      <c r="JY157" s="255"/>
      <c r="JZ157" s="255"/>
      <c r="KA157" s="255"/>
      <c r="KB157" s="255"/>
      <c r="KC157" s="255"/>
      <c r="KD157" s="255"/>
      <c r="KE157" s="255"/>
      <c r="KF157" s="255"/>
      <c r="KG157" s="255"/>
      <c r="KH157" s="255"/>
      <c r="KI157" s="255"/>
      <c r="KJ157" s="255"/>
      <c r="KK157" s="255"/>
      <c r="KL157" s="255"/>
      <c r="KM157" s="255"/>
      <c r="KN157" s="255"/>
      <c r="KO157" s="255"/>
      <c r="KP157" s="255"/>
      <c r="KQ157" s="255"/>
      <c r="KR157" s="255"/>
      <c r="KS157" s="255"/>
      <c r="KT157" s="255"/>
      <c r="KU157" s="255"/>
      <c r="KV157" s="255"/>
      <c r="KW157" s="255"/>
      <c r="KX157" s="255"/>
      <c r="KY157" s="255"/>
      <c r="KZ157" s="255"/>
      <c r="LA157" s="255"/>
      <c r="LB157" s="255"/>
      <c r="LC157" s="255"/>
      <c r="LD157" s="255"/>
      <c r="LE157" s="255"/>
      <c r="LF157" s="255"/>
      <c r="LG157" s="255"/>
      <c r="LH157" s="255"/>
      <c r="LI157" s="255"/>
      <c r="LJ157" s="255"/>
      <c r="LK157" s="255"/>
      <c r="LL157" s="255"/>
      <c r="LM157" s="255"/>
      <c r="LN157" s="255"/>
      <c r="LO157" s="255"/>
      <c r="LP157" s="255"/>
      <c r="LQ157" s="255"/>
      <c r="LR157" s="255"/>
      <c r="LS157" s="255"/>
      <c r="LT157" s="255"/>
      <c r="LU157" s="255"/>
      <c r="LV157" s="255"/>
      <c r="LW157" s="255"/>
      <c r="LX157" s="255"/>
      <c r="LY157" s="255"/>
      <c r="LZ157" s="255"/>
      <c r="MA157" s="255"/>
      <c r="MB157" s="255"/>
      <c r="MC157" s="255"/>
      <c r="MD157" s="255"/>
      <c r="ME157" s="255"/>
      <c r="MF157" s="255"/>
      <c r="MG157" s="255"/>
      <c r="MH157" s="255"/>
      <c r="MI157" s="255"/>
      <c r="MJ157" s="255"/>
      <c r="MK157" s="255"/>
      <c r="ML157" s="255"/>
      <c r="MM157" s="255"/>
      <c r="MN157" s="255"/>
      <c r="MO157" s="255"/>
      <c r="MP157" s="255"/>
      <c r="MQ157" s="255"/>
      <c r="MR157" s="255"/>
      <c r="MS157" s="255"/>
      <c r="MT157" s="255"/>
      <c r="MU157" s="255"/>
      <c r="MV157" s="255"/>
      <c r="MW157" s="255"/>
      <c r="MX157" s="255"/>
      <c r="MY157" s="255"/>
      <c r="MZ157" s="255"/>
      <c r="NA157" s="255"/>
      <c r="NB157" s="255"/>
      <c r="NC157" s="255"/>
      <c r="ND157" s="255"/>
      <c r="NE157" s="255"/>
      <c r="NF157" s="255"/>
      <c r="NG157" s="255"/>
      <c r="NH157" s="255"/>
      <c r="NI157" s="255"/>
      <c r="NJ157" s="255"/>
      <c r="NK157" s="255"/>
      <c r="NL157" s="255"/>
      <c r="NM157" s="255"/>
      <c r="NN157" s="255"/>
      <c r="NO157" s="255"/>
      <c r="NP157" s="255"/>
      <c r="NQ157" s="255"/>
      <c r="NR157" s="255"/>
      <c r="NS157" s="255"/>
      <c r="NT157" s="255"/>
      <c r="NU157" s="255"/>
      <c r="NV157" s="255"/>
      <c r="NW157" s="255"/>
      <c r="NX157" s="255"/>
      <c r="NY157" s="255"/>
      <c r="NZ157" s="255"/>
      <c r="OA157" s="255"/>
      <c r="OB157" s="255"/>
      <c r="OC157" s="255"/>
      <c r="OD157" s="255"/>
      <c r="OE157" s="255"/>
      <c r="OF157" s="255"/>
      <c r="OG157" s="255"/>
      <c r="OH157" s="255"/>
      <c r="OI157" s="255"/>
      <c r="OJ157" s="255"/>
      <c r="OK157" s="255"/>
      <c r="OL157" s="255"/>
      <c r="OM157" s="255"/>
      <c r="ON157" s="255"/>
      <c r="OO157" s="255"/>
      <c r="OP157" s="255"/>
      <c r="OQ157" s="255"/>
      <c r="OR157" s="255"/>
      <c r="OS157" s="255"/>
      <c r="OT157" s="255"/>
      <c r="OU157" s="255"/>
      <c r="OV157" s="255"/>
      <c r="OW157" s="255"/>
      <c r="OX157" s="255"/>
      <c r="OY157" s="255"/>
      <c r="OZ157" s="255"/>
      <c r="PA157" s="255"/>
      <c r="PB157" s="255"/>
      <c r="PC157" s="255"/>
      <c r="PD157" s="255"/>
      <c r="PE157" s="255"/>
      <c r="PF157" s="255"/>
      <c r="PG157" s="255"/>
      <c r="PH157" s="255"/>
      <c r="PI157" s="255"/>
      <c r="PJ157" s="255"/>
      <c r="PK157" s="255"/>
      <c r="PL157" s="255"/>
      <c r="PM157" s="255"/>
      <c r="PN157" s="255"/>
      <c r="PO157" s="255"/>
      <c r="PP157" s="255"/>
      <c r="PQ157" s="255"/>
      <c r="PR157" s="255"/>
      <c r="PS157" s="255"/>
      <c r="PT157" s="255"/>
      <c r="PU157" s="255"/>
      <c r="PV157" s="255"/>
      <c r="PW157" s="255"/>
      <c r="PX157" s="255"/>
      <c r="PY157" s="255"/>
      <c r="PZ157" s="255"/>
      <c r="QA157" s="255"/>
      <c r="QB157" s="255"/>
      <c r="QC157" s="255"/>
      <c r="QD157" s="255"/>
      <c r="QE157" s="255"/>
      <c r="QF157" s="255"/>
      <c r="QG157" s="255"/>
      <c r="QH157" s="255"/>
      <c r="QI157" s="255"/>
      <c r="QJ157" s="255"/>
      <c r="QK157" s="255"/>
      <c r="QL157" s="255"/>
      <c r="QM157" s="255"/>
      <c r="QN157" s="255"/>
      <c r="QO157" s="255"/>
      <c r="QP157" s="255"/>
      <c r="QQ157" s="255"/>
      <c r="QR157" s="255"/>
      <c r="QS157" s="255"/>
      <c r="QT157" s="255"/>
      <c r="QU157" s="255"/>
      <c r="QV157" s="255"/>
      <c r="QW157" s="255"/>
      <c r="QX157" s="255"/>
      <c r="QY157" s="255"/>
      <c r="QZ157" s="255"/>
      <c r="RA157" s="255"/>
      <c r="RB157" s="255"/>
      <c r="RC157" s="255"/>
      <c r="RD157" s="255"/>
      <c r="RE157" s="255"/>
      <c r="RF157" s="255"/>
      <c r="RG157" s="255"/>
      <c r="RH157" s="255"/>
      <c r="RI157" s="255"/>
      <c r="RJ157" s="255"/>
      <c r="RK157" s="255"/>
      <c r="RL157" s="255"/>
      <c r="RM157" s="255"/>
      <c r="RN157" s="255"/>
      <c r="RO157" s="255"/>
      <c r="RP157" s="255"/>
      <c r="RQ157" s="255"/>
      <c r="RR157" s="255"/>
      <c r="RS157" s="255"/>
      <c r="RT157" s="255"/>
      <c r="RU157" s="255"/>
      <c r="RV157" s="255"/>
      <c r="RW157" s="255"/>
      <c r="RX157" s="255"/>
      <c r="RY157" s="255"/>
      <c r="RZ157" s="255"/>
      <c r="SA157" s="255"/>
      <c r="SB157" s="255"/>
      <c r="SC157" s="255"/>
      <c r="SD157" s="255"/>
      <c r="SE157" s="255"/>
      <c r="SF157" s="255"/>
      <c r="SG157" s="255"/>
      <c r="SH157" s="255"/>
      <c r="SI157" s="255"/>
      <c r="SJ157" s="255"/>
      <c r="SK157" s="255"/>
      <c r="SL157" s="255"/>
      <c r="SM157" s="255"/>
      <c r="SN157" s="255"/>
      <c r="SO157" s="255"/>
      <c r="SP157" s="255"/>
      <c r="SQ157" s="255"/>
      <c r="SR157" s="255"/>
      <c r="SS157" s="255"/>
      <c r="ST157" s="255"/>
      <c r="SU157" s="255"/>
      <c r="SV157" s="255"/>
      <c r="SW157" s="255"/>
      <c r="SX157" s="255"/>
      <c r="SY157" s="255"/>
      <c r="SZ157" s="255"/>
      <c r="TA157" s="255"/>
      <c r="TB157" s="255"/>
      <c r="TC157" s="255"/>
      <c r="TD157" s="255"/>
      <c r="TE157" s="255"/>
      <c r="TF157" s="255"/>
      <c r="TG157" s="255"/>
      <c r="TH157" s="255"/>
      <c r="TI157" s="255"/>
      <c r="TJ157" s="255"/>
      <c r="TK157" s="255"/>
      <c r="TL157" s="255"/>
      <c r="TM157" s="255"/>
      <c r="TN157" s="255"/>
      <c r="TO157" s="255"/>
      <c r="TP157" s="255"/>
      <c r="TQ157" s="255"/>
      <c r="TR157" s="255"/>
      <c r="TS157" s="255"/>
      <c r="TT157" s="255"/>
      <c r="TU157" s="255"/>
      <c r="TV157" s="255"/>
      <c r="TW157" s="255"/>
      <c r="TX157" s="255"/>
      <c r="TY157" s="255"/>
      <c r="TZ157" s="255"/>
      <c r="UA157" s="255"/>
      <c r="UB157" s="255"/>
      <c r="UC157" s="255"/>
      <c r="UD157" s="255"/>
      <c r="UE157" s="255"/>
      <c r="UF157" s="255"/>
      <c r="UG157" s="255"/>
      <c r="UH157" s="255"/>
      <c r="UI157" s="255"/>
      <c r="UJ157" s="255"/>
      <c r="UK157" s="255"/>
      <c r="UL157" s="255"/>
      <c r="UM157" s="255"/>
      <c r="UN157" s="255"/>
      <c r="UO157" s="255"/>
      <c r="UP157" s="255"/>
      <c r="UQ157" s="255"/>
      <c r="UR157" s="255"/>
      <c r="US157" s="255"/>
      <c r="UT157" s="255"/>
      <c r="UU157" s="255"/>
      <c r="UV157" s="255"/>
      <c r="UW157" s="255"/>
      <c r="UX157" s="255"/>
      <c r="UY157" s="255"/>
      <c r="UZ157" s="255"/>
      <c r="VA157" s="255"/>
      <c r="VB157" s="255"/>
      <c r="VC157" s="255"/>
      <c r="VD157" s="255"/>
      <c r="VE157" s="255"/>
      <c r="VF157" s="255"/>
      <c r="VG157" s="255"/>
      <c r="VH157" s="255"/>
      <c r="VI157" s="255"/>
      <c r="VJ157" s="255"/>
      <c r="VK157" s="255"/>
      <c r="VL157" s="255"/>
      <c r="VM157" s="255"/>
      <c r="VN157" s="255"/>
      <c r="VO157" s="255"/>
      <c r="VP157" s="255"/>
      <c r="VQ157" s="255"/>
      <c r="VR157" s="255"/>
      <c r="VS157" s="255"/>
      <c r="VT157" s="255"/>
      <c r="VU157" s="255"/>
      <c r="VV157" s="255"/>
      <c r="VW157" s="255"/>
      <c r="VX157" s="255"/>
      <c r="VY157" s="255"/>
      <c r="VZ157" s="255"/>
      <c r="WA157" s="255"/>
      <c r="WB157" s="255"/>
      <c r="WC157" s="255"/>
      <c r="WD157" s="255"/>
      <c r="WE157" s="255"/>
      <c r="WF157" s="255"/>
      <c r="WG157" s="255"/>
      <c r="WH157" s="255"/>
      <c r="WI157" s="255"/>
      <c r="WJ157" s="255"/>
      <c r="WK157" s="255"/>
      <c r="WL157" s="255"/>
      <c r="WM157" s="255"/>
      <c r="WN157" s="255"/>
      <c r="WO157" s="255"/>
      <c r="WP157" s="255"/>
      <c r="WQ157" s="255"/>
      <c r="WR157" s="255"/>
      <c r="WS157" s="255"/>
      <c r="WT157" s="255"/>
      <c r="WU157" s="255"/>
      <c r="WV157" s="255"/>
      <c r="WW157" s="255"/>
      <c r="WX157" s="255"/>
      <c r="WY157" s="255"/>
      <c r="WZ157" s="255"/>
      <c r="XA157" s="255"/>
      <c r="XB157" s="255"/>
      <c r="XC157" s="255"/>
      <c r="XD157" s="255"/>
      <c r="XE157" s="255"/>
      <c r="XF157" s="255"/>
      <c r="XG157" s="255"/>
      <c r="XH157" s="255"/>
      <c r="XI157" s="255"/>
      <c r="XJ157" s="255"/>
      <c r="XK157" s="255"/>
      <c r="XL157" s="255"/>
      <c r="XM157" s="255"/>
      <c r="XN157" s="255"/>
      <c r="XO157" s="255"/>
      <c r="XP157" s="255"/>
      <c r="XQ157" s="255"/>
      <c r="XR157" s="255"/>
      <c r="XS157" s="255"/>
      <c r="XT157" s="255"/>
      <c r="XU157" s="255"/>
      <c r="XV157" s="255"/>
      <c r="XW157" s="255"/>
      <c r="XX157" s="255"/>
      <c r="XY157" s="255"/>
      <c r="XZ157" s="255"/>
      <c r="YA157" s="255"/>
      <c r="YB157" s="255"/>
      <c r="YC157" s="255"/>
      <c r="YD157" s="255"/>
      <c r="YE157" s="255"/>
      <c r="YF157" s="255"/>
      <c r="YG157" s="255"/>
      <c r="YH157" s="255"/>
      <c r="YI157" s="255"/>
      <c r="YJ157" s="255"/>
      <c r="YK157" s="255"/>
      <c r="YL157" s="255"/>
      <c r="YM157" s="255"/>
      <c r="YN157" s="255"/>
      <c r="YO157" s="255"/>
      <c r="YP157" s="255"/>
      <c r="YQ157" s="255"/>
      <c r="YR157" s="255"/>
      <c r="YS157" s="255"/>
      <c r="YT157" s="255"/>
      <c r="YU157" s="255"/>
      <c r="YV157" s="255"/>
      <c r="YW157" s="255"/>
      <c r="YX157" s="255"/>
      <c r="YY157" s="255"/>
      <c r="YZ157" s="255"/>
      <c r="ZA157" s="255"/>
      <c r="ZB157" s="255"/>
      <c r="ZC157" s="255"/>
      <c r="ZD157" s="255"/>
      <c r="ZE157" s="255"/>
      <c r="ZF157" s="255"/>
      <c r="ZG157" s="255"/>
      <c r="ZH157" s="255"/>
      <c r="ZI157" s="255"/>
      <c r="ZJ157" s="255"/>
      <c r="ZK157" s="255"/>
      <c r="ZL157" s="255"/>
      <c r="ZM157" s="255"/>
      <c r="ZN157" s="255"/>
      <c r="ZO157" s="255"/>
      <c r="ZP157" s="255"/>
      <c r="ZQ157" s="255"/>
      <c r="ZR157" s="255"/>
      <c r="ZS157" s="255"/>
      <c r="ZT157" s="255"/>
      <c r="ZU157" s="255"/>
      <c r="ZV157" s="255"/>
      <c r="ZW157" s="255"/>
      <c r="ZX157" s="255"/>
      <c r="ZY157" s="255"/>
      <c r="ZZ157" s="255"/>
      <c r="AAA157" s="255"/>
      <c r="AAB157" s="255"/>
      <c r="AAC157" s="255"/>
      <c r="AAD157" s="255"/>
      <c r="AAE157" s="255"/>
      <c r="AAF157" s="255"/>
      <c r="AAG157" s="255"/>
      <c r="AAH157" s="255"/>
      <c r="AAI157" s="255"/>
      <c r="AAJ157" s="255"/>
      <c r="AAK157" s="255"/>
      <c r="AAL157" s="255"/>
      <c r="AAM157" s="255"/>
      <c r="AAN157" s="255"/>
      <c r="AAO157" s="255"/>
      <c r="AAP157" s="255"/>
      <c r="AAQ157" s="255"/>
      <c r="AAR157" s="255"/>
      <c r="AAS157" s="255"/>
      <c r="AAT157" s="255"/>
      <c r="AAU157" s="255"/>
      <c r="AAV157" s="255"/>
      <c r="AAW157" s="255"/>
      <c r="AAX157" s="255"/>
      <c r="AAY157" s="255"/>
      <c r="AAZ157" s="255"/>
      <c r="ABA157" s="255"/>
      <c r="ABB157" s="255"/>
      <c r="ABC157" s="255"/>
      <c r="ABD157" s="255"/>
      <c r="ABE157" s="255"/>
      <c r="ABF157" s="255"/>
      <c r="ABG157" s="255"/>
      <c r="ABH157" s="255"/>
      <c r="ABI157" s="255"/>
      <c r="ABJ157" s="255"/>
      <c r="ABK157" s="255"/>
      <c r="ABL157" s="255"/>
      <c r="ABM157" s="255"/>
      <c r="ABN157" s="255"/>
      <c r="ABO157" s="255"/>
      <c r="ABP157" s="255"/>
      <c r="ABQ157" s="255"/>
      <c r="ABR157" s="255"/>
      <c r="ABS157" s="255"/>
      <c r="ABT157" s="255"/>
      <c r="ABU157" s="255"/>
      <c r="ABV157" s="255"/>
      <c r="ABW157" s="255"/>
      <c r="ABX157" s="255"/>
      <c r="ABY157" s="255"/>
      <c r="ABZ157" s="255"/>
      <c r="ACA157" s="255"/>
      <c r="ACB157" s="255"/>
      <c r="ACC157" s="255"/>
      <c r="ACD157" s="255"/>
      <c r="ACE157" s="255"/>
      <c r="ACF157" s="255"/>
      <c r="ACG157" s="255"/>
      <c r="ACH157" s="255"/>
      <c r="ACI157" s="255"/>
      <c r="ACJ157" s="255"/>
      <c r="ACK157" s="255"/>
      <c r="ACL157" s="255"/>
      <c r="ACM157" s="255"/>
      <c r="ACN157" s="255"/>
      <c r="ACO157" s="255"/>
      <c r="ACP157" s="255"/>
      <c r="ACQ157" s="255"/>
      <c r="ACR157" s="255"/>
      <c r="ACS157" s="255"/>
      <c r="ACT157" s="255"/>
      <c r="ACU157" s="255"/>
      <c r="ACV157" s="255"/>
      <c r="ACW157" s="255"/>
      <c r="ACX157" s="255"/>
      <c r="ACY157" s="255"/>
      <c r="ACZ157" s="255"/>
      <c r="ADA157" s="255"/>
      <c r="ADB157" s="255"/>
      <c r="ADC157" s="255"/>
      <c r="ADD157" s="255"/>
      <c r="ADE157" s="255"/>
      <c r="ADF157" s="255"/>
      <c r="ADG157" s="255"/>
      <c r="ADH157" s="255"/>
      <c r="ADI157" s="255"/>
      <c r="ADJ157" s="255"/>
      <c r="ADK157" s="255"/>
      <c r="ADL157" s="255"/>
      <c r="ADM157" s="255"/>
      <c r="ADN157" s="255"/>
      <c r="ADO157" s="255"/>
      <c r="ADP157" s="255"/>
      <c r="ADQ157" s="255"/>
      <c r="ADR157" s="255"/>
      <c r="ADS157" s="255"/>
      <c r="ADT157" s="255"/>
      <c r="ADU157" s="255"/>
      <c r="ADV157" s="255"/>
      <c r="ADW157" s="255"/>
      <c r="ADX157" s="255"/>
      <c r="ADY157" s="255"/>
      <c r="ADZ157" s="255"/>
      <c r="AEA157" s="255"/>
      <c r="AEB157" s="255"/>
      <c r="AEC157" s="255"/>
      <c r="AED157" s="255"/>
      <c r="AEE157" s="255"/>
      <c r="AEF157" s="255"/>
      <c r="AEG157" s="255"/>
      <c r="AEH157" s="255"/>
      <c r="AEI157" s="255"/>
      <c r="AEJ157" s="255"/>
      <c r="AEK157" s="255"/>
      <c r="AEL157" s="255"/>
      <c r="AEM157" s="255"/>
      <c r="AEN157" s="255"/>
      <c r="AEO157" s="255"/>
      <c r="AEP157" s="255"/>
      <c r="AEQ157" s="255"/>
      <c r="AER157" s="255"/>
      <c r="AES157" s="255"/>
      <c r="AET157" s="255"/>
      <c r="AEU157" s="255"/>
      <c r="AEV157" s="255"/>
      <c r="AEW157" s="255"/>
      <c r="AEX157" s="255"/>
      <c r="AEY157" s="255"/>
      <c r="AEZ157" s="255"/>
      <c r="AFA157" s="255"/>
      <c r="AFB157" s="255"/>
      <c r="AFC157" s="255"/>
      <c r="AFD157" s="255"/>
      <c r="AFE157" s="255"/>
      <c r="AFF157" s="255"/>
      <c r="AFG157" s="255"/>
      <c r="AFH157" s="255"/>
      <c r="AFI157" s="255"/>
      <c r="AFJ157" s="255"/>
      <c r="AFK157" s="255"/>
      <c r="AFL157" s="255"/>
      <c r="AFM157" s="255"/>
      <c r="AFN157" s="255"/>
      <c r="AFO157" s="255"/>
      <c r="AFP157" s="255"/>
      <c r="AFQ157" s="255"/>
      <c r="AFR157" s="255"/>
      <c r="AFS157" s="255"/>
      <c r="AFT157" s="255"/>
      <c r="AFU157" s="255"/>
      <c r="AFV157" s="255"/>
      <c r="AFW157" s="255"/>
      <c r="AFX157" s="255"/>
      <c r="AFY157" s="255"/>
      <c r="AFZ157" s="255"/>
      <c r="AGA157" s="255"/>
      <c r="AGB157" s="255"/>
      <c r="AGC157" s="255"/>
      <c r="AGD157" s="255"/>
      <c r="AGE157" s="255"/>
      <c r="AGF157" s="255"/>
      <c r="AGG157" s="255"/>
      <c r="AGH157" s="255"/>
      <c r="AGI157" s="255"/>
      <c r="AGJ157" s="255"/>
      <c r="AGK157" s="255"/>
      <c r="AGL157" s="255"/>
      <c r="AGM157" s="255"/>
      <c r="AGN157" s="255"/>
      <c r="AGO157" s="255"/>
      <c r="AGP157" s="255"/>
      <c r="AGQ157" s="255"/>
      <c r="AGR157" s="255"/>
      <c r="AGS157" s="255"/>
      <c r="AGT157" s="255"/>
      <c r="AGU157" s="255"/>
      <c r="AGV157" s="255"/>
      <c r="AGW157" s="255"/>
      <c r="AGX157" s="255"/>
      <c r="AGY157" s="255"/>
      <c r="AGZ157" s="255"/>
      <c r="AHA157" s="255"/>
      <c r="AHB157" s="255"/>
      <c r="AHC157" s="255"/>
      <c r="AHD157" s="255"/>
      <c r="AHE157" s="255"/>
      <c r="AHF157" s="255"/>
      <c r="AHG157" s="255"/>
      <c r="AHH157" s="255"/>
      <c r="AHI157" s="255"/>
      <c r="AHJ157" s="255"/>
      <c r="AHK157" s="255"/>
      <c r="AHL157" s="255"/>
      <c r="AHM157" s="255"/>
      <c r="AHN157" s="255"/>
      <c r="AHO157" s="255"/>
      <c r="AHP157" s="255"/>
      <c r="AHQ157" s="255"/>
      <c r="AHR157" s="255"/>
      <c r="AHS157" s="255"/>
      <c r="AHT157" s="255"/>
      <c r="AHU157" s="255"/>
      <c r="AHV157" s="255"/>
      <c r="AHW157" s="255"/>
      <c r="AHX157" s="255"/>
      <c r="AHY157" s="255"/>
      <c r="AHZ157" s="255"/>
      <c r="AIA157" s="255"/>
      <c r="AIB157" s="255"/>
      <c r="AIC157" s="255"/>
      <c r="AID157" s="255"/>
      <c r="AIE157" s="255"/>
      <c r="AIF157" s="255"/>
      <c r="AIG157" s="255"/>
      <c r="AIH157" s="255"/>
      <c r="AII157" s="255"/>
      <c r="AIJ157" s="255"/>
      <c r="AIK157" s="255"/>
      <c r="AIL157" s="255"/>
      <c r="AIM157" s="255"/>
      <c r="AIN157" s="255"/>
      <c r="AIO157" s="255"/>
      <c r="AIP157" s="255"/>
      <c r="AIQ157" s="255"/>
      <c r="AIR157" s="255"/>
      <c r="AIS157" s="255"/>
      <c r="AIT157" s="255"/>
      <c r="AIU157" s="255"/>
      <c r="AIV157" s="255"/>
      <c r="AIW157" s="255"/>
      <c r="AIX157" s="255"/>
      <c r="AIY157" s="255"/>
      <c r="AIZ157" s="255"/>
      <c r="AJA157" s="255"/>
      <c r="AJB157" s="255"/>
      <c r="AJC157" s="255"/>
      <c r="AJD157" s="255"/>
      <c r="AJE157" s="255"/>
      <c r="AJF157" s="255"/>
      <c r="AJG157" s="255"/>
      <c r="AJH157" s="255"/>
      <c r="AJI157" s="255"/>
      <c r="AJJ157" s="255"/>
      <c r="AJK157" s="255"/>
      <c r="AJL157" s="255"/>
      <c r="AJM157" s="255"/>
      <c r="AJN157" s="255"/>
      <c r="AJO157" s="255"/>
      <c r="AJP157" s="255"/>
      <c r="AJQ157" s="255"/>
      <c r="AJR157" s="255"/>
      <c r="AJS157" s="255"/>
      <c r="AJT157" s="255"/>
      <c r="AJU157" s="255"/>
      <c r="AJV157" s="255"/>
      <c r="AJW157" s="255"/>
      <c r="AJX157" s="255"/>
      <c r="AJY157" s="255"/>
      <c r="AJZ157" s="255"/>
      <c r="AKA157" s="255"/>
      <c r="AKB157" s="255"/>
      <c r="AKC157" s="255"/>
      <c r="AKD157" s="255"/>
      <c r="AKE157" s="255"/>
      <c r="AKF157" s="255"/>
      <c r="AKG157" s="255"/>
      <c r="AKH157" s="255"/>
      <c r="AKI157" s="255"/>
      <c r="AKJ157" s="255"/>
      <c r="AKK157" s="255"/>
      <c r="AKL157" s="255"/>
      <c r="AKM157" s="255"/>
      <c r="AKN157" s="255"/>
      <c r="AKO157" s="255"/>
      <c r="AKP157" s="255"/>
      <c r="AKQ157" s="255"/>
      <c r="AKR157" s="255"/>
      <c r="AKS157" s="255"/>
      <c r="AKT157" s="255"/>
      <c r="AKU157" s="255"/>
      <c r="AKV157" s="255"/>
      <c r="AKW157" s="255"/>
      <c r="AKX157" s="255"/>
      <c r="AKY157" s="255"/>
      <c r="AKZ157" s="255"/>
      <c r="ALA157" s="255"/>
      <c r="ALB157" s="255"/>
      <c r="ALC157" s="255"/>
      <c r="ALD157" s="255"/>
      <c r="ALE157" s="42"/>
      <c r="ALF157" s="42"/>
      <c r="ALG157" s="42"/>
      <c r="ALH157" s="42"/>
      <c r="ALI157" s="42"/>
      <c r="ALJ157" s="42"/>
      <c r="ALK157" s="42"/>
      <c r="ALL157" s="42"/>
      <c r="ALM157" s="42"/>
    </row>
    <row r="158" spans="1:1001" ht="15" customHeight="1">
      <c r="A158" s="680" t="s">
        <v>6928</v>
      </c>
      <c r="B158" s="680"/>
      <c r="C158" s="680"/>
      <c r="D158" s="680"/>
      <c r="E158" s="680"/>
      <c r="F158" s="680"/>
      <c r="G158" s="680"/>
      <c r="H158" s="680"/>
      <c r="I158" s="680"/>
      <c r="J158" s="281">
        <f>+J154+J149+J138+J132+J128+J120+J117+J110+J104+J101+J98+J94+J43+J27+J20+J15</f>
        <v>66863.684073510987</v>
      </c>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c r="GM158" s="14"/>
      <c r="GN158" s="14"/>
      <c r="GO158" s="14"/>
      <c r="GP158" s="14"/>
      <c r="GQ158" s="14"/>
      <c r="GR158" s="14"/>
      <c r="GS158" s="14"/>
      <c r="GT158" s="14"/>
      <c r="GU158" s="14"/>
      <c r="GV158" s="14"/>
      <c r="GW158" s="14"/>
      <c r="GX158" s="14"/>
      <c r="GY158" s="14"/>
      <c r="GZ158" s="14"/>
      <c r="HA158" s="14"/>
      <c r="HB158" s="14"/>
      <c r="HC158" s="14"/>
      <c r="HD158" s="14"/>
      <c r="HE158" s="14"/>
      <c r="HF158" s="14"/>
      <c r="HG158" s="14"/>
      <c r="HH158" s="14"/>
      <c r="HI158" s="14"/>
      <c r="HJ158" s="14"/>
      <c r="HK158" s="14"/>
      <c r="HL158" s="14"/>
      <c r="HM158" s="14"/>
      <c r="HN158" s="14"/>
      <c r="HO158" s="14"/>
      <c r="HP158" s="14"/>
      <c r="HQ158" s="14"/>
      <c r="HR158" s="14"/>
      <c r="HS158" s="14"/>
      <c r="HT158" s="14"/>
      <c r="HU158" s="14"/>
      <c r="HV158" s="14"/>
      <c r="HW158" s="14"/>
      <c r="HX158" s="14"/>
      <c r="HY158" s="14"/>
      <c r="HZ158" s="14"/>
      <c r="IA158" s="14"/>
      <c r="IB158" s="14"/>
      <c r="IC158" s="14"/>
      <c r="ID158" s="14"/>
      <c r="IE158" s="14"/>
      <c r="IF158" s="14"/>
      <c r="IG158" s="14"/>
      <c r="IH158" s="14"/>
      <c r="II158" s="14"/>
      <c r="IJ158" s="14"/>
      <c r="IK158" s="14"/>
      <c r="IL158" s="14"/>
      <c r="IM158" s="14"/>
      <c r="IN158" s="14"/>
      <c r="IO158" s="14"/>
      <c r="IP158" s="14"/>
      <c r="IQ158" s="14"/>
      <c r="IR158" s="14"/>
      <c r="IS158" s="14"/>
      <c r="IT158" s="14"/>
      <c r="IU158" s="14"/>
      <c r="IV158" s="14"/>
      <c r="IW158" s="14"/>
      <c r="IX158" s="14"/>
      <c r="IY158" s="14"/>
      <c r="IZ158" s="14"/>
      <c r="JA158" s="14"/>
      <c r="JB158" s="14"/>
      <c r="JC158" s="14"/>
      <c r="JD158" s="14"/>
      <c r="JE158" s="14"/>
      <c r="JF158" s="14"/>
      <c r="JG158" s="14"/>
      <c r="JH158" s="14"/>
      <c r="JI158" s="14"/>
      <c r="JJ158" s="14"/>
      <c r="JK158" s="14"/>
      <c r="JL158" s="14"/>
      <c r="JM158" s="14"/>
      <c r="JN158" s="14"/>
      <c r="JO158" s="14"/>
      <c r="JP158" s="14"/>
      <c r="JQ158" s="14"/>
      <c r="JR158" s="14"/>
      <c r="JS158" s="14"/>
      <c r="JT158" s="14"/>
      <c r="JU158" s="14"/>
      <c r="JV158" s="14"/>
      <c r="JW158" s="14"/>
      <c r="JX158" s="14"/>
      <c r="JY158" s="14"/>
      <c r="JZ158" s="14"/>
      <c r="KA158" s="14"/>
      <c r="KB158" s="14"/>
      <c r="KC158" s="14"/>
      <c r="KD158" s="14"/>
      <c r="KE158" s="14"/>
      <c r="KF158" s="14"/>
      <c r="KG158" s="14"/>
      <c r="KH158" s="14"/>
      <c r="KI158" s="14"/>
      <c r="KJ158" s="14"/>
      <c r="KK158" s="14"/>
      <c r="KL158" s="14"/>
      <c r="KM158" s="14"/>
      <c r="KN158" s="14"/>
      <c r="KO158" s="14"/>
      <c r="KP158" s="14"/>
      <c r="KQ158" s="14"/>
      <c r="KR158" s="14"/>
      <c r="KS158" s="14"/>
      <c r="KT158" s="14"/>
      <c r="KU158" s="14"/>
      <c r="KV158" s="14"/>
      <c r="KW158" s="14"/>
      <c r="KX158" s="14"/>
      <c r="KY158" s="14"/>
      <c r="KZ158" s="14"/>
      <c r="LA158" s="14"/>
      <c r="LB158" s="14"/>
      <c r="LC158" s="14"/>
      <c r="LD158" s="14"/>
      <c r="LE158" s="14"/>
      <c r="LF158" s="14"/>
      <c r="LG158" s="14"/>
      <c r="LH158" s="14"/>
      <c r="LI158" s="14"/>
      <c r="LJ158" s="14"/>
      <c r="LK158" s="14"/>
      <c r="LL158" s="14"/>
      <c r="LM158" s="14"/>
      <c r="LN158" s="14"/>
      <c r="LO158" s="14"/>
      <c r="LP158" s="14"/>
      <c r="LQ158" s="14"/>
      <c r="LR158" s="14"/>
      <c r="LS158" s="14"/>
      <c r="LT158" s="14"/>
      <c r="LU158" s="14"/>
      <c r="LV158" s="14"/>
      <c r="LW158" s="14"/>
      <c r="LX158" s="14"/>
      <c r="LY158" s="14"/>
      <c r="LZ158" s="14"/>
      <c r="MA158" s="14"/>
      <c r="MB158" s="14"/>
      <c r="MC158" s="14"/>
      <c r="MD158" s="14"/>
      <c r="ME158" s="14"/>
      <c r="MF158" s="14"/>
      <c r="MG158" s="14"/>
      <c r="MH158" s="14"/>
      <c r="MI158" s="14"/>
      <c r="MJ158" s="14"/>
      <c r="MK158" s="14"/>
      <c r="ML158" s="14"/>
      <c r="MM158" s="14"/>
      <c r="MN158" s="14"/>
      <c r="MO158" s="14"/>
      <c r="MP158" s="14"/>
      <c r="MQ158" s="14"/>
      <c r="MR158" s="14"/>
      <c r="MS158" s="14"/>
      <c r="MT158" s="14"/>
      <c r="MU158" s="14"/>
      <c r="MV158" s="14"/>
      <c r="MW158" s="14"/>
      <c r="MX158" s="14"/>
      <c r="MY158" s="14"/>
      <c r="MZ158" s="14"/>
      <c r="NA158" s="14"/>
      <c r="NB158" s="14"/>
      <c r="NC158" s="14"/>
      <c r="ND158" s="14"/>
      <c r="NE158" s="14"/>
      <c r="NF158" s="14"/>
      <c r="NG158" s="14"/>
      <c r="NH158" s="14"/>
      <c r="NI158" s="14"/>
      <c r="NJ158" s="14"/>
      <c r="NK158" s="14"/>
      <c r="NL158" s="14"/>
      <c r="NM158" s="14"/>
      <c r="NN158" s="14"/>
      <c r="NO158" s="14"/>
      <c r="NP158" s="14"/>
      <c r="NQ158" s="14"/>
      <c r="NR158" s="14"/>
      <c r="NS158" s="14"/>
      <c r="NT158" s="14"/>
      <c r="NU158" s="14"/>
      <c r="NV158" s="14"/>
      <c r="NW158" s="14"/>
      <c r="NX158" s="14"/>
      <c r="NY158" s="14"/>
      <c r="NZ158" s="14"/>
      <c r="OA158" s="14"/>
      <c r="OB158" s="14"/>
      <c r="OC158" s="14"/>
      <c r="OD158" s="14"/>
      <c r="OE158" s="14"/>
      <c r="OF158" s="14"/>
      <c r="OG158" s="14"/>
      <c r="OH158" s="14"/>
      <c r="OI158" s="14"/>
      <c r="OJ158" s="14"/>
      <c r="OK158" s="14"/>
      <c r="OL158" s="14"/>
      <c r="OM158" s="14"/>
      <c r="ON158" s="14"/>
      <c r="OO158" s="14"/>
      <c r="OP158" s="14"/>
      <c r="OQ158" s="14"/>
      <c r="OR158" s="14"/>
      <c r="OS158" s="14"/>
      <c r="OT158" s="14"/>
      <c r="OU158" s="14"/>
      <c r="OV158" s="14"/>
      <c r="OW158" s="14"/>
      <c r="OX158" s="14"/>
      <c r="OY158" s="14"/>
      <c r="OZ158" s="14"/>
      <c r="PA158" s="14"/>
      <c r="PB158" s="14"/>
      <c r="PC158" s="14"/>
      <c r="PD158" s="14"/>
      <c r="PE158" s="14"/>
      <c r="PF158" s="14"/>
      <c r="PG158" s="14"/>
      <c r="PH158" s="14"/>
      <c r="PI158" s="14"/>
      <c r="PJ158" s="14"/>
      <c r="PK158" s="14"/>
      <c r="PL158" s="14"/>
      <c r="PM158" s="14"/>
      <c r="PN158" s="14"/>
      <c r="PO158" s="14"/>
      <c r="PP158" s="14"/>
      <c r="PQ158" s="14"/>
      <c r="PR158" s="14"/>
      <c r="PS158" s="14"/>
      <c r="PT158" s="14"/>
      <c r="PU158" s="14"/>
      <c r="PV158" s="14"/>
      <c r="PW158" s="14"/>
      <c r="PX158" s="14"/>
      <c r="PY158" s="14"/>
      <c r="PZ158" s="14"/>
      <c r="QA158" s="14"/>
      <c r="QB158" s="14"/>
      <c r="QC158" s="14"/>
      <c r="QD158" s="14"/>
      <c r="QE158" s="14"/>
      <c r="QF158" s="14"/>
      <c r="QG158" s="14"/>
      <c r="QH158" s="14"/>
      <c r="QI158" s="14"/>
      <c r="QJ158" s="14"/>
      <c r="QK158" s="14"/>
      <c r="QL158" s="14"/>
      <c r="QM158" s="14"/>
      <c r="QN158" s="14"/>
      <c r="QO158" s="14"/>
      <c r="QP158" s="14"/>
      <c r="QQ158" s="14"/>
      <c r="QR158" s="14"/>
      <c r="QS158" s="14"/>
      <c r="QT158" s="14"/>
      <c r="QU158" s="14"/>
      <c r="QV158" s="14"/>
      <c r="QW158" s="14"/>
      <c r="QX158" s="14"/>
      <c r="QY158" s="14"/>
      <c r="QZ158" s="14"/>
      <c r="RA158" s="14"/>
      <c r="RB158" s="14"/>
      <c r="RC158" s="14"/>
      <c r="RD158" s="14"/>
      <c r="RE158" s="14"/>
      <c r="RF158" s="14"/>
      <c r="RG158" s="14"/>
      <c r="RH158" s="14"/>
      <c r="RI158" s="14"/>
      <c r="RJ158" s="14"/>
      <c r="RK158" s="14"/>
      <c r="RL158" s="14"/>
      <c r="RM158" s="14"/>
      <c r="RN158" s="14"/>
      <c r="RO158" s="14"/>
      <c r="RP158" s="14"/>
      <c r="RQ158" s="14"/>
      <c r="RR158" s="14"/>
      <c r="RS158" s="14"/>
      <c r="RT158" s="14"/>
      <c r="RU158" s="14"/>
      <c r="RV158" s="14"/>
      <c r="RW158" s="14"/>
      <c r="RX158" s="14"/>
      <c r="RY158" s="14"/>
      <c r="RZ158" s="14"/>
      <c r="SA158" s="14"/>
      <c r="SB158" s="14"/>
      <c r="SC158" s="14"/>
      <c r="SD158" s="14"/>
      <c r="SE158" s="14"/>
      <c r="SF158" s="14"/>
      <c r="SG158" s="14"/>
      <c r="SH158" s="14"/>
      <c r="SI158" s="14"/>
      <c r="SJ158" s="14"/>
      <c r="SK158" s="14"/>
      <c r="SL158" s="14"/>
      <c r="SM158" s="14"/>
      <c r="SN158" s="14"/>
      <c r="SO158" s="14"/>
      <c r="SP158" s="14"/>
      <c r="SQ158" s="14"/>
      <c r="SR158" s="14"/>
      <c r="SS158" s="14"/>
      <c r="ST158" s="14"/>
      <c r="SU158" s="14"/>
      <c r="SV158" s="14"/>
      <c r="SW158" s="14"/>
      <c r="SX158" s="14"/>
      <c r="SY158" s="14"/>
      <c r="SZ158" s="14"/>
      <c r="TA158" s="14"/>
      <c r="TB158" s="14"/>
      <c r="TC158" s="14"/>
      <c r="TD158" s="14"/>
      <c r="TE158" s="14"/>
      <c r="TF158" s="14"/>
      <c r="TG158" s="14"/>
      <c r="TH158" s="14"/>
      <c r="TI158" s="14"/>
      <c r="TJ158" s="14"/>
      <c r="TK158" s="14"/>
      <c r="TL158" s="14"/>
      <c r="TM158" s="14"/>
      <c r="TN158" s="14"/>
      <c r="TO158" s="14"/>
      <c r="TP158" s="14"/>
      <c r="TQ158" s="14"/>
      <c r="TR158" s="14"/>
      <c r="TS158" s="14"/>
      <c r="TT158" s="14"/>
      <c r="TU158" s="14"/>
      <c r="TV158" s="14"/>
      <c r="TW158" s="14"/>
      <c r="TX158" s="14"/>
      <c r="TY158" s="14"/>
      <c r="TZ158" s="14"/>
      <c r="UA158" s="14"/>
      <c r="UB158" s="14"/>
      <c r="UC158" s="14"/>
      <c r="UD158" s="14"/>
      <c r="UE158" s="14"/>
      <c r="UF158" s="14"/>
      <c r="UG158" s="14"/>
      <c r="UH158" s="14"/>
      <c r="UI158" s="14"/>
      <c r="UJ158" s="14"/>
      <c r="UK158" s="14"/>
      <c r="UL158" s="14"/>
      <c r="UM158" s="14"/>
      <c r="UN158" s="14"/>
      <c r="UO158" s="14"/>
      <c r="UP158" s="14"/>
      <c r="UQ158" s="14"/>
      <c r="UR158" s="14"/>
      <c r="US158" s="14"/>
      <c r="UT158" s="14"/>
      <c r="UU158" s="14"/>
      <c r="UV158" s="14"/>
      <c r="UW158" s="14"/>
      <c r="UX158" s="14"/>
      <c r="UY158" s="14"/>
      <c r="UZ158" s="14"/>
      <c r="VA158" s="14"/>
      <c r="VB158" s="14"/>
      <c r="VC158" s="14"/>
      <c r="VD158" s="14"/>
      <c r="VE158" s="14"/>
      <c r="VF158" s="14"/>
      <c r="VG158" s="14"/>
      <c r="VH158" s="14"/>
      <c r="VI158" s="14"/>
      <c r="VJ158" s="14"/>
      <c r="VK158" s="14"/>
      <c r="VL158" s="14"/>
      <c r="VM158" s="14"/>
      <c r="VN158" s="14"/>
      <c r="VO158" s="14"/>
      <c r="VP158" s="14"/>
      <c r="VQ158" s="14"/>
      <c r="VR158" s="14"/>
      <c r="VS158" s="14"/>
      <c r="VT158" s="14"/>
      <c r="VU158" s="14"/>
      <c r="VV158" s="14"/>
      <c r="VW158" s="14"/>
      <c r="VX158" s="14"/>
      <c r="VY158" s="14"/>
      <c r="VZ158" s="14"/>
      <c r="WA158" s="14"/>
      <c r="WB158" s="14"/>
      <c r="WC158" s="14"/>
      <c r="WD158" s="14"/>
      <c r="WE158" s="14"/>
      <c r="WF158" s="14"/>
      <c r="WG158" s="14"/>
      <c r="WH158" s="14"/>
      <c r="WI158" s="14"/>
      <c r="WJ158" s="14"/>
      <c r="WK158" s="14"/>
      <c r="WL158" s="14"/>
      <c r="WM158" s="14"/>
      <c r="WN158" s="14"/>
      <c r="WO158" s="14"/>
      <c r="WP158" s="14"/>
      <c r="WQ158" s="14"/>
      <c r="WR158" s="14"/>
      <c r="WS158" s="14"/>
      <c r="WT158" s="14"/>
      <c r="WU158" s="14"/>
      <c r="WV158" s="14"/>
      <c r="WW158" s="14"/>
      <c r="WX158" s="14"/>
      <c r="WY158" s="14"/>
      <c r="WZ158" s="14"/>
      <c r="XA158" s="14"/>
      <c r="XB158" s="14"/>
      <c r="XC158" s="14"/>
      <c r="XD158" s="14"/>
      <c r="XE158" s="14"/>
      <c r="XF158" s="14"/>
      <c r="XG158" s="14"/>
      <c r="XH158" s="14"/>
      <c r="XI158" s="14"/>
      <c r="XJ158" s="14"/>
      <c r="XK158" s="14"/>
      <c r="XL158" s="14"/>
      <c r="XM158" s="14"/>
      <c r="XN158" s="14"/>
      <c r="XO158" s="14"/>
      <c r="XP158" s="14"/>
      <c r="XQ158" s="14"/>
      <c r="XR158" s="14"/>
      <c r="XS158" s="14"/>
      <c r="XT158" s="14"/>
      <c r="XU158" s="14"/>
      <c r="XV158" s="14"/>
      <c r="XW158" s="14"/>
      <c r="XX158" s="14"/>
      <c r="XY158" s="14"/>
      <c r="XZ158" s="14"/>
      <c r="YA158" s="14"/>
      <c r="YB158" s="14"/>
      <c r="YC158" s="14"/>
      <c r="YD158" s="14"/>
      <c r="YE158" s="14"/>
      <c r="YF158" s="14"/>
      <c r="YG158" s="14"/>
      <c r="YH158" s="14"/>
      <c r="YI158" s="14"/>
      <c r="YJ158" s="14"/>
      <c r="YK158" s="14"/>
      <c r="YL158" s="14"/>
      <c r="YM158" s="14"/>
      <c r="YT158" s="42"/>
      <c r="YU158" s="42"/>
      <c r="YV158" s="42"/>
    </row>
  </sheetData>
  <autoFilter ref="A12:J154" xr:uid="{00000000-0009-0000-0000-000003000000}"/>
  <mergeCells count="19">
    <mergeCell ref="A158:I158"/>
    <mergeCell ref="A110:I110"/>
    <mergeCell ref="A117:I117"/>
    <mergeCell ref="A120:I120"/>
    <mergeCell ref="A132:I132"/>
    <mergeCell ref="A138:I138"/>
    <mergeCell ref="A149:I149"/>
    <mergeCell ref="A154:I154"/>
    <mergeCell ref="A128:I128"/>
    <mergeCell ref="A156:I156"/>
    <mergeCell ref="A157:I157"/>
    <mergeCell ref="A104:I104"/>
    <mergeCell ref="A98:I98"/>
    <mergeCell ref="A15:I15"/>
    <mergeCell ref="A20:I20"/>
    <mergeCell ref="A27:I27"/>
    <mergeCell ref="A43:I43"/>
    <mergeCell ref="A94:I94"/>
    <mergeCell ref="A101:I101"/>
  </mergeCells>
  <phoneticPr fontId="49" type="noConversion"/>
  <pageMargins left="0.43307086614173229" right="0.23622047244094491" top="0.31496062992125984" bottom="0.38" header="0.31496062992125984" footer="0.15748031496062992"/>
  <pageSetup paperSize="9" scale="80" firstPageNumber="0" fitToHeight="0" orientation="landscape" r:id="rId1"/>
  <headerFooter>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S215"/>
  <sheetViews>
    <sheetView showGridLines="0" view="pageBreakPreview" zoomScaleNormal="82" zoomScaleSheetLayoutView="100" workbookViewId="0">
      <selection activeCell="C6" sqref="C6"/>
    </sheetView>
  </sheetViews>
  <sheetFormatPr defaultColWidth="9.140625" defaultRowHeight="12.75"/>
  <cols>
    <col min="1" max="1" width="10.7109375" style="16" customWidth="1"/>
    <col min="2" max="2" width="10.7109375" style="83" customWidth="1"/>
    <col min="3" max="3" width="70.7109375" style="14" customWidth="1"/>
    <col min="4" max="4" width="4.7109375" style="16" customWidth="1"/>
    <col min="5" max="8" width="11.7109375" style="54" customWidth="1"/>
    <col min="9" max="10" width="14.28515625" style="90" customWidth="1"/>
    <col min="11" max="13" width="12.140625" style="14" bestFit="1" customWidth="1"/>
    <col min="14" max="1006" width="9.140625" style="14"/>
    <col min="1007" max="16384" width="9.140625" style="18"/>
  </cols>
  <sheetData>
    <row r="1" spans="1:16" ht="24.95" customHeight="1">
      <c r="A1" s="681"/>
      <c r="B1" s="682"/>
      <c r="C1" s="682"/>
      <c r="D1" s="682"/>
      <c r="E1" s="682"/>
      <c r="F1" s="682"/>
      <c r="G1" s="682"/>
      <c r="H1" s="682"/>
      <c r="I1" s="682"/>
      <c r="J1" s="683"/>
    </row>
    <row r="2" spans="1:16" ht="24.95" customHeight="1">
      <c r="A2" s="684"/>
      <c r="B2" s="685"/>
      <c r="C2" s="685"/>
      <c r="D2" s="685"/>
      <c r="E2" s="685"/>
      <c r="F2" s="685"/>
      <c r="G2" s="685"/>
      <c r="H2" s="685"/>
      <c r="I2" s="685"/>
      <c r="J2" s="686"/>
    </row>
    <row r="3" spans="1:16" ht="24.95" customHeight="1">
      <c r="A3" s="687"/>
      <c r="B3" s="688"/>
      <c r="C3" s="688"/>
      <c r="D3" s="688"/>
      <c r="E3" s="688"/>
      <c r="F3" s="688"/>
      <c r="G3" s="688"/>
      <c r="H3" s="688"/>
      <c r="I3" s="688"/>
      <c r="J3" s="689"/>
    </row>
    <row r="4" spans="1:16" ht="14.1" customHeight="1">
      <c r="A4" s="426" t="s">
        <v>6295</v>
      </c>
      <c r="B4" s="436"/>
      <c r="C4" s="422" t="str">
        <f>+RESUMO!B5</f>
        <v>CONCLUSÃO DA CONSTRUÇÃO DO CENTRO DE ATENDIMENTO SÓCIO EDUCATIVO - CASE ITUMBIARA</v>
      </c>
      <c r="D4" s="427"/>
      <c r="E4" s="437"/>
      <c r="F4" s="438"/>
      <c r="G4" s="438"/>
      <c r="H4" s="439"/>
      <c r="I4" s="440"/>
      <c r="J4" s="441"/>
    </row>
    <row r="5" spans="1:16" ht="14.85" customHeight="1">
      <c r="A5" s="426" t="s">
        <v>6297</v>
      </c>
      <c r="B5" s="436"/>
      <c r="C5" s="422" t="str">
        <f>+RESUMO!B6</f>
        <v>SINAPI – NOVEMBRO/2020 (ONERADA)</v>
      </c>
      <c r="D5" s="427"/>
      <c r="E5" s="437"/>
      <c r="F5" s="438"/>
      <c r="G5" s="438"/>
      <c r="H5" s="439"/>
      <c r="I5" s="440"/>
      <c r="J5" s="441"/>
    </row>
    <row r="6" spans="1:16" ht="14.85" customHeight="1">
      <c r="A6" s="426" t="s">
        <v>5545</v>
      </c>
      <c r="B6" s="436"/>
      <c r="C6" s="422" t="str">
        <f>+RESUMO!B7</f>
        <v>MAIO / 2021</v>
      </c>
      <c r="D6" s="427"/>
      <c r="E6" s="437"/>
      <c r="F6" s="438"/>
      <c r="G6" s="438"/>
      <c r="H6" s="439"/>
      <c r="I6" s="440"/>
      <c r="J6" s="441"/>
    </row>
    <row r="7" spans="1:16" ht="14.85" customHeight="1">
      <c r="A7" s="426" t="s">
        <v>6298</v>
      </c>
      <c r="B7" s="436"/>
      <c r="C7" s="442">
        <v>2.02000036012687E+18</v>
      </c>
      <c r="D7" s="427"/>
      <c r="E7" s="437"/>
      <c r="F7" s="438"/>
      <c r="G7" s="438"/>
      <c r="H7" s="439"/>
      <c r="I7" s="440"/>
      <c r="J7" s="441"/>
    </row>
    <row r="8" spans="1:16" ht="14.85" customHeight="1">
      <c r="A8" s="426" t="s">
        <v>6299</v>
      </c>
      <c r="B8" s="436"/>
      <c r="C8" s="427" t="s">
        <v>6304</v>
      </c>
      <c r="D8" s="427"/>
      <c r="E8" s="437"/>
      <c r="F8" s="438"/>
      <c r="G8" s="438"/>
      <c r="H8" s="439"/>
      <c r="I8" s="440"/>
      <c r="J8" s="441"/>
    </row>
    <row r="9" spans="1:16" ht="14.85" customHeight="1">
      <c r="A9" s="414" t="s">
        <v>6300</v>
      </c>
      <c r="B9" s="436"/>
      <c r="C9" s="427" t="s">
        <v>6929</v>
      </c>
      <c r="D9" s="427"/>
      <c r="E9" s="437"/>
      <c r="F9" s="438"/>
      <c r="G9" s="438"/>
      <c r="H9" s="439"/>
      <c r="I9" s="440"/>
      <c r="J9" s="441"/>
    </row>
    <row r="10" spans="1:16" ht="14.85" customHeight="1">
      <c r="A10" s="19"/>
      <c r="B10" s="70"/>
      <c r="C10" s="20"/>
      <c r="D10" s="20"/>
      <c r="E10" s="58"/>
      <c r="F10" s="58"/>
      <c r="G10" s="58"/>
      <c r="H10" s="58"/>
      <c r="I10" s="89"/>
      <c r="J10" s="89"/>
    </row>
    <row r="11" spans="1:16" ht="25.5" customHeight="1">
      <c r="A11" s="21" t="s">
        <v>5551</v>
      </c>
      <c r="B11" s="86" t="s">
        <v>0</v>
      </c>
      <c r="C11" s="22" t="s">
        <v>6305</v>
      </c>
      <c r="D11" s="21" t="s">
        <v>6306</v>
      </c>
      <c r="E11" s="23" t="s">
        <v>6303</v>
      </c>
      <c r="F11" s="23" t="s">
        <v>6285</v>
      </c>
      <c r="G11" s="23" t="s">
        <v>586</v>
      </c>
      <c r="H11" s="23" t="s">
        <v>6286</v>
      </c>
      <c r="I11" s="23" t="s">
        <v>6308</v>
      </c>
      <c r="J11" s="23" t="s">
        <v>6309</v>
      </c>
    </row>
    <row r="12" spans="1:16">
      <c r="A12" s="266"/>
      <c r="B12" s="310"/>
      <c r="C12" s="311"/>
      <c r="D12" s="269"/>
      <c r="E12" s="271"/>
      <c r="F12" s="271"/>
      <c r="G12" s="271"/>
      <c r="H12" s="271"/>
      <c r="I12" s="312"/>
      <c r="J12" s="312"/>
      <c r="L12" s="255"/>
      <c r="M12" s="255"/>
    </row>
    <row r="13" spans="1:16">
      <c r="A13" s="251"/>
      <c r="B13" s="290">
        <v>165</v>
      </c>
      <c r="C13" s="273" t="s">
        <v>611</v>
      </c>
      <c r="D13" s="274"/>
      <c r="E13" s="276"/>
      <c r="F13" s="276"/>
      <c r="G13" s="276"/>
      <c r="H13" s="276"/>
      <c r="I13" s="280"/>
      <c r="J13" s="280"/>
      <c r="O13" s="257"/>
      <c r="P13" s="257"/>
    </row>
    <row r="14" spans="1:16" ht="24">
      <c r="A14" s="251" t="s">
        <v>6307</v>
      </c>
      <c r="B14" s="313">
        <v>450</v>
      </c>
      <c r="C14" s="282"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276">
        <f>233.72*0.07*0.5</f>
        <v>8.180200000000001</v>
      </c>
      <c r="F14" s="279">
        <f>(IF($A14="SINAPI",INDEX(SINAPI_NOV2020_NDES!$A$7:$H$6703,MATCH($B14,SINAPI_NOV2020_NDES!$A$7:$A$6703,0),5),(INDEX(COMPOS!$A$4:$G$801,MATCH($B14,COMPOS!$A$4:A$801,0),4))))</f>
        <v>10.879199999999999</v>
      </c>
      <c r="G14" s="279">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501.19430984000007</v>
      </c>
      <c r="K14" s="255"/>
      <c r="L14" s="255"/>
      <c r="M14" s="255"/>
      <c r="N14" s="255"/>
      <c r="O14" s="257"/>
      <c r="P14" s="257"/>
    </row>
    <row r="15" spans="1:16" s="88" customFormat="1" ht="24" customHeight="1">
      <c r="A15" s="680" t="s">
        <v>6927</v>
      </c>
      <c r="B15" s="680"/>
      <c r="C15" s="680"/>
      <c r="D15" s="680"/>
      <c r="E15" s="680"/>
      <c r="F15" s="680"/>
      <c r="G15" s="680"/>
      <c r="H15" s="680"/>
      <c r="I15" s="680"/>
      <c r="J15" s="281">
        <f>SUM(J14)</f>
        <v>501.19430984000007</v>
      </c>
      <c r="K15" s="255"/>
      <c r="L15" s="255"/>
      <c r="M15" s="255"/>
      <c r="N15" s="255"/>
      <c r="O15" s="257"/>
      <c r="P15" s="257"/>
    </row>
    <row r="16" spans="1:16">
      <c r="A16" s="251"/>
      <c r="B16" s="290">
        <v>166</v>
      </c>
      <c r="C16" s="273" t="s">
        <v>609</v>
      </c>
      <c r="D16" s="274" t="s">
        <v>6922</v>
      </c>
      <c r="E16" s="276"/>
      <c r="F16" s="276"/>
      <c r="G16" s="276"/>
      <c r="H16" s="276"/>
      <c r="I16" s="280"/>
      <c r="J16" s="280"/>
      <c r="K16" s="255"/>
      <c r="L16" s="255"/>
      <c r="M16" s="255"/>
      <c r="N16" s="255"/>
      <c r="O16" s="257"/>
      <c r="P16" s="257"/>
    </row>
    <row r="17" spans="1:16" ht="24">
      <c r="A17" s="251" t="s">
        <v>6307</v>
      </c>
      <c r="B17" s="313">
        <v>305</v>
      </c>
      <c r="C17" s="282"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276">
        <f>57.82+19.1+8.19+26.44+1.2</f>
        <v>112.75</v>
      </c>
      <c r="F17" s="303">
        <f>(IF($A17="SINAPI",INDEX(SINAPI_NOV2020_NDES!$A$7:$H$6703,MATCH($B17,SINAPI_NOV2020_NDES!$A$7:$A$6703,0),5),(INDEX(COMPOS!$A$4:$G$801,MATCH($B17,COMPOS!$A$4:A$801,0),4))))</f>
        <v>2.842123</v>
      </c>
      <c r="G17" s="314">
        <f>(IF($A17="SINAPI",INDEX(SINAPI_NOV2020_NDES!$A$7:$H$6703,MATCH($B17,SINAPI_NOV2020_NDES!$A$7:$A$6703,0),6),(INDEX(COMPOS!$A$4:$G$801,MATCH($B17,COMPOS!$A$4:A$801,0),5))))</f>
        <v>0</v>
      </c>
      <c r="H17" s="315">
        <f>(IF($A17="SINAPI",INDEX(SINAPI_NOV2020_NDES!$A$7:$H$6703,MATCH($B17,SINAPI_NOV2020_NDES!$A$7:$A$6703,0),7),(INDEX(COMPOS!$A$4:$G$801,MATCH($B17,COMPOS!$A$4:A$801,0),6))))</f>
        <v>0</v>
      </c>
      <c r="I17" s="315">
        <f t="shared" ref="I17" si="2">SUM(F17:H17)</f>
        <v>2.842123</v>
      </c>
      <c r="J17" s="280">
        <f>+I17*E17</f>
        <v>320.44936825000002</v>
      </c>
      <c r="K17" s="255"/>
      <c r="L17" s="255"/>
      <c r="M17" s="255"/>
      <c r="N17" s="255"/>
      <c r="O17" s="257"/>
      <c r="P17" s="257"/>
    </row>
    <row r="18" spans="1:16">
      <c r="A18" s="251" t="s">
        <v>6307</v>
      </c>
      <c r="B18" s="313">
        <v>302</v>
      </c>
      <c r="C18" s="282"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276">
        <v>112.75</v>
      </c>
      <c r="F18" s="303">
        <f>(IF($A18="SINAPI",INDEX(SINAPI_NOV2020_NDES!$A$7:$H$6703,MATCH($B18,SINAPI_NOV2020_NDES!$A$7:$A$6703,0),5),(INDEX(COMPOS!$A$4:$G$801,MATCH($B18,COMPOS!$A$4:A$801,0),4))))</f>
        <v>6.0440000000000005</v>
      </c>
      <c r="G18" s="314">
        <f>(IF($A18="SINAPI",INDEX(SINAPI_NOV2020_NDES!$A$7:$H$6703,MATCH($B18,SINAPI_NOV2020_NDES!$A$7:$A$6703,0),6),(INDEX(COMPOS!$A$4:$G$801,MATCH($B18,COMPOS!$A$4:A$801,0),5))))</f>
        <v>0</v>
      </c>
      <c r="H18" s="315">
        <f>(IF($A18="SINAPI",INDEX(SINAPI_NOV2020_NDES!$A$7:$H$6703,MATCH($B18,SINAPI_NOV2020_NDES!$A$7:$A$6703,0),7),(INDEX(COMPOS!$A$4:$G$801,MATCH($B18,COMPOS!$A$4:A$801,0),6))))</f>
        <v>0</v>
      </c>
      <c r="I18" s="315">
        <f t="shared" ref="I18" si="3">SUM(F18:H18)</f>
        <v>6.0440000000000005</v>
      </c>
      <c r="J18" s="280">
        <f>+I18*E18</f>
        <v>681.46100000000001</v>
      </c>
      <c r="K18" s="255"/>
      <c r="L18" s="255"/>
      <c r="M18" s="255"/>
      <c r="N18" s="255"/>
      <c r="O18" s="257"/>
      <c r="P18" s="257"/>
    </row>
    <row r="19" spans="1:16" s="88" customFormat="1" ht="24" customHeight="1">
      <c r="A19" s="680" t="s">
        <v>6927</v>
      </c>
      <c r="B19" s="680"/>
      <c r="C19" s="680"/>
      <c r="D19" s="680"/>
      <c r="E19" s="680"/>
      <c r="F19" s="680"/>
      <c r="G19" s="680"/>
      <c r="H19" s="680"/>
      <c r="I19" s="680"/>
      <c r="J19" s="281">
        <f>SUM(J17:J18)</f>
        <v>1001.91036825</v>
      </c>
      <c r="K19" s="255"/>
      <c r="L19" s="255"/>
      <c r="M19" s="255"/>
      <c r="N19" s="255"/>
      <c r="O19" s="257"/>
      <c r="P19" s="257"/>
    </row>
    <row r="20" spans="1:16">
      <c r="A20" s="251"/>
      <c r="B20" s="290">
        <v>169</v>
      </c>
      <c r="C20" s="273" t="s">
        <v>605</v>
      </c>
      <c r="D20" s="274" t="s">
        <v>6922</v>
      </c>
      <c r="E20" s="276"/>
      <c r="F20" s="276"/>
      <c r="G20" s="276"/>
      <c r="H20" s="276"/>
      <c r="I20" s="280"/>
      <c r="J20" s="280"/>
      <c r="K20" s="255"/>
      <c r="L20" s="255"/>
      <c r="M20" s="255"/>
      <c r="N20" s="255"/>
      <c r="O20" s="257"/>
      <c r="P20" s="257"/>
    </row>
    <row r="21" spans="1:16" ht="24">
      <c r="A21" s="251" t="s">
        <v>7</v>
      </c>
      <c r="B21" s="290">
        <v>91927</v>
      </c>
      <c r="C21" s="282" t="str">
        <f>(IF($A21="SINAPI",INDEX(SINAPI_NOV2020_NDES!$A$7:$H$6703,MATCH($B21,SINAPI_NOV2020_NDES!$A$7:$A$6703,0),2),IF($A21="GOINFRA",INDEX(#REF!,MATCH($B21,#REF!,0),2),(INDEX(COMPOS!$A$4:$G$390,MATCH($B21,COMPOS!$A$4:A$390,0),2)))))</f>
        <v>CABO DE COBRE FLEXÍVEL ISOLADO, 2,5 MM², ANTI-CHAMA 0,6/1,0 KV, PARA CIRCUITOS TERMINAIS - FORNECIMENTO E INSTALAÇÃO. AF_12/2015</v>
      </c>
      <c r="D21" s="274" t="str">
        <f>(IF($A21="SINAPI",INDEX(SINAPI_NOV2020_NDES!$A$7:$H$6790,MATCH($B21,SINAPI_NOV2020_NDES!$A$7:$A$6790,0),3),(INDEX(COMPOS!$A$4:$G$5000,MATCH($B21,COMPOS!$A$4:$A$5000,0),3))))</f>
        <v>M</v>
      </c>
      <c r="E21" s="276">
        <v>787.18</v>
      </c>
      <c r="F21" s="303">
        <f>(IF($A21="SINAPI",INDEX(SINAPI_NOV2020_NDES!$A$7:$H$6703,MATCH($B21,SINAPI_NOV2020_NDES!$A$7:$A$6703,0),5),(INDEX(COMPOS!$A$4:$G$801,MATCH($B21,COMPOS!$A$4:A$801,0),4))))</f>
        <v>0.88</v>
      </c>
      <c r="G21" s="314">
        <f>(IF($A21="SINAPI",INDEX(SINAPI_NOV2020_NDES!$A$7:$H$6703,MATCH($B21,SINAPI_NOV2020_NDES!$A$7:$A$6703,0),6),(INDEX(COMPOS!$A$4:$G$801,MATCH($B21,COMPOS!$A$4:A$801,0),5))))</f>
        <v>2.68</v>
      </c>
      <c r="H21" s="315">
        <f>(IF($A21="SINAPI",INDEX(SINAPI_NOV2020_NDES!$A$7:$H$6703,MATCH($B21,SINAPI_NOV2020_NDES!$A$7:$A$6703,0),7),(INDEX(COMPOS!$A$4:$G$801,MATCH($B21,COMPOS!$A$4:A$801,0),6))))</f>
        <v>0</v>
      </c>
      <c r="I21" s="315">
        <f t="shared" ref="I21" si="4">SUM(F21:H21)</f>
        <v>3.56</v>
      </c>
      <c r="J21" s="280">
        <f t="shared" ref="J21" si="5">+I21*E21</f>
        <v>2802.3607999999999</v>
      </c>
      <c r="K21" s="255"/>
      <c r="L21" s="255"/>
      <c r="M21" s="255"/>
      <c r="N21" s="255"/>
      <c r="O21" s="257"/>
      <c r="P21" s="257"/>
    </row>
    <row r="22" spans="1:16" ht="24">
      <c r="A22" s="251" t="s">
        <v>7</v>
      </c>
      <c r="B22" s="290">
        <v>91929</v>
      </c>
      <c r="C22" s="282" t="str">
        <f>(IF($A22="SINAPI",INDEX(SINAPI_NOV2020_NDES!$A$7:$H$6703,MATCH($B22,SINAPI_NOV2020_NDES!$A$7:$A$6703,0),2),IF($A22="GOINFRA",INDEX(#REF!,MATCH($B22,#REF!,0),2),(INDEX(COMPOS!$A$4:$G$390,MATCH($B22,COMPOS!$A$4:A$390,0),2)))))</f>
        <v>CABO DE COBRE FLEXÍVEL ISOLADO, 4 MM², ANTI-CHAMA 0,6/1,0 KV, PARA CIRCUITOS TERMINAIS - FORNECIMENTO E INSTALAÇÃO. AF_12/2015</v>
      </c>
      <c r="D22" s="274" t="str">
        <f>(IF($A22="SINAPI",INDEX(SINAPI_NOV2020_NDES!$A$7:$H$6790,MATCH($B22,SINAPI_NOV2020_NDES!$A$7:$A$6790,0),3),(INDEX(COMPOS!$A$4:$G$5000,MATCH($B22,COMPOS!$A$4:$A$5000,0),3))))</f>
        <v>M</v>
      </c>
      <c r="E22" s="276">
        <v>57.23</v>
      </c>
      <c r="F22" s="303">
        <f>(IF($A22="SINAPI",INDEX(SINAPI_NOV2020_NDES!$A$7:$H$6703,MATCH($B22,SINAPI_NOV2020_NDES!$A$7:$A$6703,0),5),(INDEX(COMPOS!$A$4:$G$801,MATCH($B22,COMPOS!$A$4:A$801,0),4))))</f>
        <v>1.17</v>
      </c>
      <c r="G22" s="314">
        <f>(IF($A22="SINAPI",INDEX(SINAPI_NOV2020_NDES!$A$7:$H$6703,MATCH($B22,SINAPI_NOV2020_NDES!$A$7:$A$6703,0),6),(INDEX(COMPOS!$A$4:$G$801,MATCH($B22,COMPOS!$A$4:A$801,0),5))))</f>
        <v>3.8</v>
      </c>
      <c r="H22" s="315">
        <f>(IF($A22="SINAPI",INDEX(SINAPI_NOV2020_NDES!$A$7:$H$6703,MATCH($B22,SINAPI_NOV2020_NDES!$A$7:$A$6703,0),7),(INDEX(COMPOS!$A$4:$G$801,MATCH($B22,COMPOS!$A$4:A$801,0),6))))</f>
        <v>0</v>
      </c>
      <c r="I22" s="315">
        <f t="shared" ref="I22:I35" si="6">SUM(F22:H22)</f>
        <v>4.97</v>
      </c>
      <c r="J22" s="280">
        <f t="shared" ref="J22:J35" si="7">+I22*E22</f>
        <v>284.43309999999997</v>
      </c>
      <c r="K22" s="255"/>
      <c r="L22" s="255"/>
      <c r="M22" s="255"/>
      <c r="N22" s="255"/>
      <c r="O22" s="257"/>
      <c r="P22" s="257"/>
    </row>
    <row r="23" spans="1:16" ht="24">
      <c r="A23" s="251" t="s">
        <v>7</v>
      </c>
      <c r="B23" s="290">
        <v>92871</v>
      </c>
      <c r="C23" s="282" t="str">
        <f>(IF($A23="SINAPI",INDEX(SINAPI_NOV2020_NDES!$A$7:$H$6703,MATCH($B23,SINAPI_NOV2020_NDES!$A$7:$A$6703,0),2),IF($A23="GOINFRA",INDEX(#REF!,MATCH($B23,#REF!,0),2),(INDEX(COMPOS!$A$4:$G$390,MATCH($B23,COMPOS!$A$4:A$390,0),2)))))</f>
        <v>CAIXA RETANGULAR 4" X 4" MÉDIA (1,30 M DO PISO), METÁLICA, INSTALADA EM PAREDE - FORNECIMENTO E INSTALAÇÃO. AF_12/2015</v>
      </c>
      <c r="D23" s="274" t="str">
        <f>(IF($A23="SINAPI",INDEX(SINAPI_NOV2020_NDES!$A$7:$H$6790,MATCH($B23,SINAPI_NOV2020_NDES!$A$7:$A$6790,0),3),(INDEX(COMPOS!$A$4:$G$5000,MATCH($B23,COMPOS!$A$4:$A$5000,0),3))))</f>
        <v>UN</v>
      </c>
      <c r="E23" s="276">
        <v>2</v>
      </c>
      <c r="F23" s="303">
        <f>(IF($A23="SINAPI",INDEX(SINAPI_NOV2020_NDES!$A$7:$H$6703,MATCH($B23,SINAPI_NOV2020_NDES!$A$7:$A$6703,0),5),(INDEX(COMPOS!$A$4:$G$801,MATCH($B23,COMPOS!$A$4:A$801,0),4))))</f>
        <v>8.5</v>
      </c>
      <c r="G23" s="314">
        <f>(IF($A23="SINAPI",INDEX(SINAPI_NOV2020_NDES!$A$7:$H$6703,MATCH($B23,SINAPI_NOV2020_NDES!$A$7:$A$6703,0),6),(INDEX(COMPOS!$A$4:$G$801,MATCH($B23,COMPOS!$A$4:A$801,0),5))))</f>
        <v>5.87</v>
      </c>
      <c r="H23" s="315">
        <f>(IF($A23="SINAPI",INDEX(SINAPI_NOV2020_NDES!$A$7:$H$6703,MATCH($B23,SINAPI_NOV2020_NDES!$A$7:$A$6703,0),7),(INDEX(COMPOS!$A$4:$G$801,MATCH($B23,COMPOS!$A$4:A$801,0),6))))</f>
        <v>0</v>
      </c>
      <c r="I23" s="315">
        <f t="shared" si="6"/>
        <v>14.370000000000001</v>
      </c>
      <c r="J23" s="280">
        <f t="shared" si="7"/>
        <v>28.740000000000002</v>
      </c>
      <c r="K23" s="255"/>
      <c r="L23" s="255"/>
      <c r="M23" s="255"/>
      <c r="N23" s="255"/>
      <c r="O23" s="257"/>
      <c r="P23" s="257"/>
    </row>
    <row r="24" spans="1:16" ht="24">
      <c r="A24" s="251" t="s">
        <v>7</v>
      </c>
      <c r="B24" s="290">
        <v>93657</v>
      </c>
      <c r="C24" s="282" t="str">
        <f>(IF($A24="SINAPI",INDEX(SINAPI_NOV2020_NDES!$A$7:$H$6703,MATCH($B24,SINAPI_NOV2020_NDES!$A$7:$A$6703,0),2),IF($A24="GOINFRA",INDEX(#REF!,MATCH($B24,#REF!,0),2),(INDEX(COMPOS!$A$4:$G$390,MATCH($B24,COMPOS!$A$4:A$390,0),2)))))</f>
        <v>DISJUNTOR MONOPOLAR TIPO DIN, CORRENTE NOMINAL DE 32A - FORNECIMENTO E INSTALAÇÃO. AF_10/2020</v>
      </c>
      <c r="D24" s="274" t="str">
        <f>(IF($A24="SINAPI",INDEX(SINAPI_NOV2020_NDES!$A$7:$H$6790,MATCH($B24,SINAPI_NOV2020_NDES!$A$7:$A$6790,0),3),(INDEX(COMPOS!$A$4:$G$5000,MATCH($B24,COMPOS!$A$4:$A$5000,0),3))))</f>
        <v>UN</v>
      </c>
      <c r="E24" s="276">
        <v>38</v>
      </c>
      <c r="F24" s="303">
        <f>(IF($A24="SINAPI",INDEX(SINAPI_NOV2020_NDES!$A$7:$H$6703,MATCH($B24,SINAPI_NOV2020_NDES!$A$7:$A$6703,0),5),(INDEX(COMPOS!$A$4:$G$801,MATCH($B24,COMPOS!$A$4:A$801,0),4))))</f>
        <v>2.67</v>
      </c>
      <c r="G24" s="314">
        <f>(IF($A24="SINAPI",INDEX(SINAPI_NOV2020_NDES!$A$7:$H$6703,MATCH($B24,SINAPI_NOV2020_NDES!$A$7:$A$6703,0),6),(INDEX(COMPOS!$A$4:$G$801,MATCH($B24,COMPOS!$A$4:A$801,0),5))))</f>
        <v>10.130000000000001</v>
      </c>
      <c r="H24" s="315">
        <f>(IF($A24="SINAPI",INDEX(SINAPI_NOV2020_NDES!$A$7:$H$6703,MATCH($B24,SINAPI_NOV2020_NDES!$A$7:$A$6703,0),7),(INDEX(COMPOS!$A$4:$G$801,MATCH($B24,COMPOS!$A$4:A$801,0),6))))</f>
        <v>0</v>
      </c>
      <c r="I24" s="315">
        <f t="shared" si="6"/>
        <v>12.8</v>
      </c>
      <c r="J24" s="280">
        <f t="shared" si="7"/>
        <v>486.40000000000003</v>
      </c>
      <c r="K24" s="255"/>
      <c r="L24" s="255"/>
      <c r="M24" s="255"/>
      <c r="N24" s="255"/>
      <c r="O24" s="257"/>
      <c r="P24" s="257"/>
    </row>
    <row r="25" spans="1:16" ht="24">
      <c r="A25" s="251" t="s">
        <v>7</v>
      </c>
      <c r="B25" s="290">
        <v>101894</v>
      </c>
      <c r="C25" s="282" t="str">
        <f>(IF($A25="SINAPI",INDEX(SINAPI_NOV2020_NDES!$A$7:$H$6703,MATCH($B25,SINAPI_NOV2020_NDES!$A$7:$A$6703,0),2),IF($A25="GOINFRA",INDEX(#REF!,MATCH($B25,#REF!,0),2),(INDEX(COMPOS!$A$4:$G$390,MATCH($B25,COMPOS!$A$4:A$390,0),2)))))</f>
        <v>DISJUNTOR TRIPOLAR TIPO NEMA, CORRENTE NOMINAL DE 60 ATÉ 100A - FORNECIMENTO E INSTALAÇÃO. AF_10/2020</v>
      </c>
      <c r="D25" s="274" t="str">
        <f>(IF($A25="SINAPI",INDEX(SINAPI_NOV2020_NDES!$A$7:$H$6790,MATCH($B25,SINAPI_NOV2020_NDES!$A$7:$A$6790,0),3),(INDEX(COMPOS!$A$4:$G$5000,MATCH($B25,COMPOS!$A$4:$A$5000,0),3))))</f>
        <v>UN</v>
      </c>
      <c r="E25" s="276">
        <v>1</v>
      </c>
      <c r="F25" s="303">
        <f>(IF($A25="SINAPI",INDEX(SINAPI_NOV2020_NDES!$A$7:$H$6703,MATCH($B25,SINAPI_NOV2020_NDES!$A$7:$A$6703,0),5),(INDEX(COMPOS!$A$4:$G$801,MATCH($B25,COMPOS!$A$4:A$801,0),4))))</f>
        <v>23.06</v>
      </c>
      <c r="G25" s="314">
        <f>(IF($A25="SINAPI",INDEX(SINAPI_NOV2020_NDES!$A$7:$H$6703,MATCH($B25,SINAPI_NOV2020_NDES!$A$7:$A$6703,0),6),(INDEX(COMPOS!$A$4:$G$801,MATCH($B25,COMPOS!$A$4:A$801,0),5))))</f>
        <v>114.94</v>
      </c>
      <c r="H25" s="315">
        <f>(IF($A25="SINAPI",INDEX(SINAPI_NOV2020_NDES!$A$7:$H$6703,MATCH($B25,SINAPI_NOV2020_NDES!$A$7:$A$6703,0),7),(INDEX(COMPOS!$A$4:$G$801,MATCH($B25,COMPOS!$A$4:A$801,0),6))))</f>
        <v>0</v>
      </c>
      <c r="I25" s="315">
        <f t="shared" si="6"/>
        <v>138</v>
      </c>
      <c r="J25" s="280">
        <f t="shared" si="7"/>
        <v>138</v>
      </c>
      <c r="K25" s="255"/>
      <c r="L25" s="255"/>
      <c r="M25" s="255"/>
      <c r="N25" s="255"/>
      <c r="O25" s="257"/>
      <c r="P25" s="257"/>
    </row>
    <row r="26" spans="1:16" ht="24">
      <c r="A26" s="251" t="s">
        <v>7</v>
      </c>
      <c r="B26" s="290">
        <v>91955</v>
      </c>
      <c r="C26" s="282" t="str">
        <f>(IF($A26="SINAPI",INDEX(SINAPI_NOV2020_NDES!$A$7:$H$6703,MATCH($B26,SINAPI_NOV2020_NDES!$A$7:$A$6703,0),2),IF($A26="GOINFRA",INDEX(#REF!,MATCH($B26,#REF!,0),2),(INDEX(COMPOS!$A$4:$G$390,MATCH($B26,COMPOS!$A$4:A$390,0),2)))))</f>
        <v>INTERRUPTOR PARALELO (1 MÓDULO), 10A/250V, INCLUINDO SUPORTE E PLACA - FORNECIMENTO E INSTALAÇÃO. AF_12/2015</v>
      </c>
      <c r="D26" s="274" t="str">
        <f>(IF($A26="SINAPI",INDEX(SINAPI_NOV2020_NDES!$A$7:$H$6790,MATCH($B26,SINAPI_NOV2020_NDES!$A$7:$A$6790,0),3),(INDEX(COMPOS!$A$4:$G$5000,MATCH($B26,COMPOS!$A$4:$A$5000,0),3))))</f>
        <v>UN</v>
      </c>
      <c r="E26" s="276">
        <v>4</v>
      </c>
      <c r="F26" s="303">
        <f>(IF($A26="SINAPI",INDEX(SINAPI_NOV2020_NDES!$A$7:$H$6703,MATCH($B26,SINAPI_NOV2020_NDES!$A$7:$A$6703,0),5),(INDEX(COMPOS!$A$4:$G$801,MATCH($B26,COMPOS!$A$4:A$801,0),4))))</f>
        <v>11.24</v>
      </c>
      <c r="G26" s="314">
        <f>(IF($A26="SINAPI",INDEX(SINAPI_NOV2020_NDES!$A$7:$H$6703,MATCH($B26,SINAPI_NOV2020_NDES!$A$7:$A$6703,0),6),(INDEX(COMPOS!$A$4:$G$801,MATCH($B26,COMPOS!$A$4:A$801,0),5))))</f>
        <v>11.47</v>
      </c>
      <c r="H26" s="315">
        <f>(IF($A26="SINAPI",INDEX(SINAPI_NOV2020_NDES!$A$7:$H$6703,MATCH($B26,SINAPI_NOV2020_NDES!$A$7:$A$6703,0),7),(INDEX(COMPOS!$A$4:$G$801,MATCH($B26,COMPOS!$A$4:A$801,0),6))))</f>
        <v>0</v>
      </c>
      <c r="I26" s="315">
        <f t="shared" si="6"/>
        <v>22.71</v>
      </c>
      <c r="J26" s="280">
        <f t="shared" si="7"/>
        <v>90.84</v>
      </c>
      <c r="K26" s="255"/>
      <c r="L26" s="255"/>
      <c r="M26" s="255"/>
      <c r="N26" s="255"/>
      <c r="O26" s="257"/>
      <c r="P26" s="257"/>
    </row>
    <row r="27" spans="1:16" ht="24">
      <c r="A27" s="251" t="s">
        <v>7</v>
      </c>
      <c r="B27" s="290">
        <v>91953</v>
      </c>
      <c r="C27" s="282" t="str">
        <f>(IF($A27="SINAPI",INDEX(SINAPI_NOV2020_NDES!$A$7:$H$6703,MATCH($B27,SINAPI_NOV2020_NDES!$A$7:$A$6703,0),2),IF($A27="GOINFRA",INDEX(#REF!,MATCH($B27,#REF!,0),2),(INDEX(COMPOS!$A$4:$G$390,MATCH($B27,COMPOS!$A$4:A$390,0),2)))))</f>
        <v>INTERRUPTOR SIMPLES (1 MÓDULO), 10A/250V, INCLUINDO SUPORTE E PLACA - FORNECIMENTO E INSTALAÇÃO. AF_12/2015</v>
      </c>
      <c r="D27" s="274" t="str">
        <f>(IF($A27="SINAPI",INDEX(SINAPI_NOV2020_NDES!$A$7:$H$6790,MATCH($B27,SINAPI_NOV2020_NDES!$A$7:$A$6790,0),3),(INDEX(COMPOS!$A$4:$G$5000,MATCH($B27,COMPOS!$A$4:$A$5000,0),3))))</f>
        <v>UN</v>
      </c>
      <c r="E27" s="276">
        <v>9</v>
      </c>
      <c r="F27" s="303">
        <f>(IF($A27="SINAPI",INDEX(SINAPI_NOV2020_NDES!$A$7:$H$6703,MATCH($B27,SINAPI_NOV2020_NDES!$A$7:$A$6703,0),5),(INDEX(COMPOS!$A$4:$G$801,MATCH($B27,COMPOS!$A$4:A$801,0),4))))</f>
        <v>8.7899999999999991</v>
      </c>
      <c r="G27" s="314">
        <f>(IF($A27="SINAPI",INDEX(SINAPI_NOV2020_NDES!$A$7:$H$6703,MATCH($B27,SINAPI_NOV2020_NDES!$A$7:$A$6703,0),6),(INDEX(COMPOS!$A$4:$G$801,MATCH($B27,COMPOS!$A$4:A$801,0),5))))</f>
        <v>9.4499999999999993</v>
      </c>
      <c r="H27" s="315">
        <f>(IF($A27="SINAPI",INDEX(SINAPI_NOV2020_NDES!$A$7:$H$6703,MATCH($B27,SINAPI_NOV2020_NDES!$A$7:$A$6703,0),7),(INDEX(COMPOS!$A$4:$G$801,MATCH($B27,COMPOS!$A$4:A$801,0),6))))</f>
        <v>0</v>
      </c>
      <c r="I27" s="315">
        <f t="shared" si="6"/>
        <v>18.239999999999998</v>
      </c>
      <c r="J27" s="280">
        <f t="shared" si="7"/>
        <v>164.16</v>
      </c>
      <c r="K27" s="255"/>
      <c r="L27" s="255"/>
      <c r="M27" s="255"/>
      <c r="N27" s="255"/>
      <c r="O27" s="257"/>
      <c r="P27" s="257"/>
    </row>
    <row r="28" spans="1:16" ht="24">
      <c r="A28" s="251" t="s">
        <v>7</v>
      </c>
      <c r="B28" s="290">
        <v>91959</v>
      </c>
      <c r="C28" s="282" t="str">
        <f>(IF($A28="SINAPI",INDEX(SINAPI_NOV2020_NDES!$A$7:$H$6703,MATCH($B28,SINAPI_NOV2020_NDES!$A$7:$A$6703,0),2),IF($A28="GOINFRA",INDEX(#REF!,MATCH($B28,#REF!,0),2),(INDEX(COMPOS!$A$4:$G$390,MATCH($B28,COMPOS!$A$4:A$390,0),2)))))</f>
        <v>INTERRUPTOR SIMPLES (2 MÓDULOS), 10A/250V, INCLUINDO SUPORTE E PLACA - FORNECIMENTO E INSTALAÇÃO. AF_12/2015</v>
      </c>
      <c r="D28" s="274" t="str">
        <f>(IF($A28="SINAPI",INDEX(SINAPI_NOV2020_NDES!$A$7:$H$6790,MATCH($B28,SINAPI_NOV2020_NDES!$A$7:$A$6790,0),3),(INDEX(COMPOS!$A$4:$G$5000,MATCH($B28,COMPOS!$A$4:$A$5000,0),3))))</f>
        <v>UN</v>
      </c>
      <c r="E28" s="276">
        <v>5</v>
      </c>
      <c r="F28" s="303">
        <f>(IF($A28="SINAPI",INDEX(SINAPI_NOV2020_NDES!$A$7:$H$6703,MATCH($B28,SINAPI_NOV2020_NDES!$A$7:$A$6703,0),5),(INDEX(COMPOS!$A$4:$G$801,MATCH($B28,COMPOS!$A$4:A$801,0),4))))</f>
        <v>13.65</v>
      </c>
      <c r="G28" s="314">
        <f>(IF($A28="SINAPI",INDEX(SINAPI_NOV2020_NDES!$A$7:$H$6703,MATCH($B28,SINAPI_NOV2020_NDES!$A$7:$A$6703,0),6),(INDEX(COMPOS!$A$4:$G$801,MATCH($B28,COMPOS!$A$4:A$801,0),5))))</f>
        <v>15.13</v>
      </c>
      <c r="H28" s="315">
        <f>(IF($A28="SINAPI",INDEX(SINAPI_NOV2020_NDES!$A$7:$H$6703,MATCH($B28,SINAPI_NOV2020_NDES!$A$7:$A$6703,0),7),(INDEX(COMPOS!$A$4:$G$801,MATCH($B28,COMPOS!$A$4:A$801,0),6))))</f>
        <v>0</v>
      </c>
      <c r="I28" s="315">
        <f t="shared" si="6"/>
        <v>28.78</v>
      </c>
      <c r="J28" s="280">
        <f t="shared" si="7"/>
        <v>143.9</v>
      </c>
      <c r="K28" s="255"/>
      <c r="L28" s="255"/>
      <c r="M28" s="255"/>
      <c r="N28" s="255"/>
      <c r="O28" s="257"/>
      <c r="P28" s="257"/>
    </row>
    <row r="29" spans="1:16">
      <c r="A29" s="251" t="s">
        <v>6307</v>
      </c>
      <c r="B29" s="290">
        <v>724</v>
      </c>
      <c r="C29" s="282" t="str">
        <f>(IF($A29="SINAPI",INDEX(SINAPI_NOV2020_NDES!$A$7:$H$6703,MATCH($B29,SINAPI_NOV2020_NDES!$A$7:$A$6703,0),2),IF($A29="GOINFRA",INDEX(#REF!,MATCH($B29,#REF!,0),2),(INDEX(COMPOS!$A$4:$G$390,MATCH($B29,COMPOS!$A$4:A$390,0),2)))))</f>
        <v>INTERRUPTOR DIFERENCIAL RESIDUAL (D.R.) TETRAPOLAR DE 40A-30mA</v>
      </c>
      <c r="D29" s="274" t="str">
        <f>(IF($A29="SINAPI",INDEX(SINAPI_NOV2020_NDES!$A$7:$H$6790,MATCH($B29,SINAPI_NOV2020_NDES!$A$7:$A$6790,0),3),(INDEX(COMPOS!$A$4:$G$5000,MATCH($B29,COMPOS!$A$4:$A$5000,0),3))))</f>
        <v>UN</v>
      </c>
      <c r="E29" s="276">
        <v>3</v>
      </c>
      <c r="F29" s="303">
        <f>(IF($A29="SINAPI",INDEX(SINAPI_NOV2020_NDES!$A$7:$H$6703,MATCH($B29,SINAPI_NOV2020_NDES!$A$7:$A$6703,0),5),(INDEX(COMPOS!$A$4:$G$801,MATCH($B29,COMPOS!$A$4:A$801,0),4))))</f>
        <v>38.629999999999995</v>
      </c>
      <c r="G29" s="314">
        <f>(IF($A29="SINAPI",INDEX(SINAPI_NOV2020_NDES!$A$7:$H$6703,MATCH($B29,SINAPI_NOV2020_NDES!$A$7:$A$6703,0),6),(INDEX(COMPOS!$A$4:$G$801,MATCH($B29,COMPOS!$A$4:A$801,0),5))))</f>
        <v>147.75</v>
      </c>
      <c r="H29" s="315">
        <f>(IF($A29="SINAPI",INDEX(SINAPI_NOV2020_NDES!$A$7:$H$6703,MATCH($B29,SINAPI_NOV2020_NDES!$A$7:$A$6703,0),7),(INDEX(COMPOS!$A$4:$G$801,MATCH($B29,COMPOS!$A$4:A$801,0),6))))</f>
        <v>0</v>
      </c>
      <c r="I29" s="315">
        <f t="shared" si="6"/>
        <v>186.38</v>
      </c>
      <c r="J29" s="280">
        <f t="shared" si="7"/>
        <v>559.14</v>
      </c>
      <c r="K29" s="255"/>
      <c r="L29" s="255"/>
      <c r="M29" s="255"/>
      <c r="N29" s="255"/>
      <c r="O29" s="257"/>
      <c r="P29" s="257"/>
    </row>
    <row r="30" spans="1:16">
      <c r="A30" s="251" t="s">
        <v>6307</v>
      </c>
      <c r="B30" s="290">
        <v>748</v>
      </c>
      <c r="C30" s="282" t="str">
        <f>(IF($A30="SINAPI",INDEX(SINAPI_NOV2020_NDES!$A$7:$H$6703,MATCH($B30,SINAPI_NOV2020_NDES!$A$7:$A$6703,0),2),IF($A30="GOINFRA",INDEX(#REF!,MATCH($B30,#REF!,0),2),(INDEX(COMPOS!$A$4:$G$390,MATCH($B30,COMPOS!$A$4:A$390,0),2)))))</f>
        <v>TOMADA HEXAGONAL 2P + T - 20A - 250V (LINHA X OU EQUIVALENTE)</v>
      </c>
      <c r="D30" s="274" t="str">
        <f>(IF($A30="SINAPI",INDEX(SINAPI_NOV2020_NDES!$A$7:$H$6790,MATCH($B30,SINAPI_NOV2020_NDES!$A$7:$A$6790,0),3),(INDEX(COMPOS!$A$4:$G$5000,MATCH($B30,COMPOS!$A$4:$A$5000,0),3))))</f>
        <v>UN</v>
      </c>
      <c r="E30" s="276">
        <v>1</v>
      </c>
      <c r="F30" s="303">
        <f>(IF($A30="SINAPI",INDEX(SINAPI_NOV2020_NDES!$A$7:$H$6703,MATCH($B30,SINAPI_NOV2020_NDES!$A$7:$A$6703,0),5),(INDEX(COMPOS!$A$4:$G$801,MATCH($B30,COMPOS!$A$4:A$801,0),4))))</f>
        <v>11.2027</v>
      </c>
      <c r="G30" s="314">
        <f>(IF($A30="SINAPI",INDEX(SINAPI_NOV2020_NDES!$A$7:$H$6703,MATCH($B30,SINAPI_NOV2020_NDES!$A$7:$A$6703,0),6),(INDEX(COMPOS!$A$4:$G$801,MATCH($B30,COMPOS!$A$4:A$801,0),5))))</f>
        <v>10.58</v>
      </c>
      <c r="H30" s="315">
        <f>(IF($A30="SINAPI",INDEX(SINAPI_NOV2020_NDES!$A$7:$H$6703,MATCH($B30,SINAPI_NOV2020_NDES!$A$7:$A$6703,0),7),(INDEX(COMPOS!$A$4:$G$801,MATCH($B30,COMPOS!$A$4:A$801,0),6))))</f>
        <v>0</v>
      </c>
      <c r="I30" s="315">
        <f t="shared" si="6"/>
        <v>21.782699999999998</v>
      </c>
      <c r="J30" s="280">
        <f t="shared" si="7"/>
        <v>21.782699999999998</v>
      </c>
      <c r="K30" s="255"/>
      <c r="L30" s="255"/>
      <c r="M30" s="255"/>
      <c r="N30" s="255"/>
      <c r="O30" s="257"/>
      <c r="P30" s="257"/>
    </row>
    <row r="31" spans="1:16" ht="24">
      <c r="A31" s="251" t="s">
        <v>7</v>
      </c>
      <c r="B31" s="290">
        <v>91996</v>
      </c>
      <c r="C31" s="282" t="str">
        <f>(IF($A31="SINAPI",INDEX(SINAPI_NOV2020_NDES!$A$7:$H$6703,MATCH($B31,SINAPI_NOV2020_NDES!$A$7:$A$6703,0),2),IF($A31="GOINFRA",INDEX(#REF!,MATCH($B31,#REF!,0),2),(INDEX(COMPOS!$A$4:$G$390,MATCH($B31,COMPOS!$A$4:A$390,0),2)))))</f>
        <v>TOMADA MÉDIA DE EMBUTIR (1 MÓDULO), 2P+T 10 A, INCLUINDO SUPORTE E PLACA - FORNECIMENTO E INSTALAÇÃO. AF_12/2015</v>
      </c>
      <c r="D31" s="274" t="str">
        <f>(IF($A31="SINAPI",INDEX(SINAPI_NOV2020_NDES!$A$7:$H$6790,MATCH($B31,SINAPI_NOV2020_NDES!$A$7:$A$6790,0),3),(INDEX(COMPOS!$A$4:$G$5000,MATCH($B31,COMPOS!$A$4:$A$5000,0),3))))</f>
        <v>UN</v>
      </c>
      <c r="E31" s="276">
        <v>24</v>
      </c>
      <c r="F31" s="303">
        <f>(IF($A31="SINAPI",INDEX(SINAPI_NOV2020_NDES!$A$7:$H$6703,MATCH($B31,SINAPI_NOV2020_NDES!$A$7:$A$6703,0),5),(INDEX(COMPOS!$A$4:$G$801,MATCH($B31,COMPOS!$A$4:A$801,0),4))))</f>
        <v>11.25</v>
      </c>
      <c r="G31" s="314">
        <f>(IF($A31="SINAPI",INDEX(SINAPI_NOV2020_NDES!$A$7:$H$6703,MATCH($B31,SINAPI_NOV2020_NDES!$A$7:$A$6703,0),6),(INDEX(COMPOS!$A$4:$G$801,MATCH($B31,COMPOS!$A$4:A$801,0),5))))</f>
        <v>10.78</v>
      </c>
      <c r="H31" s="315">
        <f>(IF($A31="SINAPI",INDEX(SINAPI_NOV2020_NDES!$A$7:$H$6703,MATCH($B31,SINAPI_NOV2020_NDES!$A$7:$A$6703,0),7),(INDEX(COMPOS!$A$4:$G$801,MATCH($B31,COMPOS!$A$4:A$801,0),6))))</f>
        <v>0</v>
      </c>
      <c r="I31" s="315">
        <f t="shared" si="6"/>
        <v>22.03</v>
      </c>
      <c r="J31" s="280">
        <f t="shared" si="7"/>
        <v>528.72</v>
      </c>
      <c r="K31" s="255"/>
      <c r="L31" s="255"/>
      <c r="M31" s="255"/>
      <c r="N31" s="255"/>
      <c r="O31" s="257"/>
      <c r="P31" s="257"/>
    </row>
    <row r="32" spans="1:16">
      <c r="A32" s="251" t="s">
        <v>6307</v>
      </c>
      <c r="B32" s="290">
        <v>315</v>
      </c>
      <c r="C32" s="282" t="str">
        <f>(IF($A32="SINAPI",INDEX(SINAPI_NOV2020_NDES!$A$7:$H$6703,MATCH($B32,SINAPI_NOV2020_NDES!$A$7:$A$6703,0),2),IF($A32="GOINFRA",INDEX(#REF!,MATCH($B32,#REF!,0),2),(INDEX(COMPOS!$A$4:$G$390,MATCH($B32,COMPOS!$A$4:A$390,0),2)))))</f>
        <v>LUMINÁRIA HERMÉTICA IP-65, PARA 02 LÂMPADAS</v>
      </c>
      <c r="D32" s="274" t="str">
        <f>(IF($A32="SINAPI",INDEX(SINAPI_NOV2020_NDES!$A$7:$H$6790,MATCH($B32,SINAPI_NOV2020_NDES!$A$7:$A$6790,0),3),(INDEX(COMPOS!$A$4:$G$5000,MATCH($B32,COMPOS!$A$4:$A$5000,0),3))))</f>
        <v>UN</v>
      </c>
      <c r="E32" s="276">
        <v>18</v>
      </c>
      <c r="F32" s="303">
        <f>(IF($A32="SINAPI",INDEX(SINAPI_NOV2020_NDES!$A$7:$H$6703,MATCH($B32,SINAPI_NOV2020_NDES!$A$7:$A$6703,0),5),(INDEX(COMPOS!$A$4:$G$801,MATCH($B32,COMPOS!$A$4:A$801,0),4))))</f>
        <v>25.132678000000002</v>
      </c>
      <c r="G32" s="314">
        <f>(IF($A32="SINAPI",INDEX(SINAPI_NOV2020_NDES!$A$7:$H$6703,MATCH($B32,SINAPI_NOV2020_NDES!$A$7:$A$6703,0),6),(INDEX(COMPOS!$A$4:$G$801,MATCH($B32,COMPOS!$A$4:A$801,0),5))))</f>
        <v>107.03</v>
      </c>
      <c r="H32" s="315">
        <f>(IF($A32="SINAPI",INDEX(SINAPI_NOV2020_NDES!$A$7:$H$6703,MATCH($B32,SINAPI_NOV2020_NDES!$A$7:$A$6703,0),7),(INDEX(COMPOS!$A$4:$G$801,MATCH($B32,COMPOS!$A$4:A$801,0),6))))</f>
        <v>0</v>
      </c>
      <c r="I32" s="315">
        <f t="shared" si="6"/>
        <v>132.162678</v>
      </c>
      <c r="J32" s="280">
        <f t="shared" si="7"/>
        <v>2378.9282039999998</v>
      </c>
      <c r="K32" s="255"/>
      <c r="L32" s="255"/>
      <c r="M32" s="255"/>
      <c r="N32" s="255"/>
      <c r="O32" s="257"/>
      <c r="P32" s="257"/>
    </row>
    <row r="33" spans="1:16" ht="24">
      <c r="A33" s="251" t="s">
        <v>7</v>
      </c>
      <c r="B33" s="290">
        <v>97592</v>
      </c>
      <c r="C33" s="282" t="str">
        <f>(IF($A33="SINAPI",INDEX(SINAPI_NOV2020_NDES!$A$7:$H$6703,MATCH($B33,SINAPI_NOV2020_NDES!$A$7:$A$6703,0),2),IF($A33="GOINFRA",INDEX(#REF!,MATCH($B33,#REF!,0),2),(INDEX(COMPOS!$A$4:$G$390,MATCH($B33,COMPOS!$A$4:A$390,0),2)))))</f>
        <v>LUMINÁRIA TIPO PLAFON, DE SOBREPOR, COM 1 LÂMPADA LED DE 12/13 W, SEM REATOR - FORNECIMENTO E INSTALAÇÃO. AF_02/2020</v>
      </c>
      <c r="D33" s="274" t="str">
        <f>(IF($A33="SINAPI",INDEX(SINAPI_NOV2020_NDES!$A$7:$H$6790,MATCH($B33,SINAPI_NOV2020_NDES!$A$7:$A$6790,0),3),(INDEX(COMPOS!$A$4:$G$5000,MATCH($B33,COMPOS!$A$4:$A$5000,0),3))))</f>
        <v>UN</v>
      </c>
      <c r="E33" s="276">
        <v>9</v>
      </c>
      <c r="F33" s="303">
        <f>(IF($A33="SINAPI",INDEX(SINAPI_NOV2020_NDES!$A$7:$H$6703,MATCH($B33,SINAPI_NOV2020_NDES!$A$7:$A$6703,0),5),(INDEX(COMPOS!$A$4:$G$801,MATCH($B33,COMPOS!$A$4:A$801,0),4))))</f>
        <v>11.98</v>
      </c>
      <c r="G33" s="314">
        <f>(IF($A33="SINAPI",INDEX(SINAPI_NOV2020_NDES!$A$7:$H$6703,MATCH($B33,SINAPI_NOV2020_NDES!$A$7:$A$6703,0),6),(INDEX(COMPOS!$A$4:$G$801,MATCH($B33,COMPOS!$A$4:A$801,0),5))))</f>
        <v>23.99</v>
      </c>
      <c r="H33" s="315">
        <f>(IF($A33="SINAPI",INDEX(SINAPI_NOV2020_NDES!$A$7:$H$6703,MATCH($B33,SINAPI_NOV2020_NDES!$A$7:$A$6703,0),7),(INDEX(COMPOS!$A$4:$G$801,MATCH($B33,COMPOS!$A$4:A$801,0),6))))</f>
        <v>0</v>
      </c>
      <c r="I33" s="315">
        <f t="shared" si="6"/>
        <v>35.97</v>
      </c>
      <c r="J33" s="280">
        <f t="shared" si="7"/>
        <v>323.73</v>
      </c>
      <c r="K33" s="255"/>
      <c r="L33" s="255"/>
      <c r="M33" s="255"/>
      <c r="N33" s="255"/>
      <c r="O33" s="257"/>
      <c r="P33" s="257"/>
    </row>
    <row r="34" spans="1:16" ht="24">
      <c r="A34" s="251" t="s">
        <v>7</v>
      </c>
      <c r="B34" s="290">
        <v>100902</v>
      </c>
      <c r="C34" s="282" t="str">
        <f>(IF($A34="SINAPI",INDEX(SINAPI_NOV2020_NDES!$A$7:$H$6703,MATCH($B34,SINAPI_NOV2020_NDES!$A$7:$A$6703,0),2),IF($A34="GOINFRA",INDEX(#REF!,MATCH($B34,#REF!,0),2),(INDEX(COMPOS!$A$4:$G$390,MATCH($B34,COMPOS!$A$4:A$390,0),2)))))</f>
        <v>LÂMPADA TUBULAR LED DE 9/10 W, BASE G13 - FORNECIMENTO E INSTALAÇÃO. AF_02/2020_P</v>
      </c>
      <c r="D34" s="274" t="str">
        <f>(IF($A34="SINAPI",INDEX(SINAPI_NOV2020_NDES!$A$7:$H$6790,MATCH($B34,SINAPI_NOV2020_NDES!$A$7:$A$6790,0),3),(INDEX(COMPOS!$A$4:$G$5000,MATCH($B34,COMPOS!$A$4:$A$5000,0),3))))</f>
        <v>UN</v>
      </c>
      <c r="E34" s="276">
        <v>36</v>
      </c>
      <c r="F34" s="303">
        <f>(IF($A34="SINAPI",INDEX(SINAPI_NOV2020_NDES!$A$7:$H$6703,MATCH($B34,SINAPI_NOV2020_NDES!$A$7:$A$6703,0),5),(INDEX(COMPOS!$A$4:$G$801,MATCH($B34,COMPOS!$A$4:A$801,0),4))))</f>
        <v>5.54</v>
      </c>
      <c r="G34" s="314">
        <f>(IF($A34="SINAPI",INDEX(SINAPI_NOV2020_NDES!$A$7:$H$6703,MATCH($B34,SINAPI_NOV2020_NDES!$A$7:$A$6703,0),6),(INDEX(COMPOS!$A$4:$G$801,MATCH($B34,COMPOS!$A$4:A$801,0),5))))</f>
        <v>18.260000000000002</v>
      </c>
      <c r="H34" s="315">
        <f>(IF($A34="SINAPI",INDEX(SINAPI_NOV2020_NDES!$A$7:$H$6703,MATCH($B34,SINAPI_NOV2020_NDES!$A$7:$A$6703,0),7),(INDEX(COMPOS!$A$4:$G$801,MATCH($B34,COMPOS!$A$4:A$801,0),6))))</f>
        <v>0</v>
      </c>
      <c r="I34" s="315">
        <f t="shared" si="6"/>
        <v>23.8</v>
      </c>
      <c r="J34" s="280">
        <f t="shared" si="7"/>
        <v>856.80000000000007</v>
      </c>
      <c r="K34" s="255"/>
      <c r="L34" s="255"/>
      <c r="M34" s="255"/>
      <c r="N34" s="255"/>
      <c r="O34" s="257"/>
      <c r="P34" s="257"/>
    </row>
    <row r="35" spans="1:16">
      <c r="A35" s="251" t="s">
        <v>6307</v>
      </c>
      <c r="B35" s="290">
        <v>778</v>
      </c>
      <c r="C35" s="282" t="str">
        <f>(IF($A35="SINAPI",INDEX(SINAPI_NOV2020_NDES!$A$7:$H$6703,MATCH($B35,SINAPI_NOV2020_NDES!$A$7:$A$6703,0),2),IF($A35="GOINFRA",INDEX(#REF!,MATCH($B35,#REF!,0),2),(INDEX(COMPOS!$A$4:$G$390,MATCH($B35,COMPOS!$A$4:A$390,0),2)))))</f>
        <v>QUADRO DE DISTRIBUIÇÃO DE EMBUTIR METÁLICO CB-70E - 225A</v>
      </c>
      <c r="D35" s="274" t="str">
        <f>(IF($A35="SINAPI",INDEX(SINAPI_NOV2020_NDES!$A$7:$H$6790,MATCH($B35,SINAPI_NOV2020_NDES!$A$7:$A$6790,0),3),(INDEX(COMPOS!$A$4:$G$5000,MATCH($B35,COMPOS!$A$4:$A$5000,0),3))))</f>
        <v>UN</v>
      </c>
      <c r="E35" s="276">
        <v>1</v>
      </c>
      <c r="F35" s="303">
        <f>(IF($A35="SINAPI",INDEX(SINAPI_NOV2020_NDES!$A$7:$H$6703,MATCH($B35,SINAPI_NOV2020_NDES!$A$7:$A$6703,0),5),(INDEX(COMPOS!$A$4:$G$801,MATCH($B35,COMPOS!$A$4:A$801,0),4))))</f>
        <v>231.78</v>
      </c>
      <c r="G35" s="314">
        <f>(IF($A35="SINAPI",INDEX(SINAPI_NOV2020_NDES!$A$7:$H$6703,MATCH($B35,SINAPI_NOV2020_NDES!$A$7:$A$6703,0),6),(INDEX(COMPOS!$A$4:$G$801,MATCH($B35,COMPOS!$A$4:A$801,0),5))))</f>
        <v>787.78</v>
      </c>
      <c r="H35" s="315">
        <f>(IF($A35="SINAPI",INDEX(SINAPI_NOV2020_NDES!$A$7:$H$6703,MATCH($B35,SINAPI_NOV2020_NDES!$A$7:$A$6703,0),7),(INDEX(COMPOS!$A$4:$G$801,MATCH($B35,COMPOS!$A$4:A$801,0),6))))</f>
        <v>0</v>
      </c>
      <c r="I35" s="315">
        <f t="shared" si="6"/>
        <v>1019.56</v>
      </c>
      <c r="J35" s="280">
        <f t="shared" si="7"/>
        <v>1019.56</v>
      </c>
      <c r="K35" s="255"/>
      <c r="L35" s="255"/>
      <c r="M35" s="255"/>
      <c r="N35" s="255"/>
      <c r="O35" s="257"/>
      <c r="P35" s="257"/>
    </row>
    <row r="36" spans="1:16" s="14" customFormat="1" ht="36" customHeight="1">
      <c r="A36" s="251"/>
      <c r="B36" s="290"/>
      <c r="C36" s="273" t="s">
        <v>6967</v>
      </c>
      <c r="D36" s="274"/>
      <c r="E36" s="276"/>
      <c r="F36" s="276"/>
      <c r="G36" s="276"/>
      <c r="H36" s="276"/>
      <c r="I36" s="280"/>
      <c r="J36" s="280"/>
      <c r="K36" s="255"/>
      <c r="L36" s="255"/>
      <c r="M36" s="255"/>
      <c r="N36" s="255"/>
      <c r="O36" s="257"/>
      <c r="P36" s="257"/>
    </row>
    <row r="37" spans="1:16" s="14" customFormat="1" ht="24">
      <c r="A37" s="251" t="s">
        <v>6307</v>
      </c>
      <c r="B37" s="290">
        <v>244</v>
      </c>
      <c r="C37" s="282" t="str">
        <f>(IF($A37="SINAPI",INDEX(SINAPI_NOV2020_NDES!$A$7:$H$6703,MATCH($B37,SINAPI_NOV2020_NDES!$A$7:$A$6703,0),2),IF($A37="GOINFRA",INDEX(#REF!,MATCH($B37,#REF!,0),2),(INDEX(COMPOS!$A$4:$G$3900,MATCH($B37,COMPOS!$A$4:A$3900,0),2)))))</f>
        <v>ARAME GALVANIZADO 12 BWG, D = 2,76 MM (0,048 KG/M) OU 14 BWG, D = 2,11 MM (0,026KG/M)</v>
      </c>
      <c r="D37" s="274" t="str">
        <f>(IF($A37="SINAPI",INDEX(SINAPI_NOV2020_NDES!$A$7:$H$6790,MATCH($B37,SINAPI_NOV2020_NDES!$A$7:$A$6790,0),3),(INDEX(COMPOS!$A$4:$G$5000,MATCH($B37,COMPOS!$A$4:$A$5000,0),3))))</f>
        <v>KG</v>
      </c>
      <c r="E37" s="276">
        <v>3</v>
      </c>
      <c r="F37" s="303">
        <f>(IF($A37="SINAPI",INDEX(SINAPI_NOV2020_NDES!$A$7:$H$6703,MATCH($B37,SINAPI_NOV2020_NDES!$A$7:$A$6703,0),5),(INDEX(COMPOS!$A$4:$G$801,MATCH($B37,COMPOS!$A$4:A$801,0),4))))</f>
        <v>35.025821000000001</v>
      </c>
      <c r="G37" s="314">
        <f>(IF($A37="SINAPI",INDEX(SINAPI_NOV2020_NDES!$A$7:$H$6703,MATCH($B37,SINAPI_NOV2020_NDES!$A$7:$A$6703,0),6),(INDEX(COMPOS!$A$4:$G$801,MATCH($B37,COMPOS!$A$4:A$801,0),5))))</f>
        <v>15</v>
      </c>
      <c r="H37" s="315">
        <f>(IF($A37="SINAPI",INDEX(SINAPI_NOV2020_NDES!$A$7:$H$6703,MATCH($B37,SINAPI_NOV2020_NDES!$A$7:$A$6703,0),7),(INDEX(COMPOS!$A$4:$G$801,MATCH($B37,COMPOS!$A$4:A$801,0),6))))</f>
        <v>0</v>
      </c>
      <c r="I37" s="315">
        <f t="shared" ref="I37" si="8">SUM(F37:H37)</f>
        <v>50.025821000000001</v>
      </c>
      <c r="J37" s="280">
        <f t="shared" ref="J37" si="9">+I37*E37</f>
        <v>150.07746299999999</v>
      </c>
      <c r="K37" s="255"/>
      <c r="L37" s="255"/>
      <c r="M37" s="255"/>
      <c r="N37" s="255"/>
      <c r="O37" s="257"/>
      <c r="P37" s="257"/>
    </row>
    <row r="38" spans="1:16" s="14" customFormat="1" ht="12">
      <c r="A38" s="251" t="s">
        <v>6307</v>
      </c>
      <c r="B38" s="290">
        <v>834</v>
      </c>
      <c r="C38" s="282" t="str">
        <f>(IF($A38="SINAPI",INDEX(SINAPI_NOV2020_NDES!$A$7:$H$6703,MATCH($B38,SINAPI_NOV2020_NDES!$A$7:$A$6703,0),2),IF($A38="GOINFRA",INDEX(#REF!,MATCH($B38,#REF!,0),2),(INDEX(COMPOS!$A$4:$G$3900,MATCH($B38,COMPOS!$A$4:A$3900,0),2)))))</f>
        <v>BLOCO BER-10 (BLOCO DE ENGATE RAPIDO)</v>
      </c>
      <c r="D38" s="274" t="str">
        <f>(IF($A38="SINAPI",INDEX(SINAPI_NOV2020_NDES!$A$7:$H$6790,MATCH($B38,SINAPI_NOV2020_NDES!$A$7:$A$6790,0),3),(INDEX(COMPOS!$A$4:$G$5000,MATCH($B38,COMPOS!$A$4:$A$5000,0),3))))</f>
        <v>UN</v>
      </c>
      <c r="E38" s="276">
        <v>16</v>
      </c>
      <c r="F38" s="303">
        <f>(IF($A38="SINAPI",INDEX(SINAPI_NOV2020_NDES!$A$7:$H$6703,MATCH($B38,SINAPI_NOV2020_NDES!$A$7:$A$6703,0),5),(INDEX(COMPOS!$A$4:$G$801,MATCH($B38,COMPOS!$A$4:A$801,0),4))))</f>
        <v>11.588999999999999</v>
      </c>
      <c r="G38" s="314">
        <f>(IF($A38="SINAPI",INDEX(SINAPI_NOV2020_NDES!$A$7:$H$6703,MATCH($B38,SINAPI_NOV2020_NDES!$A$7:$A$6703,0),6),(INDEX(COMPOS!$A$4:$G$801,MATCH($B38,COMPOS!$A$4:A$801,0),5))))</f>
        <v>13.99</v>
      </c>
      <c r="H38" s="315">
        <f>(IF($A38="SINAPI",INDEX(SINAPI_NOV2020_NDES!$A$7:$H$6703,MATCH($B38,SINAPI_NOV2020_NDES!$A$7:$A$6703,0),7),(INDEX(COMPOS!$A$4:$G$801,MATCH($B38,COMPOS!$A$4:A$801,0),6))))</f>
        <v>0</v>
      </c>
      <c r="I38" s="315">
        <f t="shared" ref="I38:I72" si="10">SUM(F38:H38)</f>
        <v>25.579000000000001</v>
      </c>
      <c r="J38" s="280">
        <f t="shared" ref="J38:J72" si="11">+I38*E38</f>
        <v>409.26400000000001</v>
      </c>
      <c r="K38" s="255"/>
      <c r="L38" s="255"/>
      <c r="M38" s="255"/>
      <c r="N38" s="255"/>
      <c r="O38" s="257"/>
      <c r="P38" s="257"/>
    </row>
    <row r="39" spans="1:16" s="14" customFormat="1" ht="12">
      <c r="A39" s="251" t="s">
        <v>6307</v>
      </c>
      <c r="B39" s="290">
        <v>370</v>
      </c>
      <c r="C39" s="282" t="str">
        <f>(IF($A39="SINAPI",INDEX(SINAPI_NOV2020_NDES!$A$7:$H$6703,MATCH($B39,SINAPI_NOV2020_NDES!$A$7:$A$6703,0),2),IF($A39="GOINFRA",INDEX(#REF!,MATCH($B39,#REF!,0),2),(INDEX(COMPOS!$A$4:$G$3900,MATCH($B39,COMPOS!$A$4:A$3900,0),2)))))</f>
        <v>BUCHA E ARRUELA METÁLICA 2''</v>
      </c>
      <c r="D39" s="274" t="str">
        <f>(IF($A39="SINAPI",INDEX(SINAPI_NOV2020_NDES!$A$7:$H$6790,MATCH($B39,SINAPI_NOV2020_NDES!$A$7:$A$6790,0),3),(INDEX(COMPOS!$A$4:$G$5000,MATCH($B39,COMPOS!$A$4:$A$5000,0),3))))</f>
        <v>PR</v>
      </c>
      <c r="E39" s="276">
        <v>15</v>
      </c>
      <c r="F39" s="303">
        <f>(IF($A39="SINAPI",INDEX(SINAPI_NOV2020_NDES!$A$7:$H$6703,MATCH($B39,SINAPI_NOV2020_NDES!$A$7:$A$6703,0),5),(INDEX(COMPOS!$A$4:$G$801,MATCH($B39,COMPOS!$A$4:A$801,0),4))))</f>
        <v>2.3178000000000001</v>
      </c>
      <c r="G39" s="314">
        <f>(IF($A39="SINAPI",INDEX(SINAPI_NOV2020_NDES!$A$7:$H$6703,MATCH($B39,SINAPI_NOV2020_NDES!$A$7:$A$6703,0),6),(INDEX(COMPOS!$A$4:$G$801,MATCH($B39,COMPOS!$A$4:A$801,0),5))))</f>
        <v>4.82</v>
      </c>
      <c r="H39" s="315">
        <f>(IF($A39="SINAPI",INDEX(SINAPI_NOV2020_NDES!$A$7:$H$6703,MATCH($B39,SINAPI_NOV2020_NDES!$A$7:$A$6703,0),7),(INDEX(COMPOS!$A$4:$G$801,MATCH($B39,COMPOS!$A$4:A$801,0),6))))</f>
        <v>0</v>
      </c>
      <c r="I39" s="315">
        <f t="shared" si="10"/>
        <v>7.1378000000000004</v>
      </c>
      <c r="J39" s="280">
        <f t="shared" si="11"/>
        <v>107.06700000000001</v>
      </c>
      <c r="K39" s="255"/>
      <c r="L39" s="255"/>
      <c r="M39" s="255"/>
      <c r="N39" s="255"/>
      <c r="O39" s="257"/>
      <c r="P39" s="257"/>
    </row>
    <row r="40" spans="1:16" s="14" customFormat="1" ht="12">
      <c r="A40" s="251" t="s">
        <v>6307</v>
      </c>
      <c r="B40" s="290">
        <v>835</v>
      </c>
      <c r="C40" s="282" t="str">
        <f>(IF($A40="SINAPI",INDEX(SINAPI_NOV2020_NDES!$A$7:$H$6703,MATCH($B40,SINAPI_NOV2020_NDES!$A$7:$A$6703,0),2),IF($A40="GOINFRA",INDEX(#REF!,MATCH($B40,#REF!,0),2),(INDEX(COMPOS!$A$4:$G$3900,MATCH($B40,COMPOS!$A$4:A$3900,0),2)))))</f>
        <v>BUCHA E ARRUELA METALICA DIAM. 1.1/4"</v>
      </c>
      <c r="D40" s="274" t="str">
        <f>(IF($A40="SINAPI",INDEX(SINAPI_NOV2020_NDES!$A$7:$H$6790,MATCH($B40,SINAPI_NOV2020_NDES!$A$7:$A$6790,0),3),(INDEX(COMPOS!$A$4:$G$5000,MATCH($B40,COMPOS!$A$4:$A$5000,0),3))))</f>
        <v>UN</v>
      </c>
      <c r="E40" s="276">
        <v>6</v>
      </c>
      <c r="F40" s="303">
        <f>(IF($A40="SINAPI",INDEX(SINAPI_NOV2020_NDES!$A$7:$H$6703,MATCH($B40,SINAPI_NOV2020_NDES!$A$7:$A$6703,0),5),(INDEX(COMPOS!$A$4:$G$801,MATCH($B40,COMPOS!$A$4:A$801,0),4))))</f>
        <v>11.588999999999999</v>
      </c>
      <c r="G40" s="314">
        <f>(IF($A40="SINAPI",INDEX(SINAPI_NOV2020_NDES!$A$7:$H$6703,MATCH($B40,SINAPI_NOV2020_NDES!$A$7:$A$6703,0),6),(INDEX(COMPOS!$A$4:$G$801,MATCH($B40,COMPOS!$A$4:A$801,0),5))))</f>
        <v>2.29</v>
      </c>
      <c r="H40" s="315">
        <f>(IF($A40="SINAPI",INDEX(SINAPI_NOV2020_NDES!$A$7:$H$6703,MATCH($B40,SINAPI_NOV2020_NDES!$A$7:$A$6703,0),7),(INDEX(COMPOS!$A$4:$G$801,MATCH($B40,COMPOS!$A$4:A$801,0),6))))</f>
        <v>0</v>
      </c>
      <c r="I40" s="315">
        <f t="shared" si="10"/>
        <v>13.878999999999998</v>
      </c>
      <c r="J40" s="280">
        <f t="shared" si="11"/>
        <v>83.273999999999987</v>
      </c>
      <c r="K40" s="255"/>
      <c r="L40" s="255"/>
      <c r="M40" s="255"/>
      <c r="N40" s="255"/>
      <c r="O40" s="257"/>
      <c r="P40" s="257"/>
    </row>
    <row r="41" spans="1:16" s="14" customFormat="1" ht="12">
      <c r="A41" s="251" t="s">
        <v>6307</v>
      </c>
      <c r="B41" s="290">
        <v>849</v>
      </c>
      <c r="C41" s="282" t="str">
        <f>(IF($A41="SINAPI",INDEX(SINAPI_NOV2020_NDES!$A$7:$H$6703,MATCH($B41,SINAPI_NOV2020_NDES!$A$7:$A$6703,0),2),IF($A41="GOINFRA",INDEX(#REF!,MATCH($B41,#REF!,0),2),(INDEX(COMPOS!$A$4:$G$3900,MATCH($B41,COMPOS!$A$4:A$3900,0),2)))))</f>
        <v>BUCHA E ARRUELA METALICA DIAM. 1/2"</v>
      </c>
      <c r="D41" s="274" t="str">
        <f>(IF($A41="SINAPI",INDEX(SINAPI_NOV2020_NDES!$A$7:$H$6790,MATCH($B41,SINAPI_NOV2020_NDES!$A$7:$A$6790,0),3),(INDEX(COMPOS!$A$4:$G$5000,MATCH($B41,COMPOS!$A$4:$A$5000,0),3))))</f>
        <v>PR</v>
      </c>
      <c r="E41" s="316">
        <v>1</v>
      </c>
      <c r="F41" s="317">
        <f>(IF($A41="SINAPI",INDEX(SINAPI_NOV2020_NDES!$A$7:$H$6703,MATCH($B41,SINAPI_NOV2020_NDES!$A$7:$A$6703,0),5),(INDEX(COMPOS!$A$4:$G$801,MATCH($B41,COMPOS!$A$4:A$801,0),4))))</f>
        <v>0.38629999999999998</v>
      </c>
      <c r="G41" s="318">
        <f>(IF($A41="SINAPI",INDEX(SINAPI_NOV2020_NDES!$A$7:$H$6703,MATCH($B41,SINAPI_NOV2020_NDES!$A$7:$A$6703,0),6),(INDEX(COMPOS!$A$4:$G$801,MATCH($B41,COMPOS!$A$4:A$801,0),5))))</f>
        <v>0.93</v>
      </c>
      <c r="H41" s="319">
        <f>(IF($A41="SINAPI",INDEX(SINAPI_NOV2020_NDES!$A$7:$H$6703,MATCH($B41,SINAPI_NOV2020_NDES!$A$7:$A$6703,0),7),(INDEX(COMPOS!$A$4:$G$801,MATCH($B41,COMPOS!$A$4:A$801,0),6))))</f>
        <v>0</v>
      </c>
      <c r="I41" s="319">
        <f t="shared" si="10"/>
        <v>1.3163</v>
      </c>
      <c r="J41" s="320">
        <f t="shared" si="11"/>
        <v>1.3163</v>
      </c>
      <c r="K41" s="255"/>
      <c r="L41" s="255"/>
      <c r="M41" s="255"/>
      <c r="N41" s="255"/>
      <c r="O41" s="257"/>
      <c r="P41" s="257"/>
    </row>
    <row r="42" spans="1:16" s="14" customFormat="1" ht="12">
      <c r="A42" s="251" t="s">
        <v>6307</v>
      </c>
      <c r="B42" s="290">
        <v>374</v>
      </c>
      <c r="C42" s="282" t="str">
        <f>(IF($A42="SINAPI",INDEX(SINAPI_NOV2020_NDES!$A$7:$H$6703,MATCH($B42,SINAPI_NOV2020_NDES!$A$7:$A$6703,0),2),IF($A42="GOINFRA",INDEX(#REF!,MATCH($B42,#REF!,0),2),(INDEX(COMPOS!$A$4:$G$3900,MATCH($B42,COMPOS!$A$4:A$3900,0),2)))))</f>
        <v>CABECOTE DE LIGA DE ALUMINIO DIAM. 3"</v>
      </c>
      <c r="D42" s="274" t="str">
        <f>(IF($A42="SINAPI",INDEX(SINAPI_NOV2020_NDES!$A$7:$H$6790,MATCH($B42,SINAPI_NOV2020_NDES!$A$7:$A$6790,0),3),(INDEX(COMPOS!$A$4:$G$5000,MATCH($B42,COMPOS!$A$4:$A$5000,0),3))))</f>
        <v>UN</v>
      </c>
      <c r="E42" s="276">
        <v>2</v>
      </c>
      <c r="F42" s="303">
        <f>(IF($A42="SINAPI",INDEX(SINAPI_NOV2020_NDES!$A$7:$H$6703,MATCH($B42,SINAPI_NOV2020_NDES!$A$7:$A$6703,0),5),(INDEX(COMPOS!$A$4:$G$801,MATCH($B42,COMPOS!$A$4:A$801,0),4))))</f>
        <v>16.610900000000001</v>
      </c>
      <c r="G42" s="314">
        <f>(IF($A42="SINAPI",INDEX(SINAPI_NOV2020_NDES!$A$7:$H$6703,MATCH($B42,SINAPI_NOV2020_NDES!$A$7:$A$6703,0),6),(INDEX(COMPOS!$A$4:$G$801,MATCH($B42,COMPOS!$A$4:A$801,0),5))))</f>
        <v>28.62</v>
      </c>
      <c r="H42" s="315">
        <f>(IF($A42="SINAPI",INDEX(SINAPI_NOV2020_NDES!$A$7:$H$6703,MATCH($B42,SINAPI_NOV2020_NDES!$A$7:$A$6703,0),7),(INDEX(COMPOS!$A$4:$G$801,MATCH($B42,COMPOS!$A$4:A$801,0),6))))</f>
        <v>0</v>
      </c>
      <c r="I42" s="315">
        <f t="shared" si="10"/>
        <v>45.230900000000005</v>
      </c>
      <c r="J42" s="280">
        <f t="shared" si="11"/>
        <v>90.461800000000011</v>
      </c>
      <c r="K42" s="255"/>
      <c r="L42" s="255"/>
      <c r="M42" s="255"/>
      <c r="N42" s="255"/>
      <c r="O42" s="257"/>
      <c r="P42" s="257"/>
    </row>
    <row r="43" spans="1:16" s="14" customFormat="1" ht="12">
      <c r="A43" s="251" t="s">
        <v>6307</v>
      </c>
      <c r="B43" s="290">
        <v>823</v>
      </c>
      <c r="C43" s="282" t="str">
        <f>(IF($A43="SINAPI",INDEX(SINAPI_NOV2020_NDES!$A$7:$H$6703,MATCH($B43,SINAPI_NOV2020_NDES!$A$7:$A$6703,0),2),IF($A43="GOINFRA",INDEX(#REF!,MATCH($B43,#REF!,0),2),(INDEX(COMPOS!$A$4:$G$3900,MATCH($B43,COMPOS!$A$4:A$3900,0),2)))))</f>
        <v>CABO DE COBRE NU No. 16 MM2 (6,94 M/KG)</v>
      </c>
      <c r="D43" s="274" t="str">
        <f>(IF($A43="SINAPI",INDEX(SINAPI_NOV2020_NDES!$A$7:$H$6790,MATCH($B43,SINAPI_NOV2020_NDES!$A$7:$A$6790,0),3),(INDEX(COMPOS!$A$4:$G$5000,MATCH($B43,COMPOS!$A$4:$A$5000,0),3))))</f>
        <v>M</v>
      </c>
      <c r="E43" s="276">
        <v>5.97</v>
      </c>
      <c r="F43" s="303">
        <f>(IF($A43="SINAPI",INDEX(SINAPI_NOV2020_NDES!$A$7:$H$6703,MATCH($B43,SINAPI_NOV2020_NDES!$A$7:$A$6703,0),5),(INDEX(COMPOS!$A$4:$G$801,MATCH($B43,COMPOS!$A$4:A$801,0),4))))</f>
        <v>3.0903999999999998</v>
      </c>
      <c r="G43" s="314">
        <f>(IF($A43="SINAPI",INDEX(SINAPI_NOV2020_NDES!$A$7:$H$6703,MATCH($B43,SINAPI_NOV2020_NDES!$A$7:$A$6703,0),6),(INDEX(COMPOS!$A$4:$G$801,MATCH($B43,COMPOS!$A$4:A$801,0),5))))</f>
        <v>6.7932000000000006</v>
      </c>
      <c r="H43" s="315">
        <f>(IF($A43="SINAPI",INDEX(SINAPI_NOV2020_NDES!$A$7:$H$6703,MATCH($B43,SINAPI_NOV2020_NDES!$A$7:$A$6703,0),7),(INDEX(COMPOS!$A$4:$G$801,MATCH($B43,COMPOS!$A$4:A$801,0),6))))</f>
        <v>0</v>
      </c>
      <c r="I43" s="315">
        <f t="shared" si="10"/>
        <v>9.8836000000000013</v>
      </c>
      <c r="J43" s="280">
        <f t="shared" si="11"/>
        <v>59.005092000000005</v>
      </c>
      <c r="K43" s="255"/>
      <c r="L43" s="255"/>
      <c r="M43" s="255"/>
      <c r="N43" s="255"/>
      <c r="O43" s="257"/>
      <c r="P43" s="257"/>
    </row>
    <row r="44" spans="1:16" s="14" customFormat="1" ht="12">
      <c r="A44" s="251" t="s">
        <v>6307</v>
      </c>
      <c r="B44" s="290">
        <v>836</v>
      </c>
      <c r="C44" s="282" t="str">
        <f>(IF($A44="SINAPI",INDEX(SINAPI_NOV2020_NDES!$A$7:$H$6703,MATCH($B44,SINAPI_NOV2020_NDES!$A$7:$A$6703,0),2),IF($A44="GOINFRA",INDEX(#REF!,MATCH($B44,#REF!,0),2),(INDEX(COMPOS!$A$4:$G$3900,MATCH($B44,COMPOS!$A$4:A$3900,0),2)))))</f>
        <v>CABO TELEFONICO CI-50,50 PARES (USO INTERNO)</v>
      </c>
      <c r="D44" s="274" t="str">
        <f>(IF($A44="SINAPI",INDEX(SINAPI_NOV2020_NDES!$A$7:$H$6790,MATCH($B44,SINAPI_NOV2020_NDES!$A$7:$A$6790,0),3),(INDEX(COMPOS!$A$4:$G$5000,MATCH($B44,COMPOS!$A$4:$A$5000,0),3))))</f>
        <v>M</v>
      </c>
      <c r="E44" s="276">
        <v>3.2</v>
      </c>
      <c r="F44" s="303">
        <f>(IF($A44="SINAPI",INDEX(SINAPI_NOV2020_NDES!$A$7:$H$6703,MATCH($B44,SINAPI_NOV2020_NDES!$A$7:$A$6703,0),5),(INDEX(COMPOS!$A$4:$G$801,MATCH($B44,COMPOS!$A$4:A$801,0),4))))</f>
        <v>6.5670999999999999</v>
      </c>
      <c r="G44" s="314">
        <f>(IF($A44="SINAPI",INDEX(SINAPI_NOV2020_NDES!$A$7:$H$6703,MATCH($B44,SINAPI_NOV2020_NDES!$A$7:$A$6703,0),6),(INDEX(COMPOS!$A$4:$G$801,MATCH($B44,COMPOS!$A$4:A$801,0),5))))</f>
        <v>21.389399999999998</v>
      </c>
      <c r="H44" s="315">
        <f>(IF($A44="SINAPI",INDEX(SINAPI_NOV2020_NDES!$A$7:$H$6703,MATCH($B44,SINAPI_NOV2020_NDES!$A$7:$A$6703,0),7),(INDEX(COMPOS!$A$4:$G$801,MATCH($B44,COMPOS!$A$4:A$801,0),6))))</f>
        <v>0</v>
      </c>
      <c r="I44" s="315">
        <f t="shared" si="10"/>
        <v>27.956499999999998</v>
      </c>
      <c r="J44" s="280">
        <f t="shared" si="11"/>
        <v>89.460800000000006</v>
      </c>
      <c r="K44" s="255"/>
      <c r="L44" s="255"/>
      <c r="M44" s="255"/>
      <c r="N44" s="255"/>
      <c r="O44" s="257"/>
      <c r="P44" s="257"/>
    </row>
    <row r="45" spans="1:16" s="14" customFormat="1" ht="12">
      <c r="A45" s="251" t="s">
        <v>6307</v>
      </c>
      <c r="B45" s="290">
        <v>829</v>
      </c>
      <c r="C45" s="282" t="str">
        <f>(IF($A45="SINAPI",INDEX(SINAPI_NOV2020_NDES!$A$7:$H$6703,MATCH($B45,SINAPI_NOV2020_NDES!$A$7:$A$6703,0),2),IF($A45="GOINFRA",INDEX(#REF!,MATCH($B45,#REF!,0),2),(INDEX(COMPOS!$A$4:$G$3900,MATCH($B45,COMPOS!$A$4:A$3900,0),2)))))</f>
        <v>CABO TELEFON. CTP-APL-50 DE 20 PARES (USO EXTERNO)</v>
      </c>
      <c r="D45" s="274" t="str">
        <f>(IF($A45="SINAPI",INDEX(SINAPI_NOV2020_NDES!$A$7:$H$6790,MATCH($B45,SINAPI_NOV2020_NDES!$A$7:$A$6790,0),3),(INDEX(COMPOS!$A$4:$G$5000,MATCH($B45,COMPOS!$A$4:$A$5000,0),3))))</f>
        <v>M</v>
      </c>
      <c r="E45" s="276">
        <v>149</v>
      </c>
      <c r="F45" s="303">
        <f>(IF($A45="SINAPI",INDEX(SINAPI_NOV2020_NDES!$A$7:$H$6703,MATCH($B45,SINAPI_NOV2020_NDES!$A$7:$A$6703,0),5),(INDEX(COMPOS!$A$4:$G$801,MATCH($B45,COMPOS!$A$4:A$801,0),4))))</f>
        <v>4.0561499999999997</v>
      </c>
      <c r="G45" s="314">
        <f>(IF($A45="SINAPI",INDEX(SINAPI_NOV2020_NDES!$A$7:$H$6703,MATCH($B45,SINAPI_NOV2020_NDES!$A$7:$A$6703,0),6),(INDEX(COMPOS!$A$4:$G$801,MATCH($B45,COMPOS!$A$4:A$801,0),5))))</f>
        <v>10.312199999999999</v>
      </c>
      <c r="H45" s="315">
        <f>(IF($A45="SINAPI",INDEX(SINAPI_NOV2020_NDES!$A$7:$H$6703,MATCH($B45,SINAPI_NOV2020_NDES!$A$7:$A$6703,0),7),(INDEX(COMPOS!$A$4:$G$801,MATCH($B45,COMPOS!$A$4:A$801,0),6))))</f>
        <v>0</v>
      </c>
      <c r="I45" s="315">
        <f t="shared" si="10"/>
        <v>14.36835</v>
      </c>
      <c r="J45" s="280">
        <f t="shared" si="11"/>
        <v>2140.8841499999999</v>
      </c>
      <c r="K45" s="255"/>
      <c r="L45" s="255"/>
      <c r="M45" s="255"/>
      <c r="N45" s="255"/>
      <c r="O45" s="257"/>
      <c r="P45" s="257"/>
    </row>
    <row r="46" spans="1:16" s="14" customFormat="1" ht="24">
      <c r="A46" s="251" t="s">
        <v>6307</v>
      </c>
      <c r="B46" s="290">
        <v>453</v>
      </c>
      <c r="C46" s="282" t="str">
        <f>(IF($A46="SINAPI",INDEX(SINAPI_NOV2020_NDES!$A$7:$H$6703,MATCH($B46,SINAPI_NOV2020_NDES!$A$7:$A$6703,0),2),IF($A46="GOINFRA",INDEX(#REF!,MATCH($B46,#REF!,0),2),(INDEX(COMPOS!$A$4:$G$3900,MATCH($B46,COMPOS!$A$4:A$3900,0),2)))))</f>
        <v>CABO TELEFONICO CTP-APL-50, 50 PARES (USO EXTERNO)- FORNECIMENTO E INSTALAÇÃO</v>
      </c>
      <c r="D46" s="274" t="str">
        <f>(IF($A46="SINAPI",INDEX(SINAPI_NOV2020_NDES!$A$7:$H$6790,MATCH($B46,SINAPI_NOV2020_NDES!$A$7:$A$6790,0),3),(INDEX(COMPOS!$A$4:$G$5000,MATCH($B46,COMPOS!$A$4:$A$5000,0),3))))</f>
        <v>M</v>
      </c>
      <c r="E46" s="276">
        <v>27.8</v>
      </c>
      <c r="F46" s="303">
        <f>(IF($A46="SINAPI",INDEX(SINAPI_NOV2020_NDES!$A$7:$H$6703,MATCH($B46,SINAPI_NOV2020_NDES!$A$7:$A$6703,0),5),(INDEX(COMPOS!$A$4:$G$801,MATCH($B46,COMPOS!$A$4:A$801,0),4))))</f>
        <v>8.1702449999999995</v>
      </c>
      <c r="G46" s="314">
        <f>(IF($A46="SINAPI",INDEX(SINAPI_NOV2020_NDES!$A$7:$H$6703,MATCH($B46,SINAPI_NOV2020_NDES!$A$7:$A$6703,0),6),(INDEX(COMPOS!$A$4:$G$801,MATCH($B46,COMPOS!$A$4:A$801,0),5))))</f>
        <v>22.512000000000004</v>
      </c>
      <c r="H46" s="315">
        <f>(IF($A46="SINAPI",INDEX(SINAPI_NOV2020_NDES!$A$7:$H$6703,MATCH($B46,SINAPI_NOV2020_NDES!$A$7:$A$6703,0),7),(INDEX(COMPOS!$A$4:$G$801,MATCH($B46,COMPOS!$A$4:A$801,0),6))))</f>
        <v>0</v>
      </c>
      <c r="I46" s="315">
        <f t="shared" si="10"/>
        <v>30.682245000000002</v>
      </c>
      <c r="J46" s="280">
        <f t="shared" si="11"/>
        <v>852.96641100000011</v>
      </c>
      <c r="K46" s="255"/>
      <c r="L46" s="255"/>
      <c r="M46" s="255"/>
      <c r="N46" s="255"/>
      <c r="O46" s="257"/>
      <c r="P46" s="257"/>
    </row>
    <row r="47" spans="1:16" s="14" customFormat="1" ht="24">
      <c r="A47" s="251" t="s">
        <v>7</v>
      </c>
      <c r="B47" s="290">
        <v>98295</v>
      </c>
      <c r="C47" s="282" t="str">
        <f>(IF($A47="SINAPI",INDEX(SINAPI_NOV2020_NDES!$A$7:$H$6703,MATCH($B47,SINAPI_NOV2020_NDES!$A$7:$A$6703,0),2),IF($A47="GOINFRA",INDEX(#REF!,MATCH($B47,#REF!,0),2),(INDEX(COMPOS!$A$4:$G$3900,MATCH($B47,COMPOS!$A$4:A$3900,0),2)))))</f>
        <v>CABO ELETRÔNICO CATEGORIA 5E, INSTALADO EM EDIFICAÇÃO INSTITUCIONAL - FORNECIMENTO E INSTALAÇÃO. AF_11/2019</v>
      </c>
      <c r="D47" s="274" t="str">
        <f>(IF($A47="SINAPI",INDEX(SINAPI_NOV2020_NDES!$A$7:$H$6790,MATCH($B47,SINAPI_NOV2020_NDES!$A$7:$A$6790,0),3),(INDEX(COMPOS!$A$4:$G$5000,MATCH($B47,COMPOS!$A$4:$A$5000,0),3))))</f>
        <v>M</v>
      </c>
      <c r="E47" s="276">
        <v>92</v>
      </c>
      <c r="F47" s="303">
        <f>(IF($A47="SINAPI",INDEX(SINAPI_NOV2020_NDES!$A$7:$H$6703,MATCH($B47,SINAPI_NOV2020_NDES!$A$7:$A$6703,0),5),(INDEX(COMPOS!$A$4:$G$801,MATCH($B47,COMPOS!$A$4:A$801,0),4))))</f>
        <v>7.0000000000000007E-2</v>
      </c>
      <c r="G47" s="314">
        <f>(IF($A47="SINAPI",INDEX(SINAPI_NOV2020_NDES!$A$7:$H$6703,MATCH($B47,SINAPI_NOV2020_NDES!$A$7:$A$6703,0),6),(INDEX(COMPOS!$A$4:$G$801,MATCH($B47,COMPOS!$A$4:A$801,0),5))))</f>
        <v>1.1299999999999999</v>
      </c>
      <c r="H47" s="315">
        <f>(IF($A47="SINAPI",INDEX(SINAPI_NOV2020_NDES!$A$7:$H$6703,MATCH($B47,SINAPI_NOV2020_NDES!$A$7:$A$6703,0),7),(INDEX(COMPOS!$A$4:$G$801,MATCH($B47,COMPOS!$A$4:A$801,0),6))))</f>
        <v>0</v>
      </c>
      <c r="I47" s="315">
        <f t="shared" si="10"/>
        <v>1.2</v>
      </c>
      <c r="J47" s="280">
        <f t="shared" si="11"/>
        <v>110.39999999999999</v>
      </c>
      <c r="K47" s="255"/>
      <c r="L47" s="255"/>
      <c r="M47" s="255"/>
      <c r="N47" s="255"/>
      <c r="O47" s="257"/>
      <c r="P47" s="257"/>
    </row>
    <row r="48" spans="1:16" s="14" customFormat="1" ht="12">
      <c r="A48" s="251" t="s">
        <v>6307</v>
      </c>
      <c r="B48" s="290">
        <v>823</v>
      </c>
      <c r="C48" s="282" t="str">
        <f>(IF($A48="SINAPI",INDEX(SINAPI_NOV2020_NDES!$A$7:$H$6703,MATCH($B48,SINAPI_NOV2020_NDES!$A$7:$A$6703,0),2),IF($A48="GOINFRA",INDEX(#REF!,MATCH($B48,#REF!,0),2),(INDEX(COMPOS!$A$4:$G$3900,MATCH($B48,COMPOS!$A$4:A$3900,0),2)))))</f>
        <v>CABO DE COBRE NU No. 16 MM2 (6,94 M/KG)</v>
      </c>
      <c r="D48" s="274" t="str">
        <f>(IF($A48="SINAPI",INDEX(SINAPI_NOV2020_NDES!$A$7:$H$6790,MATCH($B48,SINAPI_NOV2020_NDES!$A$7:$A$6790,0),3),(INDEX(COMPOS!$A$4:$G$5000,MATCH($B48,COMPOS!$A$4:$A$5000,0),3))))</f>
        <v>M</v>
      </c>
      <c r="E48" s="276">
        <v>27.8</v>
      </c>
      <c r="F48" s="303">
        <f>(IF($A48="SINAPI",INDEX(SINAPI_NOV2020_NDES!$A$7:$H$6703,MATCH($B48,SINAPI_NOV2020_NDES!$A$7:$A$6703,0),5),(INDEX(COMPOS!$A$4:$G$801,MATCH($B48,COMPOS!$A$4:A$801,0),4))))</f>
        <v>3.0903999999999998</v>
      </c>
      <c r="G48" s="314">
        <f>(IF($A48="SINAPI",INDEX(SINAPI_NOV2020_NDES!$A$7:$H$6703,MATCH($B48,SINAPI_NOV2020_NDES!$A$7:$A$6703,0),6),(INDEX(COMPOS!$A$4:$G$801,MATCH($B48,COMPOS!$A$4:A$801,0),5))))</f>
        <v>6.7932000000000006</v>
      </c>
      <c r="H48" s="315">
        <f>(IF($A48="SINAPI",INDEX(SINAPI_NOV2020_NDES!$A$7:$H$6703,MATCH($B48,SINAPI_NOV2020_NDES!$A$7:$A$6703,0),7),(INDEX(COMPOS!$A$4:$G$801,MATCH($B48,COMPOS!$A$4:A$801,0),6))))</f>
        <v>0</v>
      </c>
      <c r="I48" s="315">
        <f t="shared" si="10"/>
        <v>9.8836000000000013</v>
      </c>
      <c r="J48" s="280">
        <f t="shared" si="11"/>
        <v>274.76408000000004</v>
      </c>
      <c r="K48" s="255"/>
      <c r="L48" s="255"/>
      <c r="M48" s="255"/>
      <c r="N48" s="255"/>
      <c r="O48" s="257"/>
      <c r="P48" s="257"/>
    </row>
    <row r="49" spans="1:16" s="14" customFormat="1" ht="12">
      <c r="A49" s="251" t="s">
        <v>6307</v>
      </c>
      <c r="B49" s="290">
        <v>841</v>
      </c>
      <c r="C49" s="282" t="str">
        <f>(IF($A49="SINAPI",INDEX(SINAPI_NOV2020_NDES!$A$7:$H$6703,MATCH($B49,SINAPI_NOV2020_NDES!$A$7:$A$6703,0),2),IF($A49="GOINFRA",INDEX(#REF!,MATCH($B49,#REF!,0),2),(INDEX(COMPOS!$A$4:$G$3900,MATCH($B49,COMPOS!$A$4:A$3900,0),2)))))</f>
        <v>CAIXA DISTRIBUIÇÃO TELEFÔNICA DE EMBUTIR 40X40X12 CM</v>
      </c>
      <c r="D49" s="274" t="str">
        <f>(IF($A49="SINAPI",INDEX(SINAPI_NOV2020_NDES!$A$7:$H$6790,MATCH($B49,SINAPI_NOV2020_NDES!$A$7:$A$6790,0),3),(INDEX(COMPOS!$A$4:$G$5000,MATCH($B49,COMPOS!$A$4:$A$5000,0),3))))</f>
        <v>UN</v>
      </c>
      <c r="E49" s="276">
        <v>1</v>
      </c>
      <c r="F49" s="303">
        <f>(IF($A49="SINAPI",INDEX(SINAPI_NOV2020_NDES!$A$7:$H$6703,MATCH($B49,SINAPI_NOV2020_NDES!$A$7:$A$6703,0),5),(INDEX(COMPOS!$A$4:$G$801,MATCH($B49,COMPOS!$A$4:A$801,0),4))))</f>
        <v>77.259999999999991</v>
      </c>
      <c r="G49" s="314">
        <f>(IF($A49="SINAPI",INDEX(SINAPI_NOV2020_NDES!$A$7:$H$6703,MATCH($B49,SINAPI_NOV2020_NDES!$A$7:$A$6703,0),6),(INDEX(COMPOS!$A$4:$G$801,MATCH($B49,COMPOS!$A$4:A$801,0),5))))</f>
        <v>88.55</v>
      </c>
      <c r="H49" s="315">
        <f>(IF($A49="SINAPI",INDEX(SINAPI_NOV2020_NDES!$A$7:$H$6703,MATCH($B49,SINAPI_NOV2020_NDES!$A$7:$A$6703,0),7),(INDEX(COMPOS!$A$4:$G$801,MATCH($B49,COMPOS!$A$4:A$801,0),6))))</f>
        <v>0</v>
      </c>
      <c r="I49" s="315">
        <f t="shared" si="10"/>
        <v>165.81</v>
      </c>
      <c r="J49" s="280">
        <f t="shared" si="11"/>
        <v>165.81</v>
      </c>
      <c r="K49" s="255"/>
      <c r="L49" s="255"/>
      <c r="M49" s="255"/>
      <c r="N49" s="255"/>
      <c r="O49" s="257"/>
      <c r="P49" s="257"/>
    </row>
    <row r="50" spans="1:16" s="14" customFormat="1" ht="12">
      <c r="A50" s="251" t="s">
        <v>6307</v>
      </c>
      <c r="B50" s="290">
        <v>842</v>
      </c>
      <c r="C50" s="282" t="str">
        <f>(IF($A50="SINAPI",INDEX(SINAPI_NOV2020_NDES!$A$7:$H$6703,MATCH($B50,SINAPI_NOV2020_NDES!$A$7:$A$6703,0),2),IF($A50="GOINFRA",INDEX(#REF!,MATCH($B50,#REF!,0),2),(INDEX(COMPOS!$A$4:$G$3900,MATCH($B50,COMPOS!$A$4:A$3900,0),2)))))</f>
        <v>CAIXA METALICA QUADRADA 4"X4"X2"</v>
      </c>
      <c r="D50" s="274" t="str">
        <f>(IF($A50="SINAPI",INDEX(SINAPI_NOV2020_NDES!$A$7:$H$6790,MATCH($B50,SINAPI_NOV2020_NDES!$A$7:$A$6790,0),3),(INDEX(COMPOS!$A$4:$G$5000,MATCH($B50,COMPOS!$A$4:$A$5000,0),3))))</f>
        <v>UN</v>
      </c>
      <c r="E50" s="276">
        <v>4</v>
      </c>
      <c r="F50" s="303">
        <f>(IF($A50="SINAPI",INDEX(SINAPI_NOV2020_NDES!$A$7:$H$6703,MATCH($B50,SINAPI_NOV2020_NDES!$A$7:$A$6703,0),5),(INDEX(COMPOS!$A$4:$G$801,MATCH($B50,COMPOS!$A$4:A$801,0),4))))</f>
        <v>5.7944999999999993</v>
      </c>
      <c r="G50" s="314">
        <f>(IF($A50="SINAPI",INDEX(SINAPI_NOV2020_NDES!$A$7:$H$6703,MATCH($B50,SINAPI_NOV2020_NDES!$A$7:$A$6703,0),6),(INDEX(COMPOS!$A$4:$G$801,MATCH($B50,COMPOS!$A$4:A$801,0),5))))</f>
        <v>2.1800000000000002</v>
      </c>
      <c r="H50" s="315">
        <f>(IF($A50="SINAPI",INDEX(SINAPI_NOV2020_NDES!$A$7:$H$6703,MATCH($B50,SINAPI_NOV2020_NDES!$A$7:$A$6703,0),7),(INDEX(COMPOS!$A$4:$G$801,MATCH($B50,COMPOS!$A$4:A$801,0),6))))</f>
        <v>0</v>
      </c>
      <c r="I50" s="315">
        <f t="shared" si="10"/>
        <v>7.974499999999999</v>
      </c>
      <c r="J50" s="280">
        <f t="shared" si="11"/>
        <v>31.897999999999996</v>
      </c>
      <c r="K50" s="255"/>
      <c r="L50" s="255"/>
      <c r="M50" s="255"/>
      <c r="N50" s="255"/>
      <c r="O50" s="257"/>
      <c r="P50" s="257"/>
    </row>
    <row r="51" spans="1:16" s="14" customFormat="1" ht="12">
      <c r="A51" s="251" t="s">
        <v>6307</v>
      </c>
      <c r="B51" s="290">
        <v>830</v>
      </c>
      <c r="C51" s="282" t="str">
        <f>(IF($A51="SINAPI",INDEX(SINAPI_NOV2020_NDES!$A$7:$H$6703,MATCH($B51,SINAPI_NOV2020_NDES!$A$7:$A$6703,0),2),IF($A51="GOINFRA",INDEX(#REF!,MATCH($B51,#REF!,0),2),(INDEX(COMPOS!$A$4:$G$3900,MATCH($B51,COMPOS!$A$4:A$3900,0),2)))))</f>
        <v>CAIXA DE PASSAGEM 35X60X50CM FUNDO DE CONCRETO (PARA TAMPA R2)</v>
      </c>
      <c r="D51" s="274" t="str">
        <f>(IF($A51="SINAPI",INDEX(SINAPI_NOV2020_NDES!$A$7:$H$6790,MATCH($B51,SINAPI_NOV2020_NDES!$A$7:$A$6790,0),3),(INDEX(COMPOS!$A$4:$G$5000,MATCH($B51,COMPOS!$A$4:$A$5000,0),3))))</f>
        <v>UN</v>
      </c>
      <c r="E51" s="276">
        <v>3</v>
      </c>
      <c r="F51" s="303">
        <f>(IF($A51="SINAPI",INDEX(SINAPI_NOV2020_NDES!$A$7:$H$6703,MATCH($B51,SINAPI_NOV2020_NDES!$A$7:$A$6703,0),5),(INDEX(COMPOS!$A$4:$G$801,MATCH($B51,COMPOS!$A$4:A$801,0),4))))</f>
        <v>154.84252099999998</v>
      </c>
      <c r="G51" s="314">
        <f>(IF($A51="SINAPI",INDEX(SINAPI_NOV2020_NDES!$A$7:$H$6703,MATCH($B51,SINAPI_NOV2020_NDES!$A$7:$A$6703,0),6),(INDEX(COMPOS!$A$4:$G$801,MATCH($B51,COMPOS!$A$4:A$801,0),5))))</f>
        <v>104.54688</v>
      </c>
      <c r="H51" s="315">
        <f>(IF($A51="SINAPI",INDEX(SINAPI_NOV2020_NDES!$A$7:$H$6703,MATCH($B51,SINAPI_NOV2020_NDES!$A$7:$A$6703,0),7),(INDEX(COMPOS!$A$4:$G$801,MATCH($B51,COMPOS!$A$4:A$801,0),6))))</f>
        <v>0</v>
      </c>
      <c r="I51" s="315">
        <f t="shared" si="10"/>
        <v>259.38940099999996</v>
      </c>
      <c r="J51" s="280">
        <f t="shared" si="11"/>
        <v>778.16820299999995</v>
      </c>
      <c r="K51" s="255"/>
      <c r="L51" s="255"/>
      <c r="M51" s="255"/>
      <c r="N51" s="255"/>
      <c r="O51" s="257"/>
      <c r="P51" s="257"/>
    </row>
    <row r="52" spans="1:16" s="14" customFormat="1" ht="12">
      <c r="A52" s="251" t="s">
        <v>6307</v>
      </c>
      <c r="B52" s="290">
        <v>320</v>
      </c>
      <c r="C52" s="282" t="str">
        <f>(IF($A52="SINAPI",INDEX(SINAPI_NOV2020_NDES!$A$7:$H$6703,MATCH($B52,SINAPI_NOV2020_NDES!$A$7:$A$6703,0),2),IF($A52="GOINFRA",INDEX(#REF!,MATCH($B52,#REF!,0),2),(INDEX(COMPOS!$A$4:$G$3900,MATCH($B52,COMPOS!$A$4:A$3900,0),2)))))</f>
        <v>CAIXA DE PASSAGEM 35X60X50CM FUNDO DE CONCRETO PARA TAMPA R1</v>
      </c>
      <c r="D52" s="274" t="str">
        <f>(IF($A52="SINAPI",INDEX(SINAPI_NOV2020_NDES!$A$7:$H$6790,MATCH($B52,SINAPI_NOV2020_NDES!$A$7:$A$6790,0),3),(INDEX(COMPOS!$A$4:$G$5000,MATCH($B52,COMPOS!$A$4:$A$5000,0),3))))</f>
        <v>UN</v>
      </c>
      <c r="E52" s="276">
        <v>1</v>
      </c>
      <c r="F52" s="303">
        <f>(IF($A52="SINAPI",INDEX(SINAPI_NOV2020_NDES!$A$7:$H$6703,MATCH($B52,SINAPI_NOV2020_NDES!$A$7:$A$6703,0),5),(INDEX(COMPOS!$A$4:$G$801,MATCH($B52,COMPOS!$A$4:A$801,0),4))))</f>
        <v>154.60165099999998</v>
      </c>
      <c r="G52" s="314">
        <f>(IF($A52="SINAPI",INDEX(SINAPI_NOV2020_NDES!$A$7:$H$6703,MATCH($B52,SINAPI_NOV2020_NDES!$A$7:$A$6703,0),6),(INDEX(COMPOS!$A$4:$G$801,MATCH($B52,COMPOS!$A$4:A$801,0),5))))</f>
        <v>104.76597111570248</v>
      </c>
      <c r="H52" s="315">
        <f>(IF($A52="SINAPI",INDEX(SINAPI_NOV2020_NDES!$A$7:$H$6703,MATCH($B52,SINAPI_NOV2020_NDES!$A$7:$A$6703,0),7),(INDEX(COMPOS!$A$4:$G$801,MATCH($B52,COMPOS!$A$4:A$801,0),6))))</f>
        <v>0</v>
      </c>
      <c r="I52" s="315">
        <f t="shared" si="10"/>
        <v>259.36762211570249</v>
      </c>
      <c r="J52" s="280">
        <f t="shared" si="11"/>
        <v>259.36762211570249</v>
      </c>
      <c r="K52" s="255"/>
      <c r="L52" s="255"/>
      <c r="M52" s="255"/>
      <c r="N52" s="255"/>
      <c r="O52" s="257"/>
      <c r="P52" s="257"/>
    </row>
    <row r="53" spans="1:16" s="14" customFormat="1" ht="12">
      <c r="A53" s="251" t="s">
        <v>6307</v>
      </c>
      <c r="B53" s="290">
        <v>846</v>
      </c>
      <c r="C53" s="282" t="str">
        <f>(IF($A53="SINAPI",INDEX(SINAPI_NOV2020_NDES!$A$7:$H$6703,MATCH($B53,SINAPI_NOV2020_NDES!$A$7:$A$6703,0),2),IF($A53="GOINFRA",INDEX(#REF!,MATCH($B53,#REF!,0),2),(INDEX(COMPOS!$A$4:$G$3900,MATCH($B53,COMPOS!$A$4:A$3900,0),2)))))</f>
        <v>ELETRODUTO DE PVC RIGIDO DIAMETRO 1.1/4"</v>
      </c>
      <c r="D53" s="274" t="str">
        <f>(IF($A53="SINAPI",INDEX(SINAPI_NOV2020_NDES!$A$7:$H$6790,MATCH($B53,SINAPI_NOV2020_NDES!$A$7:$A$6790,0),3),(INDEX(COMPOS!$A$4:$G$5000,MATCH($B53,COMPOS!$A$4:$A$5000,0),3))))</f>
        <v>M</v>
      </c>
      <c r="E53" s="276">
        <v>26.5</v>
      </c>
      <c r="F53" s="303">
        <f>(IF($A53="SINAPI",INDEX(SINAPI_NOV2020_NDES!$A$7:$H$6703,MATCH($B53,SINAPI_NOV2020_NDES!$A$7:$A$6703,0),5),(INDEX(COMPOS!$A$4:$G$801,MATCH($B53,COMPOS!$A$4:A$801,0),4))))</f>
        <v>16.224599999999999</v>
      </c>
      <c r="G53" s="314">
        <f>(IF($A53="SINAPI",INDEX(SINAPI_NOV2020_NDES!$A$7:$H$6703,MATCH($B53,SINAPI_NOV2020_NDES!$A$7:$A$6703,0),6),(INDEX(COMPOS!$A$4:$G$801,MATCH($B53,COMPOS!$A$4:A$801,0),5))))</f>
        <v>4.5</v>
      </c>
      <c r="H53" s="315">
        <f>(IF($A53="SINAPI",INDEX(SINAPI_NOV2020_NDES!$A$7:$H$6703,MATCH($B53,SINAPI_NOV2020_NDES!$A$7:$A$6703,0),7),(INDEX(COMPOS!$A$4:$G$801,MATCH($B53,COMPOS!$A$4:A$801,0),6))))</f>
        <v>0</v>
      </c>
      <c r="I53" s="315">
        <f t="shared" si="10"/>
        <v>20.724599999999999</v>
      </c>
      <c r="J53" s="280">
        <f t="shared" si="11"/>
        <v>549.20190000000002</v>
      </c>
      <c r="K53" s="255"/>
      <c r="L53" s="255"/>
      <c r="M53" s="255"/>
      <c r="N53" s="255"/>
      <c r="O53" s="257"/>
      <c r="P53" s="257"/>
    </row>
    <row r="54" spans="1:16" s="14" customFormat="1" ht="12">
      <c r="A54" s="251" t="s">
        <v>6307</v>
      </c>
      <c r="B54" s="290">
        <v>845</v>
      </c>
      <c r="C54" s="282" t="str">
        <f>(IF($A54="SINAPI",INDEX(SINAPI_NOV2020_NDES!$A$7:$H$6703,MATCH($B54,SINAPI_NOV2020_NDES!$A$7:$A$6703,0),2),IF($A54="GOINFRA",INDEX(#REF!,MATCH($B54,#REF!,0),2),(INDEX(COMPOS!$A$4:$G$3900,MATCH($B54,COMPOS!$A$4:A$3900,0),2)))))</f>
        <v>ELETRODUTO DE PVC RIGIDO DIAMETRO 2"</v>
      </c>
      <c r="D54" s="274" t="str">
        <f>(IF($A54="SINAPI",INDEX(SINAPI_NOV2020_NDES!$A$7:$H$6790,MATCH($B54,SINAPI_NOV2020_NDES!$A$7:$A$6790,0),3),(INDEX(COMPOS!$A$4:$G$5000,MATCH($B54,COMPOS!$A$4:$A$5000,0),3))))</f>
        <v>M</v>
      </c>
      <c r="E54" s="276">
        <v>148.5</v>
      </c>
      <c r="F54" s="303">
        <f>(IF($A54="SINAPI",INDEX(SINAPI_NOV2020_NDES!$A$7:$H$6703,MATCH($B54,SINAPI_NOV2020_NDES!$A$7:$A$6703,0),5),(INDEX(COMPOS!$A$4:$G$801,MATCH($B54,COMPOS!$A$4:A$801,0),4))))</f>
        <v>19.314999999999998</v>
      </c>
      <c r="G54" s="314">
        <f>(IF($A54="SINAPI",INDEX(SINAPI_NOV2020_NDES!$A$7:$H$6703,MATCH($B54,SINAPI_NOV2020_NDES!$A$7:$A$6703,0),6),(INDEX(COMPOS!$A$4:$G$801,MATCH($B54,COMPOS!$A$4:A$801,0),5))))</f>
        <v>8.09</v>
      </c>
      <c r="H54" s="315">
        <f>(IF($A54="SINAPI",INDEX(SINAPI_NOV2020_NDES!$A$7:$H$6703,MATCH($B54,SINAPI_NOV2020_NDES!$A$7:$A$6703,0),7),(INDEX(COMPOS!$A$4:$G$801,MATCH($B54,COMPOS!$A$4:A$801,0),6))))</f>
        <v>0</v>
      </c>
      <c r="I54" s="315">
        <f t="shared" si="10"/>
        <v>27.404999999999998</v>
      </c>
      <c r="J54" s="280">
        <f t="shared" si="11"/>
        <v>4069.6424999999995</v>
      </c>
      <c r="K54" s="255"/>
      <c r="L54" s="255"/>
      <c r="M54" s="255"/>
      <c r="N54" s="255"/>
      <c r="O54" s="257"/>
      <c r="P54" s="257"/>
    </row>
    <row r="55" spans="1:16" s="14" customFormat="1" ht="12">
      <c r="A55" s="251" t="s">
        <v>6307</v>
      </c>
      <c r="B55" s="290">
        <v>825</v>
      </c>
      <c r="C55" s="282" t="str">
        <f>(IF($A55="SINAPI",INDEX(SINAPI_NOV2020_NDES!$A$7:$H$6703,MATCH($B55,SINAPI_NOV2020_NDES!$A$7:$A$6703,0),2),IF($A55="GOINFRA",INDEX(#REF!,MATCH($B55,#REF!,0),2),(INDEX(COMPOS!$A$4:$G$3900,MATCH($B55,COMPOS!$A$4:A$3900,0),2)))))</f>
        <v>ELETRODUTO DE PVC RIGIDO DIAMETRO 3/4"</v>
      </c>
      <c r="D55" s="274" t="str">
        <f>(IF($A55="SINAPI",INDEX(SINAPI_NOV2020_NDES!$A$7:$H$6790,MATCH($B55,SINAPI_NOV2020_NDES!$A$7:$A$6790,0),3),(INDEX(COMPOS!$A$4:$G$5000,MATCH($B55,COMPOS!$A$4:$A$5000,0),3))))</f>
        <v>M</v>
      </c>
      <c r="E55" s="276">
        <v>1620.12</v>
      </c>
      <c r="F55" s="303">
        <f>(IF($A55="SINAPI",INDEX(SINAPI_NOV2020_NDES!$A$7:$H$6703,MATCH($B55,SINAPI_NOV2020_NDES!$A$7:$A$6703,0),5),(INDEX(COMPOS!$A$4:$G$801,MATCH($B55,COMPOS!$A$4:A$801,0),4))))</f>
        <v>6.5670999999999999</v>
      </c>
      <c r="G55" s="314">
        <f>(IF($A55="SINAPI",INDEX(SINAPI_NOV2020_NDES!$A$7:$H$6703,MATCH($B55,SINAPI_NOV2020_NDES!$A$7:$A$6703,0),6),(INDEX(COMPOS!$A$4:$G$801,MATCH($B55,COMPOS!$A$4:A$801,0),5))))</f>
        <v>2.16</v>
      </c>
      <c r="H55" s="315">
        <f>(IF($A55="SINAPI",INDEX(SINAPI_NOV2020_NDES!$A$7:$H$6703,MATCH($B55,SINAPI_NOV2020_NDES!$A$7:$A$6703,0),7),(INDEX(COMPOS!$A$4:$G$801,MATCH($B55,COMPOS!$A$4:A$801,0),6))))</f>
        <v>0</v>
      </c>
      <c r="I55" s="315">
        <f t="shared" si="10"/>
        <v>8.7271000000000001</v>
      </c>
      <c r="J55" s="280">
        <f t="shared" si="11"/>
        <v>14138.949251999999</v>
      </c>
      <c r="K55" s="255"/>
      <c r="L55" s="255"/>
      <c r="M55" s="255"/>
      <c r="N55" s="255"/>
      <c r="O55" s="257"/>
      <c r="P55" s="257"/>
    </row>
    <row r="56" spans="1:16" s="14" customFormat="1" ht="12">
      <c r="A56" s="251" t="s">
        <v>6307</v>
      </c>
      <c r="B56" s="290">
        <v>826</v>
      </c>
      <c r="C56" s="282" t="str">
        <f>(IF($A56="SINAPI",INDEX(SINAPI_NOV2020_NDES!$A$7:$H$6703,MATCH($B56,SINAPI_NOV2020_NDES!$A$7:$A$6703,0),2),IF($A56="GOINFRA",INDEX(#REF!,MATCH($B56,#REF!,0),2),(INDEX(COMPOS!$A$4:$G$3900,MATCH($B56,COMPOS!$A$4:A$3900,0),2)))))</f>
        <v>ELETRODUTO DE PVC RIGIDO DIAMETRO 3"</v>
      </c>
      <c r="D56" s="274" t="str">
        <f>(IF($A56="SINAPI",INDEX(SINAPI_NOV2020_NDES!$A$7:$H$6790,MATCH($B56,SINAPI_NOV2020_NDES!$A$7:$A$6790,0),3),(INDEX(COMPOS!$A$4:$G$5000,MATCH($B56,COMPOS!$A$4:$A$5000,0),3))))</f>
        <v>M</v>
      </c>
      <c r="E56" s="276">
        <v>27.8</v>
      </c>
      <c r="F56" s="303">
        <f>(IF($A56="SINAPI",INDEX(SINAPI_NOV2020_NDES!$A$7:$H$6703,MATCH($B56,SINAPI_NOV2020_NDES!$A$7:$A$6703,0),5),(INDEX(COMPOS!$A$4:$G$801,MATCH($B56,COMPOS!$A$4:A$801,0),4))))</f>
        <v>30.904</v>
      </c>
      <c r="G56" s="314">
        <f>(IF($A56="SINAPI",INDEX(SINAPI_NOV2020_NDES!$A$7:$H$6703,MATCH($B56,SINAPI_NOV2020_NDES!$A$7:$A$6703,0),6),(INDEX(COMPOS!$A$4:$G$801,MATCH($B56,COMPOS!$A$4:A$801,0),5))))</f>
        <v>14.81</v>
      </c>
      <c r="H56" s="315">
        <f>(IF($A56="SINAPI",INDEX(SINAPI_NOV2020_NDES!$A$7:$H$6703,MATCH($B56,SINAPI_NOV2020_NDES!$A$7:$A$6703,0),7),(INDEX(COMPOS!$A$4:$G$801,MATCH($B56,COMPOS!$A$4:A$801,0),6))))</f>
        <v>0</v>
      </c>
      <c r="I56" s="315">
        <f t="shared" si="10"/>
        <v>45.713999999999999</v>
      </c>
      <c r="J56" s="280">
        <f t="shared" si="11"/>
        <v>1270.8491999999999</v>
      </c>
      <c r="K56" s="255"/>
      <c r="L56" s="255"/>
      <c r="M56" s="255"/>
      <c r="N56" s="255"/>
      <c r="O56" s="257"/>
      <c r="P56" s="257"/>
    </row>
    <row r="57" spans="1:16" s="14" customFormat="1" ht="12">
      <c r="A57" s="251" t="s">
        <v>6307</v>
      </c>
      <c r="B57" s="290">
        <v>373</v>
      </c>
      <c r="C57" s="282" t="str">
        <f>(IF($A57="SINAPI",INDEX(SINAPI_NOV2020_NDES!$A$7:$H$6703,MATCH($B57,SINAPI_NOV2020_NDES!$A$7:$A$6703,0),2),IF($A57="GOINFRA",INDEX(#REF!,MATCH($B57,#REF!,0),2),(INDEX(COMPOS!$A$4:$G$3900,MATCH($B57,COMPOS!$A$4:A$3900,0),2)))))</f>
        <v>ELETRODUTO EM AÇO GALVANIZADO A FOGO DIÂMETRO 3" – PESADO</v>
      </c>
      <c r="D57" s="274" t="str">
        <f>(IF($A57="SINAPI",INDEX(SINAPI_NOV2020_NDES!$A$7:$H$6790,MATCH($B57,SINAPI_NOV2020_NDES!$A$7:$A$6790,0),3),(INDEX(COMPOS!$A$4:$G$5000,MATCH($B57,COMPOS!$A$4:$A$5000,0),3))))</f>
        <v>M</v>
      </c>
      <c r="E57" s="280">
        <v>4.8</v>
      </c>
      <c r="F57" s="303">
        <f>(IF($A57="SINAPI",INDEX(SINAPI_NOV2020_NDES!$A$7:$H$6703,MATCH($B57,SINAPI_NOV2020_NDES!$A$7:$A$6703,0),5),(INDEX(COMPOS!$A$4:$G$801,MATCH($B57,COMPOS!$A$4:A$801,0),4))))</f>
        <v>61.808</v>
      </c>
      <c r="G57" s="314">
        <f>(IF($A57="SINAPI",INDEX(SINAPI_NOV2020_NDES!$A$7:$H$6703,MATCH($B57,SINAPI_NOV2020_NDES!$A$7:$A$6703,0),6),(INDEX(COMPOS!$A$4:$G$801,MATCH($B57,COMPOS!$A$4:A$801,0),5))))</f>
        <v>52.94</v>
      </c>
      <c r="H57" s="315">
        <f>(IF($A57="SINAPI",INDEX(SINAPI_NOV2020_NDES!$A$7:$H$6703,MATCH($B57,SINAPI_NOV2020_NDES!$A$7:$A$6703,0),7),(INDEX(COMPOS!$A$4:$G$801,MATCH($B57,COMPOS!$A$4:A$801,0),6))))</f>
        <v>0</v>
      </c>
      <c r="I57" s="315">
        <f t="shared" si="10"/>
        <v>114.74799999999999</v>
      </c>
      <c r="J57" s="280">
        <f t="shared" si="11"/>
        <v>550.79039999999998</v>
      </c>
      <c r="K57" s="255"/>
      <c r="L57" s="255"/>
      <c r="M57" s="255"/>
      <c r="N57" s="255"/>
      <c r="O57" s="257"/>
      <c r="P57" s="257"/>
    </row>
    <row r="58" spans="1:16" s="14" customFormat="1" ht="12">
      <c r="A58" s="251" t="s">
        <v>6307</v>
      </c>
      <c r="B58" s="290">
        <v>850</v>
      </c>
      <c r="C58" s="282" t="str">
        <f>(IF($A58="SINAPI",INDEX(SINAPI_NOV2020_NDES!$A$7:$H$6703,MATCH($B58,SINAPI_NOV2020_NDES!$A$7:$A$6703,0),2),IF($A58="GOINFRA",INDEX(#REF!,MATCH($B58,#REF!,0),2),(INDEX(COMPOS!$A$4:$G$3900,MATCH($B58,COMPOS!$A$4:A$3900,0),2)))))</f>
        <v>ELETRODUTO DE PVC RIGIDO DIAMETRO 1/2"</v>
      </c>
      <c r="D58" s="274" t="str">
        <f>(IF($A58="SINAPI",INDEX(SINAPI_NOV2020_NDES!$A$7:$H$6790,MATCH($B58,SINAPI_NOV2020_NDES!$A$7:$A$6790,0),3),(INDEX(COMPOS!$A$4:$G$5000,MATCH($B58,COMPOS!$A$4:$A$5000,0),3))))</f>
        <v>M</v>
      </c>
      <c r="E58" s="276">
        <v>27.8</v>
      </c>
      <c r="F58" s="303">
        <f>(IF($A58="SINAPI",INDEX(SINAPI_NOV2020_NDES!$A$7:$H$6703,MATCH($B58,SINAPI_NOV2020_NDES!$A$7:$A$6703,0),5),(INDEX(COMPOS!$A$4:$G$801,MATCH($B58,COMPOS!$A$4:A$801,0),4))))</f>
        <v>6.5670999999999999</v>
      </c>
      <c r="G58" s="314">
        <f>(IF($A58="SINAPI",INDEX(SINAPI_NOV2020_NDES!$A$7:$H$6703,MATCH($B58,SINAPI_NOV2020_NDES!$A$7:$A$6703,0),6),(INDEX(COMPOS!$A$4:$G$801,MATCH($B58,COMPOS!$A$4:A$801,0),5))))</f>
        <v>1.74</v>
      </c>
      <c r="H58" s="315">
        <f>(IF($A58="SINAPI",INDEX(SINAPI_NOV2020_NDES!$A$7:$H$6703,MATCH($B58,SINAPI_NOV2020_NDES!$A$7:$A$6703,0),7),(INDEX(COMPOS!$A$4:$G$801,MATCH($B58,COMPOS!$A$4:A$801,0),6))))</f>
        <v>0</v>
      </c>
      <c r="I58" s="315">
        <f t="shared" si="10"/>
        <v>8.3071000000000002</v>
      </c>
      <c r="J58" s="280">
        <f t="shared" si="11"/>
        <v>230.93738000000002</v>
      </c>
      <c r="K58" s="255"/>
      <c r="L58" s="255"/>
      <c r="M58" s="255"/>
      <c r="N58" s="255"/>
      <c r="O58" s="257"/>
      <c r="P58" s="257"/>
    </row>
    <row r="59" spans="1:16" s="14" customFormat="1" ht="12">
      <c r="A59" s="251" t="s">
        <v>6307</v>
      </c>
      <c r="B59" s="290">
        <v>833</v>
      </c>
      <c r="C59" s="282" t="str">
        <f>(IF($A59="SINAPI",INDEX(SINAPI_NOV2020_NDES!$A$7:$H$6703,MATCH($B59,SINAPI_NOV2020_NDES!$A$7:$A$6703,0),2),IF($A59="GOINFRA",INDEX(#REF!,MATCH($B59,#REF!,0),2),(INDEX(COMPOS!$A$4:$G$3900,MATCH($B59,COMPOS!$A$4:A$3900,0),2)))))</f>
        <v>HASTE REV.COBRE(COPPERWELD) 3/4" X 2,40 M C/CONECTOR</v>
      </c>
      <c r="D59" s="274" t="str">
        <f>(IF($A59="SINAPI",INDEX(SINAPI_NOV2020_NDES!$A$7:$H$6790,MATCH($B59,SINAPI_NOV2020_NDES!$A$7:$A$6790,0),3),(INDEX(COMPOS!$A$4:$G$5000,MATCH($B59,COMPOS!$A$4:$A$5000,0),3))))</f>
        <v>UN</v>
      </c>
      <c r="E59" s="276">
        <v>2</v>
      </c>
      <c r="F59" s="303">
        <f>(IF($A59="SINAPI",INDEX(SINAPI_NOV2020_NDES!$A$7:$H$6703,MATCH($B59,SINAPI_NOV2020_NDES!$A$7:$A$6703,0),5),(INDEX(COMPOS!$A$4:$G$801,MATCH($B59,COMPOS!$A$4:A$801,0),4))))</f>
        <v>11.588999999999999</v>
      </c>
      <c r="G59" s="314">
        <f>(IF($A59="SINAPI",INDEX(SINAPI_NOV2020_NDES!$A$7:$H$6703,MATCH($B59,SINAPI_NOV2020_NDES!$A$7:$A$6703,0),6),(INDEX(COMPOS!$A$4:$G$801,MATCH($B59,COMPOS!$A$4:A$801,0),5))))</f>
        <v>29.68</v>
      </c>
      <c r="H59" s="315">
        <f>(IF($A59="SINAPI",INDEX(SINAPI_NOV2020_NDES!$A$7:$H$6703,MATCH($B59,SINAPI_NOV2020_NDES!$A$7:$A$6703,0),7),(INDEX(COMPOS!$A$4:$G$801,MATCH($B59,COMPOS!$A$4:A$801,0),6))))</f>
        <v>0</v>
      </c>
      <c r="I59" s="315">
        <f t="shared" si="10"/>
        <v>41.268999999999998</v>
      </c>
      <c r="J59" s="280">
        <f t="shared" si="11"/>
        <v>82.537999999999997</v>
      </c>
      <c r="K59" s="255"/>
      <c r="L59" s="255"/>
      <c r="M59" s="255"/>
      <c r="N59" s="255"/>
      <c r="O59" s="257"/>
      <c r="P59" s="257"/>
    </row>
    <row r="60" spans="1:16" s="14" customFormat="1" ht="24">
      <c r="A60" s="251" t="s">
        <v>7</v>
      </c>
      <c r="B60" s="290">
        <v>93024</v>
      </c>
      <c r="C60" s="282" t="str">
        <f>(IF($A60="SINAPI",INDEX(SINAPI_NOV2020_NDES!$A$7:$H$6703,MATCH($B60,SINAPI_NOV2020_NDES!$A$7:$A$6703,0),2),IF($A60="GOINFRA",INDEX(#REF!,MATCH($B60,#REF!,0),2),(INDEX(COMPOS!$A$4:$G$3900,MATCH($B60,COMPOS!$A$4:A$3900,0),2)))))</f>
        <v>CURVA 90 GRAUS PARA ELETRODUTO, PVC, ROSCÁVEL, DN 85 MM (3") - FORNECIMENTO E INSTALAÇÃO. AF_12/2015</v>
      </c>
      <c r="D60" s="274" t="str">
        <f>(IF($A60="SINAPI",INDEX(SINAPI_NOV2020_NDES!$A$7:$H$6790,MATCH($B60,SINAPI_NOV2020_NDES!$A$7:$A$6790,0),3),(INDEX(COMPOS!$A$4:$G$5000,MATCH($B60,COMPOS!$A$4:$A$5000,0),3))))</f>
        <v>UN</v>
      </c>
      <c r="E60" s="276">
        <v>2</v>
      </c>
      <c r="F60" s="303">
        <f>(IF($A60="SINAPI",INDEX(SINAPI_NOV2020_NDES!$A$7:$H$6703,MATCH($B60,SINAPI_NOV2020_NDES!$A$7:$A$6703,0),5),(INDEX(COMPOS!$A$4:$G$801,MATCH($B60,COMPOS!$A$4:A$801,0),4))))</f>
        <v>15.11</v>
      </c>
      <c r="G60" s="314">
        <f>(IF($A60="SINAPI",INDEX(SINAPI_NOV2020_NDES!$A$7:$H$6703,MATCH($B60,SINAPI_NOV2020_NDES!$A$7:$A$6703,0),6),(INDEX(COMPOS!$A$4:$G$801,MATCH($B60,COMPOS!$A$4:A$801,0),5))))</f>
        <v>15.13</v>
      </c>
      <c r="H60" s="315">
        <f>(IF($A60="SINAPI",INDEX(SINAPI_NOV2020_NDES!$A$7:$H$6703,MATCH($B60,SINAPI_NOV2020_NDES!$A$7:$A$6703,0),7),(INDEX(COMPOS!$A$4:$G$801,MATCH($B60,COMPOS!$A$4:A$801,0),6))))</f>
        <v>0</v>
      </c>
      <c r="I60" s="315">
        <f t="shared" si="10"/>
        <v>30.240000000000002</v>
      </c>
      <c r="J60" s="280">
        <f t="shared" si="11"/>
        <v>60.480000000000004</v>
      </c>
      <c r="K60" s="255"/>
      <c r="L60" s="255"/>
      <c r="M60" s="255"/>
      <c r="N60" s="255"/>
      <c r="O60" s="257"/>
      <c r="P60" s="257"/>
    </row>
    <row r="61" spans="1:16" s="14" customFormat="1" ht="36">
      <c r="A61" s="251" t="s">
        <v>7</v>
      </c>
      <c r="B61" s="290">
        <v>100562</v>
      </c>
      <c r="C61" s="282" t="str">
        <f>(IF($A61="SINAPI",INDEX(SINAPI_NOV2020_NDES!$A$7:$H$6703,MATCH($B61,SINAPI_NOV2020_NDES!$A$7:$A$6703,0),2),IF($A61="GOINFRA",INDEX(#REF!,MATCH($B61,#REF!,0),2),(INDEX(COMPOS!$A$4:$G$3900,MATCH($B61,COMPOS!$A$4:A$3900,0),2)))))</f>
        <v>QUADRO DE DISTRIBUICAO PARA TELEFONE N.4, 60X60X12CM EM CHAPA METALICA, DE EMBUTIR, SEM ACESSORIOS, PADRAO TELEBRAS, FORNECIMENTO E INSTALAÇÃO. AF_11/2019</v>
      </c>
      <c r="D61" s="274" t="str">
        <f>(IF($A61="SINAPI",INDEX(SINAPI_NOV2020_NDES!$A$7:$H$6790,MATCH($B61,SINAPI_NOV2020_NDES!$A$7:$A$6790,0),3),(INDEX(COMPOS!$A$4:$G$5000,MATCH($B61,COMPOS!$A$4:$A$5000,0),3))))</f>
        <v>UN</v>
      </c>
      <c r="E61" s="276">
        <v>1</v>
      </c>
      <c r="F61" s="303">
        <f>(IF($A61="SINAPI",INDEX(SINAPI_NOV2020_NDES!$A$7:$H$6703,MATCH($B61,SINAPI_NOV2020_NDES!$A$7:$A$6703,0),5),(INDEX(COMPOS!$A$4:$G$801,MATCH($B61,COMPOS!$A$4:A$801,0),4))))</f>
        <v>34.19</v>
      </c>
      <c r="G61" s="314">
        <f>(IF($A61="SINAPI",INDEX(SINAPI_NOV2020_NDES!$A$7:$H$6703,MATCH($B61,SINAPI_NOV2020_NDES!$A$7:$A$6703,0),6),(INDEX(COMPOS!$A$4:$G$801,MATCH($B61,COMPOS!$A$4:A$801,0),5))))</f>
        <v>213.74</v>
      </c>
      <c r="H61" s="315">
        <f>(IF($A61="SINAPI",INDEX(SINAPI_NOV2020_NDES!$A$7:$H$6703,MATCH($B61,SINAPI_NOV2020_NDES!$A$7:$A$6703,0),7),(INDEX(COMPOS!$A$4:$G$801,MATCH($B61,COMPOS!$A$4:A$801,0),6))))</f>
        <v>0</v>
      </c>
      <c r="I61" s="315">
        <f t="shared" si="10"/>
        <v>247.93</v>
      </c>
      <c r="J61" s="280">
        <f t="shared" si="11"/>
        <v>247.93</v>
      </c>
      <c r="K61" s="255"/>
      <c r="L61" s="255"/>
      <c r="M61" s="255"/>
      <c r="N61" s="255"/>
      <c r="O61" s="257"/>
      <c r="P61" s="257"/>
    </row>
    <row r="62" spans="1:16" s="14" customFormat="1" ht="36">
      <c r="A62" s="251" t="s">
        <v>7</v>
      </c>
      <c r="B62" s="290">
        <v>100563</v>
      </c>
      <c r="C62" s="282" t="str">
        <f>(IF($A62="SINAPI",INDEX(SINAPI_NOV2020_NDES!$A$7:$H$6703,MATCH($B62,SINAPI_NOV2020_NDES!$A$7:$A$6703,0),2),IF($A62="GOINFRA",INDEX(#REF!,MATCH($B62,#REF!,0),2),(INDEX(COMPOS!$A$4:$G$3900,MATCH($B62,COMPOS!$A$4:A$3900,0),2)))))</f>
        <v>QUADRO DE DISTRIBUIÇÃO PARA TELEFONE N.5, 80X80X12CM EM CHAPA METALICA, SEM ACESSORIOS, PADRAO TELEBRAS, FORNECIMENTO E INSTALAÇÃO. AF_11/2019</v>
      </c>
      <c r="D62" s="274" t="str">
        <f>(IF($A62="SINAPI",INDEX(SINAPI_NOV2020_NDES!$A$7:$H$6790,MATCH($B62,SINAPI_NOV2020_NDES!$A$7:$A$6790,0),3),(INDEX(COMPOS!$A$4:$G$5000,MATCH($B62,COMPOS!$A$4:$A$5000,0),3))))</f>
        <v>UN</v>
      </c>
      <c r="E62" s="276">
        <v>1</v>
      </c>
      <c r="F62" s="303">
        <f>(IF($A62="SINAPI",INDEX(SINAPI_NOV2020_NDES!$A$7:$H$6703,MATCH($B62,SINAPI_NOV2020_NDES!$A$7:$A$6703,0),5),(INDEX(COMPOS!$A$4:$G$801,MATCH($B62,COMPOS!$A$4:A$801,0),4))))</f>
        <v>38.79</v>
      </c>
      <c r="G62" s="314">
        <f>(IF($A62="SINAPI",INDEX(SINAPI_NOV2020_NDES!$A$7:$H$6703,MATCH($B62,SINAPI_NOV2020_NDES!$A$7:$A$6703,0),6),(INDEX(COMPOS!$A$4:$G$801,MATCH($B62,COMPOS!$A$4:A$801,0),5))))</f>
        <v>317.91000000000003</v>
      </c>
      <c r="H62" s="315">
        <f>(IF($A62="SINAPI",INDEX(SINAPI_NOV2020_NDES!$A$7:$H$6703,MATCH($B62,SINAPI_NOV2020_NDES!$A$7:$A$6703,0),7),(INDEX(COMPOS!$A$4:$G$801,MATCH($B62,COMPOS!$A$4:A$801,0),6))))</f>
        <v>0</v>
      </c>
      <c r="I62" s="315">
        <f t="shared" si="10"/>
        <v>356.70000000000005</v>
      </c>
      <c r="J62" s="280">
        <f t="shared" si="11"/>
        <v>356.70000000000005</v>
      </c>
      <c r="K62" s="255"/>
      <c r="L62" s="255"/>
      <c r="M62" s="255"/>
      <c r="N62" s="255"/>
      <c r="O62" s="257"/>
      <c r="P62" s="257"/>
    </row>
    <row r="63" spans="1:16" s="14" customFormat="1" ht="24">
      <c r="A63" s="251" t="s">
        <v>6307</v>
      </c>
      <c r="B63" s="290">
        <v>453</v>
      </c>
      <c r="C63" s="282" t="str">
        <f>(IF($A63="SINAPI",INDEX(SINAPI_NOV2020_NDES!$A$7:$H$6703,MATCH($B63,SINAPI_NOV2020_NDES!$A$7:$A$6703,0),2),IF($A63="GOINFRA",INDEX(#REF!,MATCH($B63,#REF!,0),2),(INDEX(COMPOS!$A$4:$G$3900,MATCH($B63,COMPOS!$A$4:A$3900,0),2)))))</f>
        <v>CABO TELEFONICO CTP-APL-50, 50 PARES (USO EXTERNO)- FORNECIMENTO E INSTALAÇÃO</v>
      </c>
      <c r="D63" s="274" t="str">
        <f>(IF($A63="SINAPI",INDEX(SINAPI_NOV2020_NDES!$A$7:$H$6790,MATCH($B63,SINAPI_NOV2020_NDES!$A$7:$A$6790,0),3),(INDEX(COMPOS!$A$4:$G$5000,MATCH($B63,COMPOS!$A$4:$A$5000,0),3))))</f>
        <v>M</v>
      </c>
      <c r="E63" s="276">
        <v>31.83</v>
      </c>
      <c r="F63" s="303">
        <f>(IF($A63="SINAPI",INDEX(SINAPI_NOV2020_NDES!$A$7:$H$6703,MATCH($B63,SINAPI_NOV2020_NDES!$A$7:$A$6703,0),5),(INDEX(COMPOS!$A$4:$G$801,MATCH($B63,COMPOS!$A$4:A$801,0),4))))</f>
        <v>8.1702449999999995</v>
      </c>
      <c r="G63" s="314">
        <f>(IF($A63="SINAPI",INDEX(SINAPI_NOV2020_NDES!$A$7:$H$6703,MATCH($B63,SINAPI_NOV2020_NDES!$A$7:$A$6703,0),6),(INDEX(COMPOS!$A$4:$G$801,MATCH($B63,COMPOS!$A$4:A$801,0),5))))</f>
        <v>22.512000000000004</v>
      </c>
      <c r="H63" s="315">
        <f>(IF($A63="SINAPI",INDEX(SINAPI_NOV2020_NDES!$A$7:$H$6703,MATCH($B63,SINAPI_NOV2020_NDES!$A$7:$A$6703,0),7),(INDEX(COMPOS!$A$4:$G$801,MATCH($B63,COMPOS!$A$4:A$801,0),6))))</f>
        <v>0</v>
      </c>
      <c r="I63" s="315">
        <f t="shared" si="10"/>
        <v>30.682245000000002</v>
      </c>
      <c r="J63" s="280">
        <f t="shared" si="11"/>
        <v>976.61585835000005</v>
      </c>
      <c r="K63" s="255"/>
      <c r="L63" s="255"/>
      <c r="M63" s="255"/>
      <c r="N63" s="255"/>
      <c r="O63" s="257"/>
      <c r="P63" s="257"/>
    </row>
    <row r="64" spans="1:16" s="14" customFormat="1" ht="24">
      <c r="A64" s="251" t="s">
        <v>6307</v>
      </c>
      <c r="B64" s="290">
        <v>549</v>
      </c>
      <c r="C64" s="282" t="str">
        <f>(IF($A64="SINAPI",INDEX(SINAPI_NOV2020_NDES!$A$7:$H$6703,MATCH($B64,SINAPI_NOV2020_NDES!$A$7:$A$6703,0),2),IF($A64="GOINFRA",INDEX(#REF!,MATCH($B64,#REF!,0),2),(INDEX(COMPOS!$A$4:$G$3900,MATCH($B64,COMPOS!$A$4:A$3900,0),2)))))</f>
        <v>SUPORTE DE TOMADA TELEFÔNICA TIPO RJ-45 2 POSIÇÕES 14,7x19,3mm - R-130 DA MOPA ou equivalente de mesmo padrão de qualidade</v>
      </c>
      <c r="D64" s="274" t="str">
        <f>(IF($A64="SINAPI",INDEX(SINAPI_NOV2020_NDES!$A$7:$H$6790,MATCH($B64,SINAPI_NOV2020_NDES!$A$7:$A$6790,0),3),(INDEX(COMPOS!$A$4:$G$5000,MATCH($B64,COMPOS!$A$4:$A$5000,0),3))))</f>
        <v>UN</v>
      </c>
      <c r="E64" s="276">
        <v>4</v>
      </c>
      <c r="F64" s="303">
        <f>(IF($A64="SINAPI",INDEX(SINAPI_NOV2020_NDES!$A$7:$H$6703,MATCH($B64,SINAPI_NOV2020_NDES!$A$7:$A$6703,0),5),(INDEX(COMPOS!$A$4:$G$801,MATCH($B64,COMPOS!$A$4:A$801,0),4))))</f>
        <v>3.863</v>
      </c>
      <c r="G64" s="314">
        <f>(IF($A64="SINAPI",INDEX(SINAPI_NOV2020_NDES!$A$7:$H$6703,MATCH($B64,SINAPI_NOV2020_NDES!$A$7:$A$6703,0),6),(INDEX(COMPOS!$A$4:$G$801,MATCH($B64,COMPOS!$A$4:A$801,0),5))))</f>
        <v>32.56</v>
      </c>
      <c r="H64" s="315">
        <f>(IF($A64="SINAPI",INDEX(SINAPI_NOV2020_NDES!$A$7:$H$6703,MATCH($B64,SINAPI_NOV2020_NDES!$A$7:$A$6703,0),7),(INDEX(COMPOS!$A$4:$G$801,MATCH($B64,COMPOS!$A$4:A$801,0),6))))</f>
        <v>0</v>
      </c>
      <c r="I64" s="315">
        <f t="shared" si="10"/>
        <v>36.423000000000002</v>
      </c>
      <c r="J64" s="280">
        <f t="shared" si="11"/>
        <v>145.69200000000001</v>
      </c>
      <c r="K64" s="255"/>
      <c r="L64" s="255"/>
      <c r="M64" s="255"/>
      <c r="N64" s="255"/>
      <c r="O64" s="257"/>
      <c r="P64" s="257"/>
    </row>
    <row r="65" spans="1:1007" s="14" customFormat="1" ht="12">
      <c r="A65" s="251" t="s">
        <v>6307</v>
      </c>
      <c r="B65" s="290">
        <v>872</v>
      </c>
      <c r="C65" s="282" t="str">
        <f>(IF($A65="SINAPI",INDEX(SINAPI_NOV2020_NDES!$A$7:$H$6703,MATCH($B65,SINAPI_NOV2020_NDES!$A$7:$A$6703,0),2),IF($A65="GOINFRA",INDEX(#REF!,MATCH($B65,#REF!,0),2),(INDEX(COMPOS!$A$4:$G$3900,MATCH($B65,COMPOS!$A$4:A$3900,0),2)))))</f>
        <v>CONDULETE PARA PONTO DE SOM NO TETO</v>
      </c>
      <c r="D65" s="274" t="str">
        <f>(IF($A65="SINAPI",INDEX(SINAPI_NOV2020_NDES!$A$7:$H$6790,MATCH($B65,SINAPI_NOV2020_NDES!$A$7:$A$6790,0),3),(INDEX(COMPOS!$A$4:$G$5000,MATCH($B65,COMPOS!$A$4:$A$5000,0),3))))</f>
        <v>UN</v>
      </c>
      <c r="E65" s="276">
        <v>4</v>
      </c>
      <c r="F65" s="303">
        <f>(IF($A65="SINAPI",INDEX(SINAPI_NOV2020_NDES!$A$7:$H$6703,MATCH($B65,SINAPI_NOV2020_NDES!$A$7:$A$6703,0),5),(INDEX(COMPOS!$A$4:$G$801,MATCH($B65,COMPOS!$A$4:A$801,0),4))))</f>
        <v>13.1342</v>
      </c>
      <c r="G65" s="314">
        <f>(IF($A65="SINAPI",INDEX(SINAPI_NOV2020_NDES!$A$7:$H$6703,MATCH($B65,SINAPI_NOV2020_NDES!$A$7:$A$6703,0),6),(INDEX(COMPOS!$A$4:$G$801,MATCH($B65,COMPOS!$A$4:A$801,0),5))))</f>
        <v>4.71</v>
      </c>
      <c r="H65" s="315">
        <f>(IF($A65="SINAPI",INDEX(SINAPI_NOV2020_NDES!$A$7:$H$6703,MATCH($B65,SINAPI_NOV2020_NDES!$A$7:$A$6703,0),7),(INDEX(COMPOS!$A$4:$G$801,MATCH($B65,COMPOS!$A$4:A$801,0),6))))</f>
        <v>0</v>
      </c>
      <c r="I65" s="315">
        <f t="shared" si="10"/>
        <v>17.844200000000001</v>
      </c>
      <c r="J65" s="280">
        <f t="shared" si="11"/>
        <v>71.376800000000003</v>
      </c>
      <c r="K65" s="255"/>
      <c r="L65" s="255"/>
      <c r="M65" s="255"/>
      <c r="N65" s="255"/>
      <c r="O65" s="257"/>
      <c r="P65" s="257"/>
    </row>
    <row r="66" spans="1:1007" s="14" customFormat="1" ht="12">
      <c r="A66" s="251" t="s">
        <v>6307</v>
      </c>
      <c r="B66" s="290">
        <v>873</v>
      </c>
      <c r="C66" s="282" t="str">
        <f>(IF($A66="SINAPI",INDEX(SINAPI_NOV2020_NDES!$A$7:$H$6703,MATCH($B66,SINAPI_NOV2020_NDES!$A$7:$A$6703,0),2),IF($A66="GOINFRA",INDEX(#REF!,MATCH($B66,#REF!,0),2),(INDEX(COMPOS!$A$4:$G$3900,MATCH($B66,COMPOS!$A$4:A$3900,0),2)))))</f>
        <v>CONDULETE PARA PONTO DE CÂMERA</v>
      </c>
      <c r="D66" s="274" t="str">
        <f>(IF($A66="SINAPI",INDEX(SINAPI_NOV2020_NDES!$A$7:$H$6790,MATCH($B66,SINAPI_NOV2020_NDES!$A$7:$A$6790,0),3),(INDEX(COMPOS!$A$4:$G$5000,MATCH($B66,COMPOS!$A$4:$A$5000,0),3))))</f>
        <v>UN</v>
      </c>
      <c r="E66" s="276">
        <v>5</v>
      </c>
      <c r="F66" s="303">
        <f>(IF($A66="SINAPI",INDEX(SINAPI_NOV2020_NDES!$A$7:$H$6703,MATCH($B66,SINAPI_NOV2020_NDES!$A$7:$A$6703,0),5),(INDEX(COMPOS!$A$4:$G$801,MATCH($B66,COMPOS!$A$4:A$801,0),4))))</f>
        <v>13.1342</v>
      </c>
      <c r="G66" s="314">
        <f>(IF($A66="SINAPI",INDEX(SINAPI_NOV2020_NDES!$A$7:$H$6703,MATCH($B66,SINAPI_NOV2020_NDES!$A$7:$A$6703,0),6),(INDEX(COMPOS!$A$4:$G$801,MATCH($B66,COMPOS!$A$4:A$801,0),5))))</f>
        <v>4.71</v>
      </c>
      <c r="H66" s="315">
        <f>(IF($A66="SINAPI",INDEX(SINAPI_NOV2020_NDES!$A$7:$H$6703,MATCH($B66,SINAPI_NOV2020_NDES!$A$7:$A$6703,0),7),(INDEX(COMPOS!$A$4:$G$801,MATCH($B66,COMPOS!$A$4:A$801,0),6))))</f>
        <v>0</v>
      </c>
      <c r="I66" s="315">
        <f t="shared" si="10"/>
        <v>17.844200000000001</v>
      </c>
      <c r="J66" s="280">
        <f t="shared" si="11"/>
        <v>89.221000000000004</v>
      </c>
      <c r="K66" s="255"/>
      <c r="L66" s="255"/>
      <c r="M66" s="255"/>
      <c r="N66" s="255"/>
      <c r="O66" s="257"/>
      <c r="P66" s="257"/>
    </row>
    <row r="67" spans="1:1007" s="14" customFormat="1" ht="12">
      <c r="A67" s="251" t="s">
        <v>6307</v>
      </c>
      <c r="B67" s="290">
        <v>45</v>
      </c>
      <c r="C67" s="282" t="str">
        <f>(IF($A67="SINAPI",INDEX(SINAPI_NOV2020_NDES!$A$7:$H$6703,MATCH($B67,SINAPI_NOV2020_NDES!$A$7:$A$6703,0),2),IF($A67="GOINFRA",INDEX(#REF!,MATCH($B67,#REF!,0),2),(INDEX(COMPOS!$A$4:$G$3900,MATCH($B67,COMPOS!$A$4:A$3900,0),2)))))</f>
        <v>CABO RGC 59-75 OHMS</v>
      </c>
      <c r="D67" s="274" t="str">
        <f>(IF($A67="SINAPI",INDEX(SINAPI_NOV2020_NDES!$A$7:$H$6790,MATCH($B67,SINAPI_NOV2020_NDES!$A$7:$A$6790,0),3),(INDEX(COMPOS!$A$4:$G$5000,MATCH($B67,COMPOS!$A$4:$A$5000,0),3))))</f>
        <v>M</v>
      </c>
      <c r="E67" s="276">
        <v>2215</v>
      </c>
      <c r="F67" s="303">
        <f>(IF($A67="SINAPI",INDEX(SINAPI_NOV2020_NDES!$A$7:$H$6703,MATCH($B67,SINAPI_NOV2020_NDES!$A$7:$A$6703,0),5),(INDEX(COMPOS!$A$4:$G$801,MATCH($B67,COMPOS!$A$4:A$801,0),4))))</f>
        <v>2.7041000000000004</v>
      </c>
      <c r="G67" s="314">
        <f>(IF($A67="SINAPI",INDEX(SINAPI_NOV2020_NDES!$A$7:$H$6703,MATCH($B67,SINAPI_NOV2020_NDES!$A$7:$A$6703,0),6),(INDEX(COMPOS!$A$4:$G$801,MATCH($B67,COMPOS!$A$4:A$801,0),5))))</f>
        <v>1.2036</v>
      </c>
      <c r="H67" s="315">
        <f>(IF($A67="SINAPI",INDEX(SINAPI_NOV2020_NDES!$A$7:$H$6703,MATCH($B67,SINAPI_NOV2020_NDES!$A$7:$A$6703,0),7),(INDEX(COMPOS!$A$4:$G$801,MATCH($B67,COMPOS!$A$4:A$801,0),6))))</f>
        <v>0</v>
      </c>
      <c r="I67" s="315">
        <f t="shared" si="10"/>
        <v>3.9077000000000002</v>
      </c>
      <c r="J67" s="280">
        <f t="shared" si="11"/>
        <v>8655.5555000000004</v>
      </c>
      <c r="K67" s="255"/>
      <c r="L67" s="255"/>
      <c r="M67" s="255"/>
      <c r="N67" s="255"/>
      <c r="O67" s="257"/>
      <c r="P67" s="257"/>
    </row>
    <row r="68" spans="1:1007" s="14" customFormat="1" ht="12">
      <c r="A68" s="251" t="s">
        <v>6307</v>
      </c>
      <c r="B68" s="290">
        <v>452</v>
      </c>
      <c r="C68" s="282" t="str">
        <f>(IF($A68="SINAPI",INDEX(SINAPI_NOV2020_NDES!$A$7:$H$6703,MATCH($B68,SINAPI_NOV2020_NDES!$A$7:$A$6703,0),2),IF($A68="GOINFRA",INDEX(#REF!,MATCH($B68,#REF!,0),2),(INDEX(COMPOS!$A$4:$G$3900,MATCH($B68,COMPOS!$A$4:A$3900,0),2)))))</f>
        <v>CABO STP - 4 PARES</v>
      </c>
      <c r="D68" s="274" t="str">
        <f>(IF($A68="SINAPI",INDEX(SINAPI_NOV2020_NDES!$A$7:$H$6790,MATCH($B68,SINAPI_NOV2020_NDES!$A$7:$A$6790,0),3),(INDEX(COMPOS!$A$4:$G$5000,MATCH($B68,COMPOS!$A$4:$A$5000,0),3))))</f>
        <v>M</v>
      </c>
      <c r="E68" s="276">
        <v>112</v>
      </c>
      <c r="F68" s="303">
        <f>(IF($A68="SINAPI",INDEX(SINAPI_NOV2020_NDES!$A$7:$H$6703,MATCH($B68,SINAPI_NOV2020_NDES!$A$7:$A$6703,0),5),(INDEX(COMPOS!$A$4:$G$801,MATCH($B68,COMPOS!$A$4:A$801,0),4))))</f>
        <v>5.6438430000000004</v>
      </c>
      <c r="G68" s="314">
        <f>(IF($A68="SINAPI",INDEX(SINAPI_NOV2020_NDES!$A$7:$H$6703,MATCH($B68,SINAPI_NOV2020_NDES!$A$7:$A$6703,0),6),(INDEX(COMPOS!$A$4:$G$801,MATCH($B68,COMPOS!$A$4:A$801,0),5))))</f>
        <v>2.0033333333333334</v>
      </c>
      <c r="H68" s="315">
        <f>(IF($A68="SINAPI",INDEX(SINAPI_NOV2020_NDES!$A$7:$H$6703,MATCH($B68,SINAPI_NOV2020_NDES!$A$7:$A$6703,0),7),(INDEX(COMPOS!$A$4:$G$801,MATCH($B68,COMPOS!$A$4:A$801,0),6))))</f>
        <v>0</v>
      </c>
      <c r="I68" s="315">
        <f t="shared" si="10"/>
        <v>7.6471763333333342</v>
      </c>
      <c r="J68" s="280">
        <f t="shared" si="11"/>
        <v>856.48374933333344</v>
      </c>
      <c r="K68" s="255"/>
      <c r="L68" s="255"/>
      <c r="M68" s="255"/>
      <c r="N68" s="255"/>
      <c r="O68" s="257"/>
      <c r="P68" s="257"/>
    </row>
    <row r="69" spans="1:1007" s="14" customFormat="1" ht="12">
      <c r="A69" s="251" t="s">
        <v>6307</v>
      </c>
      <c r="B69" s="290">
        <v>873</v>
      </c>
      <c r="C69" s="282" t="str">
        <f>(IF($A69="SINAPI",INDEX(SINAPI_NOV2020_NDES!$A$7:$H$6703,MATCH($B69,SINAPI_NOV2020_NDES!$A$7:$A$6703,0),2),IF($A69="GOINFRA",INDEX(#REF!,MATCH($B69,#REF!,0),2),(INDEX(COMPOS!$A$4:$G$3900,MATCH($B69,COMPOS!$A$4:A$3900,0),2)))))</f>
        <v>CONDULETE PARA PONTO DE CÂMERA</v>
      </c>
      <c r="D69" s="274" t="str">
        <f>(IF($A69="SINAPI",INDEX(SINAPI_NOV2020_NDES!$A$7:$H$6790,MATCH($B69,SINAPI_NOV2020_NDES!$A$7:$A$6790,0),3),(INDEX(COMPOS!$A$4:$G$5000,MATCH($B69,COMPOS!$A$4:$A$5000,0),3))))</f>
        <v>UN</v>
      </c>
      <c r="E69" s="276">
        <v>1</v>
      </c>
      <c r="F69" s="303">
        <f>(IF($A69="SINAPI",INDEX(SINAPI_NOV2020_NDES!$A$7:$H$6703,MATCH($B69,SINAPI_NOV2020_NDES!$A$7:$A$6703,0),5),(INDEX(COMPOS!$A$4:$G$801,MATCH($B69,COMPOS!$A$4:A$801,0),4))))</f>
        <v>13.1342</v>
      </c>
      <c r="G69" s="314">
        <f>(IF($A69="SINAPI",INDEX(SINAPI_NOV2020_NDES!$A$7:$H$6703,MATCH($B69,SINAPI_NOV2020_NDES!$A$7:$A$6703,0),6),(INDEX(COMPOS!$A$4:$G$801,MATCH($B69,COMPOS!$A$4:A$801,0),5))))</f>
        <v>4.71</v>
      </c>
      <c r="H69" s="315">
        <f>(IF($A69="SINAPI",INDEX(SINAPI_NOV2020_NDES!$A$7:$H$6703,MATCH($B69,SINAPI_NOV2020_NDES!$A$7:$A$6703,0),7),(INDEX(COMPOS!$A$4:$G$801,MATCH($B69,COMPOS!$A$4:A$801,0),6))))</f>
        <v>0</v>
      </c>
      <c r="I69" s="315">
        <f t="shared" si="10"/>
        <v>17.844200000000001</v>
      </c>
      <c r="J69" s="280">
        <f t="shared" si="11"/>
        <v>17.844200000000001</v>
      </c>
      <c r="K69" s="255"/>
      <c r="L69" s="255"/>
      <c r="M69" s="255"/>
      <c r="N69" s="255"/>
      <c r="O69" s="257"/>
      <c r="P69" s="257"/>
    </row>
    <row r="70" spans="1:1007" s="14" customFormat="1" ht="12">
      <c r="A70" s="251" t="s">
        <v>6307</v>
      </c>
      <c r="B70" s="290">
        <v>136</v>
      </c>
      <c r="C70" s="282" t="str">
        <f>(IF($A70="SINAPI",INDEX(SINAPI_NOV2020_NDES!$A$7:$H$6703,MATCH($B70,SINAPI_NOV2020_NDES!$A$7:$A$6703,0),2),IF($A70="GOINFRA",INDEX(#REF!,MATCH($B70,#REF!,0),2),(INDEX(COMPOS!$A$4:$G$3900,MATCH($B70,COMPOS!$A$4:A$3900,0),2)))))</f>
        <v>POTENCIÔMETRO PARA SISTEMA DE SONORIZAÇÃO</v>
      </c>
      <c r="D70" s="274" t="str">
        <f>(IF($A70="SINAPI",INDEX(SINAPI_NOV2020_NDES!$A$7:$H$6790,MATCH($B70,SINAPI_NOV2020_NDES!$A$7:$A$6790,0),3),(INDEX(COMPOS!$A$4:$G$5000,MATCH($B70,COMPOS!$A$4:$A$5000,0),3))))</f>
        <v>UN</v>
      </c>
      <c r="E70" s="276">
        <v>3</v>
      </c>
      <c r="F70" s="303">
        <f>(IF($A70="SINAPI",INDEX(SINAPI_NOV2020_NDES!$A$7:$H$6703,MATCH($B70,SINAPI_NOV2020_NDES!$A$7:$A$6703,0),5),(INDEX(COMPOS!$A$4:$G$801,MATCH($B70,COMPOS!$A$4:A$801,0),4))))</f>
        <v>9.8699650000000005</v>
      </c>
      <c r="G70" s="314">
        <f>(IF($A70="SINAPI",INDEX(SINAPI_NOV2020_NDES!$A$7:$H$6703,MATCH($B70,SINAPI_NOV2020_NDES!$A$7:$A$6703,0),6),(INDEX(COMPOS!$A$4:$G$801,MATCH($B70,COMPOS!$A$4:A$801,0),5))))</f>
        <v>4.53</v>
      </c>
      <c r="H70" s="315">
        <f>(IF($A70="SINAPI",INDEX(SINAPI_NOV2020_NDES!$A$7:$H$6703,MATCH($B70,SINAPI_NOV2020_NDES!$A$7:$A$6703,0),7),(INDEX(COMPOS!$A$4:$G$801,MATCH($B70,COMPOS!$A$4:A$801,0),6))))</f>
        <v>0</v>
      </c>
      <c r="I70" s="315">
        <f t="shared" si="10"/>
        <v>14.399965000000002</v>
      </c>
      <c r="J70" s="280">
        <f t="shared" si="11"/>
        <v>43.199895000000005</v>
      </c>
      <c r="K70" s="255"/>
      <c r="L70" s="255"/>
      <c r="M70" s="255"/>
      <c r="N70" s="255"/>
      <c r="O70" s="257"/>
      <c r="P70" s="257"/>
    </row>
    <row r="71" spans="1:1007" s="14" customFormat="1" ht="12">
      <c r="A71" s="251" t="s">
        <v>6307</v>
      </c>
      <c r="B71" s="290">
        <v>377</v>
      </c>
      <c r="C71" s="282" t="str">
        <f>(IF($A71="SINAPI",INDEX(SINAPI_NOV2020_NDES!$A$7:$H$6703,MATCH($B71,SINAPI_NOV2020_NDES!$A$7:$A$6703,0),2),IF($A71="GOINFRA",INDEX(#REF!,MATCH($B71,#REF!,0),2),(INDEX(COMPOS!$A$4:$G$3900,MATCH($B71,COMPOS!$A$4:A$3900,0),2)))))</f>
        <v>TAMPA DE Fo.Fo. R2 COM BASE</v>
      </c>
      <c r="D71" s="274" t="str">
        <f>(IF($A71="SINAPI",INDEX(SINAPI_NOV2020_NDES!$A$7:$H$6790,MATCH($B71,SINAPI_NOV2020_NDES!$A$7:$A$6790,0),3),(INDEX(COMPOS!$A$4:$G$5000,MATCH($B71,COMPOS!$A$4:$A$5000,0),3))))</f>
        <v>UN</v>
      </c>
      <c r="E71" s="276">
        <v>3</v>
      </c>
      <c r="F71" s="303">
        <f>(IF($A71="SINAPI",INDEX(SINAPI_NOV2020_NDES!$A$7:$H$6703,MATCH($B71,SINAPI_NOV2020_NDES!$A$7:$A$6703,0),5),(INDEX(COMPOS!$A$4:$G$801,MATCH($B71,COMPOS!$A$4:A$801,0),4))))</f>
        <v>9.6574999999999989</v>
      </c>
      <c r="G71" s="314">
        <f>(IF($A71="SINAPI",INDEX(SINAPI_NOV2020_NDES!$A$7:$H$6703,MATCH($B71,SINAPI_NOV2020_NDES!$A$7:$A$6703,0),6),(INDEX(COMPOS!$A$4:$G$801,MATCH($B71,COMPOS!$A$4:A$801,0),5))))</f>
        <v>780.31</v>
      </c>
      <c r="H71" s="315">
        <f>(IF($A71="SINAPI",INDEX(SINAPI_NOV2020_NDES!$A$7:$H$6703,MATCH($B71,SINAPI_NOV2020_NDES!$A$7:$A$6703,0),7),(INDEX(COMPOS!$A$4:$G$801,MATCH($B71,COMPOS!$A$4:A$801,0),6))))</f>
        <v>0</v>
      </c>
      <c r="I71" s="315">
        <f t="shared" si="10"/>
        <v>789.96749999999997</v>
      </c>
      <c r="J71" s="280">
        <f t="shared" si="11"/>
        <v>2369.9025000000001</v>
      </c>
      <c r="K71" s="255"/>
      <c r="L71" s="255"/>
      <c r="M71" s="255"/>
      <c r="N71" s="255"/>
      <c r="O71" s="257"/>
      <c r="P71" s="257"/>
    </row>
    <row r="72" spans="1:1007" s="14" customFormat="1" ht="12">
      <c r="A72" s="251" t="s">
        <v>6307</v>
      </c>
      <c r="B72" s="290">
        <v>372</v>
      </c>
      <c r="C72" s="282" t="str">
        <f>(IF($A72="SINAPI",INDEX(SINAPI_NOV2020_NDES!$A$7:$H$6703,MATCH($B72,SINAPI_NOV2020_NDES!$A$7:$A$6703,0),2),IF($A72="GOINFRA",INDEX(#REF!,MATCH($B72,#REF!,0),2),(INDEX(COMPOS!$A$4:$G$3900,MATCH($B72,COMPOS!$A$4:A$3900,0),2)))))</f>
        <v>TAMPA DE Fo.Fo. R1 COM BASE</v>
      </c>
      <c r="D72" s="274" t="str">
        <f>(IF($A72="SINAPI",INDEX(SINAPI_NOV2020_NDES!$A$7:$H$6790,MATCH($B72,SINAPI_NOV2020_NDES!$A$7:$A$6790,0),3),(INDEX(COMPOS!$A$4:$G$5000,MATCH($B72,COMPOS!$A$4:$A$5000,0),3))))</f>
        <v>UN</v>
      </c>
      <c r="E72" s="276">
        <v>1</v>
      </c>
      <c r="F72" s="303">
        <f>(IF($A72="SINAPI",INDEX(SINAPI_NOV2020_NDES!$A$7:$H$6703,MATCH($B72,SINAPI_NOV2020_NDES!$A$7:$A$6703,0),5),(INDEX(COMPOS!$A$4:$G$801,MATCH($B72,COMPOS!$A$4:A$801,0),4))))</f>
        <v>3.863</v>
      </c>
      <c r="G72" s="314">
        <f>(IF($A72="SINAPI",INDEX(SINAPI_NOV2020_NDES!$A$7:$H$6703,MATCH($B72,SINAPI_NOV2020_NDES!$A$7:$A$6703,0),6),(INDEX(COMPOS!$A$4:$G$801,MATCH($B72,COMPOS!$A$4:A$801,0),5))))</f>
        <v>207.66</v>
      </c>
      <c r="H72" s="315">
        <f>(IF($A72="SINAPI",INDEX(SINAPI_NOV2020_NDES!$A$7:$H$6703,MATCH($B72,SINAPI_NOV2020_NDES!$A$7:$A$6703,0),7),(INDEX(COMPOS!$A$4:$G$801,MATCH($B72,COMPOS!$A$4:A$801,0),6))))</f>
        <v>0</v>
      </c>
      <c r="I72" s="315">
        <f t="shared" si="10"/>
        <v>211.523</v>
      </c>
      <c r="J72" s="280">
        <f t="shared" si="11"/>
        <v>211.523</v>
      </c>
      <c r="K72" s="255"/>
      <c r="L72" s="255"/>
      <c r="M72" s="255"/>
      <c r="N72" s="255"/>
      <c r="O72" s="257"/>
      <c r="P72" s="257"/>
    </row>
    <row r="73" spans="1:1007">
      <c r="A73" s="251"/>
      <c r="B73" s="290"/>
      <c r="C73" s="273" t="s">
        <v>6946</v>
      </c>
      <c r="D73" s="274"/>
      <c r="E73" s="276"/>
      <c r="F73" s="276"/>
      <c r="G73" s="276"/>
      <c r="H73" s="276"/>
      <c r="I73" s="280"/>
      <c r="J73" s="280"/>
      <c r="K73" s="255"/>
      <c r="L73" s="255"/>
      <c r="M73" s="255"/>
      <c r="N73" s="255"/>
      <c r="O73" s="257"/>
      <c r="P73" s="257"/>
      <c r="ALK73" s="42"/>
      <c r="ALL73" s="42"/>
      <c r="ALM73" s="42"/>
      <c r="ALN73" s="42"/>
      <c r="ALO73" s="42"/>
      <c r="ALP73" s="42"/>
      <c r="ALQ73" s="42"/>
      <c r="ALR73" s="42"/>
      <c r="ALS73" s="42"/>
    </row>
    <row r="74" spans="1:1007" ht="24">
      <c r="A74" s="251" t="s">
        <v>7</v>
      </c>
      <c r="B74" s="283">
        <v>96973</v>
      </c>
      <c r="C74" s="282" t="str">
        <f>(IF($A74="SINAPI",INDEX(SINAPI_NOV2020_NDES!$A$7:$H$6703,MATCH($B74,SINAPI_NOV2020_NDES!$A$7:$A$6703,0),2),IF($A74="GOINFRA",INDEX(#REF!,MATCH($B74,#REF!,0),2),(INDEX(COMPOS!$A$4:$G$390,MATCH($B74,COMPOS!$A$4:A$390,0),2)))))</f>
        <v>CORDOALHA DE COBRE NU 35 MM², NÃO ENTERRADA, COM ISOLADOR - FORNECIMENTO E INSTALAÇÃO. AF_12/2017</v>
      </c>
      <c r="D74" s="274" t="str">
        <f>(IF($A74="SINAPI",INDEX(SINAPI_NOV2020_NDES!$A$7:$H$6790,MATCH($B74,SINAPI_NOV2020_NDES!$A$7:$A$6790,0),3),(INDEX(COMPOS!$A$4:$G$5000,MATCH($B74,COMPOS!$A$4:$A$5000,0),3))))</f>
        <v>M</v>
      </c>
      <c r="E74" s="276">
        <v>150</v>
      </c>
      <c r="F74" s="279">
        <f>(IF($A74="SINAPI",INDEX(SINAPI_NOV2020_NDES!$A$7:$H$6703,MATCH($B74,SINAPI_NOV2020_NDES!$A$7:$A$6703,0),5),(INDEX(COMPOS!$A$4:$G$801,MATCH($B74,COMPOS!$A$4:A$801,0),4))))</f>
        <v>12.12</v>
      </c>
      <c r="G74" s="279">
        <f>(IF($A74="SINAPI",INDEX(SINAPI_NOV2020_NDES!$A$7:$H$6703,MATCH($B74,SINAPI_NOV2020_NDES!$A$7:$A$6703,0),6),(INDEX(COMPOS!$A$4:$G$801,MATCH($B74,COMPOS!$A$4:A$801,0),5))))</f>
        <v>32.340000000000003</v>
      </c>
      <c r="H74" s="280">
        <f>(IF($A74="SINAPI",INDEX(SINAPI_NOV2020_NDES!$A$7:$H$6703,MATCH($B74,SINAPI_NOV2020_NDES!$A$7:$A$6703,0),7),(INDEX(COMPOS!$A$4:$G$801,MATCH($B74,COMPOS!$A$4:A$801,0),6))))</f>
        <v>0</v>
      </c>
      <c r="I74" s="279">
        <f t="shared" ref="I74" si="12">SUM(F74:H74)</f>
        <v>44.46</v>
      </c>
      <c r="J74" s="276">
        <f t="shared" ref="J74" si="13">+I74*E74</f>
        <v>6669</v>
      </c>
      <c r="K74" s="255"/>
      <c r="L74" s="255"/>
      <c r="M74" s="255"/>
      <c r="N74" s="255"/>
      <c r="O74" s="257"/>
      <c r="P74" s="257"/>
      <c r="ALK74" s="42"/>
      <c r="ALL74" s="42"/>
      <c r="ALM74" s="42"/>
      <c r="ALN74" s="42"/>
      <c r="ALO74" s="42"/>
      <c r="ALP74" s="42"/>
      <c r="ALQ74" s="42"/>
      <c r="ALR74" s="42"/>
      <c r="ALS74" s="42"/>
    </row>
    <row r="75" spans="1:1007" ht="24">
      <c r="A75" s="251" t="s">
        <v>7</v>
      </c>
      <c r="B75" s="283">
        <v>96974</v>
      </c>
      <c r="C75" s="282" t="str">
        <f>(IF($A75="SINAPI",INDEX(SINAPI_NOV2020_NDES!$A$7:$H$6703,MATCH($B75,SINAPI_NOV2020_NDES!$A$7:$A$6703,0),2),IF($A75="GOINFRA",INDEX(#REF!,MATCH($B75,#REF!,0),2),(INDEX(COMPOS!$A$4:$G$390,MATCH($B75,COMPOS!$A$4:A$390,0),2)))))</f>
        <v>CORDOALHA DE COBRE NU 50 MM², NÃO ENTERRADA, COM ISOLADOR - FORNECIMENTO E INSTALAÇÃO. AF_12/2017</v>
      </c>
      <c r="D75" s="274" t="str">
        <f>(IF($A75="SINAPI",INDEX(SINAPI_NOV2020_NDES!$A$7:$H$6790,MATCH($B75,SINAPI_NOV2020_NDES!$A$7:$A$6790,0),3),(INDEX(COMPOS!$A$4:$G$5000,MATCH($B75,COMPOS!$A$4:$A$5000,0),3))))</f>
        <v>M</v>
      </c>
      <c r="E75" s="276">
        <v>100</v>
      </c>
      <c r="F75" s="279">
        <f>(IF($A75="SINAPI",INDEX(SINAPI_NOV2020_NDES!$A$7:$H$6703,MATCH($B75,SINAPI_NOV2020_NDES!$A$7:$A$6703,0),5),(INDEX(COMPOS!$A$4:$G$801,MATCH($B75,COMPOS!$A$4:A$801,0),4))))</f>
        <v>14.24</v>
      </c>
      <c r="G75" s="279">
        <f>(IF($A75="SINAPI",INDEX(SINAPI_NOV2020_NDES!$A$7:$H$6703,MATCH($B75,SINAPI_NOV2020_NDES!$A$7:$A$6703,0),6),(INDEX(COMPOS!$A$4:$G$801,MATCH($B75,COMPOS!$A$4:A$801,0),5))))</f>
        <v>42.67</v>
      </c>
      <c r="H75" s="280">
        <f>(IF($A75="SINAPI",INDEX(SINAPI_NOV2020_NDES!$A$7:$H$6703,MATCH($B75,SINAPI_NOV2020_NDES!$A$7:$A$6703,0),7),(INDEX(COMPOS!$A$4:$G$801,MATCH($B75,COMPOS!$A$4:A$801,0),6))))</f>
        <v>0</v>
      </c>
      <c r="I75" s="279">
        <f t="shared" ref="I75:I92" si="14">SUM(F75:H75)</f>
        <v>56.910000000000004</v>
      </c>
      <c r="J75" s="276">
        <f t="shared" ref="J75:J92" si="15">+I75*E75</f>
        <v>5691</v>
      </c>
      <c r="K75" s="255"/>
      <c r="L75" s="255"/>
      <c r="M75" s="255"/>
      <c r="N75" s="255"/>
      <c r="O75" s="257"/>
      <c r="P75" s="257"/>
      <c r="ALK75" s="42"/>
      <c r="ALL75" s="42"/>
      <c r="ALM75" s="42"/>
      <c r="ALN75" s="42"/>
      <c r="ALO75" s="42"/>
      <c r="ALP75" s="42"/>
      <c r="ALQ75" s="42"/>
      <c r="ALR75" s="42"/>
      <c r="ALS75" s="42"/>
    </row>
    <row r="76" spans="1:1007">
      <c r="A76" s="251" t="s">
        <v>6307</v>
      </c>
      <c r="B76" s="283">
        <v>714</v>
      </c>
      <c r="C76" s="282" t="str">
        <f>(IF($A76="SINAPI",INDEX(SINAPI_NOV2020_NDES!$A$7:$H$6703,MATCH($B76,SINAPI_NOV2020_NDES!$A$7:$A$6703,0),2),IF($A76="GOINFRA",INDEX(#REF!,MATCH($B76,#REF!,0),2),(INDEX(COMPOS!$A$4:$G$390,MATCH($B76,COMPOS!$A$4:A$390,0),2)))))</f>
        <v>CONECTOR DE COMPRESSÃO FORMATO H PARA CABO 25 A 70 MM2</v>
      </c>
      <c r="D76" s="274" t="str">
        <f>(IF($A76="SINAPI",INDEX(SINAPI_NOV2020_NDES!$A$7:$H$6790,MATCH($B76,SINAPI_NOV2020_NDES!$A$7:$A$6790,0),3),(INDEX(COMPOS!$A$4:$G$5000,MATCH($B76,COMPOS!$A$4:$A$5000,0),3))))</f>
        <v>UN</v>
      </c>
      <c r="E76" s="276">
        <v>10</v>
      </c>
      <c r="F76" s="279">
        <f>(IF($A76="SINAPI",INDEX(SINAPI_NOV2020_NDES!$A$7:$H$6703,MATCH($B76,SINAPI_NOV2020_NDES!$A$7:$A$6703,0),5),(INDEX(COMPOS!$A$4:$G$801,MATCH($B76,COMPOS!$A$4:A$801,0),4))))</f>
        <v>15.452</v>
      </c>
      <c r="G76" s="279">
        <f>(IF($A76="SINAPI",INDEX(SINAPI_NOV2020_NDES!$A$7:$H$6703,MATCH($B76,SINAPI_NOV2020_NDES!$A$7:$A$6703,0),6),(INDEX(COMPOS!$A$4:$G$801,MATCH($B76,COMPOS!$A$4:A$801,0),5))))</f>
        <v>5.0599999999999996</v>
      </c>
      <c r="H76" s="280">
        <f>(IF($A76="SINAPI",INDEX(SINAPI_NOV2020_NDES!$A$7:$H$6703,MATCH($B76,SINAPI_NOV2020_NDES!$A$7:$A$6703,0),7),(INDEX(COMPOS!$A$4:$G$801,MATCH($B76,COMPOS!$A$4:A$801,0),6))))</f>
        <v>0</v>
      </c>
      <c r="I76" s="279">
        <f t="shared" si="14"/>
        <v>20.512</v>
      </c>
      <c r="J76" s="276">
        <f t="shared" si="15"/>
        <v>205.12</v>
      </c>
      <c r="K76" s="255"/>
      <c r="L76" s="255"/>
      <c r="M76" s="255"/>
      <c r="N76" s="255"/>
      <c r="O76" s="257"/>
      <c r="P76" s="257"/>
      <c r="ALK76" s="42"/>
      <c r="ALL76" s="42"/>
      <c r="ALM76" s="42"/>
      <c r="ALN76" s="42"/>
      <c r="ALO76" s="42"/>
      <c r="ALP76" s="42"/>
      <c r="ALQ76" s="42"/>
      <c r="ALR76" s="42"/>
      <c r="ALS76" s="42"/>
    </row>
    <row r="77" spans="1:1007">
      <c r="A77" s="251" t="s">
        <v>6307</v>
      </c>
      <c r="B77" s="283">
        <v>42</v>
      </c>
      <c r="C77" s="282" t="str">
        <f>(IF($A77="SINAPI",INDEX(SINAPI_NOV2020_NDES!$A$7:$H$6703,MATCH($B77,SINAPI_NOV2020_NDES!$A$7:$A$6703,0),2),IF($A77="GOINFRA",INDEX(#REF!,MATCH($B77,#REF!,0),2),(INDEX(COMPOS!$A$4:$G$390,MATCH($B77,COMPOS!$A$4:A$390,0),2)))))</f>
        <v>SOLDA EXOTÉRMICA TAMANHO 115G</v>
      </c>
      <c r="D77" s="274" t="str">
        <f>(IF($A77="SINAPI",INDEX(SINAPI_NOV2020_NDES!$A$7:$H$6790,MATCH($B77,SINAPI_NOV2020_NDES!$A$7:$A$6790,0),3),(INDEX(COMPOS!$A$4:$G$5000,MATCH($B77,COMPOS!$A$4:$A$5000,0),3))))</f>
        <v>UN</v>
      </c>
      <c r="E77" s="276">
        <v>20</v>
      </c>
      <c r="F77" s="279">
        <f>(IF($A77="SINAPI",INDEX(SINAPI_NOV2020_NDES!$A$7:$H$6703,MATCH($B77,SINAPI_NOV2020_NDES!$A$7:$A$6703,0),5),(INDEX(COMPOS!$A$4:$G$801,MATCH($B77,COMPOS!$A$4:A$801,0),4))))</f>
        <v>2.1414880000000003</v>
      </c>
      <c r="G77" s="279">
        <f>(IF($A77="SINAPI",INDEX(SINAPI_NOV2020_NDES!$A$7:$H$6703,MATCH($B77,SINAPI_NOV2020_NDES!$A$7:$A$6703,0),6),(INDEX(COMPOS!$A$4:$G$801,MATCH($B77,COMPOS!$A$4:A$801,0),5))))</f>
        <v>7.91</v>
      </c>
      <c r="H77" s="280">
        <f>(IF($A77="SINAPI",INDEX(SINAPI_NOV2020_NDES!$A$7:$H$6703,MATCH($B77,SINAPI_NOV2020_NDES!$A$7:$A$6703,0),7),(INDEX(COMPOS!$A$4:$G$801,MATCH($B77,COMPOS!$A$4:A$801,0),6))))</f>
        <v>0</v>
      </c>
      <c r="I77" s="279">
        <f t="shared" si="14"/>
        <v>10.051488000000001</v>
      </c>
      <c r="J77" s="276">
        <f t="shared" si="15"/>
        <v>201.02976000000001</v>
      </c>
      <c r="K77" s="255"/>
      <c r="L77" s="255"/>
      <c r="M77" s="255"/>
      <c r="N77" s="255"/>
      <c r="O77" s="257"/>
      <c r="P77" s="257"/>
      <c r="ALK77" s="42"/>
      <c r="ALL77" s="42"/>
      <c r="ALM77" s="42"/>
      <c r="ALN77" s="42"/>
      <c r="ALO77" s="42"/>
      <c r="ALP77" s="42"/>
      <c r="ALQ77" s="42"/>
      <c r="ALR77" s="42"/>
      <c r="ALS77" s="42"/>
    </row>
    <row r="78" spans="1:1007">
      <c r="A78" s="251" t="s">
        <v>6307</v>
      </c>
      <c r="B78" s="283">
        <v>537</v>
      </c>
      <c r="C78" s="282" t="str">
        <f>(IF($A78="SINAPI",INDEX(SINAPI_NOV2020_NDES!$A$7:$H$6703,MATCH($B78,SINAPI_NOV2020_NDES!$A$7:$A$6703,0),2),IF($A78="GOINFRA",INDEX(#REF!,MATCH($B78,#REF!,0),2),(INDEX(COMPOS!$A$4:$G$390,MATCH($B78,COMPOS!$A$4:A$390,0),2)))))</f>
        <v>ABRAÇADEIRA TIPO D 1" COM CUNHA</v>
      </c>
      <c r="D78" s="274" t="str">
        <f>(IF($A78="SINAPI",INDEX(SINAPI_NOV2020_NDES!$A$7:$H$6790,MATCH($B78,SINAPI_NOV2020_NDES!$A$7:$A$6790,0),3),(INDEX(COMPOS!$A$4:$G$5000,MATCH($B78,COMPOS!$A$4:$A$5000,0),3))))</f>
        <v>UN</v>
      </c>
      <c r="E78" s="276">
        <v>16</v>
      </c>
      <c r="F78" s="279">
        <f>(IF($A78="SINAPI",INDEX(SINAPI_NOV2020_NDES!$A$7:$H$6703,MATCH($B78,SINAPI_NOV2020_NDES!$A$7:$A$6703,0),5),(INDEX(COMPOS!$A$4:$G$801,MATCH($B78,COMPOS!$A$4:A$801,0),4))))</f>
        <v>0.38629999999999998</v>
      </c>
      <c r="G78" s="279">
        <f>(IF($A78="SINAPI",INDEX(SINAPI_NOV2020_NDES!$A$7:$H$6703,MATCH($B78,SINAPI_NOV2020_NDES!$A$7:$A$6703,0),6),(INDEX(COMPOS!$A$4:$G$801,MATCH($B78,COMPOS!$A$4:A$801,0),5))))</f>
        <v>0.56999999999999995</v>
      </c>
      <c r="H78" s="280">
        <f>(IF($A78="SINAPI",INDEX(SINAPI_NOV2020_NDES!$A$7:$H$6703,MATCH($B78,SINAPI_NOV2020_NDES!$A$7:$A$6703,0),7),(INDEX(COMPOS!$A$4:$G$801,MATCH($B78,COMPOS!$A$4:A$801,0),6))))</f>
        <v>0</v>
      </c>
      <c r="I78" s="279">
        <f t="shared" si="14"/>
        <v>0.95629999999999993</v>
      </c>
      <c r="J78" s="276">
        <f t="shared" si="15"/>
        <v>15.300799999999999</v>
      </c>
      <c r="K78" s="255"/>
      <c r="L78" s="255"/>
      <c r="M78" s="255"/>
      <c r="N78" s="255"/>
      <c r="O78" s="257"/>
      <c r="P78" s="257"/>
      <c r="ALK78" s="42"/>
      <c r="ALL78" s="42"/>
      <c r="ALM78" s="42"/>
      <c r="ALN78" s="42"/>
      <c r="ALO78" s="42"/>
      <c r="ALP78" s="42"/>
      <c r="ALQ78" s="42"/>
      <c r="ALR78" s="42"/>
      <c r="ALS78" s="42"/>
    </row>
    <row r="79" spans="1:1007">
      <c r="A79" s="251" t="s">
        <v>6307</v>
      </c>
      <c r="B79" s="283">
        <v>538</v>
      </c>
      <c r="C79" s="282" t="str">
        <f>(IF($A79="SINAPI",INDEX(SINAPI_NOV2020_NDES!$A$7:$H$6703,MATCH($B79,SINAPI_NOV2020_NDES!$A$7:$A$6703,0),2),IF($A79="GOINFRA",INDEX(#REF!,MATCH($B79,#REF!,0),2),(INDEX(COMPOS!$A$4:$G$390,MATCH($B79,COMPOS!$A$4:A$390,0),2)))))</f>
        <v>CAIXA DE INSPEÇÃO SUSPENSA</v>
      </c>
      <c r="D79" s="274" t="str">
        <f>(IF($A79="SINAPI",INDEX(SINAPI_NOV2020_NDES!$A$7:$H$6790,MATCH($B79,SINAPI_NOV2020_NDES!$A$7:$A$6790,0),3),(INDEX(COMPOS!$A$4:$G$5000,MATCH($B79,COMPOS!$A$4:$A$5000,0),3))))</f>
        <v>UN</v>
      </c>
      <c r="E79" s="276">
        <v>4</v>
      </c>
      <c r="F79" s="279">
        <f>(IF($A79="SINAPI",INDEX(SINAPI_NOV2020_NDES!$A$7:$H$6703,MATCH($B79,SINAPI_NOV2020_NDES!$A$7:$A$6703,0),5),(INDEX(COMPOS!$A$4:$G$801,MATCH($B79,COMPOS!$A$4:A$801,0),4))))</f>
        <v>5.7944999999999993</v>
      </c>
      <c r="G79" s="279">
        <f>(IF($A79="SINAPI",INDEX(SINAPI_NOV2020_NDES!$A$7:$H$6703,MATCH($B79,SINAPI_NOV2020_NDES!$A$7:$A$6703,0),6),(INDEX(COMPOS!$A$4:$G$801,MATCH($B79,COMPOS!$A$4:A$801,0),5))))</f>
        <v>76.625</v>
      </c>
      <c r="H79" s="280">
        <f>(IF($A79="SINAPI",INDEX(SINAPI_NOV2020_NDES!$A$7:$H$6703,MATCH($B79,SINAPI_NOV2020_NDES!$A$7:$A$6703,0),7),(INDEX(COMPOS!$A$4:$G$801,MATCH($B79,COMPOS!$A$4:A$801,0),6))))</f>
        <v>0</v>
      </c>
      <c r="I79" s="279">
        <f t="shared" si="14"/>
        <v>82.419499999999999</v>
      </c>
      <c r="J79" s="276">
        <f t="shared" si="15"/>
        <v>329.678</v>
      </c>
      <c r="K79" s="255"/>
      <c r="L79" s="255"/>
      <c r="M79" s="255"/>
      <c r="N79" s="255"/>
      <c r="O79" s="257"/>
      <c r="P79" s="257"/>
      <c r="ALK79" s="42"/>
      <c r="ALL79" s="42"/>
      <c r="ALM79" s="42"/>
      <c r="ALN79" s="42"/>
      <c r="ALO79" s="42"/>
      <c r="ALP79" s="42"/>
      <c r="ALQ79" s="42"/>
      <c r="ALR79" s="42"/>
      <c r="ALS79" s="42"/>
    </row>
    <row r="80" spans="1:1007">
      <c r="A80" s="251" t="s">
        <v>6307</v>
      </c>
      <c r="B80" s="283">
        <v>639</v>
      </c>
      <c r="C80" s="282" t="str">
        <f>(IF($A80="SINAPI",INDEX(SINAPI_NOV2020_NDES!$A$7:$H$6703,MATCH($B80,SINAPI_NOV2020_NDES!$A$7:$A$6703,0),2),IF($A80="GOINFRA",INDEX(#REF!,MATCH($B80,#REF!,0),2),(INDEX(COMPOS!$A$4:$G$390,MATCH($B80,COMPOS!$A$4:A$390,0),2)))))</f>
        <v>CONJUNTO PARA ESTAIS RÍGIDO + ABRAÇADEIRA 2" 3M</v>
      </c>
      <c r="D80" s="274" t="str">
        <f>(IF($A80="SINAPI",INDEX(SINAPI_NOV2020_NDES!$A$7:$H$6790,MATCH($B80,SINAPI_NOV2020_NDES!$A$7:$A$6790,0),3),(INDEX(COMPOS!$A$4:$G$5000,MATCH($B80,COMPOS!$A$4:$A$5000,0),3))))</f>
        <v>UN</v>
      </c>
      <c r="E80" s="276">
        <v>1</v>
      </c>
      <c r="F80" s="279">
        <f>(IF($A80="SINAPI",INDEX(SINAPI_NOV2020_NDES!$A$7:$H$6703,MATCH($B80,SINAPI_NOV2020_NDES!$A$7:$A$6703,0),5),(INDEX(COMPOS!$A$4:$G$801,MATCH($B80,COMPOS!$A$4:A$801,0),4))))</f>
        <v>18.001580000000001</v>
      </c>
      <c r="G80" s="279">
        <f>(IF($A80="SINAPI",INDEX(SINAPI_NOV2020_NDES!$A$7:$H$6703,MATCH($B80,SINAPI_NOV2020_NDES!$A$7:$A$6703,0),6),(INDEX(COMPOS!$A$4:$G$801,MATCH($B80,COMPOS!$A$4:A$801,0),5))))</f>
        <v>384.24</v>
      </c>
      <c r="H80" s="280">
        <f>(IF($A80="SINAPI",INDEX(SINAPI_NOV2020_NDES!$A$7:$H$6703,MATCH($B80,SINAPI_NOV2020_NDES!$A$7:$A$6703,0),7),(INDEX(COMPOS!$A$4:$G$801,MATCH($B80,COMPOS!$A$4:A$801,0),6))))</f>
        <v>0</v>
      </c>
      <c r="I80" s="279">
        <f t="shared" si="14"/>
        <v>402.24158</v>
      </c>
      <c r="J80" s="276">
        <f t="shared" si="15"/>
        <v>402.24158</v>
      </c>
      <c r="K80" s="255"/>
      <c r="L80" s="255"/>
      <c r="M80" s="255"/>
      <c r="N80" s="255"/>
      <c r="O80" s="257"/>
      <c r="P80" s="257"/>
      <c r="ALK80" s="42"/>
      <c r="ALL80" s="42"/>
      <c r="ALM80" s="42"/>
      <c r="ALN80" s="42"/>
      <c r="ALO80" s="42"/>
      <c r="ALP80" s="42"/>
      <c r="ALQ80" s="42"/>
      <c r="ALR80" s="42"/>
      <c r="ALS80" s="42"/>
    </row>
    <row r="81" spans="1:1007">
      <c r="A81" s="251" t="s">
        <v>6307</v>
      </c>
      <c r="B81" s="283">
        <v>541</v>
      </c>
      <c r="C81" s="282" t="str">
        <f>(IF($A81="SINAPI",INDEX(SINAPI_NOV2020_NDES!$A$7:$H$6703,MATCH($B81,SINAPI_NOV2020_NDES!$A$7:$A$6703,0),2),IF($A81="GOINFRA",INDEX(#REF!,MATCH($B81,#REF!,0),2),(INDEX(COMPOS!$A$4:$G$390,MATCH($B81,COMPOS!$A$4:A$390,0),2)))))</f>
        <v>ABRACADEIRA-GUIA REFORCADA 2" DUAS DESCIDAS</v>
      </c>
      <c r="D81" s="274" t="str">
        <f>(IF($A81="SINAPI",INDEX(SINAPI_NOV2020_NDES!$A$7:$H$6790,MATCH($B81,SINAPI_NOV2020_NDES!$A$7:$A$6790,0),3),(INDEX(COMPOS!$A$4:$G$5000,MATCH($B81,COMPOS!$A$4:$A$5000,0),3))))</f>
        <v>UN</v>
      </c>
      <c r="E81" s="276">
        <v>1</v>
      </c>
      <c r="F81" s="279">
        <f>(IF($A81="SINAPI",INDEX(SINAPI_NOV2020_NDES!$A$7:$H$6703,MATCH($B81,SINAPI_NOV2020_NDES!$A$7:$A$6703,0),5),(INDEX(COMPOS!$A$4:$G$801,MATCH($B81,COMPOS!$A$4:A$801,0),4))))</f>
        <v>12.222532000000001</v>
      </c>
      <c r="G81" s="279">
        <f>(IF($A81="SINAPI",INDEX(SINAPI_NOV2020_NDES!$A$7:$H$6703,MATCH($B81,SINAPI_NOV2020_NDES!$A$7:$A$6703,0),6),(INDEX(COMPOS!$A$4:$G$801,MATCH($B81,COMPOS!$A$4:A$801,0),5))))</f>
        <v>63.305</v>
      </c>
      <c r="H81" s="280">
        <f>(IF($A81="SINAPI",INDEX(SINAPI_NOV2020_NDES!$A$7:$H$6703,MATCH($B81,SINAPI_NOV2020_NDES!$A$7:$A$6703,0),7),(INDEX(COMPOS!$A$4:$G$801,MATCH($B81,COMPOS!$A$4:A$801,0),6))))</f>
        <v>0</v>
      </c>
      <c r="I81" s="279">
        <f t="shared" si="14"/>
        <v>75.527532000000008</v>
      </c>
      <c r="J81" s="276">
        <f t="shared" si="15"/>
        <v>75.527532000000008</v>
      </c>
      <c r="K81" s="255"/>
      <c r="L81" s="255"/>
      <c r="M81" s="255"/>
      <c r="N81" s="255"/>
      <c r="O81" s="257"/>
      <c r="P81" s="257"/>
      <c r="ALK81" s="42"/>
      <c r="ALL81" s="42"/>
      <c r="ALM81" s="42"/>
      <c r="ALN81" s="42"/>
      <c r="ALO81" s="42"/>
      <c r="ALP81" s="42"/>
      <c r="ALQ81" s="42"/>
      <c r="ALR81" s="42"/>
      <c r="ALS81" s="42"/>
    </row>
    <row r="82" spans="1:1007">
      <c r="A82" s="251" t="s">
        <v>6307</v>
      </c>
      <c r="B82" s="283">
        <v>771</v>
      </c>
      <c r="C82" s="282" t="str">
        <f>(IF($A82="SINAPI",INDEX(SINAPI_NOV2020_NDES!$A$7:$H$6703,MATCH($B82,SINAPI_NOV2020_NDES!$A$7:$A$6703,0),2),IF($A82="GOINFRA",INDEX(#REF!,MATCH($B82,#REF!,0),2),(INDEX(COMPOS!$A$4:$G$390,MATCH($B82,COMPOS!$A$4:A$390,0),2)))))</f>
        <v>BASE METÁLICA PARA MASTRO 2"</v>
      </c>
      <c r="D82" s="274" t="str">
        <f>(IF($A82="SINAPI",INDEX(SINAPI_NOV2020_NDES!$A$7:$H$6790,MATCH($B82,SINAPI_NOV2020_NDES!$A$7:$A$6790,0),3),(INDEX(COMPOS!$A$4:$G$5000,MATCH($B82,COMPOS!$A$4:$A$5000,0),3))))</f>
        <v>UN</v>
      </c>
      <c r="E82" s="276">
        <v>1</v>
      </c>
      <c r="F82" s="279">
        <f>(IF($A82="SINAPI",INDEX(SINAPI_NOV2020_NDES!$A$7:$H$6703,MATCH($B82,SINAPI_NOV2020_NDES!$A$7:$A$6703,0),5),(INDEX(COMPOS!$A$4:$G$801,MATCH($B82,COMPOS!$A$4:A$801,0),4))))</f>
        <v>51.505378999999991</v>
      </c>
      <c r="G82" s="279">
        <f>(IF($A82="SINAPI",INDEX(SINAPI_NOV2020_NDES!$A$7:$H$6703,MATCH($B82,SINAPI_NOV2020_NDES!$A$7:$A$6703,0),6),(INDEX(COMPOS!$A$4:$G$801,MATCH($B82,COMPOS!$A$4:A$801,0),5))))</f>
        <v>65.47</v>
      </c>
      <c r="H82" s="280">
        <f>(IF($A82="SINAPI",INDEX(SINAPI_NOV2020_NDES!$A$7:$H$6703,MATCH($B82,SINAPI_NOV2020_NDES!$A$7:$A$6703,0),7),(INDEX(COMPOS!$A$4:$G$801,MATCH($B82,COMPOS!$A$4:A$801,0),6))))</f>
        <v>0</v>
      </c>
      <c r="I82" s="279">
        <f t="shared" si="14"/>
        <v>116.97537899999999</v>
      </c>
      <c r="J82" s="276">
        <f t="shared" si="15"/>
        <v>116.97537899999999</v>
      </c>
      <c r="K82" s="255"/>
      <c r="L82" s="255"/>
      <c r="M82" s="255"/>
      <c r="N82" s="255"/>
      <c r="O82" s="257"/>
      <c r="P82" s="257"/>
      <c r="ALK82" s="42"/>
      <c r="ALL82" s="42"/>
      <c r="ALM82" s="42"/>
      <c r="ALN82" s="42"/>
      <c r="ALO82" s="42"/>
      <c r="ALP82" s="42"/>
      <c r="ALQ82" s="42"/>
      <c r="ALR82" s="42"/>
      <c r="ALS82" s="42"/>
    </row>
    <row r="83" spans="1:1007">
      <c r="A83" s="251" t="s">
        <v>6307</v>
      </c>
      <c r="B83" s="283">
        <v>640</v>
      </c>
      <c r="C83" s="282" t="str">
        <f>(IF($A83="SINAPI",INDEX(SINAPI_NOV2020_NDES!$A$7:$H$6703,MATCH($B83,SINAPI_NOV2020_NDES!$A$7:$A$6703,0),2),IF($A83="GOINFRA",INDEX(#REF!,MATCH($B83,#REF!,0),2),(INDEX(COMPOS!$A$4:$G$390,MATCH($B83,COMPOS!$A$4:A$390,0),2)))))</f>
        <v>CONJUNTO PARA ESTAIS RÍGIDO + ABRAÇADEIRA 2" 3M</v>
      </c>
      <c r="D83" s="274" t="str">
        <f>(IF($A83="SINAPI",INDEX(SINAPI_NOV2020_NDES!$A$7:$H$6790,MATCH($B83,SINAPI_NOV2020_NDES!$A$7:$A$6790,0),3),(INDEX(COMPOS!$A$4:$G$5000,MATCH($B83,COMPOS!$A$4:$A$5000,0),3))))</f>
        <v>UN</v>
      </c>
      <c r="E83" s="276">
        <v>4</v>
      </c>
      <c r="F83" s="279">
        <f>(IF($A83="SINAPI",INDEX(SINAPI_NOV2020_NDES!$A$7:$H$6703,MATCH($B83,SINAPI_NOV2020_NDES!$A$7:$A$6703,0),5),(INDEX(COMPOS!$A$4:$G$801,MATCH($B83,COMPOS!$A$4:A$801,0),4))))</f>
        <v>12.462038</v>
      </c>
      <c r="G83" s="279">
        <f>(IF($A83="SINAPI",INDEX(SINAPI_NOV2020_NDES!$A$7:$H$6703,MATCH($B83,SINAPI_NOV2020_NDES!$A$7:$A$6703,0),6),(INDEX(COMPOS!$A$4:$G$801,MATCH($B83,COMPOS!$A$4:A$801,0),5))))</f>
        <v>222.64000000000001</v>
      </c>
      <c r="H83" s="280">
        <f>(IF($A83="SINAPI",INDEX(SINAPI_NOV2020_NDES!$A$7:$H$6703,MATCH($B83,SINAPI_NOV2020_NDES!$A$7:$A$6703,0),7),(INDEX(COMPOS!$A$4:$G$801,MATCH($B83,COMPOS!$A$4:A$801,0),6))))</f>
        <v>0</v>
      </c>
      <c r="I83" s="279">
        <f t="shared" si="14"/>
        <v>235.10203800000002</v>
      </c>
      <c r="J83" s="276">
        <f t="shared" si="15"/>
        <v>940.40815200000009</v>
      </c>
      <c r="K83" s="255"/>
      <c r="L83" s="255"/>
      <c r="M83" s="255"/>
      <c r="N83" s="255"/>
      <c r="O83" s="257"/>
      <c r="P83" s="257"/>
      <c r="ALK83" s="42"/>
      <c r="ALL83" s="42"/>
      <c r="ALM83" s="42"/>
      <c r="ALN83" s="42"/>
      <c r="ALO83" s="42"/>
      <c r="ALP83" s="42"/>
      <c r="ALQ83" s="42"/>
      <c r="ALR83" s="42"/>
      <c r="ALS83" s="42"/>
    </row>
    <row r="84" spans="1:1007" ht="24">
      <c r="A84" s="251" t="s">
        <v>7</v>
      </c>
      <c r="B84" s="283">
        <v>96985</v>
      </c>
      <c r="C84" s="282" t="str">
        <f>(IF($A84="SINAPI",INDEX(SINAPI_NOV2020_NDES!$A$7:$H$6703,MATCH($B84,SINAPI_NOV2020_NDES!$A$7:$A$6703,0),2),IF($A84="GOINFRA",INDEX(#REF!,MATCH($B84,#REF!,0),2),(INDEX(COMPOS!$A$4:$G$390,MATCH($B84,COMPOS!$A$4:A$390,0),2)))))</f>
        <v>HASTE DE ATERRAMENTO 5/8  PARA SPDA - FORNECIMENTO E INSTALAÇÃO. AF_12/2017</v>
      </c>
      <c r="D84" s="274" t="str">
        <f>(IF($A84="SINAPI",INDEX(SINAPI_NOV2020_NDES!$A$7:$H$6790,MATCH($B84,SINAPI_NOV2020_NDES!$A$7:$A$6790,0),3),(INDEX(COMPOS!$A$4:$G$5000,MATCH($B84,COMPOS!$A$4:$A$5000,0),3))))</f>
        <v>UN</v>
      </c>
      <c r="E84" s="276">
        <v>8</v>
      </c>
      <c r="F84" s="279">
        <f>(IF($A84="SINAPI",INDEX(SINAPI_NOV2020_NDES!$A$7:$H$6703,MATCH($B84,SINAPI_NOV2020_NDES!$A$7:$A$6703,0),5),(INDEX(COMPOS!$A$4:$G$801,MATCH($B84,COMPOS!$A$4:A$801,0),4))))</f>
        <v>7.44</v>
      </c>
      <c r="G84" s="279">
        <f>(IF($A84="SINAPI",INDEX(SINAPI_NOV2020_NDES!$A$7:$H$6703,MATCH($B84,SINAPI_NOV2020_NDES!$A$7:$A$6703,0),6),(INDEX(COMPOS!$A$4:$G$801,MATCH($B84,COMPOS!$A$4:A$801,0),5))))</f>
        <v>38.17</v>
      </c>
      <c r="H84" s="280">
        <f>(IF($A84="SINAPI",INDEX(SINAPI_NOV2020_NDES!$A$7:$H$6703,MATCH($B84,SINAPI_NOV2020_NDES!$A$7:$A$6703,0),7),(INDEX(COMPOS!$A$4:$G$801,MATCH($B84,COMPOS!$A$4:A$801,0),6))))</f>
        <v>0</v>
      </c>
      <c r="I84" s="279">
        <f t="shared" si="14"/>
        <v>45.61</v>
      </c>
      <c r="J84" s="276">
        <f t="shared" si="15"/>
        <v>364.88</v>
      </c>
      <c r="K84" s="255"/>
      <c r="L84" s="255"/>
      <c r="M84" s="255"/>
      <c r="N84" s="255"/>
      <c r="O84" s="257"/>
      <c r="P84" s="257"/>
      <c r="ALK84" s="42"/>
      <c r="ALL84" s="42"/>
      <c r="ALM84" s="42"/>
      <c r="ALN84" s="42"/>
      <c r="ALO84" s="42"/>
      <c r="ALP84" s="42"/>
      <c r="ALQ84" s="42"/>
      <c r="ALR84" s="42"/>
      <c r="ALS84" s="42"/>
    </row>
    <row r="85" spans="1:1007">
      <c r="A85" s="251" t="s">
        <v>6307</v>
      </c>
      <c r="B85" s="283">
        <v>471</v>
      </c>
      <c r="C85" s="282" t="str">
        <f>(IF($A85="SINAPI",INDEX(SINAPI_NOV2020_NDES!$A$7:$H$6703,MATCH($B85,SINAPI_NOV2020_NDES!$A$7:$A$6703,0),2),IF($A85="GOINFRA",INDEX(#REF!,MATCH($B85,#REF!,0),2),(INDEX(COMPOS!$A$4:$G$390,MATCH($B85,COMPOS!$A$4:A$390,0),2)))))</f>
        <v>CAIXA DE PASSAGEM 20X20X25 FUNDO BRITA COM TAMPA</v>
      </c>
      <c r="D85" s="274" t="str">
        <f>(IF($A85="SINAPI",INDEX(SINAPI_NOV2020_NDES!$A$7:$H$6790,MATCH($B85,SINAPI_NOV2020_NDES!$A$7:$A$6790,0),3),(INDEX(COMPOS!$A$4:$G$5000,MATCH($B85,COMPOS!$A$4:$A$5000,0),3))))</f>
        <v>UN</v>
      </c>
      <c r="E85" s="276">
        <v>8</v>
      </c>
      <c r="F85" s="279">
        <f>(IF($A85="SINAPI",INDEX(SINAPI_NOV2020_NDES!$A$7:$H$6703,MATCH($B85,SINAPI_NOV2020_NDES!$A$7:$A$6703,0),5),(INDEX(COMPOS!$A$4:$G$801,MATCH($B85,COMPOS!$A$4:A$801,0),4))))</f>
        <v>39.464161000000004</v>
      </c>
      <c r="G85" s="279">
        <f>(IF($A85="SINAPI",INDEX(SINAPI_NOV2020_NDES!$A$7:$H$6703,MATCH($B85,SINAPI_NOV2020_NDES!$A$7:$A$6703,0),6),(INDEX(COMPOS!$A$4:$G$801,MATCH($B85,COMPOS!$A$4:A$801,0),5))))</f>
        <v>28.903701999999999</v>
      </c>
      <c r="H85" s="280">
        <f>(IF($A85="SINAPI",INDEX(SINAPI_NOV2020_NDES!$A$7:$H$6703,MATCH($B85,SINAPI_NOV2020_NDES!$A$7:$A$6703,0),7),(INDEX(COMPOS!$A$4:$G$801,MATCH($B85,COMPOS!$A$4:A$801,0),6))))</f>
        <v>0</v>
      </c>
      <c r="I85" s="279">
        <f t="shared" si="14"/>
        <v>68.367863</v>
      </c>
      <c r="J85" s="276">
        <f t="shared" si="15"/>
        <v>546.942904</v>
      </c>
      <c r="K85" s="255"/>
      <c r="L85" s="255"/>
      <c r="M85" s="255"/>
      <c r="N85" s="255"/>
      <c r="O85" s="257"/>
      <c r="P85" s="257"/>
      <c r="ALK85" s="42"/>
      <c r="ALL85" s="42"/>
      <c r="ALM85" s="42"/>
      <c r="ALN85" s="42"/>
      <c r="ALO85" s="42"/>
      <c r="ALP85" s="42"/>
      <c r="ALQ85" s="42"/>
      <c r="ALR85" s="42"/>
      <c r="ALS85" s="42"/>
    </row>
    <row r="86" spans="1:1007" ht="24">
      <c r="A86" s="251" t="s">
        <v>7</v>
      </c>
      <c r="B86" s="283">
        <v>96989</v>
      </c>
      <c r="C86" s="282" t="str">
        <f>(IF($A86="SINAPI",INDEX(SINAPI_NOV2020_NDES!$A$7:$H$6703,MATCH($B86,SINAPI_NOV2020_NDES!$A$7:$A$6703,0),2),IF($A86="GOINFRA",INDEX(#REF!,MATCH($B86,#REF!,0),2),(INDEX(COMPOS!$A$4:$G$390,MATCH($B86,COMPOS!$A$4:A$390,0),2)))))</f>
        <v>CAPTOR TIPO FRANKLIN PARA SPDA - FORNECIMENTO E INSTALAÇÃO. AF_12/2017</v>
      </c>
      <c r="D86" s="274" t="str">
        <f>(IF($A86="SINAPI",INDEX(SINAPI_NOV2020_NDES!$A$7:$H$6790,MATCH($B86,SINAPI_NOV2020_NDES!$A$7:$A$6790,0),3),(INDEX(COMPOS!$A$4:$G$5000,MATCH($B86,COMPOS!$A$4:$A$5000,0),3))))</f>
        <v>UN</v>
      </c>
      <c r="E86" s="276">
        <v>1</v>
      </c>
      <c r="F86" s="279">
        <f>(IF($A86="SINAPI",INDEX(SINAPI_NOV2020_NDES!$A$7:$H$6703,MATCH($B86,SINAPI_NOV2020_NDES!$A$7:$A$6703,0),5),(INDEX(COMPOS!$A$4:$G$801,MATCH($B86,COMPOS!$A$4:A$801,0),4))))</f>
        <v>3.7</v>
      </c>
      <c r="G86" s="279">
        <f>(IF($A86="SINAPI",INDEX(SINAPI_NOV2020_NDES!$A$7:$H$6703,MATCH($B86,SINAPI_NOV2020_NDES!$A$7:$A$6703,0),6),(INDEX(COMPOS!$A$4:$G$801,MATCH($B86,COMPOS!$A$4:A$801,0),5))))</f>
        <v>89.17</v>
      </c>
      <c r="H86" s="280">
        <f>(IF($A86="SINAPI",INDEX(SINAPI_NOV2020_NDES!$A$7:$H$6703,MATCH($B86,SINAPI_NOV2020_NDES!$A$7:$A$6703,0),7),(INDEX(COMPOS!$A$4:$G$801,MATCH($B86,COMPOS!$A$4:A$801,0),6))))</f>
        <v>0</v>
      </c>
      <c r="I86" s="279">
        <f t="shared" si="14"/>
        <v>92.87</v>
      </c>
      <c r="J86" s="276">
        <f t="shared" si="15"/>
        <v>92.87</v>
      </c>
      <c r="K86" s="255"/>
      <c r="L86" s="255"/>
      <c r="M86" s="255"/>
      <c r="N86" s="255"/>
      <c r="O86" s="257"/>
      <c r="P86" s="257"/>
      <c r="ALK86" s="42"/>
      <c r="ALL86" s="42"/>
      <c r="ALM86" s="42"/>
      <c r="ALN86" s="42"/>
      <c r="ALO86" s="42"/>
      <c r="ALP86" s="42"/>
      <c r="ALQ86" s="42"/>
      <c r="ALR86" s="42"/>
      <c r="ALS86" s="42"/>
    </row>
    <row r="87" spans="1:1007">
      <c r="A87" s="251" t="s">
        <v>6307</v>
      </c>
      <c r="B87" s="283">
        <v>536</v>
      </c>
      <c r="C87" s="282" t="str">
        <f>(IF($A87="SINAPI",INDEX(SINAPI_NOV2020_NDES!$A$7:$H$6703,MATCH($B87,SINAPI_NOV2020_NDES!$A$7:$A$6703,0),2),IF($A87="GOINFRA",INDEX(#REF!,MATCH($B87,#REF!,0),2),(INDEX(COMPOS!$A$4:$G$390,MATCH($B87,COMPOS!$A$4:A$390,0),2)))))</f>
        <v>PARAFUSO SEXTAVADO D=1/4" X 5/8" COM BUCHA S-11</v>
      </c>
      <c r="D87" s="274" t="str">
        <f>(IF($A87="SINAPI",INDEX(SINAPI_NOV2020_NDES!$A$7:$H$6790,MATCH($B87,SINAPI_NOV2020_NDES!$A$7:$A$6790,0),3),(INDEX(COMPOS!$A$4:$G$5000,MATCH($B87,COMPOS!$A$4:$A$5000,0),3))))</f>
        <v>UN</v>
      </c>
      <c r="E87" s="276">
        <v>120</v>
      </c>
      <c r="F87" s="279">
        <f>(IF($A87="SINAPI",INDEX(SINAPI_NOV2020_NDES!$A$7:$H$6703,MATCH($B87,SINAPI_NOV2020_NDES!$A$7:$A$6703,0),5),(INDEX(COMPOS!$A$4:$G$801,MATCH($B87,COMPOS!$A$4:A$801,0),4))))</f>
        <v>1.027558</v>
      </c>
      <c r="G87" s="279">
        <f>(IF($A87="SINAPI",INDEX(SINAPI_NOV2020_NDES!$A$7:$H$6703,MATCH($B87,SINAPI_NOV2020_NDES!$A$7:$A$6703,0),6),(INDEX(COMPOS!$A$4:$G$801,MATCH($B87,COMPOS!$A$4:A$801,0),5))))</f>
        <v>0.48</v>
      </c>
      <c r="H87" s="280">
        <f>(IF($A87="SINAPI",INDEX(SINAPI_NOV2020_NDES!$A$7:$H$6703,MATCH($B87,SINAPI_NOV2020_NDES!$A$7:$A$6703,0),7),(INDEX(COMPOS!$A$4:$G$801,MATCH($B87,COMPOS!$A$4:A$801,0),6))))</f>
        <v>0</v>
      </c>
      <c r="I87" s="279">
        <f t="shared" si="14"/>
        <v>1.507558</v>
      </c>
      <c r="J87" s="276">
        <f t="shared" si="15"/>
        <v>180.90696</v>
      </c>
      <c r="K87" s="255"/>
      <c r="L87" s="255"/>
      <c r="M87" s="255"/>
      <c r="N87" s="255"/>
      <c r="O87" s="257"/>
      <c r="P87" s="257"/>
      <c r="ALK87" s="42"/>
      <c r="ALL87" s="42"/>
      <c r="ALM87" s="42"/>
      <c r="ALN87" s="42"/>
      <c r="ALO87" s="42"/>
      <c r="ALP87" s="42"/>
      <c r="ALQ87" s="42"/>
      <c r="ALR87" s="42"/>
      <c r="ALS87" s="42"/>
    </row>
    <row r="88" spans="1:1007" ht="24">
      <c r="A88" s="251" t="s">
        <v>7</v>
      </c>
      <c r="B88" s="283">
        <v>95731</v>
      </c>
      <c r="C88" s="282" t="str">
        <f>(IF($A88="SINAPI",INDEX(SINAPI_NOV2020_NDES!$A$7:$H$6703,MATCH($B88,SINAPI_NOV2020_NDES!$A$7:$A$6703,0),2),IF($A88="GOINFRA",INDEX(#REF!,MATCH($B88,#REF!,0),2),(INDEX(COMPOS!$A$4:$G$390,MATCH($B88,COMPOS!$A$4:A$390,0),2)))))</f>
        <v>ELETRODUTO RÍGIDO SOLDÁVEL, PVC, DN 32 MM (1), APARENTE, INSTALADO EM PAREDE - FORNECIMENTO E INSTALAÇÃO. AF_11/2016_P</v>
      </c>
      <c r="D88" s="274" t="str">
        <f>(IF($A88="SINAPI",INDEX(SINAPI_NOV2020_NDES!$A$7:$H$6790,MATCH($B88,SINAPI_NOV2020_NDES!$A$7:$A$6790,0),3),(INDEX(COMPOS!$A$4:$G$5000,MATCH($B88,COMPOS!$A$4:$A$5000,0),3))))</f>
        <v>M</v>
      </c>
      <c r="E88" s="276">
        <v>10</v>
      </c>
      <c r="F88" s="279">
        <f>(IF($A88="SINAPI",INDEX(SINAPI_NOV2020_NDES!$A$7:$H$6703,MATCH($B88,SINAPI_NOV2020_NDES!$A$7:$A$6703,0),5),(INDEX(COMPOS!$A$4:$G$801,MATCH($B88,COMPOS!$A$4:A$801,0),4))))</f>
        <v>4.1100000000000003</v>
      </c>
      <c r="G88" s="279">
        <f>(IF($A88="SINAPI",INDEX(SINAPI_NOV2020_NDES!$A$7:$H$6703,MATCH($B88,SINAPI_NOV2020_NDES!$A$7:$A$6703,0),6),(INDEX(COMPOS!$A$4:$G$801,MATCH($B88,COMPOS!$A$4:A$801,0),5))))</f>
        <v>3.63</v>
      </c>
      <c r="H88" s="280">
        <f>(IF($A88="SINAPI",INDEX(SINAPI_NOV2020_NDES!$A$7:$H$6703,MATCH($B88,SINAPI_NOV2020_NDES!$A$7:$A$6703,0),7),(INDEX(COMPOS!$A$4:$G$801,MATCH($B88,COMPOS!$A$4:A$801,0),6))))</f>
        <v>0</v>
      </c>
      <c r="I88" s="279">
        <f t="shared" si="14"/>
        <v>7.74</v>
      </c>
      <c r="J88" s="276">
        <f t="shared" si="15"/>
        <v>77.400000000000006</v>
      </c>
      <c r="K88" s="255"/>
      <c r="L88" s="255"/>
      <c r="M88" s="255"/>
      <c r="N88" s="255"/>
      <c r="O88" s="257"/>
      <c r="P88" s="257"/>
      <c r="ALK88" s="42"/>
      <c r="ALL88" s="42"/>
      <c r="ALM88" s="42"/>
      <c r="ALN88" s="42"/>
      <c r="ALO88" s="42"/>
      <c r="ALP88" s="42"/>
      <c r="ALQ88" s="42"/>
      <c r="ALR88" s="42"/>
      <c r="ALS88" s="42"/>
    </row>
    <row r="89" spans="1:1007">
      <c r="A89" s="251" t="s">
        <v>6307</v>
      </c>
      <c r="B89" s="283">
        <v>776</v>
      </c>
      <c r="C89" s="282" t="str">
        <f>(IF($A89="SINAPI",INDEX(SINAPI_NOV2020_NDES!$A$7:$H$6703,MATCH($B89,SINAPI_NOV2020_NDES!$A$7:$A$6703,0),2),IF($A89="GOINFRA",INDEX(#REF!,MATCH($B89,#REF!,0),2),(INDEX(COMPOS!$A$4:$G$390,MATCH($B89,COMPOS!$A$4:A$390,0),2)))))</f>
        <v>SUPORTE ISOLADOR SIMPLES</v>
      </c>
      <c r="D89" s="274" t="str">
        <f>(IF($A89="SINAPI",INDEX(SINAPI_NOV2020_NDES!$A$7:$H$6790,MATCH($B89,SINAPI_NOV2020_NDES!$A$7:$A$6790,0),3),(INDEX(COMPOS!$A$4:$G$5000,MATCH($B89,COMPOS!$A$4:$A$5000,0),3))))</f>
        <v>UN</v>
      </c>
      <c r="E89" s="276">
        <v>60</v>
      </c>
      <c r="F89" s="279">
        <f>(IF($A89="SINAPI",INDEX(SINAPI_NOV2020_NDES!$A$7:$H$6703,MATCH($B89,SINAPI_NOV2020_NDES!$A$7:$A$6703,0),5),(INDEX(COMPOS!$A$4:$G$801,MATCH($B89,COMPOS!$A$4:A$801,0),4))))</f>
        <v>13.520499999999998</v>
      </c>
      <c r="G89" s="279">
        <f>(IF($A89="SINAPI",INDEX(SINAPI_NOV2020_NDES!$A$7:$H$6703,MATCH($B89,SINAPI_NOV2020_NDES!$A$7:$A$6703,0),6),(INDEX(COMPOS!$A$4:$G$801,MATCH($B89,COMPOS!$A$4:A$801,0),5))))</f>
        <v>5.38</v>
      </c>
      <c r="H89" s="280">
        <f>(IF($A89="SINAPI",INDEX(SINAPI_NOV2020_NDES!$A$7:$H$6703,MATCH($B89,SINAPI_NOV2020_NDES!$A$7:$A$6703,0),7),(INDEX(COMPOS!$A$4:$G$801,MATCH($B89,COMPOS!$A$4:A$801,0),6))))</f>
        <v>0</v>
      </c>
      <c r="I89" s="279">
        <f t="shared" si="14"/>
        <v>18.900499999999997</v>
      </c>
      <c r="J89" s="276">
        <f t="shared" si="15"/>
        <v>1134.0299999999997</v>
      </c>
      <c r="K89" s="255"/>
      <c r="L89" s="255"/>
      <c r="M89" s="255"/>
      <c r="N89" s="255"/>
      <c r="O89" s="257"/>
      <c r="P89" s="257"/>
      <c r="ALK89" s="42"/>
      <c r="ALL89" s="42"/>
      <c r="ALM89" s="42"/>
      <c r="ALN89" s="42"/>
      <c r="ALO89" s="42"/>
      <c r="ALP89" s="42"/>
      <c r="ALQ89" s="42"/>
      <c r="ALR89" s="42"/>
      <c r="ALS89" s="42"/>
    </row>
    <row r="90" spans="1:1007">
      <c r="A90" s="251" t="s">
        <v>6307</v>
      </c>
      <c r="B90" s="283">
        <v>542</v>
      </c>
      <c r="C90" s="282" t="str">
        <f>(IF($A90="SINAPI",INDEX(SINAPI_NOV2020_NDES!$A$7:$H$6703,MATCH($B90,SINAPI_NOV2020_NDES!$A$7:$A$6703,0),2),IF($A90="GOINFRA",INDEX(#REF!,MATCH($B90,#REF!,0),2),(INDEX(COMPOS!$A$4:$G$390,MATCH($B90,COMPOS!$A$4:A$390,0),2)))))</f>
        <v>SUPORTE ISOLADOR SIMPLES PARA BEIRAL</v>
      </c>
      <c r="D90" s="274" t="str">
        <f>(IF($A90="SINAPI",INDEX(SINAPI_NOV2020_NDES!$A$7:$H$6790,MATCH($B90,SINAPI_NOV2020_NDES!$A$7:$A$6790,0),3),(INDEX(COMPOS!$A$4:$G$5000,MATCH($B90,COMPOS!$A$4:$A$5000,0),3))))</f>
        <v>UN</v>
      </c>
      <c r="E90" s="276">
        <v>4</v>
      </c>
      <c r="F90" s="279">
        <f>(IF($A90="SINAPI",INDEX(SINAPI_NOV2020_NDES!$A$7:$H$6703,MATCH($B90,SINAPI_NOV2020_NDES!$A$7:$A$6703,0),5),(INDEX(COMPOS!$A$4:$G$801,MATCH($B90,COMPOS!$A$4:A$801,0),4))))</f>
        <v>13.520499999999998</v>
      </c>
      <c r="G90" s="279">
        <f>(IF($A90="SINAPI",INDEX(SINAPI_NOV2020_NDES!$A$7:$H$6703,MATCH($B90,SINAPI_NOV2020_NDES!$A$7:$A$6703,0),6),(INDEX(COMPOS!$A$4:$G$801,MATCH($B90,COMPOS!$A$4:A$801,0),5))))</f>
        <v>52.99</v>
      </c>
      <c r="H90" s="280">
        <f>(IF($A90="SINAPI",INDEX(SINAPI_NOV2020_NDES!$A$7:$H$6703,MATCH($B90,SINAPI_NOV2020_NDES!$A$7:$A$6703,0),7),(INDEX(COMPOS!$A$4:$G$801,MATCH($B90,COMPOS!$A$4:A$801,0),6))))</f>
        <v>0</v>
      </c>
      <c r="I90" s="279">
        <f t="shared" si="14"/>
        <v>66.510500000000008</v>
      </c>
      <c r="J90" s="276">
        <f t="shared" si="15"/>
        <v>266.04200000000003</v>
      </c>
      <c r="K90" s="255"/>
      <c r="L90" s="255"/>
      <c r="M90" s="255"/>
      <c r="N90" s="255"/>
      <c r="O90" s="257"/>
      <c r="P90" s="257"/>
      <c r="ALK90" s="42"/>
      <c r="ALL90" s="42"/>
      <c r="ALM90" s="42"/>
      <c r="ALN90" s="42"/>
      <c r="ALO90" s="42"/>
      <c r="ALP90" s="42"/>
      <c r="ALQ90" s="42"/>
      <c r="ALR90" s="42"/>
      <c r="ALS90" s="42"/>
    </row>
    <row r="91" spans="1:1007">
      <c r="A91" s="251" t="s">
        <v>6307</v>
      </c>
      <c r="B91" s="283">
        <v>543</v>
      </c>
      <c r="C91" s="282" t="str">
        <f>(IF($A91="SINAPI",INDEX(SINAPI_NOV2020_NDES!$A$7:$H$6703,MATCH($B91,SINAPI_NOV2020_NDES!$A$7:$A$6703,0),2),IF($A91="GOINFRA",INDEX(#REF!,MATCH($B91,#REF!,0),2),(INDEX(COMPOS!$A$4:$G$390,MATCH($B91,COMPOS!$A$4:A$390,0),2)))))</f>
        <v>TERMINAL AÉREO 5/8" X 350MM</v>
      </c>
      <c r="D91" s="274" t="str">
        <f>(IF($A91="SINAPI",INDEX(SINAPI_NOV2020_NDES!$A$7:$H$6790,MATCH($B91,SINAPI_NOV2020_NDES!$A$7:$A$6790,0),3),(INDEX(COMPOS!$A$4:$G$5000,MATCH($B91,COMPOS!$A$4:$A$5000,0),3))))</f>
        <v>UN</v>
      </c>
      <c r="E91" s="276">
        <v>17</v>
      </c>
      <c r="F91" s="279">
        <f>(IF($A91="SINAPI",INDEX(SINAPI_NOV2020_NDES!$A$7:$H$6703,MATCH($B91,SINAPI_NOV2020_NDES!$A$7:$A$6703,0),5),(INDEX(COMPOS!$A$4:$G$801,MATCH($B91,COMPOS!$A$4:A$801,0),4))))</f>
        <v>13.520499999999998</v>
      </c>
      <c r="G91" s="279">
        <f>(IF($A91="SINAPI",INDEX(SINAPI_NOV2020_NDES!$A$7:$H$6703,MATCH($B91,SINAPI_NOV2020_NDES!$A$7:$A$6703,0),6),(INDEX(COMPOS!$A$4:$G$801,MATCH($B91,COMPOS!$A$4:A$801,0),5))))</f>
        <v>9.27</v>
      </c>
      <c r="H91" s="280">
        <f>(IF($A91="SINAPI",INDEX(SINAPI_NOV2020_NDES!$A$7:$H$6703,MATCH($B91,SINAPI_NOV2020_NDES!$A$7:$A$6703,0),7),(INDEX(COMPOS!$A$4:$G$801,MATCH($B91,COMPOS!$A$4:A$801,0),6))))</f>
        <v>0</v>
      </c>
      <c r="I91" s="279">
        <f t="shared" si="14"/>
        <v>22.790499999999998</v>
      </c>
      <c r="J91" s="276">
        <f t="shared" si="15"/>
        <v>387.43849999999998</v>
      </c>
      <c r="K91" s="255"/>
      <c r="L91" s="255"/>
      <c r="M91" s="255"/>
      <c r="N91" s="255"/>
      <c r="O91" s="257"/>
      <c r="P91" s="257"/>
      <c r="ALK91" s="42"/>
      <c r="ALL91" s="42"/>
      <c r="ALM91" s="42"/>
      <c r="ALN91" s="42"/>
      <c r="ALO91" s="42"/>
      <c r="ALP91" s="42"/>
      <c r="ALQ91" s="42"/>
      <c r="ALR91" s="42"/>
      <c r="ALS91" s="42"/>
    </row>
    <row r="92" spans="1:1007">
      <c r="A92" s="251" t="s">
        <v>6307</v>
      </c>
      <c r="B92" s="283">
        <v>544</v>
      </c>
      <c r="C92" s="282" t="str">
        <f>(IF($A92="SINAPI",INDEX(SINAPI_NOV2020_NDES!$A$7:$H$6703,MATCH($B92,SINAPI_NOV2020_NDES!$A$7:$A$6703,0),2),IF($A92="GOINFRA",INDEX(#REF!,MATCH($B92,#REF!,0),2),(INDEX(COMPOS!$A$4:$G$390,MATCH($B92,COMPOS!$A$4:A$390,0),2)))))</f>
        <v>MASTRO TELESCÓPICO 5M (4M X ∅ 2" + 1M X ∅ 1.1/2")</v>
      </c>
      <c r="D92" s="274" t="str">
        <f>(IF($A92="SINAPI",INDEX(SINAPI_NOV2020_NDES!$A$7:$H$6790,MATCH($B92,SINAPI_NOV2020_NDES!$A$7:$A$6790,0),3),(INDEX(COMPOS!$A$4:$G$5000,MATCH($B92,COMPOS!$A$4:$A$5000,0),3))))</f>
        <v>UN</v>
      </c>
      <c r="E92" s="276">
        <v>1</v>
      </c>
      <c r="F92" s="279">
        <f>(IF($A92="SINAPI",INDEX(SINAPI_NOV2020_NDES!$A$7:$H$6703,MATCH($B92,SINAPI_NOV2020_NDES!$A$7:$A$6703,0),5),(INDEX(COMPOS!$A$4:$G$801,MATCH($B92,COMPOS!$A$4:A$801,0),4))))</f>
        <v>21.645972999999998</v>
      </c>
      <c r="G92" s="279">
        <f>(IF($A92="SINAPI",INDEX(SINAPI_NOV2020_NDES!$A$7:$H$6703,MATCH($B92,SINAPI_NOV2020_NDES!$A$7:$A$6703,0),6),(INDEX(COMPOS!$A$4:$G$801,MATCH($B92,COMPOS!$A$4:A$801,0),5))))</f>
        <v>399.61157259999999</v>
      </c>
      <c r="H92" s="280">
        <f>(IF($A92="SINAPI",INDEX(SINAPI_NOV2020_NDES!$A$7:$H$6703,MATCH($B92,SINAPI_NOV2020_NDES!$A$7:$A$6703,0),7),(INDEX(COMPOS!$A$4:$G$801,MATCH($B92,COMPOS!$A$4:A$801,0),6))))</f>
        <v>0</v>
      </c>
      <c r="I92" s="279">
        <f t="shared" si="14"/>
        <v>421.25754559999996</v>
      </c>
      <c r="J92" s="276">
        <f t="shared" si="15"/>
        <v>421.25754559999996</v>
      </c>
      <c r="K92" s="255"/>
      <c r="L92" s="255"/>
      <c r="M92" s="255"/>
      <c r="N92" s="255"/>
      <c r="O92" s="257"/>
      <c r="P92" s="257"/>
      <c r="ALK92" s="42"/>
      <c r="ALL92" s="42"/>
      <c r="ALM92" s="42"/>
      <c r="ALN92" s="42"/>
      <c r="ALO92" s="42"/>
      <c r="ALP92" s="42"/>
      <c r="ALQ92" s="42"/>
      <c r="ALR92" s="42"/>
      <c r="ALS92" s="42"/>
    </row>
    <row r="93" spans="1:1007" s="88" customFormat="1" ht="24" customHeight="1">
      <c r="A93" s="680" t="s">
        <v>6927</v>
      </c>
      <c r="B93" s="680"/>
      <c r="C93" s="680"/>
      <c r="D93" s="680"/>
      <c r="E93" s="680"/>
      <c r="F93" s="680"/>
      <c r="G93" s="680"/>
      <c r="H93" s="680"/>
      <c r="I93" s="680"/>
      <c r="J93" s="281">
        <f>SUM(J21:J92)</f>
        <v>68545.161972399015</v>
      </c>
      <c r="K93" s="255"/>
      <c r="L93" s="255"/>
      <c r="M93" s="255"/>
      <c r="N93" s="255"/>
      <c r="O93" s="257"/>
      <c r="P93" s="257"/>
    </row>
    <row r="94" spans="1:1007">
      <c r="A94" s="251"/>
      <c r="B94" s="290">
        <v>170</v>
      </c>
      <c r="C94" s="273" t="s">
        <v>604</v>
      </c>
      <c r="D94" s="274" t="s">
        <v>6922</v>
      </c>
      <c r="E94" s="276"/>
      <c r="F94" s="276"/>
      <c r="G94" s="276"/>
      <c r="H94" s="276"/>
      <c r="I94" s="280"/>
      <c r="J94" s="280"/>
      <c r="K94" s="255"/>
      <c r="L94" s="255"/>
      <c r="M94" s="255"/>
      <c r="N94" s="255"/>
      <c r="O94" s="257"/>
      <c r="P94" s="257"/>
    </row>
    <row r="95" spans="1:1007" ht="24">
      <c r="A95" s="251" t="s">
        <v>7</v>
      </c>
      <c r="B95" s="290">
        <v>95469</v>
      </c>
      <c r="C95" s="282" t="str">
        <f>(IF($A95="SINAPI",INDEX(SINAPI_NOV2020_NDES!$A$7:$H$6703,MATCH($B95,SINAPI_NOV2020_NDES!$A$7:$A$6703,0),2),IF($A95="GOINFRA",INDEX(#REF!,MATCH($B95,#REF!,0),2),(INDEX(COMPOS!$A$4:$G$390,MATCH($B95,COMPOS!$A$4:A$390,0),2)))))</f>
        <v>VASO SANITARIO SIFONADO CONVENCIONAL COM  LOUÇA BRANCA - FORNECIMENTO E INSTALAÇÃO. AF_01/2020</v>
      </c>
      <c r="D95" s="274" t="str">
        <f>(IF($A95="SINAPI",INDEX(SINAPI_NOV2020_NDES!$A$7:$H$6790,MATCH($B95,SINAPI_NOV2020_NDES!$A$7:$A$6790,0),3),(INDEX(COMPOS!$A$4:$G$5000,MATCH($B95,COMPOS!$A$4:$A$5000,0),3))))</f>
        <v>UN</v>
      </c>
      <c r="E95" s="276">
        <v>8</v>
      </c>
      <c r="F95" s="279">
        <f>(IF($A95="SINAPI",INDEX(SINAPI_NOV2020_NDES!$A$7:$H$6703,MATCH($B95,SINAPI_NOV2020_NDES!$A$7:$A$6703,0),5),(INDEX(COMPOS!$A$4:$G$801,MATCH($B95,COMPOS!$A$4:A$801,0),4))))</f>
        <v>12.19</v>
      </c>
      <c r="G95" s="279">
        <f>(IF($A95="SINAPI",INDEX(SINAPI_NOV2020_NDES!$A$7:$H$6703,MATCH($B95,SINAPI_NOV2020_NDES!$A$7:$A$6703,0),6),(INDEX(COMPOS!$A$4:$G$801,MATCH($B95,COMPOS!$A$4:A$801,0),5))))</f>
        <v>155.57</v>
      </c>
      <c r="H95" s="280">
        <f>(IF($A95="SINAPI",INDEX(SINAPI_NOV2020_NDES!$A$7:$H$6703,MATCH($B95,SINAPI_NOV2020_NDES!$A$7:$A$6703,0),7),(INDEX(COMPOS!$A$4:$G$801,MATCH($B95,COMPOS!$A$4:A$801,0),6))))</f>
        <v>0</v>
      </c>
      <c r="I95" s="279">
        <f t="shared" ref="I95" si="16">SUM(F95:H95)</f>
        <v>167.76</v>
      </c>
      <c r="J95" s="276">
        <f t="shared" ref="J95" si="17">+I95*E95</f>
        <v>1342.08</v>
      </c>
      <c r="K95" s="255"/>
      <c r="L95" s="255"/>
      <c r="M95" s="255"/>
      <c r="N95" s="255"/>
      <c r="O95" s="257"/>
      <c r="P95" s="257"/>
    </row>
    <row r="96" spans="1:1007" ht="24">
      <c r="A96" s="251" t="s">
        <v>7</v>
      </c>
      <c r="B96" s="290">
        <v>100849</v>
      </c>
      <c r="C96" s="282" t="str">
        <f>(IF($A96="SINAPI",INDEX(SINAPI_NOV2020_NDES!$A$7:$H$6703,MATCH($B96,SINAPI_NOV2020_NDES!$A$7:$A$6703,0),2),IF($A96="GOINFRA",INDEX(#REF!,MATCH($B96,#REF!,0),2),(INDEX(COMPOS!$A$4:$G$390,MATCH($B96,COMPOS!$A$4:A$390,0),2)))))</f>
        <v>ASSENTO SANITÁRIO CONVENCIONAL - FORNECIMENTO E INSTALACAO. AF_01/2020</v>
      </c>
      <c r="D96" s="274" t="str">
        <f>(IF($A96="SINAPI",INDEX(SINAPI_NOV2020_NDES!$A$7:$H$6790,MATCH($B96,SINAPI_NOV2020_NDES!$A$7:$A$6790,0),3),(INDEX(COMPOS!$A$4:$G$5000,MATCH($B96,COMPOS!$A$4:$A$5000,0),3))))</f>
        <v>UN</v>
      </c>
      <c r="E96" s="276">
        <v>8</v>
      </c>
      <c r="F96" s="279">
        <f>(IF($A96="SINAPI",INDEX(SINAPI_NOV2020_NDES!$A$7:$H$6703,MATCH($B96,SINAPI_NOV2020_NDES!$A$7:$A$6703,0),5),(INDEX(COMPOS!$A$4:$G$801,MATCH($B96,COMPOS!$A$4:A$801,0),4))))</f>
        <v>3.12</v>
      </c>
      <c r="G96" s="279">
        <f>(IF($A96="SINAPI",INDEX(SINAPI_NOV2020_NDES!$A$7:$H$6703,MATCH($B96,SINAPI_NOV2020_NDES!$A$7:$A$6703,0),6),(INDEX(COMPOS!$A$4:$G$801,MATCH($B96,COMPOS!$A$4:A$801,0),5))))</f>
        <v>25.86</v>
      </c>
      <c r="H96" s="280">
        <f>(IF($A96="SINAPI",INDEX(SINAPI_NOV2020_NDES!$A$7:$H$6703,MATCH($B96,SINAPI_NOV2020_NDES!$A$7:$A$6703,0),7),(INDEX(COMPOS!$A$4:$G$801,MATCH($B96,COMPOS!$A$4:A$801,0),6))))</f>
        <v>0</v>
      </c>
      <c r="I96" s="279">
        <f t="shared" ref="I96:I111" si="18">SUM(F96:H96)</f>
        <v>28.98</v>
      </c>
      <c r="J96" s="276">
        <f t="shared" ref="J96:J111" si="19">+I96*E96</f>
        <v>231.84</v>
      </c>
      <c r="K96" s="255"/>
      <c r="L96" s="255"/>
      <c r="M96" s="255"/>
      <c r="N96" s="255"/>
      <c r="O96" s="257"/>
      <c r="P96" s="257"/>
    </row>
    <row r="97" spans="1:16">
      <c r="A97" s="251" t="s">
        <v>6307</v>
      </c>
      <c r="B97" s="290">
        <v>787</v>
      </c>
      <c r="C97" s="282" t="str">
        <f>(IF($A97="SINAPI",INDEX(SINAPI_NOV2020_NDES!$A$7:$H$6703,MATCH($B97,SINAPI_NOV2020_NDES!$A$7:$A$6703,0),2),IF($A97="GOINFRA",INDEX(#REF!,MATCH($B97,#REF!,0),2),(INDEX(COMPOS!$A$4:$G$390,MATCH($B97,COMPOS!$A$4:A$390,0),2)))))</f>
        <v>ACABAMENTO PARA VÁLVULA DE DESCARGA</v>
      </c>
      <c r="D97" s="274" t="str">
        <f>(IF($A97="SINAPI",INDEX(SINAPI_NOV2020_NDES!$A$7:$H$6790,MATCH($B97,SINAPI_NOV2020_NDES!$A$7:$A$6790,0),3),(INDEX(COMPOS!$A$4:$G$5000,MATCH($B97,COMPOS!$A$4:$A$5000,0),3))))</f>
        <v>UN</v>
      </c>
      <c r="E97" s="276">
        <v>8</v>
      </c>
      <c r="F97" s="279">
        <f>(IF($A97="SINAPI",INDEX(SINAPI_NOV2020_NDES!$A$7:$H$6703,MATCH($B97,SINAPI_NOV2020_NDES!$A$7:$A$6703,0),5),(INDEX(COMPOS!$A$4:$G$801,MATCH($B97,COMPOS!$A$4:A$801,0),4))))</f>
        <v>2.9952000000000001</v>
      </c>
      <c r="G97" s="279">
        <f>(IF($A97="SINAPI",INDEX(SINAPI_NOV2020_NDES!$A$7:$H$6703,MATCH($B97,SINAPI_NOV2020_NDES!$A$7:$A$6703,0),6),(INDEX(COMPOS!$A$4:$G$801,MATCH($B97,COMPOS!$A$4:A$801,0),5))))</f>
        <v>64.320000000000007</v>
      </c>
      <c r="H97" s="280">
        <f>(IF($A97="SINAPI",INDEX(SINAPI_NOV2020_NDES!$A$7:$H$6703,MATCH($B97,SINAPI_NOV2020_NDES!$A$7:$A$6703,0),7),(INDEX(COMPOS!$A$4:$G$801,MATCH($B97,COMPOS!$A$4:A$801,0),6))))</f>
        <v>0</v>
      </c>
      <c r="I97" s="279">
        <f t="shared" si="18"/>
        <v>67.315200000000004</v>
      </c>
      <c r="J97" s="276">
        <f t="shared" si="19"/>
        <v>538.52160000000003</v>
      </c>
      <c r="K97" s="255"/>
      <c r="L97" s="255"/>
      <c r="M97" s="255"/>
      <c r="N97" s="255"/>
      <c r="O97" s="257"/>
      <c r="P97" s="257"/>
    </row>
    <row r="98" spans="1:16">
      <c r="A98" s="251" t="s">
        <v>6307</v>
      </c>
      <c r="B98" s="290">
        <v>788</v>
      </c>
      <c r="C98" s="282" t="str">
        <f>(IF($A98="SINAPI",INDEX(SINAPI_NOV2020_NDES!$A$7:$H$6703,MATCH($B98,SINAPI_NOV2020_NDES!$A$7:$A$6703,0),2),IF($A98="GOINFRA",INDEX(#REF!,MATCH($B98,#REF!,0),2),(INDEX(COMPOS!$A$4:$G$390,MATCH($B98,COMPOS!$A$4:A$390,0),2)))))</f>
        <v>ACABAMENTO PARA REGISTRO DE GAVETA 3/4"</v>
      </c>
      <c r="D98" s="274" t="str">
        <f>(IF($A98="SINAPI",INDEX(SINAPI_NOV2020_NDES!$A$7:$H$6790,MATCH($B98,SINAPI_NOV2020_NDES!$A$7:$A$6790,0),3),(INDEX(COMPOS!$A$4:$G$5000,MATCH($B98,COMPOS!$A$4:$A$5000,0),3))))</f>
        <v>UN</v>
      </c>
      <c r="E98" s="276">
        <v>1</v>
      </c>
      <c r="F98" s="279">
        <f>(IF($A98="SINAPI",INDEX(SINAPI_NOV2020_NDES!$A$7:$H$6703,MATCH($B98,SINAPI_NOV2020_NDES!$A$7:$A$6703,0),5),(INDEX(COMPOS!$A$4:$G$801,MATCH($B98,COMPOS!$A$4:A$801,0),4))))</f>
        <v>2.9952000000000001</v>
      </c>
      <c r="G98" s="279">
        <f>(IF($A98="SINAPI",INDEX(SINAPI_NOV2020_NDES!$A$7:$H$6703,MATCH($B98,SINAPI_NOV2020_NDES!$A$7:$A$6703,0),6),(INDEX(COMPOS!$A$4:$G$801,MATCH($B98,COMPOS!$A$4:A$801,0),5))))</f>
        <v>18.329999999999998</v>
      </c>
      <c r="H98" s="280">
        <f>(IF($A98="SINAPI",INDEX(SINAPI_NOV2020_NDES!$A$7:$H$6703,MATCH($B98,SINAPI_NOV2020_NDES!$A$7:$A$6703,0),7),(INDEX(COMPOS!$A$4:$G$801,MATCH($B98,COMPOS!$A$4:A$801,0),6))))</f>
        <v>0</v>
      </c>
      <c r="I98" s="279">
        <f t="shared" si="18"/>
        <v>21.325199999999999</v>
      </c>
      <c r="J98" s="276">
        <f t="shared" si="19"/>
        <v>21.325199999999999</v>
      </c>
      <c r="K98" s="255"/>
      <c r="L98" s="255"/>
      <c r="M98" s="255"/>
      <c r="N98" s="255"/>
      <c r="O98" s="257"/>
      <c r="P98" s="257"/>
    </row>
    <row r="99" spans="1:16">
      <c r="A99" s="251" t="s">
        <v>6307</v>
      </c>
      <c r="B99" s="290">
        <v>789</v>
      </c>
      <c r="C99" s="282" t="str">
        <f>(IF($A99="SINAPI",INDEX(SINAPI_NOV2020_NDES!$A$7:$H$6703,MATCH($B99,SINAPI_NOV2020_NDES!$A$7:$A$6703,0),2),IF($A99="GOINFRA",INDEX(#REF!,MATCH($B99,#REF!,0),2),(INDEX(COMPOS!$A$4:$G$390,MATCH($B99,COMPOS!$A$4:A$390,0),2)))))</f>
        <v>ACABAMENTO PARA REGISTRO DE GAVETA 1.1/2"</v>
      </c>
      <c r="D99" s="274" t="str">
        <f>(IF($A99="SINAPI",INDEX(SINAPI_NOV2020_NDES!$A$7:$H$6790,MATCH($B99,SINAPI_NOV2020_NDES!$A$7:$A$6790,0),3),(INDEX(COMPOS!$A$4:$G$5000,MATCH($B99,COMPOS!$A$4:$A$5000,0),3))))</f>
        <v>UN</v>
      </c>
      <c r="E99" s="276">
        <v>6</v>
      </c>
      <c r="F99" s="279">
        <f>(IF($A99="SINAPI",INDEX(SINAPI_NOV2020_NDES!$A$7:$H$6703,MATCH($B99,SINAPI_NOV2020_NDES!$A$7:$A$6703,0),5),(INDEX(COMPOS!$A$4:$G$801,MATCH($B99,COMPOS!$A$4:A$801,0),4))))</f>
        <v>2.9952000000000001</v>
      </c>
      <c r="G99" s="279">
        <f>(IF($A99="SINAPI",INDEX(SINAPI_NOV2020_NDES!$A$7:$H$6703,MATCH($B99,SINAPI_NOV2020_NDES!$A$7:$A$6703,0),6),(INDEX(COMPOS!$A$4:$G$801,MATCH($B99,COMPOS!$A$4:A$801,0),5))))</f>
        <v>79.59333333333332</v>
      </c>
      <c r="H99" s="280">
        <f>(IF($A99="SINAPI",INDEX(SINAPI_NOV2020_NDES!$A$7:$H$6703,MATCH($B99,SINAPI_NOV2020_NDES!$A$7:$A$6703,0),7),(INDEX(COMPOS!$A$4:$G$801,MATCH($B99,COMPOS!$A$4:A$801,0),6))))</f>
        <v>0</v>
      </c>
      <c r="I99" s="279">
        <f t="shared" si="18"/>
        <v>82.588533333333316</v>
      </c>
      <c r="J99" s="276">
        <f t="shared" si="19"/>
        <v>495.5311999999999</v>
      </c>
      <c r="K99" s="255"/>
      <c r="L99" s="255"/>
      <c r="M99" s="255"/>
      <c r="N99" s="255"/>
      <c r="O99" s="257"/>
      <c r="P99" s="257"/>
    </row>
    <row r="100" spans="1:16">
      <c r="A100" s="251" t="s">
        <v>6307</v>
      </c>
      <c r="B100" s="290">
        <v>324</v>
      </c>
      <c r="C100" s="282" t="str">
        <f>(IF($A100="SINAPI",INDEX(SINAPI_NOV2020_NDES!$A$7:$H$6703,MATCH($B100,SINAPI_NOV2020_NDES!$A$7:$A$6703,0),2),IF($A100="GOINFRA",INDEX(#REF!,MATCH($B100,#REF!,0),2),(INDEX(COMPOS!$A$4:$G$390,MATCH($B100,COMPOS!$A$4:A$390,0),2)))))</f>
        <v>TUBO DE LIGAÇÃO PVC CROMADO 1.1/2'' – ESPUDE (ENTRADA)</v>
      </c>
      <c r="D100" s="274" t="str">
        <f>(IF($A100="SINAPI",INDEX(SINAPI_NOV2020_NDES!$A$7:$H$6790,MATCH($B100,SINAPI_NOV2020_NDES!$A$7:$A$6790,0),3),(INDEX(COMPOS!$A$4:$G$5000,MATCH($B100,COMPOS!$A$4:$A$5000,0),3))))</f>
        <v>UN</v>
      </c>
      <c r="E100" s="276">
        <v>8</v>
      </c>
      <c r="F100" s="279">
        <f>(IF($A100="SINAPI",INDEX(SINAPI_NOV2020_NDES!$A$7:$H$6703,MATCH($B100,SINAPI_NOV2020_NDES!$A$7:$A$6703,0),5),(INDEX(COMPOS!$A$4:$G$801,MATCH($B100,COMPOS!$A$4:A$801,0),4))))</f>
        <v>5.2416</v>
      </c>
      <c r="G100" s="279">
        <f>(IF($A100="SINAPI",INDEX(SINAPI_NOV2020_NDES!$A$7:$H$6703,MATCH($B100,SINAPI_NOV2020_NDES!$A$7:$A$6703,0),6),(INDEX(COMPOS!$A$4:$G$801,MATCH($B100,COMPOS!$A$4:A$801,0),5))))</f>
        <v>5.89</v>
      </c>
      <c r="H100" s="280">
        <f>(IF($A100="SINAPI",INDEX(SINAPI_NOV2020_NDES!$A$7:$H$6703,MATCH($B100,SINAPI_NOV2020_NDES!$A$7:$A$6703,0),7),(INDEX(COMPOS!$A$4:$G$801,MATCH($B100,COMPOS!$A$4:A$801,0),6))))</f>
        <v>0</v>
      </c>
      <c r="I100" s="279">
        <f t="shared" si="18"/>
        <v>11.131599999999999</v>
      </c>
      <c r="J100" s="276">
        <f t="shared" si="19"/>
        <v>89.052799999999991</v>
      </c>
      <c r="K100" s="255"/>
      <c r="L100" s="255"/>
      <c r="M100" s="255"/>
      <c r="N100" s="255"/>
      <c r="O100" s="257"/>
      <c r="P100" s="257"/>
    </row>
    <row r="101" spans="1:16" ht="24">
      <c r="A101" s="251" t="s">
        <v>7</v>
      </c>
      <c r="B101" s="290">
        <v>86906</v>
      </c>
      <c r="C101" s="282" t="str">
        <f>(IF($A101="SINAPI",INDEX(SINAPI_NOV2020_NDES!$A$7:$H$6703,MATCH($B101,SINAPI_NOV2020_NDES!$A$7:$A$6703,0),2),IF($A101="GOINFRA",INDEX(#REF!,MATCH($B101,#REF!,0),2),(INDEX(COMPOS!$A$4:$G$390,MATCH($B101,COMPOS!$A$4:A$390,0),2)))))</f>
        <v>TORNEIRA CROMADA DE MESA, 1/2 OU 3/4, PARA LAVATÓRIO, PADRÃO POPULAR - FORNECIMENTO E INSTALAÇÃO. AF_01/2020</v>
      </c>
      <c r="D101" s="274" t="str">
        <f>(IF($A101="SINAPI",INDEX(SINAPI_NOV2020_NDES!$A$7:$H$6790,MATCH($B101,SINAPI_NOV2020_NDES!$A$7:$A$6790,0),3),(INDEX(COMPOS!$A$4:$G$5000,MATCH($B101,COMPOS!$A$4:$A$5000,0),3))))</f>
        <v>UN</v>
      </c>
      <c r="E101" s="276">
        <v>6</v>
      </c>
      <c r="F101" s="279">
        <f>(IF($A101="SINAPI",INDEX(SINAPI_NOV2020_NDES!$A$7:$H$6703,MATCH($B101,SINAPI_NOV2020_NDES!$A$7:$A$6703,0),5),(INDEX(COMPOS!$A$4:$G$801,MATCH($B101,COMPOS!$A$4:A$801,0),4))))</f>
        <v>1.94</v>
      </c>
      <c r="G101" s="279">
        <f>(IF($A101="SINAPI",INDEX(SINAPI_NOV2020_NDES!$A$7:$H$6703,MATCH($B101,SINAPI_NOV2020_NDES!$A$7:$A$6703,0),6),(INDEX(COMPOS!$A$4:$G$801,MATCH($B101,COMPOS!$A$4:A$801,0),5))))</f>
        <v>41.22</v>
      </c>
      <c r="H101" s="280">
        <f>(IF($A101="SINAPI",INDEX(SINAPI_NOV2020_NDES!$A$7:$H$6703,MATCH($B101,SINAPI_NOV2020_NDES!$A$7:$A$6703,0),7),(INDEX(COMPOS!$A$4:$G$801,MATCH($B101,COMPOS!$A$4:A$801,0),6))))</f>
        <v>0</v>
      </c>
      <c r="I101" s="279">
        <f t="shared" si="18"/>
        <v>43.16</v>
      </c>
      <c r="J101" s="276">
        <f t="shared" si="19"/>
        <v>258.95999999999998</v>
      </c>
      <c r="K101" s="255"/>
      <c r="L101" s="255"/>
      <c r="M101" s="255"/>
      <c r="N101" s="255"/>
      <c r="O101" s="257"/>
      <c r="P101" s="257"/>
    </row>
    <row r="102" spans="1:16">
      <c r="A102" s="251" t="s">
        <v>6307</v>
      </c>
      <c r="B102" s="290">
        <v>784</v>
      </c>
      <c r="C102" s="282" t="str">
        <f>(IF($A102="SINAPI",INDEX(SINAPI_NOV2020_NDES!$A$7:$H$6703,MATCH($B102,SINAPI_NOV2020_NDES!$A$7:$A$6703,0),2),IF($A102="GOINFRA",INDEX(#REF!,MATCH($B102,#REF!,0),2),(INDEX(COMPOS!$A$4:$G$390,MATCH($B102,COMPOS!$A$4:A$390,0),2)))))</f>
        <v>TORNEIRA DE JARDIM COM BICO PARA MANGUEIRA DIÂMETRO DE 1/2" E 3/4"</v>
      </c>
      <c r="D102" s="274" t="str">
        <f>(IF($A102="SINAPI",INDEX(SINAPI_NOV2020_NDES!$A$7:$H$6790,MATCH($B102,SINAPI_NOV2020_NDES!$A$7:$A$6790,0),3),(INDEX(COMPOS!$A$4:$G$5000,MATCH($B102,COMPOS!$A$4:$A$5000,0),3))))</f>
        <v>UN</v>
      </c>
      <c r="E102" s="276">
        <v>3</v>
      </c>
      <c r="F102" s="279">
        <f>(IF($A102="SINAPI",INDEX(SINAPI_NOV2020_NDES!$A$7:$H$6703,MATCH($B102,SINAPI_NOV2020_NDES!$A$7:$A$6703,0),5),(INDEX(COMPOS!$A$4:$G$801,MATCH($B102,COMPOS!$A$4:A$801,0),4))))</f>
        <v>7.4880000000000004</v>
      </c>
      <c r="G102" s="279">
        <f>(IF($A102="SINAPI",INDEX(SINAPI_NOV2020_NDES!$A$7:$H$6703,MATCH($B102,SINAPI_NOV2020_NDES!$A$7:$A$6703,0),6),(INDEX(COMPOS!$A$4:$G$801,MATCH($B102,COMPOS!$A$4:A$801,0),5))))</f>
        <v>47.52</v>
      </c>
      <c r="H102" s="280">
        <f>(IF($A102="SINAPI",INDEX(SINAPI_NOV2020_NDES!$A$7:$H$6703,MATCH($B102,SINAPI_NOV2020_NDES!$A$7:$A$6703,0),7),(INDEX(COMPOS!$A$4:$G$801,MATCH($B102,COMPOS!$A$4:A$801,0),6))))</f>
        <v>0</v>
      </c>
      <c r="I102" s="279">
        <f t="shared" si="18"/>
        <v>55.008000000000003</v>
      </c>
      <c r="J102" s="276">
        <f t="shared" si="19"/>
        <v>165.024</v>
      </c>
      <c r="K102" s="255"/>
      <c r="L102" s="255"/>
      <c r="M102" s="255"/>
      <c r="N102" s="255"/>
      <c r="O102" s="257"/>
      <c r="P102" s="257"/>
    </row>
    <row r="103" spans="1:16" ht="24">
      <c r="A103" s="251" t="s">
        <v>7</v>
      </c>
      <c r="B103" s="290">
        <v>86883</v>
      </c>
      <c r="C103" s="282" t="str">
        <f>(IF($A103="SINAPI",INDEX(SINAPI_NOV2020_NDES!$A$7:$H$6703,MATCH($B103,SINAPI_NOV2020_NDES!$A$7:$A$6703,0),2),IF($A103="GOINFRA",INDEX(#REF!,MATCH($B103,#REF!,0),2),(INDEX(COMPOS!$A$4:$G$390,MATCH($B103,COMPOS!$A$4:A$390,0),2)))))</f>
        <v>SIFÃO DO TIPO FLEXÍVEL EM PVC 1  X 1.1/2  - FORNECIMENTO E INSTALAÇÃO. AF_01/2020</v>
      </c>
      <c r="D103" s="274" t="str">
        <f>(IF($A103="SINAPI",INDEX(SINAPI_NOV2020_NDES!$A$7:$H$6790,MATCH($B103,SINAPI_NOV2020_NDES!$A$7:$A$6790,0),3),(INDEX(COMPOS!$A$4:$G$5000,MATCH($B103,COMPOS!$A$4:$A$5000,0),3))))</f>
        <v>UN</v>
      </c>
      <c r="E103" s="276">
        <v>6</v>
      </c>
      <c r="F103" s="279">
        <f>(IF($A103="SINAPI",INDEX(SINAPI_NOV2020_NDES!$A$7:$H$6703,MATCH($B103,SINAPI_NOV2020_NDES!$A$7:$A$6703,0),5),(INDEX(COMPOS!$A$4:$G$801,MATCH($B103,COMPOS!$A$4:A$801,0),4))))</f>
        <v>1.71</v>
      </c>
      <c r="G103" s="279">
        <f>(IF($A103="SINAPI",INDEX(SINAPI_NOV2020_NDES!$A$7:$H$6703,MATCH($B103,SINAPI_NOV2020_NDES!$A$7:$A$6703,0),6),(INDEX(COMPOS!$A$4:$G$801,MATCH($B103,COMPOS!$A$4:A$801,0),5))))</f>
        <v>7.6</v>
      </c>
      <c r="H103" s="280">
        <f>(IF($A103="SINAPI",INDEX(SINAPI_NOV2020_NDES!$A$7:$H$6703,MATCH($B103,SINAPI_NOV2020_NDES!$A$7:$A$6703,0),7),(INDEX(COMPOS!$A$4:$G$801,MATCH($B103,COMPOS!$A$4:A$801,0),6))))</f>
        <v>0</v>
      </c>
      <c r="I103" s="279">
        <f t="shared" si="18"/>
        <v>9.3099999999999987</v>
      </c>
      <c r="J103" s="276">
        <f t="shared" si="19"/>
        <v>55.859999999999992</v>
      </c>
      <c r="K103" s="255"/>
      <c r="L103" s="255"/>
      <c r="M103" s="255"/>
      <c r="N103" s="255"/>
      <c r="O103" s="257"/>
      <c r="P103" s="257"/>
    </row>
    <row r="104" spans="1:16">
      <c r="A104" s="251" t="s">
        <v>6307</v>
      </c>
      <c r="B104" s="290">
        <v>785</v>
      </c>
      <c r="C104" s="282" t="str">
        <f>(IF($A104="SINAPI",INDEX(SINAPI_NOV2020_NDES!$A$7:$H$6703,MATCH($B104,SINAPI_NOV2020_NDES!$A$7:$A$6703,0),2),IF($A104="GOINFRA",INDEX(#REF!,MATCH($B104,#REF!,0),2),(INDEX(COMPOS!$A$4:$G$390,MATCH($B104,COMPOS!$A$4:A$390,0),2)))))</f>
        <v>VALVULA P/LAVATORIO OU BEBEDOURO METALICO DIAMETRO 1"</v>
      </c>
      <c r="D104" s="274" t="str">
        <f>(IF($A104="SINAPI",INDEX(SINAPI_NOV2020_NDES!$A$7:$H$6790,MATCH($B104,SINAPI_NOV2020_NDES!$A$7:$A$6790,0),3),(INDEX(COMPOS!$A$4:$G$5000,MATCH($B104,COMPOS!$A$4:$A$5000,0),3))))</f>
        <v>UN</v>
      </c>
      <c r="E104" s="276">
        <v>6</v>
      </c>
      <c r="F104" s="279">
        <f>(IF($A104="SINAPI",INDEX(SINAPI_NOV2020_NDES!$A$7:$H$6703,MATCH($B104,SINAPI_NOV2020_NDES!$A$7:$A$6703,0),5),(INDEX(COMPOS!$A$4:$G$801,MATCH($B104,COMPOS!$A$4:A$801,0),4))))</f>
        <v>5.6159999999999997</v>
      </c>
      <c r="G104" s="279">
        <f>(IF($A104="SINAPI",INDEX(SINAPI_NOV2020_NDES!$A$7:$H$6703,MATCH($B104,SINAPI_NOV2020_NDES!$A$7:$A$6703,0),6),(INDEX(COMPOS!$A$4:$G$801,MATCH($B104,COMPOS!$A$4:A$801,0),5))))</f>
        <v>28.4</v>
      </c>
      <c r="H104" s="280">
        <f>(IF($A104="SINAPI",INDEX(SINAPI_NOV2020_NDES!$A$7:$H$6703,MATCH($B104,SINAPI_NOV2020_NDES!$A$7:$A$6703,0),7),(INDEX(COMPOS!$A$4:$G$801,MATCH($B104,COMPOS!$A$4:A$801,0),6))))</f>
        <v>0</v>
      </c>
      <c r="I104" s="279">
        <f t="shared" si="18"/>
        <v>34.015999999999998</v>
      </c>
      <c r="J104" s="276">
        <f t="shared" si="19"/>
        <v>204.096</v>
      </c>
      <c r="K104" s="255"/>
      <c r="L104" s="255"/>
      <c r="M104" s="255"/>
      <c r="N104" s="255"/>
      <c r="O104" s="257"/>
      <c r="P104" s="257"/>
    </row>
    <row r="105" spans="1:16" ht="24">
      <c r="A105" s="251" t="s">
        <v>7</v>
      </c>
      <c r="B105" s="290">
        <v>86885</v>
      </c>
      <c r="C105" s="282" t="str">
        <f>(IF($A105="SINAPI",INDEX(SINAPI_NOV2020_NDES!$A$7:$H$6703,MATCH($B105,SINAPI_NOV2020_NDES!$A$7:$A$6703,0),2),IF($A105="GOINFRA",INDEX(#REF!,MATCH($B105,#REF!,0),2),(INDEX(COMPOS!$A$4:$G$390,MATCH($B105,COMPOS!$A$4:A$390,0),2)))))</f>
        <v>ENGATE FLEXÍVEL EM PLÁSTICO BRANCO, 1/2 X 40CM - FORNECIMENTO E INSTALAÇÃO. AF_01/2020</v>
      </c>
      <c r="D105" s="274" t="str">
        <f>(IF($A105="SINAPI",INDEX(SINAPI_NOV2020_NDES!$A$7:$H$6790,MATCH($B105,SINAPI_NOV2020_NDES!$A$7:$A$6790,0),3),(INDEX(COMPOS!$A$4:$G$5000,MATCH($B105,COMPOS!$A$4:$A$5000,0),3))))</f>
        <v>UN</v>
      </c>
      <c r="E105" s="276">
        <v>6</v>
      </c>
      <c r="F105" s="279">
        <f>(IF($A105="SINAPI",INDEX(SINAPI_NOV2020_NDES!$A$7:$H$6703,MATCH($B105,SINAPI_NOV2020_NDES!$A$7:$A$6703,0),5),(INDEX(COMPOS!$A$4:$G$801,MATCH($B105,COMPOS!$A$4:A$801,0),4))))</f>
        <v>3.12</v>
      </c>
      <c r="G105" s="279">
        <f>(IF($A105="SINAPI",INDEX(SINAPI_NOV2020_NDES!$A$7:$H$6703,MATCH($B105,SINAPI_NOV2020_NDES!$A$7:$A$6703,0),6),(INDEX(COMPOS!$A$4:$G$801,MATCH($B105,COMPOS!$A$4:A$801,0),5))))</f>
        <v>6.03</v>
      </c>
      <c r="H105" s="280">
        <f>(IF($A105="SINAPI",INDEX(SINAPI_NOV2020_NDES!$A$7:$H$6703,MATCH($B105,SINAPI_NOV2020_NDES!$A$7:$A$6703,0),7),(INDEX(COMPOS!$A$4:$G$801,MATCH($B105,COMPOS!$A$4:A$801,0),6))))</f>
        <v>0</v>
      </c>
      <c r="I105" s="279">
        <f t="shared" si="18"/>
        <v>9.15</v>
      </c>
      <c r="J105" s="276">
        <f t="shared" si="19"/>
        <v>54.900000000000006</v>
      </c>
      <c r="K105" s="255"/>
      <c r="L105" s="255"/>
      <c r="M105" s="255"/>
      <c r="N105" s="255"/>
      <c r="O105" s="257"/>
      <c r="P105" s="257"/>
    </row>
    <row r="106" spans="1:16" ht="24">
      <c r="A106" s="251" t="s">
        <v>7</v>
      </c>
      <c r="B106" s="290">
        <v>86901</v>
      </c>
      <c r="C106" s="282" t="str">
        <f>(IF($A106="SINAPI",INDEX(SINAPI_NOV2020_NDES!$A$7:$H$6703,MATCH($B106,SINAPI_NOV2020_NDES!$A$7:$A$6703,0),2),IF($A106="GOINFRA",INDEX(#REF!,MATCH($B106,#REF!,0),2),(INDEX(COMPOS!$A$4:$G$390,MATCH($B106,COMPOS!$A$4:A$390,0),2)))))</f>
        <v>CUBA DE EMBUTIR OVAL EM LOUÇA BRANCA, 35 X 50CM OU EQUIVALENTE - FORNECIMENTO E INSTALAÇÃO. AF_01/2020</v>
      </c>
      <c r="D106" s="274" t="str">
        <f>(IF($A106="SINAPI",INDEX(SINAPI_NOV2020_NDES!$A$7:$H$6790,MATCH($B106,SINAPI_NOV2020_NDES!$A$7:$A$6790,0),3),(INDEX(COMPOS!$A$4:$G$5000,MATCH($B106,COMPOS!$A$4:$A$5000,0),3))))</f>
        <v>UN</v>
      </c>
      <c r="E106" s="276">
        <v>6</v>
      </c>
      <c r="F106" s="279">
        <f>(IF($A106="SINAPI",INDEX(SINAPI_NOV2020_NDES!$A$7:$H$6703,MATCH($B106,SINAPI_NOV2020_NDES!$A$7:$A$6703,0),5),(INDEX(COMPOS!$A$4:$G$801,MATCH($B106,COMPOS!$A$4:A$801,0),4))))</f>
        <v>16.93</v>
      </c>
      <c r="G106" s="279">
        <f>(IF($A106="SINAPI",INDEX(SINAPI_NOV2020_NDES!$A$7:$H$6703,MATCH($B106,SINAPI_NOV2020_NDES!$A$7:$A$6703,0),6),(INDEX(COMPOS!$A$4:$G$801,MATCH($B106,COMPOS!$A$4:A$801,0),5))))</f>
        <v>98.56</v>
      </c>
      <c r="H106" s="280">
        <f>(IF($A106="SINAPI",INDEX(SINAPI_NOV2020_NDES!$A$7:$H$6703,MATCH($B106,SINAPI_NOV2020_NDES!$A$7:$A$6703,0),7),(INDEX(COMPOS!$A$4:$G$801,MATCH($B106,COMPOS!$A$4:A$801,0),6))))</f>
        <v>0</v>
      </c>
      <c r="I106" s="279">
        <f t="shared" si="18"/>
        <v>115.49000000000001</v>
      </c>
      <c r="J106" s="276">
        <f t="shared" si="19"/>
        <v>692.94</v>
      </c>
      <c r="K106" s="255"/>
      <c r="L106" s="255"/>
      <c r="M106" s="255"/>
      <c r="N106" s="255"/>
      <c r="O106" s="257"/>
      <c r="P106" s="257"/>
    </row>
    <row r="107" spans="1:16">
      <c r="A107" s="251" t="s">
        <v>6307</v>
      </c>
      <c r="B107" s="290">
        <v>786</v>
      </c>
      <c r="C107" s="282" t="str">
        <f>(IF($A107="SINAPI",INDEX(SINAPI_NOV2020_NDES!$A$7:$H$6703,MATCH($B107,SINAPI_NOV2020_NDES!$A$7:$A$6703,0),2),IF($A107="GOINFRA",INDEX(#REF!,MATCH($B107,#REF!,0),2),(INDEX(COMPOS!$A$4:$G$390,MATCH($B107,COMPOS!$A$4:A$390,0),2)))))</f>
        <v>PORTA PAPEL HIGIÊNICO EM LOUÇA - EMBUTIR</v>
      </c>
      <c r="D107" s="274" t="str">
        <f>(IF($A107="SINAPI",INDEX(SINAPI_NOV2020_NDES!$A$7:$H$6790,MATCH($B107,SINAPI_NOV2020_NDES!$A$7:$A$6790,0),3),(INDEX(COMPOS!$A$4:$G$5000,MATCH($B107,COMPOS!$A$4:$A$5000,0),3))))</f>
        <v>UN</v>
      </c>
      <c r="E107" s="276">
        <v>8</v>
      </c>
      <c r="F107" s="279">
        <f>(IF($A107="SINAPI",INDEX(SINAPI_NOV2020_NDES!$A$7:$H$6703,MATCH($B107,SINAPI_NOV2020_NDES!$A$7:$A$6703,0),5),(INDEX(COMPOS!$A$4:$G$801,MATCH($B107,COMPOS!$A$4:A$801,0),4))))</f>
        <v>18.365000000000002</v>
      </c>
      <c r="G107" s="279">
        <f>(IF($A107="SINAPI",INDEX(SINAPI_NOV2020_NDES!$A$7:$H$6703,MATCH($B107,SINAPI_NOV2020_NDES!$A$7:$A$6703,0),6),(INDEX(COMPOS!$A$4:$G$801,MATCH($B107,COMPOS!$A$4:A$801,0),5))))</f>
        <v>22.925999999999998</v>
      </c>
      <c r="H107" s="280">
        <f>(IF($A107="SINAPI",INDEX(SINAPI_NOV2020_NDES!$A$7:$H$6703,MATCH($B107,SINAPI_NOV2020_NDES!$A$7:$A$6703,0),7),(INDEX(COMPOS!$A$4:$G$801,MATCH($B107,COMPOS!$A$4:A$801,0),6))))</f>
        <v>0</v>
      </c>
      <c r="I107" s="279">
        <f t="shared" si="18"/>
        <v>41.290999999999997</v>
      </c>
      <c r="J107" s="276">
        <f t="shared" si="19"/>
        <v>330.32799999999997</v>
      </c>
      <c r="K107" s="255"/>
      <c r="L107" s="255"/>
      <c r="M107" s="255"/>
      <c r="N107" s="255"/>
      <c r="O107" s="257"/>
      <c r="P107" s="257"/>
    </row>
    <row r="108" spans="1:16" ht="24">
      <c r="A108" s="251" t="s">
        <v>7</v>
      </c>
      <c r="B108" s="290">
        <v>100860</v>
      </c>
      <c r="C108" s="282" t="str">
        <f>(IF($A108="SINAPI",INDEX(SINAPI_NOV2020_NDES!$A$7:$H$6703,MATCH($B108,SINAPI_NOV2020_NDES!$A$7:$A$6703,0),2),IF($A108="GOINFRA",INDEX(#REF!,MATCH($B108,#REF!,0),2),(INDEX(COMPOS!$A$4:$G$39000,MATCH($B108,COMPOS!$A$4:A$39000,0),2)))))</f>
        <v>CHUVEIRO ELÉTRICO COMUM CORPO PLÁSTICO, TIPO DUCHA  FORNECIMENTO E INSTALAÇÃO. AF_01/2020</v>
      </c>
      <c r="D108" s="274" t="str">
        <f>(IF($A108="SINAPI",INDEX(SINAPI_NOV2020_NDES!$A$7:$H$6790,MATCH($B108,SINAPI_NOV2020_NDES!$A$7:$A$6790,0),3),(INDEX(COMPOS!$A$4:$G$5000,MATCH($B108,COMPOS!$A$4:$A$5000,0),3))))</f>
        <v>UN</v>
      </c>
      <c r="E108" s="276">
        <v>1</v>
      </c>
      <c r="F108" s="279">
        <f>(IF($A108="SINAPI",INDEX(SINAPI_NOV2020_NDES!$A$7:$H$6703,MATCH($B108,SINAPI_NOV2020_NDES!$A$7:$A$6703,0),5),(INDEX(COMPOS!$A$4:$G$801,MATCH($B108,COMPOS!$A$4:A$801,0),4))))</f>
        <v>9.1199999999999992</v>
      </c>
      <c r="G108" s="279">
        <f>(IF($A108="SINAPI",INDEX(SINAPI_NOV2020_NDES!$A$7:$H$6703,MATCH($B108,SINAPI_NOV2020_NDES!$A$7:$A$6703,0),6),(INDEX(COMPOS!$A$4:$G$801,MATCH($B108,COMPOS!$A$4:A$801,0),5))))</f>
        <v>57.45</v>
      </c>
      <c r="H108" s="280">
        <f>(IF($A108="SINAPI",INDEX(SINAPI_NOV2020_NDES!$A$7:$H$6703,MATCH($B108,SINAPI_NOV2020_NDES!$A$7:$A$6703,0),7),(INDEX(COMPOS!$A$4:$G$801,MATCH($B108,COMPOS!$A$4:A$801,0),6))))</f>
        <v>0</v>
      </c>
      <c r="I108" s="279">
        <f t="shared" si="18"/>
        <v>66.570000000000007</v>
      </c>
      <c r="J108" s="276">
        <f t="shared" si="19"/>
        <v>66.570000000000007</v>
      </c>
      <c r="K108" s="255"/>
      <c r="L108" s="255"/>
      <c r="M108" s="255"/>
      <c r="N108" s="255"/>
      <c r="O108" s="257"/>
      <c r="P108" s="257"/>
    </row>
    <row r="109" spans="1:16">
      <c r="A109" s="251" t="s">
        <v>6307</v>
      </c>
      <c r="B109" s="290">
        <v>617</v>
      </c>
      <c r="C109" s="282" t="str">
        <f>(IF($A109="SINAPI",INDEX(SINAPI_NOV2020_NDES!$A$7:$H$6703,MATCH($B109,SINAPI_NOV2020_NDES!$A$7:$A$6703,0),2),IF($A109="GOINFRA",INDEX(#REF!,MATCH($B109,#REF!,0),2),(INDEX(COMPOS!$A$4:$G$39000,MATCH($B109,COMPOS!$A$4:A$39000,0),2)))))</f>
        <v>MEIA SABONETEIRA EM LOUÇA DE EMBUTIR</v>
      </c>
      <c r="D109" s="274" t="str">
        <f>(IF($A109="SINAPI",INDEX(SINAPI_NOV2020_NDES!$A$7:$H$6790,MATCH($B109,SINAPI_NOV2020_NDES!$A$7:$A$6790,0),3),(INDEX(COMPOS!$A$4:$G$5000,MATCH($B109,COMPOS!$A$4:$A$5000,0),3))))</f>
        <v>UN</v>
      </c>
      <c r="E109" s="276">
        <v>6</v>
      </c>
      <c r="F109" s="279">
        <f>(IF($A109="SINAPI",INDEX(SINAPI_NOV2020_NDES!$A$7:$H$6703,MATCH($B109,SINAPI_NOV2020_NDES!$A$7:$A$6703,0),5),(INDEX(COMPOS!$A$4:$G$801,MATCH($B109,COMPOS!$A$4:A$801,0),4))))</f>
        <v>18.405000000000001</v>
      </c>
      <c r="G109" s="279">
        <f>(IF($A109="SINAPI",INDEX(SINAPI_NOV2020_NDES!$A$7:$H$6703,MATCH($B109,SINAPI_NOV2020_NDES!$A$7:$A$6703,0),6),(INDEX(COMPOS!$A$4:$G$801,MATCH($B109,COMPOS!$A$4:A$801,0),5))))</f>
        <v>21.501000000000001</v>
      </c>
      <c r="H109" s="280">
        <f>(IF($A109="SINAPI",INDEX(SINAPI_NOV2020_NDES!$A$7:$H$6703,MATCH($B109,SINAPI_NOV2020_NDES!$A$7:$A$6703,0),7),(INDEX(COMPOS!$A$4:$G$801,MATCH($B109,COMPOS!$A$4:A$801,0),6))))</f>
        <v>0</v>
      </c>
      <c r="I109" s="279">
        <f t="shared" si="18"/>
        <v>39.906000000000006</v>
      </c>
      <c r="J109" s="276">
        <f t="shared" si="19"/>
        <v>239.43600000000004</v>
      </c>
      <c r="K109" s="255"/>
      <c r="L109" s="255"/>
      <c r="M109" s="255"/>
      <c r="N109" s="255"/>
      <c r="O109" s="257"/>
      <c r="P109" s="257"/>
    </row>
    <row r="110" spans="1:16">
      <c r="A110" s="251" t="s">
        <v>6307</v>
      </c>
      <c r="B110" s="290">
        <v>378</v>
      </c>
      <c r="C110" s="282" t="str">
        <f>(IF($A110="SINAPI",INDEX(SINAPI_NOV2020_NDES!$A$7:$H$6703,MATCH($B110,SINAPI_NOV2020_NDES!$A$7:$A$6703,0),2),IF($A110="GOINFRA",INDEX(#REF!,MATCH($B110,#REF!,0),2),(INDEX(COMPOS!$A$4:$G$390,MATCH($B110,COMPOS!$A$4:A$390,0),2)))))</f>
        <v>GRELHA QUADRADA EM INOX SIMPLES, DIAM. 150MM</v>
      </c>
      <c r="D110" s="274" t="str">
        <f>(IF($A110="SINAPI",INDEX(SINAPI_NOV2020_NDES!$A$7:$H$6790,MATCH($B110,SINAPI_NOV2020_NDES!$A$7:$A$6790,0),3),(INDEX(COMPOS!$A$4:$G$5000,MATCH($B110,COMPOS!$A$4:$A$5000,0),3))))</f>
        <v>UN</v>
      </c>
      <c r="E110" s="276">
        <v>6</v>
      </c>
      <c r="F110" s="279">
        <f>(IF($A110="SINAPI",INDEX(SINAPI_NOV2020_NDES!$A$7:$H$6703,MATCH($B110,SINAPI_NOV2020_NDES!$A$7:$A$6703,0),5),(INDEX(COMPOS!$A$4:$G$801,MATCH($B110,COMPOS!$A$4:A$801,0),4))))</f>
        <v>2.9952000000000001</v>
      </c>
      <c r="G110" s="279">
        <f>(IF($A110="SINAPI",INDEX(SINAPI_NOV2020_NDES!$A$7:$H$6703,MATCH($B110,SINAPI_NOV2020_NDES!$A$7:$A$6703,0),6),(INDEX(COMPOS!$A$4:$G$801,MATCH($B110,COMPOS!$A$4:A$801,0),5))))</f>
        <v>23.76</v>
      </c>
      <c r="H110" s="280">
        <f>(IF($A110="SINAPI",INDEX(SINAPI_NOV2020_NDES!$A$7:$H$6703,MATCH($B110,SINAPI_NOV2020_NDES!$A$7:$A$6703,0),7),(INDEX(COMPOS!$A$4:$G$801,MATCH($B110,COMPOS!$A$4:A$801,0),6))))</f>
        <v>0</v>
      </c>
      <c r="I110" s="279">
        <f t="shared" si="18"/>
        <v>26.755200000000002</v>
      </c>
      <c r="J110" s="276">
        <f t="shared" si="19"/>
        <v>160.53120000000001</v>
      </c>
      <c r="K110" s="255"/>
      <c r="L110" s="255"/>
      <c r="M110" s="255"/>
      <c r="N110" s="255"/>
      <c r="O110" s="257"/>
      <c r="P110" s="257"/>
    </row>
    <row r="111" spans="1:16">
      <c r="A111" s="251" t="s">
        <v>6307</v>
      </c>
      <c r="B111" s="290">
        <v>379</v>
      </c>
      <c r="C111" s="282" t="str">
        <f>(IF($A111="SINAPI",INDEX(SINAPI_NOV2020_NDES!$A$7:$H$6703,MATCH($B111,SINAPI_NOV2020_NDES!$A$7:$A$6703,0),2),IF($A111="GOINFRA",INDEX(#REF!,MATCH($B111,#REF!,0),2),(INDEX(COMPOS!$A$4:$G$390,MATCH($B111,COMPOS!$A$4:A$390,0),2)))))</f>
        <v>PORTA GRELHA QUADRADA PVC CROMADO, DIAM. 150MM</v>
      </c>
      <c r="D111" s="274" t="str">
        <f>(IF($A111="SINAPI",INDEX(SINAPI_NOV2020_NDES!$A$7:$H$6790,MATCH($B111,SINAPI_NOV2020_NDES!$A$7:$A$6790,0),3),(INDEX(COMPOS!$A$4:$G$5000,MATCH($B111,COMPOS!$A$4:$A$5000,0),3))))</f>
        <v>UN</v>
      </c>
      <c r="E111" s="276">
        <v>6</v>
      </c>
      <c r="F111" s="279">
        <f>(IF($A111="SINAPI",INDEX(SINAPI_NOV2020_NDES!$A$7:$H$6703,MATCH($B111,SINAPI_NOV2020_NDES!$A$7:$A$6703,0),5),(INDEX(COMPOS!$A$4:$G$801,MATCH($B111,COMPOS!$A$4:A$801,0),4))))</f>
        <v>3.7440000000000002</v>
      </c>
      <c r="G111" s="279">
        <f>(IF($A111="SINAPI",INDEX(SINAPI_NOV2020_NDES!$A$7:$H$6703,MATCH($B111,SINAPI_NOV2020_NDES!$A$7:$A$6703,0),6),(INDEX(COMPOS!$A$4:$G$801,MATCH($B111,COMPOS!$A$4:A$801,0),5))))</f>
        <v>6.36</v>
      </c>
      <c r="H111" s="280">
        <f>(IF($A111="SINAPI",INDEX(SINAPI_NOV2020_NDES!$A$7:$H$6703,MATCH($B111,SINAPI_NOV2020_NDES!$A$7:$A$6703,0),7),(INDEX(COMPOS!$A$4:$G$801,MATCH($B111,COMPOS!$A$4:A$801,0),6))))</f>
        <v>0</v>
      </c>
      <c r="I111" s="279">
        <f t="shared" si="18"/>
        <v>10.104000000000001</v>
      </c>
      <c r="J111" s="276">
        <f t="shared" si="19"/>
        <v>60.624000000000009</v>
      </c>
      <c r="K111" s="255"/>
      <c r="L111" s="255"/>
      <c r="M111" s="255"/>
      <c r="N111" s="255"/>
      <c r="O111" s="257"/>
      <c r="P111" s="257"/>
    </row>
    <row r="112" spans="1:16" s="88" customFormat="1" ht="24" customHeight="1">
      <c r="A112" s="680" t="s">
        <v>6927</v>
      </c>
      <c r="B112" s="680"/>
      <c r="C112" s="680"/>
      <c r="D112" s="680"/>
      <c r="E112" s="680"/>
      <c r="F112" s="680"/>
      <c r="G112" s="680"/>
      <c r="H112" s="680"/>
      <c r="I112" s="680"/>
      <c r="J112" s="281">
        <f>SUM(J95:J111)</f>
        <v>5007.62</v>
      </c>
      <c r="K112" s="255"/>
      <c r="L112" s="255"/>
      <c r="M112" s="255"/>
      <c r="N112" s="255"/>
      <c r="O112" s="257"/>
      <c r="P112" s="257"/>
    </row>
    <row r="113" spans="1:16">
      <c r="A113" s="251"/>
      <c r="B113" s="290">
        <v>180</v>
      </c>
      <c r="C113" s="273" t="s">
        <v>595</v>
      </c>
      <c r="D113" s="274" t="s">
        <v>6922</v>
      </c>
      <c r="E113" s="276"/>
      <c r="F113" s="276"/>
      <c r="G113" s="276"/>
      <c r="H113" s="276"/>
      <c r="I113" s="280"/>
      <c r="J113" s="280"/>
      <c r="K113" s="255"/>
      <c r="L113" s="255"/>
      <c r="M113" s="255"/>
      <c r="N113" s="255"/>
      <c r="O113" s="257"/>
      <c r="P113" s="257"/>
    </row>
    <row r="114" spans="1:16">
      <c r="A114" s="251" t="s">
        <v>6307</v>
      </c>
      <c r="B114" s="290">
        <v>107</v>
      </c>
      <c r="C114" s="282" t="s">
        <v>7093</v>
      </c>
      <c r="D114" s="274" t="str">
        <f>(IF($A114="SINAPI",INDEX(SINAPI_NOV2020_NDES!$A$7:$H$6790,MATCH($B114,SINAPI_NOV2020_NDES!$A$7:$A$6790,0),3),(INDEX(COMPOS!$A$4:$G$5000,MATCH($B114,COMPOS!$A$4:$A$5000,0),3))))</f>
        <v>M2</v>
      </c>
      <c r="E114" s="280">
        <v>4.32</v>
      </c>
      <c r="F114" s="279">
        <f>(IF($A114="SINAPI",INDEX(SINAPI_NOV2020_NDES!$A$7:$H$6703,MATCH($B114,SINAPI_NOV2020_NDES!$A$7:$A$6703,0),5),(INDEX(COMPOS!$A$4:$G$801,MATCH($B114,COMPOS!$A$4:A$801,0),4))))</f>
        <v>47.084742999999996</v>
      </c>
      <c r="G114" s="279">
        <f>(IF($A114="SINAPI",INDEX(SINAPI_NOV2020_NDES!$A$7:$H$6703,MATCH($B114,SINAPI_NOV2020_NDES!$A$7:$A$6703,0),6),(INDEX(COMPOS!$A$4:$G$801,MATCH($B114,COMPOS!$A$4:A$801,0),5))))</f>
        <v>433.56921126595739</v>
      </c>
      <c r="H114" s="280">
        <f>(IF($A114="SINAPI",INDEX(SINAPI_NOV2020_NDES!$A$7:$H$6703,MATCH($B114,SINAPI_NOV2020_NDES!$A$7:$A$6703,0),7),(INDEX(COMPOS!$A$4:$G$801,MATCH($B114,COMPOS!$A$4:A$801,0),6))))</f>
        <v>0</v>
      </c>
      <c r="I114" s="279">
        <f t="shared" ref="I114" si="20">SUM(F114:H114)</f>
        <v>480.6539542659574</v>
      </c>
      <c r="J114" s="276">
        <f t="shared" ref="J114" si="21">+I114*E114</f>
        <v>2076.4250824289361</v>
      </c>
      <c r="K114" s="255"/>
      <c r="L114" s="255"/>
      <c r="M114" s="255"/>
      <c r="N114" s="255"/>
      <c r="O114" s="257"/>
      <c r="P114" s="257"/>
    </row>
    <row r="115" spans="1:16">
      <c r="A115" s="251" t="s">
        <v>6307</v>
      </c>
      <c r="B115" s="290">
        <v>10</v>
      </c>
      <c r="C115" s="282" t="str">
        <f>(IF($A115="SINAPI",INDEX(SINAPI_NOV2020_NDES!$A$7:$H$6703,MATCH($B115,SINAPI_NOV2020_NDES!$A$7:$A$6703,0),2),IF($A115="GOINFRA",INDEX(#REF!,MATCH($B115,#REF!,0),2),(INDEX(COMPOS!$A$4:$G$3900,MATCH($B115,COMPOS!$A$4:A$3900,0),2)))))</f>
        <v>PORTÃO METÁLICO CASE – P1 – UMA FOLHA CORRER – 400X460 CM</v>
      </c>
      <c r="D115" s="274" t="str">
        <f>(IF($A115="SINAPI",INDEX(SINAPI_NOV2020_NDES!$A$7:$H$6790,MATCH($B115,SINAPI_NOV2020_NDES!$A$7:$A$6790,0),3),(INDEX(COMPOS!$A$4:$G$5000,MATCH($B115,COMPOS!$A$4:$A$5000,0),3))))</f>
        <v xml:space="preserve"> M²</v>
      </c>
      <c r="E115" s="280">
        <v>36.799999999999997</v>
      </c>
      <c r="F115" s="279">
        <f>(IF($A115="SINAPI",INDEX(SINAPI_NOV2020_NDES!$A$7:$H$6703,MATCH($B115,SINAPI_NOV2020_NDES!$A$7:$A$6703,0),5),(INDEX(COMPOS!$A$4:$G$801,MATCH($B115,COMPOS!$A$4:A$801,0),4))))</f>
        <v>48.115469999999995</v>
      </c>
      <c r="G115" s="279">
        <f>(IF($A115="SINAPI",INDEX(SINAPI_NOV2020_NDES!$A$7:$H$6703,MATCH($B115,SINAPI_NOV2020_NDES!$A$7:$A$6703,0),6),(INDEX(COMPOS!$A$4:$G$801,MATCH($B115,COMPOS!$A$4:A$801,0),5))))</f>
        <v>560.53029023619638</v>
      </c>
      <c r="H115" s="280">
        <f>(IF($A115="SINAPI",INDEX(SINAPI_NOV2020_NDES!$A$7:$H$6703,MATCH($B115,SINAPI_NOV2020_NDES!$A$7:$A$6703,0),7),(INDEX(COMPOS!$A$4:$G$801,MATCH($B115,COMPOS!$A$4:A$801,0),6))))</f>
        <v>0</v>
      </c>
      <c r="I115" s="279">
        <f t="shared" ref="I115:I125" si="22">SUM(F115:H115)</f>
        <v>608.64576023619634</v>
      </c>
      <c r="J115" s="276">
        <f t="shared" ref="J115:J125" si="23">+I115*E115</f>
        <v>22398.163976692023</v>
      </c>
      <c r="K115" s="255"/>
      <c r="L115" s="255"/>
      <c r="M115" s="255"/>
      <c r="N115" s="255"/>
      <c r="O115" s="257"/>
      <c r="P115" s="257"/>
    </row>
    <row r="116" spans="1:16">
      <c r="A116" s="251" t="s">
        <v>6307</v>
      </c>
      <c r="B116" s="290">
        <v>9</v>
      </c>
      <c r="C116" s="282" t="str">
        <f>(IF($A116="SINAPI",INDEX(SINAPI_NOV2020_NDES!$A$7:$H$6703,MATCH($B116,SINAPI_NOV2020_NDES!$A$7:$A$6703,0),2),IF($A116="GOINFRA",INDEX(#REF!,MATCH($B116,#REF!,0),2),(INDEX(COMPOS!$A$4:$G$3900,MATCH($B116,COMPOS!$A$4:A$3900,0),2)))))</f>
        <v>PORTA METÁLICA CASE – P/P3/PS – UMA FOLHA – 90X210 CM</v>
      </c>
      <c r="D116" s="274" t="str">
        <f>(IF($A116="SINAPI",INDEX(SINAPI_NOV2020_NDES!$A$7:$H$6790,MATCH($B116,SINAPI_NOV2020_NDES!$A$7:$A$6790,0),3),(INDEX(COMPOS!$A$4:$G$5000,MATCH($B116,COMPOS!$A$4:$A$5000,0),3))))</f>
        <v>M2</v>
      </c>
      <c r="E116" s="280">
        <v>1.8900000000000001</v>
      </c>
      <c r="F116" s="279">
        <f>(IF($A116="SINAPI",INDEX(SINAPI_NOV2020_NDES!$A$7:$H$6703,MATCH($B116,SINAPI_NOV2020_NDES!$A$7:$A$6703,0),5),(INDEX(COMPOS!$A$4:$G$801,MATCH($B116,COMPOS!$A$4:A$801,0),4))))</f>
        <v>47.084742999999996</v>
      </c>
      <c r="G116" s="279">
        <f>(IF($A116="SINAPI",INDEX(SINAPI_NOV2020_NDES!$A$7:$H$6703,MATCH($B116,SINAPI_NOV2020_NDES!$A$7:$A$6703,0),6),(INDEX(COMPOS!$A$4:$G$801,MATCH($B116,COMPOS!$A$4:A$801,0),5))))</f>
        <v>544.33859599999994</v>
      </c>
      <c r="H116" s="280">
        <f>(IF($A116="SINAPI",INDEX(SINAPI_NOV2020_NDES!$A$7:$H$6703,MATCH($B116,SINAPI_NOV2020_NDES!$A$7:$A$6703,0),7),(INDEX(COMPOS!$A$4:$G$801,MATCH($B116,COMPOS!$A$4:A$801,0),6))))</f>
        <v>0</v>
      </c>
      <c r="I116" s="279">
        <f t="shared" si="22"/>
        <v>591.42333899999994</v>
      </c>
      <c r="J116" s="276">
        <f t="shared" si="23"/>
        <v>1117.7901107099999</v>
      </c>
      <c r="K116" s="255"/>
      <c r="L116" s="255"/>
      <c r="M116" s="255"/>
      <c r="N116" s="255"/>
      <c r="O116" s="257"/>
      <c r="P116" s="257"/>
    </row>
    <row r="117" spans="1:16">
      <c r="A117" s="251" t="s">
        <v>6307</v>
      </c>
      <c r="B117" s="290">
        <v>11</v>
      </c>
      <c r="C117" s="282" t="str">
        <f>(IF($A117="SINAPI",INDEX(SINAPI_NOV2020_NDES!$A$7:$H$6703,MATCH($B117,SINAPI_NOV2020_NDES!$A$7:$A$6703,0),2),IF($A117="GOINFRA",INDEX(#REF!,MATCH($B117,#REF!,0),2),(INDEX(COMPOS!$A$4:$G$3900,MATCH($B117,COMPOS!$A$4:A$3900,0),2)))))</f>
        <v>PORTA METÁLICA CASE – P2 – UMA FOLHA/ VENEZIANA – 100X210 CM</v>
      </c>
      <c r="D117" s="274" t="str">
        <f>(IF($A117="SINAPI",INDEX(SINAPI_NOV2020_NDES!$A$7:$H$6790,MATCH($B117,SINAPI_NOV2020_NDES!$A$7:$A$6790,0),3),(INDEX(COMPOS!$A$4:$G$5000,MATCH($B117,COMPOS!$A$4:$A$5000,0),3))))</f>
        <v xml:space="preserve"> M²</v>
      </c>
      <c r="E117" s="280">
        <v>2.1</v>
      </c>
      <c r="F117" s="279">
        <f>(IF($A117="SINAPI",INDEX(SINAPI_NOV2020_NDES!$A$7:$H$6703,MATCH($B117,SINAPI_NOV2020_NDES!$A$7:$A$6703,0),5),(INDEX(COMPOS!$A$4:$G$801,MATCH($B117,COMPOS!$A$4:A$801,0),4))))</f>
        <v>47.084742999999996</v>
      </c>
      <c r="G117" s="279">
        <f>(IF($A117="SINAPI",INDEX(SINAPI_NOV2020_NDES!$A$7:$H$6703,MATCH($B117,SINAPI_NOV2020_NDES!$A$7:$A$6703,0),6),(INDEX(COMPOS!$A$4:$G$801,MATCH($B117,COMPOS!$A$4:A$801,0),5))))</f>
        <v>706.08712179999986</v>
      </c>
      <c r="H117" s="280">
        <f>(IF($A117="SINAPI",INDEX(SINAPI_NOV2020_NDES!$A$7:$H$6703,MATCH($B117,SINAPI_NOV2020_NDES!$A$7:$A$6703,0),7),(INDEX(COMPOS!$A$4:$G$801,MATCH($B117,COMPOS!$A$4:A$801,0),6))))</f>
        <v>0</v>
      </c>
      <c r="I117" s="279">
        <f t="shared" si="22"/>
        <v>753.17186479999987</v>
      </c>
      <c r="J117" s="276">
        <f t="shared" si="23"/>
        <v>1581.6609160799999</v>
      </c>
      <c r="K117" s="255"/>
      <c r="L117" s="255"/>
      <c r="M117" s="255"/>
      <c r="N117" s="255"/>
      <c r="O117" s="257"/>
      <c r="P117" s="257"/>
    </row>
    <row r="118" spans="1:16">
      <c r="A118" s="251" t="s">
        <v>6307</v>
      </c>
      <c r="B118" s="290">
        <v>153</v>
      </c>
      <c r="C118" s="282" t="str">
        <f>(IF($A118="SINAPI",INDEX(SINAPI_NOV2020_NDES!$A$7:$H$6703,MATCH($B118,SINAPI_NOV2020_NDES!$A$7:$A$6703,0),2),IF($A118="GOINFRA",INDEX(#REF!,MATCH($B118,#REF!,0),2),(INDEX(COMPOS!$A$4:$G$3900,MATCH($B118,COMPOS!$A$4:A$3900,0),2)))))</f>
        <v>PORTA METÁLICA CASE – P3 – UMA FOLHA – 70X210 CM</v>
      </c>
      <c r="D118" s="274" t="str">
        <f>(IF($A118="SINAPI",INDEX(SINAPI_NOV2020_NDES!$A$7:$H$6790,MATCH($B118,SINAPI_NOV2020_NDES!$A$7:$A$6790,0),3),(INDEX(COMPOS!$A$4:$G$5000,MATCH($B118,COMPOS!$A$4:$A$5000,0),3))))</f>
        <v>M2</v>
      </c>
      <c r="E118" s="280">
        <v>1.47</v>
      </c>
      <c r="F118" s="279">
        <f>(IF($A118="SINAPI",INDEX(SINAPI_NOV2020_NDES!$A$7:$H$6703,MATCH($B118,SINAPI_NOV2020_NDES!$A$7:$A$6703,0),5),(INDEX(COMPOS!$A$4:$G$801,MATCH($B118,COMPOS!$A$4:A$801,0),4))))</f>
        <v>47.084742999999996</v>
      </c>
      <c r="G118" s="279">
        <f>(IF($A118="SINAPI",INDEX(SINAPI_NOV2020_NDES!$A$7:$H$6703,MATCH($B118,SINAPI_NOV2020_NDES!$A$7:$A$6703,0),6),(INDEX(COMPOS!$A$4:$G$801,MATCH($B118,COMPOS!$A$4:A$801,0),5))))</f>
        <v>436.37288639999997</v>
      </c>
      <c r="H118" s="280">
        <f>(IF($A118="SINAPI",INDEX(SINAPI_NOV2020_NDES!$A$7:$H$6703,MATCH($B118,SINAPI_NOV2020_NDES!$A$7:$A$6703,0),7),(INDEX(COMPOS!$A$4:$G$801,MATCH($B118,COMPOS!$A$4:A$801,0),6))))</f>
        <v>0</v>
      </c>
      <c r="I118" s="279">
        <f t="shared" si="22"/>
        <v>483.45762939999997</v>
      </c>
      <c r="J118" s="276">
        <f t="shared" si="23"/>
        <v>710.682715218</v>
      </c>
      <c r="K118" s="255"/>
      <c r="L118" s="255"/>
      <c r="M118" s="255"/>
      <c r="N118" s="255"/>
      <c r="O118" s="257"/>
      <c r="P118" s="257"/>
    </row>
    <row r="119" spans="1:16">
      <c r="A119" s="251" t="s">
        <v>6307</v>
      </c>
      <c r="B119" s="290">
        <v>152</v>
      </c>
      <c r="C119" s="282" t="str">
        <f>(IF($A119="SINAPI",INDEX(SINAPI_NOV2020_NDES!$A$7:$H$6703,MATCH($B119,SINAPI_NOV2020_NDES!$A$7:$A$6703,0),2),IF($A119="GOINFRA",INDEX(#REF!,MATCH($B119,#REF!,0),2),(INDEX(COMPOS!$A$4:$G$3900,MATCH($B119,COMPOS!$A$4:A$3900,0),2)))))</f>
        <v>PORTA METÁLICA CASE – P – UMA FOLHA – 80X210 CM</v>
      </c>
      <c r="D119" s="274" t="str">
        <f>(IF($A119="SINAPI",INDEX(SINAPI_NOV2020_NDES!$A$7:$H$6790,MATCH($B119,SINAPI_NOV2020_NDES!$A$7:$A$6790,0),3),(INDEX(COMPOS!$A$4:$G$5000,MATCH($B119,COMPOS!$A$4:$A$5000,0),3))))</f>
        <v>M2</v>
      </c>
      <c r="E119" s="280">
        <v>21.84</v>
      </c>
      <c r="F119" s="279">
        <f>(IF($A119="SINAPI",INDEX(SINAPI_NOV2020_NDES!$A$7:$H$6703,MATCH($B119,SINAPI_NOV2020_NDES!$A$7:$A$6703,0),5),(INDEX(COMPOS!$A$4:$G$801,MATCH($B119,COMPOS!$A$4:A$801,0),4))))</f>
        <v>47.084742999999996</v>
      </c>
      <c r="G119" s="279">
        <f>(IF($A119="SINAPI",INDEX(SINAPI_NOV2020_NDES!$A$7:$H$6703,MATCH($B119,SINAPI_NOV2020_NDES!$A$7:$A$6703,0),6),(INDEX(COMPOS!$A$4:$G$801,MATCH($B119,COMPOS!$A$4:A$801,0),5))))</f>
        <v>486.76612480000006</v>
      </c>
      <c r="H119" s="280">
        <f>(IF($A119="SINAPI",INDEX(SINAPI_NOV2020_NDES!$A$7:$H$6703,MATCH($B119,SINAPI_NOV2020_NDES!$A$7:$A$6703,0),7),(INDEX(COMPOS!$A$4:$G$801,MATCH($B119,COMPOS!$A$4:A$801,0),6))))</f>
        <v>0</v>
      </c>
      <c r="I119" s="279">
        <f t="shared" si="22"/>
        <v>533.85086780000006</v>
      </c>
      <c r="J119" s="276">
        <f t="shared" si="23"/>
        <v>11659.302952752001</v>
      </c>
      <c r="K119" s="255"/>
      <c r="L119" s="255"/>
      <c r="M119" s="255"/>
      <c r="N119" s="255"/>
      <c r="O119" s="257"/>
      <c r="P119" s="257"/>
    </row>
    <row r="120" spans="1:16">
      <c r="A120" s="251" t="s">
        <v>6307</v>
      </c>
      <c r="B120" s="290">
        <v>12</v>
      </c>
      <c r="C120" s="282" t="str">
        <f>(IF($A120="SINAPI",INDEX(SINAPI_NOV2020_NDES!$A$7:$H$6703,MATCH($B120,SINAPI_NOV2020_NDES!$A$7:$A$6703,0),2),IF($A120="GOINFRA",INDEX(#REF!,MATCH($B120,#REF!,0),2),(INDEX(COMPOS!$A$4:$G$3900,MATCH($B120,COMPOS!$A$4:A$3900,0),2)))))</f>
        <v>PORTA METÁLICA CASE – PG1/PG5 - 100X280 CM</v>
      </c>
      <c r="D120" s="274" t="str">
        <f>(IF($A120="SINAPI",INDEX(SINAPI_NOV2020_NDES!$A$7:$H$6790,MATCH($B120,SINAPI_NOV2020_NDES!$A$7:$A$6790,0),3),(INDEX(COMPOS!$A$4:$G$5000,MATCH($B120,COMPOS!$A$4:$A$5000,0),3))))</f>
        <v>M2</v>
      </c>
      <c r="E120" s="280">
        <v>4.2</v>
      </c>
      <c r="F120" s="279">
        <f>(IF($A120="SINAPI",INDEX(SINAPI_NOV2020_NDES!$A$7:$H$6703,MATCH($B120,SINAPI_NOV2020_NDES!$A$7:$A$6703,0),5),(INDEX(COMPOS!$A$4:$G$801,MATCH($B120,COMPOS!$A$4:A$801,0),4))))</f>
        <v>47.084742999999996</v>
      </c>
      <c r="G120" s="279">
        <f>(IF($A120="SINAPI",INDEX(SINAPI_NOV2020_NDES!$A$7:$H$6703,MATCH($B120,SINAPI_NOV2020_NDES!$A$7:$A$6703,0),6),(INDEX(COMPOS!$A$4:$G$801,MATCH($B120,COMPOS!$A$4:A$801,0),5))))</f>
        <v>545.27531650000003</v>
      </c>
      <c r="H120" s="280">
        <f>(IF($A120="SINAPI",INDEX(SINAPI_NOV2020_NDES!$A$7:$H$6703,MATCH($B120,SINAPI_NOV2020_NDES!$A$7:$A$6703,0),7),(INDEX(COMPOS!$A$4:$G$801,MATCH($B120,COMPOS!$A$4:A$801,0),6))))</f>
        <v>0</v>
      </c>
      <c r="I120" s="279">
        <f t="shared" si="22"/>
        <v>592.36005950000003</v>
      </c>
      <c r="J120" s="276">
        <f t="shared" si="23"/>
        <v>2487.9122499000005</v>
      </c>
      <c r="K120" s="255"/>
      <c r="L120" s="255"/>
      <c r="M120" s="255"/>
      <c r="N120" s="255"/>
      <c r="O120" s="257"/>
      <c r="P120" s="257"/>
    </row>
    <row r="121" spans="1:16">
      <c r="A121" s="251" t="s">
        <v>6307</v>
      </c>
      <c r="B121" s="290">
        <v>2</v>
      </c>
      <c r="C121" s="282" t="str">
        <f>(IF($A121="SINAPI",INDEX(SINAPI_NOV2020_NDES!$A$7:$H$6703,MATCH($B121,SINAPI_NOV2020_NDES!$A$7:$A$6703,0),2),IF($A121="GOINFRA",INDEX(#REF!,MATCH($B121,#REF!,0),2),(INDEX(COMPOS!$A$4:$G$3900,MATCH($B121,COMPOS!$A$4:A$3900,0),2)))))</f>
        <v>JANELA METÁLICA CASE – J14/J15 – BASCULANTE – “100X40” CM</v>
      </c>
      <c r="D121" s="274" t="str">
        <f>(IF($A121="SINAPI",INDEX(SINAPI_NOV2020_NDES!$A$7:$H$6790,MATCH($B121,SINAPI_NOV2020_NDES!$A$7:$A$6790,0),3),(INDEX(COMPOS!$A$4:$G$5000,MATCH($B121,COMPOS!$A$4:$A$5000,0),3))))</f>
        <v>M2</v>
      </c>
      <c r="E121" s="280">
        <v>3.2</v>
      </c>
      <c r="F121" s="279">
        <f>(IF($A121="SINAPI",INDEX(SINAPI_NOV2020_NDES!$A$7:$H$6703,MATCH($B121,SINAPI_NOV2020_NDES!$A$7:$A$6703,0),5),(INDEX(COMPOS!$A$4:$G$801,MATCH($B121,COMPOS!$A$4:A$801,0),4))))</f>
        <v>134.02471</v>
      </c>
      <c r="G121" s="279">
        <f>(IF($A121="SINAPI",INDEX(SINAPI_NOV2020_NDES!$A$7:$H$6703,MATCH($B121,SINAPI_NOV2020_NDES!$A$7:$A$6703,0),6),(INDEX(COMPOS!$A$4:$G$801,MATCH($B121,COMPOS!$A$4:A$801,0),5))))</f>
        <v>253.4302035</v>
      </c>
      <c r="H121" s="280">
        <f>(IF($A121="SINAPI",INDEX(SINAPI_NOV2020_NDES!$A$7:$H$6703,MATCH($B121,SINAPI_NOV2020_NDES!$A$7:$A$6703,0),7),(INDEX(COMPOS!$A$4:$G$801,MATCH($B121,COMPOS!$A$4:A$801,0),6))))</f>
        <v>0</v>
      </c>
      <c r="I121" s="279">
        <f t="shared" si="22"/>
        <v>387.45491349999998</v>
      </c>
      <c r="J121" s="276">
        <f t="shared" si="23"/>
        <v>1239.8557232000001</v>
      </c>
      <c r="K121" s="255"/>
      <c r="L121" s="255"/>
      <c r="M121" s="255"/>
      <c r="N121" s="255"/>
      <c r="O121" s="257"/>
      <c r="P121" s="257"/>
    </row>
    <row r="122" spans="1:16">
      <c r="A122" s="251" t="s">
        <v>6307</v>
      </c>
      <c r="B122" s="290">
        <v>2</v>
      </c>
      <c r="C122" s="282" t="s">
        <v>7094</v>
      </c>
      <c r="D122" s="274" t="str">
        <f>(IF($A122="SINAPI",INDEX(SINAPI_NOV2020_NDES!$A$7:$H$6790,MATCH($B122,SINAPI_NOV2020_NDES!$A$7:$A$6790,0),3),(INDEX(COMPOS!$A$4:$G$5000,MATCH($B122,COMPOS!$A$4:$A$5000,0),3))))</f>
        <v>M2</v>
      </c>
      <c r="E122" s="280">
        <v>2.4000000000000004</v>
      </c>
      <c r="F122" s="279">
        <f>(IF($A122="SINAPI",INDEX(SINAPI_NOV2020_NDES!$A$7:$H$6703,MATCH($B122,SINAPI_NOV2020_NDES!$A$7:$A$6703,0),5),(INDEX(COMPOS!$A$4:$G$801,MATCH($B122,COMPOS!$A$4:A$801,0),4))))</f>
        <v>134.02471</v>
      </c>
      <c r="G122" s="279">
        <f>(IF($A122="SINAPI",INDEX(SINAPI_NOV2020_NDES!$A$7:$H$6703,MATCH($B122,SINAPI_NOV2020_NDES!$A$7:$A$6703,0),6),(INDEX(COMPOS!$A$4:$G$801,MATCH($B122,COMPOS!$A$4:A$801,0),5))))</f>
        <v>253.4302035</v>
      </c>
      <c r="H122" s="280">
        <f>(IF($A122="SINAPI",INDEX(SINAPI_NOV2020_NDES!$A$7:$H$6703,MATCH($B122,SINAPI_NOV2020_NDES!$A$7:$A$6703,0),7),(INDEX(COMPOS!$A$4:$G$801,MATCH($B122,COMPOS!$A$4:A$801,0),6))))</f>
        <v>0</v>
      </c>
      <c r="I122" s="279">
        <f t="shared" si="22"/>
        <v>387.45491349999998</v>
      </c>
      <c r="J122" s="276">
        <f t="shared" si="23"/>
        <v>929.8917924000001</v>
      </c>
      <c r="K122" s="255"/>
      <c r="L122" s="255"/>
      <c r="M122" s="255"/>
      <c r="N122" s="255"/>
      <c r="O122" s="257"/>
      <c r="P122" s="257"/>
    </row>
    <row r="123" spans="1:16">
      <c r="A123" s="251" t="s">
        <v>6307</v>
      </c>
      <c r="B123" s="290">
        <v>8</v>
      </c>
      <c r="C123" s="282" t="s">
        <v>7095</v>
      </c>
      <c r="D123" s="274" t="str">
        <f>(IF($A123="SINAPI",INDEX(SINAPI_NOV2020_NDES!$A$7:$H$6790,MATCH($B123,SINAPI_NOV2020_NDES!$A$7:$A$6790,0),3),(INDEX(COMPOS!$A$4:$G$5000,MATCH($B123,COMPOS!$A$4:$A$5000,0),3))))</f>
        <v>M2</v>
      </c>
      <c r="E123" s="280">
        <v>3.528</v>
      </c>
      <c r="F123" s="279">
        <f>(IF($A123="SINAPI",INDEX(SINAPI_NOV2020_NDES!$A$7:$H$6703,MATCH($B123,SINAPI_NOV2020_NDES!$A$7:$A$6703,0),5),(INDEX(COMPOS!$A$4:$G$801,MATCH($B123,COMPOS!$A$4:A$801,0),4))))</f>
        <v>134.02471</v>
      </c>
      <c r="G123" s="279">
        <f>(IF($A123="SINAPI",INDEX(SINAPI_NOV2020_NDES!$A$7:$H$6703,MATCH($B123,SINAPI_NOV2020_NDES!$A$7:$A$6703,0),6),(INDEX(COMPOS!$A$4:$G$801,MATCH($B123,COMPOS!$A$4:A$801,0),5))))</f>
        <v>766.88476449999996</v>
      </c>
      <c r="H123" s="280">
        <f>(IF($A123="SINAPI",INDEX(SINAPI_NOV2020_NDES!$A$7:$H$6703,MATCH($B123,SINAPI_NOV2020_NDES!$A$7:$A$6703,0),7),(INDEX(COMPOS!$A$4:$G$801,MATCH($B123,COMPOS!$A$4:A$801,0),6))))</f>
        <v>0</v>
      </c>
      <c r="I123" s="279">
        <f t="shared" si="22"/>
        <v>900.90947449999999</v>
      </c>
      <c r="J123" s="276">
        <f t="shared" si="23"/>
        <v>3178.408626036</v>
      </c>
      <c r="K123" s="255"/>
      <c r="L123" s="255"/>
      <c r="M123" s="255"/>
      <c r="N123" s="255"/>
      <c r="O123" s="257"/>
      <c r="P123" s="257"/>
    </row>
    <row r="124" spans="1:16">
      <c r="A124" s="251" t="s">
        <v>6307</v>
      </c>
      <c r="B124" s="290">
        <v>8</v>
      </c>
      <c r="C124" s="282" t="s">
        <v>7096</v>
      </c>
      <c r="D124" s="274" t="str">
        <f>(IF($A124="SINAPI",INDEX(SINAPI_NOV2020_NDES!$A$7:$H$6790,MATCH($B124,SINAPI_NOV2020_NDES!$A$7:$A$6790,0),3),(INDEX(COMPOS!$A$4:$G$5000,MATCH($B124,COMPOS!$A$4:$A$5000,0),3))))</f>
        <v>M2</v>
      </c>
      <c r="E124" s="280">
        <v>3.84</v>
      </c>
      <c r="F124" s="279">
        <f>(IF($A124="SINAPI",INDEX(SINAPI_NOV2020_NDES!$A$7:$H$6703,MATCH($B124,SINAPI_NOV2020_NDES!$A$7:$A$6703,0),5),(INDEX(COMPOS!$A$4:$G$801,MATCH($B124,COMPOS!$A$4:A$801,0),4))))</f>
        <v>134.02471</v>
      </c>
      <c r="G124" s="279">
        <f>(IF($A124="SINAPI",INDEX(SINAPI_NOV2020_NDES!$A$7:$H$6703,MATCH($B124,SINAPI_NOV2020_NDES!$A$7:$A$6703,0),6),(INDEX(COMPOS!$A$4:$G$801,MATCH($B124,COMPOS!$A$4:A$801,0),5))))</f>
        <v>766.88476449999996</v>
      </c>
      <c r="H124" s="280">
        <f>(IF($A124="SINAPI",INDEX(SINAPI_NOV2020_NDES!$A$7:$H$6703,MATCH($B124,SINAPI_NOV2020_NDES!$A$7:$A$6703,0),7),(INDEX(COMPOS!$A$4:$G$801,MATCH($B124,COMPOS!$A$4:A$801,0),6))))</f>
        <v>0</v>
      </c>
      <c r="I124" s="279">
        <f t="shared" si="22"/>
        <v>900.90947449999999</v>
      </c>
      <c r="J124" s="276">
        <f t="shared" si="23"/>
        <v>3459.49238208</v>
      </c>
      <c r="K124" s="255"/>
      <c r="L124" s="255"/>
      <c r="M124" s="255"/>
      <c r="N124" s="255"/>
      <c r="O124" s="257"/>
      <c r="P124" s="257"/>
    </row>
    <row r="125" spans="1:16">
      <c r="A125" s="251" t="s">
        <v>6307</v>
      </c>
      <c r="B125" s="290">
        <v>8</v>
      </c>
      <c r="C125" s="282" t="s">
        <v>7097</v>
      </c>
      <c r="D125" s="274" t="str">
        <f>(IF($A125="SINAPI",INDEX(SINAPI_NOV2020_NDES!$A$7:$H$6790,MATCH($B125,SINAPI_NOV2020_NDES!$A$7:$A$6790,0),3),(INDEX(COMPOS!$A$4:$G$5000,MATCH($B125,COMPOS!$A$4:$A$5000,0),3))))</f>
        <v>M2</v>
      </c>
      <c r="E125" s="280">
        <v>2.3159999999999998</v>
      </c>
      <c r="F125" s="279">
        <f>(IF($A125="SINAPI",INDEX(SINAPI_NOV2020_NDES!$A$7:$H$6703,MATCH($B125,SINAPI_NOV2020_NDES!$A$7:$A$6703,0),5),(INDEX(COMPOS!$A$4:$G$801,MATCH($B125,COMPOS!$A$4:A$801,0),4))))</f>
        <v>134.02471</v>
      </c>
      <c r="G125" s="279">
        <f>(IF($A125="SINAPI",INDEX(SINAPI_NOV2020_NDES!$A$7:$H$6703,MATCH($B125,SINAPI_NOV2020_NDES!$A$7:$A$6703,0),6),(INDEX(COMPOS!$A$4:$G$801,MATCH($B125,COMPOS!$A$4:A$801,0),5))))</f>
        <v>766.88476449999996</v>
      </c>
      <c r="H125" s="280">
        <f>(IF($A125="SINAPI",INDEX(SINAPI_NOV2020_NDES!$A$7:$H$6703,MATCH($B125,SINAPI_NOV2020_NDES!$A$7:$A$6703,0),7),(INDEX(COMPOS!$A$4:$G$801,MATCH($B125,COMPOS!$A$4:A$801,0),6))))</f>
        <v>0</v>
      </c>
      <c r="I125" s="279">
        <f t="shared" si="22"/>
        <v>900.90947449999999</v>
      </c>
      <c r="J125" s="276">
        <f t="shared" si="23"/>
        <v>2086.5063429419997</v>
      </c>
      <c r="K125" s="255"/>
      <c r="L125" s="255"/>
      <c r="M125" s="255"/>
      <c r="N125" s="255"/>
      <c r="O125" s="257"/>
      <c r="P125" s="257"/>
    </row>
    <row r="126" spans="1:16" s="88" customFormat="1" ht="24" customHeight="1">
      <c r="A126" s="680" t="s">
        <v>6927</v>
      </c>
      <c r="B126" s="680"/>
      <c r="C126" s="680"/>
      <c r="D126" s="680"/>
      <c r="E126" s="680"/>
      <c r="F126" s="680"/>
      <c r="G126" s="680"/>
      <c r="H126" s="680"/>
      <c r="I126" s="680"/>
      <c r="J126" s="281">
        <f>SUM(J114:J125)</f>
        <v>52926.092870438966</v>
      </c>
      <c r="K126" s="255"/>
      <c r="L126" s="255"/>
      <c r="M126" s="255"/>
      <c r="N126" s="255"/>
      <c r="O126" s="257"/>
      <c r="P126" s="257"/>
    </row>
    <row r="127" spans="1:16">
      <c r="A127" s="251"/>
      <c r="B127" s="290">
        <v>181</v>
      </c>
      <c r="C127" s="273" t="s">
        <v>594</v>
      </c>
      <c r="D127" s="274" t="s">
        <v>6922</v>
      </c>
      <c r="E127" s="276"/>
      <c r="F127" s="276"/>
      <c r="G127" s="276"/>
      <c r="H127" s="276"/>
      <c r="I127" s="280"/>
      <c r="J127" s="280"/>
      <c r="K127" s="255"/>
      <c r="L127" s="255"/>
      <c r="M127" s="255"/>
      <c r="N127" s="255"/>
      <c r="O127" s="257"/>
      <c r="P127" s="257"/>
    </row>
    <row r="128" spans="1:16">
      <c r="A128" s="251" t="s">
        <v>7</v>
      </c>
      <c r="B128" s="290">
        <v>72117</v>
      </c>
      <c r="C128" s="282" t="str">
        <f>(IF($A128="SINAPI",INDEX(SINAPI_NOV2020_NDES!$A$7:$H$6703,MATCH($B128,SINAPI_NOV2020_NDES!$A$7:$A$6703,0),2),IF($A128="GOINFRA",INDEX(#REF!,MATCH($B128,#REF!,0),2),(INDEX(COMPOS!$A$4:$G$390,MATCH($B128,COMPOS!$A$4:A$390,0),2)))))</f>
        <v>VIDRO LISO COMUM TRANSPARENTE, ESPESSURA 4MM</v>
      </c>
      <c r="D128" s="274" t="str">
        <f>(IF($A128="SINAPI",INDEX(SINAPI_NOV2020_NDES!$A$7:$H$6790,MATCH($B128,SINAPI_NOV2020_NDES!$A$7:$A$6790,0),3),(INDEX(COMPOS!$A$4:$G$5000,MATCH($B128,COMPOS!$A$4:$A$5000,0),3))))</f>
        <v>M2</v>
      </c>
      <c r="E128" s="276">
        <v>13.05</v>
      </c>
      <c r="F128" s="280">
        <f>(IF($A128="SINAPI",INDEX(SINAPI_NOV2020_NDES!$A$7:$H$6703,MATCH($B128,SINAPI_NOV2020_NDES!$A$7:$A$6703,0),5),(INDEX(COMPOS!$A$4:$G$801,MATCH($B128,COMPOS!$A$4:A$801,0),4))))</f>
        <v>11.8</v>
      </c>
      <c r="G128" s="280">
        <f>(IF($A128="SINAPI",INDEX(SINAPI_NOV2020_NDES!$A$7:$H$6703,MATCH($B128,SINAPI_NOV2020_NDES!$A$7:$A$6703,0),6),(INDEX(COMPOS!$A$4:$G$801,MATCH($B128,COMPOS!$A$4:A$801,0),5))))</f>
        <v>171.51</v>
      </c>
      <c r="H128" s="280">
        <f>(IF($A128="SINAPI",INDEX(SINAPI_NOV2020_NDES!$A$7:$H$6703,MATCH($B128,SINAPI_NOV2020_NDES!$A$7:$A$6703,0),7),(INDEX(COMPOS!$A$4:$G$801,MATCH($B128,COMPOS!$A$4:A$801,0),6))))</f>
        <v>0</v>
      </c>
      <c r="I128" s="280">
        <f t="shared" ref="I128" si="24">SUM(F128:H128)</f>
        <v>183.31</v>
      </c>
      <c r="J128" s="276">
        <f t="shared" ref="J128" si="25">+I128*E128</f>
        <v>2392.1955000000003</v>
      </c>
      <c r="K128" s="255"/>
      <c r="L128" s="255"/>
      <c r="M128" s="255"/>
      <c r="N128" s="255"/>
      <c r="O128" s="257"/>
      <c r="P128" s="257"/>
    </row>
    <row r="129" spans="1:16" s="88" customFormat="1" ht="24" customHeight="1">
      <c r="A129" s="680" t="s">
        <v>6927</v>
      </c>
      <c r="B129" s="680"/>
      <c r="C129" s="680"/>
      <c r="D129" s="680"/>
      <c r="E129" s="680"/>
      <c r="F129" s="680"/>
      <c r="G129" s="680"/>
      <c r="H129" s="680"/>
      <c r="I129" s="680"/>
      <c r="J129" s="281">
        <f>SUM(J128)</f>
        <v>2392.1955000000003</v>
      </c>
      <c r="K129" s="255"/>
      <c r="L129" s="255"/>
      <c r="M129" s="255"/>
      <c r="N129" s="255"/>
      <c r="O129" s="257"/>
      <c r="P129" s="257"/>
    </row>
    <row r="130" spans="1:16">
      <c r="A130" s="251"/>
      <c r="B130" s="290">
        <v>182</v>
      </c>
      <c r="C130" s="273" t="s">
        <v>593</v>
      </c>
      <c r="D130" s="274" t="s">
        <v>6922</v>
      </c>
      <c r="E130" s="276"/>
      <c r="F130" s="276"/>
      <c r="G130" s="276"/>
      <c r="H130" s="276"/>
      <c r="I130" s="280"/>
      <c r="J130" s="280"/>
      <c r="K130" s="255"/>
      <c r="L130" s="255"/>
      <c r="M130" s="255"/>
      <c r="N130" s="255"/>
      <c r="O130" s="257"/>
      <c r="P130" s="257"/>
    </row>
    <row r="131" spans="1:16" ht="44.25" customHeight="1">
      <c r="A131" s="251" t="s">
        <v>7</v>
      </c>
      <c r="B131" s="290">
        <v>87267</v>
      </c>
      <c r="C131" s="282" t="str">
        <f>(IF($A131="SINAPI",INDEX(SINAPI_NOV2020_NDES!$A$7:$H$6703,MATCH($B131,SINAPI_NOV2020_NDES!$A$7:$A$6703,0),2),IF($A131="GOINFRA",INDEX(#REF!,MATCH($B131,#REF!,0),2),(INDEX(COMPOS!$A$4:$G$390,MATCH($B131,COMPOS!$A$4:A$390,0),2)))))</f>
        <v>REVESTIMENTO CERÂMICO PARA PAREDES INTERNAS COM PLACAS TIPO ESMALTADA EXTRA DE DIMENSÕES 20X20 CM APLICADAS EM AMBIENTES DE ÁREA MAIOR QUE 5 M² A MEIA ALTURA DAS PAREDES. AF_06/2014</v>
      </c>
      <c r="D131" s="274" t="str">
        <f>(IF($A131="SINAPI",INDEX(SINAPI_NOV2020_NDES!$A$7:$H$6790,MATCH($B131,SINAPI_NOV2020_NDES!$A$7:$A$6790,0),3),(INDEX(COMPOS!$A$4:$G$5000,MATCH($B131,COMPOS!$A$4:$A$5000,0),3))))</f>
        <v>M2</v>
      </c>
      <c r="E131" s="276">
        <v>185.5</v>
      </c>
      <c r="F131" s="280">
        <f>(IF($A131="SINAPI",INDEX(SINAPI_NOV2020_NDES!$A$7:$H$6703,MATCH($B131,SINAPI_NOV2020_NDES!$A$7:$A$6703,0),5),(INDEX(COMPOS!$A$4:$G$801,MATCH($B131,COMPOS!$A$4:A$801,0),4))))</f>
        <v>15.86</v>
      </c>
      <c r="G131" s="280">
        <f>(IF($A131="SINAPI",INDEX(SINAPI_NOV2020_NDES!$A$7:$H$6703,MATCH($B131,SINAPI_NOV2020_NDES!$A$7:$A$6703,0),6),(INDEX(COMPOS!$A$4:$G$801,MATCH($B131,COMPOS!$A$4:A$801,0),5))))</f>
        <v>27.49</v>
      </c>
      <c r="H131" s="280">
        <f>(IF($A131="SINAPI",INDEX(SINAPI_NOV2020_NDES!$A$7:$H$6703,MATCH($B131,SINAPI_NOV2020_NDES!$A$7:$A$6703,0),7),(INDEX(COMPOS!$A$4:$G$801,MATCH($B131,COMPOS!$A$4:A$801,0),6))))</f>
        <v>0</v>
      </c>
      <c r="I131" s="280">
        <f t="shared" ref="I131" si="26">SUM(F131:H131)</f>
        <v>43.349999999999994</v>
      </c>
      <c r="J131" s="276">
        <f t="shared" ref="J131" si="27">+I131*E131</f>
        <v>8041.4249999999993</v>
      </c>
      <c r="K131" s="255"/>
      <c r="L131" s="255"/>
      <c r="M131" s="255"/>
      <c r="N131" s="255"/>
      <c r="O131" s="257"/>
      <c r="P131" s="257"/>
    </row>
    <row r="132" spans="1:16" s="88" customFormat="1" ht="24" customHeight="1">
      <c r="A132" s="680" t="s">
        <v>6927</v>
      </c>
      <c r="B132" s="680"/>
      <c r="C132" s="680"/>
      <c r="D132" s="680"/>
      <c r="E132" s="680"/>
      <c r="F132" s="680"/>
      <c r="G132" s="680"/>
      <c r="H132" s="680"/>
      <c r="I132" s="680"/>
      <c r="J132" s="281">
        <f>SUM(J131)</f>
        <v>8041.4249999999993</v>
      </c>
      <c r="K132" s="255"/>
      <c r="L132" s="255"/>
      <c r="M132" s="255"/>
      <c r="N132" s="255"/>
      <c r="O132" s="257"/>
      <c r="P132" s="257"/>
    </row>
    <row r="133" spans="1:16">
      <c r="A133" s="251"/>
      <c r="B133" s="290">
        <v>183</v>
      </c>
      <c r="C133" s="273" t="s">
        <v>592</v>
      </c>
      <c r="D133" s="274" t="s">
        <v>6922</v>
      </c>
      <c r="E133" s="276"/>
      <c r="F133" s="276"/>
      <c r="G133" s="276"/>
      <c r="H133" s="276"/>
      <c r="I133" s="280"/>
      <c r="J133" s="280"/>
      <c r="K133" s="255"/>
      <c r="L133" s="255"/>
      <c r="M133" s="255"/>
      <c r="N133" s="255"/>
      <c r="O133" s="257"/>
      <c r="P133" s="257"/>
    </row>
    <row r="134" spans="1:16" ht="36">
      <c r="A134" s="251" t="s">
        <v>7</v>
      </c>
      <c r="B134" s="290">
        <v>87882</v>
      </c>
      <c r="C134" s="282" t="str">
        <f>(IF($A134="SINAPI",INDEX(SINAPI_NOV2020_NDES!$A$7:$H$6703,MATCH($B134,SINAPI_NOV2020_NDES!$A$7:$A$6703,0),2),IF($A134="GOINFRA",INDEX(#REF!,MATCH($B134,#REF!,0),2),(INDEX(COMPOS!$A$4:$G$390,MATCH($B134,COMPOS!$A$4:A$390,0),2)))))</f>
        <v>CHAPISCO APLICADO NO TETO, COM ROLO PARA TEXTURA ACRÍLICA. ARGAMASSA TRAÇO 1:4 E EMULSÃO POLIMÉRICA (ADESIVO) COM PREPARO EM BETONEIRA 400L. AF_06/2014</v>
      </c>
      <c r="D134" s="274" t="str">
        <f>(IF($A134="SINAPI",INDEX(SINAPI_NOV2020_NDES!$A$7:$H$6790,MATCH($B134,SINAPI_NOV2020_NDES!$A$7:$A$6790,0),3),(INDEX(COMPOS!$A$4:$G$5000,MATCH($B134,COMPOS!$A$4:$A$5000,0),3))))</f>
        <v>M2</v>
      </c>
      <c r="E134" s="276">
        <v>220.25</v>
      </c>
      <c r="F134" s="280">
        <f>(IF($A134="SINAPI",INDEX(SINAPI_NOV2020_NDES!$A$7:$H$6703,MATCH($B134,SINAPI_NOV2020_NDES!$A$7:$A$6703,0),5),(INDEX(COMPOS!$A$4:$G$801,MATCH($B134,COMPOS!$A$4:A$801,0),4))))</f>
        <v>0.82</v>
      </c>
      <c r="G134" s="280">
        <f>(IF($A134="SINAPI",INDEX(SINAPI_NOV2020_NDES!$A$7:$H$6703,MATCH($B134,SINAPI_NOV2020_NDES!$A$7:$A$6703,0),6),(INDEX(COMPOS!$A$4:$G$801,MATCH($B134,COMPOS!$A$4:A$801,0),5))))</f>
        <v>3.11</v>
      </c>
      <c r="H134" s="280">
        <f>(IF($A134="SINAPI",INDEX(SINAPI_NOV2020_NDES!$A$7:$H$6703,MATCH($B134,SINAPI_NOV2020_NDES!$A$7:$A$6703,0),7),(INDEX(COMPOS!$A$4:$G$801,MATCH($B134,COMPOS!$A$4:A$801,0),6))))</f>
        <v>0</v>
      </c>
      <c r="I134" s="280">
        <f t="shared" ref="I134" si="28">SUM(F134:H134)</f>
        <v>3.9299999999999997</v>
      </c>
      <c r="J134" s="276">
        <f t="shared" ref="J134" si="29">+I134*E134</f>
        <v>865.58249999999998</v>
      </c>
      <c r="K134" s="255"/>
      <c r="L134" s="255"/>
      <c r="M134" s="255"/>
      <c r="N134" s="255"/>
      <c r="O134" s="257"/>
      <c r="P134" s="257"/>
    </row>
    <row r="135" spans="1:16" ht="36">
      <c r="A135" s="251" t="s">
        <v>7</v>
      </c>
      <c r="B135" s="290">
        <v>90406</v>
      </c>
      <c r="C135" s="282" t="str">
        <f>(IF($A135="SINAPI",INDEX(SINAPI_NOV2020_NDES!$A$7:$H$6703,MATCH($B135,SINAPI_NOV2020_NDES!$A$7:$A$6703,0),2),IF($A135="GOINFRA",INDEX(#REF!,MATCH($B135,#REF!,0),2),(INDEX(COMPOS!$A$4:$G$390,MATCH($B135,COMPOS!$A$4:A$390,0),2)))))</f>
        <v>MASSA ÚNICA, PARA RECEBIMENTO DE PINTURA, EM ARGAMASSA TRAÇO 1:2:8, PREPARO MECÂNICO COM BETONEIRA 400L, APLICADA MANUALMENTE EM TETO, ESPESSURA DE 20MM, COM EXECUÇÃO DE TALISCAS. AF_03/2015</v>
      </c>
      <c r="D135" s="274" t="str">
        <f>(IF($A135="SINAPI",INDEX(SINAPI_NOV2020_NDES!$A$7:$H$6790,MATCH($B135,SINAPI_NOV2020_NDES!$A$7:$A$6790,0),3),(INDEX(COMPOS!$A$4:$G$5000,MATCH($B135,COMPOS!$A$4:$A$5000,0),3))))</f>
        <v>M2</v>
      </c>
      <c r="E135" s="276">
        <v>220.25</v>
      </c>
      <c r="F135" s="280">
        <f>(IF($A135="SINAPI",INDEX(SINAPI_NOV2020_NDES!$A$7:$H$6703,MATCH($B135,SINAPI_NOV2020_NDES!$A$7:$A$6703,0),5),(INDEX(COMPOS!$A$4:$G$801,MATCH($B135,COMPOS!$A$4:A$801,0),4))))</f>
        <v>20.13</v>
      </c>
      <c r="G135" s="280">
        <f>(IF($A135="SINAPI",INDEX(SINAPI_NOV2020_NDES!$A$7:$H$6703,MATCH($B135,SINAPI_NOV2020_NDES!$A$7:$A$6703,0),6),(INDEX(COMPOS!$A$4:$G$801,MATCH($B135,COMPOS!$A$4:A$801,0),5))))</f>
        <v>19.45</v>
      </c>
      <c r="H135" s="280">
        <f>(IF($A135="SINAPI",INDEX(SINAPI_NOV2020_NDES!$A$7:$H$6703,MATCH($B135,SINAPI_NOV2020_NDES!$A$7:$A$6703,0),7),(INDEX(COMPOS!$A$4:$G$801,MATCH($B135,COMPOS!$A$4:A$801,0),6))))</f>
        <v>0.03</v>
      </c>
      <c r="I135" s="280">
        <f t="shared" ref="I135" si="30">SUM(F135:H135)</f>
        <v>39.61</v>
      </c>
      <c r="J135" s="276">
        <f t="shared" ref="J135" si="31">+I135*E135</f>
        <v>8724.1024999999991</v>
      </c>
      <c r="K135" s="255"/>
      <c r="L135" s="255"/>
      <c r="M135" s="255"/>
      <c r="N135" s="255"/>
      <c r="O135" s="257"/>
      <c r="P135" s="257"/>
    </row>
    <row r="136" spans="1:16" s="88" customFormat="1" ht="24.75" customHeight="1">
      <c r="A136" s="680" t="s">
        <v>6927</v>
      </c>
      <c r="B136" s="680"/>
      <c r="C136" s="680"/>
      <c r="D136" s="680"/>
      <c r="E136" s="680"/>
      <c r="F136" s="680"/>
      <c r="G136" s="680"/>
      <c r="H136" s="680"/>
      <c r="I136" s="680"/>
      <c r="J136" s="281">
        <f>SUM(J134:J135)</f>
        <v>9589.6849999999995</v>
      </c>
      <c r="K136" s="255"/>
      <c r="L136" s="255"/>
      <c r="M136" s="255"/>
      <c r="N136" s="255"/>
      <c r="O136" s="257"/>
      <c r="P136" s="257"/>
    </row>
    <row r="137" spans="1:16">
      <c r="A137" s="251"/>
      <c r="B137" s="290">
        <v>184</v>
      </c>
      <c r="C137" s="273" t="s">
        <v>591</v>
      </c>
      <c r="D137" s="274" t="s">
        <v>6922</v>
      </c>
      <c r="E137" s="276"/>
      <c r="F137" s="276"/>
      <c r="G137" s="276"/>
      <c r="H137" s="276"/>
      <c r="I137" s="280"/>
      <c r="J137" s="280"/>
      <c r="K137" s="255"/>
      <c r="L137" s="255"/>
      <c r="M137" s="255"/>
      <c r="N137" s="255"/>
      <c r="O137" s="257"/>
      <c r="P137" s="257"/>
    </row>
    <row r="138" spans="1:16" ht="24">
      <c r="A138" s="251" t="s">
        <v>7</v>
      </c>
      <c r="B138" s="290">
        <v>95241</v>
      </c>
      <c r="C138" s="282" t="str">
        <f>(IF($A138="SINAPI",INDEX(SINAPI_NOV2020_NDES!$A$7:$H$6703,MATCH($B138,SINAPI_NOV2020_NDES!$A$7:$A$6703,0),2),IF($A138="GOINFRA",INDEX(#REF!,MATCH($B138,#REF!,0),2),(INDEX(COMPOS!$A$4:$G$390,MATCH($B138,COMPOS!$A$4:A$390,0),2)))))</f>
        <v>LASTRO DE CONCRETO MAGRO, APLICADO EM PISOS OU RADIERS, ESPESSURA DE 5 CM. AF_07/2016</v>
      </c>
      <c r="D138" s="274" t="str">
        <f>(IF($A138="SINAPI",INDEX(SINAPI_NOV2020_NDES!$A$7:$H$6790,MATCH($B138,SINAPI_NOV2020_NDES!$A$7:$A$6790,0),3),(INDEX(COMPOS!$A$4:$G$5000,MATCH($B138,COMPOS!$A$4:$A$5000,0),3))))</f>
        <v>M2</v>
      </c>
      <c r="E138" s="276">
        <v>53.98</v>
      </c>
      <c r="F138" s="280">
        <f>(IF($A138="SINAPI",INDEX(SINAPI_NOV2020_NDES!$A$7:$H$6703,MATCH($B138,SINAPI_NOV2020_NDES!$A$7:$A$6703,0),5),(INDEX(COMPOS!$A$4:$G$801,MATCH($B138,COMPOS!$A$4:A$801,0),4))))</f>
        <v>8.26</v>
      </c>
      <c r="G138" s="280">
        <f>(IF($A138="SINAPI",INDEX(SINAPI_NOV2020_NDES!$A$7:$H$6703,MATCH($B138,SINAPI_NOV2020_NDES!$A$7:$A$6703,0),6),(INDEX(COMPOS!$A$4:$G$801,MATCH($B138,COMPOS!$A$4:A$801,0),5))))</f>
        <v>16.48</v>
      </c>
      <c r="H138" s="280">
        <f>(IF($A138="SINAPI",INDEX(SINAPI_NOV2020_NDES!$A$7:$H$6703,MATCH($B138,SINAPI_NOV2020_NDES!$A$7:$A$6703,0),7),(INDEX(COMPOS!$A$4:$G$801,MATCH($B138,COMPOS!$A$4:A$801,0),6))))</f>
        <v>0.09</v>
      </c>
      <c r="I138" s="280">
        <f t="shared" ref="I138" si="32">SUM(F138:H138)</f>
        <v>24.830000000000002</v>
      </c>
      <c r="J138" s="276">
        <f t="shared" ref="J138" si="33">+I138*E138</f>
        <v>1340.3234</v>
      </c>
      <c r="K138" s="255"/>
      <c r="L138" s="255"/>
      <c r="M138" s="255"/>
      <c r="N138" s="255"/>
      <c r="O138" s="257"/>
      <c r="P138" s="257"/>
    </row>
    <row r="139" spans="1:16" ht="24">
      <c r="A139" s="251" t="s">
        <v>6307</v>
      </c>
      <c r="B139" s="290">
        <v>348</v>
      </c>
      <c r="C139" s="282" t="str">
        <f>(IF($A139="SINAPI",INDEX(SINAPI_NOV2020_NDES!$A$7:$H$6703,MATCH($B139,SINAPI_NOV2020_NDES!$A$7:$A$6703,0),2),IF($A139="GOINFRA",INDEX(#REF!,MATCH($B139,#REF!,0),2),(INDEX(COMPOS!$A$4:$G$390,MATCH($B139,COMPOS!$A$4:A$390,0),2)))))</f>
        <v>PASSEIO DE PROTEÇÃO EM CONCRETO DESEMPENADO 5CM (1:2,5:3,5) (INCLUSO ESPELHO DE 30CM/ESCAVAÇÃO/REATERRO/APILOAMENTO/ATERRO INTERNO)</v>
      </c>
      <c r="D139" s="274" t="str">
        <f>(IF($A139="SINAPI",INDEX(SINAPI_NOV2020_NDES!$A$7:$H$6790,MATCH($B139,SINAPI_NOV2020_NDES!$A$7:$A$6790,0),3),(INDEX(COMPOS!$A$4:$G$5000,MATCH($B139,COMPOS!$A$4:$A$5000,0),3))))</f>
        <v>M2</v>
      </c>
      <c r="E139" s="276">
        <f>32.67+26.44</f>
        <v>59.11</v>
      </c>
      <c r="F139" s="280">
        <f>(IF($A139="SINAPI",INDEX(SINAPI_NOV2020_NDES!$A$7:$H$6703,MATCH($B139,SINAPI_NOV2020_NDES!$A$7:$A$6703,0),5),(INDEX(COMPOS!$A$4:$G$801,MATCH($B139,COMPOS!$A$4:A$801,0),4))))</f>
        <v>43.421984000000002</v>
      </c>
      <c r="G139" s="280">
        <f>(IF($A139="SINAPI",INDEX(SINAPI_NOV2020_NDES!$A$7:$H$6703,MATCH($B139,SINAPI_NOV2020_NDES!$A$7:$A$6703,0),6),(INDEX(COMPOS!$A$4:$G$801,MATCH($B139,COMPOS!$A$4:A$801,0),5))))</f>
        <v>31.570292999999999</v>
      </c>
      <c r="H139" s="280">
        <f>(IF($A139="SINAPI",INDEX(SINAPI_NOV2020_NDES!$A$7:$H$6703,MATCH($B139,SINAPI_NOV2020_NDES!$A$7:$A$6703,0),7),(INDEX(COMPOS!$A$4:$G$801,MATCH($B139,COMPOS!$A$4:A$801,0),6))))</f>
        <v>0</v>
      </c>
      <c r="I139" s="280">
        <f t="shared" ref="I139:I142" si="34">SUM(F139:H139)</f>
        <v>74.992277000000001</v>
      </c>
      <c r="J139" s="276">
        <f t="shared" ref="J139:J142" si="35">+I139*E139</f>
        <v>4432.7934934699997</v>
      </c>
      <c r="K139" s="255"/>
      <c r="L139" s="255"/>
      <c r="M139" s="255"/>
      <c r="N139" s="255"/>
      <c r="O139" s="257"/>
      <c r="P139" s="257"/>
    </row>
    <row r="140" spans="1:16">
      <c r="A140" s="251" t="s">
        <v>6307</v>
      </c>
      <c r="B140" s="290">
        <v>350</v>
      </c>
      <c r="C140" s="282" t="str">
        <f>(IF($A140="SINAPI",INDEX(SINAPI_NOV2020_NDES!$A$7:$H$6703,MATCH($B140,SINAPI_NOV2020_NDES!$A$7:$A$6703,0),2),IF($A140="GOINFRA",INDEX(#REF!,MATCH($B140,#REF!,0),2),(INDEX(COMPOS!$A$4:$G$390,MATCH($B140,COMPOS!$A$4:A$390,0),2)))))</f>
        <v>GRANITINA 8MM FUNDIDA COM CONTRAPISO, ESP. 2CM E JUNTA PLÁSTICA 27MM</v>
      </c>
      <c r="D140" s="274" t="str">
        <f>(IF($A140="SINAPI",INDEX(SINAPI_NOV2020_NDES!$A$7:$H$6790,MATCH($B140,SINAPI_NOV2020_NDES!$A$7:$A$6790,0),3),(INDEX(COMPOS!$A$4:$G$5000,MATCH($B140,COMPOS!$A$4:$A$5000,0),3))))</f>
        <v>M2</v>
      </c>
      <c r="E140" s="276">
        <f>127.19+66.27+19.1+8.19+1.1</f>
        <v>221.84999999999997</v>
      </c>
      <c r="F140" s="280">
        <f>(IF($A140="SINAPI",INDEX(SINAPI_NOV2020_NDES!$A$7:$H$6703,MATCH($B140,SINAPI_NOV2020_NDES!$A$7:$A$6703,0),5),(INDEX(COMPOS!$A$4:$G$801,MATCH($B140,COMPOS!$A$4:A$801,0),4))))</f>
        <v>19.118230999999998</v>
      </c>
      <c r="G140" s="280">
        <f>(IF($A140="SINAPI",INDEX(SINAPI_NOV2020_NDES!$A$7:$H$6703,MATCH($B140,SINAPI_NOV2020_NDES!$A$7:$A$6703,0),6),(INDEX(COMPOS!$A$4:$G$801,MATCH($B140,COMPOS!$A$4:A$801,0),5))))</f>
        <v>97.538049999999998</v>
      </c>
      <c r="H140" s="280">
        <f>(IF($A140="SINAPI",INDEX(SINAPI_NOV2020_NDES!$A$7:$H$6703,MATCH($B140,SINAPI_NOV2020_NDES!$A$7:$A$6703,0),7),(INDEX(COMPOS!$A$4:$G$801,MATCH($B140,COMPOS!$A$4:A$801,0),6))))</f>
        <v>0</v>
      </c>
      <c r="I140" s="280">
        <f t="shared" si="34"/>
        <v>116.65628099999999</v>
      </c>
      <c r="J140" s="276">
        <f t="shared" si="35"/>
        <v>25880.195939849993</v>
      </c>
      <c r="K140" s="255"/>
      <c r="L140" s="255"/>
      <c r="M140" s="255"/>
      <c r="N140" s="255"/>
      <c r="O140" s="257"/>
      <c r="P140" s="257"/>
    </row>
    <row r="141" spans="1:16">
      <c r="A141" s="251" t="s">
        <v>6307</v>
      </c>
      <c r="B141" s="290">
        <v>351</v>
      </c>
      <c r="C141" s="282" t="str">
        <f>(IF($A141="SINAPI",INDEX(SINAPI_NOV2020_NDES!$A$7:$H$6703,MATCH($B141,SINAPI_NOV2020_NDES!$A$7:$A$6703,0),2),IF($A141="GOINFRA",INDEX(#REF!,MATCH($B141,#REF!,0),2),(INDEX(COMPOS!$A$4:$G$390,MATCH($B141,COMPOS!$A$4:A$390,0),2)))))</f>
        <v>RODAPÉ FUNDIDO DE GRANITINA 7CM</v>
      </c>
      <c r="D141" s="274" t="str">
        <f>(IF($A141="SINAPI",INDEX(SINAPI_NOV2020_NDES!$A$7:$H$6790,MATCH($B141,SINAPI_NOV2020_NDES!$A$7:$A$6790,0),3),(INDEX(COMPOS!$A$4:$G$5000,MATCH($B141,COMPOS!$A$4:$A$5000,0),3))))</f>
        <v>M</v>
      </c>
      <c r="E141" s="276">
        <v>123.34</v>
      </c>
      <c r="F141" s="280">
        <f>(IF($A141="SINAPI",INDEX(SINAPI_NOV2020_NDES!$A$7:$H$6703,MATCH($B141,SINAPI_NOV2020_NDES!$A$7:$A$6703,0),5),(INDEX(COMPOS!$A$4:$G$801,MATCH($B141,COMPOS!$A$4:A$801,0),4))))</f>
        <v>0</v>
      </c>
      <c r="G141" s="280">
        <f>(IF($A141="SINAPI",INDEX(SINAPI_NOV2020_NDES!$A$7:$H$6703,MATCH($B141,SINAPI_NOV2020_NDES!$A$7:$A$6703,0),6),(INDEX(COMPOS!$A$4:$G$801,MATCH($B141,COMPOS!$A$4:A$801,0),5))))</f>
        <v>20.94</v>
      </c>
      <c r="H141" s="280">
        <f>(IF($A141="SINAPI",INDEX(SINAPI_NOV2020_NDES!$A$7:$H$6703,MATCH($B141,SINAPI_NOV2020_NDES!$A$7:$A$6703,0),7),(INDEX(COMPOS!$A$4:$G$801,MATCH($B141,COMPOS!$A$4:A$801,0),6))))</f>
        <v>0</v>
      </c>
      <c r="I141" s="280">
        <f t="shared" si="34"/>
        <v>20.94</v>
      </c>
      <c r="J141" s="276">
        <f t="shared" si="35"/>
        <v>2582.7396000000003</v>
      </c>
      <c r="K141" s="255"/>
      <c r="L141" s="255"/>
      <c r="M141" s="255"/>
      <c r="N141" s="255"/>
      <c r="O141" s="257"/>
      <c r="P141" s="257"/>
    </row>
    <row r="142" spans="1:16">
      <c r="A142" s="251" t="s">
        <v>6307</v>
      </c>
      <c r="B142" s="290">
        <v>482</v>
      </c>
      <c r="C142" s="282" t="str">
        <f>(IF($A142="SINAPI",INDEX(SINAPI_NOV2020_NDES!$A$7:$H$6703,MATCH($B142,SINAPI_NOV2020_NDES!$A$7:$A$6703,0),2),IF($A142="GOINFRA",INDEX(#REF!,MATCH($B142,#REF!,0),2),(INDEX(COMPOS!$A$4:$G$390,MATCH($B142,COMPOS!$A$4:A$390,0),2)))))</f>
        <v>PISO PODOTÁTIL CONCRETO 25X25 DIRECIONAL</v>
      </c>
      <c r="D142" s="274" t="str">
        <f>(IF($A142="SINAPI",INDEX(SINAPI_NOV2020_NDES!$A$7:$H$6790,MATCH($B142,SINAPI_NOV2020_NDES!$A$7:$A$6790,0),3),(INDEX(COMPOS!$A$4:$G$5000,MATCH($B142,COMPOS!$A$4:$A$5000,0),3))))</f>
        <v>M2</v>
      </c>
      <c r="E142" s="276">
        <f>8.13+0.187+0.141+0.25+0.181+0.187+0.141+0.375+0.422+0.441+0.371+0.187+0.375+0.487+0.25+0.731+0.187</f>
        <v>13.042999999999999</v>
      </c>
      <c r="F142" s="280">
        <f>(IF($A142="SINAPI",INDEX(SINAPI_NOV2020_NDES!$A$7:$H$6703,MATCH($B142,SINAPI_NOV2020_NDES!$A$7:$A$6703,0),5),(INDEX(COMPOS!$A$4:$G$801,MATCH($B142,COMPOS!$A$4:A$801,0),4))))</f>
        <v>26.110093999999997</v>
      </c>
      <c r="G142" s="280">
        <f>(IF($A142="SINAPI",INDEX(SINAPI_NOV2020_NDES!$A$7:$H$6703,MATCH($B142,SINAPI_NOV2020_NDES!$A$7:$A$6703,0),6),(INDEX(COMPOS!$A$4:$G$801,MATCH($B142,COMPOS!$A$4:A$801,0),5))))</f>
        <v>65.552500000000009</v>
      </c>
      <c r="H142" s="280">
        <f>(IF($A142="SINAPI",INDEX(SINAPI_NOV2020_NDES!$A$7:$H$6703,MATCH($B142,SINAPI_NOV2020_NDES!$A$7:$A$6703,0),7),(INDEX(COMPOS!$A$4:$G$801,MATCH($B142,COMPOS!$A$4:A$801,0),6))))</f>
        <v>0</v>
      </c>
      <c r="I142" s="280">
        <f t="shared" si="34"/>
        <v>91.662594000000013</v>
      </c>
      <c r="J142" s="276">
        <f t="shared" si="35"/>
        <v>1195.555213542</v>
      </c>
      <c r="K142" s="255"/>
      <c r="L142" s="255"/>
      <c r="M142" s="255"/>
      <c r="N142" s="255"/>
      <c r="O142" s="257"/>
      <c r="P142" s="257"/>
    </row>
    <row r="143" spans="1:16" s="88" customFormat="1" ht="24.75" customHeight="1">
      <c r="A143" s="680" t="s">
        <v>6927</v>
      </c>
      <c r="B143" s="680"/>
      <c r="C143" s="680"/>
      <c r="D143" s="680"/>
      <c r="E143" s="680"/>
      <c r="F143" s="680"/>
      <c r="G143" s="680"/>
      <c r="H143" s="680"/>
      <c r="I143" s="680"/>
      <c r="J143" s="281">
        <f>SUM(J138:J142)</f>
        <v>35431.607646861994</v>
      </c>
      <c r="K143" s="255"/>
      <c r="L143" s="255"/>
      <c r="M143" s="255"/>
      <c r="N143" s="255"/>
      <c r="O143" s="257"/>
      <c r="P143" s="257"/>
    </row>
    <row r="144" spans="1:16">
      <c r="A144" s="251"/>
      <c r="B144" s="290">
        <v>185</v>
      </c>
      <c r="C144" s="273" t="s">
        <v>590</v>
      </c>
      <c r="D144" s="274" t="s">
        <v>6922</v>
      </c>
      <c r="E144" s="276"/>
      <c r="F144" s="276"/>
      <c r="G144" s="276"/>
      <c r="H144" s="276"/>
      <c r="I144" s="280"/>
      <c r="J144" s="280"/>
      <c r="K144" s="255"/>
      <c r="L144" s="255"/>
      <c r="M144" s="255"/>
      <c r="N144" s="255"/>
      <c r="O144" s="257"/>
      <c r="P144" s="257"/>
    </row>
    <row r="145" spans="1:1006" ht="24">
      <c r="A145" s="251" t="s">
        <v>7</v>
      </c>
      <c r="B145" s="290">
        <v>100866</v>
      </c>
      <c r="C145" s="282" t="str">
        <f>(IF($A145="SINAPI",INDEX(SINAPI_NOV2020_NDES!$A$7:$H$6703,MATCH($B145,SINAPI_NOV2020_NDES!$A$7:$A$6703,0),2),IF($A145="GOINFRA",INDEX(#REF!,MATCH($B145,#REF!,0),2),(INDEX(COMPOS!$A$4:$G$390,MATCH($B145,COMPOS!$A$4:A$390,0),3)))))</f>
        <v>BARRA DE APOIO RETA, EM ACO INOX POLIDO, COMPRIMENTO 60CM, FIXADA NA PAREDE - FORNECIMENTO E INSTALAÇÃO. AF_01/2020</v>
      </c>
      <c r="D145" s="274" t="str">
        <f>(IF($A145="SINAPI",INDEX(SINAPI_NOV2020_NDES!$A$7:$H$6790,MATCH($B145,SINAPI_NOV2020_NDES!$A$7:$A$6790,0),3),(INDEX(COMPOS!$A$4:$G$5000,MATCH($B145,COMPOS!$A$4:$A$5000,0),3))))</f>
        <v>UN</v>
      </c>
      <c r="E145" s="276">
        <v>2</v>
      </c>
      <c r="F145" s="303">
        <f>(IF($A145="SINAPI",INDEX(SINAPI_NOV2020_NDES!$A$7:$H$6703,MATCH($B145,SINAPI_NOV2020_NDES!$A$7:$A$6703,0),5),(INDEX(COMPOS!$A$4:$G$801,MATCH($B145,COMPOS!$A$4:A$801,0),4))))</f>
        <v>19.36</v>
      </c>
      <c r="G145" s="314">
        <f>(IF($A145="SINAPI",INDEX(SINAPI_NOV2020_NDES!$A$7:$H$6703,MATCH($B145,SINAPI_NOV2020_NDES!$A$7:$A$6703,0),6),(INDEX(COMPOS!$A$4:$G$801,MATCH($B145,COMPOS!$A$4:A$801,0),5))))</f>
        <v>193.84</v>
      </c>
      <c r="H145" s="315">
        <f>(IF($A145="SINAPI",INDEX(SINAPI_NOV2020_NDES!$A$7:$H$6703,MATCH($B145,SINAPI_NOV2020_NDES!$A$7:$A$6703,0),7),(INDEX(COMPOS!$A$4:$G$801,MATCH($B145,COMPOS!$A$4:A$801,0),6))))</f>
        <v>0</v>
      </c>
      <c r="I145" s="315">
        <f t="shared" ref="I145" si="36">SUM(F145:H145)</f>
        <v>213.2</v>
      </c>
      <c r="J145" s="280">
        <f>+I145*E145</f>
        <v>426.4</v>
      </c>
      <c r="K145" s="255"/>
      <c r="L145" s="255"/>
      <c r="M145" s="255"/>
      <c r="N145" s="255"/>
      <c r="O145" s="257"/>
      <c r="P145" s="257"/>
    </row>
    <row r="146" spans="1:1006" s="88" customFormat="1" ht="24.75" customHeight="1">
      <c r="A146" s="680" t="s">
        <v>6927</v>
      </c>
      <c r="B146" s="680"/>
      <c r="C146" s="680"/>
      <c r="D146" s="680"/>
      <c r="E146" s="680"/>
      <c r="F146" s="680"/>
      <c r="G146" s="680"/>
      <c r="H146" s="680"/>
      <c r="I146" s="680"/>
      <c r="J146" s="281">
        <f>SUM(J145)</f>
        <v>426.4</v>
      </c>
      <c r="K146" s="255"/>
      <c r="L146" s="255"/>
      <c r="M146" s="255"/>
      <c r="N146" s="255"/>
      <c r="O146" s="257"/>
      <c r="P146" s="257"/>
    </row>
    <row r="147" spans="1:1006" s="14" customFormat="1" ht="12">
      <c r="A147" s="251"/>
      <c r="B147" s="290">
        <v>188</v>
      </c>
      <c r="C147" s="273" t="s">
        <v>587</v>
      </c>
      <c r="D147" s="274" t="s">
        <v>6922</v>
      </c>
      <c r="E147" s="276"/>
      <c r="F147" s="276"/>
      <c r="G147" s="276"/>
      <c r="H147" s="276"/>
      <c r="I147" s="280"/>
      <c r="J147" s="280"/>
      <c r="K147" s="255"/>
      <c r="L147" s="255"/>
      <c r="M147" s="255"/>
      <c r="N147" s="255"/>
      <c r="O147" s="257"/>
      <c r="P147" s="257"/>
    </row>
    <row r="148" spans="1:1006" s="191" customFormat="1">
      <c r="A148" s="251" t="s">
        <v>7</v>
      </c>
      <c r="B148" s="290">
        <v>88482</v>
      </c>
      <c r="C148" s="282" t="str">
        <f>(IF($A148="SINAPI",INDEX(SINAPI_NOV2020_NDES!$A$7:$H$6703,MATCH($B148,SINAPI_NOV2020_NDES!$A$7:$A$6703,0),2),IF($A148="GOINFRA",INDEX(#REF!,MATCH($B148,#REF!,0),2),(INDEX(COMPOS!$A$4:$G$390,MATCH($B148,COMPOS!$A$4:A$390,0),2)))))</f>
        <v>APLICAÇÃO DE FUNDO SELADOR LÁTEX PVA EM TETO, UMA DEMÃO. AF_06/2014</v>
      </c>
      <c r="D148" s="274" t="str">
        <f>(IF($A148="SINAPI",INDEX(SINAPI_NOV2020_NDES!$A$7:$H$6790,MATCH($B148,SINAPI_NOV2020_NDES!$A$7:$A$6790,0),3),(INDEX(COMPOS!$A$4:$G$5000,MATCH($B148,COMPOS!$A$4:$A$5000,0),3))))</f>
        <v>M2</v>
      </c>
      <c r="E148" s="276">
        <v>220.25</v>
      </c>
      <c r="F148" s="303">
        <f>(IF($A148="SINAPI",INDEX(SINAPI_NOV2020_NDES!$A$7:$H$6703,MATCH($B148,SINAPI_NOV2020_NDES!$A$7:$A$6703,0),5),(INDEX(COMPOS!$A$4:$G$801,MATCH($B148,COMPOS!$A$4:A$801,0),4))))</f>
        <v>0.74</v>
      </c>
      <c r="G148" s="314">
        <f>(IF($A148="SINAPI",INDEX(SINAPI_NOV2020_NDES!$A$7:$H$6703,MATCH($B148,SINAPI_NOV2020_NDES!$A$7:$A$6703,0),6),(INDEX(COMPOS!$A$4:$G$801,MATCH($B148,COMPOS!$A$4:A$801,0),5))))</f>
        <v>2.44</v>
      </c>
      <c r="H148" s="315">
        <f>(IF($A148="SINAPI",INDEX(SINAPI_NOV2020_NDES!$A$7:$H$6703,MATCH($B148,SINAPI_NOV2020_NDES!$A$7:$A$6703,0),7),(INDEX(COMPOS!$A$4:$G$801,MATCH($B148,COMPOS!$A$4:A$801,0),6))))</f>
        <v>0</v>
      </c>
      <c r="I148" s="315">
        <f t="shared" ref="I148" si="37">SUM(F148:H148)</f>
        <v>3.1799999999999997</v>
      </c>
      <c r="J148" s="280">
        <f>+I148*E148</f>
        <v>700.39499999999998</v>
      </c>
      <c r="K148" s="255"/>
      <c r="L148" s="255"/>
      <c r="M148" s="255"/>
      <c r="N148" s="255"/>
      <c r="O148" s="257"/>
      <c r="P148" s="257"/>
      <c r="Q148" s="255"/>
      <c r="R148" s="255"/>
      <c r="S148" s="255"/>
      <c r="T148" s="255"/>
      <c r="U148" s="255"/>
      <c r="V148" s="255"/>
      <c r="W148" s="255"/>
      <c r="X148" s="255"/>
      <c r="Y148" s="255"/>
      <c r="Z148" s="255"/>
      <c r="AA148" s="255"/>
      <c r="AB148" s="255"/>
      <c r="AC148" s="255"/>
      <c r="AD148" s="255"/>
      <c r="AE148" s="255"/>
      <c r="AF148" s="255"/>
      <c r="AG148" s="255"/>
      <c r="AH148" s="255"/>
      <c r="AI148" s="255"/>
      <c r="AJ148" s="255"/>
      <c r="AK148" s="255"/>
      <c r="AL148" s="255"/>
      <c r="AM148" s="255"/>
      <c r="AN148" s="255"/>
      <c r="AO148" s="255"/>
      <c r="AP148" s="255"/>
      <c r="AQ148" s="255"/>
      <c r="AR148" s="255"/>
      <c r="AS148" s="255"/>
      <c r="AT148" s="255"/>
      <c r="AU148" s="255"/>
      <c r="AV148" s="255"/>
      <c r="AW148" s="255"/>
      <c r="AX148" s="255"/>
      <c r="AY148" s="255"/>
      <c r="AZ148" s="255"/>
      <c r="BA148" s="255"/>
      <c r="BB148" s="255"/>
      <c r="BC148" s="255"/>
      <c r="BD148" s="255"/>
      <c r="BE148" s="255"/>
      <c r="BF148" s="255"/>
      <c r="BG148" s="255"/>
      <c r="BH148" s="255"/>
      <c r="BI148" s="255"/>
      <c r="BJ148" s="255"/>
      <c r="BK148" s="255"/>
      <c r="BL148" s="255"/>
      <c r="BM148" s="255"/>
      <c r="BN148" s="255"/>
      <c r="BO148" s="255"/>
      <c r="BP148" s="255"/>
      <c r="BQ148" s="255"/>
      <c r="BR148" s="255"/>
      <c r="BS148" s="255"/>
      <c r="BT148" s="255"/>
      <c r="BU148" s="255"/>
      <c r="BV148" s="255"/>
      <c r="BW148" s="255"/>
      <c r="BX148" s="255"/>
      <c r="BY148" s="255"/>
      <c r="BZ148" s="255"/>
      <c r="CA148" s="255"/>
      <c r="CB148" s="255"/>
      <c r="CC148" s="255"/>
      <c r="CD148" s="255"/>
      <c r="CE148" s="255"/>
      <c r="CF148" s="255"/>
      <c r="CG148" s="255"/>
      <c r="CH148" s="255"/>
      <c r="CI148" s="255"/>
      <c r="CJ148" s="255"/>
      <c r="CK148" s="255"/>
      <c r="CL148" s="255"/>
      <c r="CM148" s="255"/>
      <c r="CN148" s="255"/>
      <c r="CO148" s="255"/>
      <c r="CP148" s="255"/>
      <c r="CQ148" s="255"/>
      <c r="CR148" s="255"/>
      <c r="CS148" s="255"/>
      <c r="CT148" s="255"/>
      <c r="CU148" s="255"/>
      <c r="CV148" s="255"/>
      <c r="CW148" s="255"/>
      <c r="CX148" s="255"/>
      <c r="CY148" s="255"/>
      <c r="CZ148" s="255"/>
      <c r="DA148" s="255"/>
      <c r="DB148" s="255"/>
      <c r="DC148" s="255"/>
      <c r="DD148" s="255"/>
      <c r="DE148" s="255"/>
      <c r="DF148" s="255"/>
      <c r="DG148" s="255"/>
      <c r="DH148" s="255"/>
      <c r="DI148" s="255"/>
      <c r="DJ148" s="255"/>
      <c r="DK148" s="255"/>
      <c r="DL148" s="255"/>
      <c r="DM148" s="255"/>
      <c r="DN148" s="255"/>
      <c r="DO148" s="255"/>
      <c r="DP148" s="255"/>
      <c r="DQ148" s="255"/>
      <c r="DR148" s="255"/>
      <c r="DS148" s="255"/>
      <c r="DT148" s="255"/>
      <c r="DU148" s="255"/>
      <c r="DV148" s="255"/>
      <c r="DW148" s="255"/>
      <c r="DX148" s="255"/>
      <c r="DY148" s="255"/>
      <c r="DZ148" s="255"/>
      <c r="EA148" s="255"/>
      <c r="EB148" s="255"/>
      <c r="EC148" s="255"/>
      <c r="ED148" s="255"/>
      <c r="EE148" s="255"/>
      <c r="EF148" s="255"/>
      <c r="EG148" s="255"/>
      <c r="EH148" s="255"/>
      <c r="EI148" s="255"/>
      <c r="EJ148" s="255"/>
      <c r="EK148" s="255"/>
      <c r="EL148" s="255"/>
      <c r="EM148" s="255"/>
      <c r="EN148" s="255"/>
      <c r="EO148" s="255"/>
      <c r="EP148" s="255"/>
      <c r="EQ148" s="255"/>
      <c r="ER148" s="255"/>
      <c r="ES148" s="255"/>
      <c r="ET148" s="255"/>
      <c r="EU148" s="255"/>
      <c r="EV148" s="255"/>
      <c r="EW148" s="255"/>
      <c r="EX148" s="255"/>
      <c r="EY148" s="255"/>
      <c r="EZ148" s="255"/>
      <c r="FA148" s="255"/>
      <c r="FB148" s="255"/>
      <c r="FC148" s="255"/>
      <c r="FD148" s="255"/>
      <c r="FE148" s="255"/>
      <c r="FF148" s="255"/>
      <c r="FG148" s="255"/>
      <c r="FH148" s="255"/>
      <c r="FI148" s="255"/>
      <c r="FJ148" s="255"/>
      <c r="FK148" s="255"/>
      <c r="FL148" s="255"/>
      <c r="FM148" s="255"/>
      <c r="FN148" s="255"/>
      <c r="FO148" s="255"/>
      <c r="FP148" s="255"/>
      <c r="FQ148" s="255"/>
      <c r="FR148" s="255"/>
      <c r="FS148" s="255"/>
      <c r="FT148" s="255"/>
      <c r="FU148" s="255"/>
      <c r="FV148" s="255"/>
      <c r="FW148" s="255"/>
      <c r="FX148" s="255"/>
      <c r="FY148" s="255"/>
      <c r="FZ148" s="255"/>
      <c r="GA148" s="255"/>
      <c r="GB148" s="255"/>
      <c r="GC148" s="255"/>
      <c r="GD148" s="255"/>
      <c r="GE148" s="255"/>
      <c r="GF148" s="255"/>
      <c r="GG148" s="255"/>
      <c r="GH148" s="255"/>
      <c r="GI148" s="255"/>
      <c r="GJ148" s="255"/>
      <c r="GK148" s="255"/>
      <c r="GL148" s="255"/>
      <c r="GM148" s="255"/>
      <c r="GN148" s="255"/>
      <c r="GO148" s="255"/>
      <c r="GP148" s="255"/>
      <c r="GQ148" s="255"/>
      <c r="GR148" s="255"/>
      <c r="GS148" s="255"/>
      <c r="GT148" s="255"/>
      <c r="GU148" s="255"/>
      <c r="GV148" s="255"/>
      <c r="GW148" s="255"/>
      <c r="GX148" s="255"/>
      <c r="GY148" s="255"/>
      <c r="GZ148" s="255"/>
      <c r="HA148" s="255"/>
      <c r="HB148" s="255"/>
      <c r="HC148" s="255"/>
      <c r="HD148" s="255"/>
      <c r="HE148" s="255"/>
      <c r="HF148" s="255"/>
      <c r="HG148" s="255"/>
      <c r="HH148" s="255"/>
      <c r="HI148" s="255"/>
      <c r="HJ148" s="255"/>
      <c r="HK148" s="255"/>
      <c r="HL148" s="255"/>
      <c r="HM148" s="255"/>
      <c r="HN148" s="255"/>
      <c r="HO148" s="255"/>
      <c r="HP148" s="255"/>
      <c r="HQ148" s="255"/>
      <c r="HR148" s="255"/>
      <c r="HS148" s="255"/>
      <c r="HT148" s="255"/>
      <c r="HU148" s="255"/>
      <c r="HV148" s="255"/>
      <c r="HW148" s="255"/>
      <c r="HX148" s="255"/>
      <c r="HY148" s="255"/>
      <c r="HZ148" s="255"/>
      <c r="IA148" s="255"/>
      <c r="IB148" s="255"/>
      <c r="IC148" s="255"/>
      <c r="ID148" s="255"/>
      <c r="IE148" s="255"/>
      <c r="IF148" s="255"/>
      <c r="IG148" s="255"/>
      <c r="IH148" s="255"/>
      <c r="II148" s="255"/>
      <c r="IJ148" s="255"/>
      <c r="IK148" s="255"/>
      <c r="IL148" s="255"/>
      <c r="IM148" s="255"/>
      <c r="IN148" s="255"/>
      <c r="IO148" s="255"/>
      <c r="IP148" s="255"/>
      <c r="IQ148" s="255"/>
      <c r="IR148" s="255"/>
      <c r="IS148" s="255"/>
      <c r="IT148" s="255"/>
      <c r="IU148" s="255"/>
      <c r="IV148" s="255"/>
      <c r="IW148" s="255"/>
      <c r="IX148" s="255"/>
      <c r="IY148" s="255"/>
      <c r="IZ148" s="255"/>
      <c r="JA148" s="255"/>
      <c r="JB148" s="255"/>
      <c r="JC148" s="255"/>
      <c r="JD148" s="255"/>
      <c r="JE148" s="255"/>
      <c r="JF148" s="255"/>
      <c r="JG148" s="255"/>
      <c r="JH148" s="255"/>
      <c r="JI148" s="255"/>
      <c r="JJ148" s="255"/>
      <c r="JK148" s="255"/>
      <c r="JL148" s="255"/>
      <c r="JM148" s="255"/>
      <c r="JN148" s="255"/>
      <c r="JO148" s="255"/>
      <c r="JP148" s="255"/>
      <c r="JQ148" s="255"/>
      <c r="JR148" s="255"/>
      <c r="JS148" s="255"/>
      <c r="JT148" s="255"/>
      <c r="JU148" s="255"/>
      <c r="JV148" s="255"/>
      <c r="JW148" s="255"/>
      <c r="JX148" s="255"/>
      <c r="JY148" s="255"/>
      <c r="JZ148" s="255"/>
      <c r="KA148" s="255"/>
      <c r="KB148" s="255"/>
      <c r="KC148" s="255"/>
      <c r="KD148" s="255"/>
      <c r="KE148" s="255"/>
      <c r="KF148" s="255"/>
      <c r="KG148" s="255"/>
      <c r="KH148" s="255"/>
      <c r="KI148" s="255"/>
      <c r="KJ148" s="255"/>
      <c r="KK148" s="255"/>
      <c r="KL148" s="255"/>
      <c r="KM148" s="255"/>
      <c r="KN148" s="255"/>
      <c r="KO148" s="255"/>
      <c r="KP148" s="255"/>
      <c r="KQ148" s="255"/>
      <c r="KR148" s="255"/>
      <c r="KS148" s="255"/>
      <c r="KT148" s="255"/>
      <c r="KU148" s="255"/>
      <c r="KV148" s="255"/>
      <c r="KW148" s="255"/>
      <c r="KX148" s="255"/>
      <c r="KY148" s="255"/>
      <c r="KZ148" s="255"/>
      <c r="LA148" s="255"/>
      <c r="LB148" s="255"/>
      <c r="LC148" s="255"/>
      <c r="LD148" s="255"/>
      <c r="LE148" s="255"/>
      <c r="LF148" s="255"/>
      <c r="LG148" s="255"/>
      <c r="LH148" s="255"/>
      <c r="LI148" s="255"/>
      <c r="LJ148" s="255"/>
      <c r="LK148" s="255"/>
      <c r="LL148" s="255"/>
      <c r="LM148" s="255"/>
      <c r="LN148" s="255"/>
      <c r="LO148" s="255"/>
      <c r="LP148" s="255"/>
      <c r="LQ148" s="255"/>
      <c r="LR148" s="255"/>
      <c r="LS148" s="255"/>
      <c r="LT148" s="255"/>
      <c r="LU148" s="255"/>
      <c r="LV148" s="255"/>
      <c r="LW148" s="255"/>
      <c r="LX148" s="255"/>
      <c r="LY148" s="255"/>
      <c r="LZ148" s="255"/>
      <c r="MA148" s="255"/>
      <c r="MB148" s="255"/>
      <c r="MC148" s="255"/>
      <c r="MD148" s="255"/>
      <c r="ME148" s="255"/>
      <c r="MF148" s="255"/>
      <c r="MG148" s="255"/>
      <c r="MH148" s="255"/>
      <c r="MI148" s="255"/>
      <c r="MJ148" s="255"/>
      <c r="MK148" s="255"/>
      <c r="ML148" s="255"/>
      <c r="MM148" s="255"/>
      <c r="MN148" s="255"/>
      <c r="MO148" s="255"/>
      <c r="MP148" s="255"/>
      <c r="MQ148" s="255"/>
      <c r="MR148" s="255"/>
      <c r="MS148" s="255"/>
      <c r="MT148" s="255"/>
      <c r="MU148" s="255"/>
      <c r="MV148" s="255"/>
      <c r="MW148" s="255"/>
      <c r="MX148" s="255"/>
      <c r="MY148" s="255"/>
      <c r="MZ148" s="255"/>
      <c r="NA148" s="255"/>
      <c r="NB148" s="255"/>
      <c r="NC148" s="255"/>
      <c r="ND148" s="255"/>
      <c r="NE148" s="255"/>
      <c r="NF148" s="255"/>
      <c r="NG148" s="255"/>
      <c r="NH148" s="255"/>
      <c r="NI148" s="255"/>
      <c r="NJ148" s="255"/>
      <c r="NK148" s="255"/>
      <c r="NL148" s="255"/>
      <c r="NM148" s="255"/>
      <c r="NN148" s="255"/>
      <c r="NO148" s="255"/>
      <c r="NP148" s="255"/>
      <c r="NQ148" s="255"/>
      <c r="NR148" s="255"/>
      <c r="NS148" s="255"/>
      <c r="NT148" s="255"/>
      <c r="NU148" s="255"/>
      <c r="NV148" s="255"/>
      <c r="NW148" s="255"/>
      <c r="NX148" s="255"/>
      <c r="NY148" s="255"/>
      <c r="NZ148" s="255"/>
      <c r="OA148" s="255"/>
      <c r="OB148" s="255"/>
      <c r="OC148" s="255"/>
      <c r="OD148" s="255"/>
      <c r="OE148" s="255"/>
      <c r="OF148" s="255"/>
      <c r="OG148" s="255"/>
      <c r="OH148" s="255"/>
      <c r="OI148" s="255"/>
      <c r="OJ148" s="255"/>
      <c r="OK148" s="255"/>
      <c r="OL148" s="255"/>
      <c r="OM148" s="255"/>
      <c r="ON148" s="255"/>
      <c r="OO148" s="255"/>
      <c r="OP148" s="255"/>
      <c r="OQ148" s="255"/>
      <c r="OR148" s="255"/>
      <c r="OS148" s="255"/>
      <c r="OT148" s="255"/>
      <c r="OU148" s="255"/>
      <c r="OV148" s="255"/>
      <c r="OW148" s="255"/>
      <c r="OX148" s="255"/>
      <c r="OY148" s="255"/>
      <c r="OZ148" s="255"/>
      <c r="PA148" s="255"/>
      <c r="PB148" s="255"/>
      <c r="PC148" s="255"/>
      <c r="PD148" s="255"/>
      <c r="PE148" s="255"/>
      <c r="PF148" s="255"/>
      <c r="PG148" s="255"/>
      <c r="PH148" s="255"/>
      <c r="PI148" s="255"/>
      <c r="PJ148" s="255"/>
      <c r="PK148" s="255"/>
      <c r="PL148" s="255"/>
      <c r="PM148" s="255"/>
      <c r="PN148" s="255"/>
      <c r="PO148" s="255"/>
      <c r="PP148" s="255"/>
      <c r="PQ148" s="255"/>
      <c r="PR148" s="255"/>
      <c r="PS148" s="255"/>
      <c r="PT148" s="255"/>
      <c r="PU148" s="255"/>
      <c r="PV148" s="255"/>
      <c r="PW148" s="255"/>
      <c r="PX148" s="255"/>
      <c r="PY148" s="255"/>
      <c r="PZ148" s="255"/>
      <c r="QA148" s="255"/>
      <c r="QB148" s="255"/>
      <c r="QC148" s="255"/>
      <c r="QD148" s="255"/>
      <c r="QE148" s="255"/>
      <c r="QF148" s="255"/>
      <c r="QG148" s="255"/>
      <c r="QH148" s="255"/>
      <c r="QI148" s="255"/>
      <c r="QJ148" s="255"/>
      <c r="QK148" s="255"/>
      <c r="QL148" s="255"/>
      <c r="QM148" s="255"/>
      <c r="QN148" s="255"/>
      <c r="QO148" s="255"/>
      <c r="QP148" s="255"/>
      <c r="QQ148" s="255"/>
      <c r="QR148" s="255"/>
      <c r="QS148" s="255"/>
      <c r="QT148" s="255"/>
      <c r="QU148" s="255"/>
      <c r="QV148" s="255"/>
      <c r="QW148" s="255"/>
      <c r="QX148" s="255"/>
      <c r="QY148" s="255"/>
      <c r="QZ148" s="255"/>
      <c r="RA148" s="255"/>
      <c r="RB148" s="255"/>
      <c r="RC148" s="255"/>
      <c r="RD148" s="255"/>
      <c r="RE148" s="255"/>
      <c r="RF148" s="255"/>
      <c r="RG148" s="255"/>
      <c r="RH148" s="255"/>
      <c r="RI148" s="255"/>
      <c r="RJ148" s="255"/>
      <c r="RK148" s="255"/>
      <c r="RL148" s="255"/>
      <c r="RM148" s="255"/>
      <c r="RN148" s="255"/>
      <c r="RO148" s="255"/>
      <c r="RP148" s="255"/>
      <c r="RQ148" s="255"/>
      <c r="RR148" s="255"/>
      <c r="RS148" s="255"/>
      <c r="RT148" s="255"/>
      <c r="RU148" s="255"/>
      <c r="RV148" s="255"/>
      <c r="RW148" s="255"/>
      <c r="RX148" s="255"/>
      <c r="RY148" s="255"/>
      <c r="RZ148" s="255"/>
      <c r="SA148" s="255"/>
      <c r="SB148" s="255"/>
      <c r="SC148" s="255"/>
      <c r="SD148" s="255"/>
      <c r="SE148" s="255"/>
      <c r="SF148" s="255"/>
      <c r="SG148" s="255"/>
      <c r="SH148" s="255"/>
      <c r="SI148" s="255"/>
      <c r="SJ148" s="255"/>
      <c r="SK148" s="255"/>
      <c r="SL148" s="255"/>
      <c r="SM148" s="255"/>
      <c r="SN148" s="255"/>
      <c r="SO148" s="255"/>
      <c r="SP148" s="255"/>
      <c r="SQ148" s="255"/>
      <c r="SR148" s="255"/>
      <c r="SS148" s="255"/>
      <c r="ST148" s="255"/>
      <c r="SU148" s="255"/>
      <c r="SV148" s="255"/>
      <c r="SW148" s="255"/>
      <c r="SX148" s="255"/>
      <c r="SY148" s="255"/>
      <c r="SZ148" s="255"/>
      <c r="TA148" s="255"/>
      <c r="TB148" s="255"/>
      <c r="TC148" s="255"/>
      <c r="TD148" s="255"/>
      <c r="TE148" s="255"/>
      <c r="TF148" s="255"/>
      <c r="TG148" s="255"/>
      <c r="TH148" s="255"/>
      <c r="TI148" s="255"/>
      <c r="TJ148" s="255"/>
      <c r="TK148" s="255"/>
      <c r="TL148" s="255"/>
      <c r="TM148" s="255"/>
      <c r="TN148" s="255"/>
      <c r="TO148" s="255"/>
      <c r="TP148" s="255"/>
      <c r="TQ148" s="255"/>
      <c r="TR148" s="255"/>
      <c r="TS148" s="255"/>
      <c r="TT148" s="255"/>
      <c r="TU148" s="255"/>
      <c r="TV148" s="255"/>
      <c r="TW148" s="255"/>
      <c r="TX148" s="255"/>
      <c r="TY148" s="255"/>
      <c r="TZ148" s="255"/>
      <c r="UA148" s="255"/>
      <c r="UB148" s="255"/>
      <c r="UC148" s="255"/>
      <c r="UD148" s="255"/>
      <c r="UE148" s="255"/>
      <c r="UF148" s="255"/>
      <c r="UG148" s="255"/>
      <c r="UH148" s="255"/>
      <c r="UI148" s="255"/>
      <c r="UJ148" s="255"/>
      <c r="UK148" s="255"/>
      <c r="UL148" s="255"/>
      <c r="UM148" s="255"/>
      <c r="UN148" s="255"/>
      <c r="UO148" s="255"/>
      <c r="UP148" s="255"/>
      <c r="UQ148" s="255"/>
      <c r="UR148" s="255"/>
      <c r="US148" s="255"/>
      <c r="UT148" s="255"/>
      <c r="UU148" s="255"/>
      <c r="UV148" s="255"/>
      <c r="UW148" s="255"/>
      <c r="UX148" s="255"/>
      <c r="UY148" s="255"/>
      <c r="UZ148" s="255"/>
      <c r="VA148" s="255"/>
      <c r="VB148" s="255"/>
      <c r="VC148" s="255"/>
      <c r="VD148" s="255"/>
      <c r="VE148" s="255"/>
      <c r="VF148" s="255"/>
      <c r="VG148" s="255"/>
      <c r="VH148" s="255"/>
      <c r="VI148" s="255"/>
      <c r="VJ148" s="255"/>
      <c r="VK148" s="255"/>
      <c r="VL148" s="255"/>
      <c r="VM148" s="255"/>
      <c r="VN148" s="255"/>
      <c r="VO148" s="255"/>
      <c r="VP148" s="255"/>
      <c r="VQ148" s="255"/>
      <c r="VR148" s="255"/>
      <c r="VS148" s="255"/>
      <c r="VT148" s="255"/>
      <c r="VU148" s="255"/>
      <c r="VV148" s="255"/>
      <c r="VW148" s="255"/>
      <c r="VX148" s="255"/>
      <c r="VY148" s="255"/>
      <c r="VZ148" s="255"/>
      <c r="WA148" s="255"/>
      <c r="WB148" s="255"/>
      <c r="WC148" s="255"/>
      <c r="WD148" s="255"/>
      <c r="WE148" s="255"/>
      <c r="WF148" s="255"/>
      <c r="WG148" s="255"/>
      <c r="WH148" s="255"/>
      <c r="WI148" s="255"/>
      <c r="WJ148" s="255"/>
      <c r="WK148" s="255"/>
      <c r="WL148" s="255"/>
      <c r="WM148" s="255"/>
      <c r="WN148" s="255"/>
      <c r="WO148" s="255"/>
      <c r="WP148" s="255"/>
      <c r="WQ148" s="255"/>
      <c r="WR148" s="255"/>
      <c r="WS148" s="255"/>
      <c r="WT148" s="255"/>
      <c r="WU148" s="255"/>
      <c r="WV148" s="255"/>
      <c r="WW148" s="255"/>
      <c r="WX148" s="255"/>
      <c r="WY148" s="255"/>
      <c r="WZ148" s="255"/>
      <c r="XA148" s="255"/>
      <c r="XB148" s="255"/>
      <c r="XC148" s="255"/>
      <c r="XD148" s="255"/>
      <c r="XE148" s="255"/>
      <c r="XF148" s="255"/>
      <c r="XG148" s="255"/>
      <c r="XH148" s="255"/>
      <c r="XI148" s="255"/>
      <c r="XJ148" s="255"/>
      <c r="XK148" s="255"/>
      <c r="XL148" s="255"/>
      <c r="XM148" s="255"/>
      <c r="XN148" s="255"/>
      <c r="XO148" s="255"/>
      <c r="XP148" s="255"/>
      <c r="XQ148" s="255"/>
      <c r="XR148" s="255"/>
      <c r="XS148" s="255"/>
      <c r="XT148" s="255"/>
      <c r="XU148" s="255"/>
      <c r="XV148" s="255"/>
      <c r="XW148" s="255"/>
      <c r="XX148" s="255"/>
      <c r="XY148" s="255"/>
      <c r="XZ148" s="255"/>
      <c r="YA148" s="255"/>
      <c r="YB148" s="255"/>
      <c r="YC148" s="255"/>
      <c r="YD148" s="255"/>
      <c r="YE148" s="255"/>
      <c r="YF148" s="255"/>
      <c r="YG148" s="255"/>
      <c r="YH148" s="255"/>
      <c r="YI148" s="255"/>
      <c r="YJ148" s="255"/>
      <c r="YK148" s="255"/>
      <c r="YL148" s="255"/>
      <c r="YM148" s="255"/>
      <c r="YN148" s="255"/>
      <c r="YO148" s="255"/>
      <c r="YP148" s="255"/>
      <c r="YQ148" s="255"/>
      <c r="YR148" s="255"/>
      <c r="YS148" s="255"/>
      <c r="YT148" s="255"/>
      <c r="YU148" s="255"/>
      <c r="YV148" s="255"/>
      <c r="YW148" s="255"/>
      <c r="YX148" s="255"/>
      <c r="YY148" s="255"/>
      <c r="YZ148" s="255"/>
      <c r="ZA148" s="255"/>
      <c r="ZB148" s="255"/>
      <c r="ZC148" s="255"/>
      <c r="ZD148" s="255"/>
      <c r="ZE148" s="255"/>
      <c r="ZF148" s="255"/>
      <c r="ZG148" s="255"/>
      <c r="ZH148" s="255"/>
      <c r="ZI148" s="255"/>
      <c r="ZJ148" s="255"/>
      <c r="ZK148" s="255"/>
      <c r="ZL148" s="255"/>
      <c r="ZM148" s="255"/>
      <c r="ZN148" s="255"/>
      <c r="ZO148" s="255"/>
      <c r="ZP148" s="255"/>
      <c r="ZQ148" s="255"/>
      <c r="ZR148" s="255"/>
      <c r="ZS148" s="255"/>
      <c r="ZT148" s="255"/>
      <c r="ZU148" s="255"/>
      <c r="ZV148" s="255"/>
      <c r="ZW148" s="255"/>
      <c r="ZX148" s="255"/>
      <c r="ZY148" s="255"/>
      <c r="ZZ148" s="255"/>
      <c r="AAA148" s="255"/>
      <c r="AAB148" s="255"/>
      <c r="AAC148" s="255"/>
      <c r="AAD148" s="255"/>
      <c r="AAE148" s="255"/>
      <c r="AAF148" s="255"/>
      <c r="AAG148" s="255"/>
      <c r="AAH148" s="255"/>
      <c r="AAI148" s="255"/>
      <c r="AAJ148" s="255"/>
      <c r="AAK148" s="255"/>
      <c r="AAL148" s="255"/>
      <c r="AAM148" s="255"/>
      <c r="AAN148" s="255"/>
      <c r="AAO148" s="255"/>
      <c r="AAP148" s="255"/>
      <c r="AAQ148" s="255"/>
      <c r="AAR148" s="255"/>
      <c r="AAS148" s="255"/>
      <c r="AAT148" s="255"/>
      <c r="AAU148" s="255"/>
      <c r="AAV148" s="255"/>
      <c r="AAW148" s="255"/>
      <c r="AAX148" s="255"/>
      <c r="AAY148" s="255"/>
      <c r="AAZ148" s="255"/>
      <c r="ABA148" s="255"/>
      <c r="ABB148" s="255"/>
      <c r="ABC148" s="255"/>
      <c r="ABD148" s="255"/>
      <c r="ABE148" s="255"/>
      <c r="ABF148" s="255"/>
      <c r="ABG148" s="255"/>
      <c r="ABH148" s="255"/>
      <c r="ABI148" s="255"/>
      <c r="ABJ148" s="255"/>
      <c r="ABK148" s="255"/>
      <c r="ABL148" s="255"/>
      <c r="ABM148" s="255"/>
      <c r="ABN148" s="255"/>
      <c r="ABO148" s="255"/>
      <c r="ABP148" s="255"/>
      <c r="ABQ148" s="255"/>
      <c r="ABR148" s="255"/>
      <c r="ABS148" s="255"/>
      <c r="ABT148" s="255"/>
      <c r="ABU148" s="255"/>
      <c r="ABV148" s="255"/>
      <c r="ABW148" s="255"/>
      <c r="ABX148" s="255"/>
      <c r="ABY148" s="255"/>
      <c r="ABZ148" s="255"/>
      <c r="ACA148" s="255"/>
      <c r="ACB148" s="255"/>
      <c r="ACC148" s="255"/>
      <c r="ACD148" s="255"/>
      <c r="ACE148" s="255"/>
      <c r="ACF148" s="255"/>
      <c r="ACG148" s="255"/>
      <c r="ACH148" s="255"/>
      <c r="ACI148" s="255"/>
      <c r="ACJ148" s="255"/>
      <c r="ACK148" s="255"/>
      <c r="ACL148" s="255"/>
      <c r="ACM148" s="255"/>
      <c r="ACN148" s="255"/>
      <c r="ACO148" s="255"/>
      <c r="ACP148" s="255"/>
      <c r="ACQ148" s="255"/>
      <c r="ACR148" s="255"/>
      <c r="ACS148" s="255"/>
      <c r="ACT148" s="255"/>
      <c r="ACU148" s="255"/>
      <c r="ACV148" s="255"/>
      <c r="ACW148" s="255"/>
      <c r="ACX148" s="255"/>
      <c r="ACY148" s="255"/>
      <c r="ACZ148" s="255"/>
      <c r="ADA148" s="255"/>
      <c r="ADB148" s="255"/>
      <c r="ADC148" s="255"/>
      <c r="ADD148" s="255"/>
      <c r="ADE148" s="255"/>
      <c r="ADF148" s="255"/>
      <c r="ADG148" s="255"/>
      <c r="ADH148" s="255"/>
      <c r="ADI148" s="255"/>
      <c r="ADJ148" s="255"/>
      <c r="ADK148" s="255"/>
      <c r="ADL148" s="255"/>
      <c r="ADM148" s="255"/>
      <c r="ADN148" s="255"/>
      <c r="ADO148" s="255"/>
      <c r="ADP148" s="255"/>
      <c r="ADQ148" s="255"/>
      <c r="ADR148" s="255"/>
      <c r="ADS148" s="255"/>
      <c r="ADT148" s="255"/>
      <c r="ADU148" s="255"/>
      <c r="ADV148" s="255"/>
      <c r="ADW148" s="255"/>
      <c r="ADX148" s="255"/>
      <c r="ADY148" s="255"/>
      <c r="ADZ148" s="255"/>
      <c r="AEA148" s="255"/>
      <c r="AEB148" s="255"/>
      <c r="AEC148" s="255"/>
      <c r="AED148" s="255"/>
      <c r="AEE148" s="255"/>
      <c r="AEF148" s="255"/>
      <c r="AEG148" s="255"/>
      <c r="AEH148" s="255"/>
      <c r="AEI148" s="255"/>
      <c r="AEJ148" s="255"/>
      <c r="AEK148" s="255"/>
      <c r="AEL148" s="255"/>
      <c r="AEM148" s="255"/>
      <c r="AEN148" s="255"/>
      <c r="AEO148" s="255"/>
      <c r="AEP148" s="255"/>
      <c r="AEQ148" s="255"/>
      <c r="AER148" s="255"/>
      <c r="AES148" s="255"/>
      <c r="AET148" s="255"/>
      <c r="AEU148" s="255"/>
      <c r="AEV148" s="255"/>
      <c r="AEW148" s="255"/>
      <c r="AEX148" s="255"/>
      <c r="AEY148" s="255"/>
      <c r="AEZ148" s="255"/>
      <c r="AFA148" s="255"/>
      <c r="AFB148" s="255"/>
      <c r="AFC148" s="255"/>
      <c r="AFD148" s="255"/>
      <c r="AFE148" s="255"/>
      <c r="AFF148" s="255"/>
      <c r="AFG148" s="255"/>
      <c r="AFH148" s="255"/>
      <c r="AFI148" s="255"/>
      <c r="AFJ148" s="255"/>
      <c r="AFK148" s="255"/>
      <c r="AFL148" s="255"/>
      <c r="AFM148" s="255"/>
      <c r="AFN148" s="255"/>
      <c r="AFO148" s="255"/>
      <c r="AFP148" s="255"/>
      <c r="AFQ148" s="255"/>
      <c r="AFR148" s="255"/>
      <c r="AFS148" s="255"/>
      <c r="AFT148" s="255"/>
      <c r="AFU148" s="255"/>
      <c r="AFV148" s="255"/>
      <c r="AFW148" s="255"/>
      <c r="AFX148" s="255"/>
      <c r="AFY148" s="255"/>
      <c r="AFZ148" s="255"/>
      <c r="AGA148" s="255"/>
      <c r="AGB148" s="255"/>
      <c r="AGC148" s="255"/>
      <c r="AGD148" s="255"/>
      <c r="AGE148" s="255"/>
      <c r="AGF148" s="255"/>
      <c r="AGG148" s="255"/>
      <c r="AGH148" s="255"/>
      <c r="AGI148" s="255"/>
      <c r="AGJ148" s="255"/>
      <c r="AGK148" s="255"/>
      <c r="AGL148" s="255"/>
      <c r="AGM148" s="255"/>
      <c r="AGN148" s="255"/>
      <c r="AGO148" s="255"/>
      <c r="AGP148" s="255"/>
      <c r="AGQ148" s="255"/>
      <c r="AGR148" s="255"/>
      <c r="AGS148" s="255"/>
      <c r="AGT148" s="255"/>
      <c r="AGU148" s="255"/>
      <c r="AGV148" s="255"/>
      <c r="AGW148" s="255"/>
      <c r="AGX148" s="255"/>
      <c r="AGY148" s="255"/>
      <c r="AGZ148" s="255"/>
      <c r="AHA148" s="255"/>
      <c r="AHB148" s="255"/>
      <c r="AHC148" s="255"/>
      <c r="AHD148" s="255"/>
      <c r="AHE148" s="255"/>
      <c r="AHF148" s="255"/>
      <c r="AHG148" s="255"/>
      <c r="AHH148" s="255"/>
      <c r="AHI148" s="255"/>
      <c r="AHJ148" s="255"/>
      <c r="AHK148" s="255"/>
      <c r="AHL148" s="255"/>
      <c r="AHM148" s="255"/>
      <c r="AHN148" s="255"/>
      <c r="AHO148" s="255"/>
      <c r="AHP148" s="255"/>
      <c r="AHQ148" s="255"/>
      <c r="AHR148" s="255"/>
      <c r="AHS148" s="255"/>
      <c r="AHT148" s="255"/>
      <c r="AHU148" s="255"/>
      <c r="AHV148" s="255"/>
      <c r="AHW148" s="255"/>
      <c r="AHX148" s="255"/>
      <c r="AHY148" s="255"/>
      <c r="AHZ148" s="255"/>
      <c r="AIA148" s="255"/>
      <c r="AIB148" s="255"/>
      <c r="AIC148" s="255"/>
      <c r="AID148" s="255"/>
      <c r="AIE148" s="255"/>
      <c r="AIF148" s="255"/>
      <c r="AIG148" s="255"/>
      <c r="AIH148" s="255"/>
      <c r="AII148" s="255"/>
      <c r="AIJ148" s="255"/>
      <c r="AIK148" s="255"/>
      <c r="AIL148" s="255"/>
      <c r="AIM148" s="255"/>
      <c r="AIN148" s="255"/>
      <c r="AIO148" s="255"/>
      <c r="AIP148" s="255"/>
      <c r="AIQ148" s="255"/>
      <c r="AIR148" s="255"/>
      <c r="AIS148" s="255"/>
      <c r="AIT148" s="255"/>
      <c r="AIU148" s="255"/>
      <c r="AIV148" s="255"/>
      <c r="AIW148" s="255"/>
      <c r="AIX148" s="255"/>
      <c r="AIY148" s="255"/>
      <c r="AIZ148" s="255"/>
      <c r="AJA148" s="255"/>
      <c r="AJB148" s="255"/>
      <c r="AJC148" s="255"/>
      <c r="AJD148" s="255"/>
      <c r="AJE148" s="255"/>
      <c r="AJF148" s="255"/>
      <c r="AJG148" s="255"/>
      <c r="AJH148" s="255"/>
      <c r="AJI148" s="255"/>
      <c r="AJJ148" s="255"/>
      <c r="AJK148" s="255"/>
      <c r="AJL148" s="255"/>
      <c r="AJM148" s="255"/>
      <c r="AJN148" s="255"/>
      <c r="AJO148" s="255"/>
      <c r="AJP148" s="255"/>
      <c r="AJQ148" s="255"/>
      <c r="AJR148" s="255"/>
      <c r="AJS148" s="255"/>
      <c r="AJT148" s="255"/>
      <c r="AJU148" s="255"/>
      <c r="AJV148" s="255"/>
      <c r="AJW148" s="255"/>
      <c r="AJX148" s="255"/>
      <c r="AJY148" s="255"/>
      <c r="AJZ148" s="255"/>
      <c r="AKA148" s="255"/>
      <c r="AKB148" s="255"/>
      <c r="AKC148" s="255"/>
      <c r="AKD148" s="255"/>
      <c r="AKE148" s="255"/>
      <c r="AKF148" s="255"/>
      <c r="AKG148" s="255"/>
      <c r="AKH148" s="255"/>
      <c r="AKI148" s="255"/>
      <c r="AKJ148" s="255"/>
      <c r="AKK148" s="255"/>
      <c r="AKL148" s="255"/>
      <c r="AKM148" s="255"/>
      <c r="AKN148" s="255"/>
      <c r="AKO148" s="255"/>
      <c r="AKP148" s="255"/>
      <c r="AKQ148" s="255"/>
      <c r="AKR148" s="255"/>
      <c r="AKS148" s="255"/>
      <c r="AKT148" s="255"/>
      <c r="AKU148" s="255"/>
      <c r="AKV148" s="255"/>
      <c r="AKW148" s="255"/>
      <c r="AKX148" s="255"/>
      <c r="AKY148" s="255"/>
      <c r="AKZ148" s="255"/>
      <c r="ALA148" s="255"/>
      <c r="ALB148" s="255"/>
      <c r="ALC148" s="255"/>
      <c r="ALD148" s="255"/>
      <c r="ALE148" s="255"/>
      <c r="ALF148" s="255"/>
      <c r="ALG148" s="255"/>
      <c r="ALH148" s="255"/>
      <c r="ALI148" s="255"/>
      <c r="ALJ148" s="255"/>
      <c r="ALK148" s="255"/>
      <c r="ALL148" s="255"/>
      <c r="ALM148" s="255"/>
      <c r="ALN148" s="255"/>
      <c r="ALO148" s="255"/>
      <c r="ALP148" s="255"/>
      <c r="ALQ148" s="255"/>
      <c r="ALR148" s="255"/>
    </row>
    <row r="149" spans="1:1006" s="191" customFormat="1">
      <c r="A149" s="251" t="s">
        <v>7</v>
      </c>
      <c r="B149" s="290">
        <v>88496</v>
      </c>
      <c r="C149" s="282" t="str">
        <f>(IF($A149="SINAPI",INDEX(SINAPI_NOV2020_NDES!$A$7:$H$6703,MATCH($B149,SINAPI_NOV2020_NDES!$A$7:$A$6703,0),2),IF($A149="GOINFRA",INDEX(#REF!,MATCH($B149,#REF!,0),2),(INDEX(COMPOS!$A$4:$G$390,MATCH($B149,COMPOS!$A$4:A$390,0),2)))))</f>
        <v>APLICAÇÃO E LIXAMENTO DE MASSA LÁTEX EM TETO, DUAS DEMÃOS. AF_06/2014</v>
      </c>
      <c r="D149" s="274" t="str">
        <f>(IF($A149="SINAPI",INDEX(SINAPI_NOV2020_NDES!$A$7:$H$6790,MATCH($B149,SINAPI_NOV2020_NDES!$A$7:$A$6790,0),3),(INDEX(COMPOS!$A$4:$G$5000,MATCH($B149,COMPOS!$A$4:$A$5000,0),3))))</f>
        <v>M2</v>
      </c>
      <c r="E149" s="276">
        <v>220.25</v>
      </c>
      <c r="F149" s="303">
        <f>(IF($A149="SINAPI",INDEX(SINAPI_NOV2020_NDES!$A$7:$H$6703,MATCH($B149,SINAPI_NOV2020_NDES!$A$7:$A$6703,0),5),(INDEX(COMPOS!$A$4:$G$801,MATCH($B149,COMPOS!$A$4:A$801,0),4))))</f>
        <v>14.1</v>
      </c>
      <c r="G149" s="314">
        <f>(IF($A149="SINAPI",INDEX(SINAPI_NOV2020_NDES!$A$7:$H$6703,MATCH($B149,SINAPI_NOV2020_NDES!$A$7:$A$6703,0),6),(INDEX(COMPOS!$A$4:$G$801,MATCH($B149,COMPOS!$A$4:A$801,0),5))))</f>
        <v>7.4</v>
      </c>
      <c r="H149" s="315">
        <f>(IF($A149="SINAPI",INDEX(SINAPI_NOV2020_NDES!$A$7:$H$6703,MATCH($B149,SINAPI_NOV2020_NDES!$A$7:$A$6703,0),7),(INDEX(COMPOS!$A$4:$G$801,MATCH($B149,COMPOS!$A$4:A$801,0),6))))</f>
        <v>0</v>
      </c>
      <c r="I149" s="315">
        <f t="shared" ref="I149:I156" si="38">SUM(F149:H149)</f>
        <v>21.5</v>
      </c>
      <c r="J149" s="280">
        <f t="shared" ref="J149:J156" si="39">+I149*E149</f>
        <v>4735.375</v>
      </c>
      <c r="K149" s="255"/>
      <c r="L149" s="255"/>
      <c r="M149" s="255"/>
      <c r="N149" s="255"/>
      <c r="O149" s="257"/>
      <c r="P149" s="257"/>
      <c r="Q149" s="255"/>
      <c r="R149" s="255"/>
      <c r="S149" s="255"/>
      <c r="T149" s="255"/>
      <c r="U149" s="255"/>
      <c r="V149" s="255"/>
      <c r="W149" s="255"/>
      <c r="X149" s="255"/>
      <c r="Y149" s="255"/>
      <c r="Z149" s="255"/>
      <c r="AA149" s="255"/>
      <c r="AB149" s="255"/>
      <c r="AC149" s="255"/>
      <c r="AD149" s="255"/>
      <c r="AE149" s="255"/>
      <c r="AF149" s="255"/>
      <c r="AG149" s="255"/>
      <c r="AH149" s="255"/>
      <c r="AI149" s="255"/>
      <c r="AJ149" s="255"/>
      <c r="AK149" s="255"/>
      <c r="AL149" s="255"/>
      <c r="AM149" s="255"/>
      <c r="AN149" s="255"/>
      <c r="AO149" s="255"/>
      <c r="AP149" s="255"/>
      <c r="AQ149" s="255"/>
      <c r="AR149" s="255"/>
      <c r="AS149" s="255"/>
      <c r="AT149" s="255"/>
      <c r="AU149" s="255"/>
      <c r="AV149" s="255"/>
      <c r="AW149" s="255"/>
      <c r="AX149" s="255"/>
      <c r="AY149" s="255"/>
      <c r="AZ149" s="255"/>
      <c r="BA149" s="255"/>
      <c r="BB149" s="255"/>
      <c r="BC149" s="255"/>
      <c r="BD149" s="255"/>
      <c r="BE149" s="255"/>
      <c r="BF149" s="255"/>
      <c r="BG149" s="255"/>
      <c r="BH149" s="255"/>
      <c r="BI149" s="255"/>
      <c r="BJ149" s="255"/>
      <c r="BK149" s="255"/>
      <c r="BL149" s="255"/>
      <c r="BM149" s="255"/>
      <c r="BN149" s="255"/>
      <c r="BO149" s="255"/>
      <c r="BP149" s="255"/>
      <c r="BQ149" s="255"/>
      <c r="BR149" s="255"/>
      <c r="BS149" s="255"/>
      <c r="BT149" s="255"/>
      <c r="BU149" s="255"/>
      <c r="BV149" s="255"/>
      <c r="BW149" s="255"/>
      <c r="BX149" s="255"/>
      <c r="BY149" s="255"/>
      <c r="BZ149" s="255"/>
      <c r="CA149" s="255"/>
      <c r="CB149" s="255"/>
      <c r="CC149" s="255"/>
      <c r="CD149" s="255"/>
      <c r="CE149" s="255"/>
      <c r="CF149" s="255"/>
      <c r="CG149" s="255"/>
      <c r="CH149" s="255"/>
      <c r="CI149" s="255"/>
      <c r="CJ149" s="255"/>
      <c r="CK149" s="255"/>
      <c r="CL149" s="255"/>
      <c r="CM149" s="255"/>
      <c r="CN149" s="255"/>
      <c r="CO149" s="255"/>
      <c r="CP149" s="255"/>
      <c r="CQ149" s="255"/>
      <c r="CR149" s="255"/>
      <c r="CS149" s="255"/>
      <c r="CT149" s="255"/>
      <c r="CU149" s="255"/>
      <c r="CV149" s="255"/>
      <c r="CW149" s="255"/>
      <c r="CX149" s="255"/>
      <c r="CY149" s="255"/>
      <c r="CZ149" s="255"/>
      <c r="DA149" s="255"/>
      <c r="DB149" s="255"/>
      <c r="DC149" s="255"/>
      <c r="DD149" s="255"/>
      <c r="DE149" s="255"/>
      <c r="DF149" s="255"/>
      <c r="DG149" s="255"/>
      <c r="DH149" s="255"/>
      <c r="DI149" s="255"/>
      <c r="DJ149" s="255"/>
      <c r="DK149" s="255"/>
      <c r="DL149" s="255"/>
      <c r="DM149" s="255"/>
      <c r="DN149" s="255"/>
      <c r="DO149" s="255"/>
      <c r="DP149" s="255"/>
      <c r="DQ149" s="255"/>
      <c r="DR149" s="255"/>
      <c r="DS149" s="255"/>
      <c r="DT149" s="255"/>
      <c r="DU149" s="255"/>
      <c r="DV149" s="255"/>
      <c r="DW149" s="255"/>
      <c r="DX149" s="255"/>
      <c r="DY149" s="255"/>
      <c r="DZ149" s="255"/>
      <c r="EA149" s="255"/>
      <c r="EB149" s="255"/>
      <c r="EC149" s="255"/>
      <c r="ED149" s="255"/>
      <c r="EE149" s="255"/>
      <c r="EF149" s="255"/>
      <c r="EG149" s="255"/>
      <c r="EH149" s="255"/>
      <c r="EI149" s="255"/>
      <c r="EJ149" s="255"/>
      <c r="EK149" s="255"/>
      <c r="EL149" s="255"/>
      <c r="EM149" s="255"/>
      <c r="EN149" s="255"/>
      <c r="EO149" s="255"/>
      <c r="EP149" s="255"/>
      <c r="EQ149" s="255"/>
      <c r="ER149" s="255"/>
      <c r="ES149" s="255"/>
      <c r="ET149" s="255"/>
      <c r="EU149" s="255"/>
      <c r="EV149" s="255"/>
      <c r="EW149" s="255"/>
      <c r="EX149" s="255"/>
      <c r="EY149" s="255"/>
      <c r="EZ149" s="255"/>
      <c r="FA149" s="255"/>
      <c r="FB149" s="255"/>
      <c r="FC149" s="255"/>
      <c r="FD149" s="255"/>
      <c r="FE149" s="255"/>
      <c r="FF149" s="255"/>
      <c r="FG149" s="255"/>
      <c r="FH149" s="255"/>
      <c r="FI149" s="255"/>
      <c r="FJ149" s="255"/>
      <c r="FK149" s="255"/>
      <c r="FL149" s="255"/>
      <c r="FM149" s="255"/>
      <c r="FN149" s="255"/>
      <c r="FO149" s="255"/>
      <c r="FP149" s="255"/>
      <c r="FQ149" s="255"/>
      <c r="FR149" s="255"/>
      <c r="FS149" s="255"/>
      <c r="FT149" s="255"/>
      <c r="FU149" s="255"/>
      <c r="FV149" s="255"/>
      <c r="FW149" s="255"/>
      <c r="FX149" s="255"/>
      <c r="FY149" s="255"/>
      <c r="FZ149" s="255"/>
      <c r="GA149" s="255"/>
      <c r="GB149" s="255"/>
      <c r="GC149" s="255"/>
      <c r="GD149" s="255"/>
      <c r="GE149" s="255"/>
      <c r="GF149" s="255"/>
      <c r="GG149" s="255"/>
      <c r="GH149" s="255"/>
      <c r="GI149" s="255"/>
      <c r="GJ149" s="255"/>
      <c r="GK149" s="255"/>
      <c r="GL149" s="255"/>
      <c r="GM149" s="255"/>
      <c r="GN149" s="255"/>
      <c r="GO149" s="255"/>
      <c r="GP149" s="255"/>
      <c r="GQ149" s="255"/>
      <c r="GR149" s="255"/>
      <c r="GS149" s="255"/>
      <c r="GT149" s="255"/>
      <c r="GU149" s="255"/>
      <c r="GV149" s="255"/>
      <c r="GW149" s="255"/>
      <c r="GX149" s="255"/>
      <c r="GY149" s="255"/>
      <c r="GZ149" s="255"/>
      <c r="HA149" s="255"/>
      <c r="HB149" s="255"/>
      <c r="HC149" s="255"/>
      <c r="HD149" s="255"/>
      <c r="HE149" s="255"/>
      <c r="HF149" s="255"/>
      <c r="HG149" s="255"/>
      <c r="HH149" s="255"/>
      <c r="HI149" s="255"/>
      <c r="HJ149" s="255"/>
      <c r="HK149" s="255"/>
      <c r="HL149" s="255"/>
      <c r="HM149" s="255"/>
      <c r="HN149" s="255"/>
      <c r="HO149" s="255"/>
      <c r="HP149" s="255"/>
      <c r="HQ149" s="255"/>
      <c r="HR149" s="255"/>
      <c r="HS149" s="255"/>
      <c r="HT149" s="255"/>
      <c r="HU149" s="255"/>
      <c r="HV149" s="255"/>
      <c r="HW149" s="255"/>
      <c r="HX149" s="255"/>
      <c r="HY149" s="255"/>
      <c r="HZ149" s="255"/>
      <c r="IA149" s="255"/>
      <c r="IB149" s="255"/>
      <c r="IC149" s="255"/>
      <c r="ID149" s="255"/>
      <c r="IE149" s="255"/>
      <c r="IF149" s="255"/>
      <c r="IG149" s="255"/>
      <c r="IH149" s="255"/>
      <c r="II149" s="255"/>
      <c r="IJ149" s="255"/>
      <c r="IK149" s="255"/>
      <c r="IL149" s="255"/>
      <c r="IM149" s="255"/>
      <c r="IN149" s="255"/>
      <c r="IO149" s="255"/>
      <c r="IP149" s="255"/>
      <c r="IQ149" s="255"/>
      <c r="IR149" s="255"/>
      <c r="IS149" s="255"/>
      <c r="IT149" s="255"/>
      <c r="IU149" s="255"/>
      <c r="IV149" s="255"/>
      <c r="IW149" s="255"/>
      <c r="IX149" s="255"/>
      <c r="IY149" s="255"/>
      <c r="IZ149" s="255"/>
      <c r="JA149" s="255"/>
      <c r="JB149" s="255"/>
      <c r="JC149" s="255"/>
      <c r="JD149" s="255"/>
      <c r="JE149" s="255"/>
      <c r="JF149" s="255"/>
      <c r="JG149" s="255"/>
      <c r="JH149" s="255"/>
      <c r="JI149" s="255"/>
      <c r="JJ149" s="255"/>
      <c r="JK149" s="255"/>
      <c r="JL149" s="255"/>
      <c r="JM149" s="255"/>
      <c r="JN149" s="255"/>
      <c r="JO149" s="255"/>
      <c r="JP149" s="255"/>
      <c r="JQ149" s="255"/>
      <c r="JR149" s="255"/>
      <c r="JS149" s="255"/>
      <c r="JT149" s="255"/>
      <c r="JU149" s="255"/>
      <c r="JV149" s="255"/>
      <c r="JW149" s="255"/>
      <c r="JX149" s="255"/>
      <c r="JY149" s="255"/>
      <c r="JZ149" s="255"/>
      <c r="KA149" s="255"/>
      <c r="KB149" s="255"/>
      <c r="KC149" s="255"/>
      <c r="KD149" s="255"/>
      <c r="KE149" s="255"/>
      <c r="KF149" s="255"/>
      <c r="KG149" s="255"/>
      <c r="KH149" s="255"/>
      <c r="KI149" s="255"/>
      <c r="KJ149" s="255"/>
      <c r="KK149" s="255"/>
      <c r="KL149" s="255"/>
      <c r="KM149" s="255"/>
      <c r="KN149" s="255"/>
      <c r="KO149" s="255"/>
      <c r="KP149" s="255"/>
      <c r="KQ149" s="255"/>
      <c r="KR149" s="255"/>
      <c r="KS149" s="255"/>
      <c r="KT149" s="255"/>
      <c r="KU149" s="255"/>
      <c r="KV149" s="255"/>
      <c r="KW149" s="255"/>
      <c r="KX149" s="255"/>
      <c r="KY149" s="255"/>
      <c r="KZ149" s="255"/>
      <c r="LA149" s="255"/>
      <c r="LB149" s="255"/>
      <c r="LC149" s="255"/>
      <c r="LD149" s="255"/>
      <c r="LE149" s="255"/>
      <c r="LF149" s="255"/>
      <c r="LG149" s="255"/>
      <c r="LH149" s="255"/>
      <c r="LI149" s="255"/>
      <c r="LJ149" s="255"/>
      <c r="LK149" s="255"/>
      <c r="LL149" s="255"/>
      <c r="LM149" s="255"/>
      <c r="LN149" s="255"/>
      <c r="LO149" s="255"/>
      <c r="LP149" s="255"/>
      <c r="LQ149" s="255"/>
      <c r="LR149" s="255"/>
      <c r="LS149" s="255"/>
      <c r="LT149" s="255"/>
      <c r="LU149" s="255"/>
      <c r="LV149" s="255"/>
      <c r="LW149" s="255"/>
      <c r="LX149" s="255"/>
      <c r="LY149" s="255"/>
      <c r="LZ149" s="255"/>
      <c r="MA149" s="255"/>
      <c r="MB149" s="255"/>
      <c r="MC149" s="255"/>
      <c r="MD149" s="255"/>
      <c r="ME149" s="255"/>
      <c r="MF149" s="255"/>
      <c r="MG149" s="255"/>
      <c r="MH149" s="255"/>
      <c r="MI149" s="255"/>
      <c r="MJ149" s="255"/>
      <c r="MK149" s="255"/>
      <c r="ML149" s="255"/>
      <c r="MM149" s="255"/>
      <c r="MN149" s="255"/>
      <c r="MO149" s="255"/>
      <c r="MP149" s="255"/>
      <c r="MQ149" s="255"/>
      <c r="MR149" s="255"/>
      <c r="MS149" s="255"/>
      <c r="MT149" s="255"/>
      <c r="MU149" s="255"/>
      <c r="MV149" s="255"/>
      <c r="MW149" s="255"/>
      <c r="MX149" s="255"/>
      <c r="MY149" s="255"/>
      <c r="MZ149" s="255"/>
      <c r="NA149" s="255"/>
      <c r="NB149" s="255"/>
      <c r="NC149" s="255"/>
      <c r="ND149" s="255"/>
      <c r="NE149" s="255"/>
      <c r="NF149" s="255"/>
      <c r="NG149" s="255"/>
      <c r="NH149" s="255"/>
      <c r="NI149" s="255"/>
      <c r="NJ149" s="255"/>
      <c r="NK149" s="255"/>
      <c r="NL149" s="255"/>
      <c r="NM149" s="255"/>
      <c r="NN149" s="255"/>
      <c r="NO149" s="255"/>
      <c r="NP149" s="255"/>
      <c r="NQ149" s="255"/>
      <c r="NR149" s="255"/>
      <c r="NS149" s="255"/>
      <c r="NT149" s="255"/>
      <c r="NU149" s="255"/>
      <c r="NV149" s="255"/>
      <c r="NW149" s="255"/>
      <c r="NX149" s="255"/>
      <c r="NY149" s="255"/>
      <c r="NZ149" s="255"/>
      <c r="OA149" s="255"/>
      <c r="OB149" s="255"/>
      <c r="OC149" s="255"/>
      <c r="OD149" s="255"/>
      <c r="OE149" s="255"/>
      <c r="OF149" s="255"/>
      <c r="OG149" s="255"/>
      <c r="OH149" s="255"/>
      <c r="OI149" s="255"/>
      <c r="OJ149" s="255"/>
      <c r="OK149" s="255"/>
      <c r="OL149" s="255"/>
      <c r="OM149" s="255"/>
      <c r="ON149" s="255"/>
      <c r="OO149" s="255"/>
      <c r="OP149" s="255"/>
      <c r="OQ149" s="255"/>
      <c r="OR149" s="255"/>
      <c r="OS149" s="255"/>
      <c r="OT149" s="255"/>
      <c r="OU149" s="255"/>
      <c r="OV149" s="255"/>
      <c r="OW149" s="255"/>
      <c r="OX149" s="255"/>
      <c r="OY149" s="255"/>
      <c r="OZ149" s="255"/>
      <c r="PA149" s="255"/>
      <c r="PB149" s="255"/>
      <c r="PC149" s="255"/>
      <c r="PD149" s="255"/>
      <c r="PE149" s="255"/>
      <c r="PF149" s="255"/>
      <c r="PG149" s="255"/>
      <c r="PH149" s="255"/>
      <c r="PI149" s="255"/>
      <c r="PJ149" s="255"/>
      <c r="PK149" s="255"/>
      <c r="PL149" s="255"/>
      <c r="PM149" s="255"/>
      <c r="PN149" s="255"/>
      <c r="PO149" s="255"/>
      <c r="PP149" s="255"/>
      <c r="PQ149" s="255"/>
      <c r="PR149" s="255"/>
      <c r="PS149" s="255"/>
      <c r="PT149" s="255"/>
      <c r="PU149" s="255"/>
      <c r="PV149" s="255"/>
      <c r="PW149" s="255"/>
      <c r="PX149" s="255"/>
      <c r="PY149" s="255"/>
      <c r="PZ149" s="255"/>
      <c r="QA149" s="255"/>
      <c r="QB149" s="255"/>
      <c r="QC149" s="255"/>
      <c r="QD149" s="255"/>
      <c r="QE149" s="255"/>
      <c r="QF149" s="255"/>
      <c r="QG149" s="255"/>
      <c r="QH149" s="255"/>
      <c r="QI149" s="255"/>
      <c r="QJ149" s="255"/>
      <c r="QK149" s="255"/>
      <c r="QL149" s="255"/>
      <c r="QM149" s="255"/>
      <c r="QN149" s="255"/>
      <c r="QO149" s="255"/>
      <c r="QP149" s="255"/>
      <c r="QQ149" s="255"/>
      <c r="QR149" s="255"/>
      <c r="QS149" s="255"/>
      <c r="QT149" s="255"/>
      <c r="QU149" s="255"/>
      <c r="QV149" s="255"/>
      <c r="QW149" s="255"/>
      <c r="QX149" s="255"/>
      <c r="QY149" s="255"/>
      <c r="QZ149" s="255"/>
      <c r="RA149" s="255"/>
      <c r="RB149" s="255"/>
      <c r="RC149" s="255"/>
      <c r="RD149" s="255"/>
      <c r="RE149" s="255"/>
      <c r="RF149" s="255"/>
      <c r="RG149" s="255"/>
      <c r="RH149" s="255"/>
      <c r="RI149" s="255"/>
      <c r="RJ149" s="255"/>
      <c r="RK149" s="255"/>
      <c r="RL149" s="255"/>
      <c r="RM149" s="255"/>
      <c r="RN149" s="255"/>
      <c r="RO149" s="255"/>
      <c r="RP149" s="255"/>
      <c r="RQ149" s="255"/>
      <c r="RR149" s="255"/>
      <c r="RS149" s="255"/>
      <c r="RT149" s="255"/>
      <c r="RU149" s="255"/>
      <c r="RV149" s="255"/>
      <c r="RW149" s="255"/>
      <c r="RX149" s="255"/>
      <c r="RY149" s="255"/>
      <c r="RZ149" s="255"/>
      <c r="SA149" s="255"/>
      <c r="SB149" s="255"/>
      <c r="SC149" s="255"/>
      <c r="SD149" s="255"/>
      <c r="SE149" s="255"/>
      <c r="SF149" s="255"/>
      <c r="SG149" s="255"/>
      <c r="SH149" s="255"/>
      <c r="SI149" s="255"/>
      <c r="SJ149" s="255"/>
      <c r="SK149" s="255"/>
      <c r="SL149" s="255"/>
      <c r="SM149" s="255"/>
      <c r="SN149" s="255"/>
      <c r="SO149" s="255"/>
      <c r="SP149" s="255"/>
      <c r="SQ149" s="255"/>
      <c r="SR149" s="255"/>
      <c r="SS149" s="255"/>
      <c r="ST149" s="255"/>
      <c r="SU149" s="255"/>
      <c r="SV149" s="255"/>
      <c r="SW149" s="255"/>
      <c r="SX149" s="255"/>
      <c r="SY149" s="255"/>
      <c r="SZ149" s="255"/>
      <c r="TA149" s="255"/>
      <c r="TB149" s="255"/>
      <c r="TC149" s="255"/>
      <c r="TD149" s="255"/>
      <c r="TE149" s="255"/>
      <c r="TF149" s="255"/>
      <c r="TG149" s="255"/>
      <c r="TH149" s="255"/>
      <c r="TI149" s="255"/>
      <c r="TJ149" s="255"/>
      <c r="TK149" s="255"/>
      <c r="TL149" s="255"/>
      <c r="TM149" s="255"/>
      <c r="TN149" s="255"/>
      <c r="TO149" s="255"/>
      <c r="TP149" s="255"/>
      <c r="TQ149" s="255"/>
      <c r="TR149" s="255"/>
      <c r="TS149" s="255"/>
      <c r="TT149" s="255"/>
      <c r="TU149" s="255"/>
      <c r="TV149" s="255"/>
      <c r="TW149" s="255"/>
      <c r="TX149" s="255"/>
      <c r="TY149" s="255"/>
      <c r="TZ149" s="255"/>
      <c r="UA149" s="255"/>
      <c r="UB149" s="255"/>
      <c r="UC149" s="255"/>
      <c r="UD149" s="255"/>
      <c r="UE149" s="255"/>
      <c r="UF149" s="255"/>
      <c r="UG149" s="255"/>
      <c r="UH149" s="255"/>
      <c r="UI149" s="255"/>
      <c r="UJ149" s="255"/>
      <c r="UK149" s="255"/>
      <c r="UL149" s="255"/>
      <c r="UM149" s="255"/>
      <c r="UN149" s="255"/>
      <c r="UO149" s="255"/>
      <c r="UP149" s="255"/>
      <c r="UQ149" s="255"/>
      <c r="UR149" s="255"/>
      <c r="US149" s="255"/>
      <c r="UT149" s="255"/>
      <c r="UU149" s="255"/>
      <c r="UV149" s="255"/>
      <c r="UW149" s="255"/>
      <c r="UX149" s="255"/>
      <c r="UY149" s="255"/>
      <c r="UZ149" s="255"/>
      <c r="VA149" s="255"/>
      <c r="VB149" s="255"/>
      <c r="VC149" s="255"/>
      <c r="VD149" s="255"/>
      <c r="VE149" s="255"/>
      <c r="VF149" s="255"/>
      <c r="VG149" s="255"/>
      <c r="VH149" s="255"/>
      <c r="VI149" s="255"/>
      <c r="VJ149" s="255"/>
      <c r="VK149" s="255"/>
      <c r="VL149" s="255"/>
      <c r="VM149" s="255"/>
      <c r="VN149" s="255"/>
      <c r="VO149" s="255"/>
      <c r="VP149" s="255"/>
      <c r="VQ149" s="255"/>
      <c r="VR149" s="255"/>
      <c r="VS149" s="255"/>
      <c r="VT149" s="255"/>
      <c r="VU149" s="255"/>
      <c r="VV149" s="255"/>
      <c r="VW149" s="255"/>
      <c r="VX149" s="255"/>
      <c r="VY149" s="255"/>
      <c r="VZ149" s="255"/>
      <c r="WA149" s="255"/>
      <c r="WB149" s="255"/>
      <c r="WC149" s="255"/>
      <c r="WD149" s="255"/>
      <c r="WE149" s="255"/>
      <c r="WF149" s="255"/>
      <c r="WG149" s="255"/>
      <c r="WH149" s="255"/>
      <c r="WI149" s="255"/>
      <c r="WJ149" s="255"/>
      <c r="WK149" s="255"/>
      <c r="WL149" s="255"/>
      <c r="WM149" s="255"/>
      <c r="WN149" s="255"/>
      <c r="WO149" s="255"/>
      <c r="WP149" s="255"/>
      <c r="WQ149" s="255"/>
      <c r="WR149" s="255"/>
      <c r="WS149" s="255"/>
      <c r="WT149" s="255"/>
      <c r="WU149" s="255"/>
      <c r="WV149" s="255"/>
      <c r="WW149" s="255"/>
      <c r="WX149" s="255"/>
      <c r="WY149" s="255"/>
      <c r="WZ149" s="255"/>
      <c r="XA149" s="255"/>
      <c r="XB149" s="255"/>
      <c r="XC149" s="255"/>
      <c r="XD149" s="255"/>
      <c r="XE149" s="255"/>
      <c r="XF149" s="255"/>
      <c r="XG149" s="255"/>
      <c r="XH149" s="255"/>
      <c r="XI149" s="255"/>
      <c r="XJ149" s="255"/>
      <c r="XK149" s="255"/>
      <c r="XL149" s="255"/>
      <c r="XM149" s="255"/>
      <c r="XN149" s="255"/>
      <c r="XO149" s="255"/>
      <c r="XP149" s="255"/>
      <c r="XQ149" s="255"/>
      <c r="XR149" s="255"/>
      <c r="XS149" s="255"/>
      <c r="XT149" s="255"/>
      <c r="XU149" s="255"/>
      <c r="XV149" s="255"/>
      <c r="XW149" s="255"/>
      <c r="XX149" s="255"/>
      <c r="XY149" s="255"/>
      <c r="XZ149" s="255"/>
      <c r="YA149" s="255"/>
      <c r="YB149" s="255"/>
      <c r="YC149" s="255"/>
      <c r="YD149" s="255"/>
      <c r="YE149" s="255"/>
      <c r="YF149" s="255"/>
      <c r="YG149" s="255"/>
      <c r="YH149" s="255"/>
      <c r="YI149" s="255"/>
      <c r="YJ149" s="255"/>
      <c r="YK149" s="255"/>
      <c r="YL149" s="255"/>
      <c r="YM149" s="255"/>
      <c r="YN149" s="255"/>
      <c r="YO149" s="255"/>
      <c r="YP149" s="255"/>
      <c r="YQ149" s="255"/>
      <c r="YR149" s="255"/>
      <c r="YS149" s="255"/>
      <c r="YT149" s="255"/>
      <c r="YU149" s="255"/>
      <c r="YV149" s="255"/>
      <c r="YW149" s="255"/>
      <c r="YX149" s="255"/>
      <c r="YY149" s="255"/>
      <c r="YZ149" s="255"/>
      <c r="ZA149" s="255"/>
      <c r="ZB149" s="255"/>
      <c r="ZC149" s="255"/>
      <c r="ZD149" s="255"/>
      <c r="ZE149" s="255"/>
      <c r="ZF149" s="255"/>
      <c r="ZG149" s="255"/>
      <c r="ZH149" s="255"/>
      <c r="ZI149" s="255"/>
      <c r="ZJ149" s="255"/>
      <c r="ZK149" s="255"/>
      <c r="ZL149" s="255"/>
      <c r="ZM149" s="255"/>
      <c r="ZN149" s="255"/>
      <c r="ZO149" s="255"/>
      <c r="ZP149" s="255"/>
      <c r="ZQ149" s="255"/>
      <c r="ZR149" s="255"/>
      <c r="ZS149" s="255"/>
      <c r="ZT149" s="255"/>
      <c r="ZU149" s="255"/>
      <c r="ZV149" s="255"/>
      <c r="ZW149" s="255"/>
      <c r="ZX149" s="255"/>
      <c r="ZY149" s="255"/>
      <c r="ZZ149" s="255"/>
      <c r="AAA149" s="255"/>
      <c r="AAB149" s="255"/>
      <c r="AAC149" s="255"/>
      <c r="AAD149" s="255"/>
      <c r="AAE149" s="255"/>
      <c r="AAF149" s="255"/>
      <c r="AAG149" s="255"/>
      <c r="AAH149" s="255"/>
      <c r="AAI149" s="255"/>
      <c r="AAJ149" s="255"/>
      <c r="AAK149" s="255"/>
      <c r="AAL149" s="255"/>
      <c r="AAM149" s="255"/>
      <c r="AAN149" s="255"/>
      <c r="AAO149" s="255"/>
      <c r="AAP149" s="255"/>
      <c r="AAQ149" s="255"/>
      <c r="AAR149" s="255"/>
      <c r="AAS149" s="255"/>
      <c r="AAT149" s="255"/>
      <c r="AAU149" s="255"/>
      <c r="AAV149" s="255"/>
      <c r="AAW149" s="255"/>
      <c r="AAX149" s="255"/>
      <c r="AAY149" s="255"/>
      <c r="AAZ149" s="255"/>
      <c r="ABA149" s="255"/>
      <c r="ABB149" s="255"/>
      <c r="ABC149" s="255"/>
      <c r="ABD149" s="255"/>
      <c r="ABE149" s="255"/>
      <c r="ABF149" s="255"/>
      <c r="ABG149" s="255"/>
      <c r="ABH149" s="255"/>
      <c r="ABI149" s="255"/>
      <c r="ABJ149" s="255"/>
      <c r="ABK149" s="255"/>
      <c r="ABL149" s="255"/>
      <c r="ABM149" s="255"/>
      <c r="ABN149" s="255"/>
      <c r="ABO149" s="255"/>
      <c r="ABP149" s="255"/>
      <c r="ABQ149" s="255"/>
      <c r="ABR149" s="255"/>
      <c r="ABS149" s="255"/>
      <c r="ABT149" s="255"/>
      <c r="ABU149" s="255"/>
      <c r="ABV149" s="255"/>
      <c r="ABW149" s="255"/>
      <c r="ABX149" s="255"/>
      <c r="ABY149" s="255"/>
      <c r="ABZ149" s="255"/>
      <c r="ACA149" s="255"/>
      <c r="ACB149" s="255"/>
      <c r="ACC149" s="255"/>
      <c r="ACD149" s="255"/>
      <c r="ACE149" s="255"/>
      <c r="ACF149" s="255"/>
      <c r="ACG149" s="255"/>
      <c r="ACH149" s="255"/>
      <c r="ACI149" s="255"/>
      <c r="ACJ149" s="255"/>
      <c r="ACK149" s="255"/>
      <c r="ACL149" s="255"/>
      <c r="ACM149" s="255"/>
      <c r="ACN149" s="255"/>
      <c r="ACO149" s="255"/>
      <c r="ACP149" s="255"/>
      <c r="ACQ149" s="255"/>
      <c r="ACR149" s="255"/>
      <c r="ACS149" s="255"/>
      <c r="ACT149" s="255"/>
      <c r="ACU149" s="255"/>
      <c r="ACV149" s="255"/>
      <c r="ACW149" s="255"/>
      <c r="ACX149" s="255"/>
      <c r="ACY149" s="255"/>
      <c r="ACZ149" s="255"/>
      <c r="ADA149" s="255"/>
      <c r="ADB149" s="255"/>
      <c r="ADC149" s="255"/>
      <c r="ADD149" s="255"/>
      <c r="ADE149" s="255"/>
      <c r="ADF149" s="255"/>
      <c r="ADG149" s="255"/>
      <c r="ADH149" s="255"/>
      <c r="ADI149" s="255"/>
      <c r="ADJ149" s="255"/>
      <c r="ADK149" s="255"/>
      <c r="ADL149" s="255"/>
      <c r="ADM149" s="255"/>
      <c r="ADN149" s="255"/>
      <c r="ADO149" s="255"/>
      <c r="ADP149" s="255"/>
      <c r="ADQ149" s="255"/>
      <c r="ADR149" s="255"/>
      <c r="ADS149" s="255"/>
      <c r="ADT149" s="255"/>
      <c r="ADU149" s="255"/>
      <c r="ADV149" s="255"/>
      <c r="ADW149" s="255"/>
      <c r="ADX149" s="255"/>
      <c r="ADY149" s="255"/>
      <c r="ADZ149" s="255"/>
      <c r="AEA149" s="255"/>
      <c r="AEB149" s="255"/>
      <c r="AEC149" s="255"/>
      <c r="AED149" s="255"/>
      <c r="AEE149" s="255"/>
      <c r="AEF149" s="255"/>
      <c r="AEG149" s="255"/>
      <c r="AEH149" s="255"/>
      <c r="AEI149" s="255"/>
      <c r="AEJ149" s="255"/>
      <c r="AEK149" s="255"/>
      <c r="AEL149" s="255"/>
      <c r="AEM149" s="255"/>
      <c r="AEN149" s="255"/>
      <c r="AEO149" s="255"/>
      <c r="AEP149" s="255"/>
      <c r="AEQ149" s="255"/>
      <c r="AER149" s="255"/>
      <c r="AES149" s="255"/>
      <c r="AET149" s="255"/>
      <c r="AEU149" s="255"/>
      <c r="AEV149" s="255"/>
      <c r="AEW149" s="255"/>
      <c r="AEX149" s="255"/>
      <c r="AEY149" s="255"/>
      <c r="AEZ149" s="255"/>
      <c r="AFA149" s="255"/>
      <c r="AFB149" s="255"/>
      <c r="AFC149" s="255"/>
      <c r="AFD149" s="255"/>
      <c r="AFE149" s="255"/>
      <c r="AFF149" s="255"/>
      <c r="AFG149" s="255"/>
      <c r="AFH149" s="255"/>
      <c r="AFI149" s="255"/>
      <c r="AFJ149" s="255"/>
      <c r="AFK149" s="255"/>
      <c r="AFL149" s="255"/>
      <c r="AFM149" s="255"/>
      <c r="AFN149" s="255"/>
      <c r="AFO149" s="255"/>
      <c r="AFP149" s="255"/>
      <c r="AFQ149" s="255"/>
      <c r="AFR149" s="255"/>
      <c r="AFS149" s="255"/>
      <c r="AFT149" s="255"/>
      <c r="AFU149" s="255"/>
      <c r="AFV149" s="255"/>
      <c r="AFW149" s="255"/>
      <c r="AFX149" s="255"/>
      <c r="AFY149" s="255"/>
      <c r="AFZ149" s="255"/>
      <c r="AGA149" s="255"/>
      <c r="AGB149" s="255"/>
      <c r="AGC149" s="255"/>
      <c r="AGD149" s="255"/>
      <c r="AGE149" s="255"/>
      <c r="AGF149" s="255"/>
      <c r="AGG149" s="255"/>
      <c r="AGH149" s="255"/>
      <c r="AGI149" s="255"/>
      <c r="AGJ149" s="255"/>
      <c r="AGK149" s="255"/>
      <c r="AGL149" s="255"/>
      <c r="AGM149" s="255"/>
      <c r="AGN149" s="255"/>
      <c r="AGO149" s="255"/>
      <c r="AGP149" s="255"/>
      <c r="AGQ149" s="255"/>
      <c r="AGR149" s="255"/>
      <c r="AGS149" s="255"/>
      <c r="AGT149" s="255"/>
      <c r="AGU149" s="255"/>
      <c r="AGV149" s="255"/>
      <c r="AGW149" s="255"/>
      <c r="AGX149" s="255"/>
      <c r="AGY149" s="255"/>
      <c r="AGZ149" s="255"/>
      <c r="AHA149" s="255"/>
      <c r="AHB149" s="255"/>
      <c r="AHC149" s="255"/>
      <c r="AHD149" s="255"/>
      <c r="AHE149" s="255"/>
      <c r="AHF149" s="255"/>
      <c r="AHG149" s="255"/>
      <c r="AHH149" s="255"/>
      <c r="AHI149" s="255"/>
      <c r="AHJ149" s="255"/>
      <c r="AHK149" s="255"/>
      <c r="AHL149" s="255"/>
      <c r="AHM149" s="255"/>
      <c r="AHN149" s="255"/>
      <c r="AHO149" s="255"/>
      <c r="AHP149" s="255"/>
      <c r="AHQ149" s="255"/>
      <c r="AHR149" s="255"/>
      <c r="AHS149" s="255"/>
      <c r="AHT149" s="255"/>
      <c r="AHU149" s="255"/>
      <c r="AHV149" s="255"/>
      <c r="AHW149" s="255"/>
      <c r="AHX149" s="255"/>
      <c r="AHY149" s="255"/>
      <c r="AHZ149" s="255"/>
      <c r="AIA149" s="255"/>
      <c r="AIB149" s="255"/>
      <c r="AIC149" s="255"/>
      <c r="AID149" s="255"/>
      <c r="AIE149" s="255"/>
      <c r="AIF149" s="255"/>
      <c r="AIG149" s="255"/>
      <c r="AIH149" s="255"/>
      <c r="AII149" s="255"/>
      <c r="AIJ149" s="255"/>
      <c r="AIK149" s="255"/>
      <c r="AIL149" s="255"/>
      <c r="AIM149" s="255"/>
      <c r="AIN149" s="255"/>
      <c r="AIO149" s="255"/>
      <c r="AIP149" s="255"/>
      <c r="AIQ149" s="255"/>
      <c r="AIR149" s="255"/>
      <c r="AIS149" s="255"/>
      <c r="AIT149" s="255"/>
      <c r="AIU149" s="255"/>
      <c r="AIV149" s="255"/>
      <c r="AIW149" s="255"/>
      <c r="AIX149" s="255"/>
      <c r="AIY149" s="255"/>
      <c r="AIZ149" s="255"/>
      <c r="AJA149" s="255"/>
      <c r="AJB149" s="255"/>
      <c r="AJC149" s="255"/>
      <c r="AJD149" s="255"/>
      <c r="AJE149" s="255"/>
      <c r="AJF149" s="255"/>
      <c r="AJG149" s="255"/>
      <c r="AJH149" s="255"/>
      <c r="AJI149" s="255"/>
      <c r="AJJ149" s="255"/>
      <c r="AJK149" s="255"/>
      <c r="AJL149" s="255"/>
      <c r="AJM149" s="255"/>
      <c r="AJN149" s="255"/>
      <c r="AJO149" s="255"/>
      <c r="AJP149" s="255"/>
      <c r="AJQ149" s="255"/>
      <c r="AJR149" s="255"/>
      <c r="AJS149" s="255"/>
      <c r="AJT149" s="255"/>
      <c r="AJU149" s="255"/>
      <c r="AJV149" s="255"/>
      <c r="AJW149" s="255"/>
      <c r="AJX149" s="255"/>
      <c r="AJY149" s="255"/>
      <c r="AJZ149" s="255"/>
      <c r="AKA149" s="255"/>
      <c r="AKB149" s="255"/>
      <c r="AKC149" s="255"/>
      <c r="AKD149" s="255"/>
      <c r="AKE149" s="255"/>
      <c r="AKF149" s="255"/>
      <c r="AKG149" s="255"/>
      <c r="AKH149" s="255"/>
      <c r="AKI149" s="255"/>
      <c r="AKJ149" s="255"/>
      <c r="AKK149" s="255"/>
      <c r="AKL149" s="255"/>
      <c r="AKM149" s="255"/>
      <c r="AKN149" s="255"/>
      <c r="AKO149" s="255"/>
      <c r="AKP149" s="255"/>
      <c r="AKQ149" s="255"/>
      <c r="AKR149" s="255"/>
      <c r="AKS149" s="255"/>
      <c r="AKT149" s="255"/>
      <c r="AKU149" s="255"/>
      <c r="AKV149" s="255"/>
      <c r="AKW149" s="255"/>
      <c r="AKX149" s="255"/>
      <c r="AKY149" s="255"/>
      <c r="AKZ149" s="255"/>
      <c r="ALA149" s="255"/>
      <c r="ALB149" s="255"/>
      <c r="ALC149" s="255"/>
      <c r="ALD149" s="255"/>
      <c r="ALE149" s="255"/>
      <c r="ALF149" s="255"/>
      <c r="ALG149" s="255"/>
      <c r="ALH149" s="255"/>
      <c r="ALI149" s="255"/>
      <c r="ALJ149" s="255"/>
      <c r="ALK149" s="255"/>
      <c r="ALL149" s="255"/>
      <c r="ALM149" s="255"/>
      <c r="ALN149" s="255"/>
      <c r="ALO149" s="255"/>
      <c r="ALP149" s="255"/>
      <c r="ALQ149" s="255"/>
      <c r="ALR149" s="255"/>
    </row>
    <row r="150" spans="1:1006" s="191" customFormat="1" ht="24">
      <c r="A150" s="251" t="s">
        <v>7</v>
      </c>
      <c r="B150" s="290">
        <v>88486</v>
      </c>
      <c r="C150" s="282" t="str">
        <f>(IF($A150="SINAPI",INDEX(SINAPI_NOV2020_NDES!$A$7:$H$6703,MATCH($B150,SINAPI_NOV2020_NDES!$A$7:$A$6703,0),2),IF($A150="GOINFRA",INDEX(#REF!,MATCH($B150,#REF!,0),2),(INDEX(COMPOS!$A$4:$G$390,MATCH($B150,COMPOS!$A$4:A$390,0),2)))))</f>
        <v>APLICAÇÃO MANUAL DE PINTURA COM TINTA LÁTEX PVA EM TETO, DUAS DEMÃOS. AF_06/2014</v>
      </c>
      <c r="D150" s="274" t="str">
        <f>(IF($A150="SINAPI",INDEX(SINAPI_NOV2020_NDES!$A$7:$H$6790,MATCH($B150,SINAPI_NOV2020_NDES!$A$7:$A$6790,0),3),(INDEX(COMPOS!$A$4:$G$5000,MATCH($B150,COMPOS!$A$4:$A$5000,0),3))))</f>
        <v>M2</v>
      </c>
      <c r="E150" s="276">
        <v>220.25</v>
      </c>
      <c r="F150" s="303">
        <f>(IF($A150="SINAPI",INDEX(SINAPI_NOV2020_NDES!$A$7:$H$6703,MATCH($B150,SINAPI_NOV2020_NDES!$A$7:$A$6703,0),5),(INDEX(COMPOS!$A$4:$G$801,MATCH($B150,COMPOS!$A$4:A$801,0),4))))</f>
        <v>3.54</v>
      </c>
      <c r="G150" s="314">
        <f>(IF($A150="SINAPI",INDEX(SINAPI_NOV2020_NDES!$A$7:$H$6703,MATCH($B150,SINAPI_NOV2020_NDES!$A$7:$A$6703,0),6),(INDEX(COMPOS!$A$4:$G$801,MATCH($B150,COMPOS!$A$4:A$801,0),5))))</f>
        <v>7.47</v>
      </c>
      <c r="H150" s="315">
        <f>(IF($A150="SINAPI",INDEX(SINAPI_NOV2020_NDES!$A$7:$H$6703,MATCH($B150,SINAPI_NOV2020_NDES!$A$7:$A$6703,0),7),(INDEX(COMPOS!$A$4:$G$801,MATCH($B150,COMPOS!$A$4:A$801,0),6))))</f>
        <v>0</v>
      </c>
      <c r="I150" s="315">
        <f t="shared" si="38"/>
        <v>11.01</v>
      </c>
      <c r="J150" s="280">
        <f t="shared" si="39"/>
        <v>2424.9524999999999</v>
      </c>
      <c r="K150" s="255"/>
      <c r="L150" s="255"/>
      <c r="M150" s="255"/>
      <c r="N150" s="255"/>
      <c r="O150" s="257"/>
      <c r="P150" s="257"/>
      <c r="Q150" s="255"/>
      <c r="R150" s="255"/>
      <c r="S150" s="255"/>
      <c r="T150" s="255"/>
      <c r="U150" s="255"/>
      <c r="V150" s="255"/>
      <c r="W150" s="255"/>
      <c r="X150" s="255"/>
      <c r="Y150" s="255"/>
      <c r="Z150" s="255"/>
      <c r="AA150" s="255"/>
      <c r="AB150" s="255"/>
      <c r="AC150" s="255"/>
      <c r="AD150" s="255"/>
      <c r="AE150" s="255"/>
      <c r="AF150" s="255"/>
      <c r="AG150" s="255"/>
      <c r="AH150" s="255"/>
      <c r="AI150" s="255"/>
      <c r="AJ150" s="255"/>
      <c r="AK150" s="255"/>
      <c r="AL150" s="255"/>
      <c r="AM150" s="255"/>
      <c r="AN150" s="255"/>
      <c r="AO150" s="255"/>
      <c r="AP150" s="255"/>
      <c r="AQ150" s="255"/>
      <c r="AR150" s="255"/>
      <c r="AS150" s="255"/>
      <c r="AT150" s="255"/>
      <c r="AU150" s="255"/>
      <c r="AV150" s="255"/>
      <c r="AW150" s="255"/>
      <c r="AX150" s="255"/>
      <c r="AY150" s="255"/>
      <c r="AZ150" s="255"/>
      <c r="BA150" s="255"/>
      <c r="BB150" s="255"/>
      <c r="BC150" s="255"/>
      <c r="BD150" s="255"/>
      <c r="BE150" s="255"/>
      <c r="BF150" s="255"/>
      <c r="BG150" s="255"/>
      <c r="BH150" s="255"/>
      <c r="BI150" s="255"/>
      <c r="BJ150" s="255"/>
      <c r="BK150" s="255"/>
      <c r="BL150" s="255"/>
      <c r="BM150" s="255"/>
      <c r="BN150" s="255"/>
      <c r="BO150" s="255"/>
      <c r="BP150" s="255"/>
      <c r="BQ150" s="255"/>
      <c r="BR150" s="255"/>
      <c r="BS150" s="255"/>
      <c r="BT150" s="255"/>
      <c r="BU150" s="255"/>
      <c r="BV150" s="255"/>
      <c r="BW150" s="255"/>
      <c r="BX150" s="255"/>
      <c r="BY150" s="255"/>
      <c r="BZ150" s="255"/>
      <c r="CA150" s="255"/>
      <c r="CB150" s="255"/>
      <c r="CC150" s="255"/>
      <c r="CD150" s="255"/>
      <c r="CE150" s="255"/>
      <c r="CF150" s="255"/>
      <c r="CG150" s="255"/>
      <c r="CH150" s="255"/>
      <c r="CI150" s="255"/>
      <c r="CJ150" s="255"/>
      <c r="CK150" s="255"/>
      <c r="CL150" s="255"/>
      <c r="CM150" s="255"/>
      <c r="CN150" s="255"/>
      <c r="CO150" s="255"/>
      <c r="CP150" s="255"/>
      <c r="CQ150" s="255"/>
      <c r="CR150" s="255"/>
      <c r="CS150" s="255"/>
      <c r="CT150" s="255"/>
      <c r="CU150" s="255"/>
      <c r="CV150" s="255"/>
      <c r="CW150" s="255"/>
      <c r="CX150" s="255"/>
      <c r="CY150" s="255"/>
      <c r="CZ150" s="255"/>
      <c r="DA150" s="255"/>
      <c r="DB150" s="255"/>
      <c r="DC150" s="255"/>
      <c r="DD150" s="255"/>
      <c r="DE150" s="255"/>
      <c r="DF150" s="255"/>
      <c r="DG150" s="255"/>
      <c r="DH150" s="255"/>
      <c r="DI150" s="255"/>
      <c r="DJ150" s="255"/>
      <c r="DK150" s="255"/>
      <c r="DL150" s="255"/>
      <c r="DM150" s="255"/>
      <c r="DN150" s="255"/>
      <c r="DO150" s="255"/>
      <c r="DP150" s="255"/>
      <c r="DQ150" s="255"/>
      <c r="DR150" s="255"/>
      <c r="DS150" s="255"/>
      <c r="DT150" s="255"/>
      <c r="DU150" s="255"/>
      <c r="DV150" s="255"/>
      <c r="DW150" s="255"/>
      <c r="DX150" s="255"/>
      <c r="DY150" s="255"/>
      <c r="DZ150" s="255"/>
      <c r="EA150" s="255"/>
      <c r="EB150" s="255"/>
      <c r="EC150" s="255"/>
      <c r="ED150" s="255"/>
      <c r="EE150" s="255"/>
      <c r="EF150" s="255"/>
      <c r="EG150" s="255"/>
      <c r="EH150" s="255"/>
      <c r="EI150" s="255"/>
      <c r="EJ150" s="255"/>
      <c r="EK150" s="255"/>
      <c r="EL150" s="255"/>
      <c r="EM150" s="255"/>
      <c r="EN150" s="255"/>
      <c r="EO150" s="255"/>
      <c r="EP150" s="255"/>
      <c r="EQ150" s="255"/>
      <c r="ER150" s="255"/>
      <c r="ES150" s="255"/>
      <c r="ET150" s="255"/>
      <c r="EU150" s="255"/>
      <c r="EV150" s="255"/>
      <c r="EW150" s="255"/>
      <c r="EX150" s="255"/>
      <c r="EY150" s="255"/>
      <c r="EZ150" s="255"/>
      <c r="FA150" s="255"/>
      <c r="FB150" s="255"/>
      <c r="FC150" s="255"/>
      <c r="FD150" s="255"/>
      <c r="FE150" s="255"/>
      <c r="FF150" s="255"/>
      <c r="FG150" s="255"/>
      <c r="FH150" s="255"/>
      <c r="FI150" s="255"/>
      <c r="FJ150" s="255"/>
      <c r="FK150" s="255"/>
      <c r="FL150" s="255"/>
      <c r="FM150" s="255"/>
      <c r="FN150" s="255"/>
      <c r="FO150" s="255"/>
      <c r="FP150" s="255"/>
      <c r="FQ150" s="255"/>
      <c r="FR150" s="255"/>
      <c r="FS150" s="255"/>
      <c r="FT150" s="255"/>
      <c r="FU150" s="255"/>
      <c r="FV150" s="255"/>
      <c r="FW150" s="255"/>
      <c r="FX150" s="255"/>
      <c r="FY150" s="255"/>
      <c r="FZ150" s="255"/>
      <c r="GA150" s="255"/>
      <c r="GB150" s="255"/>
      <c r="GC150" s="255"/>
      <c r="GD150" s="255"/>
      <c r="GE150" s="255"/>
      <c r="GF150" s="255"/>
      <c r="GG150" s="255"/>
      <c r="GH150" s="255"/>
      <c r="GI150" s="255"/>
      <c r="GJ150" s="255"/>
      <c r="GK150" s="255"/>
      <c r="GL150" s="255"/>
      <c r="GM150" s="255"/>
      <c r="GN150" s="255"/>
      <c r="GO150" s="255"/>
      <c r="GP150" s="255"/>
      <c r="GQ150" s="255"/>
      <c r="GR150" s="255"/>
      <c r="GS150" s="255"/>
      <c r="GT150" s="255"/>
      <c r="GU150" s="255"/>
      <c r="GV150" s="255"/>
      <c r="GW150" s="255"/>
      <c r="GX150" s="255"/>
      <c r="GY150" s="255"/>
      <c r="GZ150" s="255"/>
      <c r="HA150" s="255"/>
      <c r="HB150" s="255"/>
      <c r="HC150" s="255"/>
      <c r="HD150" s="255"/>
      <c r="HE150" s="255"/>
      <c r="HF150" s="255"/>
      <c r="HG150" s="255"/>
      <c r="HH150" s="255"/>
      <c r="HI150" s="255"/>
      <c r="HJ150" s="255"/>
      <c r="HK150" s="255"/>
      <c r="HL150" s="255"/>
      <c r="HM150" s="255"/>
      <c r="HN150" s="255"/>
      <c r="HO150" s="255"/>
      <c r="HP150" s="255"/>
      <c r="HQ150" s="255"/>
      <c r="HR150" s="255"/>
      <c r="HS150" s="255"/>
      <c r="HT150" s="255"/>
      <c r="HU150" s="255"/>
      <c r="HV150" s="255"/>
      <c r="HW150" s="255"/>
      <c r="HX150" s="255"/>
      <c r="HY150" s="255"/>
      <c r="HZ150" s="255"/>
      <c r="IA150" s="255"/>
      <c r="IB150" s="255"/>
      <c r="IC150" s="255"/>
      <c r="ID150" s="255"/>
      <c r="IE150" s="255"/>
      <c r="IF150" s="255"/>
      <c r="IG150" s="255"/>
      <c r="IH150" s="255"/>
      <c r="II150" s="255"/>
      <c r="IJ150" s="255"/>
      <c r="IK150" s="255"/>
      <c r="IL150" s="255"/>
      <c r="IM150" s="255"/>
      <c r="IN150" s="255"/>
      <c r="IO150" s="255"/>
      <c r="IP150" s="255"/>
      <c r="IQ150" s="255"/>
      <c r="IR150" s="255"/>
      <c r="IS150" s="255"/>
      <c r="IT150" s="255"/>
      <c r="IU150" s="255"/>
      <c r="IV150" s="255"/>
      <c r="IW150" s="255"/>
      <c r="IX150" s="255"/>
      <c r="IY150" s="255"/>
      <c r="IZ150" s="255"/>
      <c r="JA150" s="255"/>
      <c r="JB150" s="255"/>
      <c r="JC150" s="255"/>
      <c r="JD150" s="255"/>
      <c r="JE150" s="255"/>
      <c r="JF150" s="255"/>
      <c r="JG150" s="255"/>
      <c r="JH150" s="255"/>
      <c r="JI150" s="255"/>
      <c r="JJ150" s="255"/>
      <c r="JK150" s="255"/>
      <c r="JL150" s="255"/>
      <c r="JM150" s="255"/>
      <c r="JN150" s="255"/>
      <c r="JO150" s="255"/>
      <c r="JP150" s="255"/>
      <c r="JQ150" s="255"/>
      <c r="JR150" s="255"/>
      <c r="JS150" s="255"/>
      <c r="JT150" s="255"/>
      <c r="JU150" s="255"/>
      <c r="JV150" s="255"/>
      <c r="JW150" s="255"/>
      <c r="JX150" s="255"/>
      <c r="JY150" s="255"/>
      <c r="JZ150" s="255"/>
      <c r="KA150" s="255"/>
      <c r="KB150" s="255"/>
      <c r="KC150" s="255"/>
      <c r="KD150" s="255"/>
      <c r="KE150" s="255"/>
      <c r="KF150" s="255"/>
      <c r="KG150" s="255"/>
      <c r="KH150" s="255"/>
      <c r="KI150" s="255"/>
      <c r="KJ150" s="255"/>
      <c r="KK150" s="255"/>
      <c r="KL150" s="255"/>
      <c r="KM150" s="255"/>
      <c r="KN150" s="255"/>
      <c r="KO150" s="255"/>
      <c r="KP150" s="255"/>
      <c r="KQ150" s="255"/>
      <c r="KR150" s="255"/>
      <c r="KS150" s="255"/>
      <c r="KT150" s="255"/>
      <c r="KU150" s="255"/>
      <c r="KV150" s="255"/>
      <c r="KW150" s="255"/>
      <c r="KX150" s="255"/>
      <c r="KY150" s="255"/>
      <c r="KZ150" s="255"/>
      <c r="LA150" s="255"/>
      <c r="LB150" s="255"/>
      <c r="LC150" s="255"/>
      <c r="LD150" s="255"/>
      <c r="LE150" s="255"/>
      <c r="LF150" s="255"/>
      <c r="LG150" s="255"/>
      <c r="LH150" s="255"/>
      <c r="LI150" s="255"/>
      <c r="LJ150" s="255"/>
      <c r="LK150" s="255"/>
      <c r="LL150" s="255"/>
      <c r="LM150" s="255"/>
      <c r="LN150" s="255"/>
      <c r="LO150" s="255"/>
      <c r="LP150" s="255"/>
      <c r="LQ150" s="255"/>
      <c r="LR150" s="255"/>
      <c r="LS150" s="255"/>
      <c r="LT150" s="255"/>
      <c r="LU150" s="255"/>
      <c r="LV150" s="255"/>
      <c r="LW150" s="255"/>
      <c r="LX150" s="255"/>
      <c r="LY150" s="255"/>
      <c r="LZ150" s="255"/>
      <c r="MA150" s="255"/>
      <c r="MB150" s="255"/>
      <c r="MC150" s="255"/>
      <c r="MD150" s="255"/>
      <c r="ME150" s="255"/>
      <c r="MF150" s="255"/>
      <c r="MG150" s="255"/>
      <c r="MH150" s="255"/>
      <c r="MI150" s="255"/>
      <c r="MJ150" s="255"/>
      <c r="MK150" s="255"/>
      <c r="ML150" s="255"/>
      <c r="MM150" s="255"/>
      <c r="MN150" s="255"/>
      <c r="MO150" s="255"/>
      <c r="MP150" s="255"/>
      <c r="MQ150" s="255"/>
      <c r="MR150" s="255"/>
      <c r="MS150" s="255"/>
      <c r="MT150" s="255"/>
      <c r="MU150" s="255"/>
      <c r="MV150" s="255"/>
      <c r="MW150" s="255"/>
      <c r="MX150" s="255"/>
      <c r="MY150" s="255"/>
      <c r="MZ150" s="255"/>
      <c r="NA150" s="255"/>
      <c r="NB150" s="255"/>
      <c r="NC150" s="255"/>
      <c r="ND150" s="255"/>
      <c r="NE150" s="255"/>
      <c r="NF150" s="255"/>
      <c r="NG150" s="255"/>
      <c r="NH150" s="255"/>
      <c r="NI150" s="255"/>
      <c r="NJ150" s="255"/>
      <c r="NK150" s="255"/>
      <c r="NL150" s="255"/>
      <c r="NM150" s="255"/>
      <c r="NN150" s="255"/>
      <c r="NO150" s="255"/>
      <c r="NP150" s="255"/>
      <c r="NQ150" s="255"/>
      <c r="NR150" s="255"/>
      <c r="NS150" s="255"/>
      <c r="NT150" s="255"/>
      <c r="NU150" s="255"/>
      <c r="NV150" s="255"/>
      <c r="NW150" s="255"/>
      <c r="NX150" s="255"/>
      <c r="NY150" s="255"/>
      <c r="NZ150" s="255"/>
      <c r="OA150" s="255"/>
      <c r="OB150" s="255"/>
      <c r="OC150" s="255"/>
      <c r="OD150" s="255"/>
      <c r="OE150" s="255"/>
      <c r="OF150" s="255"/>
      <c r="OG150" s="255"/>
      <c r="OH150" s="255"/>
      <c r="OI150" s="255"/>
      <c r="OJ150" s="255"/>
      <c r="OK150" s="255"/>
      <c r="OL150" s="255"/>
      <c r="OM150" s="255"/>
      <c r="ON150" s="255"/>
      <c r="OO150" s="255"/>
      <c r="OP150" s="255"/>
      <c r="OQ150" s="255"/>
      <c r="OR150" s="255"/>
      <c r="OS150" s="255"/>
      <c r="OT150" s="255"/>
      <c r="OU150" s="255"/>
      <c r="OV150" s="255"/>
      <c r="OW150" s="255"/>
      <c r="OX150" s="255"/>
      <c r="OY150" s="255"/>
      <c r="OZ150" s="255"/>
      <c r="PA150" s="255"/>
      <c r="PB150" s="255"/>
      <c r="PC150" s="255"/>
      <c r="PD150" s="255"/>
      <c r="PE150" s="255"/>
      <c r="PF150" s="255"/>
      <c r="PG150" s="255"/>
      <c r="PH150" s="255"/>
      <c r="PI150" s="255"/>
      <c r="PJ150" s="255"/>
      <c r="PK150" s="255"/>
      <c r="PL150" s="255"/>
      <c r="PM150" s="255"/>
      <c r="PN150" s="255"/>
      <c r="PO150" s="255"/>
      <c r="PP150" s="255"/>
      <c r="PQ150" s="255"/>
      <c r="PR150" s="255"/>
      <c r="PS150" s="255"/>
      <c r="PT150" s="255"/>
      <c r="PU150" s="255"/>
      <c r="PV150" s="255"/>
      <c r="PW150" s="255"/>
      <c r="PX150" s="255"/>
      <c r="PY150" s="255"/>
      <c r="PZ150" s="255"/>
      <c r="QA150" s="255"/>
      <c r="QB150" s="255"/>
      <c r="QC150" s="255"/>
      <c r="QD150" s="255"/>
      <c r="QE150" s="255"/>
      <c r="QF150" s="255"/>
      <c r="QG150" s="255"/>
      <c r="QH150" s="255"/>
      <c r="QI150" s="255"/>
      <c r="QJ150" s="255"/>
      <c r="QK150" s="255"/>
      <c r="QL150" s="255"/>
      <c r="QM150" s="255"/>
      <c r="QN150" s="255"/>
      <c r="QO150" s="255"/>
      <c r="QP150" s="255"/>
      <c r="QQ150" s="255"/>
      <c r="QR150" s="255"/>
      <c r="QS150" s="255"/>
      <c r="QT150" s="255"/>
      <c r="QU150" s="255"/>
      <c r="QV150" s="255"/>
      <c r="QW150" s="255"/>
      <c r="QX150" s="255"/>
      <c r="QY150" s="255"/>
      <c r="QZ150" s="255"/>
      <c r="RA150" s="255"/>
      <c r="RB150" s="255"/>
      <c r="RC150" s="255"/>
      <c r="RD150" s="255"/>
      <c r="RE150" s="255"/>
      <c r="RF150" s="255"/>
      <c r="RG150" s="255"/>
      <c r="RH150" s="255"/>
      <c r="RI150" s="255"/>
      <c r="RJ150" s="255"/>
      <c r="RK150" s="255"/>
      <c r="RL150" s="255"/>
      <c r="RM150" s="255"/>
      <c r="RN150" s="255"/>
      <c r="RO150" s="255"/>
      <c r="RP150" s="255"/>
      <c r="RQ150" s="255"/>
      <c r="RR150" s="255"/>
      <c r="RS150" s="255"/>
      <c r="RT150" s="255"/>
      <c r="RU150" s="255"/>
      <c r="RV150" s="255"/>
      <c r="RW150" s="255"/>
      <c r="RX150" s="255"/>
      <c r="RY150" s="255"/>
      <c r="RZ150" s="255"/>
      <c r="SA150" s="255"/>
      <c r="SB150" s="255"/>
      <c r="SC150" s="255"/>
      <c r="SD150" s="255"/>
      <c r="SE150" s="255"/>
      <c r="SF150" s="255"/>
      <c r="SG150" s="255"/>
      <c r="SH150" s="255"/>
      <c r="SI150" s="255"/>
      <c r="SJ150" s="255"/>
      <c r="SK150" s="255"/>
      <c r="SL150" s="255"/>
      <c r="SM150" s="255"/>
      <c r="SN150" s="255"/>
      <c r="SO150" s="255"/>
      <c r="SP150" s="255"/>
      <c r="SQ150" s="255"/>
      <c r="SR150" s="255"/>
      <c r="SS150" s="255"/>
      <c r="ST150" s="255"/>
      <c r="SU150" s="255"/>
      <c r="SV150" s="255"/>
      <c r="SW150" s="255"/>
      <c r="SX150" s="255"/>
      <c r="SY150" s="255"/>
      <c r="SZ150" s="255"/>
      <c r="TA150" s="255"/>
      <c r="TB150" s="255"/>
      <c r="TC150" s="255"/>
      <c r="TD150" s="255"/>
      <c r="TE150" s="255"/>
      <c r="TF150" s="255"/>
      <c r="TG150" s="255"/>
      <c r="TH150" s="255"/>
      <c r="TI150" s="255"/>
      <c r="TJ150" s="255"/>
      <c r="TK150" s="255"/>
      <c r="TL150" s="255"/>
      <c r="TM150" s="255"/>
      <c r="TN150" s="255"/>
      <c r="TO150" s="255"/>
      <c r="TP150" s="255"/>
      <c r="TQ150" s="255"/>
      <c r="TR150" s="255"/>
      <c r="TS150" s="255"/>
      <c r="TT150" s="255"/>
      <c r="TU150" s="255"/>
      <c r="TV150" s="255"/>
      <c r="TW150" s="255"/>
      <c r="TX150" s="255"/>
      <c r="TY150" s="255"/>
      <c r="TZ150" s="255"/>
      <c r="UA150" s="255"/>
      <c r="UB150" s="255"/>
      <c r="UC150" s="255"/>
      <c r="UD150" s="255"/>
      <c r="UE150" s="255"/>
      <c r="UF150" s="255"/>
      <c r="UG150" s="255"/>
      <c r="UH150" s="255"/>
      <c r="UI150" s="255"/>
      <c r="UJ150" s="255"/>
      <c r="UK150" s="255"/>
      <c r="UL150" s="255"/>
      <c r="UM150" s="255"/>
      <c r="UN150" s="255"/>
      <c r="UO150" s="255"/>
      <c r="UP150" s="255"/>
      <c r="UQ150" s="255"/>
      <c r="UR150" s="255"/>
      <c r="US150" s="255"/>
      <c r="UT150" s="255"/>
      <c r="UU150" s="255"/>
      <c r="UV150" s="255"/>
      <c r="UW150" s="255"/>
      <c r="UX150" s="255"/>
      <c r="UY150" s="255"/>
      <c r="UZ150" s="255"/>
      <c r="VA150" s="255"/>
      <c r="VB150" s="255"/>
      <c r="VC150" s="255"/>
      <c r="VD150" s="255"/>
      <c r="VE150" s="255"/>
      <c r="VF150" s="255"/>
      <c r="VG150" s="255"/>
      <c r="VH150" s="255"/>
      <c r="VI150" s="255"/>
      <c r="VJ150" s="255"/>
      <c r="VK150" s="255"/>
      <c r="VL150" s="255"/>
      <c r="VM150" s="255"/>
      <c r="VN150" s="255"/>
      <c r="VO150" s="255"/>
      <c r="VP150" s="255"/>
      <c r="VQ150" s="255"/>
      <c r="VR150" s="255"/>
      <c r="VS150" s="255"/>
      <c r="VT150" s="255"/>
      <c r="VU150" s="255"/>
      <c r="VV150" s="255"/>
      <c r="VW150" s="255"/>
      <c r="VX150" s="255"/>
      <c r="VY150" s="255"/>
      <c r="VZ150" s="255"/>
      <c r="WA150" s="255"/>
      <c r="WB150" s="255"/>
      <c r="WC150" s="255"/>
      <c r="WD150" s="255"/>
      <c r="WE150" s="255"/>
      <c r="WF150" s="255"/>
      <c r="WG150" s="255"/>
      <c r="WH150" s="255"/>
      <c r="WI150" s="255"/>
      <c r="WJ150" s="255"/>
      <c r="WK150" s="255"/>
      <c r="WL150" s="255"/>
      <c r="WM150" s="255"/>
      <c r="WN150" s="255"/>
      <c r="WO150" s="255"/>
      <c r="WP150" s="255"/>
      <c r="WQ150" s="255"/>
      <c r="WR150" s="255"/>
      <c r="WS150" s="255"/>
      <c r="WT150" s="255"/>
      <c r="WU150" s="255"/>
      <c r="WV150" s="255"/>
      <c r="WW150" s="255"/>
      <c r="WX150" s="255"/>
      <c r="WY150" s="255"/>
      <c r="WZ150" s="255"/>
      <c r="XA150" s="255"/>
      <c r="XB150" s="255"/>
      <c r="XC150" s="255"/>
      <c r="XD150" s="255"/>
      <c r="XE150" s="255"/>
      <c r="XF150" s="255"/>
      <c r="XG150" s="255"/>
      <c r="XH150" s="255"/>
      <c r="XI150" s="255"/>
      <c r="XJ150" s="255"/>
      <c r="XK150" s="255"/>
      <c r="XL150" s="255"/>
      <c r="XM150" s="255"/>
      <c r="XN150" s="255"/>
      <c r="XO150" s="255"/>
      <c r="XP150" s="255"/>
      <c r="XQ150" s="255"/>
      <c r="XR150" s="255"/>
      <c r="XS150" s="255"/>
      <c r="XT150" s="255"/>
      <c r="XU150" s="255"/>
      <c r="XV150" s="255"/>
      <c r="XW150" s="255"/>
      <c r="XX150" s="255"/>
      <c r="XY150" s="255"/>
      <c r="XZ150" s="255"/>
      <c r="YA150" s="255"/>
      <c r="YB150" s="255"/>
      <c r="YC150" s="255"/>
      <c r="YD150" s="255"/>
      <c r="YE150" s="255"/>
      <c r="YF150" s="255"/>
      <c r="YG150" s="255"/>
      <c r="YH150" s="255"/>
      <c r="YI150" s="255"/>
      <c r="YJ150" s="255"/>
      <c r="YK150" s="255"/>
      <c r="YL150" s="255"/>
      <c r="YM150" s="255"/>
      <c r="YN150" s="255"/>
      <c r="YO150" s="255"/>
      <c r="YP150" s="255"/>
      <c r="YQ150" s="255"/>
      <c r="YR150" s="255"/>
      <c r="YS150" s="255"/>
      <c r="YT150" s="255"/>
      <c r="YU150" s="255"/>
      <c r="YV150" s="255"/>
      <c r="YW150" s="255"/>
      <c r="YX150" s="255"/>
      <c r="YY150" s="255"/>
      <c r="YZ150" s="255"/>
      <c r="ZA150" s="255"/>
      <c r="ZB150" s="255"/>
      <c r="ZC150" s="255"/>
      <c r="ZD150" s="255"/>
      <c r="ZE150" s="255"/>
      <c r="ZF150" s="255"/>
      <c r="ZG150" s="255"/>
      <c r="ZH150" s="255"/>
      <c r="ZI150" s="255"/>
      <c r="ZJ150" s="255"/>
      <c r="ZK150" s="255"/>
      <c r="ZL150" s="255"/>
      <c r="ZM150" s="255"/>
      <c r="ZN150" s="255"/>
      <c r="ZO150" s="255"/>
      <c r="ZP150" s="255"/>
      <c r="ZQ150" s="255"/>
      <c r="ZR150" s="255"/>
      <c r="ZS150" s="255"/>
      <c r="ZT150" s="255"/>
      <c r="ZU150" s="255"/>
      <c r="ZV150" s="255"/>
      <c r="ZW150" s="255"/>
      <c r="ZX150" s="255"/>
      <c r="ZY150" s="255"/>
      <c r="ZZ150" s="255"/>
      <c r="AAA150" s="255"/>
      <c r="AAB150" s="255"/>
      <c r="AAC150" s="255"/>
      <c r="AAD150" s="255"/>
      <c r="AAE150" s="255"/>
      <c r="AAF150" s="255"/>
      <c r="AAG150" s="255"/>
      <c r="AAH150" s="255"/>
      <c r="AAI150" s="255"/>
      <c r="AAJ150" s="255"/>
      <c r="AAK150" s="255"/>
      <c r="AAL150" s="255"/>
      <c r="AAM150" s="255"/>
      <c r="AAN150" s="255"/>
      <c r="AAO150" s="255"/>
      <c r="AAP150" s="255"/>
      <c r="AAQ150" s="255"/>
      <c r="AAR150" s="255"/>
      <c r="AAS150" s="255"/>
      <c r="AAT150" s="255"/>
      <c r="AAU150" s="255"/>
      <c r="AAV150" s="255"/>
      <c r="AAW150" s="255"/>
      <c r="AAX150" s="255"/>
      <c r="AAY150" s="255"/>
      <c r="AAZ150" s="255"/>
      <c r="ABA150" s="255"/>
      <c r="ABB150" s="255"/>
      <c r="ABC150" s="255"/>
      <c r="ABD150" s="255"/>
      <c r="ABE150" s="255"/>
      <c r="ABF150" s="255"/>
      <c r="ABG150" s="255"/>
      <c r="ABH150" s="255"/>
      <c r="ABI150" s="255"/>
      <c r="ABJ150" s="255"/>
      <c r="ABK150" s="255"/>
      <c r="ABL150" s="255"/>
      <c r="ABM150" s="255"/>
      <c r="ABN150" s="255"/>
      <c r="ABO150" s="255"/>
      <c r="ABP150" s="255"/>
      <c r="ABQ150" s="255"/>
      <c r="ABR150" s="255"/>
      <c r="ABS150" s="255"/>
      <c r="ABT150" s="255"/>
      <c r="ABU150" s="255"/>
      <c r="ABV150" s="255"/>
      <c r="ABW150" s="255"/>
      <c r="ABX150" s="255"/>
      <c r="ABY150" s="255"/>
      <c r="ABZ150" s="255"/>
      <c r="ACA150" s="255"/>
      <c r="ACB150" s="255"/>
      <c r="ACC150" s="255"/>
      <c r="ACD150" s="255"/>
      <c r="ACE150" s="255"/>
      <c r="ACF150" s="255"/>
      <c r="ACG150" s="255"/>
      <c r="ACH150" s="255"/>
      <c r="ACI150" s="255"/>
      <c r="ACJ150" s="255"/>
      <c r="ACK150" s="255"/>
      <c r="ACL150" s="255"/>
      <c r="ACM150" s="255"/>
      <c r="ACN150" s="255"/>
      <c r="ACO150" s="255"/>
      <c r="ACP150" s="255"/>
      <c r="ACQ150" s="255"/>
      <c r="ACR150" s="255"/>
      <c r="ACS150" s="255"/>
      <c r="ACT150" s="255"/>
      <c r="ACU150" s="255"/>
      <c r="ACV150" s="255"/>
      <c r="ACW150" s="255"/>
      <c r="ACX150" s="255"/>
      <c r="ACY150" s="255"/>
      <c r="ACZ150" s="255"/>
      <c r="ADA150" s="255"/>
      <c r="ADB150" s="255"/>
      <c r="ADC150" s="255"/>
      <c r="ADD150" s="255"/>
      <c r="ADE150" s="255"/>
      <c r="ADF150" s="255"/>
      <c r="ADG150" s="255"/>
      <c r="ADH150" s="255"/>
      <c r="ADI150" s="255"/>
      <c r="ADJ150" s="255"/>
      <c r="ADK150" s="255"/>
      <c r="ADL150" s="255"/>
      <c r="ADM150" s="255"/>
      <c r="ADN150" s="255"/>
      <c r="ADO150" s="255"/>
      <c r="ADP150" s="255"/>
      <c r="ADQ150" s="255"/>
      <c r="ADR150" s="255"/>
      <c r="ADS150" s="255"/>
      <c r="ADT150" s="255"/>
      <c r="ADU150" s="255"/>
      <c r="ADV150" s="255"/>
      <c r="ADW150" s="255"/>
      <c r="ADX150" s="255"/>
      <c r="ADY150" s="255"/>
      <c r="ADZ150" s="255"/>
      <c r="AEA150" s="255"/>
      <c r="AEB150" s="255"/>
      <c r="AEC150" s="255"/>
      <c r="AED150" s="255"/>
      <c r="AEE150" s="255"/>
      <c r="AEF150" s="255"/>
      <c r="AEG150" s="255"/>
      <c r="AEH150" s="255"/>
      <c r="AEI150" s="255"/>
      <c r="AEJ150" s="255"/>
      <c r="AEK150" s="255"/>
      <c r="AEL150" s="255"/>
      <c r="AEM150" s="255"/>
      <c r="AEN150" s="255"/>
      <c r="AEO150" s="255"/>
      <c r="AEP150" s="255"/>
      <c r="AEQ150" s="255"/>
      <c r="AER150" s="255"/>
      <c r="AES150" s="255"/>
      <c r="AET150" s="255"/>
      <c r="AEU150" s="255"/>
      <c r="AEV150" s="255"/>
      <c r="AEW150" s="255"/>
      <c r="AEX150" s="255"/>
      <c r="AEY150" s="255"/>
      <c r="AEZ150" s="255"/>
      <c r="AFA150" s="255"/>
      <c r="AFB150" s="255"/>
      <c r="AFC150" s="255"/>
      <c r="AFD150" s="255"/>
      <c r="AFE150" s="255"/>
      <c r="AFF150" s="255"/>
      <c r="AFG150" s="255"/>
      <c r="AFH150" s="255"/>
      <c r="AFI150" s="255"/>
      <c r="AFJ150" s="255"/>
      <c r="AFK150" s="255"/>
      <c r="AFL150" s="255"/>
      <c r="AFM150" s="255"/>
      <c r="AFN150" s="255"/>
      <c r="AFO150" s="255"/>
      <c r="AFP150" s="255"/>
      <c r="AFQ150" s="255"/>
      <c r="AFR150" s="255"/>
      <c r="AFS150" s="255"/>
      <c r="AFT150" s="255"/>
      <c r="AFU150" s="255"/>
      <c r="AFV150" s="255"/>
      <c r="AFW150" s="255"/>
      <c r="AFX150" s="255"/>
      <c r="AFY150" s="255"/>
      <c r="AFZ150" s="255"/>
      <c r="AGA150" s="255"/>
      <c r="AGB150" s="255"/>
      <c r="AGC150" s="255"/>
      <c r="AGD150" s="255"/>
      <c r="AGE150" s="255"/>
      <c r="AGF150" s="255"/>
      <c r="AGG150" s="255"/>
      <c r="AGH150" s="255"/>
      <c r="AGI150" s="255"/>
      <c r="AGJ150" s="255"/>
      <c r="AGK150" s="255"/>
      <c r="AGL150" s="255"/>
      <c r="AGM150" s="255"/>
      <c r="AGN150" s="255"/>
      <c r="AGO150" s="255"/>
      <c r="AGP150" s="255"/>
      <c r="AGQ150" s="255"/>
      <c r="AGR150" s="255"/>
      <c r="AGS150" s="255"/>
      <c r="AGT150" s="255"/>
      <c r="AGU150" s="255"/>
      <c r="AGV150" s="255"/>
      <c r="AGW150" s="255"/>
      <c r="AGX150" s="255"/>
      <c r="AGY150" s="255"/>
      <c r="AGZ150" s="255"/>
      <c r="AHA150" s="255"/>
      <c r="AHB150" s="255"/>
      <c r="AHC150" s="255"/>
      <c r="AHD150" s="255"/>
      <c r="AHE150" s="255"/>
      <c r="AHF150" s="255"/>
      <c r="AHG150" s="255"/>
      <c r="AHH150" s="255"/>
      <c r="AHI150" s="255"/>
      <c r="AHJ150" s="255"/>
      <c r="AHK150" s="255"/>
      <c r="AHL150" s="255"/>
      <c r="AHM150" s="255"/>
      <c r="AHN150" s="255"/>
      <c r="AHO150" s="255"/>
      <c r="AHP150" s="255"/>
      <c r="AHQ150" s="255"/>
      <c r="AHR150" s="255"/>
      <c r="AHS150" s="255"/>
      <c r="AHT150" s="255"/>
      <c r="AHU150" s="255"/>
      <c r="AHV150" s="255"/>
      <c r="AHW150" s="255"/>
      <c r="AHX150" s="255"/>
      <c r="AHY150" s="255"/>
      <c r="AHZ150" s="255"/>
      <c r="AIA150" s="255"/>
      <c r="AIB150" s="255"/>
      <c r="AIC150" s="255"/>
      <c r="AID150" s="255"/>
      <c r="AIE150" s="255"/>
      <c r="AIF150" s="255"/>
      <c r="AIG150" s="255"/>
      <c r="AIH150" s="255"/>
      <c r="AII150" s="255"/>
      <c r="AIJ150" s="255"/>
      <c r="AIK150" s="255"/>
      <c r="AIL150" s="255"/>
      <c r="AIM150" s="255"/>
      <c r="AIN150" s="255"/>
      <c r="AIO150" s="255"/>
      <c r="AIP150" s="255"/>
      <c r="AIQ150" s="255"/>
      <c r="AIR150" s="255"/>
      <c r="AIS150" s="255"/>
      <c r="AIT150" s="255"/>
      <c r="AIU150" s="255"/>
      <c r="AIV150" s="255"/>
      <c r="AIW150" s="255"/>
      <c r="AIX150" s="255"/>
      <c r="AIY150" s="255"/>
      <c r="AIZ150" s="255"/>
      <c r="AJA150" s="255"/>
      <c r="AJB150" s="255"/>
      <c r="AJC150" s="255"/>
      <c r="AJD150" s="255"/>
      <c r="AJE150" s="255"/>
      <c r="AJF150" s="255"/>
      <c r="AJG150" s="255"/>
      <c r="AJH150" s="255"/>
      <c r="AJI150" s="255"/>
      <c r="AJJ150" s="255"/>
      <c r="AJK150" s="255"/>
      <c r="AJL150" s="255"/>
      <c r="AJM150" s="255"/>
      <c r="AJN150" s="255"/>
      <c r="AJO150" s="255"/>
      <c r="AJP150" s="255"/>
      <c r="AJQ150" s="255"/>
      <c r="AJR150" s="255"/>
      <c r="AJS150" s="255"/>
      <c r="AJT150" s="255"/>
      <c r="AJU150" s="255"/>
      <c r="AJV150" s="255"/>
      <c r="AJW150" s="255"/>
      <c r="AJX150" s="255"/>
      <c r="AJY150" s="255"/>
      <c r="AJZ150" s="255"/>
      <c r="AKA150" s="255"/>
      <c r="AKB150" s="255"/>
      <c r="AKC150" s="255"/>
      <c r="AKD150" s="255"/>
      <c r="AKE150" s="255"/>
      <c r="AKF150" s="255"/>
      <c r="AKG150" s="255"/>
      <c r="AKH150" s="255"/>
      <c r="AKI150" s="255"/>
      <c r="AKJ150" s="255"/>
      <c r="AKK150" s="255"/>
      <c r="AKL150" s="255"/>
      <c r="AKM150" s="255"/>
      <c r="AKN150" s="255"/>
      <c r="AKO150" s="255"/>
      <c r="AKP150" s="255"/>
      <c r="AKQ150" s="255"/>
      <c r="AKR150" s="255"/>
      <c r="AKS150" s="255"/>
      <c r="AKT150" s="255"/>
      <c r="AKU150" s="255"/>
      <c r="AKV150" s="255"/>
      <c r="AKW150" s="255"/>
      <c r="AKX150" s="255"/>
      <c r="AKY150" s="255"/>
      <c r="AKZ150" s="255"/>
      <c r="ALA150" s="255"/>
      <c r="ALB150" s="255"/>
      <c r="ALC150" s="255"/>
      <c r="ALD150" s="255"/>
      <c r="ALE150" s="255"/>
      <c r="ALF150" s="255"/>
      <c r="ALG150" s="255"/>
      <c r="ALH150" s="255"/>
      <c r="ALI150" s="255"/>
      <c r="ALJ150" s="255"/>
      <c r="ALK150" s="255"/>
      <c r="ALL150" s="255"/>
      <c r="ALM150" s="255"/>
      <c r="ALN150" s="255"/>
      <c r="ALO150" s="255"/>
      <c r="ALP150" s="255"/>
      <c r="ALQ150" s="255"/>
      <c r="ALR150" s="255"/>
    </row>
    <row r="151" spans="1:1006" s="191" customFormat="1" ht="24">
      <c r="A151" s="251" t="s">
        <v>7</v>
      </c>
      <c r="B151" s="290">
        <v>88485</v>
      </c>
      <c r="C151" s="282" t="str">
        <f>(IF($A151="SINAPI",INDEX(SINAPI_NOV2020_NDES!$A$7:$H$6703,MATCH($B151,SINAPI_NOV2020_NDES!$A$7:$A$6703,0),2),IF($A151="GOINFRA",INDEX(#REF!,MATCH($B151,#REF!,0),2),(INDEX(COMPOS!$A$4:$G$390,MATCH($B151,COMPOS!$A$4:A$390,0),2)))))</f>
        <v>APLICAÇÃO DE FUNDO SELADOR ACRÍLICO EM PAREDES, UMA DEMÃO. AF_06/2014</v>
      </c>
      <c r="D151" s="274" t="str">
        <f>(IF($A151="SINAPI",INDEX(SINAPI_NOV2020_NDES!$A$7:$H$6790,MATCH($B151,SINAPI_NOV2020_NDES!$A$7:$A$6790,0),3),(INDEX(COMPOS!$A$4:$G$5000,MATCH($B151,COMPOS!$A$4:$A$5000,0),3))))</f>
        <v>M2</v>
      </c>
      <c r="E151" s="276">
        <v>241.56</v>
      </c>
      <c r="F151" s="303">
        <f>(IF($A151="SINAPI",INDEX(SINAPI_NOV2020_NDES!$A$7:$H$6703,MATCH($B151,SINAPI_NOV2020_NDES!$A$7:$A$6703,0),5),(INDEX(COMPOS!$A$4:$G$801,MATCH($B151,COMPOS!$A$4:A$801,0),4))))</f>
        <v>0.81</v>
      </c>
      <c r="G151" s="314">
        <f>(IF($A151="SINAPI",INDEX(SINAPI_NOV2020_NDES!$A$7:$H$6703,MATCH($B151,SINAPI_NOV2020_NDES!$A$7:$A$6703,0),6),(INDEX(COMPOS!$A$4:$G$801,MATCH($B151,COMPOS!$A$4:A$801,0),5))))</f>
        <v>1.43</v>
      </c>
      <c r="H151" s="315">
        <f>(IF($A151="SINAPI",INDEX(SINAPI_NOV2020_NDES!$A$7:$H$6703,MATCH($B151,SINAPI_NOV2020_NDES!$A$7:$A$6703,0),7),(INDEX(COMPOS!$A$4:$G$801,MATCH($B151,COMPOS!$A$4:A$801,0),6))))</f>
        <v>0</v>
      </c>
      <c r="I151" s="315">
        <f t="shared" si="38"/>
        <v>2.2400000000000002</v>
      </c>
      <c r="J151" s="280">
        <f t="shared" si="39"/>
        <v>541.09440000000006</v>
      </c>
      <c r="K151" s="255"/>
      <c r="L151" s="255"/>
      <c r="M151" s="255"/>
      <c r="N151" s="255"/>
      <c r="O151" s="257"/>
      <c r="P151" s="257"/>
      <c r="Q151" s="255"/>
      <c r="R151" s="255"/>
      <c r="S151" s="255"/>
      <c r="T151" s="255"/>
      <c r="U151" s="255"/>
      <c r="V151" s="255"/>
      <c r="W151" s="255"/>
      <c r="X151" s="255"/>
      <c r="Y151" s="255"/>
      <c r="Z151" s="255"/>
      <c r="AA151" s="255"/>
      <c r="AB151" s="255"/>
      <c r="AC151" s="255"/>
      <c r="AD151" s="255"/>
      <c r="AE151" s="255"/>
      <c r="AF151" s="255"/>
      <c r="AG151" s="255"/>
      <c r="AH151" s="255"/>
      <c r="AI151" s="255"/>
      <c r="AJ151" s="255"/>
      <c r="AK151" s="255"/>
      <c r="AL151" s="255"/>
      <c r="AM151" s="255"/>
      <c r="AN151" s="255"/>
      <c r="AO151" s="255"/>
      <c r="AP151" s="255"/>
      <c r="AQ151" s="255"/>
      <c r="AR151" s="255"/>
      <c r="AS151" s="255"/>
      <c r="AT151" s="255"/>
      <c r="AU151" s="255"/>
      <c r="AV151" s="255"/>
      <c r="AW151" s="255"/>
      <c r="AX151" s="255"/>
      <c r="AY151" s="255"/>
      <c r="AZ151" s="255"/>
      <c r="BA151" s="255"/>
      <c r="BB151" s="255"/>
      <c r="BC151" s="255"/>
      <c r="BD151" s="255"/>
      <c r="BE151" s="255"/>
      <c r="BF151" s="255"/>
      <c r="BG151" s="255"/>
      <c r="BH151" s="255"/>
      <c r="BI151" s="255"/>
      <c r="BJ151" s="255"/>
      <c r="BK151" s="255"/>
      <c r="BL151" s="255"/>
      <c r="BM151" s="255"/>
      <c r="BN151" s="255"/>
      <c r="BO151" s="255"/>
      <c r="BP151" s="255"/>
      <c r="BQ151" s="255"/>
      <c r="BR151" s="255"/>
      <c r="BS151" s="255"/>
      <c r="BT151" s="255"/>
      <c r="BU151" s="255"/>
      <c r="BV151" s="255"/>
      <c r="BW151" s="255"/>
      <c r="BX151" s="255"/>
      <c r="BY151" s="255"/>
      <c r="BZ151" s="255"/>
      <c r="CA151" s="255"/>
      <c r="CB151" s="255"/>
      <c r="CC151" s="255"/>
      <c r="CD151" s="255"/>
      <c r="CE151" s="255"/>
      <c r="CF151" s="255"/>
      <c r="CG151" s="255"/>
      <c r="CH151" s="255"/>
      <c r="CI151" s="255"/>
      <c r="CJ151" s="255"/>
      <c r="CK151" s="255"/>
      <c r="CL151" s="255"/>
      <c r="CM151" s="255"/>
      <c r="CN151" s="255"/>
      <c r="CO151" s="255"/>
      <c r="CP151" s="255"/>
      <c r="CQ151" s="255"/>
      <c r="CR151" s="255"/>
      <c r="CS151" s="255"/>
      <c r="CT151" s="255"/>
      <c r="CU151" s="255"/>
      <c r="CV151" s="255"/>
      <c r="CW151" s="255"/>
      <c r="CX151" s="255"/>
      <c r="CY151" s="255"/>
      <c r="CZ151" s="255"/>
      <c r="DA151" s="255"/>
      <c r="DB151" s="255"/>
      <c r="DC151" s="255"/>
      <c r="DD151" s="255"/>
      <c r="DE151" s="255"/>
      <c r="DF151" s="255"/>
      <c r="DG151" s="255"/>
      <c r="DH151" s="255"/>
      <c r="DI151" s="255"/>
      <c r="DJ151" s="255"/>
      <c r="DK151" s="255"/>
      <c r="DL151" s="255"/>
      <c r="DM151" s="255"/>
      <c r="DN151" s="255"/>
      <c r="DO151" s="255"/>
      <c r="DP151" s="255"/>
      <c r="DQ151" s="255"/>
      <c r="DR151" s="255"/>
      <c r="DS151" s="255"/>
      <c r="DT151" s="255"/>
      <c r="DU151" s="255"/>
      <c r="DV151" s="255"/>
      <c r="DW151" s="255"/>
      <c r="DX151" s="255"/>
      <c r="DY151" s="255"/>
      <c r="DZ151" s="255"/>
      <c r="EA151" s="255"/>
      <c r="EB151" s="255"/>
      <c r="EC151" s="255"/>
      <c r="ED151" s="255"/>
      <c r="EE151" s="255"/>
      <c r="EF151" s="255"/>
      <c r="EG151" s="255"/>
      <c r="EH151" s="255"/>
      <c r="EI151" s="255"/>
      <c r="EJ151" s="255"/>
      <c r="EK151" s="255"/>
      <c r="EL151" s="255"/>
      <c r="EM151" s="255"/>
      <c r="EN151" s="255"/>
      <c r="EO151" s="255"/>
      <c r="EP151" s="255"/>
      <c r="EQ151" s="255"/>
      <c r="ER151" s="255"/>
      <c r="ES151" s="255"/>
      <c r="ET151" s="255"/>
      <c r="EU151" s="255"/>
      <c r="EV151" s="255"/>
      <c r="EW151" s="255"/>
      <c r="EX151" s="255"/>
      <c r="EY151" s="255"/>
      <c r="EZ151" s="255"/>
      <c r="FA151" s="255"/>
      <c r="FB151" s="255"/>
      <c r="FC151" s="255"/>
      <c r="FD151" s="255"/>
      <c r="FE151" s="255"/>
      <c r="FF151" s="255"/>
      <c r="FG151" s="255"/>
      <c r="FH151" s="255"/>
      <c r="FI151" s="255"/>
      <c r="FJ151" s="255"/>
      <c r="FK151" s="255"/>
      <c r="FL151" s="255"/>
      <c r="FM151" s="255"/>
      <c r="FN151" s="255"/>
      <c r="FO151" s="255"/>
      <c r="FP151" s="255"/>
      <c r="FQ151" s="255"/>
      <c r="FR151" s="255"/>
      <c r="FS151" s="255"/>
      <c r="FT151" s="255"/>
      <c r="FU151" s="255"/>
      <c r="FV151" s="255"/>
      <c r="FW151" s="255"/>
      <c r="FX151" s="255"/>
      <c r="FY151" s="255"/>
      <c r="FZ151" s="255"/>
      <c r="GA151" s="255"/>
      <c r="GB151" s="255"/>
      <c r="GC151" s="255"/>
      <c r="GD151" s="255"/>
      <c r="GE151" s="255"/>
      <c r="GF151" s="255"/>
      <c r="GG151" s="255"/>
      <c r="GH151" s="255"/>
      <c r="GI151" s="255"/>
      <c r="GJ151" s="255"/>
      <c r="GK151" s="255"/>
      <c r="GL151" s="255"/>
      <c r="GM151" s="255"/>
      <c r="GN151" s="255"/>
      <c r="GO151" s="255"/>
      <c r="GP151" s="255"/>
      <c r="GQ151" s="255"/>
      <c r="GR151" s="255"/>
      <c r="GS151" s="255"/>
      <c r="GT151" s="255"/>
      <c r="GU151" s="255"/>
      <c r="GV151" s="255"/>
      <c r="GW151" s="255"/>
      <c r="GX151" s="255"/>
      <c r="GY151" s="255"/>
      <c r="GZ151" s="255"/>
      <c r="HA151" s="255"/>
      <c r="HB151" s="255"/>
      <c r="HC151" s="255"/>
      <c r="HD151" s="255"/>
      <c r="HE151" s="255"/>
      <c r="HF151" s="255"/>
      <c r="HG151" s="255"/>
      <c r="HH151" s="255"/>
      <c r="HI151" s="255"/>
      <c r="HJ151" s="255"/>
      <c r="HK151" s="255"/>
      <c r="HL151" s="255"/>
      <c r="HM151" s="255"/>
      <c r="HN151" s="255"/>
      <c r="HO151" s="255"/>
      <c r="HP151" s="255"/>
      <c r="HQ151" s="255"/>
      <c r="HR151" s="255"/>
      <c r="HS151" s="255"/>
      <c r="HT151" s="255"/>
      <c r="HU151" s="255"/>
      <c r="HV151" s="255"/>
      <c r="HW151" s="255"/>
      <c r="HX151" s="255"/>
      <c r="HY151" s="255"/>
      <c r="HZ151" s="255"/>
      <c r="IA151" s="255"/>
      <c r="IB151" s="255"/>
      <c r="IC151" s="255"/>
      <c r="ID151" s="255"/>
      <c r="IE151" s="255"/>
      <c r="IF151" s="255"/>
      <c r="IG151" s="255"/>
      <c r="IH151" s="255"/>
      <c r="II151" s="255"/>
      <c r="IJ151" s="255"/>
      <c r="IK151" s="255"/>
      <c r="IL151" s="255"/>
      <c r="IM151" s="255"/>
      <c r="IN151" s="255"/>
      <c r="IO151" s="255"/>
      <c r="IP151" s="255"/>
      <c r="IQ151" s="255"/>
      <c r="IR151" s="255"/>
      <c r="IS151" s="255"/>
      <c r="IT151" s="255"/>
      <c r="IU151" s="255"/>
      <c r="IV151" s="255"/>
      <c r="IW151" s="255"/>
      <c r="IX151" s="255"/>
      <c r="IY151" s="255"/>
      <c r="IZ151" s="255"/>
      <c r="JA151" s="255"/>
      <c r="JB151" s="255"/>
      <c r="JC151" s="255"/>
      <c r="JD151" s="255"/>
      <c r="JE151" s="255"/>
      <c r="JF151" s="255"/>
      <c r="JG151" s="255"/>
      <c r="JH151" s="255"/>
      <c r="JI151" s="255"/>
      <c r="JJ151" s="255"/>
      <c r="JK151" s="255"/>
      <c r="JL151" s="255"/>
      <c r="JM151" s="255"/>
      <c r="JN151" s="255"/>
      <c r="JO151" s="255"/>
      <c r="JP151" s="255"/>
      <c r="JQ151" s="255"/>
      <c r="JR151" s="255"/>
      <c r="JS151" s="255"/>
      <c r="JT151" s="255"/>
      <c r="JU151" s="255"/>
      <c r="JV151" s="255"/>
      <c r="JW151" s="255"/>
      <c r="JX151" s="255"/>
      <c r="JY151" s="255"/>
      <c r="JZ151" s="255"/>
      <c r="KA151" s="255"/>
      <c r="KB151" s="255"/>
      <c r="KC151" s="255"/>
      <c r="KD151" s="255"/>
      <c r="KE151" s="255"/>
      <c r="KF151" s="255"/>
      <c r="KG151" s="255"/>
      <c r="KH151" s="255"/>
      <c r="KI151" s="255"/>
      <c r="KJ151" s="255"/>
      <c r="KK151" s="255"/>
      <c r="KL151" s="255"/>
      <c r="KM151" s="255"/>
      <c r="KN151" s="255"/>
      <c r="KO151" s="255"/>
      <c r="KP151" s="255"/>
      <c r="KQ151" s="255"/>
      <c r="KR151" s="255"/>
      <c r="KS151" s="255"/>
      <c r="KT151" s="255"/>
      <c r="KU151" s="255"/>
      <c r="KV151" s="255"/>
      <c r="KW151" s="255"/>
      <c r="KX151" s="255"/>
      <c r="KY151" s="255"/>
      <c r="KZ151" s="255"/>
      <c r="LA151" s="255"/>
      <c r="LB151" s="255"/>
      <c r="LC151" s="255"/>
      <c r="LD151" s="255"/>
      <c r="LE151" s="255"/>
      <c r="LF151" s="255"/>
      <c r="LG151" s="255"/>
      <c r="LH151" s="255"/>
      <c r="LI151" s="255"/>
      <c r="LJ151" s="255"/>
      <c r="LK151" s="255"/>
      <c r="LL151" s="255"/>
      <c r="LM151" s="255"/>
      <c r="LN151" s="255"/>
      <c r="LO151" s="255"/>
      <c r="LP151" s="255"/>
      <c r="LQ151" s="255"/>
      <c r="LR151" s="255"/>
      <c r="LS151" s="255"/>
      <c r="LT151" s="255"/>
      <c r="LU151" s="255"/>
      <c r="LV151" s="255"/>
      <c r="LW151" s="255"/>
      <c r="LX151" s="255"/>
      <c r="LY151" s="255"/>
      <c r="LZ151" s="255"/>
      <c r="MA151" s="255"/>
      <c r="MB151" s="255"/>
      <c r="MC151" s="255"/>
      <c r="MD151" s="255"/>
      <c r="ME151" s="255"/>
      <c r="MF151" s="255"/>
      <c r="MG151" s="255"/>
      <c r="MH151" s="255"/>
      <c r="MI151" s="255"/>
      <c r="MJ151" s="255"/>
      <c r="MK151" s="255"/>
      <c r="ML151" s="255"/>
      <c r="MM151" s="255"/>
      <c r="MN151" s="255"/>
      <c r="MO151" s="255"/>
      <c r="MP151" s="255"/>
      <c r="MQ151" s="255"/>
      <c r="MR151" s="255"/>
      <c r="MS151" s="255"/>
      <c r="MT151" s="255"/>
      <c r="MU151" s="255"/>
      <c r="MV151" s="255"/>
      <c r="MW151" s="255"/>
      <c r="MX151" s="255"/>
      <c r="MY151" s="255"/>
      <c r="MZ151" s="255"/>
      <c r="NA151" s="255"/>
      <c r="NB151" s="255"/>
      <c r="NC151" s="255"/>
      <c r="ND151" s="255"/>
      <c r="NE151" s="255"/>
      <c r="NF151" s="255"/>
      <c r="NG151" s="255"/>
      <c r="NH151" s="255"/>
      <c r="NI151" s="255"/>
      <c r="NJ151" s="255"/>
      <c r="NK151" s="255"/>
      <c r="NL151" s="255"/>
      <c r="NM151" s="255"/>
      <c r="NN151" s="255"/>
      <c r="NO151" s="255"/>
      <c r="NP151" s="255"/>
      <c r="NQ151" s="255"/>
      <c r="NR151" s="255"/>
      <c r="NS151" s="255"/>
      <c r="NT151" s="255"/>
      <c r="NU151" s="255"/>
      <c r="NV151" s="255"/>
      <c r="NW151" s="255"/>
      <c r="NX151" s="255"/>
      <c r="NY151" s="255"/>
      <c r="NZ151" s="255"/>
      <c r="OA151" s="255"/>
      <c r="OB151" s="255"/>
      <c r="OC151" s="255"/>
      <c r="OD151" s="255"/>
      <c r="OE151" s="255"/>
      <c r="OF151" s="255"/>
      <c r="OG151" s="255"/>
      <c r="OH151" s="255"/>
      <c r="OI151" s="255"/>
      <c r="OJ151" s="255"/>
      <c r="OK151" s="255"/>
      <c r="OL151" s="255"/>
      <c r="OM151" s="255"/>
      <c r="ON151" s="255"/>
      <c r="OO151" s="255"/>
      <c r="OP151" s="255"/>
      <c r="OQ151" s="255"/>
      <c r="OR151" s="255"/>
      <c r="OS151" s="255"/>
      <c r="OT151" s="255"/>
      <c r="OU151" s="255"/>
      <c r="OV151" s="255"/>
      <c r="OW151" s="255"/>
      <c r="OX151" s="255"/>
      <c r="OY151" s="255"/>
      <c r="OZ151" s="255"/>
      <c r="PA151" s="255"/>
      <c r="PB151" s="255"/>
      <c r="PC151" s="255"/>
      <c r="PD151" s="255"/>
      <c r="PE151" s="255"/>
      <c r="PF151" s="255"/>
      <c r="PG151" s="255"/>
      <c r="PH151" s="255"/>
      <c r="PI151" s="255"/>
      <c r="PJ151" s="255"/>
      <c r="PK151" s="255"/>
      <c r="PL151" s="255"/>
      <c r="PM151" s="255"/>
      <c r="PN151" s="255"/>
      <c r="PO151" s="255"/>
      <c r="PP151" s="255"/>
      <c r="PQ151" s="255"/>
      <c r="PR151" s="255"/>
      <c r="PS151" s="255"/>
      <c r="PT151" s="255"/>
      <c r="PU151" s="255"/>
      <c r="PV151" s="255"/>
      <c r="PW151" s="255"/>
      <c r="PX151" s="255"/>
      <c r="PY151" s="255"/>
      <c r="PZ151" s="255"/>
      <c r="QA151" s="255"/>
      <c r="QB151" s="255"/>
      <c r="QC151" s="255"/>
      <c r="QD151" s="255"/>
      <c r="QE151" s="255"/>
      <c r="QF151" s="255"/>
      <c r="QG151" s="255"/>
      <c r="QH151" s="255"/>
      <c r="QI151" s="255"/>
      <c r="QJ151" s="255"/>
      <c r="QK151" s="255"/>
      <c r="QL151" s="255"/>
      <c r="QM151" s="255"/>
      <c r="QN151" s="255"/>
      <c r="QO151" s="255"/>
      <c r="QP151" s="255"/>
      <c r="QQ151" s="255"/>
      <c r="QR151" s="255"/>
      <c r="QS151" s="255"/>
      <c r="QT151" s="255"/>
      <c r="QU151" s="255"/>
      <c r="QV151" s="255"/>
      <c r="QW151" s="255"/>
      <c r="QX151" s="255"/>
      <c r="QY151" s="255"/>
      <c r="QZ151" s="255"/>
      <c r="RA151" s="255"/>
      <c r="RB151" s="255"/>
      <c r="RC151" s="255"/>
      <c r="RD151" s="255"/>
      <c r="RE151" s="255"/>
      <c r="RF151" s="255"/>
      <c r="RG151" s="255"/>
      <c r="RH151" s="255"/>
      <c r="RI151" s="255"/>
      <c r="RJ151" s="255"/>
      <c r="RK151" s="255"/>
      <c r="RL151" s="255"/>
      <c r="RM151" s="255"/>
      <c r="RN151" s="255"/>
      <c r="RO151" s="255"/>
      <c r="RP151" s="255"/>
      <c r="RQ151" s="255"/>
      <c r="RR151" s="255"/>
      <c r="RS151" s="255"/>
      <c r="RT151" s="255"/>
      <c r="RU151" s="255"/>
      <c r="RV151" s="255"/>
      <c r="RW151" s="255"/>
      <c r="RX151" s="255"/>
      <c r="RY151" s="255"/>
      <c r="RZ151" s="255"/>
      <c r="SA151" s="255"/>
      <c r="SB151" s="255"/>
      <c r="SC151" s="255"/>
      <c r="SD151" s="255"/>
      <c r="SE151" s="255"/>
      <c r="SF151" s="255"/>
      <c r="SG151" s="255"/>
      <c r="SH151" s="255"/>
      <c r="SI151" s="255"/>
      <c r="SJ151" s="255"/>
      <c r="SK151" s="255"/>
      <c r="SL151" s="255"/>
      <c r="SM151" s="255"/>
      <c r="SN151" s="255"/>
      <c r="SO151" s="255"/>
      <c r="SP151" s="255"/>
      <c r="SQ151" s="255"/>
      <c r="SR151" s="255"/>
      <c r="SS151" s="255"/>
      <c r="ST151" s="255"/>
      <c r="SU151" s="255"/>
      <c r="SV151" s="255"/>
      <c r="SW151" s="255"/>
      <c r="SX151" s="255"/>
      <c r="SY151" s="255"/>
      <c r="SZ151" s="255"/>
      <c r="TA151" s="255"/>
      <c r="TB151" s="255"/>
      <c r="TC151" s="255"/>
      <c r="TD151" s="255"/>
      <c r="TE151" s="255"/>
      <c r="TF151" s="255"/>
      <c r="TG151" s="255"/>
      <c r="TH151" s="255"/>
      <c r="TI151" s="255"/>
      <c r="TJ151" s="255"/>
      <c r="TK151" s="255"/>
      <c r="TL151" s="255"/>
      <c r="TM151" s="255"/>
      <c r="TN151" s="255"/>
      <c r="TO151" s="255"/>
      <c r="TP151" s="255"/>
      <c r="TQ151" s="255"/>
      <c r="TR151" s="255"/>
      <c r="TS151" s="255"/>
      <c r="TT151" s="255"/>
      <c r="TU151" s="255"/>
      <c r="TV151" s="255"/>
      <c r="TW151" s="255"/>
      <c r="TX151" s="255"/>
      <c r="TY151" s="255"/>
      <c r="TZ151" s="255"/>
      <c r="UA151" s="255"/>
      <c r="UB151" s="255"/>
      <c r="UC151" s="255"/>
      <c r="UD151" s="255"/>
      <c r="UE151" s="255"/>
      <c r="UF151" s="255"/>
      <c r="UG151" s="255"/>
      <c r="UH151" s="255"/>
      <c r="UI151" s="255"/>
      <c r="UJ151" s="255"/>
      <c r="UK151" s="255"/>
      <c r="UL151" s="255"/>
      <c r="UM151" s="255"/>
      <c r="UN151" s="255"/>
      <c r="UO151" s="255"/>
      <c r="UP151" s="255"/>
      <c r="UQ151" s="255"/>
      <c r="UR151" s="255"/>
      <c r="US151" s="255"/>
      <c r="UT151" s="255"/>
      <c r="UU151" s="255"/>
      <c r="UV151" s="255"/>
      <c r="UW151" s="255"/>
      <c r="UX151" s="255"/>
      <c r="UY151" s="255"/>
      <c r="UZ151" s="255"/>
      <c r="VA151" s="255"/>
      <c r="VB151" s="255"/>
      <c r="VC151" s="255"/>
      <c r="VD151" s="255"/>
      <c r="VE151" s="255"/>
      <c r="VF151" s="255"/>
      <c r="VG151" s="255"/>
      <c r="VH151" s="255"/>
      <c r="VI151" s="255"/>
      <c r="VJ151" s="255"/>
      <c r="VK151" s="255"/>
      <c r="VL151" s="255"/>
      <c r="VM151" s="255"/>
      <c r="VN151" s="255"/>
      <c r="VO151" s="255"/>
      <c r="VP151" s="255"/>
      <c r="VQ151" s="255"/>
      <c r="VR151" s="255"/>
      <c r="VS151" s="255"/>
      <c r="VT151" s="255"/>
      <c r="VU151" s="255"/>
      <c r="VV151" s="255"/>
      <c r="VW151" s="255"/>
      <c r="VX151" s="255"/>
      <c r="VY151" s="255"/>
      <c r="VZ151" s="255"/>
      <c r="WA151" s="255"/>
      <c r="WB151" s="255"/>
      <c r="WC151" s="255"/>
      <c r="WD151" s="255"/>
      <c r="WE151" s="255"/>
      <c r="WF151" s="255"/>
      <c r="WG151" s="255"/>
      <c r="WH151" s="255"/>
      <c r="WI151" s="255"/>
      <c r="WJ151" s="255"/>
      <c r="WK151" s="255"/>
      <c r="WL151" s="255"/>
      <c r="WM151" s="255"/>
      <c r="WN151" s="255"/>
      <c r="WO151" s="255"/>
      <c r="WP151" s="255"/>
      <c r="WQ151" s="255"/>
      <c r="WR151" s="255"/>
      <c r="WS151" s="255"/>
      <c r="WT151" s="255"/>
      <c r="WU151" s="255"/>
      <c r="WV151" s="255"/>
      <c r="WW151" s="255"/>
      <c r="WX151" s="255"/>
      <c r="WY151" s="255"/>
      <c r="WZ151" s="255"/>
      <c r="XA151" s="255"/>
      <c r="XB151" s="255"/>
      <c r="XC151" s="255"/>
      <c r="XD151" s="255"/>
      <c r="XE151" s="255"/>
      <c r="XF151" s="255"/>
      <c r="XG151" s="255"/>
      <c r="XH151" s="255"/>
      <c r="XI151" s="255"/>
      <c r="XJ151" s="255"/>
      <c r="XK151" s="255"/>
      <c r="XL151" s="255"/>
      <c r="XM151" s="255"/>
      <c r="XN151" s="255"/>
      <c r="XO151" s="255"/>
      <c r="XP151" s="255"/>
      <c r="XQ151" s="255"/>
      <c r="XR151" s="255"/>
      <c r="XS151" s="255"/>
      <c r="XT151" s="255"/>
      <c r="XU151" s="255"/>
      <c r="XV151" s="255"/>
      <c r="XW151" s="255"/>
      <c r="XX151" s="255"/>
      <c r="XY151" s="255"/>
      <c r="XZ151" s="255"/>
      <c r="YA151" s="255"/>
      <c r="YB151" s="255"/>
      <c r="YC151" s="255"/>
      <c r="YD151" s="255"/>
      <c r="YE151" s="255"/>
      <c r="YF151" s="255"/>
      <c r="YG151" s="255"/>
      <c r="YH151" s="255"/>
      <c r="YI151" s="255"/>
      <c r="YJ151" s="255"/>
      <c r="YK151" s="255"/>
      <c r="YL151" s="255"/>
      <c r="YM151" s="255"/>
      <c r="YN151" s="255"/>
      <c r="YO151" s="255"/>
      <c r="YP151" s="255"/>
      <c r="YQ151" s="255"/>
      <c r="YR151" s="255"/>
      <c r="YS151" s="255"/>
      <c r="YT151" s="255"/>
      <c r="YU151" s="255"/>
      <c r="YV151" s="255"/>
      <c r="YW151" s="255"/>
      <c r="YX151" s="255"/>
      <c r="YY151" s="255"/>
      <c r="YZ151" s="255"/>
      <c r="ZA151" s="255"/>
      <c r="ZB151" s="255"/>
      <c r="ZC151" s="255"/>
      <c r="ZD151" s="255"/>
      <c r="ZE151" s="255"/>
      <c r="ZF151" s="255"/>
      <c r="ZG151" s="255"/>
      <c r="ZH151" s="255"/>
      <c r="ZI151" s="255"/>
      <c r="ZJ151" s="255"/>
      <c r="ZK151" s="255"/>
      <c r="ZL151" s="255"/>
      <c r="ZM151" s="255"/>
      <c r="ZN151" s="255"/>
      <c r="ZO151" s="255"/>
      <c r="ZP151" s="255"/>
      <c r="ZQ151" s="255"/>
      <c r="ZR151" s="255"/>
      <c r="ZS151" s="255"/>
      <c r="ZT151" s="255"/>
      <c r="ZU151" s="255"/>
      <c r="ZV151" s="255"/>
      <c r="ZW151" s="255"/>
      <c r="ZX151" s="255"/>
      <c r="ZY151" s="255"/>
      <c r="ZZ151" s="255"/>
      <c r="AAA151" s="255"/>
      <c r="AAB151" s="255"/>
      <c r="AAC151" s="255"/>
      <c r="AAD151" s="255"/>
      <c r="AAE151" s="255"/>
      <c r="AAF151" s="255"/>
      <c r="AAG151" s="255"/>
      <c r="AAH151" s="255"/>
      <c r="AAI151" s="255"/>
      <c r="AAJ151" s="255"/>
      <c r="AAK151" s="255"/>
      <c r="AAL151" s="255"/>
      <c r="AAM151" s="255"/>
      <c r="AAN151" s="255"/>
      <c r="AAO151" s="255"/>
      <c r="AAP151" s="255"/>
      <c r="AAQ151" s="255"/>
      <c r="AAR151" s="255"/>
      <c r="AAS151" s="255"/>
      <c r="AAT151" s="255"/>
      <c r="AAU151" s="255"/>
      <c r="AAV151" s="255"/>
      <c r="AAW151" s="255"/>
      <c r="AAX151" s="255"/>
      <c r="AAY151" s="255"/>
      <c r="AAZ151" s="255"/>
      <c r="ABA151" s="255"/>
      <c r="ABB151" s="255"/>
      <c r="ABC151" s="255"/>
      <c r="ABD151" s="255"/>
      <c r="ABE151" s="255"/>
      <c r="ABF151" s="255"/>
      <c r="ABG151" s="255"/>
      <c r="ABH151" s="255"/>
      <c r="ABI151" s="255"/>
      <c r="ABJ151" s="255"/>
      <c r="ABK151" s="255"/>
      <c r="ABL151" s="255"/>
      <c r="ABM151" s="255"/>
      <c r="ABN151" s="255"/>
      <c r="ABO151" s="255"/>
      <c r="ABP151" s="255"/>
      <c r="ABQ151" s="255"/>
      <c r="ABR151" s="255"/>
      <c r="ABS151" s="255"/>
      <c r="ABT151" s="255"/>
      <c r="ABU151" s="255"/>
      <c r="ABV151" s="255"/>
      <c r="ABW151" s="255"/>
      <c r="ABX151" s="255"/>
      <c r="ABY151" s="255"/>
      <c r="ABZ151" s="255"/>
      <c r="ACA151" s="255"/>
      <c r="ACB151" s="255"/>
      <c r="ACC151" s="255"/>
      <c r="ACD151" s="255"/>
      <c r="ACE151" s="255"/>
      <c r="ACF151" s="255"/>
      <c r="ACG151" s="255"/>
      <c r="ACH151" s="255"/>
      <c r="ACI151" s="255"/>
      <c r="ACJ151" s="255"/>
      <c r="ACK151" s="255"/>
      <c r="ACL151" s="255"/>
      <c r="ACM151" s="255"/>
      <c r="ACN151" s="255"/>
      <c r="ACO151" s="255"/>
      <c r="ACP151" s="255"/>
      <c r="ACQ151" s="255"/>
      <c r="ACR151" s="255"/>
      <c r="ACS151" s="255"/>
      <c r="ACT151" s="255"/>
      <c r="ACU151" s="255"/>
      <c r="ACV151" s="255"/>
      <c r="ACW151" s="255"/>
      <c r="ACX151" s="255"/>
      <c r="ACY151" s="255"/>
      <c r="ACZ151" s="255"/>
      <c r="ADA151" s="255"/>
      <c r="ADB151" s="255"/>
      <c r="ADC151" s="255"/>
      <c r="ADD151" s="255"/>
      <c r="ADE151" s="255"/>
      <c r="ADF151" s="255"/>
      <c r="ADG151" s="255"/>
      <c r="ADH151" s="255"/>
      <c r="ADI151" s="255"/>
      <c r="ADJ151" s="255"/>
      <c r="ADK151" s="255"/>
      <c r="ADL151" s="255"/>
      <c r="ADM151" s="255"/>
      <c r="ADN151" s="255"/>
      <c r="ADO151" s="255"/>
      <c r="ADP151" s="255"/>
      <c r="ADQ151" s="255"/>
      <c r="ADR151" s="255"/>
      <c r="ADS151" s="255"/>
      <c r="ADT151" s="255"/>
      <c r="ADU151" s="255"/>
      <c r="ADV151" s="255"/>
      <c r="ADW151" s="255"/>
      <c r="ADX151" s="255"/>
      <c r="ADY151" s="255"/>
      <c r="ADZ151" s="255"/>
      <c r="AEA151" s="255"/>
      <c r="AEB151" s="255"/>
      <c r="AEC151" s="255"/>
      <c r="AED151" s="255"/>
      <c r="AEE151" s="255"/>
      <c r="AEF151" s="255"/>
      <c r="AEG151" s="255"/>
      <c r="AEH151" s="255"/>
      <c r="AEI151" s="255"/>
      <c r="AEJ151" s="255"/>
      <c r="AEK151" s="255"/>
      <c r="AEL151" s="255"/>
      <c r="AEM151" s="255"/>
      <c r="AEN151" s="255"/>
      <c r="AEO151" s="255"/>
      <c r="AEP151" s="255"/>
      <c r="AEQ151" s="255"/>
      <c r="AER151" s="255"/>
      <c r="AES151" s="255"/>
      <c r="AET151" s="255"/>
      <c r="AEU151" s="255"/>
      <c r="AEV151" s="255"/>
      <c r="AEW151" s="255"/>
      <c r="AEX151" s="255"/>
      <c r="AEY151" s="255"/>
      <c r="AEZ151" s="255"/>
      <c r="AFA151" s="255"/>
      <c r="AFB151" s="255"/>
      <c r="AFC151" s="255"/>
      <c r="AFD151" s="255"/>
      <c r="AFE151" s="255"/>
      <c r="AFF151" s="255"/>
      <c r="AFG151" s="255"/>
      <c r="AFH151" s="255"/>
      <c r="AFI151" s="255"/>
      <c r="AFJ151" s="255"/>
      <c r="AFK151" s="255"/>
      <c r="AFL151" s="255"/>
      <c r="AFM151" s="255"/>
      <c r="AFN151" s="255"/>
      <c r="AFO151" s="255"/>
      <c r="AFP151" s="255"/>
      <c r="AFQ151" s="255"/>
      <c r="AFR151" s="255"/>
      <c r="AFS151" s="255"/>
      <c r="AFT151" s="255"/>
      <c r="AFU151" s="255"/>
      <c r="AFV151" s="255"/>
      <c r="AFW151" s="255"/>
      <c r="AFX151" s="255"/>
      <c r="AFY151" s="255"/>
      <c r="AFZ151" s="255"/>
      <c r="AGA151" s="255"/>
      <c r="AGB151" s="255"/>
      <c r="AGC151" s="255"/>
      <c r="AGD151" s="255"/>
      <c r="AGE151" s="255"/>
      <c r="AGF151" s="255"/>
      <c r="AGG151" s="255"/>
      <c r="AGH151" s="255"/>
      <c r="AGI151" s="255"/>
      <c r="AGJ151" s="255"/>
      <c r="AGK151" s="255"/>
      <c r="AGL151" s="255"/>
      <c r="AGM151" s="255"/>
      <c r="AGN151" s="255"/>
      <c r="AGO151" s="255"/>
      <c r="AGP151" s="255"/>
      <c r="AGQ151" s="255"/>
      <c r="AGR151" s="255"/>
      <c r="AGS151" s="255"/>
      <c r="AGT151" s="255"/>
      <c r="AGU151" s="255"/>
      <c r="AGV151" s="255"/>
      <c r="AGW151" s="255"/>
      <c r="AGX151" s="255"/>
      <c r="AGY151" s="255"/>
      <c r="AGZ151" s="255"/>
      <c r="AHA151" s="255"/>
      <c r="AHB151" s="255"/>
      <c r="AHC151" s="255"/>
      <c r="AHD151" s="255"/>
      <c r="AHE151" s="255"/>
      <c r="AHF151" s="255"/>
      <c r="AHG151" s="255"/>
      <c r="AHH151" s="255"/>
      <c r="AHI151" s="255"/>
      <c r="AHJ151" s="255"/>
      <c r="AHK151" s="255"/>
      <c r="AHL151" s="255"/>
      <c r="AHM151" s="255"/>
      <c r="AHN151" s="255"/>
      <c r="AHO151" s="255"/>
      <c r="AHP151" s="255"/>
      <c r="AHQ151" s="255"/>
      <c r="AHR151" s="255"/>
      <c r="AHS151" s="255"/>
      <c r="AHT151" s="255"/>
      <c r="AHU151" s="255"/>
      <c r="AHV151" s="255"/>
      <c r="AHW151" s="255"/>
      <c r="AHX151" s="255"/>
      <c r="AHY151" s="255"/>
      <c r="AHZ151" s="255"/>
      <c r="AIA151" s="255"/>
      <c r="AIB151" s="255"/>
      <c r="AIC151" s="255"/>
      <c r="AID151" s="255"/>
      <c r="AIE151" s="255"/>
      <c r="AIF151" s="255"/>
      <c r="AIG151" s="255"/>
      <c r="AIH151" s="255"/>
      <c r="AII151" s="255"/>
      <c r="AIJ151" s="255"/>
      <c r="AIK151" s="255"/>
      <c r="AIL151" s="255"/>
      <c r="AIM151" s="255"/>
      <c r="AIN151" s="255"/>
      <c r="AIO151" s="255"/>
      <c r="AIP151" s="255"/>
      <c r="AIQ151" s="255"/>
      <c r="AIR151" s="255"/>
      <c r="AIS151" s="255"/>
      <c r="AIT151" s="255"/>
      <c r="AIU151" s="255"/>
      <c r="AIV151" s="255"/>
      <c r="AIW151" s="255"/>
      <c r="AIX151" s="255"/>
      <c r="AIY151" s="255"/>
      <c r="AIZ151" s="255"/>
      <c r="AJA151" s="255"/>
      <c r="AJB151" s="255"/>
      <c r="AJC151" s="255"/>
      <c r="AJD151" s="255"/>
      <c r="AJE151" s="255"/>
      <c r="AJF151" s="255"/>
      <c r="AJG151" s="255"/>
      <c r="AJH151" s="255"/>
      <c r="AJI151" s="255"/>
      <c r="AJJ151" s="255"/>
      <c r="AJK151" s="255"/>
      <c r="AJL151" s="255"/>
      <c r="AJM151" s="255"/>
      <c r="AJN151" s="255"/>
      <c r="AJO151" s="255"/>
      <c r="AJP151" s="255"/>
      <c r="AJQ151" s="255"/>
      <c r="AJR151" s="255"/>
      <c r="AJS151" s="255"/>
      <c r="AJT151" s="255"/>
      <c r="AJU151" s="255"/>
      <c r="AJV151" s="255"/>
      <c r="AJW151" s="255"/>
      <c r="AJX151" s="255"/>
      <c r="AJY151" s="255"/>
      <c r="AJZ151" s="255"/>
      <c r="AKA151" s="255"/>
      <c r="AKB151" s="255"/>
      <c r="AKC151" s="255"/>
      <c r="AKD151" s="255"/>
      <c r="AKE151" s="255"/>
      <c r="AKF151" s="255"/>
      <c r="AKG151" s="255"/>
      <c r="AKH151" s="255"/>
      <c r="AKI151" s="255"/>
      <c r="AKJ151" s="255"/>
      <c r="AKK151" s="255"/>
      <c r="AKL151" s="255"/>
      <c r="AKM151" s="255"/>
      <c r="AKN151" s="255"/>
      <c r="AKO151" s="255"/>
      <c r="AKP151" s="255"/>
      <c r="AKQ151" s="255"/>
      <c r="AKR151" s="255"/>
      <c r="AKS151" s="255"/>
      <c r="AKT151" s="255"/>
      <c r="AKU151" s="255"/>
      <c r="AKV151" s="255"/>
      <c r="AKW151" s="255"/>
      <c r="AKX151" s="255"/>
      <c r="AKY151" s="255"/>
      <c r="AKZ151" s="255"/>
      <c r="ALA151" s="255"/>
      <c r="ALB151" s="255"/>
      <c r="ALC151" s="255"/>
      <c r="ALD151" s="255"/>
      <c r="ALE151" s="255"/>
      <c r="ALF151" s="255"/>
      <c r="ALG151" s="255"/>
      <c r="ALH151" s="255"/>
      <c r="ALI151" s="255"/>
      <c r="ALJ151" s="255"/>
      <c r="ALK151" s="255"/>
      <c r="ALL151" s="255"/>
      <c r="ALM151" s="255"/>
      <c r="ALN151" s="255"/>
      <c r="ALO151" s="255"/>
      <c r="ALP151" s="255"/>
      <c r="ALQ151" s="255"/>
      <c r="ALR151" s="255"/>
    </row>
    <row r="152" spans="1:1006" s="191" customFormat="1" ht="24">
      <c r="A152" s="251" t="s">
        <v>7</v>
      </c>
      <c r="B152" s="290">
        <v>88497</v>
      </c>
      <c r="C152" s="282" t="str">
        <f>(IF($A152="SINAPI",INDEX(SINAPI_NOV2020_NDES!$A$7:$H$6703,MATCH($B152,SINAPI_NOV2020_NDES!$A$7:$A$6703,0),2),IF($A152="GOINFRA",INDEX(#REF!,MATCH($B152,#REF!,0),2),(INDEX(COMPOS!$A$4:$G$390,MATCH($B152,COMPOS!$A$4:A$390,0),2)))))</f>
        <v>APLICAÇÃO E LIXAMENTO DE MASSA LÁTEX EM PAREDES, DUAS DEMÃOS. AF_06/2014</v>
      </c>
      <c r="D152" s="274" t="str">
        <f>(IF($A152="SINAPI",INDEX(SINAPI_NOV2020_NDES!$A$7:$H$6790,MATCH($B152,SINAPI_NOV2020_NDES!$A$7:$A$6790,0),3),(INDEX(COMPOS!$A$4:$G$5000,MATCH($B152,COMPOS!$A$4:$A$5000,0),3))))</f>
        <v>M2</v>
      </c>
      <c r="E152" s="276">
        <v>241.56</v>
      </c>
      <c r="F152" s="303">
        <f>(IF($A152="SINAPI",INDEX(SINAPI_NOV2020_NDES!$A$7:$H$6703,MATCH($B152,SINAPI_NOV2020_NDES!$A$7:$A$6703,0),5),(INDEX(COMPOS!$A$4:$G$801,MATCH($B152,COMPOS!$A$4:A$801,0),4))))</f>
        <v>6.56</v>
      </c>
      <c r="G152" s="314">
        <f>(IF($A152="SINAPI",INDEX(SINAPI_NOV2020_NDES!$A$7:$H$6703,MATCH($B152,SINAPI_NOV2020_NDES!$A$7:$A$6703,0),6),(INDEX(COMPOS!$A$4:$G$801,MATCH($B152,COMPOS!$A$4:A$801,0),5))))</f>
        <v>4.76</v>
      </c>
      <c r="H152" s="315">
        <f>(IF($A152="SINAPI",INDEX(SINAPI_NOV2020_NDES!$A$7:$H$6703,MATCH($B152,SINAPI_NOV2020_NDES!$A$7:$A$6703,0),7),(INDEX(COMPOS!$A$4:$G$801,MATCH($B152,COMPOS!$A$4:A$801,0),6))))</f>
        <v>0</v>
      </c>
      <c r="I152" s="315">
        <f t="shared" si="38"/>
        <v>11.32</v>
      </c>
      <c r="J152" s="280">
        <f t="shared" si="39"/>
        <v>2734.4592000000002</v>
      </c>
      <c r="K152" s="255"/>
      <c r="L152" s="255"/>
      <c r="M152" s="255"/>
      <c r="N152" s="255"/>
      <c r="O152" s="257"/>
      <c r="P152" s="257"/>
      <c r="Q152" s="255"/>
      <c r="R152" s="255"/>
      <c r="S152" s="255"/>
      <c r="T152" s="255"/>
      <c r="U152" s="255"/>
      <c r="V152" s="255"/>
      <c r="W152" s="255"/>
      <c r="X152" s="255"/>
      <c r="Y152" s="255"/>
      <c r="Z152" s="255"/>
      <c r="AA152" s="255"/>
      <c r="AB152" s="255"/>
      <c r="AC152" s="255"/>
      <c r="AD152" s="255"/>
      <c r="AE152" s="255"/>
      <c r="AF152" s="255"/>
      <c r="AG152" s="255"/>
      <c r="AH152" s="255"/>
      <c r="AI152" s="255"/>
      <c r="AJ152" s="255"/>
      <c r="AK152" s="255"/>
      <c r="AL152" s="255"/>
      <c r="AM152" s="255"/>
      <c r="AN152" s="255"/>
      <c r="AO152" s="255"/>
      <c r="AP152" s="255"/>
      <c r="AQ152" s="255"/>
      <c r="AR152" s="255"/>
      <c r="AS152" s="255"/>
      <c r="AT152" s="255"/>
      <c r="AU152" s="255"/>
      <c r="AV152" s="255"/>
      <c r="AW152" s="255"/>
      <c r="AX152" s="255"/>
      <c r="AY152" s="255"/>
      <c r="AZ152" s="255"/>
      <c r="BA152" s="255"/>
      <c r="BB152" s="255"/>
      <c r="BC152" s="255"/>
      <c r="BD152" s="255"/>
      <c r="BE152" s="255"/>
      <c r="BF152" s="255"/>
      <c r="BG152" s="255"/>
      <c r="BH152" s="255"/>
      <c r="BI152" s="255"/>
      <c r="BJ152" s="255"/>
      <c r="BK152" s="255"/>
      <c r="BL152" s="255"/>
      <c r="BM152" s="255"/>
      <c r="BN152" s="255"/>
      <c r="BO152" s="255"/>
      <c r="BP152" s="255"/>
      <c r="BQ152" s="255"/>
      <c r="BR152" s="255"/>
      <c r="BS152" s="255"/>
      <c r="BT152" s="255"/>
      <c r="BU152" s="255"/>
      <c r="BV152" s="255"/>
      <c r="BW152" s="255"/>
      <c r="BX152" s="255"/>
      <c r="BY152" s="255"/>
      <c r="BZ152" s="255"/>
      <c r="CA152" s="255"/>
      <c r="CB152" s="255"/>
      <c r="CC152" s="255"/>
      <c r="CD152" s="255"/>
      <c r="CE152" s="255"/>
      <c r="CF152" s="255"/>
      <c r="CG152" s="255"/>
      <c r="CH152" s="255"/>
      <c r="CI152" s="255"/>
      <c r="CJ152" s="255"/>
      <c r="CK152" s="255"/>
      <c r="CL152" s="255"/>
      <c r="CM152" s="255"/>
      <c r="CN152" s="255"/>
      <c r="CO152" s="255"/>
      <c r="CP152" s="255"/>
      <c r="CQ152" s="255"/>
      <c r="CR152" s="255"/>
      <c r="CS152" s="255"/>
      <c r="CT152" s="255"/>
      <c r="CU152" s="255"/>
      <c r="CV152" s="255"/>
      <c r="CW152" s="255"/>
      <c r="CX152" s="255"/>
      <c r="CY152" s="255"/>
      <c r="CZ152" s="255"/>
      <c r="DA152" s="255"/>
      <c r="DB152" s="255"/>
      <c r="DC152" s="255"/>
      <c r="DD152" s="255"/>
      <c r="DE152" s="255"/>
      <c r="DF152" s="255"/>
      <c r="DG152" s="255"/>
      <c r="DH152" s="255"/>
      <c r="DI152" s="255"/>
      <c r="DJ152" s="255"/>
      <c r="DK152" s="255"/>
      <c r="DL152" s="255"/>
      <c r="DM152" s="255"/>
      <c r="DN152" s="255"/>
      <c r="DO152" s="255"/>
      <c r="DP152" s="255"/>
      <c r="DQ152" s="255"/>
      <c r="DR152" s="255"/>
      <c r="DS152" s="255"/>
      <c r="DT152" s="255"/>
      <c r="DU152" s="255"/>
      <c r="DV152" s="255"/>
      <c r="DW152" s="255"/>
      <c r="DX152" s="255"/>
      <c r="DY152" s="255"/>
      <c r="DZ152" s="255"/>
      <c r="EA152" s="255"/>
      <c r="EB152" s="255"/>
      <c r="EC152" s="255"/>
      <c r="ED152" s="255"/>
      <c r="EE152" s="255"/>
      <c r="EF152" s="255"/>
      <c r="EG152" s="255"/>
      <c r="EH152" s="255"/>
      <c r="EI152" s="255"/>
      <c r="EJ152" s="255"/>
      <c r="EK152" s="255"/>
      <c r="EL152" s="255"/>
      <c r="EM152" s="255"/>
      <c r="EN152" s="255"/>
      <c r="EO152" s="255"/>
      <c r="EP152" s="255"/>
      <c r="EQ152" s="255"/>
      <c r="ER152" s="255"/>
      <c r="ES152" s="255"/>
      <c r="ET152" s="255"/>
      <c r="EU152" s="255"/>
      <c r="EV152" s="255"/>
      <c r="EW152" s="255"/>
      <c r="EX152" s="255"/>
      <c r="EY152" s="255"/>
      <c r="EZ152" s="255"/>
      <c r="FA152" s="255"/>
      <c r="FB152" s="255"/>
      <c r="FC152" s="255"/>
      <c r="FD152" s="255"/>
      <c r="FE152" s="255"/>
      <c r="FF152" s="255"/>
      <c r="FG152" s="255"/>
      <c r="FH152" s="255"/>
      <c r="FI152" s="255"/>
      <c r="FJ152" s="255"/>
      <c r="FK152" s="255"/>
      <c r="FL152" s="255"/>
      <c r="FM152" s="255"/>
      <c r="FN152" s="255"/>
      <c r="FO152" s="255"/>
      <c r="FP152" s="255"/>
      <c r="FQ152" s="255"/>
      <c r="FR152" s="255"/>
      <c r="FS152" s="255"/>
      <c r="FT152" s="255"/>
      <c r="FU152" s="255"/>
      <c r="FV152" s="255"/>
      <c r="FW152" s="255"/>
      <c r="FX152" s="255"/>
      <c r="FY152" s="255"/>
      <c r="FZ152" s="255"/>
      <c r="GA152" s="255"/>
      <c r="GB152" s="255"/>
      <c r="GC152" s="255"/>
      <c r="GD152" s="255"/>
      <c r="GE152" s="255"/>
      <c r="GF152" s="255"/>
      <c r="GG152" s="255"/>
      <c r="GH152" s="255"/>
      <c r="GI152" s="255"/>
      <c r="GJ152" s="255"/>
      <c r="GK152" s="255"/>
      <c r="GL152" s="255"/>
      <c r="GM152" s="255"/>
      <c r="GN152" s="255"/>
      <c r="GO152" s="255"/>
      <c r="GP152" s="255"/>
      <c r="GQ152" s="255"/>
      <c r="GR152" s="255"/>
      <c r="GS152" s="255"/>
      <c r="GT152" s="255"/>
      <c r="GU152" s="255"/>
      <c r="GV152" s="255"/>
      <c r="GW152" s="255"/>
      <c r="GX152" s="255"/>
      <c r="GY152" s="255"/>
      <c r="GZ152" s="255"/>
      <c r="HA152" s="255"/>
      <c r="HB152" s="255"/>
      <c r="HC152" s="255"/>
      <c r="HD152" s="255"/>
      <c r="HE152" s="255"/>
      <c r="HF152" s="255"/>
      <c r="HG152" s="255"/>
      <c r="HH152" s="255"/>
      <c r="HI152" s="255"/>
      <c r="HJ152" s="255"/>
      <c r="HK152" s="255"/>
      <c r="HL152" s="255"/>
      <c r="HM152" s="255"/>
      <c r="HN152" s="255"/>
      <c r="HO152" s="255"/>
      <c r="HP152" s="255"/>
      <c r="HQ152" s="255"/>
      <c r="HR152" s="255"/>
      <c r="HS152" s="255"/>
      <c r="HT152" s="255"/>
      <c r="HU152" s="255"/>
      <c r="HV152" s="255"/>
      <c r="HW152" s="255"/>
      <c r="HX152" s="255"/>
      <c r="HY152" s="255"/>
      <c r="HZ152" s="255"/>
      <c r="IA152" s="255"/>
      <c r="IB152" s="255"/>
      <c r="IC152" s="255"/>
      <c r="ID152" s="255"/>
      <c r="IE152" s="255"/>
      <c r="IF152" s="255"/>
      <c r="IG152" s="255"/>
      <c r="IH152" s="255"/>
      <c r="II152" s="255"/>
      <c r="IJ152" s="255"/>
      <c r="IK152" s="255"/>
      <c r="IL152" s="255"/>
      <c r="IM152" s="255"/>
      <c r="IN152" s="255"/>
      <c r="IO152" s="255"/>
      <c r="IP152" s="255"/>
      <c r="IQ152" s="255"/>
      <c r="IR152" s="255"/>
      <c r="IS152" s="255"/>
      <c r="IT152" s="255"/>
      <c r="IU152" s="255"/>
      <c r="IV152" s="255"/>
      <c r="IW152" s="255"/>
      <c r="IX152" s="255"/>
      <c r="IY152" s="255"/>
      <c r="IZ152" s="255"/>
      <c r="JA152" s="255"/>
      <c r="JB152" s="255"/>
      <c r="JC152" s="255"/>
      <c r="JD152" s="255"/>
      <c r="JE152" s="255"/>
      <c r="JF152" s="255"/>
      <c r="JG152" s="255"/>
      <c r="JH152" s="255"/>
      <c r="JI152" s="255"/>
      <c r="JJ152" s="255"/>
      <c r="JK152" s="255"/>
      <c r="JL152" s="255"/>
      <c r="JM152" s="255"/>
      <c r="JN152" s="255"/>
      <c r="JO152" s="255"/>
      <c r="JP152" s="255"/>
      <c r="JQ152" s="255"/>
      <c r="JR152" s="255"/>
      <c r="JS152" s="255"/>
      <c r="JT152" s="255"/>
      <c r="JU152" s="255"/>
      <c r="JV152" s="255"/>
      <c r="JW152" s="255"/>
      <c r="JX152" s="255"/>
      <c r="JY152" s="255"/>
      <c r="JZ152" s="255"/>
      <c r="KA152" s="255"/>
      <c r="KB152" s="255"/>
      <c r="KC152" s="255"/>
      <c r="KD152" s="255"/>
      <c r="KE152" s="255"/>
      <c r="KF152" s="255"/>
      <c r="KG152" s="255"/>
      <c r="KH152" s="255"/>
      <c r="KI152" s="255"/>
      <c r="KJ152" s="255"/>
      <c r="KK152" s="255"/>
      <c r="KL152" s="255"/>
      <c r="KM152" s="255"/>
      <c r="KN152" s="255"/>
      <c r="KO152" s="255"/>
      <c r="KP152" s="255"/>
      <c r="KQ152" s="255"/>
      <c r="KR152" s="255"/>
      <c r="KS152" s="255"/>
      <c r="KT152" s="255"/>
      <c r="KU152" s="255"/>
      <c r="KV152" s="255"/>
      <c r="KW152" s="255"/>
      <c r="KX152" s="255"/>
      <c r="KY152" s="255"/>
      <c r="KZ152" s="255"/>
      <c r="LA152" s="255"/>
      <c r="LB152" s="255"/>
      <c r="LC152" s="255"/>
      <c r="LD152" s="255"/>
      <c r="LE152" s="255"/>
      <c r="LF152" s="255"/>
      <c r="LG152" s="255"/>
      <c r="LH152" s="255"/>
      <c r="LI152" s="255"/>
      <c r="LJ152" s="255"/>
      <c r="LK152" s="255"/>
      <c r="LL152" s="255"/>
      <c r="LM152" s="255"/>
      <c r="LN152" s="255"/>
      <c r="LO152" s="255"/>
      <c r="LP152" s="255"/>
      <c r="LQ152" s="255"/>
      <c r="LR152" s="255"/>
      <c r="LS152" s="255"/>
      <c r="LT152" s="255"/>
      <c r="LU152" s="255"/>
      <c r="LV152" s="255"/>
      <c r="LW152" s="255"/>
      <c r="LX152" s="255"/>
      <c r="LY152" s="255"/>
      <c r="LZ152" s="255"/>
      <c r="MA152" s="255"/>
      <c r="MB152" s="255"/>
      <c r="MC152" s="255"/>
      <c r="MD152" s="255"/>
      <c r="ME152" s="255"/>
      <c r="MF152" s="255"/>
      <c r="MG152" s="255"/>
      <c r="MH152" s="255"/>
      <c r="MI152" s="255"/>
      <c r="MJ152" s="255"/>
      <c r="MK152" s="255"/>
      <c r="ML152" s="255"/>
      <c r="MM152" s="255"/>
      <c r="MN152" s="255"/>
      <c r="MO152" s="255"/>
      <c r="MP152" s="255"/>
      <c r="MQ152" s="255"/>
      <c r="MR152" s="255"/>
      <c r="MS152" s="255"/>
      <c r="MT152" s="255"/>
      <c r="MU152" s="255"/>
      <c r="MV152" s="255"/>
      <c r="MW152" s="255"/>
      <c r="MX152" s="255"/>
      <c r="MY152" s="255"/>
      <c r="MZ152" s="255"/>
      <c r="NA152" s="255"/>
      <c r="NB152" s="255"/>
      <c r="NC152" s="255"/>
      <c r="ND152" s="255"/>
      <c r="NE152" s="255"/>
      <c r="NF152" s="255"/>
      <c r="NG152" s="255"/>
      <c r="NH152" s="255"/>
      <c r="NI152" s="255"/>
      <c r="NJ152" s="255"/>
      <c r="NK152" s="255"/>
      <c r="NL152" s="255"/>
      <c r="NM152" s="255"/>
      <c r="NN152" s="255"/>
      <c r="NO152" s="255"/>
      <c r="NP152" s="255"/>
      <c r="NQ152" s="255"/>
      <c r="NR152" s="255"/>
      <c r="NS152" s="255"/>
      <c r="NT152" s="255"/>
      <c r="NU152" s="255"/>
      <c r="NV152" s="255"/>
      <c r="NW152" s="255"/>
      <c r="NX152" s="255"/>
      <c r="NY152" s="255"/>
      <c r="NZ152" s="255"/>
      <c r="OA152" s="255"/>
      <c r="OB152" s="255"/>
      <c r="OC152" s="255"/>
      <c r="OD152" s="255"/>
      <c r="OE152" s="255"/>
      <c r="OF152" s="255"/>
      <c r="OG152" s="255"/>
      <c r="OH152" s="255"/>
      <c r="OI152" s="255"/>
      <c r="OJ152" s="255"/>
      <c r="OK152" s="255"/>
      <c r="OL152" s="255"/>
      <c r="OM152" s="255"/>
      <c r="ON152" s="255"/>
      <c r="OO152" s="255"/>
      <c r="OP152" s="255"/>
      <c r="OQ152" s="255"/>
      <c r="OR152" s="255"/>
      <c r="OS152" s="255"/>
      <c r="OT152" s="255"/>
      <c r="OU152" s="255"/>
      <c r="OV152" s="255"/>
      <c r="OW152" s="255"/>
      <c r="OX152" s="255"/>
      <c r="OY152" s="255"/>
      <c r="OZ152" s="255"/>
      <c r="PA152" s="255"/>
      <c r="PB152" s="255"/>
      <c r="PC152" s="255"/>
      <c r="PD152" s="255"/>
      <c r="PE152" s="255"/>
      <c r="PF152" s="255"/>
      <c r="PG152" s="255"/>
      <c r="PH152" s="255"/>
      <c r="PI152" s="255"/>
      <c r="PJ152" s="255"/>
      <c r="PK152" s="255"/>
      <c r="PL152" s="255"/>
      <c r="PM152" s="255"/>
      <c r="PN152" s="255"/>
      <c r="PO152" s="255"/>
      <c r="PP152" s="255"/>
      <c r="PQ152" s="255"/>
      <c r="PR152" s="255"/>
      <c r="PS152" s="255"/>
      <c r="PT152" s="255"/>
      <c r="PU152" s="255"/>
      <c r="PV152" s="255"/>
      <c r="PW152" s="255"/>
      <c r="PX152" s="255"/>
      <c r="PY152" s="255"/>
      <c r="PZ152" s="255"/>
      <c r="QA152" s="255"/>
      <c r="QB152" s="255"/>
      <c r="QC152" s="255"/>
      <c r="QD152" s="255"/>
      <c r="QE152" s="255"/>
      <c r="QF152" s="255"/>
      <c r="QG152" s="255"/>
      <c r="QH152" s="255"/>
      <c r="QI152" s="255"/>
      <c r="QJ152" s="255"/>
      <c r="QK152" s="255"/>
      <c r="QL152" s="255"/>
      <c r="QM152" s="255"/>
      <c r="QN152" s="255"/>
      <c r="QO152" s="255"/>
      <c r="QP152" s="255"/>
      <c r="QQ152" s="255"/>
      <c r="QR152" s="255"/>
      <c r="QS152" s="255"/>
      <c r="QT152" s="255"/>
      <c r="QU152" s="255"/>
      <c r="QV152" s="255"/>
      <c r="QW152" s="255"/>
      <c r="QX152" s="255"/>
      <c r="QY152" s="255"/>
      <c r="QZ152" s="255"/>
      <c r="RA152" s="255"/>
      <c r="RB152" s="255"/>
      <c r="RC152" s="255"/>
      <c r="RD152" s="255"/>
      <c r="RE152" s="255"/>
      <c r="RF152" s="255"/>
      <c r="RG152" s="255"/>
      <c r="RH152" s="255"/>
      <c r="RI152" s="255"/>
      <c r="RJ152" s="255"/>
      <c r="RK152" s="255"/>
      <c r="RL152" s="255"/>
      <c r="RM152" s="255"/>
      <c r="RN152" s="255"/>
      <c r="RO152" s="255"/>
      <c r="RP152" s="255"/>
      <c r="RQ152" s="255"/>
      <c r="RR152" s="255"/>
      <c r="RS152" s="255"/>
      <c r="RT152" s="255"/>
      <c r="RU152" s="255"/>
      <c r="RV152" s="255"/>
      <c r="RW152" s="255"/>
      <c r="RX152" s="255"/>
      <c r="RY152" s="255"/>
      <c r="RZ152" s="255"/>
      <c r="SA152" s="255"/>
      <c r="SB152" s="255"/>
      <c r="SC152" s="255"/>
      <c r="SD152" s="255"/>
      <c r="SE152" s="255"/>
      <c r="SF152" s="255"/>
      <c r="SG152" s="255"/>
      <c r="SH152" s="255"/>
      <c r="SI152" s="255"/>
      <c r="SJ152" s="255"/>
      <c r="SK152" s="255"/>
      <c r="SL152" s="255"/>
      <c r="SM152" s="255"/>
      <c r="SN152" s="255"/>
      <c r="SO152" s="255"/>
      <c r="SP152" s="255"/>
      <c r="SQ152" s="255"/>
      <c r="SR152" s="255"/>
      <c r="SS152" s="255"/>
      <c r="ST152" s="255"/>
      <c r="SU152" s="255"/>
      <c r="SV152" s="255"/>
      <c r="SW152" s="255"/>
      <c r="SX152" s="255"/>
      <c r="SY152" s="255"/>
      <c r="SZ152" s="255"/>
      <c r="TA152" s="255"/>
      <c r="TB152" s="255"/>
      <c r="TC152" s="255"/>
      <c r="TD152" s="255"/>
      <c r="TE152" s="255"/>
      <c r="TF152" s="255"/>
      <c r="TG152" s="255"/>
      <c r="TH152" s="255"/>
      <c r="TI152" s="255"/>
      <c r="TJ152" s="255"/>
      <c r="TK152" s="255"/>
      <c r="TL152" s="255"/>
      <c r="TM152" s="255"/>
      <c r="TN152" s="255"/>
      <c r="TO152" s="255"/>
      <c r="TP152" s="255"/>
      <c r="TQ152" s="255"/>
      <c r="TR152" s="255"/>
      <c r="TS152" s="255"/>
      <c r="TT152" s="255"/>
      <c r="TU152" s="255"/>
      <c r="TV152" s="255"/>
      <c r="TW152" s="255"/>
      <c r="TX152" s="255"/>
      <c r="TY152" s="255"/>
      <c r="TZ152" s="255"/>
      <c r="UA152" s="255"/>
      <c r="UB152" s="255"/>
      <c r="UC152" s="255"/>
      <c r="UD152" s="255"/>
      <c r="UE152" s="255"/>
      <c r="UF152" s="255"/>
      <c r="UG152" s="255"/>
      <c r="UH152" s="255"/>
      <c r="UI152" s="255"/>
      <c r="UJ152" s="255"/>
      <c r="UK152" s="255"/>
      <c r="UL152" s="255"/>
      <c r="UM152" s="255"/>
      <c r="UN152" s="255"/>
      <c r="UO152" s="255"/>
      <c r="UP152" s="255"/>
      <c r="UQ152" s="255"/>
      <c r="UR152" s="255"/>
      <c r="US152" s="255"/>
      <c r="UT152" s="255"/>
      <c r="UU152" s="255"/>
      <c r="UV152" s="255"/>
      <c r="UW152" s="255"/>
      <c r="UX152" s="255"/>
      <c r="UY152" s="255"/>
      <c r="UZ152" s="255"/>
      <c r="VA152" s="255"/>
      <c r="VB152" s="255"/>
      <c r="VC152" s="255"/>
      <c r="VD152" s="255"/>
      <c r="VE152" s="255"/>
      <c r="VF152" s="255"/>
      <c r="VG152" s="255"/>
      <c r="VH152" s="255"/>
      <c r="VI152" s="255"/>
      <c r="VJ152" s="255"/>
      <c r="VK152" s="255"/>
      <c r="VL152" s="255"/>
      <c r="VM152" s="255"/>
      <c r="VN152" s="255"/>
      <c r="VO152" s="255"/>
      <c r="VP152" s="255"/>
      <c r="VQ152" s="255"/>
      <c r="VR152" s="255"/>
      <c r="VS152" s="255"/>
      <c r="VT152" s="255"/>
      <c r="VU152" s="255"/>
      <c r="VV152" s="255"/>
      <c r="VW152" s="255"/>
      <c r="VX152" s="255"/>
      <c r="VY152" s="255"/>
      <c r="VZ152" s="255"/>
      <c r="WA152" s="255"/>
      <c r="WB152" s="255"/>
      <c r="WC152" s="255"/>
      <c r="WD152" s="255"/>
      <c r="WE152" s="255"/>
      <c r="WF152" s="255"/>
      <c r="WG152" s="255"/>
      <c r="WH152" s="255"/>
      <c r="WI152" s="255"/>
      <c r="WJ152" s="255"/>
      <c r="WK152" s="255"/>
      <c r="WL152" s="255"/>
      <c r="WM152" s="255"/>
      <c r="WN152" s="255"/>
      <c r="WO152" s="255"/>
      <c r="WP152" s="255"/>
      <c r="WQ152" s="255"/>
      <c r="WR152" s="255"/>
      <c r="WS152" s="255"/>
      <c r="WT152" s="255"/>
      <c r="WU152" s="255"/>
      <c r="WV152" s="255"/>
      <c r="WW152" s="255"/>
      <c r="WX152" s="255"/>
      <c r="WY152" s="255"/>
      <c r="WZ152" s="255"/>
      <c r="XA152" s="255"/>
      <c r="XB152" s="255"/>
      <c r="XC152" s="255"/>
      <c r="XD152" s="255"/>
      <c r="XE152" s="255"/>
      <c r="XF152" s="255"/>
      <c r="XG152" s="255"/>
      <c r="XH152" s="255"/>
      <c r="XI152" s="255"/>
      <c r="XJ152" s="255"/>
      <c r="XK152" s="255"/>
      <c r="XL152" s="255"/>
      <c r="XM152" s="255"/>
      <c r="XN152" s="255"/>
      <c r="XO152" s="255"/>
      <c r="XP152" s="255"/>
      <c r="XQ152" s="255"/>
      <c r="XR152" s="255"/>
      <c r="XS152" s="255"/>
      <c r="XT152" s="255"/>
      <c r="XU152" s="255"/>
      <c r="XV152" s="255"/>
      <c r="XW152" s="255"/>
      <c r="XX152" s="255"/>
      <c r="XY152" s="255"/>
      <c r="XZ152" s="255"/>
      <c r="YA152" s="255"/>
      <c r="YB152" s="255"/>
      <c r="YC152" s="255"/>
      <c r="YD152" s="255"/>
      <c r="YE152" s="255"/>
      <c r="YF152" s="255"/>
      <c r="YG152" s="255"/>
      <c r="YH152" s="255"/>
      <c r="YI152" s="255"/>
      <c r="YJ152" s="255"/>
      <c r="YK152" s="255"/>
      <c r="YL152" s="255"/>
      <c r="YM152" s="255"/>
      <c r="YN152" s="255"/>
      <c r="YO152" s="255"/>
      <c r="YP152" s="255"/>
      <c r="YQ152" s="255"/>
      <c r="YR152" s="255"/>
      <c r="YS152" s="255"/>
      <c r="YT152" s="255"/>
      <c r="YU152" s="255"/>
      <c r="YV152" s="255"/>
      <c r="YW152" s="255"/>
      <c r="YX152" s="255"/>
      <c r="YY152" s="255"/>
      <c r="YZ152" s="255"/>
      <c r="ZA152" s="255"/>
      <c r="ZB152" s="255"/>
      <c r="ZC152" s="255"/>
      <c r="ZD152" s="255"/>
      <c r="ZE152" s="255"/>
      <c r="ZF152" s="255"/>
      <c r="ZG152" s="255"/>
      <c r="ZH152" s="255"/>
      <c r="ZI152" s="255"/>
      <c r="ZJ152" s="255"/>
      <c r="ZK152" s="255"/>
      <c r="ZL152" s="255"/>
      <c r="ZM152" s="255"/>
      <c r="ZN152" s="255"/>
      <c r="ZO152" s="255"/>
      <c r="ZP152" s="255"/>
      <c r="ZQ152" s="255"/>
      <c r="ZR152" s="255"/>
      <c r="ZS152" s="255"/>
      <c r="ZT152" s="255"/>
      <c r="ZU152" s="255"/>
      <c r="ZV152" s="255"/>
      <c r="ZW152" s="255"/>
      <c r="ZX152" s="255"/>
      <c r="ZY152" s="255"/>
      <c r="ZZ152" s="255"/>
      <c r="AAA152" s="255"/>
      <c r="AAB152" s="255"/>
      <c r="AAC152" s="255"/>
      <c r="AAD152" s="255"/>
      <c r="AAE152" s="255"/>
      <c r="AAF152" s="255"/>
      <c r="AAG152" s="255"/>
      <c r="AAH152" s="255"/>
      <c r="AAI152" s="255"/>
      <c r="AAJ152" s="255"/>
      <c r="AAK152" s="255"/>
      <c r="AAL152" s="255"/>
      <c r="AAM152" s="255"/>
      <c r="AAN152" s="255"/>
      <c r="AAO152" s="255"/>
      <c r="AAP152" s="255"/>
      <c r="AAQ152" s="255"/>
      <c r="AAR152" s="255"/>
      <c r="AAS152" s="255"/>
      <c r="AAT152" s="255"/>
      <c r="AAU152" s="255"/>
      <c r="AAV152" s="255"/>
      <c r="AAW152" s="255"/>
      <c r="AAX152" s="255"/>
      <c r="AAY152" s="255"/>
      <c r="AAZ152" s="255"/>
      <c r="ABA152" s="255"/>
      <c r="ABB152" s="255"/>
      <c r="ABC152" s="255"/>
      <c r="ABD152" s="255"/>
      <c r="ABE152" s="255"/>
      <c r="ABF152" s="255"/>
      <c r="ABG152" s="255"/>
      <c r="ABH152" s="255"/>
      <c r="ABI152" s="255"/>
      <c r="ABJ152" s="255"/>
      <c r="ABK152" s="255"/>
      <c r="ABL152" s="255"/>
      <c r="ABM152" s="255"/>
      <c r="ABN152" s="255"/>
      <c r="ABO152" s="255"/>
      <c r="ABP152" s="255"/>
      <c r="ABQ152" s="255"/>
      <c r="ABR152" s="255"/>
      <c r="ABS152" s="255"/>
      <c r="ABT152" s="255"/>
      <c r="ABU152" s="255"/>
      <c r="ABV152" s="255"/>
      <c r="ABW152" s="255"/>
      <c r="ABX152" s="255"/>
      <c r="ABY152" s="255"/>
      <c r="ABZ152" s="255"/>
      <c r="ACA152" s="255"/>
      <c r="ACB152" s="255"/>
      <c r="ACC152" s="255"/>
      <c r="ACD152" s="255"/>
      <c r="ACE152" s="255"/>
      <c r="ACF152" s="255"/>
      <c r="ACG152" s="255"/>
      <c r="ACH152" s="255"/>
      <c r="ACI152" s="255"/>
      <c r="ACJ152" s="255"/>
      <c r="ACK152" s="255"/>
      <c r="ACL152" s="255"/>
      <c r="ACM152" s="255"/>
      <c r="ACN152" s="255"/>
      <c r="ACO152" s="255"/>
      <c r="ACP152" s="255"/>
      <c r="ACQ152" s="255"/>
      <c r="ACR152" s="255"/>
      <c r="ACS152" s="255"/>
      <c r="ACT152" s="255"/>
      <c r="ACU152" s="255"/>
      <c r="ACV152" s="255"/>
      <c r="ACW152" s="255"/>
      <c r="ACX152" s="255"/>
      <c r="ACY152" s="255"/>
      <c r="ACZ152" s="255"/>
      <c r="ADA152" s="255"/>
      <c r="ADB152" s="255"/>
      <c r="ADC152" s="255"/>
      <c r="ADD152" s="255"/>
      <c r="ADE152" s="255"/>
      <c r="ADF152" s="255"/>
      <c r="ADG152" s="255"/>
      <c r="ADH152" s="255"/>
      <c r="ADI152" s="255"/>
      <c r="ADJ152" s="255"/>
      <c r="ADK152" s="255"/>
      <c r="ADL152" s="255"/>
      <c r="ADM152" s="255"/>
      <c r="ADN152" s="255"/>
      <c r="ADO152" s="255"/>
      <c r="ADP152" s="255"/>
      <c r="ADQ152" s="255"/>
      <c r="ADR152" s="255"/>
      <c r="ADS152" s="255"/>
      <c r="ADT152" s="255"/>
      <c r="ADU152" s="255"/>
      <c r="ADV152" s="255"/>
      <c r="ADW152" s="255"/>
      <c r="ADX152" s="255"/>
      <c r="ADY152" s="255"/>
      <c r="ADZ152" s="255"/>
      <c r="AEA152" s="255"/>
      <c r="AEB152" s="255"/>
      <c r="AEC152" s="255"/>
      <c r="AED152" s="255"/>
      <c r="AEE152" s="255"/>
      <c r="AEF152" s="255"/>
      <c r="AEG152" s="255"/>
      <c r="AEH152" s="255"/>
      <c r="AEI152" s="255"/>
      <c r="AEJ152" s="255"/>
      <c r="AEK152" s="255"/>
      <c r="AEL152" s="255"/>
      <c r="AEM152" s="255"/>
      <c r="AEN152" s="255"/>
      <c r="AEO152" s="255"/>
      <c r="AEP152" s="255"/>
      <c r="AEQ152" s="255"/>
      <c r="AER152" s="255"/>
      <c r="AES152" s="255"/>
      <c r="AET152" s="255"/>
      <c r="AEU152" s="255"/>
      <c r="AEV152" s="255"/>
      <c r="AEW152" s="255"/>
      <c r="AEX152" s="255"/>
      <c r="AEY152" s="255"/>
      <c r="AEZ152" s="255"/>
      <c r="AFA152" s="255"/>
      <c r="AFB152" s="255"/>
      <c r="AFC152" s="255"/>
      <c r="AFD152" s="255"/>
      <c r="AFE152" s="255"/>
      <c r="AFF152" s="255"/>
      <c r="AFG152" s="255"/>
      <c r="AFH152" s="255"/>
      <c r="AFI152" s="255"/>
      <c r="AFJ152" s="255"/>
      <c r="AFK152" s="255"/>
      <c r="AFL152" s="255"/>
      <c r="AFM152" s="255"/>
      <c r="AFN152" s="255"/>
      <c r="AFO152" s="255"/>
      <c r="AFP152" s="255"/>
      <c r="AFQ152" s="255"/>
      <c r="AFR152" s="255"/>
      <c r="AFS152" s="255"/>
      <c r="AFT152" s="255"/>
      <c r="AFU152" s="255"/>
      <c r="AFV152" s="255"/>
      <c r="AFW152" s="255"/>
      <c r="AFX152" s="255"/>
      <c r="AFY152" s="255"/>
      <c r="AFZ152" s="255"/>
      <c r="AGA152" s="255"/>
      <c r="AGB152" s="255"/>
      <c r="AGC152" s="255"/>
      <c r="AGD152" s="255"/>
      <c r="AGE152" s="255"/>
      <c r="AGF152" s="255"/>
      <c r="AGG152" s="255"/>
      <c r="AGH152" s="255"/>
      <c r="AGI152" s="255"/>
      <c r="AGJ152" s="255"/>
      <c r="AGK152" s="255"/>
      <c r="AGL152" s="255"/>
      <c r="AGM152" s="255"/>
      <c r="AGN152" s="255"/>
      <c r="AGO152" s="255"/>
      <c r="AGP152" s="255"/>
      <c r="AGQ152" s="255"/>
      <c r="AGR152" s="255"/>
      <c r="AGS152" s="255"/>
      <c r="AGT152" s="255"/>
      <c r="AGU152" s="255"/>
      <c r="AGV152" s="255"/>
      <c r="AGW152" s="255"/>
      <c r="AGX152" s="255"/>
      <c r="AGY152" s="255"/>
      <c r="AGZ152" s="255"/>
      <c r="AHA152" s="255"/>
      <c r="AHB152" s="255"/>
      <c r="AHC152" s="255"/>
      <c r="AHD152" s="255"/>
      <c r="AHE152" s="255"/>
      <c r="AHF152" s="255"/>
      <c r="AHG152" s="255"/>
      <c r="AHH152" s="255"/>
      <c r="AHI152" s="255"/>
      <c r="AHJ152" s="255"/>
      <c r="AHK152" s="255"/>
      <c r="AHL152" s="255"/>
      <c r="AHM152" s="255"/>
      <c r="AHN152" s="255"/>
      <c r="AHO152" s="255"/>
      <c r="AHP152" s="255"/>
      <c r="AHQ152" s="255"/>
      <c r="AHR152" s="255"/>
      <c r="AHS152" s="255"/>
      <c r="AHT152" s="255"/>
      <c r="AHU152" s="255"/>
      <c r="AHV152" s="255"/>
      <c r="AHW152" s="255"/>
      <c r="AHX152" s="255"/>
      <c r="AHY152" s="255"/>
      <c r="AHZ152" s="255"/>
      <c r="AIA152" s="255"/>
      <c r="AIB152" s="255"/>
      <c r="AIC152" s="255"/>
      <c r="AID152" s="255"/>
      <c r="AIE152" s="255"/>
      <c r="AIF152" s="255"/>
      <c r="AIG152" s="255"/>
      <c r="AIH152" s="255"/>
      <c r="AII152" s="255"/>
      <c r="AIJ152" s="255"/>
      <c r="AIK152" s="255"/>
      <c r="AIL152" s="255"/>
      <c r="AIM152" s="255"/>
      <c r="AIN152" s="255"/>
      <c r="AIO152" s="255"/>
      <c r="AIP152" s="255"/>
      <c r="AIQ152" s="255"/>
      <c r="AIR152" s="255"/>
      <c r="AIS152" s="255"/>
      <c r="AIT152" s="255"/>
      <c r="AIU152" s="255"/>
      <c r="AIV152" s="255"/>
      <c r="AIW152" s="255"/>
      <c r="AIX152" s="255"/>
      <c r="AIY152" s="255"/>
      <c r="AIZ152" s="255"/>
      <c r="AJA152" s="255"/>
      <c r="AJB152" s="255"/>
      <c r="AJC152" s="255"/>
      <c r="AJD152" s="255"/>
      <c r="AJE152" s="255"/>
      <c r="AJF152" s="255"/>
      <c r="AJG152" s="255"/>
      <c r="AJH152" s="255"/>
      <c r="AJI152" s="255"/>
      <c r="AJJ152" s="255"/>
      <c r="AJK152" s="255"/>
      <c r="AJL152" s="255"/>
      <c r="AJM152" s="255"/>
      <c r="AJN152" s="255"/>
      <c r="AJO152" s="255"/>
      <c r="AJP152" s="255"/>
      <c r="AJQ152" s="255"/>
      <c r="AJR152" s="255"/>
      <c r="AJS152" s="255"/>
      <c r="AJT152" s="255"/>
      <c r="AJU152" s="255"/>
      <c r="AJV152" s="255"/>
      <c r="AJW152" s="255"/>
      <c r="AJX152" s="255"/>
      <c r="AJY152" s="255"/>
      <c r="AJZ152" s="255"/>
      <c r="AKA152" s="255"/>
      <c r="AKB152" s="255"/>
      <c r="AKC152" s="255"/>
      <c r="AKD152" s="255"/>
      <c r="AKE152" s="255"/>
      <c r="AKF152" s="255"/>
      <c r="AKG152" s="255"/>
      <c r="AKH152" s="255"/>
      <c r="AKI152" s="255"/>
      <c r="AKJ152" s="255"/>
      <c r="AKK152" s="255"/>
      <c r="AKL152" s="255"/>
      <c r="AKM152" s="255"/>
      <c r="AKN152" s="255"/>
      <c r="AKO152" s="255"/>
      <c r="AKP152" s="255"/>
      <c r="AKQ152" s="255"/>
      <c r="AKR152" s="255"/>
      <c r="AKS152" s="255"/>
      <c r="AKT152" s="255"/>
      <c r="AKU152" s="255"/>
      <c r="AKV152" s="255"/>
      <c r="AKW152" s="255"/>
      <c r="AKX152" s="255"/>
      <c r="AKY152" s="255"/>
      <c r="AKZ152" s="255"/>
      <c r="ALA152" s="255"/>
      <c r="ALB152" s="255"/>
      <c r="ALC152" s="255"/>
      <c r="ALD152" s="255"/>
      <c r="ALE152" s="255"/>
      <c r="ALF152" s="255"/>
      <c r="ALG152" s="255"/>
      <c r="ALH152" s="255"/>
      <c r="ALI152" s="255"/>
      <c r="ALJ152" s="255"/>
      <c r="ALK152" s="255"/>
      <c r="ALL152" s="255"/>
      <c r="ALM152" s="255"/>
      <c r="ALN152" s="255"/>
      <c r="ALO152" s="255"/>
      <c r="ALP152" s="255"/>
      <c r="ALQ152" s="255"/>
      <c r="ALR152" s="255"/>
    </row>
    <row r="153" spans="1:1006" s="191" customFormat="1" ht="24">
      <c r="A153" s="251" t="s">
        <v>7</v>
      </c>
      <c r="B153" s="290">
        <v>88489</v>
      </c>
      <c r="C153" s="282" t="str">
        <f>(IF($A153="SINAPI",INDEX(SINAPI_NOV2020_NDES!$A$7:$H$6703,MATCH($B153,SINAPI_NOV2020_NDES!$A$7:$A$6703,0),2),IF($A153="GOINFRA",INDEX(#REF!,MATCH($B153,#REF!,0),2),(INDEX(COMPOS!$A$4:$G$390,MATCH($B153,COMPOS!$A$4:A$390,0),2)))))</f>
        <v>APLICAÇÃO MANUAL DE PINTURA COM TINTA LÁTEX ACRÍLICA EM PAREDES, DUAS DEMÃOS. AF_06/2014</v>
      </c>
      <c r="D153" s="274" t="str">
        <f>(IF($A153="SINAPI",INDEX(SINAPI_NOV2020_NDES!$A$7:$H$6790,MATCH($B153,SINAPI_NOV2020_NDES!$A$7:$A$6790,0),3),(INDEX(COMPOS!$A$4:$G$5000,MATCH($B153,COMPOS!$A$4:$A$5000,0),3))))</f>
        <v>M2</v>
      </c>
      <c r="E153" s="276">
        <v>241.56</v>
      </c>
      <c r="F153" s="303">
        <f>(IF($A153="SINAPI",INDEX(SINAPI_NOV2020_NDES!$A$7:$H$6703,MATCH($B153,SINAPI_NOV2020_NDES!$A$7:$A$6703,0),5),(INDEX(COMPOS!$A$4:$G$801,MATCH($B153,COMPOS!$A$4:A$801,0),4))))</f>
        <v>3.93</v>
      </c>
      <c r="G153" s="314">
        <f>(IF($A153="SINAPI",INDEX(SINAPI_NOV2020_NDES!$A$7:$H$6703,MATCH($B153,SINAPI_NOV2020_NDES!$A$7:$A$6703,0),6),(INDEX(COMPOS!$A$4:$G$801,MATCH($B153,COMPOS!$A$4:A$801,0),5))))</f>
        <v>8.56</v>
      </c>
      <c r="H153" s="315">
        <f>(IF($A153="SINAPI",INDEX(SINAPI_NOV2020_NDES!$A$7:$H$6703,MATCH($B153,SINAPI_NOV2020_NDES!$A$7:$A$6703,0),7),(INDEX(COMPOS!$A$4:$G$801,MATCH($B153,COMPOS!$A$4:A$801,0),6))))</f>
        <v>0</v>
      </c>
      <c r="I153" s="315">
        <f t="shared" si="38"/>
        <v>12.49</v>
      </c>
      <c r="J153" s="280">
        <f t="shared" si="39"/>
        <v>3017.0844000000002</v>
      </c>
      <c r="K153" s="255"/>
      <c r="L153" s="255"/>
      <c r="M153" s="255"/>
      <c r="N153" s="255"/>
      <c r="O153" s="257"/>
      <c r="P153" s="257"/>
      <c r="Q153" s="255"/>
      <c r="R153" s="255"/>
      <c r="S153" s="255"/>
      <c r="T153" s="255"/>
      <c r="U153" s="255"/>
      <c r="V153" s="255"/>
      <c r="W153" s="255"/>
      <c r="X153" s="255"/>
      <c r="Y153" s="255"/>
      <c r="Z153" s="255"/>
      <c r="AA153" s="255"/>
      <c r="AB153" s="255"/>
      <c r="AC153" s="255"/>
      <c r="AD153" s="255"/>
      <c r="AE153" s="255"/>
      <c r="AF153" s="255"/>
      <c r="AG153" s="255"/>
      <c r="AH153" s="255"/>
      <c r="AI153" s="255"/>
      <c r="AJ153" s="255"/>
      <c r="AK153" s="255"/>
      <c r="AL153" s="255"/>
      <c r="AM153" s="255"/>
      <c r="AN153" s="255"/>
      <c r="AO153" s="255"/>
      <c r="AP153" s="255"/>
      <c r="AQ153" s="255"/>
      <c r="AR153" s="255"/>
      <c r="AS153" s="255"/>
      <c r="AT153" s="255"/>
      <c r="AU153" s="255"/>
      <c r="AV153" s="255"/>
      <c r="AW153" s="255"/>
      <c r="AX153" s="255"/>
      <c r="AY153" s="255"/>
      <c r="AZ153" s="255"/>
      <c r="BA153" s="255"/>
      <c r="BB153" s="255"/>
      <c r="BC153" s="255"/>
      <c r="BD153" s="255"/>
      <c r="BE153" s="255"/>
      <c r="BF153" s="255"/>
      <c r="BG153" s="255"/>
      <c r="BH153" s="255"/>
      <c r="BI153" s="255"/>
      <c r="BJ153" s="255"/>
      <c r="BK153" s="255"/>
      <c r="BL153" s="255"/>
      <c r="BM153" s="255"/>
      <c r="BN153" s="255"/>
      <c r="BO153" s="255"/>
      <c r="BP153" s="255"/>
      <c r="BQ153" s="255"/>
      <c r="BR153" s="255"/>
      <c r="BS153" s="255"/>
      <c r="BT153" s="255"/>
      <c r="BU153" s="255"/>
      <c r="BV153" s="255"/>
      <c r="BW153" s="255"/>
      <c r="BX153" s="255"/>
      <c r="BY153" s="255"/>
      <c r="BZ153" s="255"/>
      <c r="CA153" s="255"/>
      <c r="CB153" s="255"/>
      <c r="CC153" s="255"/>
      <c r="CD153" s="255"/>
      <c r="CE153" s="255"/>
      <c r="CF153" s="255"/>
      <c r="CG153" s="255"/>
      <c r="CH153" s="255"/>
      <c r="CI153" s="255"/>
      <c r="CJ153" s="255"/>
      <c r="CK153" s="255"/>
      <c r="CL153" s="255"/>
      <c r="CM153" s="255"/>
      <c r="CN153" s="255"/>
      <c r="CO153" s="255"/>
      <c r="CP153" s="255"/>
      <c r="CQ153" s="255"/>
      <c r="CR153" s="255"/>
      <c r="CS153" s="255"/>
      <c r="CT153" s="255"/>
      <c r="CU153" s="255"/>
      <c r="CV153" s="255"/>
      <c r="CW153" s="255"/>
      <c r="CX153" s="255"/>
      <c r="CY153" s="255"/>
      <c r="CZ153" s="255"/>
      <c r="DA153" s="255"/>
      <c r="DB153" s="255"/>
      <c r="DC153" s="255"/>
      <c r="DD153" s="255"/>
      <c r="DE153" s="255"/>
      <c r="DF153" s="255"/>
      <c r="DG153" s="255"/>
      <c r="DH153" s="255"/>
      <c r="DI153" s="255"/>
      <c r="DJ153" s="255"/>
      <c r="DK153" s="255"/>
      <c r="DL153" s="255"/>
      <c r="DM153" s="255"/>
      <c r="DN153" s="255"/>
      <c r="DO153" s="255"/>
      <c r="DP153" s="255"/>
      <c r="DQ153" s="255"/>
      <c r="DR153" s="255"/>
      <c r="DS153" s="255"/>
      <c r="DT153" s="255"/>
      <c r="DU153" s="255"/>
      <c r="DV153" s="255"/>
      <c r="DW153" s="255"/>
      <c r="DX153" s="255"/>
      <c r="DY153" s="255"/>
      <c r="DZ153" s="255"/>
      <c r="EA153" s="255"/>
      <c r="EB153" s="255"/>
      <c r="EC153" s="255"/>
      <c r="ED153" s="255"/>
      <c r="EE153" s="255"/>
      <c r="EF153" s="255"/>
      <c r="EG153" s="255"/>
      <c r="EH153" s="255"/>
      <c r="EI153" s="255"/>
      <c r="EJ153" s="255"/>
      <c r="EK153" s="255"/>
      <c r="EL153" s="255"/>
      <c r="EM153" s="255"/>
      <c r="EN153" s="255"/>
      <c r="EO153" s="255"/>
      <c r="EP153" s="255"/>
      <c r="EQ153" s="255"/>
      <c r="ER153" s="255"/>
      <c r="ES153" s="255"/>
      <c r="ET153" s="255"/>
      <c r="EU153" s="255"/>
      <c r="EV153" s="255"/>
      <c r="EW153" s="255"/>
      <c r="EX153" s="255"/>
      <c r="EY153" s="255"/>
      <c r="EZ153" s="255"/>
      <c r="FA153" s="255"/>
      <c r="FB153" s="255"/>
      <c r="FC153" s="255"/>
      <c r="FD153" s="255"/>
      <c r="FE153" s="255"/>
      <c r="FF153" s="255"/>
      <c r="FG153" s="255"/>
      <c r="FH153" s="255"/>
      <c r="FI153" s="255"/>
      <c r="FJ153" s="255"/>
      <c r="FK153" s="255"/>
      <c r="FL153" s="255"/>
      <c r="FM153" s="255"/>
      <c r="FN153" s="255"/>
      <c r="FO153" s="255"/>
      <c r="FP153" s="255"/>
      <c r="FQ153" s="255"/>
      <c r="FR153" s="255"/>
      <c r="FS153" s="255"/>
      <c r="FT153" s="255"/>
      <c r="FU153" s="255"/>
      <c r="FV153" s="255"/>
      <c r="FW153" s="255"/>
      <c r="FX153" s="255"/>
      <c r="FY153" s="255"/>
      <c r="FZ153" s="255"/>
      <c r="GA153" s="255"/>
      <c r="GB153" s="255"/>
      <c r="GC153" s="255"/>
      <c r="GD153" s="255"/>
      <c r="GE153" s="255"/>
      <c r="GF153" s="255"/>
      <c r="GG153" s="255"/>
      <c r="GH153" s="255"/>
      <c r="GI153" s="255"/>
      <c r="GJ153" s="255"/>
      <c r="GK153" s="255"/>
      <c r="GL153" s="255"/>
      <c r="GM153" s="255"/>
      <c r="GN153" s="255"/>
      <c r="GO153" s="255"/>
      <c r="GP153" s="255"/>
      <c r="GQ153" s="255"/>
      <c r="GR153" s="255"/>
      <c r="GS153" s="255"/>
      <c r="GT153" s="255"/>
      <c r="GU153" s="255"/>
      <c r="GV153" s="255"/>
      <c r="GW153" s="255"/>
      <c r="GX153" s="255"/>
      <c r="GY153" s="255"/>
      <c r="GZ153" s="255"/>
      <c r="HA153" s="255"/>
      <c r="HB153" s="255"/>
      <c r="HC153" s="255"/>
      <c r="HD153" s="255"/>
      <c r="HE153" s="255"/>
      <c r="HF153" s="255"/>
      <c r="HG153" s="255"/>
      <c r="HH153" s="255"/>
      <c r="HI153" s="255"/>
      <c r="HJ153" s="255"/>
      <c r="HK153" s="255"/>
      <c r="HL153" s="255"/>
      <c r="HM153" s="255"/>
      <c r="HN153" s="255"/>
      <c r="HO153" s="255"/>
      <c r="HP153" s="255"/>
      <c r="HQ153" s="255"/>
      <c r="HR153" s="255"/>
      <c r="HS153" s="255"/>
      <c r="HT153" s="255"/>
      <c r="HU153" s="255"/>
      <c r="HV153" s="255"/>
      <c r="HW153" s="255"/>
      <c r="HX153" s="255"/>
      <c r="HY153" s="255"/>
      <c r="HZ153" s="255"/>
      <c r="IA153" s="255"/>
      <c r="IB153" s="255"/>
      <c r="IC153" s="255"/>
      <c r="ID153" s="255"/>
      <c r="IE153" s="255"/>
      <c r="IF153" s="255"/>
      <c r="IG153" s="255"/>
      <c r="IH153" s="255"/>
      <c r="II153" s="255"/>
      <c r="IJ153" s="255"/>
      <c r="IK153" s="255"/>
      <c r="IL153" s="255"/>
      <c r="IM153" s="255"/>
      <c r="IN153" s="255"/>
      <c r="IO153" s="255"/>
      <c r="IP153" s="255"/>
      <c r="IQ153" s="255"/>
      <c r="IR153" s="255"/>
      <c r="IS153" s="255"/>
      <c r="IT153" s="255"/>
      <c r="IU153" s="255"/>
      <c r="IV153" s="255"/>
      <c r="IW153" s="255"/>
      <c r="IX153" s="255"/>
      <c r="IY153" s="255"/>
      <c r="IZ153" s="255"/>
      <c r="JA153" s="255"/>
      <c r="JB153" s="255"/>
      <c r="JC153" s="255"/>
      <c r="JD153" s="255"/>
      <c r="JE153" s="255"/>
      <c r="JF153" s="255"/>
      <c r="JG153" s="255"/>
      <c r="JH153" s="255"/>
      <c r="JI153" s="255"/>
      <c r="JJ153" s="255"/>
      <c r="JK153" s="255"/>
      <c r="JL153" s="255"/>
      <c r="JM153" s="255"/>
      <c r="JN153" s="255"/>
      <c r="JO153" s="255"/>
      <c r="JP153" s="255"/>
      <c r="JQ153" s="255"/>
      <c r="JR153" s="255"/>
      <c r="JS153" s="255"/>
      <c r="JT153" s="255"/>
      <c r="JU153" s="255"/>
      <c r="JV153" s="255"/>
      <c r="JW153" s="255"/>
      <c r="JX153" s="255"/>
      <c r="JY153" s="255"/>
      <c r="JZ153" s="255"/>
      <c r="KA153" s="255"/>
      <c r="KB153" s="255"/>
      <c r="KC153" s="255"/>
      <c r="KD153" s="255"/>
      <c r="KE153" s="255"/>
      <c r="KF153" s="255"/>
      <c r="KG153" s="255"/>
      <c r="KH153" s="255"/>
      <c r="KI153" s="255"/>
      <c r="KJ153" s="255"/>
      <c r="KK153" s="255"/>
      <c r="KL153" s="255"/>
      <c r="KM153" s="255"/>
      <c r="KN153" s="255"/>
      <c r="KO153" s="255"/>
      <c r="KP153" s="255"/>
      <c r="KQ153" s="255"/>
      <c r="KR153" s="255"/>
      <c r="KS153" s="255"/>
      <c r="KT153" s="255"/>
      <c r="KU153" s="255"/>
      <c r="KV153" s="255"/>
      <c r="KW153" s="255"/>
      <c r="KX153" s="255"/>
      <c r="KY153" s="255"/>
      <c r="KZ153" s="255"/>
      <c r="LA153" s="255"/>
      <c r="LB153" s="255"/>
      <c r="LC153" s="255"/>
      <c r="LD153" s="255"/>
      <c r="LE153" s="255"/>
      <c r="LF153" s="255"/>
      <c r="LG153" s="255"/>
      <c r="LH153" s="255"/>
      <c r="LI153" s="255"/>
      <c r="LJ153" s="255"/>
      <c r="LK153" s="255"/>
      <c r="LL153" s="255"/>
      <c r="LM153" s="255"/>
      <c r="LN153" s="255"/>
      <c r="LO153" s="255"/>
      <c r="LP153" s="255"/>
      <c r="LQ153" s="255"/>
      <c r="LR153" s="255"/>
      <c r="LS153" s="255"/>
      <c r="LT153" s="255"/>
      <c r="LU153" s="255"/>
      <c r="LV153" s="255"/>
      <c r="LW153" s="255"/>
      <c r="LX153" s="255"/>
      <c r="LY153" s="255"/>
      <c r="LZ153" s="255"/>
      <c r="MA153" s="255"/>
      <c r="MB153" s="255"/>
      <c r="MC153" s="255"/>
      <c r="MD153" s="255"/>
      <c r="ME153" s="255"/>
      <c r="MF153" s="255"/>
      <c r="MG153" s="255"/>
      <c r="MH153" s="255"/>
      <c r="MI153" s="255"/>
      <c r="MJ153" s="255"/>
      <c r="MK153" s="255"/>
      <c r="ML153" s="255"/>
      <c r="MM153" s="255"/>
      <c r="MN153" s="255"/>
      <c r="MO153" s="255"/>
      <c r="MP153" s="255"/>
      <c r="MQ153" s="255"/>
      <c r="MR153" s="255"/>
      <c r="MS153" s="255"/>
      <c r="MT153" s="255"/>
      <c r="MU153" s="255"/>
      <c r="MV153" s="255"/>
      <c r="MW153" s="255"/>
      <c r="MX153" s="255"/>
      <c r="MY153" s="255"/>
      <c r="MZ153" s="255"/>
      <c r="NA153" s="255"/>
      <c r="NB153" s="255"/>
      <c r="NC153" s="255"/>
      <c r="ND153" s="255"/>
      <c r="NE153" s="255"/>
      <c r="NF153" s="255"/>
      <c r="NG153" s="255"/>
      <c r="NH153" s="255"/>
      <c r="NI153" s="255"/>
      <c r="NJ153" s="255"/>
      <c r="NK153" s="255"/>
      <c r="NL153" s="255"/>
      <c r="NM153" s="255"/>
      <c r="NN153" s="255"/>
      <c r="NO153" s="255"/>
      <c r="NP153" s="255"/>
      <c r="NQ153" s="255"/>
      <c r="NR153" s="255"/>
      <c r="NS153" s="255"/>
      <c r="NT153" s="255"/>
      <c r="NU153" s="255"/>
      <c r="NV153" s="255"/>
      <c r="NW153" s="255"/>
      <c r="NX153" s="255"/>
      <c r="NY153" s="255"/>
      <c r="NZ153" s="255"/>
      <c r="OA153" s="255"/>
      <c r="OB153" s="255"/>
      <c r="OC153" s="255"/>
      <c r="OD153" s="255"/>
      <c r="OE153" s="255"/>
      <c r="OF153" s="255"/>
      <c r="OG153" s="255"/>
      <c r="OH153" s="255"/>
      <c r="OI153" s="255"/>
      <c r="OJ153" s="255"/>
      <c r="OK153" s="255"/>
      <c r="OL153" s="255"/>
      <c r="OM153" s="255"/>
      <c r="ON153" s="255"/>
      <c r="OO153" s="255"/>
      <c r="OP153" s="255"/>
      <c r="OQ153" s="255"/>
      <c r="OR153" s="255"/>
      <c r="OS153" s="255"/>
      <c r="OT153" s="255"/>
      <c r="OU153" s="255"/>
      <c r="OV153" s="255"/>
      <c r="OW153" s="255"/>
      <c r="OX153" s="255"/>
      <c r="OY153" s="255"/>
      <c r="OZ153" s="255"/>
      <c r="PA153" s="255"/>
      <c r="PB153" s="255"/>
      <c r="PC153" s="255"/>
      <c r="PD153" s="255"/>
      <c r="PE153" s="255"/>
      <c r="PF153" s="255"/>
      <c r="PG153" s="255"/>
      <c r="PH153" s="255"/>
      <c r="PI153" s="255"/>
      <c r="PJ153" s="255"/>
      <c r="PK153" s="255"/>
      <c r="PL153" s="255"/>
      <c r="PM153" s="255"/>
      <c r="PN153" s="255"/>
      <c r="PO153" s="255"/>
      <c r="PP153" s="255"/>
      <c r="PQ153" s="255"/>
      <c r="PR153" s="255"/>
      <c r="PS153" s="255"/>
      <c r="PT153" s="255"/>
      <c r="PU153" s="255"/>
      <c r="PV153" s="255"/>
      <c r="PW153" s="255"/>
      <c r="PX153" s="255"/>
      <c r="PY153" s="255"/>
      <c r="PZ153" s="255"/>
      <c r="QA153" s="255"/>
      <c r="QB153" s="255"/>
      <c r="QC153" s="255"/>
      <c r="QD153" s="255"/>
      <c r="QE153" s="255"/>
      <c r="QF153" s="255"/>
      <c r="QG153" s="255"/>
      <c r="QH153" s="255"/>
      <c r="QI153" s="255"/>
      <c r="QJ153" s="255"/>
      <c r="QK153" s="255"/>
      <c r="QL153" s="255"/>
      <c r="QM153" s="255"/>
      <c r="QN153" s="255"/>
      <c r="QO153" s="255"/>
      <c r="QP153" s="255"/>
      <c r="QQ153" s="255"/>
      <c r="QR153" s="255"/>
      <c r="QS153" s="255"/>
      <c r="QT153" s="255"/>
      <c r="QU153" s="255"/>
      <c r="QV153" s="255"/>
      <c r="QW153" s="255"/>
      <c r="QX153" s="255"/>
      <c r="QY153" s="255"/>
      <c r="QZ153" s="255"/>
      <c r="RA153" s="255"/>
      <c r="RB153" s="255"/>
      <c r="RC153" s="255"/>
      <c r="RD153" s="255"/>
      <c r="RE153" s="255"/>
      <c r="RF153" s="255"/>
      <c r="RG153" s="255"/>
      <c r="RH153" s="255"/>
      <c r="RI153" s="255"/>
      <c r="RJ153" s="255"/>
      <c r="RK153" s="255"/>
      <c r="RL153" s="255"/>
      <c r="RM153" s="255"/>
      <c r="RN153" s="255"/>
      <c r="RO153" s="255"/>
      <c r="RP153" s="255"/>
      <c r="RQ153" s="255"/>
      <c r="RR153" s="255"/>
      <c r="RS153" s="255"/>
      <c r="RT153" s="255"/>
      <c r="RU153" s="255"/>
      <c r="RV153" s="255"/>
      <c r="RW153" s="255"/>
      <c r="RX153" s="255"/>
      <c r="RY153" s="255"/>
      <c r="RZ153" s="255"/>
      <c r="SA153" s="255"/>
      <c r="SB153" s="255"/>
      <c r="SC153" s="255"/>
      <c r="SD153" s="255"/>
      <c r="SE153" s="255"/>
      <c r="SF153" s="255"/>
      <c r="SG153" s="255"/>
      <c r="SH153" s="255"/>
      <c r="SI153" s="255"/>
      <c r="SJ153" s="255"/>
      <c r="SK153" s="255"/>
      <c r="SL153" s="255"/>
      <c r="SM153" s="255"/>
      <c r="SN153" s="255"/>
      <c r="SO153" s="255"/>
      <c r="SP153" s="255"/>
      <c r="SQ153" s="255"/>
      <c r="SR153" s="255"/>
      <c r="SS153" s="255"/>
      <c r="ST153" s="255"/>
      <c r="SU153" s="255"/>
      <c r="SV153" s="255"/>
      <c r="SW153" s="255"/>
      <c r="SX153" s="255"/>
      <c r="SY153" s="255"/>
      <c r="SZ153" s="255"/>
      <c r="TA153" s="255"/>
      <c r="TB153" s="255"/>
      <c r="TC153" s="255"/>
      <c r="TD153" s="255"/>
      <c r="TE153" s="255"/>
      <c r="TF153" s="255"/>
      <c r="TG153" s="255"/>
      <c r="TH153" s="255"/>
      <c r="TI153" s="255"/>
      <c r="TJ153" s="255"/>
      <c r="TK153" s="255"/>
      <c r="TL153" s="255"/>
      <c r="TM153" s="255"/>
      <c r="TN153" s="255"/>
      <c r="TO153" s="255"/>
      <c r="TP153" s="255"/>
      <c r="TQ153" s="255"/>
      <c r="TR153" s="255"/>
      <c r="TS153" s="255"/>
      <c r="TT153" s="255"/>
      <c r="TU153" s="255"/>
      <c r="TV153" s="255"/>
      <c r="TW153" s="255"/>
      <c r="TX153" s="255"/>
      <c r="TY153" s="255"/>
      <c r="TZ153" s="255"/>
      <c r="UA153" s="255"/>
      <c r="UB153" s="255"/>
      <c r="UC153" s="255"/>
      <c r="UD153" s="255"/>
      <c r="UE153" s="255"/>
      <c r="UF153" s="255"/>
      <c r="UG153" s="255"/>
      <c r="UH153" s="255"/>
      <c r="UI153" s="255"/>
      <c r="UJ153" s="255"/>
      <c r="UK153" s="255"/>
      <c r="UL153" s="255"/>
      <c r="UM153" s="255"/>
      <c r="UN153" s="255"/>
      <c r="UO153" s="255"/>
      <c r="UP153" s="255"/>
      <c r="UQ153" s="255"/>
      <c r="UR153" s="255"/>
      <c r="US153" s="255"/>
      <c r="UT153" s="255"/>
      <c r="UU153" s="255"/>
      <c r="UV153" s="255"/>
      <c r="UW153" s="255"/>
      <c r="UX153" s="255"/>
      <c r="UY153" s="255"/>
      <c r="UZ153" s="255"/>
      <c r="VA153" s="255"/>
      <c r="VB153" s="255"/>
      <c r="VC153" s="255"/>
      <c r="VD153" s="255"/>
      <c r="VE153" s="255"/>
      <c r="VF153" s="255"/>
      <c r="VG153" s="255"/>
      <c r="VH153" s="255"/>
      <c r="VI153" s="255"/>
      <c r="VJ153" s="255"/>
      <c r="VK153" s="255"/>
      <c r="VL153" s="255"/>
      <c r="VM153" s="255"/>
      <c r="VN153" s="255"/>
      <c r="VO153" s="255"/>
      <c r="VP153" s="255"/>
      <c r="VQ153" s="255"/>
      <c r="VR153" s="255"/>
      <c r="VS153" s="255"/>
      <c r="VT153" s="255"/>
      <c r="VU153" s="255"/>
      <c r="VV153" s="255"/>
      <c r="VW153" s="255"/>
      <c r="VX153" s="255"/>
      <c r="VY153" s="255"/>
      <c r="VZ153" s="255"/>
      <c r="WA153" s="255"/>
      <c r="WB153" s="255"/>
      <c r="WC153" s="255"/>
      <c r="WD153" s="255"/>
      <c r="WE153" s="255"/>
      <c r="WF153" s="255"/>
      <c r="WG153" s="255"/>
      <c r="WH153" s="255"/>
      <c r="WI153" s="255"/>
      <c r="WJ153" s="255"/>
      <c r="WK153" s="255"/>
      <c r="WL153" s="255"/>
      <c r="WM153" s="255"/>
      <c r="WN153" s="255"/>
      <c r="WO153" s="255"/>
      <c r="WP153" s="255"/>
      <c r="WQ153" s="255"/>
      <c r="WR153" s="255"/>
      <c r="WS153" s="255"/>
      <c r="WT153" s="255"/>
      <c r="WU153" s="255"/>
      <c r="WV153" s="255"/>
      <c r="WW153" s="255"/>
      <c r="WX153" s="255"/>
      <c r="WY153" s="255"/>
      <c r="WZ153" s="255"/>
      <c r="XA153" s="255"/>
      <c r="XB153" s="255"/>
      <c r="XC153" s="255"/>
      <c r="XD153" s="255"/>
      <c r="XE153" s="255"/>
      <c r="XF153" s="255"/>
      <c r="XG153" s="255"/>
      <c r="XH153" s="255"/>
      <c r="XI153" s="255"/>
      <c r="XJ153" s="255"/>
      <c r="XK153" s="255"/>
      <c r="XL153" s="255"/>
      <c r="XM153" s="255"/>
      <c r="XN153" s="255"/>
      <c r="XO153" s="255"/>
      <c r="XP153" s="255"/>
      <c r="XQ153" s="255"/>
      <c r="XR153" s="255"/>
      <c r="XS153" s="255"/>
      <c r="XT153" s="255"/>
      <c r="XU153" s="255"/>
      <c r="XV153" s="255"/>
      <c r="XW153" s="255"/>
      <c r="XX153" s="255"/>
      <c r="XY153" s="255"/>
      <c r="XZ153" s="255"/>
      <c r="YA153" s="255"/>
      <c r="YB153" s="255"/>
      <c r="YC153" s="255"/>
      <c r="YD153" s="255"/>
      <c r="YE153" s="255"/>
      <c r="YF153" s="255"/>
      <c r="YG153" s="255"/>
      <c r="YH153" s="255"/>
      <c r="YI153" s="255"/>
      <c r="YJ153" s="255"/>
      <c r="YK153" s="255"/>
      <c r="YL153" s="255"/>
      <c r="YM153" s="255"/>
      <c r="YN153" s="255"/>
      <c r="YO153" s="255"/>
      <c r="YP153" s="255"/>
      <c r="YQ153" s="255"/>
      <c r="YR153" s="255"/>
      <c r="YS153" s="255"/>
      <c r="YT153" s="255"/>
      <c r="YU153" s="255"/>
      <c r="YV153" s="255"/>
      <c r="YW153" s="255"/>
      <c r="YX153" s="255"/>
      <c r="YY153" s="255"/>
      <c r="YZ153" s="255"/>
      <c r="ZA153" s="255"/>
      <c r="ZB153" s="255"/>
      <c r="ZC153" s="255"/>
      <c r="ZD153" s="255"/>
      <c r="ZE153" s="255"/>
      <c r="ZF153" s="255"/>
      <c r="ZG153" s="255"/>
      <c r="ZH153" s="255"/>
      <c r="ZI153" s="255"/>
      <c r="ZJ153" s="255"/>
      <c r="ZK153" s="255"/>
      <c r="ZL153" s="255"/>
      <c r="ZM153" s="255"/>
      <c r="ZN153" s="255"/>
      <c r="ZO153" s="255"/>
      <c r="ZP153" s="255"/>
      <c r="ZQ153" s="255"/>
      <c r="ZR153" s="255"/>
      <c r="ZS153" s="255"/>
      <c r="ZT153" s="255"/>
      <c r="ZU153" s="255"/>
      <c r="ZV153" s="255"/>
      <c r="ZW153" s="255"/>
      <c r="ZX153" s="255"/>
      <c r="ZY153" s="255"/>
      <c r="ZZ153" s="255"/>
      <c r="AAA153" s="255"/>
      <c r="AAB153" s="255"/>
      <c r="AAC153" s="255"/>
      <c r="AAD153" s="255"/>
      <c r="AAE153" s="255"/>
      <c r="AAF153" s="255"/>
      <c r="AAG153" s="255"/>
      <c r="AAH153" s="255"/>
      <c r="AAI153" s="255"/>
      <c r="AAJ153" s="255"/>
      <c r="AAK153" s="255"/>
      <c r="AAL153" s="255"/>
      <c r="AAM153" s="255"/>
      <c r="AAN153" s="255"/>
      <c r="AAO153" s="255"/>
      <c r="AAP153" s="255"/>
      <c r="AAQ153" s="255"/>
      <c r="AAR153" s="255"/>
      <c r="AAS153" s="255"/>
      <c r="AAT153" s="255"/>
      <c r="AAU153" s="255"/>
      <c r="AAV153" s="255"/>
      <c r="AAW153" s="255"/>
      <c r="AAX153" s="255"/>
      <c r="AAY153" s="255"/>
      <c r="AAZ153" s="255"/>
      <c r="ABA153" s="255"/>
      <c r="ABB153" s="255"/>
      <c r="ABC153" s="255"/>
      <c r="ABD153" s="255"/>
      <c r="ABE153" s="255"/>
      <c r="ABF153" s="255"/>
      <c r="ABG153" s="255"/>
      <c r="ABH153" s="255"/>
      <c r="ABI153" s="255"/>
      <c r="ABJ153" s="255"/>
      <c r="ABK153" s="255"/>
      <c r="ABL153" s="255"/>
      <c r="ABM153" s="255"/>
      <c r="ABN153" s="255"/>
      <c r="ABO153" s="255"/>
      <c r="ABP153" s="255"/>
      <c r="ABQ153" s="255"/>
      <c r="ABR153" s="255"/>
      <c r="ABS153" s="255"/>
      <c r="ABT153" s="255"/>
      <c r="ABU153" s="255"/>
      <c r="ABV153" s="255"/>
      <c r="ABW153" s="255"/>
      <c r="ABX153" s="255"/>
      <c r="ABY153" s="255"/>
      <c r="ABZ153" s="255"/>
      <c r="ACA153" s="255"/>
      <c r="ACB153" s="255"/>
      <c r="ACC153" s="255"/>
      <c r="ACD153" s="255"/>
      <c r="ACE153" s="255"/>
      <c r="ACF153" s="255"/>
      <c r="ACG153" s="255"/>
      <c r="ACH153" s="255"/>
      <c r="ACI153" s="255"/>
      <c r="ACJ153" s="255"/>
      <c r="ACK153" s="255"/>
      <c r="ACL153" s="255"/>
      <c r="ACM153" s="255"/>
      <c r="ACN153" s="255"/>
      <c r="ACO153" s="255"/>
      <c r="ACP153" s="255"/>
      <c r="ACQ153" s="255"/>
      <c r="ACR153" s="255"/>
      <c r="ACS153" s="255"/>
      <c r="ACT153" s="255"/>
      <c r="ACU153" s="255"/>
      <c r="ACV153" s="255"/>
      <c r="ACW153" s="255"/>
      <c r="ACX153" s="255"/>
      <c r="ACY153" s="255"/>
      <c r="ACZ153" s="255"/>
      <c r="ADA153" s="255"/>
      <c r="ADB153" s="255"/>
      <c r="ADC153" s="255"/>
      <c r="ADD153" s="255"/>
      <c r="ADE153" s="255"/>
      <c r="ADF153" s="255"/>
      <c r="ADG153" s="255"/>
      <c r="ADH153" s="255"/>
      <c r="ADI153" s="255"/>
      <c r="ADJ153" s="255"/>
      <c r="ADK153" s="255"/>
      <c r="ADL153" s="255"/>
      <c r="ADM153" s="255"/>
      <c r="ADN153" s="255"/>
      <c r="ADO153" s="255"/>
      <c r="ADP153" s="255"/>
      <c r="ADQ153" s="255"/>
      <c r="ADR153" s="255"/>
      <c r="ADS153" s="255"/>
      <c r="ADT153" s="255"/>
      <c r="ADU153" s="255"/>
      <c r="ADV153" s="255"/>
      <c r="ADW153" s="255"/>
      <c r="ADX153" s="255"/>
      <c r="ADY153" s="255"/>
      <c r="ADZ153" s="255"/>
      <c r="AEA153" s="255"/>
      <c r="AEB153" s="255"/>
      <c r="AEC153" s="255"/>
      <c r="AED153" s="255"/>
      <c r="AEE153" s="255"/>
      <c r="AEF153" s="255"/>
      <c r="AEG153" s="255"/>
      <c r="AEH153" s="255"/>
      <c r="AEI153" s="255"/>
      <c r="AEJ153" s="255"/>
      <c r="AEK153" s="255"/>
      <c r="AEL153" s="255"/>
      <c r="AEM153" s="255"/>
      <c r="AEN153" s="255"/>
      <c r="AEO153" s="255"/>
      <c r="AEP153" s="255"/>
      <c r="AEQ153" s="255"/>
      <c r="AER153" s="255"/>
      <c r="AES153" s="255"/>
      <c r="AET153" s="255"/>
      <c r="AEU153" s="255"/>
      <c r="AEV153" s="255"/>
      <c r="AEW153" s="255"/>
      <c r="AEX153" s="255"/>
      <c r="AEY153" s="255"/>
      <c r="AEZ153" s="255"/>
      <c r="AFA153" s="255"/>
      <c r="AFB153" s="255"/>
      <c r="AFC153" s="255"/>
      <c r="AFD153" s="255"/>
      <c r="AFE153" s="255"/>
      <c r="AFF153" s="255"/>
      <c r="AFG153" s="255"/>
      <c r="AFH153" s="255"/>
      <c r="AFI153" s="255"/>
      <c r="AFJ153" s="255"/>
      <c r="AFK153" s="255"/>
      <c r="AFL153" s="255"/>
      <c r="AFM153" s="255"/>
      <c r="AFN153" s="255"/>
      <c r="AFO153" s="255"/>
      <c r="AFP153" s="255"/>
      <c r="AFQ153" s="255"/>
      <c r="AFR153" s="255"/>
      <c r="AFS153" s="255"/>
      <c r="AFT153" s="255"/>
      <c r="AFU153" s="255"/>
      <c r="AFV153" s="255"/>
      <c r="AFW153" s="255"/>
      <c r="AFX153" s="255"/>
      <c r="AFY153" s="255"/>
      <c r="AFZ153" s="255"/>
      <c r="AGA153" s="255"/>
      <c r="AGB153" s="255"/>
      <c r="AGC153" s="255"/>
      <c r="AGD153" s="255"/>
      <c r="AGE153" s="255"/>
      <c r="AGF153" s="255"/>
      <c r="AGG153" s="255"/>
      <c r="AGH153" s="255"/>
      <c r="AGI153" s="255"/>
      <c r="AGJ153" s="255"/>
      <c r="AGK153" s="255"/>
      <c r="AGL153" s="255"/>
      <c r="AGM153" s="255"/>
      <c r="AGN153" s="255"/>
      <c r="AGO153" s="255"/>
      <c r="AGP153" s="255"/>
      <c r="AGQ153" s="255"/>
      <c r="AGR153" s="255"/>
      <c r="AGS153" s="255"/>
      <c r="AGT153" s="255"/>
      <c r="AGU153" s="255"/>
      <c r="AGV153" s="255"/>
      <c r="AGW153" s="255"/>
      <c r="AGX153" s="255"/>
      <c r="AGY153" s="255"/>
      <c r="AGZ153" s="255"/>
      <c r="AHA153" s="255"/>
      <c r="AHB153" s="255"/>
      <c r="AHC153" s="255"/>
      <c r="AHD153" s="255"/>
      <c r="AHE153" s="255"/>
      <c r="AHF153" s="255"/>
      <c r="AHG153" s="255"/>
      <c r="AHH153" s="255"/>
      <c r="AHI153" s="255"/>
      <c r="AHJ153" s="255"/>
      <c r="AHK153" s="255"/>
      <c r="AHL153" s="255"/>
      <c r="AHM153" s="255"/>
      <c r="AHN153" s="255"/>
      <c r="AHO153" s="255"/>
      <c r="AHP153" s="255"/>
      <c r="AHQ153" s="255"/>
      <c r="AHR153" s="255"/>
      <c r="AHS153" s="255"/>
      <c r="AHT153" s="255"/>
      <c r="AHU153" s="255"/>
      <c r="AHV153" s="255"/>
      <c r="AHW153" s="255"/>
      <c r="AHX153" s="255"/>
      <c r="AHY153" s="255"/>
      <c r="AHZ153" s="255"/>
      <c r="AIA153" s="255"/>
      <c r="AIB153" s="255"/>
      <c r="AIC153" s="255"/>
      <c r="AID153" s="255"/>
      <c r="AIE153" s="255"/>
      <c r="AIF153" s="255"/>
      <c r="AIG153" s="255"/>
      <c r="AIH153" s="255"/>
      <c r="AII153" s="255"/>
      <c r="AIJ153" s="255"/>
      <c r="AIK153" s="255"/>
      <c r="AIL153" s="255"/>
      <c r="AIM153" s="255"/>
      <c r="AIN153" s="255"/>
      <c r="AIO153" s="255"/>
      <c r="AIP153" s="255"/>
      <c r="AIQ153" s="255"/>
      <c r="AIR153" s="255"/>
      <c r="AIS153" s="255"/>
      <c r="AIT153" s="255"/>
      <c r="AIU153" s="255"/>
      <c r="AIV153" s="255"/>
      <c r="AIW153" s="255"/>
      <c r="AIX153" s="255"/>
      <c r="AIY153" s="255"/>
      <c r="AIZ153" s="255"/>
      <c r="AJA153" s="255"/>
      <c r="AJB153" s="255"/>
      <c r="AJC153" s="255"/>
      <c r="AJD153" s="255"/>
      <c r="AJE153" s="255"/>
      <c r="AJF153" s="255"/>
      <c r="AJG153" s="255"/>
      <c r="AJH153" s="255"/>
      <c r="AJI153" s="255"/>
      <c r="AJJ153" s="255"/>
      <c r="AJK153" s="255"/>
      <c r="AJL153" s="255"/>
      <c r="AJM153" s="255"/>
      <c r="AJN153" s="255"/>
      <c r="AJO153" s="255"/>
      <c r="AJP153" s="255"/>
      <c r="AJQ153" s="255"/>
      <c r="AJR153" s="255"/>
      <c r="AJS153" s="255"/>
      <c r="AJT153" s="255"/>
      <c r="AJU153" s="255"/>
      <c r="AJV153" s="255"/>
      <c r="AJW153" s="255"/>
      <c r="AJX153" s="255"/>
      <c r="AJY153" s="255"/>
      <c r="AJZ153" s="255"/>
      <c r="AKA153" s="255"/>
      <c r="AKB153" s="255"/>
      <c r="AKC153" s="255"/>
      <c r="AKD153" s="255"/>
      <c r="AKE153" s="255"/>
      <c r="AKF153" s="255"/>
      <c r="AKG153" s="255"/>
      <c r="AKH153" s="255"/>
      <c r="AKI153" s="255"/>
      <c r="AKJ153" s="255"/>
      <c r="AKK153" s="255"/>
      <c r="AKL153" s="255"/>
      <c r="AKM153" s="255"/>
      <c r="AKN153" s="255"/>
      <c r="AKO153" s="255"/>
      <c r="AKP153" s="255"/>
      <c r="AKQ153" s="255"/>
      <c r="AKR153" s="255"/>
      <c r="AKS153" s="255"/>
      <c r="AKT153" s="255"/>
      <c r="AKU153" s="255"/>
      <c r="AKV153" s="255"/>
      <c r="AKW153" s="255"/>
      <c r="AKX153" s="255"/>
      <c r="AKY153" s="255"/>
      <c r="AKZ153" s="255"/>
      <c r="ALA153" s="255"/>
      <c r="ALB153" s="255"/>
      <c r="ALC153" s="255"/>
      <c r="ALD153" s="255"/>
      <c r="ALE153" s="255"/>
      <c r="ALF153" s="255"/>
      <c r="ALG153" s="255"/>
      <c r="ALH153" s="255"/>
      <c r="ALI153" s="255"/>
      <c r="ALJ153" s="255"/>
      <c r="ALK153" s="255"/>
      <c r="ALL153" s="255"/>
      <c r="ALM153" s="255"/>
      <c r="ALN153" s="255"/>
      <c r="ALO153" s="255"/>
      <c r="ALP153" s="255"/>
      <c r="ALQ153" s="255"/>
      <c r="ALR153" s="255"/>
    </row>
    <row r="154" spans="1:1006" s="191" customFormat="1" ht="24">
      <c r="A154" s="251" t="s">
        <v>7</v>
      </c>
      <c r="B154" s="290">
        <v>88415</v>
      </c>
      <c r="C154" s="282" t="str">
        <f>(IF($A154="SINAPI",INDEX(SINAPI_NOV2020_NDES!$A$7:$H$6703,MATCH($B154,SINAPI_NOV2020_NDES!$A$7:$A$6703,0),2),IF($A154="GOINFRA",INDEX(#REF!,MATCH($B154,#REF!,0),2),(INDEX(COMPOS!$A$4:$G$390,MATCH($B154,COMPOS!$A$4:A$390,0),2)))))</f>
        <v>APLICAÇÃO MANUAL DE FUNDO SELADOR ACRÍLICO EM PAREDES EXTERNAS DE CASAS. AF_06/2014</v>
      </c>
      <c r="D154" s="274" t="str">
        <f>(IF($A154="SINAPI",INDEX(SINAPI_NOV2020_NDES!$A$7:$H$6790,MATCH($B154,SINAPI_NOV2020_NDES!$A$7:$A$6790,0),3),(INDEX(COMPOS!$A$4:$G$5000,MATCH($B154,COMPOS!$A$4:$A$5000,0),3))))</f>
        <v>M2</v>
      </c>
      <c r="E154" s="276">
        <v>300.29000000000002</v>
      </c>
      <c r="F154" s="303">
        <f>(IF($A154="SINAPI",INDEX(SINAPI_NOV2020_NDES!$A$7:$H$6703,MATCH($B154,SINAPI_NOV2020_NDES!$A$7:$A$6703,0),5),(INDEX(COMPOS!$A$4:$G$801,MATCH($B154,COMPOS!$A$4:A$801,0),4))))</f>
        <v>1.07</v>
      </c>
      <c r="G154" s="314">
        <f>(IF($A154="SINAPI",INDEX(SINAPI_NOV2020_NDES!$A$7:$H$6703,MATCH($B154,SINAPI_NOV2020_NDES!$A$7:$A$6703,0),6),(INDEX(COMPOS!$A$4:$G$801,MATCH($B154,COMPOS!$A$4:A$801,0),5))))</f>
        <v>1.51</v>
      </c>
      <c r="H154" s="315">
        <f>(IF($A154="SINAPI",INDEX(SINAPI_NOV2020_NDES!$A$7:$H$6703,MATCH($B154,SINAPI_NOV2020_NDES!$A$7:$A$6703,0),7),(INDEX(COMPOS!$A$4:$G$801,MATCH($B154,COMPOS!$A$4:A$801,0),6))))</f>
        <v>0</v>
      </c>
      <c r="I154" s="315">
        <f t="shared" si="38"/>
        <v>2.58</v>
      </c>
      <c r="J154" s="280">
        <f t="shared" si="39"/>
        <v>774.74820000000011</v>
      </c>
      <c r="K154" s="255"/>
      <c r="L154" s="255"/>
      <c r="M154" s="255"/>
      <c r="N154" s="255"/>
      <c r="O154" s="257"/>
      <c r="P154" s="257"/>
      <c r="Q154" s="255"/>
      <c r="R154" s="255"/>
      <c r="S154" s="255"/>
      <c r="T154" s="255"/>
      <c r="U154" s="255"/>
      <c r="V154" s="255"/>
      <c r="W154" s="255"/>
      <c r="X154" s="255"/>
      <c r="Y154" s="255"/>
      <c r="Z154" s="255"/>
      <c r="AA154" s="255"/>
      <c r="AB154" s="255"/>
      <c r="AC154" s="255"/>
      <c r="AD154" s="255"/>
      <c r="AE154" s="255"/>
      <c r="AF154" s="255"/>
      <c r="AG154" s="255"/>
      <c r="AH154" s="255"/>
      <c r="AI154" s="255"/>
      <c r="AJ154" s="255"/>
      <c r="AK154" s="255"/>
      <c r="AL154" s="255"/>
      <c r="AM154" s="255"/>
      <c r="AN154" s="255"/>
      <c r="AO154" s="255"/>
      <c r="AP154" s="255"/>
      <c r="AQ154" s="255"/>
      <c r="AR154" s="255"/>
      <c r="AS154" s="255"/>
      <c r="AT154" s="255"/>
      <c r="AU154" s="255"/>
      <c r="AV154" s="255"/>
      <c r="AW154" s="255"/>
      <c r="AX154" s="255"/>
      <c r="AY154" s="255"/>
      <c r="AZ154" s="255"/>
      <c r="BA154" s="255"/>
      <c r="BB154" s="255"/>
      <c r="BC154" s="255"/>
      <c r="BD154" s="255"/>
      <c r="BE154" s="255"/>
      <c r="BF154" s="255"/>
      <c r="BG154" s="255"/>
      <c r="BH154" s="255"/>
      <c r="BI154" s="255"/>
      <c r="BJ154" s="255"/>
      <c r="BK154" s="255"/>
      <c r="BL154" s="255"/>
      <c r="BM154" s="255"/>
      <c r="BN154" s="255"/>
      <c r="BO154" s="255"/>
      <c r="BP154" s="255"/>
      <c r="BQ154" s="255"/>
      <c r="BR154" s="255"/>
      <c r="BS154" s="255"/>
      <c r="BT154" s="255"/>
      <c r="BU154" s="255"/>
      <c r="BV154" s="255"/>
      <c r="BW154" s="255"/>
      <c r="BX154" s="255"/>
      <c r="BY154" s="255"/>
      <c r="BZ154" s="255"/>
      <c r="CA154" s="255"/>
      <c r="CB154" s="255"/>
      <c r="CC154" s="255"/>
      <c r="CD154" s="255"/>
      <c r="CE154" s="255"/>
      <c r="CF154" s="255"/>
      <c r="CG154" s="255"/>
      <c r="CH154" s="255"/>
      <c r="CI154" s="255"/>
      <c r="CJ154" s="255"/>
      <c r="CK154" s="255"/>
      <c r="CL154" s="255"/>
      <c r="CM154" s="255"/>
      <c r="CN154" s="255"/>
      <c r="CO154" s="255"/>
      <c r="CP154" s="255"/>
      <c r="CQ154" s="255"/>
      <c r="CR154" s="255"/>
      <c r="CS154" s="255"/>
      <c r="CT154" s="255"/>
      <c r="CU154" s="255"/>
      <c r="CV154" s="255"/>
      <c r="CW154" s="255"/>
      <c r="CX154" s="255"/>
      <c r="CY154" s="255"/>
      <c r="CZ154" s="255"/>
      <c r="DA154" s="255"/>
      <c r="DB154" s="255"/>
      <c r="DC154" s="255"/>
      <c r="DD154" s="255"/>
      <c r="DE154" s="255"/>
      <c r="DF154" s="255"/>
      <c r="DG154" s="255"/>
      <c r="DH154" s="255"/>
      <c r="DI154" s="255"/>
      <c r="DJ154" s="255"/>
      <c r="DK154" s="255"/>
      <c r="DL154" s="255"/>
      <c r="DM154" s="255"/>
      <c r="DN154" s="255"/>
      <c r="DO154" s="255"/>
      <c r="DP154" s="255"/>
      <c r="DQ154" s="255"/>
      <c r="DR154" s="255"/>
      <c r="DS154" s="255"/>
      <c r="DT154" s="255"/>
      <c r="DU154" s="255"/>
      <c r="DV154" s="255"/>
      <c r="DW154" s="255"/>
      <c r="DX154" s="255"/>
      <c r="DY154" s="255"/>
      <c r="DZ154" s="255"/>
      <c r="EA154" s="255"/>
      <c r="EB154" s="255"/>
      <c r="EC154" s="255"/>
      <c r="ED154" s="255"/>
      <c r="EE154" s="255"/>
      <c r="EF154" s="255"/>
      <c r="EG154" s="255"/>
      <c r="EH154" s="255"/>
      <c r="EI154" s="255"/>
      <c r="EJ154" s="255"/>
      <c r="EK154" s="255"/>
      <c r="EL154" s="255"/>
      <c r="EM154" s="255"/>
      <c r="EN154" s="255"/>
      <c r="EO154" s="255"/>
      <c r="EP154" s="255"/>
      <c r="EQ154" s="255"/>
      <c r="ER154" s="255"/>
      <c r="ES154" s="255"/>
      <c r="ET154" s="255"/>
      <c r="EU154" s="255"/>
      <c r="EV154" s="255"/>
      <c r="EW154" s="255"/>
      <c r="EX154" s="255"/>
      <c r="EY154" s="255"/>
      <c r="EZ154" s="255"/>
      <c r="FA154" s="255"/>
      <c r="FB154" s="255"/>
      <c r="FC154" s="255"/>
      <c r="FD154" s="255"/>
      <c r="FE154" s="255"/>
      <c r="FF154" s="255"/>
      <c r="FG154" s="255"/>
      <c r="FH154" s="255"/>
      <c r="FI154" s="255"/>
      <c r="FJ154" s="255"/>
      <c r="FK154" s="255"/>
      <c r="FL154" s="255"/>
      <c r="FM154" s="255"/>
      <c r="FN154" s="255"/>
      <c r="FO154" s="255"/>
      <c r="FP154" s="255"/>
      <c r="FQ154" s="255"/>
      <c r="FR154" s="255"/>
      <c r="FS154" s="255"/>
      <c r="FT154" s="255"/>
      <c r="FU154" s="255"/>
      <c r="FV154" s="255"/>
      <c r="FW154" s="255"/>
      <c r="FX154" s="255"/>
      <c r="FY154" s="255"/>
      <c r="FZ154" s="255"/>
      <c r="GA154" s="255"/>
      <c r="GB154" s="255"/>
      <c r="GC154" s="255"/>
      <c r="GD154" s="255"/>
      <c r="GE154" s="255"/>
      <c r="GF154" s="255"/>
      <c r="GG154" s="255"/>
      <c r="GH154" s="255"/>
      <c r="GI154" s="255"/>
      <c r="GJ154" s="255"/>
      <c r="GK154" s="255"/>
      <c r="GL154" s="255"/>
      <c r="GM154" s="255"/>
      <c r="GN154" s="255"/>
      <c r="GO154" s="255"/>
      <c r="GP154" s="255"/>
      <c r="GQ154" s="255"/>
      <c r="GR154" s="255"/>
      <c r="GS154" s="255"/>
      <c r="GT154" s="255"/>
      <c r="GU154" s="255"/>
      <c r="GV154" s="255"/>
      <c r="GW154" s="255"/>
      <c r="GX154" s="255"/>
      <c r="GY154" s="255"/>
      <c r="GZ154" s="255"/>
      <c r="HA154" s="255"/>
      <c r="HB154" s="255"/>
      <c r="HC154" s="255"/>
      <c r="HD154" s="255"/>
      <c r="HE154" s="255"/>
      <c r="HF154" s="255"/>
      <c r="HG154" s="255"/>
      <c r="HH154" s="255"/>
      <c r="HI154" s="255"/>
      <c r="HJ154" s="255"/>
      <c r="HK154" s="255"/>
      <c r="HL154" s="255"/>
      <c r="HM154" s="255"/>
      <c r="HN154" s="255"/>
      <c r="HO154" s="255"/>
      <c r="HP154" s="255"/>
      <c r="HQ154" s="255"/>
      <c r="HR154" s="255"/>
      <c r="HS154" s="255"/>
      <c r="HT154" s="255"/>
      <c r="HU154" s="255"/>
      <c r="HV154" s="255"/>
      <c r="HW154" s="255"/>
      <c r="HX154" s="255"/>
      <c r="HY154" s="255"/>
      <c r="HZ154" s="255"/>
      <c r="IA154" s="255"/>
      <c r="IB154" s="255"/>
      <c r="IC154" s="255"/>
      <c r="ID154" s="255"/>
      <c r="IE154" s="255"/>
      <c r="IF154" s="255"/>
      <c r="IG154" s="255"/>
      <c r="IH154" s="255"/>
      <c r="II154" s="255"/>
      <c r="IJ154" s="255"/>
      <c r="IK154" s="255"/>
      <c r="IL154" s="255"/>
      <c r="IM154" s="255"/>
      <c r="IN154" s="255"/>
      <c r="IO154" s="255"/>
      <c r="IP154" s="255"/>
      <c r="IQ154" s="255"/>
      <c r="IR154" s="255"/>
      <c r="IS154" s="255"/>
      <c r="IT154" s="255"/>
      <c r="IU154" s="255"/>
      <c r="IV154" s="255"/>
      <c r="IW154" s="255"/>
      <c r="IX154" s="255"/>
      <c r="IY154" s="255"/>
      <c r="IZ154" s="255"/>
      <c r="JA154" s="255"/>
      <c r="JB154" s="255"/>
      <c r="JC154" s="255"/>
      <c r="JD154" s="255"/>
      <c r="JE154" s="255"/>
      <c r="JF154" s="255"/>
      <c r="JG154" s="255"/>
      <c r="JH154" s="255"/>
      <c r="JI154" s="255"/>
      <c r="JJ154" s="255"/>
      <c r="JK154" s="255"/>
      <c r="JL154" s="255"/>
      <c r="JM154" s="255"/>
      <c r="JN154" s="255"/>
      <c r="JO154" s="255"/>
      <c r="JP154" s="255"/>
      <c r="JQ154" s="255"/>
      <c r="JR154" s="255"/>
      <c r="JS154" s="255"/>
      <c r="JT154" s="255"/>
      <c r="JU154" s="255"/>
      <c r="JV154" s="255"/>
      <c r="JW154" s="255"/>
      <c r="JX154" s="255"/>
      <c r="JY154" s="255"/>
      <c r="JZ154" s="255"/>
      <c r="KA154" s="255"/>
      <c r="KB154" s="255"/>
      <c r="KC154" s="255"/>
      <c r="KD154" s="255"/>
      <c r="KE154" s="255"/>
      <c r="KF154" s="255"/>
      <c r="KG154" s="255"/>
      <c r="KH154" s="255"/>
      <c r="KI154" s="255"/>
      <c r="KJ154" s="255"/>
      <c r="KK154" s="255"/>
      <c r="KL154" s="255"/>
      <c r="KM154" s="255"/>
      <c r="KN154" s="255"/>
      <c r="KO154" s="255"/>
      <c r="KP154" s="255"/>
      <c r="KQ154" s="255"/>
      <c r="KR154" s="255"/>
      <c r="KS154" s="255"/>
      <c r="KT154" s="255"/>
      <c r="KU154" s="255"/>
      <c r="KV154" s="255"/>
      <c r="KW154" s="255"/>
      <c r="KX154" s="255"/>
      <c r="KY154" s="255"/>
      <c r="KZ154" s="255"/>
      <c r="LA154" s="255"/>
      <c r="LB154" s="255"/>
      <c r="LC154" s="255"/>
      <c r="LD154" s="255"/>
      <c r="LE154" s="255"/>
      <c r="LF154" s="255"/>
      <c r="LG154" s="255"/>
      <c r="LH154" s="255"/>
      <c r="LI154" s="255"/>
      <c r="LJ154" s="255"/>
      <c r="LK154" s="255"/>
      <c r="LL154" s="255"/>
      <c r="LM154" s="255"/>
      <c r="LN154" s="255"/>
      <c r="LO154" s="255"/>
      <c r="LP154" s="255"/>
      <c r="LQ154" s="255"/>
      <c r="LR154" s="255"/>
      <c r="LS154" s="255"/>
      <c r="LT154" s="255"/>
      <c r="LU154" s="255"/>
      <c r="LV154" s="255"/>
      <c r="LW154" s="255"/>
      <c r="LX154" s="255"/>
      <c r="LY154" s="255"/>
      <c r="LZ154" s="255"/>
      <c r="MA154" s="255"/>
      <c r="MB154" s="255"/>
      <c r="MC154" s="255"/>
      <c r="MD154" s="255"/>
      <c r="ME154" s="255"/>
      <c r="MF154" s="255"/>
      <c r="MG154" s="255"/>
      <c r="MH154" s="255"/>
      <c r="MI154" s="255"/>
      <c r="MJ154" s="255"/>
      <c r="MK154" s="255"/>
      <c r="ML154" s="255"/>
      <c r="MM154" s="255"/>
      <c r="MN154" s="255"/>
      <c r="MO154" s="255"/>
      <c r="MP154" s="255"/>
      <c r="MQ154" s="255"/>
      <c r="MR154" s="255"/>
      <c r="MS154" s="255"/>
      <c r="MT154" s="255"/>
      <c r="MU154" s="255"/>
      <c r="MV154" s="255"/>
      <c r="MW154" s="255"/>
      <c r="MX154" s="255"/>
      <c r="MY154" s="255"/>
      <c r="MZ154" s="255"/>
      <c r="NA154" s="255"/>
      <c r="NB154" s="255"/>
      <c r="NC154" s="255"/>
      <c r="ND154" s="255"/>
      <c r="NE154" s="255"/>
      <c r="NF154" s="255"/>
      <c r="NG154" s="255"/>
      <c r="NH154" s="255"/>
      <c r="NI154" s="255"/>
      <c r="NJ154" s="255"/>
      <c r="NK154" s="255"/>
      <c r="NL154" s="255"/>
      <c r="NM154" s="255"/>
      <c r="NN154" s="255"/>
      <c r="NO154" s="255"/>
      <c r="NP154" s="255"/>
      <c r="NQ154" s="255"/>
      <c r="NR154" s="255"/>
      <c r="NS154" s="255"/>
      <c r="NT154" s="255"/>
      <c r="NU154" s="255"/>
      <c r="NV154" s="255"/>
      <c r="NW154" s="255"/>
      <c r="NX154" s="255"/>
      <c r="NY154" s="255"/>
      <c r="NZ154" s="255"/>
      <c r="OA154" s="255"/>
      <c r="OB154" s="255"/>
      <c r="OC154" s="255"/>
      <c r="OD154" s="255"/>
      <c r="OE154" s="255"/>
      <c r="OF154" s="255"/>
      <c r="OG154" s="255"/>
      <c r="OH154" s="255"/>
      <c r="OI154" s="255"/>
      <c r="OJ154" s="255"/>
      <c r="OK154" s="255"/>
      <c r="OL154" s="255"/>
      <c r="OM154" s="255"/>
      <c r="ON154" s="255"/>
      <c r="OO154" s="255"/>
      <c r="OP154" s="255"/>
      <c r="OQ154" s="255"/>
      <c r="OR154" s="255"/>
      <c r="OS154" s="255"/>
      <c r="OT154" s="255"/>
      <c r="OU154" s="255"/>
      <c r="OV154" s="255"/>
      <c r="OW154" s="255"/>
      <c r="OX154" s="255"/>
      <c r="OY154" s="255"/>
      <c r="OZ154" s="255"/>
      <c r="PA154" s="255"/>
      <c r="PB154" s="255"/>
      <c r="PC154" s="255"/>
      <c r="PD154" s="255"/>
      <c r="PE154" s="255"/>
      <c r="PF154" s="255"/>
      <c r="PG154" s="255"/>
      <c r="PH154" s="255"/>
      <c r="PI154" s="255"/>
      <c r="PJ154" s="255"/>
      <c r="PK154" s="255"/>
      <c r="PL154" s="255"/>
      <c r="PM154" s="255"/>
      <c r="PN154" s="255"/>
      <c r="PO154" s="255"/>
      <c r="PP154" s="255"/>
      <c r="PQ154" s="255"/>
      <c r="PR154" s="255"/>
      <c r="PS154" s="255"/>
      <c r="PT154" s="255"/>
      <c r="PU154" s="255"/>
      <c r="PV154" s="255"/>
      <c r="PW154" s="255"/>
      <c r="PX154" s="255"/>
      <c r="PY154" s="255"/>
      <c r="PZ154" s="255"/>
      <c r="QA154" s="255"/>
      <c r="QB154" s="255"/>
      <c r="QC154" s="255"/>
      <c r="QD154" s="255"/>
      <c r="QE154" s="255"/>
      <c r="QF154" s="255"/>
      <c r="QG154" s="255"/>
      <c r="QH154" s="255"/>
      <c r="QI154" s="255"/>
      <c r="QJ154" s="255"/>
      <c r="QK154" s="255"/>
      <c r="QL154" s="255"/>
      <c r="QM154" s="255"/>
      <c r="QN154" s="255"/>
      <c r="QO154" s="255"/>
      <c r="QP154" s="255"/>
      <c r="QQ154" s="255"/>
      <c r="QR154" s="255"/>
      <c r="QS154" s="255"/>
      <c r="QT154" s="255"/>
      <c r="QU154" s="255"/>
      <c r="QV154" s="255"/>
      <c r="QW154" s="255"/>
      <c r="QX154" s="255"/>
      <c r="QY154" s="255"/>
      <c r="QZ154" s="255"/>
      <c r="RA154" s="255"/>
      <c r="RB154" s="255"/>
      <c r="RC154" s="255"/>
      <c r="RD154" s="255"/>
      <c r="RE154" s="255"/>
      <c r="RF154" s="255"/>
      <c r="RG154" s="255"/>
      <c r="RH154" s="255"/>
      <c r="RI154" s="255"/>
      <c r="RJ154" s="255"/>
      <c r="RK154" s="255"/>
      <c r="RL154" s="255"/>
      <c r="RM154" s="255"/>
      <c r="RN154" s="255"/>
      <c r="RO154" s="255"/>
      <c r="RP154" s="255"/>
      <c r="RQ154" s="255"/>
      <c r="RR154" s="255"/>
      <c r="RS154" s="255"/>
      <c r="RT154" s="255"/>
      <c r="RU154" s="255"/>
      <c r="RV154" s="255"/>
      <c r="RW154" s="255"/>
      <c r="RX154" s="255"/>
      <c r="RY154" s="255"/>
      <c r="RZ154" s="255"/>
      <c r="SA154" s="255"/>
      <c r="SB154" s="255"/>
      <c r="SC154" s="255"/>
      <c r="SD154" s="255"/>
      <c r="SE154" s="255"/>
      <c r="SF154" s="255"/>
      <c r="SG154" s="255"/>
      <c r="SH154" s="255"/>
      <c r="SI154" s="255"/>
      <c r="SJ154" s="255"/>
      <c r="SK154" s="255"/>
      <c r="SL154" s="255"/>
      <c r="SM154" s="255"/>
      <c r="SN154" s="255"/>
      <c r="SO154" s="255"/>
      <c r="SP154" s="255"/>
      <c r="SQ154" s="255"/>
      <c r="SR154" s="255"/>
      <c r="SS154" s="255"/>
      <c r="ST154" s="255"/>
      <c r="SU154" s="255"/>
      <c r="SV154" s="255"/>
      <c r="SW154" s="255"/>
      <c r="SX154" s="255"/>
      <c r="SY154" s="255"/>
      <c r="SZ154" s="255"/>
      <c r="TA154" s="255"/>
      <c r="TB154" s="255"/>
      <c r="TC154" s="255"/>
      <c r="TD154" s="255"/>
      <c r="TE154" s="255"/>
      <c r="TF154" s="255"/>
      <c r="TG154" s="255"/>
      <c r="TH154" s="255"/>
      <c r="TI154" s="255"/>
      <c r="TJ154" s="255"/>
      <c r="TK154" s="255"/>
      <c r="TL154" s="255"/>
      <c r="TM154" s="255"/>
      <c r="TN154" s="255"/>
      <c r="TO154" s="255"/>
      <c r="TP154" s="255"/>
      <c r="TQ154" s="255"/>
      <c r="TR154" s="255"/>
      <c r="TS154" s="255"/>
      <c r="TT154" s="255"/>
      <c r="TU154" s="255"/>
      <c r="TV154" s="255"/>
      <c r="TW154" s="255"/>
      <c r="TX154" s="255"/>
      <c r="TY154" s="255"/>
      <c r="TZ154" s="255"/>
      <c r="UA154" s="255"/>
      <c r="UB154" s="255"/>
      <c r="UC154" s="255"/>
      <c r="UD154" s="255"/>
      <c r="UE154" s="255"/>
      <c r="UF154" s="255"/>
      <c r="UG154" s="255"/>
      <c r="UH154" s="255"/>
      <c r="UI154" s="255"/>
      <c r="UJ154" s="255"/>
      <c r="UK154" s="255"/>
      <c r="UL154" s="255"/>
      <c r="UM154" s="255"/>
      <c r="UN154" s="255"/>
      <c r="UO154" s="255"/>
      <c r="UP154" s="255"/>
      <c r="UQ154" s="255"/>
      <c r="UR154" s="255"/>
      <c r="US154" s="255"/>
      <c r="UT154" s="255"/>
      <c r="UU154" s="255"/>
      <c r="UV154" s="255"/>
      <c r="UW154" s="255"/>
      <c r="UX154" s="255"/>
      <c r="UY154" s="255"/>
      <c r="UZ154" s="255"/>
      <c r="VA154" s="255"/>
      <c r="VB154" s="255"/>
      <c r="VC154" s="255"/>
      <c r="VD154" s="255"/>
      <c r="VE154" s="255"/>
      <c r="VF154" s="255"/>
      <c r="VG154" s="255"/>
      <c r="VH154" s="255"/>
      <c r="VI154" s="255"/>
      <c r="VJ154" s="255"/>
      <c r="VK154" s="255"/>
      <c r="VL154" s="255"/>
      <c r="VM154" s="255"/>
      <c r="VN154" s="255"/>
      <c r="VO154" s="255"/>
      <c r="VP154" s="255"/>
      <c r="VQ154" s="255"/>
      <c r="VR154" s="255"/>
      <c r="VS154" s="255"/>
      <c r="VT154" s="255"/>
      <c r="VU154" s="255"/>
      <c r="VV154" s="255"/>
      <c r="VW154" s="255"/>
      <c r="VX154" s="255"/>
      <c r="VY154" s="255"/>
      <c r="VZ154" s="255"/>
      <c r="WA154" s="255"/>
      <c r="WB154" s="255"/>
      <c r="WC154" s="255"/>
      <c r="WD154" s="255"/>
      <c r="WE154" s="255"/>
      <c r="WF154" s="255"/>
      <c r="WG154" s="255"/>
      <c r="WH154" s="255"/>
      <c r="WI154" s="255"/>
      <c r="WJ154" s="255"/>
      <c r="WK154" s="255"/>
      <c r="WL154" s="255"/>
      <c r="WM154" s="255"/>
      <c r="WN154" s="255"/>
      <c r="WO154" s="255"/>
      <c r="WP154" s="255"/>
      <c r="WQ154" s="255"/>
      <c r="WR154" s="255"/>
      <c r="WS154" s="255"/>
      <c r="WT154" s="255"/>
      <c r="WU154" s="255"/>
      <c r="WV154" s="255"/>
      <c r="WW154" s="255"/>
      <c r="WX154" s="255"/>
      <c r="WY154" s="255"/>
      <c r="WZ154" s="255"/>
      <c r="XA154" s="255"/>
      <c r="XB154" s="255"/>
      <c r="XC154" s="255"/>
      <c r="XD154" s="255"/>
      <c r="XE154" s="255"/>
      <c r="XF154" s="255"/>
      <c r="XG154" s="255"/>
      <c r="XH154" s="255"/>
      <c r="XI154" s="255"/>
      <c r="XJ154" s="255"/>
      <c r="XK154" s="255"/>
      <c r="XL154" s="255"/>
      <c r="XM154" s="255"/>
      <c r="XN154" s="255"/>
      <c r="XO154" s="255"/>
      <c r="XP154" s="255"/>
      <c r="XQ154" s="255"/>
      <c r="XR154" s="255"/>
      <c r="XS154" s="255"/>
      <c r="XT154" s="255"/>
      <c r="XU154" s="255"/>
      <c r="XV154" s="255"/>
      <c r="XW154" s="255"/>
      <c r="XX154" s="255"/>
      <c r="XY154" s="255"/>
      <c r="XZ154" s="255"/>
      <c r="YA154" s="255"/>
      <c r="YB154" s="255"/>
      <c r="YC154" s="255"/>
      <c r="YD154" s="255"/>
      <c r="YE154" s="255"/>
      <c r="YF154" s="255"/>
      <c r="YG154" s="255"/>
      <c r="YH154" s="255"/>
      <c r="YI154" s="255"/>
      <c r="YJ154" s="255"/>
      <c r="YK154" s="255"/>
      <c r="YL154" s="255"/>
      <c r="YM154" s="255"/>
      <c r="YN154" s="255"/>
      <c r="YO154" s="255"/>
      <c r="YP154" s="255"/>
      <c r="YQ154" s="255"/>
      <c r="YR154" s="255"/>
      <c r="YS154" s="255"/>
      <c r="YT154" s="255"/>
      <c r="YU154" s="255"/>
      <c r="YV154" s="255"/>
      <c r="YW154" s="255"/>
      <c r="YX154" s="255"/>
      <c r="YY154" s="255"/>
      <c r="YZ154" s="255"/>
      <c r="ZA154" s="255"/>
      <c r="ZB154" s="255"/>
      <c r="ZC154" s="255"/>
      <c r="ZD154" s="255"/>
      <c r="ZE154" s="255"/>
      <c r="ZF154" s="255"/>
      <c r="ZG154" s="255"/>
      <c r="ZH154" s="255"/>
      <c r="ZI154" s="255"/>
      <c r="ZJ154" s="255"/>
      <c r="ZK154" s="255"/>
      <c r="ZL154" s="255"/>
      <c r="ZM154" s="255"/>
      <c r="ZN154" s="255"/>
      <c r="ZO154" s="255"/>
      <c r="ZP154" s="255"/>
      <c r="ZQ154" s="255"/>
      <c r="ZR154" s="255"/>
      <c r="ZS154" s="255"/>
      <c r="ZT154" s="255"/>
      <c r="ZU154" s="255"/>
      <c r="ZV154" s="255"/>
      <c r="ZW154" s="255"/>
      <c r="ZX154" s="255"/>
      <c r="ZY154" s="255"/>
      <c r="ZZ154" s="255"/>
      <c r="AAA154" s="255"/>
      <c r="AAB154" s="255"/>
      <c r="AAC154" s="255"/>
      <c r="AAD154" s="255"/>
      <c r="AAE154" s="255"/>
      <c r="AAF154" s="255"/>
      <c r="AAG154" s="255"/>
      <c r="AAH154" s="255"/>
      <c r="AAI154" s="255"/>
      <c r="AAJ154" s="255"/>
      <c r="AAK154" s="255"/>
      <c r="AAL154" s="255"/>
      <c r="AAM154" s="255"/>
      <c r="AAN154" s="255"/>
      <c r="AAO154" s="255"/>
      <c r="AAP154" s="255"/>
      <c r="AAQ154" s="255"/>
      <c r="AAR154" s="255"/>
      <c r="AAS154" s="255"/>
      <c r="AAT154" s="255"/>
      <c r="AAU154" s="255"/>
      <c r="AAV154" s="255"/>
      <c r="AAW154" s="255"/>
      <c r="AAX154" s="255"/>
      <c r="AAY154" s="255"/>
      <c r="AAZ154" s="255"/>
      <c r="ABA154" s="255"/>
      <c r="ABB154" s="255"/>
      <c r="ABC154" s="255"/>
      <c r="ABD154" s="255"/>
      <c r="ABE154" s="255"/>
      <c r="ABF154" s="255"/>
      <c r="ABG154" s="255"/>
      <c r="ABH154" s="255"/>
      <c r="ABI154" s="255"/>
      <c r="ABJ154" s="255"/>
      <c r="ABK154" s="255"/>
      <c r="ABL154" s="255"/>
      <c r="ABM154" s="255"/>
      <c r="ABN154" s="255"/>
      <c r="ABO154" s="255"/>
      <c r="ABP154" s="255"/>
      <c r="ABQ154" s="255"/>
      <c r="ABR154" s="255"/>
      <c r="ABS154" s="255"/>
      <c r="ABT154" s="255"/>
      <c r="ABU154" s="255"/>
      <c r="ABV154" s="255"/>
      <c r="ABW154" s="255"/>
      <c r="ABX154" s="255"/>
      <c r="ABY154" s="255"/>
      <c r="ABZ154" s="255"/>
      <c r="ACA154" s="255"/>
      <c r="ACB154" s="255"/>
      <c r="ACC154" s="255"/>
      <c r="ACD154" s="255"/>
      <c r="ACE154" s="255"/>
      <c r="ACF154" s="255"/>
      <c r="ACG154" s="255"/>
      <c r="ACH154" s="255"/>
      <c r="ACI154" s="255"/>
      <c r="ACJ154" s="255"/>
      <c r="ACK154" s="255"/>
      <c r="ACL154" s="255"/>
      <c r="ACM154" s="255"/>
      <c r="ACN154" s="255"/>
      <c r="ACO154" s="255"/>
      <c r="ACP154" s="255"/>
      <c r="ACQ154" s="255"/>
      <c r="ACR154" s="255"/>
      <c r="ACS154" s="255"/>
      <c r="ACT154" s="255"/>
      <c r="ACU154" s="255"/>
      <c r="ACV154" s="255"/>
      <c r="ACW154" s="255"/>
      <c r="ACX154" s="255"/>
      <c r="ACY154" s="255"/>
      <c r="ACZ154" s="255"/>
      <c r="ADA154" s="255"/>
      <c r="ADB154" s="255"/>
      <c r="ADC154" s="255"/>
      <c r="ADD154" s="255"/>
      <c r="ADE154" s="255"/>
      <c r="ADF154" s="255"/>
      <c r="ADG154" s="255"/>
      <c r="ADH154" s="255"/>
      <c r="ADI154" s="255"/>
      <c r="ADJ154" s="255"/>
      <c r="ADK154" s="255"/>
      <c r="ADL154" s="255"/>
      <c r="ADM154" s="255"/>
      <c r="ADN154" s="255"/>
      <c r="ADO154" s="255"/>
      <c r="ADP154" s="255"/>
      <c r="ADQ154" s="255"/>
      <c r="ADR154" s="255"/>
      <c r="ADS154" s="255"/>
      <c r="ADT154" s="255"/>
      <c r="ADU154" s="255"/>
      <c r="ADV154" s="255"/>
      <c r="ADW154" s="255"/>
      <c r="ADX154" s="255"/>
      <c r="ADY154" s="255"/>
      <c r="ADZ154" s="255"/>
      <c r="AEA154" s="255"/>
      <c r="AEB154" s="255"/>
      <c r="AEC154" s="255"/>
      <c r="AED154" s="255"/>
      <c r="AEE154" s="255"/>
      <c r="AEF154" s="255"/>
      <c r="AEG154" s="255"/>
      <c r="AEH154" s="255"/>
      <c r="AEI154" s="255"/>
      <c r="AEJ154" s="255"/>
      <c r="AEK154" s="255"/>
      <c r="AEL154" s="255"/>
      <c r="AEM154" s="255"/>
      <c r="AEN154" s="255"/>
      <c r="AEO154" s="255"/>
      <c r="AEP154" s="255"/>
      <c r="AEQ154" s="255"/>
      <c r="AER154" s="255"/>
      <c r="AES154" s="255"/>
      <c r="AET154" s="255"/>
      <c r="AEU154" s="255"/>
      <c r="AEV154" s="255"/>
      <c r="AEW154" s="255"/>
      <c r="AEX154" s="255"/>
      <c r="AEY154" s="255"/>
      <c r="AEZ154" s="255"/>
      <c r="AFA154" s="255"/>
      <c r="AFB154" s="255"/>
      <c r="AFC154" s="255"/>
      <c r="AFD154" s="255"/>
      <c r="AFE154" s="255"/>
      <c r="AFF154" s="255"/>
      <c r="AFG154" s="255"/>
      <c r="AFH154" s="255"/>
      <c r="AFI154" s="255"/>
      <c r="AFJ154" s="255"/>
      <c r="AFK154" s="255"/>
      <c r="AFL154" s="255"/>
      <c r="AFM154" s="255"/>
      <c r="AFN154" s="255"/>
      <c r="AFO154" s="255"/>
      <c r="AFP154" s="255"/>
      <c r="AFQ154" s="255"/>
      <c r="AFR154" s="255"/>
      <c r="AFS154" s="255"/>
      <c r="AFT154" s="255"/>
      <c r="AFU154" s="255"/>
      <c r="AFV154" s="255"/>
      <c r="AFW154" s="255"/>
      <c r="AFX154" s="255"/>
      <c r="AFY154" s="255"/>
      <c r="AFZ154" s="255"/>
      <c r="AGA154" s="255"/>
      <c r="AGB154" s="255"/>
      <c r="AGC154" s="255"/>
      <c r="AGD154" s="255"/>
      <c r="AGE154" s="255"/>
      <c r="AGF154" s="255"/>
      <c r="AGG154" s="255"/>
      <c r="AGH154" s="255"/>
      <c r="AGI154" s="255"/>
      <c r="AGJ154" s="255"/>
      <c r="AGK154" s="255"/>
      <c r="AGL154" s="255"/>
      <c r="AGM154" s="255"/>
      <c r="AGN154" s="255"/>
      <c r="AGO154" s="255"/>
      <c r="AGP154" s="255"/>
      <c r="AGQ154" s="255"/>
      <c r="AGR154" s="255"/>
      <c r="AGS154" s="255"/>
      <c r="AGT154" s="255"/>
      <c r="AGU154" s="255"/>
      <c r="AGV154" s="255"/>
      <c r="AGW154" s="255"/>
      <c r="AGX154" s="255"/>
      <c r="AGY154" s="255"/>
      <c r="AGZ154" s="255"/>
      <c r="AHA154" s="255"/>
      <c r="AHB154" s="255"/>
      <c r="AHC154" s="255"/>
      <c r="AHD154" s="255"/>
      <c r="AHE154" s="255"/>
      <c r="AHF154" s="255"/>
      <c r="AHG154" s="255"/>
      <c r="AHH154" s="255"/>
      <c r="AHI154" s="255"/>
      <c r="AHJ154" s="255"/>
      <c r="AHK154" s="255"/>
      <c r="AHL154" s="255"/>
      <c r="AHM154" s="255"/>
      <c r="AHN154" s="255"/>
      <c r="AHO154" s="255"/>
      <c r="AHP154" s="255"/>
      <c r="AHQ154" s="255"/>
      <c r="AHR154" s="255"/>
      <c r="AHS154" s="255"/>
      <c r="AHT154" s="255"/>
      <c r="AHU154" s="255"/>
      <c r="AHV154" s="255"/>
      <c r="AHW154" s="255"/>
      <c r="AHX154" s="255"/>
      <c r="AHY154" s="255"/>
      <c r="AHZ154" s="255"/>
      <c r="AIA154" s="255"/>
      <c r="AIB154" s="255"/>
      <c r="AIC154" s="255"/>
      <c r="AID154" s="255"/>
      <c r="AIE154" s="255"/>
      <c r="AIF154" s="255"/>
      <c r="AIG154" s="255"/>
      <c r="AIH154" s="255"/>
      <c r="AII154" s="255"/>
      <c r="AIJ154" s="255"/>
      <c r="AIK154" s="255"/>
      <c r="AIL154" s="255"/>
      <c r="AIM154" s="255"/>
      <c r="AIN154" s="255"/>
      <c r="AIO154" s="255"/>
      <c r="AIP154" s="255"/>
      <c r="AIQ154" s="255"/>
      <c r="AIR154" s="255"/>
      <c r="AIS154" s="255"/>
      <c r="AIT154" s="255"/>
      <c r="AIU154" s="255"/>
      <c r="AIV154" s="255"/>
      <c r="AIW154" s="255"/>
      <c r="AIX154" s="255"/>
      <c r="AIY154" s="255"/>
      <c r="AIZ154" s="255"/>
      <c r="AJA154" s="255"/>
      <c r="AJB154" s="255"/>
      <c r="AJC154" s="255"/>
      <c r="AJD154" s="255"/>
      <c r="AJE154" s="255"/>
      <c r="AJF154" s="255"/>
      <c r="AJG154" s="255"/>
      <c r="AJH154" s="255"/>
      <c r="AJI154" s="255"/>
      <c r="AJJ154" s="255"/>
      <c r="AJK154" s="255"/>
      <c r="AJL154" s="255"/>
      <c r="AJM154" s="255"/>
      <c r="AJN154" s="255"/>
      <c r="AJO154" s="255"/>
      <c r="AJP154" s="255"/>
      <c r="AJQ154" s="255"/>
      <c r="AJR154" s="255"/>
      <c r="AJS154" s="255"/>
      <c r="AJT154" s="255"/>
      <c r="AJU154" s="255"/>
      <c r="AJV154" s="255"/>
      <c r="AJW154" s="255"/>
      <c r="AJX154" s="255"/>
      <c r="AJY154" s="255"/>
      <c r="AJZ154" s="255"/>
      <c r="AKA154" s="255"/>
      <c r="AKB154" s="255"/>
      <c r="AKC154" s="255"/>
      <c r="AKD154" s="255"/>
      <c r="AKE154" s="255"/>
      <c r="AKF154" s="255"/>
      <c r="AKG154" s="255"/>
      <c r="AKH154" s="255"/>
      <c r="AKI154" s="255"/>
      <c r="AKJ154" s="255"/>
      <c r="AKK154" s="255"/>
      <c r="AKL154" s="255"/>
      <c r="AKM154" s="255"/>
      <c r="AKN154" s="255"/>
      <c r="AKO154" s="255"/>
      <c r="AKP154" s="255"/>
      <c r="AKQ154" s="255"/>
      <c r="AKR154" s="255"/>
      <c r="AKS154" s="255"/>
      <c r="AKT154" s="255"/>
      <c r="AKU154" s="255"/>
      <c r="AKV154" s="255"/>
      <c r="AKW154" s="255"/>
      <c r="AKX154" s="255"/>
      <c r="AKY154" s="255"/>
      <c r="AKZ154" s="255"/>
      <c r="ALA154" s="255"/>
      <c r="ALB154" s="255"/>
      <c r="ALC154" s="255"/>
      <c r="ALD154" s="255"/>
      <c r="ALE154" s="255"/>
      <c r="ALF154" s="255"/>
      <c r="ALG154" s="255"/>
      <c r="ALH154" s="255"/>
      <c r="ALI154" s="255"/>
      <c r="ALJ154" s="255"/>
      <c r="ALK154" s="255"/>
      <c r="ALL154" s="255"/>
      <c r="ALM154" s="255"/>
      <c r="ALN154" s="255"/>
      <c r="ALO154" s="255"/>
      <c r="ALP154" s="255"/>
      <c r="ALQ154" s="255"/>
      <c r="ALR154" s="255"/>
    </row>
    <row r="155" spans="1:1006" s="191" customFormat="1" ht="24">
      <c r="A155" s="251" t="s">
        <v>7</v>
      </c>
      <c r="B155" s="290">
        <v>88423</v>
      </c>
      <c r="C155" s="282" t="str">
        <f>(IF($A155="SINAPI",INDEX(SINAPI_NOV2020_NDES!$A$7:$H$6703,MATCH($B155,SINAPI_NOV2020_NDES!$A$7:$A$6703,0),2),IF($A155="GOINFRA",INDEX(#REF!,MATCH($B155,#REF!,0),2),(INDEX(COMPOS!$A$4:$G$390,MATCH($B155,COMPOS!$A$4:A$390,0),2)))))</f>
        <v>APLICAÇÃO MANUAL DE PINTURA COM TINTA TEXTURIZADA ACRÍLICA EM PAREDES EXTERNAS DE CASAS, UMA COR. AF_06/2014</v>
      </c>
      <c r="D155" s="274" t="str">
        <f>(IF($A155="SINAPI",INDEX(SINAPI_NOV2020_NDES!$A$7:$H$6790,MATCH($B155,SINAPI_NOV2020_NDES!$A$7:$A$6790,0),3),(INDEX(COMPOS!$A$4:$G$5000,MATCH($B155,COMPOS!$A$4:$A$5000,0),3))))</f>
        <v>M2</v>
      </c>
      <c r="E155" s="276">
        <v>300.29000000000002</v>
      </c>
      <c r="F155" s="303">
        <f>(IF($A155="SINAPI",INDEX(SINAPI_NOV2020_NDES!$A$7:$H$6703,MATCH($B155,SINAPI_NOV2020_NDES!$A$7:$A$6703,0),5),(INDEX(COMPOS!$A$4:$G$801,MATCH($B155,COMPOS!$A$4:A$801,0),4))))</f>
        <v>3.45</v>
      </c>
      <c r="G155" s="314">
        <f>(IF($A155="SINAPI",INDEX(SINAPI_NOV2020_NDES!$A$7:$H$6703,MATCH($B155,SINAPI_NOV2020_NDES!$A$7:$A$6703,0),6),(INDEX(COMPOS!$A$4:$G$801,MATCH($B155,COMPOS!$A$4:A$801,0),5))))</f>
        <v>14.24</v>
      </c>
      <c r="H155" s="315">
        <f>(IF($A155="SINAPI",INDEX(SINAPI_NOV2020_NDES!$A$7:$H$6703,MATCH($B155,SINAPI_NOV2020_NDES!$A$7:$A$6703,0),7),(INDEX(COMPOS!$A$4:$G$801,MATCH($B155,COMPOS!$A$4:A$801,0),6))))</f>
        <v>0</v>
      </c>
      <c r="I155" s="315">
        <f t="shared" si="38"/>
        <v>17.690000000000001</v>
      </c>
      <c r="J155" s="280">
        <f t="shared" si="39"/>
        <v>5312.1301000000003</v>
      </c>
      <c r="K155" s="255"/>
      <c r="L155" s="255"/>
      <c r="M155" s="255"/>
      <c r="N155" s="255"/>
      <c r="O155" s="257"/>
      <c r="P155" s="257"/>
      <c r="Q155" s="255"/>
      <c r="R155" s="255"/>
      <c r="S155" s="255"/>
      <c r="T155" s="255"/>
      <c r="U155" s="255"/>
      <c r="V155" s="255"/>
      <c r="W155" s="255"/>
      <c r="X155" s="255"/>
      <c r="Y155" s="255"/>
      <c r="Z155" s="255"/>
      <c r="AA155" s="255"/>
      <c r="AB155" s="255"/>
      <c r="AC155" s="255"/>
      <c r="AD155" s="255"/>
      <c r="AE155" s="255"/>
      <c r="AF155" s="255"/>
      <c r="AG155" s="255"/>
      <c r="AH155" s="255"/>
      <c r="AI155" s="255"/>
      <c r="AJ155" s="255"/>
      <c r="AK155" s="255"/>
      <c r="AL155" s="255"/>
      <c r="AM155" s="255"/>
      <c r="AN155" s="255"/>
      <c r="AO155" s="255"/>
      <c r="AP155" s="255"/>
      <c r="AQ155" s="255"/>
      <c r="AR155" s="255"/>
      <c r="AS155" s="255"/>
      <c r="AT155" s="255"/>
      <c r="AU155" s="255"/>
      <c r="AV155" s="255"/>
      <c r="AW155" s="255"/>
      <c r="AX155" s="255"/>
      <c r="AY155" s="255"/>
      <c r="AZ155" s="255"/>
      <c r="BA155" s="255"/>
      <c r="BB155" s="255"/>
      <c r="BC155" s="255"/>
      <c r="BD155" s="255"/>
      <c r="BE155" s="255"/>
      <c r="BF155" s="255"/>
      <c r="BG155" s="255"/>
      <c r="BH155" s="255"/>
      <c r="BI155" s="255"/>
      <c r="BJ155" s="255"/>
      <c r="BK155" s="255"/>
      <c r="BL155" s="255"/>
      <c r="BM155" s="255"/>
      <c r="BN155" s="255"/>
      <c r="BO155" s="255"/>
      <c r="BP155" s="255"/>
      <c r="BQ155" s="255"/>
      <c r="BR155" s="255"/>
      <c r="BS155" s="255"/>
      <c r="BT155" s="255"/>
      <c r="BU155" s="255"/>
      <c r="BV155" s="255"/>
      <c r="BW155" s="255"/>
      <c r="BX155" s="255"/>
      <c r="BY155" s="255"/>
      <c r="BZ155" s="255"/>
      <c r="CA155" s="255"/>
      <c r="CB155" s="255"/>
      <c r="CC155" s="255"/>
      <c r="CD155" s="255"/>
      <c r="CE155" s="255"/>
      <c r="CF155" s="255"/>
      <c r="CG155" s="255"/>
      <c r="CH155" s="255"/>
      <c r="CI155" s="255"/>
      <c r="CJ155" s="255"/>
      <c r="CK155" s="255"/>
      <c r="CL155" s="255"/>
      <c r="CM155" s="255"/>
      <c r="CN155" s="255"/>
      <c r="CO155" s="255"/>
      <c r="CP155" s="255"/>
      <c r="CQ155" s="255"/>
      <c r="CR155" s="255"/>
      <c r="CS155" s="255"/>
      <c r="CT155" s="255"/>
      <c r="CU155" s="255"/>
      <c r="CV155" s="255"/>
      <c r="CW155" s="255"/>
      <c r="CX155" s="255"/>
      <c r="CY155" s="255"/>
      <c r="CZ155" s="255"/>
      <c r="DA155" s="255"/>
      <c r="DB155" s="255"/>
      <c r="DC155" s="255"/>
      <c r="DD155" s="255"/>
      <c r="DE155" s="255"/>
      <c r="DF155" s="255"/>
      <c r="DG155" s="255"/>
      <c r="DH155" s="255"/>
      <c r="DI155" s="255"/>
      <c r="DJ155" s="255"/>
      <c r="DK155" s="255"/>
      <c r="DL155" s="255"/>
      <c r="DM155" s="255"/>
      <c r="DN155" s="255"/>
      <c r="DO155" s="255"/>
      <c r="DP155" s="255"/>
      <c r="DQ155" s="255"/>
      <c r="DR155" s="255"/>
      <c r="DS155" s="255"/>
      <c r="DT155" s="255"/>
      <c r="DU155" s="255"/>
      <c r="DV155" s="255"/>
      <c r="DW155" s="255"/>
      <c r="DX155" s="255"/>
      <c r="DY155" s="255"/>
      <c r="DZ155" s="255"/>
      <c r="EA155" s="255"/>
      <c r="EB155" s="255"/>
      <c r="EC155" s="255"/>
      <c r="ED155" s="255"/>
      <c r="EE155" s="255"/>
      <c r="EF155" s="255"/>
      <c r="EG155" s="255"/>
      <c r="EH155" s="255"/>
      <c r="EI155" s="255"/>
      <c r="EJ155" s="255"/>
      <c r="EK155" s="255"/>
      <c r="EL155" s="255"/>
      <c r="EM155" s="255"/>
      <c r="EN155" s="255"/>
      <c r="EO155" s="255"/>
      <c r="EP155" s="255"/>
      <c r="EQ155" s="255"/>
      <c r="ER155" s="255"/>
      <c r="ES155" s="255"/>
      <c r="ET155" s="255"/>
      <c r="EU155" s="255"/>
      <c r="EV155" s="255"/>
      <c r="EW155" s="255"/>
      <c r="EX155" s="255"/>
      <c r="EY155" s="255"/>
      <c r="EZ155" s="255"/>
      <c r="FA155" s="255"/>
      <c r="FB155" s="255"/>
      <c r="FC155" s="255"/>
      <c r="FD155" s="255"/>
      <c r="FE155" s="255"/>
      <c r="FF155" s="255"/>
      <c r="FG155" s="255"/>
      <c r="FH155" s="255"/>
      <c r="FI155" s="255"/>
      <c r="FJ155" s="255"/>
      <c r="FK155" s="255"/>
      <c r="FL155" s="255"/>
      <c r="FM155" s="255"/>
      <c r="FN155" s="255"/>
      <c r="FO155" s="255"/>
      <c r="FP155" s="255"/>
      <c r="FQ155" s="255"/>
      <c r="FR155" s="255"/>
      <c r="FS155" s="255"/>
      <c r="FT155" s="255"/>
      <c r="FU155" s="255"/>
      <c r="FV155" s="255"/>
      <c r="FW155" s="255"/>
      <c r="FX155" s="255"/>
      <c r="FY155" s="255"/>
      <c r="FZ155" s="255"/>
      <c r="GA155" s="255"/>
      <c r="GB155" s="255"/>
      <c r="GC155" s="255"/>
      <c r="GD155" s="255"/>
      <c r="GE155" s="255"/>
      <c r="GF155" s="255"/>
      <c r="GG155" s="255"/>
      <c r="GH155" s="255"/>
      <c r="GI155" s="255"/>
      <c r="GJ155" s="255"/>
      <c r="GK155" s="255"/>
      <c r="GL155" s="255"/>
      <c r="GM155" s="255"/>
      <c r="GN155" s="255"/>
      <c r="GO155" s="255"/>
      <c r="GP155" s="255"/>
      <c r="GQ155" s="255"/>
      <c r="GR155" s="255"/>
      <c r="GS155" s="255"/>
      <c r="GT155" s="255"/>
      <c r="GU155" s="255"/>
      <c r="GV155" s="255"/>
      <c r="GW155" s="255"/>
      <c r="GX155" s="255"/>
      <c r="GY155" s="255"/>
      <c r="GZ155" s="255"/>
      <c r="HA155" s="255"/>
      <c r="HB155" s="255"/>
      <c r="HC155" s="255"/>
      <c r="HD155" s="255"/>
      <c r="HE155" s="255"/>
      <c r="HF155" s="255"/>
      <c r="HG155" s="255"/>
      <c r="HH155" s="255"/>
      <c r="HI155" s="255"/>
      <c r="HJ155" s="255"/>
      <c r="HK155" s="255"/>
      <c r="HL155" s="255"/>
      <c r="HM155" s="255"/>
      <c r="HN155" s="255"/>
      <c r="HO155" s="255"/>
      <c r="HP155" s="255"/>
      <c r="HQ155" s="255"/>
      <c r="HR155" s="255"/>
      <c r="HS155" s="255"/>
      <c r="HT155" s="255"/>
      <c r="HU155" s="255"/>
      <c r="HV155" s="255"/>
      <c r="HW155" s="255"/>
      <c r="HX155" s="255"/>
      <c r="HY155" s="255"/>
      <c r="HZ155" s="255"/>
      <c r="IA155" s="255"/>
      <c r="IB155" s="255"/>
      <c r="IC155" s="255"/>
      <c r="ID155" s="255"/>
      <c r="IE155" s="255"/>
      <c r="IF155" s="255"/>
      <c r="IG155" s="255"/>
      <c r="IH155" s="255"/>
      <c r="II155" s="255"/>
      <c r="IJ155" s="255"/>
      <c r="IK155" s="255"/>
      <c r="IL155" s="255"/>
      <c r="IM155" s="255"/>
      <c r="IN155" s="255"/>
      <c r="IO155" s="255"/>
      <c r="IP155" s="255"/>
      <c r="IQ155" s="255"/>
      <c r="IR155" s="255"/>
      <c r="IS155" s="255"/>
      <c r="IT155" s="255"/>
      <c r="IU155" s="255"/>
      <c r="IV155" s="255"/>
      <c r="IW155" s="255"/>
      <c r="IX155" s="255"/>
      <c r="IY155" s="255"/>
      <c r="IZ155" s="255"/>
      <c r="JA155" s="255"/>
      <c r="JB155" s="255"/>
      <c r="JC155" s="255"/>
      <c r="JD155" s="255"/>
      <c r="JE155" s="255"/>
      <c r="JF155" s="255"/>
      <c r="JG155" s="255"/>
      <c r="JH155" s="255"/>
      <c r="JI155" s="255"/>
      <c r="JJ155" s="255"/>
      <c r="JK155" s="255"/>
      <c r="JL155" s="255"/>
      <c r="JM155" s="255"/>
      <c r="JN155" s="255"/>
      <c r="JO155" s="255"/>
      <c r="JP155" s="255"/>
      <c r="JQ155" s="255"/>
      <c r="JR155" s="255"/>
      <c r="JS155" s="255"/>
      <c r="JT155" s="255"/>
      <c r="JU155" s="255"/>
      <c r="JV155" s="255"/>
      <c r="JW155" s="255"/>
      <c r="JX155" s="255"/>
      <c r="JY155" s="255"/>
      <c r="JZ155" s="255"/>
      <c r="KA155" s="255"/>
      <c r="KB155" s="255"/>
      <c r="KC155" s="255"/>
      <c r="KD155" s="255"/>
      <c r="KE155" s="255"/>
      <c r="KF155" s="255"/>
      <c r="KG155" s="255"/>
      <c r="KH155" s="255"/>
      <c r="KI155" s="255"/>
      <c r="KJ155" s="255"/>
      <c r="KK155" s="255"/>
      <c r="KL155" s="255"/>
      <c r="KM155" s="255"/>
      <c r="KN155" s="255"/>
      <c r="KO155" s="255"/>
      <c r="KP155" s="255"/>
      <c r="KQ155" s="255"/>
      <c r="KR155" s="255"/>
      <c r="KS155" s="255"/>
      <c r="KT155" s="255"/>
      <c r="KU155" s="255"/>
      <c r="KV155" s="255"/>
      <c r="KW155" s="255"/>
      <c r="KX155" s="255"/>
      <c r="KY155" s="255"/>
      <c r="KZ155" s="255"/>
      <c r="LA155" s="255"/>
      <c r="LB155" s="255"/>
      <c r="LC155" s="255"/>
      <c r="LD155" s="255"/>
      <c r="LE155" s="255"/>
      <c r="LF155" s="255"/>
      <c r="LG155" s="255"/>
      <c r="LH155" s="255"/>
      <c r="LI155" s="255"/>
      <c r="LJ155" s="255"/>
      <c r="LK155" s="255"/>
      <c r="LL155" s="255"/>
      <c r="LM155" s="255"/>
      <c r="LN155" s="255"/>
      <c r="LO155" s="255"/>
      <c r="LP155" s="255"/>
      <c r="LQ155" s="255"/>
      <c r="LR155" s="255"/>
      <c r="LS155" s="255"/>
      <c r="LT155" s="255"/>
      <c r="LU155" s="255"/>
      <c r="LV155" s="255"/>
      <c r="LW155" s="255"/>
      <c r="LX155" s="255"/>
      <c r="LY155" s="255"/>
      <c r="LZ155" s="255"/>
      <c r="MA155" s="255"/>
      <c r="MB155" s="255"/>
      <c r="MC155" s="255"/>
      <c r="MD155" s="255"/>
      <c r="ME155" s="255"/>
      <c r="MF155" s="255"/>
      <c r="MG155" s="255"/>
      <c r="MH155" s="255"/>
      <c r="MI155" s="255"/>
      <c r="MJ155" s="255"/>
      <c r="MK155" s="255"/>
      <c r="ML155" s="255"/>
      <c r="MM155" s="255"/>
      <c r="MN155" s="255"/>
      <c r="MO155" s="255"/>
      <c r="MP155" s="255"/>
      <c r="MQ155" s="255"/>
      <c r="MR155" s="255"/>
      <c r="MS155" s="255"/>
      <c r="MT155" s="255"/>
      <c r="MU155" s="255"/>
      <c r="MV155" s="255"/>
      <c r="MW155" s="255"/>
      <c r="MX155" s="255"/>
      <c r="MY155" s="255"/>
      <c r="MZ155" s="255"/>
      <c r="NA155" s="255"/>
      <c r="NB155" s="255"/>
      <c r="NC155" s="255"/>
      <c r="ND155" s="255"/>
      <c r="NE155" s="255"/>
      <c r="NF155" s="255"/>
      <c r="NG155" s="255"/>
      <c r="NH155" s="255"/>
      <c r="NI155" s="255"/>
      <c r="NJ155" s="255"/>
      <c r="NK155" s="255"/>
      <c r="NL155" s="255"/>
      <c r="NM155" s="255"/>
      <c r="NN155" s="255"/>
      <c r="NO155" s="255"/>
      <c r="NP155" s="255"/>
      <c r="NQ155" s="255"/>
      <c r="NR155" s="255"/>
      <c r="NS155" s="255"/>
      <c r="NT155" s="255"/>
      <c r="NU155" s="255"/>
      <c r="NV155" s="255"/>
      <c r="NW155" s="255"/>
      <c r="NX155" s="255"/>
      <c r="NY155" s="255"/>
      <c r="NZ155" s="255"/>
      <c r="OA155" s="255"/>
      <c r="OB155" s="255"/>
      <c r="OC155" s="255"/>
      <c r="OD155" s="255"/>
      <c r="OE155" s="255"/>
      <c r="OF155" s="255"/>
      <c r="OG155" s="255"/>
      <c r="OH155" s="255"/>
      <c r="OI155" s="255"/>
      <c r="OJ155" s="255"/>
      <c r="OK155" s="255"/>
      <c r="OL155" s="255"/>
      <c r="OM155" s="255"/>
      <c r="ON155" s="255"/>
      <c r="OO155" s="255"/>
      <c r="OP155" s="255"/>
      <c r="OQ155" s="255"/>
      <c r="OR155" s="255"/>
      <c r="OS155" s="255"/>
      <c r="OT155" s="255"/>
      <c r="OU155" s="255"/>
      <c r="OV155" s="255"/>
      <c r="OW155" s="255"/>
      <c r="OX155" s="255"/>
      <c r="OY155" s="255"/>
      <c r="OZ155" s="255"/>
      <c r="PA155" s="255"/>
      <c r="PB155" s="255"/>
      <c r="PC155" s="255"/>
      <c r="PD155" s="255"/>
      <c r="PE155" s="255"/>
      <c r="PF155" s="255"/>
      <c r="PG155" s="255"/>
      <c r="PH155" s="255"/>
      <c r="PI155" s="255"/>
      <c r="PJ155" s="255"/>
      <c r="PK155" s="255"/>
      <c r="PL155" s="255"/>
      <c r="PM155" s="255"/>
      <c r="PN155" s="255"/>
      <c r="PO155" s="255"/>
      <c r="PP155" s="255"/>
      <c r="PQ155" s="255"/>
      <c r="PR155" s="255"/>
      <c r="PS155" s="255"/>
      <c r="PT155" s="255"/>
      <c r="PU155" s="255"/>
      <c r="PV155" s="255"/>
      <c r="PW155" s="255"/>
      <c r="PX155" s="255"/>
      <c r="PY155" s="255"/>
      <c r="PZ155" s="255"/>
      <c r="QA155" s="255"/>
      <c r="QB155" s="255"/>
      <c r="QC155" s="255"/>
      <c r="QD155" s="255"/>
      <c r="QE155" s="255"/>
      <c r="QF155" s="255"/>
      <c r="QG155" s="255"/>
      <c r="QH155" s="255"/>
      <c r="QI155" s="255"/>
      <c r="QJ155" s="255"/>
      <c r="QK155" s="255"/>
      <c r="QL155" s="255"/>
      <c r="QM155" s="255"/>
      <c r="QN155" s="255"/>
      <c r="QO155" s="255"/>
      <c r="QP155" s="255"/>
      <c r="QQ155" s="255"/>
      <c r="QR155" s="255"/>
      <c r="QS155" s="255"/>
      <c r="QT155" s="255"/>
      <c r="QU155" s="255"/>
      <c r="QV155" s="255"/>
      <c r="QW155" s="255"/>
      <c r="QX155" s="255"/>
      <c r="QY155" s="255"/>
      <c r="QZ155" s="255"/>
      <c r="RA155" s="255"/>
      <c r="RB155" s="255"/>
      <c r="RC155" s="255"/>
      <c r="RD155" s="255"/>
      <c r="RE155" s="255"/>
      <c r="RF155" s="255"/>
      <c r="RG155" s="255"/>
      <c r="RH155" s="255"/>
      <c r="RI155" s="255"/>
      <c r="RJ155" s="255"/>
      <c r="RK155" s="255"/>
      <c r="RL155" s="255"/>
      <c r="RM155" s="255"/>
      <c r="RN155" s="255"/>
      <c r="RO155" s="255"/>
      <c r="RP155" s="255"/>
      <c r="RQ155" s="255"/>
      <c r="RR155" s="255"/>
      <c r="RS155" s="255"/>
      <c r="RT155" s="255"/>
      <c r="RU155" s="255"/>
      <c r="RV155" s="255"/>
      <c r="RW155" s="255"/>
      <c r="RX155" s="255"/>
      <c r="RY155" s="255"/>
      <c r="RZ155" s="255"/>
      <c r="SA155" s="255"/>
      <c r="SB155" s="255"/>
      <c r="SC155" s="255"/>
      <c r="SD155" s="255"/>
      <c r="SE155" s="255"/>
      <c r="SF155" s="255"/>
      <c r="SG155" s="255"/>
      <c r="SH155" s="255"/>
      <c r="SI155" s="255"/>
      <c r="SJ155" s="255"/>
      <c r="SK155" s="255"/>
      <c r="SL155" s="255"/>
      <c r="SM155" s="255"/>
      <c r="SN155" s="255"/>
      <c r="SO155" s="255"/>
      <c r="SP155" s="255"/>
      <c r="SQ155" s="255"/>
      <c r="SR155" s="255"/>
      <c r="SS155" s="255"/>
      <c r="ST155" s="255"/>
      <c r="SU155" s="255"/>
      <c r="SV155" s="255"/>
      <c r="SW155" s="255"/>
      <c r="SX155" s="255"/>
      <c r="SY155" s="255"/>
      <c r="SZ155" s="255"/>
      <c r="TA155" s="255"/>
      <c r="TB155" s="255"/>
      <c r="TC155" s="255"/>
      <c r="TD155" s="255"/>
      <c r="TE155" s="255"/>
      <c r="TF155" s="255"/>
      <c r="TG155" s="255"/>
      <c r="TH155" s="255"/>
      <c r="TI155" s="255"/>
      <c r="TJ155" s="255"/>
      <c r="TK155" s="255"/>
      <c r="TL155" s="255"/>
      <c r="TM155" s="255"/>
      <c r="TN155" s="255"/>
      <c r="TO155" s="255"/>
      <c r="TP155" s="255"/>
      <c r="TQ155" s="255"/>
      <c r="TR155" s="255"/>
      <c r="TS155" s="255"/>
      <c r="TT155" s="255"/>
      <c r="TU155" s="255"/>
      <c r="TV155" s="255"/>
      <c r="TW155" s="255"/>
      <c r="TX155" s="255"/>
      <c r="TY155" s="255"/>
      <c r="TZ155" s="255"/>
      <c r="UA155" s="255"/>
      <c r="UB155" s="255"/>
      <c r="UC155" s="255"/>
      <c r="UD155" s="255"/>
      <c r="UE155" s="255"/>
      <c r="UF155" s="255"/>
      <c r="UG155" s="255"/>
      <c r="UH155" s="255"/>
      <c r="UI155" s="255"/>
      <c r="UJ155" s="255"/>
      <c r="UK155" s="255"/>
      <c r="UL155" s="255"/>
      <c r="UM155" s="255"/>
      <c r="UN155" s="255"/>
      <c r="UO155" s="255"/>
      <c r="UP155" s="255"/>
      <c r="UQ155" s="255"/>
      <c r="UR155" s="255"/>
      <c r="US155" s="255"/>
      <c r="UT155" s="255"/>
      <c r="UU155" s="255"/>
      <c r="UV155" s="255"/>
      <c r="UW155" s="255"/>
      <c r="UX155" s="255"/>
      <c r="UY155" s="255"/>
      <c r="UZ155" s="255"/>
      <c r="VA155" s="255"/>
      <c r="VB155" s="255"/>
      <c r="VC155" s="255"/>
      <c r="VD155" s="255"/>
      <c r="VE155" s="255"/>
      <c r="VF155" s="255"/>
      <c r="VG155" s="255"/>
      <c r="VH155" s="255"/>
      <c r="VI155" s="255"/>
      <c r="VJ155" s="255"/>
      <c r="VK155" s="255"/>
      <c r="VL155" s="255"/>
      <c r="VM155" s="255"/>
      <c r="VN155" s="255"/>
      <c r="VO155" s="255"/>
      <c r="VP155" s="255"/>
      <c r="VQ155" s="255"/>
      <c r="VR155" s="255"/>
      <c r="VS155" s="255"/>
      <c r="VT155" s="255"/>
      <c r="VU155" s="255"/>
      <c r="VV155" s="255"/>
      <c r="VW155" s="255"/>
      <c r="VX155" s="255"/>
      <c r="VY155" s="255"/>
      <c r="VZ155" s="255"/>
      <c r="WA155" s="255"/>
      <c r="WB155" s="255"/>
      <c r="WC155" s="255"/>
      <c r="WD155" s="255"/>
      <c r="WE155" s="255"/>
      <c r="WF155" s="255"/>
      <c r="WG155" s="255"/>
      <c r="WH155" s="255"/>
      <c r="WI155" s="255"/>
      <c r="WJ155" s="255"/>
      <c r="WK155" s="255"/>
      <c r="WL155" s="255"/>
      <c r="WM155" s="255"/>
      <c r="WN155" s="255"/>
      <c r="WO155" s="255"/>
      <c r="WP155" s="255"/>
      <c r="WQ155" s="255"/>
      <c r="WR155" s="255"/>
      <c r="WS155" s="255"/>
      <c r="WT155" s="255"/>
      <c r="WU155" s="255"/>
      <c r="WV155" s="255"/>
      <c r="WW155" s="255"/>
      <c r="WX155" s="255"/>
      <c r="WY155" s="255"/>
      <c r="WZ155" s="255"/>
      <c r="XA155" s="255"/>
      <c r="XB155" s="255"/>
      <c r="XC155" s="255"/>
      <c r="XD155" s="255"/>
      <c r="XE155" s="255"/>
      <c r="XF155" s="255"/>
      <c r="XG155" s="255"/>
      <c r="XH155" s="255"/>
      <c r="XI155" s="255"/>
      <c r="XJ155" s="255"/>
      <c r="XK155" s="255"/>
      <c r="XL155" s="255"/>
      <c r="XM155" s="255"/>
      <c r="XN155" s="255"/>
      <c r="XO155" s="255"/>
      <c r="XP155" s="255"/>
      <c r="XQ155" s="255"/>
      <c r="XR155" s="255"/>
      <c r="XS155" s="255"/>
      <c r="XT155" s="255"/>
      <c r="XU155" s="255"/>
      <c r="XV155" s="255"/>
      <c r="XW155" s="255"/>
      <c r="XX155" s="255"/>
      <c r="XY155" s="255"/>
      <c r="XZ155" s="255"/>
      <c r="YA155" s="255"/>
      <c r="YB155" s="255"/>
      <c r="YC155" s="255"/>
      <c r="YD155" s="255"/>
      <c r="YE155" s="255"/>
      <c r="YF155" s="255"/>
      <c r="YG155" s="255"/>
      <c r="YH155" s="255"/>
      <c r="YI155" s="255"/>
      <c r="YJ155" s="255"/>
      <c r="YK155" s="255"/>
      <c r="YL155" s="255"/>
      <c r="YM155" s="255"/>
      <c r="YN155" s="255"/>
      <c r="YO155" s="255"/>
      <c r="YP155" s="255"/>
      <c r="YQ155" s="255"/>
      <c r="YR155" s="255"/>
      <c r="YS155" s="255"/>
      <c r="YT155" s="255"/>
      <c r="YU155" s="255"/>
      <c r="YV155" s="255"/>
      <c r="YW155" s="255"/>
      <c r="YX155" s="255"/>
      <c r="YY155" s="255"/>
      <c r="YZ155" s="255"/>
      <c r="ZA155" s="255"/>
      <c r="ZB155" s="255"/>
      <c r="ZC155" s="255"/>
      <c r="ZD155" s="255"/>
      <c r="ZE155" s="255"/>
      <c r="ZF155" s="255"/>
      <c r="ZG155" s="255"/>
      <c r="ZH155" s="255"/>
      <c r="ZI155" s="255"/>
      <c r="ZJ155" s="255"/>
      <c r="ZK155" s="255"/>
      <c r="ZL155" s="255"/>
      <c r="ZM155" s="255"/>
      <c r="ZN155" s="255"/>
      <c r="ZO155" s="255"/>
      <c r="ZP155" s="255"/>
      <c r="ZQ155" s="255"/>
      <c r="ZR155" s="255"/>
      <c r="ZS155" s="255"/>
      <c r="ZT155" s="255"/>
      <c r="ZU155" s="255"/>
      <c r="ZV155" s="255"/>
      <c r="ZW155" s="255"/>
      <c r="ZX155" s="255"/>
      <c r="ZY155" s="255"/>
      <c r="ZZ155" s="255"/>
      <c r="AAA155" s="255"/>
      <c r="AAB155" s="255"/>
      <c r="AAC155" s="255"/>
      <c r="AAD155" s="255"/>
      <c r="AAE155" s="255"/>
      <c r="AAF155" s="255"/>
      <c r="AAG155" s="255"/>
      <c r="AAH155" s="255"/>
      <c r="AAI155" s="255"/>
      <c r="AAJ155" s="255"/>
      <c r="AAK155" s="255"/>
      <c r="AAL155" s="255"/>
      <c r="AAM155" s="255"/>
      <c r="AAN155" s="255"/>
      <c r="AAO155" s="255"/>
      <c r="AAP155" s="255"/>
      <c r="AAQ155" s="255"/>
      <c r="AAR155" s="255"/>
      <c r="AAS155" s="255"/>
      <c r="AAT155" s="255"/>
      <c r="AAU155" s="255"/>
      <c r="AAV155" s="255"/>
      <c r="AAW155" s="255"/>
      <c r="AAX155" s="255"/>
      <c r="AAY155" s="255"/>
      <c r="AAZ155" s="255"/>
      <c r="ABA155" s="255"/>
      <c r="ABB155" s="255"/>
      <c r="ABC155" s="255"/>
      <c r="ABD155" s="255"/>
      <c r="ABE155" s="255"/>
      <c r="ABF155" s="255"/>
      <c r="ABG155" s="255"/>
      <c r="ABH155" s="255"/>
      <c r="ABI155" s="255"/>
      <c r="ABJ155" s="255"/>
      <c r="ABK155" s="255"/>
      <c r="ABL155" s="255"/>
      <c r="ABM155" s="255"/>
      <c r="ABN155" s="255"/>
      <c r="ABO155" s="255"/>
      <c r="ABP155" s="255"/>
      <c r="ABQ155" s="255"/>
      <c r="ABR155" s="255"/>
      <c r="ABS155" s="255"/>
      <c r="ABT155" s="255"/>
      <c r="ABU155" s="255"/>
      <c r="ABV155" s="255"/>
      <c r="ABW155" s="255"/>
      <c r="ABX155" s="255"/>
      <c r="ABY155" s="255"/>
      <c r="ABZ155" s="255"/>
      <c r="ACA155" s="255"/>
      <c r="ACB155" s="255"/>
      <c r="ACC155" s="255"/>
      <c r="ACD155" s="255"/>
      <c r="ACE155" s="255"/>
      <c r="ACF155" s="255"/>
      <c r="ACG155" s="255"/>
      <c r="ACH155" s="255"/>
      <c r="ACI155" s="255"/>
      <c r="ACJ155" s="255"/>
      <c r="ACK155" s="255"/>
      <c r="ACL155" s="255"/>
      <c r="ACM155" s="255"/>
      <c r="ACN155" s="255"/>
      <c r="ACO155" s="255"/>
      <c r="ACP155" s="255"/>
      <c r="ACQ155" s="255"/>
      <c r="ACR155" s="255"/>
      <c r="ACS155" s="255"/>
      <c r="ACT155" s="255"/>
      <c r="ACU155" s="255"/>
      <c r="ACV155" s="255"/>
      <c r="ACW155" s="255"/>
      <c r="ACX155" s="255"/>
      <c r="ACY155" s="255"/>
      <c r="ACZ155" s="255"/>
      <c r="ADA155" s="255"/>
      <c r="ADB155" s="255"/>
      <c r="ADC155" s="255"/>
      <c r="ADD155" s="255"/>
      <c r="ADE155" s="255"/>
      <c r="ADF155" s="255"/>
      <c r="ADG155" s="255"/>
      <c r="ADH155" s="255"/>
      <c r="ADI155" s="255"/>
      <c r="ADJ155" s="255"/>
      <c r="ADK155" s="255"/>
      <c r="ADL155" s="255"/>
      <c r="ADM155" s="255"/>
      <c r="ADN155" s="255"/>
      <c r="ADO155" s="255"/>
      <c r="ADP155" s="255"/>
      <c r="ADQ155" s="255"/>
      <c r="ADR155" s="255"/>
      <c r="ADS155" s="255"/>
      <c r="ADT155" s="255"/>
      <c r="ADU155" s="255"/>
      <c r="ADV155" s="255"/>
      <c r="ADW155" s="255"/>
      <c r="ADX155" s="255"/>
      <c r="ADY155" s="255"/>
      <c r="ADZ155" s="255"/>
      <c r="AEA155" s="255"/>
      <c r="AEB155" s="255"/>
      <c r="AEC155" s="255"/>
      <c r="AED155" s="255"/>
      <c r="AEE155" s="255"/>
      <c r="AEF155" s="255"/>
      <c r="AEG155" s="255"/>
      <c r="AEH155" s="255"/>
      <c r="AEI155" s="255"/>
      <c r="AEJ155" s="255"/>
      <c r="AEK155" s="255"/>
      <c r="AEL155" s="255"/>
      <c r="AEM155" s="255"/>
      <c r="AEN155" s="255"/>
      <c r="AEO155" s="255"/>
      <c r="AEP155" s="255"/>
      <c r="AEQ155" s="255"/>
      <c r="AER155" s="255"/>
      <c r="AES155" s="255"/>
      <c r="AET155" s="255"/>
      <c r="AEU155" s="255"/>
      <c r="AEV155" s="255"/>
      <c r="AEW155" s="255"/>
      <c r="AEX155" s="255"/>
      <c r="AEY155" s="255"/>
      <c r="AEZ155" s="255"/>
      <c r="AFA155" s="255"/>
      <c r="AFB155" s="255"/>
      <c r="AFC155" s="255"/>
      <c r="AFD155" s="255"/>
      <c r="AFE155" s="255"/>
      <c r="AFF155" s="255"/>
      <c r="AFG155" s="255"/>
      <c r="AFH155" s="255"/>
      <c r="AFI155" s="255"/>
      <c r="AFJ155" s="255"/>
      <c r="AFK155" s="255"/>
      <c r="AFL155" s="255"/>
      <c r="AFM155" s="255"/>
      <c r="AFN155" s="255"/>
      <c r="AFO155" s="255"/>
      <c r="AFP155" s="255"/>
      <c r="AFQ155" s="255"/>
      <c r="AFR155" s="255"/>
      <c r="AFS155" s="255"/>
      <c r="AFT155" s="255"/>
      <c r="AFU155" s="255"/>
      <c r="AFV155" s="255"/>
      <c r="AFW155" s="255"/>
      <c r="AFX155" s="255"/>
      <c r="AFY155" s="255"/>
      <c r="AFZ155" s="255"/>
      <c r="AGA155" s="255"/>
      <c r="AGB155" s="255"/>
      <c r="AGC155" s="255"/>
      <c r="AGD155" s="255"/>
      <c r="AGE155" s="255"/>
      <c r="AGF155" s="255"/>
      <c r="AGG155" s="255"/>
      <c r="AGH155" s="255"/>
      <c r="AGI155" s="255"/>
      <c r="AGJ155" s="255"/>
      <c r="AGK155" s="255"/>
      <c r="AGL155" s="255"/>
      <c r="AGM155" s="255"/>
      <c r="AGN155" s="255"/>
      <c r="AGO155" s="255"/>
      <c r="AGP155" s="255"/>
      <c r="AGQ155" s="255"/>
      <c r="AGR155" s="255"/>
      <c r="AGS155" s="255"/>
      <c r="AGT155" s="255"/>
      <c r="AGU155" s="255"/>
      <c r="AGV155" s="255"/>
      <c r="AGW155" s="255"/>
      <c r="AGX155" s="255"/>
      <c r="AGY155" s="255"/>
      <c r="AGZ155" s="255"/>
      <c r="AHA155" s="255"/>
      <c r="AHB155" s="255"/>
      <c r="AHC155" s="255"/>
      <c r="AHD155" s="255"/>
      <c r="AHE155" s="255"/>
      <c r="AHF155" s="255"/>
      <c r="AHG155" s="255"/>
      <c r="AHH155" s="255"/>
      <c r="AHI155" s="255"/>
      <c r="AHJ155" s="255"/>
      <c r="AHK155" s="255"/>
      <c r="AHL155" s="255"/>
      <c r="AHM155" s="255"/>
      <c r="AHN155" s="255"/>
      <c r="AHO155" s="255"/>
      <c r="AHP155" s="255"/>
      <c r="AHQ155" s="255"/>
      <c r="AHR155" s="255"/>
      <c r="AHS155" s="255"/>
      <c r="AHT155" s="255"/>
      <c r="AHU155" s="255"/>
      <c r="AHV155" s="255"/>
      <c r="AHW155" s="255"/>
      <c r="AHX155" s="255"/>
      <c r="AHY155" s="255"/>
      <c r="AHZ155" s="255"/>
      <c r="AIA155" s="255"/>
      <c r="AIB155" s="255"/>
      <c r="AIC155" s="255"/>
      <c r="AID155" s="255"/>
      <c r="AIE155" s="255"/>
      <c r="AIF155" s="255"/>
      <c r="AIG155" s="255"/>
      <c r="AIH155" s="255"/>
      <c r="AII155" s="255"/>
      <c r="AIJ155" s="255"/>
      <c r="AIK155" s="255"/>
      <c r="AIL155" s="255"/>
      <c r="AIM155" s="255"/>
      <c r="AIN155" s="255"/>
      <c r="AIO155" s="255"/>
      <c r="AIP155" s="255"/>
      <c r="AIQ155" s="255"/>
      <c r="AIR155" s="255"/>
      <c r="AIS155" s="255"/>
      <c r="AIT155" s="255"/>
      <c r="AIU155" s="255"/>
      <c r="AIV155" s="255"/>
      <c r="AIW155" s="255"/>
      <c r="AIX155" s="255"/>
      <c r="AIY155" s="255"/>
      <c r="AIZ155" s="255"/>
      <c r="AJA155" s="255"/>
      <c r="AJB155" s="255"/>
      <c r="AJC155" s="255"/>
      <c r="AJD155" s="255"/>
      <c r="AJE155" s="255"/>
      <c r="AJF155" s="255"/>
      <c r="AJG155" s="255"/>
      <c r="AJH155" s="255"/>
      <c r="AJI155" s="255"/>
      <c r="AJJ155" s="255"/>
      <c r="AJK155" s="255"/>
      <c r="AJL155" s="255"/>
      <c r="AJM155" s="255"/>
      <c r="AJN155" s="255"/>
      <c r="AJO155" s="255"/>
      <c r="AJP155" s="255"/>
      <c r="AJQ155" s="255"/>
      <c r="AJR155" s="255"/>
      <c r="AJS155" s="255"/>
      <c r="AJT155" s="255"/>
      <c r="AJU155" s="255"/>
      <c r="AJV155" s="255"/>
      <c r="AJW155" s="255"/>
      <c r="AJX155" s="255"/>
      <c r="AJY155" s="255"/>
      <c r="AJZ155" s="255"/>
      <c r="AKA155" s="255"/>
      <c r="AKB155" s="255"/>
      <c r="AKC155" s="255"/>
      <c r="AKD155" s="255"/>
      <c r="AKE155" s="255"/>
      <c r="AKF155" s="255"/>
      <c r="AKG155" s="255"/>
      <c r="AKH155" s="255"/>
      <c r="AKI155" s="255"/>
      <c r="AKJ155" s="255"/>
      <c r="AKK155" s="255"/>
      <c r="AKL155" s="255"/>
      <c r="AKM155" s="255"/>
      <c r="AKN155" s="255"/>
      <c r="AKO155" s="255"/>
      <c r="AKP155" s="255"/>
      <c r="AKQ155" s="255"/>
      <c r="AKR155" s="255"/>
      <c r="AKS155" s="255"/>
      <c r="AKT155" s="255"/>
      <c r="AKU155" s="255"/>
      <c r="AKV155" s="255"/>
      <c r="AKW155" s="255"/>
      <c r="AKX155" s="255"/>
      <c r="AKY155" s="255"/>
      <c r="AKZ155" s="255"/>
      <c r="ALA155" s="255"/>
      <c r="ALB155" s="255"/>
      <c r="ALC155" s="255"/>
      <c r="ALD155" s="255"/>
      <c r="ALE155" s="255"/>
      <c r="ALF155" s="255"/>
      <c r="ALG155" s="255"/>
      <c r="ALH155" s="255"/>
      <c r="ALI155" s="255"/>
      <c r="ALJ155" s="255"/>
      <c r="ALK155" s="255"/>
      <c r="ALL155" s="255"/>
      <c r="ALM155" s="255"/>
      <c r="ALN155" s="255"/>
      <c r="ALO155" s="255"/>
      <c r="ALP155" s="255"/>
      <c r="ALQ155" s="255"/>
      <c r="ALR155" s="255"/>
    </row>
    <row r="156" spans="1:1006" s="191" customFormat="1">
      <c r="A156" s="251" t="s">
        <v>6307</v>
      </c>
      <c r="B156" s="290">
        <v>360</v>
      </c>
      <c r="C156" s="282" t="str">
        <f>(IF($A156="SINAPI",INDEX(SINAPI_NOV2020_NDES!$A$7:$H$6703,MATCH($B156,SINAPI_NOV2020_NDES!$A$7:$A$6703,0),2),IF($A156="GOINFRA",INDEX(#REF!,MATCH($B156,#REF!,0),2),(INDEX(COMPOS!$A$4:$G$390,MATCH($B156,COMPOS!$A$4:A$390,0),2)))))</f>
        <v>PINTURA ESMALTE/ESQUADRIA DE FERRO COM FUNDO ANTI-CORROSIVO</v>
      </c>
      <c r="D156" s="274" t="str">
        <f>(IF($A156="SINAPI",INDEX(SINAPI_NOV2020_NDES!$A$7:$H$6790,MATCH($B156,SINAPI_NOV2020_NDES!$A$7:$A$6790,0),3),(INDEX(COMPOS!$A$4:$G$5000,MATCH($B156,COMPOS!$A$4:$A$5000,0),3))))</f>
        <v>M2</v>
      </c>
      <c r="E156" s="276">
        <v>267.39</v>
      </c>
      <c r="F156" s="303">
        <f>(IF($A156="SINAPI",INDEX(SINAPI_NOV2020_NDES!$A$7:$H$6703,MATCH($B156,SINAPI_NOV2020_NDES!$A$7:$A$6703,0),5),(INDEX(COMPOS!$A$4:$G$801,MATCH($B156,COMPOS!$A$4:A$801,0),4))))</f>
        <v>15.847708000000001</v>
      </c>
      <c r="G156" s="314">
        <f>(IF($A156="SINAPI",INDEX(SINAPI_NOV2020_NDES!$A$7:$H$6703,MATCH($B156,SINAPI_NOV2020_NDES!$A$7:$A$6703,0),6),(INDEX(COMPOS!$A$4:$G$801,MATCH($B156,COMPOS!$A$4:A$801,0),5))))</f>
        <v>6.5686479999999996</v>
      </c>
      <c r="H156" s="315">
        <f>(IF($A156="SINAPI",INDEX(SINAPI_NOV2020_NDES!$A$7:$H$6703,MATCH($B156,SINAPI_NOV2020_NDES!$A$7:$A$6703,0),7),(INDEX(COMPOS!$A$4:$G$801,MATCH($B156,COMPOS!$A$4:A$801,0),6))))</f>
        <v>0</v>
      </c>
      <c r="I156" s="315">
        <f t="shared" si="38"/>
        <v>22.416356</v>
      </c>
      <c r="J156" s="280">
        <f t="shared" si="39"/>
        <v>5993.9094308399999</v>
      </c>
      <c r="K156" s="255"/>
      <c r="L156" s="255"/>
      <c r="M156" s="255"/>
      <c r="N156" s="255"/>
      <c r="O156" s="257"/>
      <c r="P156" s="257"/>
      <c r="Q156" s="255"/>
      <c r="R156" s="255"/>
      <c r="S156" s="255"/>
      <c r="T156" s="255"/>
      <c r="U156" s="255"/>
      <c r="V156" s="255"/>
      <c r="W156" s="255"/>
      <c r="X156" s="255"/>
      <c r="Y156" s="255"/>
      <c r="Z156" s="255"/>
      <c r="AA156" s="255"/>
      <c r="AB156" s="255"/>
      <c r="AC156" s="255"/>
      <c r="AD156" s="255"/>
      <c r="AE156" s="255"/>
      <c r="AF156" s="255"/>
      <c r="AG156" s="255"/>
      <c r="AH156" s="255"/>
      <c r="AI156" s="255"/>
      <c r="AJ156" s="255"/>
      <c r="AK156" s="255"/>
      <c r="AL156" s="255"/>
      <c r="AM156" s="255"/>
      <c r="AN156" s="255"/>
      <c r="AO156" s="255"/>
      <c r="AP156" s="255"/>
      <c r="AQ156" s="255"/>
      <c r="AR156" s="255"/>
      <c r="AS156" s="255"/>
      <c r="AT156" s="255"/>
      <c r="AU156" s="255"/>
      <c r="AV156" s="255"/>
      <c r="AW156" s="255"/>
      <c r="AX156" s="255"/>
      <c r="AY156" s="255"/>
      <c r="AZ156" s="255"/>
      <c r="BA156" s="255"/>
      <c r="BB156" s="255"/>
      <c r="BC156" s="255"/>
      <c r="BD156" s="255"/>
      <c r="BE156" s="255"/>
      <c r="BF156" s="255"/>
      <c r="BG156" s="255"/>
      <c r="BH156" s="255"/>
      <c r="BI156" s="255"/>
      <c r="BJ156" s="255"/>
      <c r="BK156" s="255"/>
      <c r="BL156" s="255"/>
      <c r="BM156" s="255"/>
      <c r="BN156" s="255"/>
      <c r="BO156" s="255"/>
      <c r="BP156" s="255"/>
      <c r="BQ156" s="255"/>
      <c r="BR156" s="255"/>
      <c r="BS156" s="255"/>
      <c r="BT156" s="255"/>
      <c r="BU156" s="255"/>
      <c r="BV156" s="255"/>
      <c r="BW156" s="255"/>
      <c r="BX156" s="255"/>
      <c r="BY156" s="255"/>
      <c r="BZ156" s="255"/>
      <c r="CA156" s="255"/>
      <c r="CB156" s="255"/>
      <c r="CC156" s="255"/>
      <c r="CD156" s="255"/>
      <c r="CE156" s="255"/>
      <c r="CF156" s="255"/>
      <c r="CG156" s="255"/>
      <c r="CH156" s="255"/>
      <c r="CI156" s="255"/>
      <c r="CJ156" s="255"/>
      <c r="CK156" s="255"/>
      <c r="CL156" s="255"/>
      <c r="CM156" s="255"/>
      <c r="CN156" s="255"/>
      <c r="CO156" s="255"/>
      <c r="CP156" s="255"/>
      <c r="CQ156" s="255"/>
      <c r="CR156" s="255"/>
      <c r="CS156" s="255"/>
      <c r="CT156" s="255"/>
      <c r="CU156" s="255"/>
      <c r="CV156" s="255"/>
      <c r="CW156" s="255"/>
      <c r="CX156" s="255"/>
      <c r="CY156" s="255"/>
      <c r="CZ156" s="255"/>
      <c r="DA156" s="255"/>
      <c r="DB156" s="255"/>
      <c r="DC156" s="255"/>
      <c r="DD156" s="255"/>
      <c r="DE156" s="255"/>
      <c r="DF156" s="255"/>
      <c r="DG156" s="255"/>
      <c r="DH156" s="255"/>
      <c r="DI156" s="255"/>
      <c r="DJ156" s="255"/>
      <c r="DK156" s="255"/>
      <c r="DL156" s="255"/>
      <c r="DM156" s="255"/>
      <c r="DN156" s="255"/>
      <c r="DO156" s="255"/>
      <c r="DP156" s="255"/>
      <c r="DQ156" s="255"/>
      <c r="DR156" s="255"/>
      <c r="DS156" s="255"/>
      <c r="DT156" s="255"/>
      <c r="DU156" s="255"/>
      <c r="DV156" s="255"/>
      <c r="DW156" s="255"/>
      <c r="DX156" s="255"/>
      <c r="DY156" s="255"/>
      <c r="DZ156" s="255"/>
      <c r="EA156" s="255"/>
      <c r="EB156" s="255"/>
      <c r="EC156" s="255"/>
      <c r="ED156" s="255"/>
      <c r="EE156" s="255"/>
      <c r="EF156" s="255"/>
      <c r="EG156" s="255"/>
      <c r="EH156" s="255"/>
      <c r="EI156" s="255"/>
      <c r="EJ156" s="255"/>
      <c r="EK156" s="255"/>
      <c r="EL156" s="255"/>
      <c r="EM156" s="255"/>
      <c r="EN156" s="255"/>
      <c r="EO156" s="255"/>
      <c r="EP156" s="255"/>
      <c r="EQ156" s="255"/>
      <c r="ER156" s="255"/>
      <c r="ES156" s="255"/>
      <c r="ET156" s="255"/>
      <c r="EU156" s="255"/>
      <c r="EV156" s="255"/>
      <c r="EW156" s="255"/>
      <c r="EX156" s="255"/>
      <c r="EY156" s="255"/>
      <c r="EZ156" s="255"/>
      <c r="FA156" s="255"/>
      <c r="FB156" s="255"/>
      <c r="FC156" s="255"/>
      <c r="FD156" s="255"/>
      <c r="FE156" s="255"/>
      <c r="FF156" s="255"/>
      <c r="FG156" s="255"/>
      <c r="FH156" s="255"/>
      <c r="FI156" s="255"/>
      <c r="FJ156" s="255"/>
      <c r="FK156" s="255"/>
      <c r="FL156" s="255"/>
      <c r="FM156" s="255"/>
      <c r="FN156" s="255"/>
      <c r="FO156" s="255"/>
      <c r="FP156" s="255"/>
      <c r="FQ156" s="255"/>
      <c r="FR156" s="255"/>
      <c r="FS156" s="255"/>
      <c r="FT156" s="255"/>
      <c r="FU156" s="255"/>
      <c r="FV156" s="255"/>
      <c r="FW156" s="255"/>
      <c r="FX156" s="255"/>
      <c r="FY156" s="255"/>
      <c r="FZ156" s="255"/>
      <c r="GA156" s="255"/>
      <c r="GB156" s="255"/>
      <c r="GC156" s="255"/>
      <c r="GD156" s="255"/>
      <c r="GE156" s="255"/>
      <c r="GF156" s="255"/>
      <c r="GG156" s="255"/>
      <c r="GH156" s="255"/>
      <c r="GI156" s="255"/>
      <c r="GJ156" s="255"/>
      <c r="GK156" s="255"/>
      <c r="GL156" s="255"/>
      <c r="GM156" s="255"/>
      <c r="GN156" s="255"/>
      <c r="GO156" s="255"/>
      <c r="GP156" s="255"/>
      <c r="GQ156" s="255"/>
      <c r="GR156" s="255"/>
      <c r="GS156" s="255"/>
      <c r="GT156" s="255"/>
      <c r="GU156" s="255"/>
      <c r="GV156" s="255"/>
      <c r="GW156" s="255"/>
      <c r="GX156" s="255"/>
      <c r="GY156" s="255"/>
      <c r="GZ156" s="255"/>
      <c r="HA156" s="255"/>
      <c r="HB156" s="255"/>
      <c r="HC156" s="255"/>
      <c r="HD156" s="255"/>
      <c r="HE156" s="255"/>
      <c r="HF156" s="255"/>
      <c r="HG156" s="255"/>
      <c r="HH156" s="255"/>
      <c r="HI156" s="255"/>
      <c r="HJ156" s="255"/>
      <c r="HK156" s="255"/>
      <c r="HL156" s="255"/>
      <c r="HM156" s="255"/>
      <c r="HN156" s="255"/>
      <c r="HO156" s="255"/>
      <c r="HP156" s="255"/>
      <c r="HQ156" s="255"/>
      <c r="HR156" s="255"/>
      <c r="HS156" s="255"/>
      <c r="HT156" s="255"/>
      <c r="HU156" s="255"/>
      <c r="HV156" s="255"/>
      <c r="HW156" s="255"/>
      <c r="HX156" s="255"/>
      <c r="HY156" s="255"/>
      <c r="HZ156" s="255"/>
      <c r="IA156" s="255"/>
      <c r="IB156" s="255"/>
      <c r="IC156" s="255"/>
      <c r="ID156" s="255"/>
      <c r="IE156" s="255"/>
      <c r="IF156" s="255"/>
      <c r="IG156" s="255"/>
      <c r="IH156" s="255"/>
      <c r="II156" s="255"/>
      <c r="IJ156" s="255"/>
      <c r="IK156" s="255"/>
      <c r="IL156" s="255"/>
      <c r="IM156" s="255"/>
      <c r="IN156" s="255"/>
      <c r="IO156" s="255"/>
      <c r="IP156" s="255"/>
      <c r="IQ156" s="255"/>
      <c r="IR156" s="255"/>
      <c r="IS156" s="255"/>
      <c r="IT156" s="255"/>
      <c r="IU156" s="255"/>
      <c r="IV156" s="255"/>
      <c r="IW156" s="255"/>
      <c r="IX156" s="255"/>
      <c r="IY156" s="255"/>
      <c r="IZ156" s="255"/>
      <c r="JA156" s="255"/>
      <c r="JB156" s="255"/>
      <c r="JC156" s="255"/>
      <c r="JD156" s="255"/>
      <c r="JE156" s="255"/>
      <c r="JF156" s="255"/>
      <c r="JG156" s="255"/>
      <c r="JH156" s="255"/>
      <c r="JI156" s="255"/>
      <c r="JJ156" s="255"/>
      <c r="JK156" s="255"/>
      <c r="JL156" s="255"/>
      <c r="JM156" s="255"/>
      <c r="JN156" s="255"/>
      <c r="JO156" s="255"/>
      <c r="JP156" s="255"/>
      <c r="JQ156" s="255"/>
      <c r="JR156" s="255"/>
      <c r="JS156" s="255"/>
      <c r="JT156" s="255"/>
      <c r="JU156" s="255"/>
      <c r="JV156" s="255"/>
      <c r="JW156" s="255"/>
      <c r="JX156" s="255"/>
      <c r="JY156" s="255"/>
      <c r="JZ156" s="255"/>
      <c r="KA156" s="255"/>
      <c r="KB156" s="255"/>
      <c r="KC156" s="255"/>
      <c r="KD156" s="255"/>
      <c r="KE156" s="255"/>
      <c r="KF156" s="255"/>
      <c r="KG156" s="255"/>
      <c r="KH156" s="255"/>
      <c r="KI156" s="255"/>
      <c r="KJ156" s="255"/>
      <c r="KK156" s="255"/>
      <c r="KL156" s="255"/>
      <c r="KM156" s="255"/>
      <c r="KN156" s="255"/>
      <c r="KO156" s="255"/>
      <c r="KP156" s="255"/>
      <c r="KQ156" s="255"/>
      <c r="KR156" s="255"/>
      <c r="KS156" s="255"/>
      <c r="KT156" s="255"/>
      <c r="KU156" s="255"/>
      <c r="KV156" s="255"/>
      <c r="KW156" s="255"/>
      <c r="KX156" s="255"/>
      <c r="KY156" s="255"/>
      <c r="KZ156" s="255"/>
      <c r="LA156" s="255"/>
      <c r="LB156" s="255"/>
      <c r="LC156" s="255"/>
      <c r="LD156" s="255"/>
      <c r="LE156" s="255"/>
      <c r="LF156" s="255"/>
      <c r="LG156" s="255"/>
      <c r="LH156" s="255"/>
      <c r="LI156" s="255"/>
      <c r="LJ156" s="255"/>
      <c r="LK156" s="255"/>
      <c r="LL156" s="255"/>
      <c r="LM156" s="255"/>
      <c r="LN156" s="255"/>
      <c r="LO156" s="255"/>
      <c r="LP156" s="255"/>
      <c r="LQ156" s="255"/>
      <c r="LR156" s="255"/>
      <c r="LS156" s="255"/>
      <c r="LT156" s="255"/>
      <c r="LU156" s="255"/>
      <c r="LV156" s="255"/>
      <c r="LW156" s="255"/>
      <c r="LX156" s="255"/>
      <c r="LY156" s="255"/>
      <c r="LZ156" s="255"/>
      <c r="MA156" s="255"/>
      <c r="MB156" s="255"/>
      <c r="MC156" s="255"/>
      <c r="MD156" s="255"/>
      <c r="ME156" s="255"/>
      <c r="MF156" s="255"/>
      <c r="MG156" s="255"/>
      <c r="MH156" s="255"/>
      <c r="MI156" s="255"/>
      <c r="MJ156" s="255"/>
      <c r="MK156" s="255"/>
      <c r="ML156" s="255"/>
      <c r="MM156" s="255"/>
      <c r="MN156" s="255"/>
      <c r="MO156" s="255"/>
      <c r="MP156" s="255"/>
      <c r="MQ156" s="255"/>
      <c r="MR156" s="255"/>
      <c r="MS156" s="255"/>
      <c r="MT156" s="255"/>
      <c r="MU156" s="255"/>
      <c r="MV156" s="255"/>
      <c r="MW156" s="255"/>
      <c r="MX156" s="255"/>
      <c r="MY156" s="255"/>
      <c r="MZ156" s="255"/>
      <c r="NA156" s="255"/>
      <c r="NB156" s="255"/>
      <c r="NC156" s="255"/>
      <c r="ND156" s="255"/>
      <c r="NE156" s="255"/>
      <c r="NF156" s="255"/>
      <c r="NG156" s="255"/>
      <c r="NH156" s="255"/>
      <c r="NI156" s="255"/>
      <c r="NJ156" s="255"/>
      <c r="NK156" s="255"/>
      <c r="NL156" s="255"/>
      <c r="NM156" s="255"/>
      <c r="NN156" s="255"/>
      <c r="NO156" s="255"/>
      <c r="NP156" s="255"/>
      <c r="NQ156" s="255"/>
      <c r="NR156" s="255"/>
      <c r="NS156" s="255"/>
      <c r="NT156" s="255"/>
      <c r="NU156" s="255"/>
      <c r="NV156" s="255"/>
      <c r="NW156" s="255"/>
      <c r="NX156" s="255"/>
      <c r="NY156" s="255"/>
      <c r="NZ156" s="255"/>
      <c r="OA156" s="255"/>
      <c r="OB156" s="255"/>
      <c r="OC156" s="255"/>
      <c r="OD156" s="255"/>
      <c r="OE156" s="255"/>
      <c r="OF156" s="255"/>
      <c r="OG156" s="255"/>
      <c r="OH156" s="255"/>
      <c r="OI156" s="255"/>
      <c r="OJ156" s="255"/>
      <c r="OK156" s="255"/>
      <c r="OL156" s="255"/>
      <c r="OM156" s="255"/>
      <c r="ON156" s="255"/>
      <c r="OO156" s="255"/>
      <c r="OP156" s="255"/>
      <c r="OQ156" s="255"/>
      <c r="OR156" s="255"/>
      <c r="OS156" s="255"/>
      <c r="OT156" s="255"/>
      <c r="OU156" s="255"/>
      <c r="OV156" s="255"/>
      <c r="OW156" s="255"/>
      <c r="OX156" s="255"/>
      <c r="OY156" s="255"/>
      <c r="OZ156" s="255"/>
      <c r="PA156" s="255"/>
      <c r="PB156" s="255"/>
      <c r="PC156" s="255"/>
      <c r="PD156" s="255"/>
      <c r="PE156" s="255"/>
      <c r="PF156" s="255"/>
      <c r="PG156" s="255"/>
      <c r="PH156" s="255"/>
      <c r="PI156" s="255"/>
      <c r="PJ156" s="255"/>
      <c r="PK156" s="255"/>
      <c r="PL156" s="255"/>
      <c r="PM156" s="255"/>
      <c r="PN156" s="255"/>
      <c r="PO156" s="255"/>
      <c r="PP156" s="255"/>
      <c r="PQ156" s="255"/>
      <c r="PR156" s="255"/>
      <c r="PS156" s="255"/>
      <c r="PT156" s="255"/>
      <c r="PU156" s="255"/>
      <c r="PV156" s="255"/>
      <c r="PW156" s="255"/>
      <c r="PX156" s="255"/>
      <c r="PY156" s="255"/>
      <c r="PZ156" s="255"/>
      <c r="QA156" s="255"/>
      <c r="QB156" s="255"/>
      <c r="QC156" s="255"/>
      <c r="QD156" s="255"/>
      <c r="QE156" s="255"/>
      <c r="QF156" s="255"/>
      <c r="QG156" s="255"/>
      <c r="QH156" s="255"/>
      <c r="QI156" s="255"/>
      <c r="QJ156" s="255"/>
      <c r="QK156" s="255"/>
      <c r="QL156" s="255"/>
      <c r="QM156" s="255"/>
      <c r="QN156" s="255"/>
      <c r="QO156" s="255"/>
      <c r="QP156" s="255"/>
      <c r="QQ156" s="255"/>
      <c r="QR156" s="255"/>
      <c r="QS156" s="255"/>
      <c r="QT156" s="255"/>
      <c r="QU156" s="255"/>
      <c r="QV156" s="255"/>
      <c r="QW156" s="255"/>
      <c r="QX156" s="255"/>
      <c r="QY156" s="255"/>
      <c r="QZ156" s="255"/>
      <c r="RA156" s="255"/>
      <c r="RB156" s="255"/>
      <c r="RC156" s="255"/>
      <c r="RD156" s="255"/>
      <c r="RE156" s="255"/>
      <c r="RF156" s="255"/>
      <c r="RG156" s="255"/>
      <c r="RH156" s="255"/>
      <c r="RI156" s="255"/>
      <c r="RJ156" s="255"/>
      <c r="RK156" s="255"/>
      <c r="RL156" s="255"/>
      <c r="RM156" s="255"/>
      <c r="RN156" s="255"/>
      <c r="RO156" s="255"/>
      <c r="RP156" s="255"/>
      <c r="RQ156" s="255"/>
      <c r="RR156" s="255"/>
      <c r="RS156" s="255"/>
      <c r="RT156" s="255"/>
      <c r="RU156" s="255"/>
      <c r="RV156" s="255"/>
      <c r="RW156" s="255"/>
      <c r="RX156" s="255"/>
      <c r="RY156" s="255"/>
      <c r="RZ156" s="255"/>
      <c r="SA156" s="255"/>
      <c r="SB156" s="255"/>
      <c r="SC156" s="255"/>
      <c r="SD156" s="255"/>
      <c r="SE156" s="255"/>
      <c r="SF156" s="255"/>
      <c r="SG156" s="255"/>
      <c r="SH156" s="255"/>
      <c r="SI156" s="255"/>
      <c r="SJ156" s="255"/>
      <c r="SK156" s="255"/>
      <c r="SL156" s="255"/>
      <c r="SM156" s="255"/>
      <c r="SN156" s="255"/>
      <c r="SO156" s="255"/>
      <c r="SP156" s="255"/>
      <c r="SQ156" s="255"/>
      <c r="SR156" s="255"/>
      <c r="SS156" s="255"/>
      <c r="ST156" s="255"/>
      <c r="SU156" s="255"/>
      <c r="SV156" s="255"/>
      <c r="SW156" s="255"/>
      <c r="SX156" s="255"/>
      <c r="SY156" s="255"/>
      <c r="SZ156" s="255"/>
      <c r="TA156" s="255"/>
      <c r="TB156" s="255"/>
      <c r="TC156" s="255"/>
      <c r="TD156" s="255"/>
      <c r="TE156" s="255"/>
      <c r="TF156" s="255"/>
      <c r="TG156" s="255"/>
      <c r="TH156" s="255"/>
      <c r="TI156" s="255"/>
      <c r="TJ156" s="255"/>
      <c r="TK156" s="255"/>
      <c r="TL156" s="255"/>
      <c r="TM156" s="255"/>
      <c r="TN156" s="255"/>
      <c r="TO156" s="255"/>
      <c r="TP156" s="255"/>
      <c r="TQ156" s="255"/>
      <c r="TR156" s="255"/>
      <c r="TS156" s="255"/>
      <c r="TT156" s="255"/>
      <c r="TU156" s="255"/>
      <c r="TV156" s="255"/>
      <c r="TW156" s="255"/>
      <c r="TX156" s="255"/>
      <c r="TY156" s="255"/>
      <c r="TZ156" s="255"/>
      <c r="UA156" s="255"/>
      <c r="UB156" s="255"/>
      <c r="UC156" s="255"/>
      <c r="UD156" s="255"/>
      <c r="UE156" s="255"/>
      <c r="UF156" s="255"/>
      <c r="UG156" s="255"/>
      <c r="UH156" s="255"/>
      <c r="UI156" s="255"/>
      <c r="UJ156" s="255"/>
      <c r="UK156" s="255"/>
      <c r="UL156" s="255"/>
      <c r="UM156" s="255"/>
      <c r="UN156" s="255"/>
      <c r="UO156" s="255"/>
      <c r="UP156" s="255"/>
      <c r="UQ156" s="255"/>
      <c r="UR156" s="255"/>
      <c r="US156" s="255"/>
      <c r="UT156" s="255"/>
      <c r="UU156" s="255"/>
      <c r="UV156" s="255"/>
      <c r="UW156" s="255"/>
      <c r="UX156" s="255"/>
      <c r="UY156" s="255"/>
      <c r="UZ156" s="255"/>
      <c r="VA156" s="255"/>
      <c r="VB156" s="255"/>
      <c r="VC156" s="255"/>
      <c r="VD156" s="255"/>
      <c r="VE156" s="255"/>
      <c r="VF156" s="255"/>
      <c r="VG156" s="255"/>
      <c r="VH156" s="255"/>
      <c r="VI156" s="255"/>
      <c r="VJ156" s="255"/>
      <c r="VK156" s="255"/>
      <c r="VL156" s="255"/>
      <c r="VM156" s="255"/>
      <c r="VN156" s="255"/>
      <c r="VO156" s="255"/>
      <c r="VP156" s="255"/>
      <c r="VQ156" s="255"/>
      <c r="VR156" s="255"/>
      <c r="VS156" s="255"/>
      <c r="VT156" s="255"/>
      <c r="VU156" s="255"/>
      <c r="VV156" s="255"/>
      <c r="VW156" s="255"/>
      <c r="VX156" s="255"/>
      <c r="VY156" s="255"/>
      <c r="VZ156" s="255"/>
      <c r="WA156" s="255"/>
      <c r="WB156" s="255"/>
      <c r="WC156" s="255"/>
      <c r="WD156" s="255"/>
      <c r="WE156" s="255"/>
      <c r="WF156" s="255"/>
      <c r="WG156" s="255"/>
      <c r="WH156" s="255"/>
      <c r="WI156" s="255"/>
      <c r="WJ156" s="255"/>
      <c r="WK156" s="255"/>
      <c r="WL156" s="255"/>
      <c r="WM156" s="255"/>
      <c r="WN156" s="255"/>
      <c r="WO156" s="255"/>
      <c r="WP156" s="255"/>
      <c r="WQ156" s="255"/>
      <c r="WR156" s="255"/>
      <c r="WS156" s="255"/>
      <c r="WT156" s="255"/>
      <c r="WU156" s="255"/>
      <c r="WV156" s="255"/>
      <c r="WW156" s="255"/>
      <c r="WX156" s="255"/>
      <c r="WY156" s="255"/>
      <c r="WZ156" s="255"/>
      <c r="XA156" s="255"/>
      <c r="XB156" s="255"/>
      <c r="XC156" s="255"/>
      <c r="XD156" s="255"/>
      <c r="XE156" s="255"/>
      <c r="XF156" s="255"/>
      <c r="XG156" s="255"/>
      <c r="XH156" s="255"/>
      <c r="XI156" s="255"/>
      <c r="XJ156" s="255"/>
      <c r="XK156" s="255"/>
      <c r="XL156" s="255"/>
      <c r="XM156" s="255"/>
      <c r="XN156" s="255"/>
      <c r="XO156" s="255"/>
      <c r="XP156" s="255"/>
      <c r="XQ156" s="255"/>
      <c r="XR156" s="255"/>
      <c r="XS156" s="255"/>
      <c r="XT156" s="255"/>
      <c r="XU156" s="255"/>
      <c r="XV156" s="255"/>
      <c r="XW156" s="255"/>
      <c r="XX156" s="255"/>
      <c r="XY156" s="255"/>
      <c r="XZ156" s="255"/>
      <c r="YA156" s="255"/>
      <c r="YB156" s="255"/>
      <c r="YC156" s="255"/>
      <c r="YD156" s="255"/>
      <c r="YE156" s="255"/>
      <c r="YF156" s="255"/>
      <c r="YG156" s="255"/>
      <c r="YH156" s="255"/>
      <c r="YI156" s="255"/>
      <c r="YJ156" s="255"/>
      <c r="YK156" s="255"/>
      <c r="YL156" s="255"/>
      <c r="YM156" s="255"/>
      <c r="YN156" s="255"/>
      <c r="YO156" s="255"/>
      <c r="YP156" s="255"/>
      <c r="YQ156" s="255"/>
      <c r="YR156" s="255"/>
      <c r="YS156" s="255"/>
      <c r="YT156" s="255"/>
      <c r="YU156" s="255"/>
      <c r="YV156" s="255"/>
      <c r="YW156" s="255"/>
      <c r="YX156" s="255"/>
      <c r="YY156" s="255"/>
      <c r="YZ156" s="255"/>
      <c r="ZA156" s="255"/>
      <c r="ZB156" s="255"/>
      <c r="ZC156" s="255"/>
      <c r="ZD156" s="255"/>
      <c r="ZE156" s="255"/>
      <c r="ZF156" s="255"/>
      <c r="ZG156" s="255"/>
      <c r="ZH156" s="255"/>
      <c r="ZI156" s="255"/>
      <c r="ZJ156" s="255"/>
      <c r="ZK156" s="255"/>
      <c r="ZL156" s="255"/>
      <c r="ZM156" s="255"/>
      <c r="ZN156" s="255"/>
      <c r="ZO156" s="255"/>
      <c r="ZP156" s="255"/>
      <c r="ZQ156" s="255"/>
      <c r="ZR156" s="255"/>
      <c r="ZS156" s="255"/>
      <c r="ZT156" s="255"/>
      <c r="ZU156" s="255"/>
      <c r="ZV156" s="255"/>
      <c r="ZW156" s="255"/>
      <c r="ZX156" s="255"/>
      <c r="ZY156" s="255"/>
      <c r="ZZ156" s="255"/>
      <c r="AAA156" s="255"/>
      <c r="AAB156" s="255"/>
      <c r="AAC156" s="255"/>
      <c r="AAD156" s="255"/>
      <c r="AAE156" s="255"/>
      <c r="AAF156" s="255"/>
      <c r="AAG156" s="255"/>
      <c r="AAH156" s="255"/>
      <c r="AAI156" s="255"/>
      <c r="AAJ156" s="255"/>
      <c r="AAK156" s="255"/>
      <c r="AAL156" s="255"/>
      <c r="AAM156" s="255"/>
      <c r="AAN156" s="255"/>
      <c r="AAO156" s="255"/>
      <c r="AAP156" s="255"/>
      <c r="AAQ156" s="255"/>
      <c r="AAR156" s="255"/>
      <c r="AAS156" s="255"/>
      <c r="AAT156" s="255"/>
      <c r="AAU156" s="255"/>
      <c r="AAV156" s="255"/>
      <c r="AAW156" s="255"/>
      <c r="AAX156" s="255"/>
      <c r="AAY156" s="255"/>
      <c r="AAZ156" s="255"/>
      <c r="ABA156" s="255"/>
      <c r="ABB156" s="255"/>
      <c r="ABC156" s="255"/>
      <c r="ABD156" s="255"/>
      <c r="ABE156" s="255"/>
      <c r="ABF156" s="255"/>
      <c r="ABG156" s="255"/>
      <c r="ABH156" s="255"/>
      <c r="ABI156" s="255"/>
      <c r="ABJ156" s="255"/>
      <c r="ABK156" s="255"/>
      <c r="ABL156" s="255"/>
      <c r="ABM156" s="255"/>
      <c r="ABN156" s="255"/>
      <c r="ABO156" s="255"/>
      <c r="ABP156" s="255"/>
      <c r="ABQ156" s="255"/>
      <c r="ABR156" s="255"/>
      <c r="ABS156" s="255"/>
      <c r="ABT156" s="255"/>
      <c r="ABU156" s="255"/>
      <c r="ABV156" s="255"/>
      <c r="ABW156" s="255"/>
      <c r="ABX156" s="255"/>
      <c r="ABY156" s="255"/>
      <c r="ABZ156" s="255"/>
      <c r="ACA156" s="255"/>
      <c r="ACB156" s="255"/>
      <c r="ACC156" s="255"/>
      <c r="ACD156" s="255"/>
      <c r="ACE156" s="255"/>
      <c r="ACF156" s="255"/>
      <c r="ACG156" s="255"/>
      <c r="ACH156" s="255"/>
      <c r="ACI156" s="255"/>
      <c r="ACJ156" s="255"/>
      <c r="ACK156" s="255"/>
      <c r="ACL156" s="255"/>
      <c r="ACM156" s="255"/>
      <c r="ACN156" s="255"/>
      <c r="ACO156" s="255"/>
      <c r="ACP156" s="255"/>
      <c r="ACQ156" s="255"/>
      <c r="ACR156" s="255"/>
      <c r="ACS156" s="255"/>
      <c r="ACT156" s="255"/>
      <c r="ACU156" s="255"/>
      <c r="ACV156" s="255"/>
      <c r="ACW156" s="255"/>
      <c r="ACX156" s="255"/>
      <c r="ACY156" s="255"/>
      <c r="ACZ156" s="255"/>
      <c r="ADA156" s="255"/>
      <c r="ADB156" s="255"/>
      <c r="ADC156" s="255"/>
      <c r="ADD156" s="255"/>
      <c r="ADE156" s="255"/>
      <c r="ADF156" s="255"/>
      <c r="ADG156" s="255"/>
      <c r="ADH156" s="255"/>
      <c r="ADI156" s="255"/>
      <c r="ADJ156" s="255"/>
      <c r="ADK156" s="255"/>
      <c r="ADL156" s="255"/>
      <c r="ADM156" s="255"/>
      <c r="ADN156" s="255"/>
      <c r="ADO156" s="255"/>
      <c r="ADP156" s="255"/>
      <c r="ADQ156" s="255"/>
      <c r="ADR156" s="255"/>
      <c r="ADS156" s="255"/>
      <c r="ADT156" s="255"/>
      <c r="ADU156" s="255"/>
      <c r="ADV156" s="255"/>
      <c r="ADW156" s="255"/>
      <c r="ADX156" s="255"/>
      <c r="ADY156" s="255"/>
      <c r="ADZ156" s="255"/>
      <c r="AEA156" s="255"/>
      <c r="AEB156" s="255"/>
      <c r="AEC156" s="255"/>
      <c r="AED156" s="255"/>
      <c r="AEE156" s="255"/>
      <c r="AEF156" s="255"/>
      <c r="AEG156" s="255"/>
      <c r="AEH156" s="255"/>
      <c r="AEI156" s="255"/>
      <c r="AEJ156" s="255"/>
      <c r="AEK156" s="255"/>
      <c r="AEL156" s="255"/>
      <c r="AEM156" s="255"/>
      <c r="AEN156" s="255"/>
      <c r="AEO156" s="255"/>
      <c r="AEP156" s="255"/>
      <c r="AEQ156" s="255"/>
      <c r="AER156" s="255"/>
      <c r="AES156" s="255"/>
      <c r="AET156" s="255"/>
      <c r="AEU156" s="255"/>
      <c r="AEV156" s="255"/>
      <c r="AEW156" s="255"/>
      <c r="AEX156" s="255"/>
      <c r="AEY156" s="255"/>
      <c r="AEZ156" s="255"/>
      <c r="AFA156" s="255"/>
      <c r="AFB156" s="255"/>
      <c r="AFC156" s="255"/>
      <c r="AFD156" s="255"/>
      <c r="AFE156" s="255"/>
      <c r="AFF156" s="255"/>
      <c r="AFG156" s="255"/>
      <c r="AFH156" s="255"/>
      <c r="AFI156" s="255"/>
      <c r="AFJ156" s="255"/>
      <c r="AFK156" s="255"/>
      <c r="AFL156" s="255"/>
      <c r="AFM156" s="255"/>
      <c r="AFN156" s="255"/>
      <c r="AFO156" s="255"/>
      <c r="AFP156" s="255"/>
      <c r="AFQ156" s="255"/>
      <c r="AFR156" s="255"/>
      <c r="AFS156" s="255"/>
      <c r="AFT156" s="255"/>
      <c r="AFU156" s="255"/>
      <c r="AFV156" s="255"/>
      <c r="AFW156" s="255"/>
      <c r="AFX156" s="255"/>
      <c r="AFY156" s="255"/>
      <c r="AFZ156" s="255"/>
      <c r="AGA156" s="255"/>
      <c r="AGB156" s="255"/>
      <c r="AGC156" s="255"/>
      <c r="AGD156" s="255"/>
      <c r="AGE156" s="255"/>
      <c r="AGF156" s="255"/>
      <c r="AGG156" s="255"/>
      <c r="AGH156" s="255"/>
      <c r="AGI156" s="255"/>
      <c r="AGJ156" s="255"/>
      <c r="AGK156" s="255"/>
      <c r="AGL156" s="255"/>
      <c r="AGM156" s="255"/>
      <c r="AGN156" s="255"/>
      <c r="AGO156" s="255"/>
      <c r="AGP156" s="255"/>
      <c r="AGQ156" s="255"/>
      <c r="AGR156" s="255"/>
      <c r="AGS156" s="255"/>
      <c r="AGT156" s="255"/>
      <c r="AGU156" s="255"/>
      <c r="AGV156" s="255"/>
      <c r="AGW156" s="255"/>
      <c r="AGX156" s="255"/>
      <c r="AGY156" s="255"/>
      <c r="AGZ156" s="255"/>
      <c r="AHA156" s="255"/>
      <c r="AHB156" s="255"/>
      <c r="AHC156" s="255"/>
      <c r="AHD156" s="255"/>
      <c r="AHE156" s="255"/>
      <c r="AHF156" s="255"/>
      <c r="AHG156" s="255"/>
      <c r="AHH156" s="255"/>
      <c r="AHI156" s="255"/>
      <c r="AHJ156" s="255"/>
      <c r="AHK156" s="255"/>
      <c r="AHL156" s="255"/>
      <c r="AHM156" s="255"/>
      <c r="AHN156" s="255"/>
      <c r="AHO156" s="255"/>
      <c r="AHP156" s="255"/>
      <c r="AHQ156" s="255"/>
      <c r="AHR156" s="255"/>
      <c r="AHS156" s="255"/>
      <c r="AHT156" s="255"/>
      <c r="AHU156" s="255"/>
      <c r="AHV156" s="255"/>
      <c r="AHW156" s="255"/>
      <c r="AHX156" s="255"/>
      <c r="AHY156" s="255"/>
      <c r="AHZ156" s="255"/>
      <c r="AIA156" s="255"/>
      <c r="AIB156" s="255"/>
      <c r="AIC156" s="255"/>
      <c r="AID156" s="255"/>
      <c r="AIE156" s="255"/>
      <c r="AIF156" s="255"/>
      <c r="AIG156" s="255"/>
      <c r="AIH156" s="255"/>
      <c r="AII156" s="255"/>
      <c r="AIJ156" s="255"/>
      <c r="AIK156" s="255"/>
      <c r="AIL156" s="255"/>
      <c r="AIM156" s="255"/>
      <c r="AIN156" s="255"/>
      <c r="AIO156" s="255"/>
      <c r="AIP156" s="255"/>
      <c r="AIQ156" s="255"/>
      <c r="AIR156" s="255"/>
      <c r="AIS156" s="255"/>
      <c r="AIT156" s="255"/>
      <c r="AIU156" s="255"/>
      <c r="AIV156" s="255"/>
      <c r="AIW156" s="255"/>
      <c r="AIX156" s="255"/>
      <c r="AIY156" s="255"/>
      <c r="AIZ156" s="255"/>
      <c r="AJA156" s="255"/>
      <c r="AJB156" s="255"/>
      <c r="AJC156" s="255"/>
      <c r="AJD156" s="255"/>
      <c r="AJE156" s="255"/>
      <c r="AJF156" s="255"/>
      <c r="AJG156" s="255"/>
      <c r="AJH156" s="255"/>
      <c r="AJI156" s="255"/>
      <c r="AJJ156" s="255"/>
      <c r="AJK156" s="255"/>
      <c r="AJL156" s="255"/>
      <c r="AJM156" s="255"/>
      <c r="AJN156" s="255"/>
      <c r="AJO156" s="255"/>
      <c r="AJP156" s="255"/>
      <c r="AJQ156" s="255"/>
      <c r="AJR156" s="255"/>
      <c r="AJS156" s="255"/>
      <c r="AJT156" s="255"/>
      <c r="AJU156" s="255"/>
      <c r="AJV156" s="255"/>
      <c r="AJW156" s="255"/>
      <c r="AJX156" s="255"/>
      <c r="AJY156" s="255"/>
      <c r="AJZ156" s="255"/>
      <c r="AKA156" s="255"/>
      <c r="AKB156" s="255"/>
      <c r="AKC156" s="255"/>
      <c r="AKD156" s="255"/>
      <c r="AKE156" s="255"/>
      <c r="AKF156" s="255"/>
      <c r="AKG156" s="255"/>
      <c r="AKH156" s="255"/>
      <c r="AKI156" s="255"/>
      <c r="AKJ156" s="255"/>
      <c r="AKK156" s="255"/>
      <c r="AKL156" s="255"/>
      <c r="AKM156" s="255"/>
      <c r="AKN156" s="255"/>
      <c r="AKO156" s="255"/>
      <c r="AKP156" s="255"/>
      <c r="AKQ156" s="255"/>
      <c r="AKR156" s="255"/>
      <c r="AKS156" s="255"/>
      <c r="AKT156" s="255"/>
      <c r="AKU156" s="255"/>
      <c r="AKV156" s="255"/>
      <c r="AKW156" s="255"/>
      <c r="AKX156" s="255"/>
      <c r="AKY156" s="255"/>
      <c r="AKZ156" s="255"/>
      <c r="ALA156" s="255"/>
      <c r="ALB156" s="255"/>
      <c r="ALC156" s="255"/>
      <c r="ALD156" s="255"/>
      <c r="ALE156" s="255"/>
      <c r="ALF156" s="255"/>
      <c r="ALG156" s="255"/>
      <c r="ALH156" s="255"/>
      <c r="ALI156" s="255"/>
      <c r="ALJ156" s="255"/>
      <c r="ALK156" s="255"/>
      <c r="ALL156" s="255"/>
      <c r="ALM156" s="255"/>
      <c r="ALN156" s="255"/>
      <c r="ALO156" s="255"/>
      <c r="ALP156" s="255"/>
      <c r="ALQ156" s="255"/>
      <c r="ALR156" s="255"/>
    </row>
    <row r="157" spans="1:1006" s="88" customFormat="1" ht="24.75" customHeight="1">
      <c r="A157" s="690" t="s">
        <v>6927</v>
      </c>
      <c r="B157" s="691"/>
      <c r="C157" s="691"/>
      <c r="D157" s="691"/>
      <c r="E157" s="691"/>
      <c r="F157" s="691"/>
      <c r="G157" s="691"/>
      <c r="H157" s="691"/>
      <c r="I157" s="692"/>
      <c r="J157" s="281">
        <f>SUM(J148:J156)</f>
        <v>26234.148230840001</v>
      </c>
      <c r="K157" s="255"/>
      <c r="L157" s="255"/>
      <c r="M157" s="255"/>
      <c r="N157" s="255"/>
      <c r="O157" s="257"/>
      <c r="P157" s="257"/>
    </row>
    <row r="158" spans="1:1006" s="14" customFormat="1" ht="12">
      <c r="A158" s="251"/>
      <c r="B158" s="290">
        <v>189</v>
      </c>
      <c r="C158" s="273" t="s">
        <v>2</v>
      </c>
      <c r="D158" s="274" t="s">
        <v>6922</v>
      </c>
      <c r="E158" s="276"/>
      <c r="F158" s="276"/>
      <c r="G158" s="276"/>
      <c r="H158" s="276"/>
      <c r="I158" s="280"/>
      <c r="J158" s="280"/>
      <c r="K158" s="255"/>
      <c r="L158" s="255"/>
      <c r="M158" s="255"/>
      <c r="N158" s="255"/>
      <c r="O158" s="257"/>
      <c r="P158" s="257"/>
    </row>
    <row r="159" spans="1:1006" s="14" customFormat="1" ht="12">
      <c r="A159" s="251" t="s">
        <v>6307</v>
      </c>
      <c r="B159" s="290">
        <v>362</v>
      </c>
      <c r="C159" s="282" t="str">
        <f>(IF($A159="SINAPI",INDEX(SINAPI_NOV2020_NDES!$A$7:$H$6703,MATCH($B159,SINAPI_NOV2020_NDES!$A$7:$A$6703,0),2),IF($A159="GOINFRA",INDEX(#REF!,MATCH($B159,#REF!,0),2),(INDEX(COMPOS!$A$4:$G$390,MATCH($B159,COMPOS!$A$4:A$390,0),2)))))</f>
        <v>LIMPEZA FINAL DA OBRA</v>
      </c>
      <c r="D159" s="274" t="str">
        <f>(IF($A159="SINAPI",INDEX(SINAPI_NOV2020_NDES!$A$7:$H$6790,MATCH($B159,SINAPI_NOV2020_NDES!$A$7:$A$6790,0),3),(INDEX(COMPOS!$A$4:$G$5000,MATCH($B159,COMPOS!$A$4:$A$5000,0),3))))</f>
        <v>M2</v>
      </c>
      <c r="E159" s="276">
        <v>233.72</v>
      </c>
      <c r="F159" s="303">
        <f>(IF($A159="SINAPI",INDEX(SINAPI_NOV2020_NDES!$A$7:$H$6703,MATCH($B159,SINAPI_NOV2020_NDES!$A$7:$A$6703,0),5),(INDEX(COMPOS!$A$4:$G$801,MATCH($B159,COMPOS!$A$4:A$801,0),4))))</f>
        <v>2.2664999999999997</v>
      </c>
      <c r="G159" s="314">
        <f>(IF($A159="SINAPI",INDEX(SINAPI_NOV2020_NDES!$A$7:$H$6703,MATCH($B159,SINAPI_NOV2020_NDES!$A$7:$A$6703,0),6),(INDEX(COMPOS!$A$4:$G$801,MATCH($B159,COMPOS!$A$4:A$801,0),5))))</f>
        <v>0.62687100000000007</v>
      </c>
      <c r="H159" s="315">
        <f>(IF($A159="SINAPI",INDEX(SINAPI_NOV2020_NDES!$A$7:$H$6703,MATCH($B159,SINAPI_NOV2020_NDES!$A$7:$A$6703,0),7),(INDEX(COMPOS!$A$4:$G$801,MATCH($B159,COMPOS!$A$4:A$801,0),6))))</f>
        <v>0</v>
      </c>
      <c r="I159" s="315">
        <f t="shared" ref="I159" si="40">SUM(F159:H159)</f>
        <v>2.8933709999999997</v>
      </c>
      <c r="J159" s="280">
        <f>+I159*E159</f>
        <v>676.23867011999994</v>
      </c>
      <c r="K159" s="255"/>
      <c r="L159" s="255"/>
      <c r="M159" s="255"/>
      <c r="N159" s="255"/>
      <c r="O159" s="257"/>
      <c r="P159" s="257"/>
    </row>
    <row r="160" spans="1:1006" s="14" customFormat="1" ht="12">
      <c r="A160" s="251" t="s">
        <v>6307</v>
      </c>
      <c r="B160" s="290">
        <v>363</v>
      </c>
      <c r="C160" s="282" t="str">
        <f>(IF($A160="SINAPI",INDEX(SINAPI_NOV2020_NDES!$A$7:$H$6703,MATCH($B160,SINAPI_NOV2020_NDES!$A$7:$A$6703,0),2),IF($A160="GOINFRA",INDEX(#REF!,MATCH($B160,#REF!,0),2),(INDEX(COMPOS!$A$4:$G$390,MATCH($B160,COMPOS!$A$4:A$390,0),2)))))</f>
        <v>SUPORTE PARA BANCADA EM FERRO “T” 1/8'' X 1.1/4''</v>
      </c>
      <c r="D160" s="274" t="str">
        <f>(IF($A160="SINAPI",INDEX(SINAPI_NOV2020_NDES!$A$7:$H$6790,MATCH($B160,SINAPI_NOV2020_NDES!$A$7:$A$6790,0),3),(INDEX(COMPOS!$A$4:$G$5000,MATCH($B160,COMPOS!$A$4:$A$5000,0),3))))</f>
        <v>UN</v>
      </c>
      <c r="E160" s="276">
        <v>10</v>
      </c>
      <c r="F160" s="303">
        <f>(IF($A160="SINAPI",INDEX(SINAPI_NOV2020_NDES!$A$7:$H$6703,MATCH($B160,SINAPI_NOV2020_NDES!$A$7:$A$6703,0),5),(INDEX(COMPOS!$A$4:$G$801,MATCH($B160,COMPOS!$A$4:A$801,0),4))))</f>
        <v>9.2025000000000006</v>
      </c>
      <c r="G160" s="314">
        <f>(IF($A160="SINAPI",INDEX(SINAPI_NOV2020_NDES!$A$7:$H$6703,MATCH($B160,SINAPI_NOV2020_NDES!$A$7:$A$6703,0),6),(INDEX(COMPOS!$A$4:$G$801,MATCH($B160,COMPOS!$A$4:A$801,0),5))))</f>
        <v>8.2471180000000004</v>
      </c>
      <c r="H160" s="315">
        <f>(IF($A160="SINAPI",INDEX(SINAPI_NOV2020_NDES!$A$7:$H$6703,MATCH($B160,SINAPI_NOV2020_NDES!$A$7:$A$6703,0),7),(INDEX(COMPOS!$A$4:$G$801,MATCH($B160,COMPOS!$A$4:A$801,0),6))))</f>
        <v>0</v>
      </c>
      <c r="I160" s="315">
        <f t="shared" ref="I160:I161" si="41">SUM(F160:H160)</f>
        <v>17.449618000000001</v>
      </c>
      <c r="J160" s="280">
        <f t="shared" ref="J160:J161" si="42">+I160*E160</f>
        <v>174.49618000000001</v>
      </c>
      <c r="K160" s="255"/>
      <c r="L160" s="255"/>
      <c r="M160" s="255"/>
      <c r="N160" s="255"/>
      <c r="O160" s="257"/>
      <c r="P160" s="257"/>
    </row>
    <row r="161" spans="1:1001" s="14" customFormat="1" ht="12">
      <c r="A161" s="251" t="s">
        <v>6307</v>
      </c>
      <c r="B161" s="290">
        <v>364</v>
      </c>
      <c r="C161" s="282" t="str">
        <f>(IF($A161="SINAPI",INDEX(SINAPI_NOV2020_NDES!$A$7:$H$6703,MATCH($B161,SINAPI_NOV2020_NDES!$A$7:$A$6703,0),2),IF($A161="GOINFRA",INDEX(#REF!,MATCH($B161,#REF!,0),2),(INDEX(COMPOS!$A$4:$G$390,MATCH($B161,COMPOS!$A$4:A$390,0),2)))))</f>
        <v>BANCADA DE GRANITO COM ESPELHO</v>
      </c>
      <c r="D161" s="274" t="str">
        <f>(IF($A161="SINAPI",INDEX(SINAPI_NOV2020_NDES!$A$7:$H$6790,MATCH($B161,SINAPI_NOV2020_NDES!$A$7:$A$6790,0),3),(INDEX(COMPOS!$A$4:$G$5000,MATCH($B161,COMPOS!$A$4:$A$5000,0),3))))</f>
        <v>M2</v>
      </c>
      <c r="E161" s="276">
        <v>10.79</v>
      </c>
      <c r="F161" s="303">
        <f>(IF($A161="SINAPI",INDEX(SINAPI_NOV2020_NDES!$A$7:$H$6703,MATCH($B161,SINAPI_NOV2020_NDES!$A$7:$A$6703,0),5),(INDEX(COMPOS!$A$4:$G$801,MATCH($B161,COMPOS!$A$4:A$801,0),4))))</f>
        <v>52.764523999999994</v>
      </c>
      <c r="G161" s="314">
        <f>(IF($A161="SINAPI",INDEX(SINAPI_NOV2020_NDES!$A$7:$H$6703,MATCH($B161,SINAPI_NOV2020_NDES!$A$7:$A$6703,0),6),(INDEX(COMPOS!$A$4:$G$801,MATCH($B161,COMPOS!$A$4:A$801,0),5))))</f>
        <v>420.03860000000003</v>
      </c>
      <c r="H161" s="315">
        <f>(IF($A161="SINAPI",INDEX(SINAPI_NOV2020_NDES!$A$7:$H$6703,MATCH($B161,SINAPI_NOV2020_NDES!$A$7:$A$6703,0),7),(INDEX(COMPOS!$A$4:$G$801,MATCH($B161,COMPOS!$A$4:A$801,0),6))))</f>
        <v>0</v>
      </c>
      <c r="I161" s="315">
        <f t="shared" si="41"/>
        <v>472.80312400000003</v>
      </c>
      <c r="J161" s="280">
        <f t="shared" si="42"/>
        <v>5101.5457079600001</v>
      </c>
      <c r="K161" s="255"/>
      <c r="L161" s="255"/>
      <c r="M161" s="255"/>
      <c r="N161" s="255"/>
      <c r="O161" s="257"/>
      <c r="P161" s="257"/>
    </row>
    <row r="162" spans="1:1001" s="88" customFormat="1" ht="24.75" customHeight="1">
      <c r="A162" s="680" t="s">
        <v>6927</v>
      </c>
      <c r="B162" s="680"/>
      <c r="C162" s="680"/>
      <c r="D162" s="680"/>
      <c r="E162" s="680"/>
      <c r="F162" s="680"/>
      <c r="G162" s="680"/>
      <c r="H162" s="680"/>
      <c r="I162" s="680"/>
      <c r="J162" s="281">
        <f>SUM(J159:J161)</f>
        <v>5952.2805580799995</v>
      </c>
      <c r="K162" s="255"/>
      <c r="L162" s="255"/>
      <c r="M162" s="255"/>
      <c r="N162" s="255"/>
      <c r="O162" s="257"/>
      <c r="P162" s="257"/>
    </row>
    <row r="163" spans="1:1001" s="99" customFormat="1" ht="15">
      <c r="A163" s="680"/>
      <c r="B163" s="680"/>
      <c r="C163" s="680"/>
      <c r="D163" s="680"/>
      <c r="E163" s="680"/>
      <c r="F163" s="680"/>
      <c r="G163" s="680"/>
      <c r="H163" s="680"/>
      <c r="I163" s="680"/>
      <c r="J163" s="281"/>
      <c r="K163" s="255"/>
      <c r="L163" s="255"/>
      <c r="M163" s="255"/>
      <c r="N163" s="255"/>
      <c r="O163" s="257"/>
      <c r="P163" s="257"/>
    </row>
    <row r="164" spans="1:1001" s="191" customFormat="1" ht="12.75" customHeight="1">
      <c r="A164" s="680" t="s">
        <v>7104</v>
      </c>
      <c r="B164" s="680"/>
      <c r="C164" s="680"/>
      <c r="D164" s="680"/>
      <c r="E164" s="680"/>
      <c r="F164" s="680"/>
      <c r="G164" s="680"/>
      <c r="H164" s="680"/>
      <c r="I164" s="680"/>
      <c r="J164" s="281">
        <f>SUMPRODUCT(E12:E163,F12:F163)</f>
        <v>68565.589607051996</v>
      </c>
      <c r="K164" s="255"/>
      <c r="L164" s="255"/>
      <c r="M164" s="255"/>
      <c r="N164" s="255"/>
      <c r="O164" s="255"/>
      <c r="P164" s="257"/>
      <c r="Q164" s="255"/>
      <c r="R164" s="255"/>
      <c r="S164" s="255"/>
      <c r="T164" s="255"/>
      <c r="U164" s="255"/>
      <c r="V164" s="255"/>
      <c r="W164" s="255"/>
      <c r="X164" s="255"/>
      <c r="Y164" s="255"/>
      <c r="Z164" s="255"/>
      <c r="AA164" s="255"/>
      <c r="AB164" s="255"/>
      <c r="AC164" s="255"/>
      <c r="AD164" s="255"/>
      <c r="AE164" s="255"/>
      <c r="AF164" s="255"/>
      <c r="AG164" s="255"/>
      <c r="AH164" s="255"/>
      <c r="AI164" s="255"/>
      <c r="AJ164" s="255"/>
      <c r="AK164" s="255"/>
      <c r="AL164" s="255"/>
      <c r="AM164" s="255"/>
      <c r="AN164" s="255"/>
      <c r="AO164" s="255"/>
      <c r="AP164" s="255"/>
      <c r="AQ164" s="255"/>
      <c r="AR164" s="255"/>
      <c r="AS164" s="255"/>
      <c r="AT164" s="255"/>
      <c r="AU164" s="255"/>
      <c r="AV164" s="255"/>
      <c r="AW164" s="255"/>
      <c r="AX164" s="255"/>
      <c r="AY164" s="255"/>
      <c r="AZ164" s="255"/>
      <c r="BA164" s="255"/>
      <c r="BB164" s="255"/>
      <c r="BC164" s="255"/>
      <c r="BD164" s="255"/>
      <c r="BE164" s="255"/>
      <c r="BF164" s="255"/>
      <c r="BG164" s="255"/>
      <c r="BH164" s="255"/>
      <c r="BI164" s="255"/>
      <c r="BJ164" s="255"/>
      <c r="BK164" s="255"/>
      <c r="BL164" s="255"/>
      <c r="BM164" s="255"/>
      <c r="BN164" s="255"/>
      <c r="BO164" s="255"/>
      <c r="BP164" s="255"/>
      <c r="BQ164" s="255"/>
      <c r="BR164" s="255"/>
      <c r="BS164" s="255"/>
      <c r="BT164" s="255"/>
      <c r="BU164" s="255"/>
      <c r="BV164" s="255"/>
      <c r="BW164" s="255"/>
      <c r="BX164" s="255"/>
      <c r="BY164" s="255"/>
      <c r="BZ164" s="255"/>
      <c r="CA164" s="255"/>
      <c r="CB164" s="255"/>
      <c r="CC164" s="255"/>
      <c r="CD164" s="255"/>
      <c r="CE164" s="255"/>
      <c r="CF164" s="255"/>
      <c r="CG164" s="255"/>
      <c r="CH164" s="255"/>
      <c r="CI164" s="255"/>
      <c r="CJ164" s="255"/>
      <c r="CK164" s="255"/>
      <c r="CL164" s="255"/>
      <c r="CM164" s="255"/>
      <c r="CN164" s="255"/>
      <c r="CO164" s="255"/>
      <c r="CP164" s="255"/>
      <c r="CQ164" s="255"/>
      <c r="CR164" s="255"/>
      <c r="CS164" s="255"/>
      <c r="CT164" s="255"/>
      <c r="CU164" s="255"/>
      <c r="CV164" s="255"/>
      <c r="CW164" s="255"/>
      <c r="CX164" s="255"/>
      <c r="CY164" s="255"/>
      <c r="CZ164" s="255"/>
      <c r="DA164" s="255"/>
      <c r="DB164" s="255"/>
      <c r="DC164" s="255"/>
      <c r="DD164" s="255"/>
      <c r="DE164" s="255"/>
      <c r="DF164" s="255"/>
      <c r="DG164" s="255"/>
      <c r="DH164" s="255"/>
      <c r="DI164" s="255"/>
      <c r="DJ164" s="255"/>
      <c r="DK164" s="255"/>
      <c r="DL164" s="255"/>
      <c r="DM164" s="255"/>
      <c r="DN164" s="255"/>
      <c r="DO164" s="255"/>
      <c r="DP164" s="255"/>
      <c r="DQ164" s="255"/>
      <c r="DR164" s="255"/>
      <c r="DS164" s="255"/>
      <c r="DT164" s="255"/>
      <c r="DU164" s="255"/>
      <c r="DV164" s="255"/>
      <c r="DW164" s="255"/>
      <c r="DX164" s="255"/>
      <c r="DY164" s="255"/>
      <c r="DZ164" s="255"/>
      <c r="EA164" s="255"/>
      <c r="EB164" s="255"/>
      <c r="EC164" s="255"/>
      <c r="ED164" s="255"/>
      <c r="EE164" s="255"/>
      <c r="EF164" s="255"/>
      <c r="EG164" s="255"/>
      <c r="EH164" s="255"/>
      <c r="EI164" s="255"/>
      <c r="EJ164" s="255"/>
      <c r="EK164" s="255"/>
      <c r="EL164" s="255"/>
      <c r="EM164" s="255"/>
      <c r="EN164" s="255"/>
      <c r="EO164" s="255"/>
      <c r="EP164" s="255"/>
      <c r="EQ164" s="255"/>
      <c r="ER164" s="255"/>
      <c r="ES164" s="255"/>
      <c r="ET164" s="255"/>
      <c r="EU164" s="255"/>
      <c r="EV164" s="255"/>
      <c r="EW164" s="255"/>
      <c r="EX164" s="255"/>
      <c r="EY164" s="255"/>
      <c r="EZ164" s="255"/>
      <c r="FA164" s="255"/>
      <c r="FB164" s="255"/>
      <c r="FC164" s="255"/>
      <c r="FD164" s="255"/>
      <c r="FE164" s="255"/>
      <c r="FF164" s="255"/>
      <c r="FG164" s="255"/>
      <c r="FH164" s="255"/>
      <c r="FI164" s="255"/>
      <c r="FJ164" s="255"/>
      <c r="FK164" s="255"/>
      <c r="FL164" s="255"/>
      <c r="FM164" s="255"/>
      <c r="FN164" s="255"/>
      <c r="FO164" s="255"/>
      <c r="FP164" s="255"/>
      <c r="FQ164" s="255"/>
      <c r="FR164" s="255"/>
      <c r="FS164" s="255"/>
      <c r="FT164" s="255"/>
      <c r="FU164" s="255"/>
      <c r="FV164" s="255"/>
      <c r="FW164" s="255"/>
      <c r="FX164" s="255"/>
      <c r="FY164" s="255"/>
      <c r="FZ164" s="255"/>
      <c r="GA164" s="255"/>
      <c r="GB164" s="255"/>
      <c r="GC164" s="255"/>
      <c r="GD164" s="255"/>
      <c r="GE164" s="255"/>
      <c r="GF164" s="255"/>
      <c r="GG164" s="255"/>
      <c r="GH164" s="255"/>
      <c r="GI164" s="255"/>
      <c r="GJ164" s="255"/>
      <c r="GK164" s="255"/>
      <c r="GL164" s="255"/>
      <c r="GM164" s="255"/>
      <c r="GN164" s="255"/>
      <c r="GO164" s="255"/>
      <c r="GP164" s="255"/>
      <c r="GQ164" s="255"/>
      <c r="GR164" s="255"/>
      <c r="GS164" s="255"/>
      <c r="GT164" s="255"/>
      <c r="GU164" s="255"/>
      <c r="GV164" s="255"/>
      <c r="GW164" s="255"/>
      <c r="GX164" s="255"/>
      <c r="GY164" s="255"/>
      <c r="GZ164" s="255"/>
      <c r="HA164" s="255"/>
      <c r="HB164" s="255"/>
      <c r="HC164" s="255"/>
      <c r="HD164" s="255"/>
      <c r="HE164" s="255"/>
      <c r="HF164" s="255"/>
      <c r="HG164" s="255"/>
      <c r="HH164" s="255"/>
      <c r="HI164" s="255"/>
      <c r="HJ164" s="255"/>
      <c r="HK164" s="255"/>
      <c r="HL164" s="255"/>
      <c r="HM164" s="255"/>
      <c r="HN164" s="255"/>
      <c r="HO164" s="255"/>
      <c r="HP164" s="255"/>
      <c r="HQ164" s="255"/>
      <c r="HR164" s="255"/>
      <c r="HS164" s="255"/>
      <c r="HT164" s="255"/>
      <c r="HU164" s="255"/>
      <c r="HV164" s="255"/>
      <c r="HW164" s="255"/>
      <c r="HX164" s="255"/>
      <c r="HY164" s="255"/>
      <c r="HZ164" s="255"/>
      <c r="IA164" s="255"/>
      <c r="IB164" s="255"/>
      <c r="IC164" s="255"/>
      <c r="ID164" s="255"/>
      <c r="IE164" s="255"/>
      <c r="IF164" s="255"/>
      <c r="IG164" s="255"/>
      <c r="IH164" s="255"/>
      <c r="II164" s="255"/>
      <c r="IJ164" s="255"/>
      <c r="IK164" s="255"/>
      <c r="IL164" s="255"/>
      <c r="IM164" s="255"/>
      <c r="IN164" s="255"/>
      <c r="IO164" s="255"/>
      <c r="IP164" s="255"/>
      <c r="IQ164" s="255"/>
      <c r="IR164" s="255"/>
      <c r="IS164" s="255"/>
      <c r="IT164" s="255"/>
      <c r="IU164" s="255"/>
      <c r="IV164" s="255"/>
      <c r="IW164" s="255"/>
      <c r="IX164" s="255"/>
      <c r="IY164" s="255"/>
      <c r="IZ164" s="255"/>
      <c r="JA164" s="255"/>
      <c r="JB164" s="255"/>
      <c r="JC164" s="255"/>
      <c r="JD164" s="255"/>
      <c r="JE164" s="255"/>
      <c r="JF164" s="255"/>
      <c r="JG164" s="255"/>
      <c r="JH164" s="255"/>
      <c r="JI164" s="255"/>
      <c r="JJ164" s="255"/>
      <c r="JK164" s="255"/>
      <c r="JL164" s="255"/>
      <c r="JM164" s="255"/>
      <c r="JN164" s="255"/>
      <c r="JO164" s="255"/>
      <c r="JP164" s="255"/>
      <c r="JQ164" s="255"/>
      <c r="JR164" s="255"/>
      <c r="JS164" s="255"/>
      <c r="JT164" s="255"/>
      <c r="JU164" s="255"/>
      <c r="JV164" s="255"/>
      <c r="JW164" s="255"/>
      <c r="JX164" s="255"/>
      <c r="JY164" s="255"/>
      <c r="JZ164" s="255"/>
      <c r="KA164" s="255"/>
      <c r="KB164" s="255"/>
      <c r="KC164" s="255"/>
      <c r="KD164" s="255"/>
      <c r="KE164" s="255"/>
      <c r="KF164" s="255"/>
      <c r="KG164" s="255"/>
      <c r="KH164" s="255"/>
      <c r="KI164" s="255"/>
      <c r="KJ164" s="255"/>
      <c r="KK164" s="255"/>
      <c r="KL164" s="255"/>
      <c r="KM164" s="255"/>
      <c r="KN164" s="255"/>
      <c r="KO164" s="255"/>
      <c r="KP164" s="255"/>
      <c r="KQ164" s="255"/>
      <c r="KR164" s="255"/>
      <c r="KS164" s="255"/>
      <c r="KT164" s="255"/>
      <c r="KU164" s="255"/>
      <c r="KV164" s="255"/>
      <c r="KW164" s="255"/>
      <c r="KX164" s="255"/>
      <c r="KY164" s="255"/>
      <c r="KZ164" s="255"/>
      <c r="LA164" s="255"/>
      <c r="LB164" s="255"/>
      <c r="LC164" s="255"/>
      <c r="LD164" s="255"/>
      <c r="LE164" s="255"/>
      <c r="LF164" s="255"/>
      <c r="LG164" s="255"/>
      <c r="LH164" s="255"/>
      <c r="LI164" s="255"/>
      <c r="LJ164" s="255"/>
      <c r="LK164" s="255"/>
      <c r="LL164" s="255"/>
      <c r="LM164" s="255"/>
      <c r="LN164" s="255"/>
      <c r="LO164" s="255"/>
      <c r="LP164" s="255"/>
      <c r="LQ164" s="255"/>
      <c r="LR164" s="255"/>
      <c r="LS164" s="255"/>
      <c r="LT164" s="255"/>
      <c r="LU164" s="255"/>
      <c r="LV164" s="255"/>
      <c r="LW164" s="255"/>
      <c r="LX164" s="255"/>
      <c r="LY164" s="255"/>
      <c r="LZ164" s="255"/>
      <c r="MA164" s="255"/>
      <c r="MB164" s="255"/>
      <c r="MC164" s="255"/>
      <c r="MD164" s="255"/>
      <c r="ME164" s="255"/>
      <c r="MF164" s="255"/>
      <c r="MG164" s="255"/>
      <c r="MH164" s="255"/>
      <c r="MI164" s="255"/>
      <c r="MJ164" s="255"/>
      <c r="MK164" s="255"/>
      <c r="ML164" s="255"/>
      <c r="MM164" s="255"/>
      <c r="MN164" s="255"/>
      <c r="MO164" s="255"/>
      <c r="MP164" s="255"/>
      <c r="MQ164" s="255"/>
      <c r="MR164" s="255"/>
      <c r="MS164" s="255"/>
      <c r="MT164" s="255"/>
      <c r="MU164" s="255"/>
      <c r="MV164" s="255"/>
      <c r="MW164" s="255"/>
      <c r="MX164" s="255"/>
      <c r="MY164" s="255"/>
      <c r="MZ164" s="255"/>
      <c r="NA164" s="255"/>
      <c r="NB164" s="255"/>
      <c r="NC164" s="255"/>
      <c r="ND164" s="255"/>
      <c r="NE164" s="255"/>
      <c r="NF164" s="255"/>
      <c r="NG164" s="255"/>
      <c r="NH164" s="255"/>
      <c r="NI164" s="255"/>
      <c r="NJ164" s="255"/>
      <c r="NK164" s="255"/>
      <c r="NL164" s="255"/>
      <c r="NM164" s="255"/>
      <c r="NN164" s="255"/>
      <c r="NO164" s="255"/>
      <c r="NP164" s="255"/>
      <c r="NQ164" s="255"/>
      <c r="NR164" s="255"/>
      <c r="NS164" s="255"/>
      <c r="NT164" s="255"/>
      <c r="NU164" s="255"/>
      <c r="NV164" s="255"/>
      <c r="NW164" s="255"/>
      <c r="NX164" s="255"/>
      <c r="NY164" s="255"/>
      <c r="NZ164" s="255"/>
      <c r="OA164" s="255"/>
      <c r="OB164" s="255"/>
      <c r="OC164" s="255"/>
      <c r="OD164" s="255"/>
      <c r="OE164" s="255"/>
      <c r="OF164" s="255"/>
      <c r="OG164" s="255"/>
      <c r="OH164" s="255"/>
      <c r="OI164" s="255"/>
      <c r="OJ164" s="255"/>
      <c r="OK164" s="255"/>
      <c r="OL164" s="255"/>
      <c r="OM164" s="255"/>
      <c r="ON164" s="255"/>
      <c r="OO164" s="255"/>
      <c r="OP164" s="255"/>
      <c r="OQ164" s="255"/>
      <c r="OR164" s="255"/>
      <c r="OS164" s="255"/>
      <c r="OT164" s="255"/>
      <c r="OU164" s="255"/>
      <c r="OV164" s="255"/>
      <c r="OW164" s="255"/>
      <c r="OX164" s="255"/>
      <c r="OY164" s="255"/>
      <c r="OZ164" s="255"/>
      <c r="PA164" s="255"/>
      <c r="PB164" s="255"/>
      <c r="PC164" s="255"/>
      <c r="PD164" s="255"/>
      <c r="PE164" s="255"/>
      <c r="PF164" s="255"/>
      <c r="PG164" s="255"/>
      <c r="PH164" s="255"/>
      <c r="PI164" s="255"/>
      <c r="PJ164" s="255"/>
      <c r="PK164" s="255"/>
      <c r="PL164" s="255"/>
      <c r="PM164" s="255"/>
      <c r="PN164" s="255"/>
      <c r="PO164" s="255"/>
      <c r="PP164" s="255"/>
      <c r="PQ164" s="255"/>
      <c r="PR164" s="255"/>
      <c r="PS164" s="255"/>
      <c r="PT164" s="255"/>
      <c r="PU164" s="255"/>
      <c r="PV164" s="255"/>
      <c r="PW164" s="255"/>
      <c r="PX164" s="255"/>
      <c r="PY164" s="255"/>
      <c r="PZ164" s="255"/>
      <c r="QA164" s="255"/>
      <c r="QB164" s="255"/>
      <c r="QC164" s="255"/>
      <c r="QD164" s="255"/>
      <c r="QE164" s="255"/>
      <c r="QF164" s="255"/>
      <c r="QG164" s="255"/>
      <c r="QH164" s="255"/>
      <c r="QI164" s="255"/>
      <c r="QJ164" s="255"/>
      <c r="QK164" s="255"/>
      <c r="QL164" s="255"/>
      <c r="QM164" s="255"/>
      <c r="QN164" s="255"/>
      <c r="QO164" s="255"/>
      <c r="QP164" s="255"/>
      <c r="QQ164" s="255"/>
      <c r="QR164" s="255"/>
      <c r="QS164" s="255"/>
      <c r="QT164" s="255"/>
      <c r="QU164" s="255"/>
      <c r="QV164" s="255"/>
      <c r="QW164" s="255"/>
      <c r="QX164" s="255"/>
      <c r="QY164" s="255"/>
      <c r="QZ164" s="255"/>
      <c r="RA164" s="255"/>
      <c r="RB164" s="255"/>
      <c r="RC164" s="255"/>
      <c r="RD164" s="255"/>
      <c r="RE164" s="255"/>
      <c r="RF164" s="255"/>
      <c r="RG164" s="255"/>
      <c r="RH164" s="255"/>
      <c r="RI164" s="255"/>
      <c r="RJ164" s="255"/>
      <c r="RK164" s="255"/>
      <c r="RL164" s="255"/>
      <c r="RM164" s="255"/>
      <c r="RN164" s="255"/>
      <c r="RO164" s="255"/>
      <c r="RP164" s="255"/>
      <c r="RQ164" s="255"/>
      <c r="RR164" s="255"/>
      <c r="RS164" s="255"/>
      <c r="RT164" s="255"/>
      <c r="RU164" s="255"/>
      <c r="RV164" s="255"/>
      <c r="RW164" s="255"/>
      <c r="RX164" s="255"/>
      <c r="RY164" s="255"/>
      <c r="RZ164" s="255"/>
      <c r="SA164" s="255"/>
      <c r="SB164" s="255"/>
      <c r="SC164" s="255"/>
      <c r="SD164" s="255"/>
      <c r="SE164" s="255"/>
      <c r="SF164" s="255"/>
      <c r="SG164" s="255"/>
      <c r="SH164" s="255"/>
      <c r="SI164" s="255"/>
      <c r="SJ164" s="255"/>
      <c r="SK164" s="255"/>
      <c r="SL164" s="255"/>
      <c r="SM164" s="255"/>
      <c r="SN164" s="255"/>
      <c r="SO164" s="255"/>
      <c r="SP164" s="255"/>
      <c r="SQ164" s="255"/>
      <c r="SR164" s="255"/>
      <c r="SS164" s="255"/>
      <c r="ST164" s="255"/>
      <c r="SU164" s="255"/>
      <c r="SV164" s="255"/>
      <c r="SW164" s="255"/>
      <c r="SX164" s="255"/>
      <c r="SY164" s="255"/>
      <c r="SZ164" s="255"/>
      <c r="TA164" s="255"/>
      <c r="TB164" s="255"/>
      <c r="TC164" s="255"/>
      <c r="TD164" s="255"/>
      <c r="TE164" s="255"/>
      <c r="TF164" s="255"/>
      <c r="TG164" s="255"/>
      <c r="TH164" s="255"/>
      <c r="TI164" s="255"/>
      <c r="TJ164" s="255"/>
      <c r="TK164" s="255"/>
      <c r="TL164" s="255"/>
      <c r="TM164" s="255"/>
      <c r="TN164" s="255"/>
      <c r="TO164" s="255"/>
      <c r="TP164" s="255"/>
      <c r="TQ164" s="255"/>
      <c r="TR164" s="255"/>
      <c r="TS164" s="255"/>
      <c r="TT164" s="255"/>
      <c r="TU164" s="255"/>
      <c r="TV164" s="255"/>
      <c r="TW164" s="255"/>
      <c r="TX164" s="255"/>
      <c r="TY164" s="255"/>
      <c r="TZ164" s="255"/>
      <c r="UA164" s="255"/>
      <c r="UB164" s="255"/>
      <c r="UC164" s="255"/>
      <c r="UD164" s="255"/>
      <c r="UE164" s="255"/>
      <c r="UF164" s="255"/>
      <c r="UG164" s="255"/>
      <c r="UH164" s="255"/>
      <c r="UI164" s="255"/>
      <c r="UJ164" s="255"/>
      <c r="UK164" s="255"/>
      <c r="UL164" s="255"/>
      <c r="UM164" s="255"/>
      <c r="UN164" s="255"/>
      <c r="UO164" s="255"/>
      <c r="UP164" s="255"/>
      <c r="UQ164" s="255"/>
      <c r="UR164" s="255"/>
      <c r="US164" s="255"/>
      <c r="UT164" s="255"/>
      <c r="UU164" s="255"/>
      <c r="UV164" s="255"/>
      <c r="UW164" s="255"/>
      <c r="UX164" s="255"/>
      <c r="UY164" s="255"/>
      <c r="UZ164" s="255"/>
      <c r="VA164" s="255"/>
      <c r="VB164" s="255"/>
      <c r="VC164" s="255"/>
      <c r="VD164" s="255"/>
      <c r="VE164" s="255"/>
      <c r="VF164" s="255"/>
      <c r="VG164" s="255"/>
      <c r="VH164" s="255"/>
      <c r="VI164" s="255"/>
      <c r="VJ164" s="255"/>
      <c r="VK164" s="255"/>
      <c r="VL164" s="255"/>
      <c r="VM164" s="255"/>
      <c r="VN164" s="255"/>
      <c r="VO164" s="255"/>
      <c r="VP164" s="255"/>
      <c r="VQ164" s="255"/>
      <c r="VR164" s="255"/>
      <c r="VS164" s="255"/>
      <c r="VT164" s="255"/>
      <c r="VU164" s="255"/>
      <c r="VV164" s="255"/>
      <c r="VW164" s="255"/>
      <c r="VX164" s="255"/>
      <c r="VY164" s="255"/>
      <c r="VZ164" s="255"/>
      <c r="WA164" s="255"/>
      <c r="WB164" s="255"/>
      <c r="WC164" s="255"/>
      <c r="WD164" s="255"/>
      <c r="WE164" s="255"/>
      <c r="WF164" s="255"/>
      <c r="WG164" s="255"/>
      <c r="WH164" s="255"/>
      <c r="WI164" s="255"/>
      <c r="WJ164" s="255"/>
      <c r="WK164" s="255"/>
      <c r="WL164" s="255"/>
      <c r="WM164" s="255"/>
      <c r="WN164" s="255"/>
      <c r="WO164" s="255"/>
      <c r="WP164" s="255"/>
      <c r="WQ164" s="255"/>
      <c r="WR164" s="255"/>
      <c r="WS164" s="255"/>
      <c r="WT164" s="255"/>
      <c r="WU164" s="255"/>
      <c r="WV164" s="255"/>
      <c r="WW164" s="255"/>
      <c r="WX164" s="255"/>
      <c r="WY164" s="255"/>
      <c r="WZ164" s="255"/>
      <c r="XA164" s="255"/>
      <c r="XB164" s="255"/>
      <c r="XC164" s="255"/>
      <c r="XD164" s="255"/>
      <c r="XE164" s="255"/>
      <c r="XF164" s="255"/>
      <c r="XG164" s="255"/>
      <c r="XH164" s="255"/>
      <c r="XI164" s="255"/>
      <c r="XJ164" s="255"/>
      <c r="XK164" s="255"/>
      <c r="XL164" s="255"/>
      <c r="XM164" s="255"/>
      <c r="XN164" s="255"/>
      <c r="XO164" s="255"/>
      <c r="XP164" s="255"/>
      <c r="XQ164" s="255"/>
      <c r="XR164" s="255"/>
      <c r="XS164" s="255"/>
      <c r="XT164" s="255"/>
      <c r="XU164" s="255"/>
      <c r="XV164" s="255"/>
      <c r="XW164" s="255"/>
      <c r="XX164" s="255"/>
      <c r="XY164" s="255"/>
      <c r="XZ164" s="255"/>
      <c r="YA164" s="255"/>
      <c r="YB164" s="255"/>
      <c r="YC164" s="255"/>
      <c r="YD164" s="255"/>
      <c r="YE164" s="255"/>
      <c r="YF164" s="255"/>
      <c r="YG164" s="255"/>
      <c r="YH164" s="255"/>
      <c r="YI164" s="255"/>
      <c r="YJ164" s="255"/>
      <c r="YK164" s="255"/>
      <c r="YL164" s="255"/>
      <c r="YM164" s="255"/>
      <c r="YN164" s="255"/>
      <c r="YO164" s="255"/>
      <c r="YP164" s="255"/>
      <c r="YQ164" s="255"/>
      <c r="YR164" s="255"/>
      <c r="YS164" s="255"/>
      <c r="YT164" s="255"/>
      <c r="YU164" s="255"/>
      <c r="YV164" s="255"/>
      <c r="YW164" s="255"/>
      <c r="YX164" s="255"/>
      <c r="YY164" s="255"/>
      <c r="YZ164" s="255"/>
      <c r="ZA164" s="255"/>
      <c r="ZB164" s="255"/>
      <c r="ZC164" s="255"/>
      <c r="ZD164" s="255"/>
      <c r="ZE164" s="255"/>
      <c r="ZF164" s="255"/>
      <c r="ZG164" s="255"/>
      <c r="ZH164" s="255"/>
      <c r="ZI164" s="255"/>
      <c r="ZJ164" s="255"/>
      <c r="ZK164" s="255"/>
      <c r="ZL164" s="255"/>
      <c r="ZM164" s="255"/>
      <c r="ZN164" s="255"/>
      <c r="ZO164" s="255"/>
      <c r="ZP164" s="255"/>
      <c r="ZQ164" s="255"/>
      <c r="ZR164" s="255"/>
      <c r="ZS164" s="255"/>
      <c r="ZT164" s="255"/>
      <c r="ZU164" s="255"/>
      <c r="ZV164" s="255"/>
      <c r="ZW164" s="255"/>
      <c r="ZX164" s="255"/>
      <c r="ZY164" s="255"/>
      <c r="ZZ164" s="255"/>
      <c r="AAA164" s="255"/>
      <c r="AAB164" s="255"/>
      <c r="AAC164" s="255"/>
      <c r="AAD164" s="255"/>
      <c r="AAE164" s="255"/>
      <c r="AAF164" s="255"/>
      <c r="AAG164" s="255"/>
      <c r="AAH164" s="255"/>
      <c r="AAI164" s="255"/>
      <c r="AAJ164" s="255"/>
      <c r="AAK164" s="255"/>
      <c r="AAL164" s="255"/>
      <c r="AAM164" s="255"/>
      <c r="AAN164" s="255"/>
      <c r="AAO164" s="255"/>
      <c r="AAP164" s="255"/>
      <c r="AAQ164" s="255"/>
      <c r="AAR164" s="255"/>
      <c r="AAS164" s="255"/>
      <c r="AAT164" s="255"/>
      <c r="AAU164" s="255"/>
      <c r="AAV164" s="255"/>
      <c r="AAW164" s="255"/>
      <c r="AAX164" s="255"/>
      <c r="AAY164" s="255"/>
      <c r="AAZ164" s="255"/>
      <c r="ABA164" s="255"/>
      <c r="ABB164" s="255"/>
      <c r="ABC164" s="255"/>
      <c r="ABD164" s="255"/>
      <c r="ABE164" s="255"/>
      <c r="ABF164" s="255"/>
      <c r="ABG164" s="255"/>
      <c r="ABH164" s="255"/>
      <c r="ABI164" s="255"/>
      <c r="ABJ164" s="255"/>
      <c r="ABK164" s="255"/>
      <c r="ABL164" s="255"/>
      <c r="ABM164" s="255"/>
      <c r="ABN164" s="255"/>
      <c r="ABO164" s="255"/>
      <c r="ABP164" s="255"/>
      <c r="ABQ164" s="255"/>
      <c r="ABR164" s="255"/>
      <c r="ABS164" s="255"/>
      <c r="ABT164" s="255"/>
      <c r="ABU164" s="255"/>
      <c r="ABV164" s="255"/>
      <c r="ABW164" s="255"/>
      <c r="ABX164" s="255"/>
      <c r="ABY164" s="255"/>
      <c r="ABZ164" s="255"/>
      <c r="ACA164" s="255"/>
      <c r="ACB164" s="255"/>
      <c r="ACC164" s="255"/>
      <c r="ACD164" s="255"/>
      <c r="ACE164" s="255"/>
      <c r="ACF164" s="255"/>
      <c r="ACG164" s="255"/>
      <c r="ACH164" s="255"/>
      <c r="ACI164" s="255"/>
      <c r="ACJ164" s="255"/>
      <c r="ACK164" s="255"/>
      <c r="ACL164" s="255"/>
      <c r="ACM164" s="255"/>
      <c r="ACN164" s="255"/>
      <c r="ACO164" s="255"/>
      <c r="ACP164" s="255"/>
      <c r="ACQ164" s="255"/>
      <c r="ACR164" s="255"/>
      <c r="ACS164" s="255"/>
      <c r="ACT164" s="255"/>
      <c r="ACU164" s="255"/>
      <c r="ACV164" s="255"/>
      <c r="ACW164" s="255"/>
      <c r="ACX164" s="255"/>
      <c r="ACY164" s="255"/>
      <c r="ACZ164" s="255"/>
      <c r="ADA164" s="255"/>
      <c r="ADB164" s="255"/>
      <c r="ADC164" s="255"/>
      <c r="ADD164" s="255"/>
      <c r="ADE164" s="255"/>
      <c r="ADF164" s="255"/>
      <c r="ADG164" s="255"/>
      <c r="ADH164" s="255"/>
      <c r="ADI164" s="255"/>
      <c r="ADJ164" s="255"/>
      <c r="ADK164" s="255"/>
      <c r="ADL164" s="255"/>
      <c r="ADM164" s="255"/>
      <c r="ADN164" s="255"/>
      <c r="ADO164" s="255"/>
      <c r="ADP164" s="255"/>
      <c r="ADQ164" s="255"/>
      <c r="ADR164" s="255"/>
      <c r="ADS164" s="255"/>
      <c r="ADT164" s="255"/>
      <c r="ADU164" s="255"/>
      <c r="ADV164" s="255"/>
      <c r="ADW164" s="255"/>
      <c r="ADX164" s="255"/>
      <c r="ADY164" s="255"/>
      <c r="ADZ164" s="255"/>
      <c r="AEA164" s="255"/>
      <c r="AEB164" s="255"/>
      <c r="AEC164" s="255"/>
      <c r="AED164" s="255"/>
      <c r="AEE164" s="255"/>
      <c r="AEF164" s="255"/>
      <c r="AEG164" s="255"/>
      <c r="AEH164" s="255"/>
      <c r="AEI164" s="255"/>
      <c r="AEJ164" s="255"/>
      <c r="AEK164" s="255"/>
      <c r="AEL164" s="255"/>
      <c r="AEM164" s="255"/>
      <c r="AEN164" s="255"/>
      <c r="AEO164" s="255"/>
      <c r="AEP164" s="255"/>
      <c r="AEQ164" s="255"/>
      <c r="AER164" s="255"/>
      <c r="AES164" s="255"/>
      <c r="AET164" s="255"/>
      <c r="AEU164" s="255"/>
      <c r="AEV164" s="255"/>
      <c r="AEW164" s="255"/>
      <c r="AEX164" s="255"/>
      <c r="AEY164" s="255"/>
      <c r="AEZ164" s="255"/>
      <c r="AFA164" s="255"/>
      <c r="AFB164" s="255"/>
      <c r="AFC164" s="255"/>
      <c r="AFD164" s="255"/>
      <c r="AFE164" s="255"/>
      <c r="AFF164" s="255"/>
      <c r="AFG164" s="255"/>
      <c r="AFH164" s="255"/>
      <c r="AFI164" s="255"/>
      <c r="AFJ164" s="255"/>
      <c r="AFK164" s="255"/>
      <c r="AFL164" s="255"/>
      <c r="AFM164" s="255"/>
      <c r="AFN164" s="255"/>
      <c r="AFO164" s="255"/>
      <c r="AFP164" s="255"/>
      <c r="AFQ164" s="255"/>
      <c r="AFR164" s="255"/>
      <c r="AFS164" s="255"/>
      <c r="AFT164" s="255"/>
      <c r="AFU164" s="255"/>
      <c r="AFV164" s="255"/>
      <c r="AFW164" s="255"/>
      <c r="AFX164" s="255"/>
      <c r="AFY164" s="255"/>
      <c r="AFZ164" s="255"/>
      <c r="AGA164" s="255"/>
      <c r="AGB164" s="255"/>
      <c r="AGC164" s="255"/>
      <c r="AGD164" s="255"/>
      <c r="AGE164" s="255"/>
      <c r="AGF164" s="255"/>
      <c r="AGG164" s="255"/>
      <c r="AGH164" s="255"/>
      <c r="AGI164" s="255"/>
      <c r="AGJ164" s="255"/>
      <c r="AGK164" s="255"/>
      <c r="AGL164" s="255"/>
      <c r="AGM164" s="255"/>
      <c r="AGN164" s="255"/>
      <c r="AGO164" s="255"/>
      <c r="AGP164" s="255"/>
      <c r="AGQ164" s="255"/>
      <c r="AGR164" s="255"/>
      <c r="AGS164" s="255"/>
      <c r="AGT164" s="255"/>
      <c r="AGU164" s="255"/>
      <c r="AGV164" s="255"/>
      <c r="AGW164" s="255"/>
      <c r="AGX164" s="255"/>
      <c r="AGY164" s="255"/>
      <c r="AGZ164" s="255"/>
      <c r="AHA164" s="255"/>
      <c r="AHB164" s="255"/>
      <c r="AHC164" s="255"/>
      <c r="AHD164" s="255"/>
      <c r="AHE164" s="255"/>
      <c r="AHF164" s="255"/>
      <c r="AHG164" s="255"/>
      <c r="AHH164" s="255"/>
      <c r="AHI164" s="255"/>
      <c r="AHJ164" s="255"/>
      <c r="AHK164" s="255"/>
      <c r="AHL164" s="255"/>
      <c r="AHM164" s="255"/>
      <c r="AHN164" s="255"/>
      <c r="AHO164" s="255"/>
      <c r="AHP164" s="255"/>
      <c r="AHQ164" s="255"/>
      <c r="AHR164" s="255"/>
      <c r="AHS164" s="255"/>
      <c r="AHT164" s="255"/>
      <c r="AHU164" s="255"/>
      <c r="AHV164" s="255"/>
      <c r="AHW164" s="255"/>
      <c r="AHX164" s="255"/>
      <c r="AHY164" s="255"/>
      <c r="AHZ164" s="255"/>
      <c r="AIA164" s="255"/>
      <c r="AIB164" s="255"/>
      <c r="AIC164" s="255"/>
      <c r="AID164" s="255"/>
      <c r="AIE164" s="255"/>
      <c r="AIF164" s="255"/>
      <c r="AIG164" s="255"/>
      <c r="AIH164" s="255"/>
      <c r="AII164" s="255"/>
      <c r="AIJ164" s="255"/>
      <c r="AIK164" s="255"/>
      <c r="AIL164" s="255"/>
      <c r="AIM164" s="255"/>
      <c r="AIN164" s="255"/>
      <c r="AIO164" s="255"/>
      <c r="AIP164" s="255"/>
      <c r="AIQ164" s="255"/>
      <c r="AIR164" s="255"/>
      <c r="AIS164" s="255"/>
      <c r="AIT164" s="255"/>
      <c r="AIU164" s="255"/>
      <c r="AIV164" s="255"/>
      <c r="AIW164" s="255"/>
      <c r="AIX164" s="255"/>
      <c r="AIY164" s="255"/>
      <c r="AIZ164" s="255"/>
      <c r="AJA164" s="255"/>
      <c r="AJB164" s="255"/>
      <c r="AJC164" s="255"/>
      <c r="AJD164" s="255"/>
      <c r="AJE164" s="255"/>
      <c r="AJF164" s="255"/>
      <c r="AJG164" s="255"/>
      <c r="AJH164" s="255"/>
      <c r="AJI164" s="255"/>
      <c r="AJJ164" s="255"/>
      <c r="AJK164" s="255"/>
      <c r="AJL164" s="255"/>
      <c r="AJM164" s="255"/>
      <c r="AJN164" s="255"/>
      <c r="AJO164" s="255"/>
      <c r="AJP164" s="255"/>
      <c r="AJQ164" s="255"/>
      <c r="AJR164" s="255"/>
      <c r="AJS164" s="255"/>
      <c r="AJT164" s="255"/>
      <c r="AJU164" s="255"/>
      <c r="AJV164" s="255"/>
      <c r="AJW164" s="255"/>
      <c r="AJX164" s="255"/>
      <c r="AJY164" s="255"/>
      <c r="AJZ164" s="255"/>
      <c r="AKA164" s="255"/>
      <c r="AKB164" s="255"/>
      <c r="AKC164" s="255"/>
      <c r="AKD164" s="255"/>
      <c r="AKE164" s="255"/>
      <c r="AKF164" s="255"/>
      <c r="AKG164" s="255"/>
      <c r="AKH164" s="255"/>
      <c r="AKI164" s="255"/>
      <c r="AKJ164" s="255"/>
      <c r="AKK164" s="255"/>
      <c r="AKL164" s="255"/>
      <c r="AKM164" s="255"/>
      <c r="AKN164" s="255"/>
      <c r="AKO164" s="255"/>
      <c r="AKP164" s="255"/>
      <c r="AKQ164" s="255"/>
      <c r="AKR164" s="255"/>
      <c r="AKS164" s="255"/>
      <c r="AKT164" s="255"/>
      <c r="AKU164" s="255"/>
      <c r="AKV164" s="255"/>
      <c r="AKW164" s="255"/>
      <c r="AKX164" s="255"/>
      <c r="AKY164" s="255"/>
      <c r="AKZ164" s="255"/>
      <c r="ALA164" s="255"/>
      <c r="ALB164" s="255"/>
      <c r="ALC164" s="255"/>
      <c r="ALD164" s="255"/>
      <c r="ALE164" s="42"/>
      <c r="ALF164" s="42"/>
      <c r="ALG164" s="42"/>
      <c r="ALH164" s="42"/>
      <c r="ALI164" s="42"/>
      <c r="ALJ164" s="42"/>
      <c r="ALK164" s="42"/>
      <c r="ALL164" s="42"/>
      <c r="ALM164" s="42"/>
    </row>
    <row r="165" spans="1:1001" s="191" customFormat="1" ht="12.75" customHeight="1">
      <c r="A165" s="680" t="s">
        <v>7103</v>
      </c>
      <c r="B165" s="680"/>
      <c r="C165" s="680"/>
      <c r="D165" s="680"/>
      <c r="E165" s="680"/>
      <c r="F165" s="680"/>
      <c r="G165" s="680"/>
      <c r="H165" s="680"/>
      <c r="I165" s="680"/>
      <c r="J165" s="281">
        <f>SUMPRODUCT(E12:E163,G12:G163)+SUMPRODUCT(E12:E163,H12:H163)</f>
        <v>147484.13184965798</v>
      </c>
      <c r="K165" s="255"/>
      <c r="L165" s="255"/>
      <c r="M165" s="255"/>
      <c r="N165" s="255"/>
      <c r="O165" s="255"/>
      <c r="P165" s="255"/>
      <c r="Q165" s="255"/>
      <c r="R165" s="255"/>
      <c r="S165" s="255"/>
      <c r="T165" s="255"/>
      <c r="U165" s="255"/>
      <c r="V165" s="255"/>
      <c r="W165" s="255"/>
      <c r="X165" s="255"/>
      <c r="Y165" s="255"/>
      <c r="Z165" s="255"/>
      <c r="AA165" s="255"/>
      <c r="AB165" s="255"/>
      <c r="AC165" s="255"/>
      <c r="AD165" s="255"/>
      <c r="AE165" s="255"/>
      <c r="AF165" s="255"/>
      <c r="AG165" s="255"/>
      <c r="AH165" s="255"/>
      <c r="AI165" s="255"/>
      <c r="AJ165" s="255"/>
      <c r="AK165" s="255"/>
      <c r="AL165" s="255"/>
      <c r="AM165" s="255"/>
      <c r="AN165" s="255"/>
      <c r="AO165" s="255"/>
      <c r="AP165" s="255"/>
      <c r="AQ165" s="255"/>
      <c r="AR165" s="255"/>
      <c r="AS165" s="255"/>
      <c r="AT165" s="255"/>
      <c r="AU165" s="255"/>
      <c r="AV165" s="255"/>
      <c r="AW165" s="255"/>
      <c r="AX165" s="255"/>
      <c r="AY165" s="255"/>
      <c r="AZ165" s="255"/>
      <c r="BA165" s="255"/>
      <c r="BB165" s="255"/>
      <c r="BC165" s="255"/>
      <c r="BD165" s="255"/>
      <c r="BE165" s="255"/>
      <c r="BF165" s="255"/>
      <c r="BG165" s="255"/>
      <c r="BH165" s="255"/>
      <c r="BI165" s="255"/>
      <c r="BJ165" s="255"/>
      <c r="BK165" s="255"/>
      <c r="BL165" s="255"/>
      <c r="BM165" s="255"/>
      <c r="BN165" s="255"/>
      <c r="BO165" s="255"/>
      <c r="BP165" s="255"/>
      <c r="BQ165" s="255"/>
      <c r="BR165" s="255"/>
      <c r="BS165" s="255"/>
      <c r="BT165" s="255"/>
      <c r="BU165" s="255"/>
      <c r="BV165" s="255"/>
      <c r="BW165" s="255"/>
      <c r="BX165" s="255"/>
      <c r="BY165" s="255"/>
      <c r="BZ165" s="255"/>
      <c r="CA165" s="255"/>
      <c r="CB165" s="255"/>
      <c r="CC165" s="255"/>
      <c r="CD165" s="255"/>
      <c r="CE165" s="255"/>
      <c r="CF165" s="255"/>
      <c r="CG165" s="255"/>
      <c r="CH165" s="255"/>
      <c r="CI165" s="255"/>
      <c r="CJ165" s="255"/>
      <c r="CK165" s="255"/>
      <c r="CL165" s="255"/>
      <c r="CM165" s="255"/>
      <c r="CN165" s="255"/>
      <c r="CO165" s="255"/>
      <c r="CP165" s="255"/>
      <c r="CQ165" s="255"/>
      <c r="CR165" s="255"/>
      <c r="CS165" s="255"/>
      <c r="CT165" s="255"/>
      <c r="CU165" s="255"/>
      <c r="CV165" s="255"/>
      <c r="CW165" s="255"/>
      <c r="CX165" s="255"/>
      <c r="CY165" s="255"/>
      <c r="CZ165" s="255"/>
      <c r="DA165" s="255"/>
      <c r="DB165" s="255"/>
      <c r="DC165" s="255"/>
      <c r="DD165" s="255"/>
      <c r="DE165" s="255"/>
      <c r="DF165" s="255"/>
      <c r="DG165" s="255"/>
      <c r="DH165" s="255"/>
      <c r="DI165" s="255"/>
      <c r="DJ165" s="255"/>
      <c r="DK165" s="255"/>
      <c r="DL165" s="255"/>
      <c r="DM165" s="255"/>
      <c r="DN165" s="255"/>
      <c r="DO165" s="255"/>
      <c r="DP165" s="255"/>
      <c r="DQ165" s="255"/>
      <c r="DR165" s="255"/>
      <c r="DS165" s="255"/>
      <c r="DT165" s="255"/>
      <c r="DU165" s="255"/>
      <c r="DV165" s="255"/>
      <c r="DW165" s="255"/>
      <c r="DX165" s="255"/>
      <c r="DY165" s="255"/>
      <c r="DZ165" s="255"/>
      <c r="EA165" s="255"/>
      <c r="EB165" s="255"/>
      <c r="EC165" s="255"/>
      <c r="ED165" s="255"/>
      <c r="EE165" s="255"/>
      <c r="EF165" s="255"/>
      <c r="EG165" s="255"/>
      <c r="EH165" s="255"/>
      <c r="EI165" s="255"/>
      <c r="EJ165" s="255"/>
      <c r="EK165" s="255"/>
      <c r="EL165" s="255"/>
      <c r="EM165" s="255"/>
      <c r="EN165" s="255"/>
      <c r="EO165" s="255"/>
      <c r="EP165" s="255"/>
      <c r="EQ165" s="255"/>
      <c r="ER165" s="255"/>
      <c r="ES165" s="255"/>
      <c r="ET165" s="255"/>
      <c r="EU165" s="255"/>
      <c r="EV165" s="255"/>
      <c r="EW165" s="255"/>
      <c r="EX165" s="255"/>
      <c r="EY165" s="255"/>
      <c r="EZ165" s="255"/>
      <c r="FA165" s="255"/>
      <c r="FB165" s="255"/>
      <c r="FC165" s="255"/>
      <c r="FD165" s="255"/>
      <c r="FE165" s="255"/>
      <c r="FF165" s="255"/>
      <c r="FG165" s="255"/>
      <c r="FH165" s="255"/>
      <c r="FI165" s="255"/>
      <c r="FJ165" s="255"/>
      <c r="FK165" s="255"/>
      <c r="FL165" s="255"/>
      <c r="FM165" s="255"/>
      <c r="FN165" s="255"/>
      <c r="FO165" s="255"/>
      <c r="FP165" s="255"/>
      <c r="FQ165" s="255"/>
      <c r="FR165" s="255"/>
      <c r="FS165" s="255"/>
      <c r="FT165" s="255"/>
      <c r="FU165" s="255"/>
      <c r="FV165" s="255"/>
      <c r="FW165" s="255"/>
      <c r="FX165" s="255"/>
      <c r="FY165" s="255"/>
      <c r="FZ165" s="255"/>
      <c r="GA165" s="255"/>
      <c r="GB165" s="255"/>
      <c r="GC165" s="255"/>
      <c r="GD165" s="255"/>
      <c r="GE165" s="255"/>
      <c r="GF165" s="255"/>
      <c r="GG165" s="255"/>
      <c r="GH165" s="255"/>
      <c r="GI165" s="255"/>
      <c r="GJ165" s="255"/>
      <c r="GK165" s="255"/>
      <c r="GL165" s="255"/>
      <c r="GM165" s="255"/>
      <c r="GN165" s="255"/>
      <c r="GO165" s="255"/>
      <c r="GP165" s="255"/>
      <c r="GQ165" s="255"/>
      <c r="GR165" s="255"/>
      <c r="GS165" s="255"/>
      <c r="GT165" s="255"/>
      <c r="GU165" s="255"/>
      <c r="GV165" s="255"/>
      <c r="GW165" s="255"/>
      <c r="GX165" s="255"/>
      <c r="GY165" s="255"/>
      <c r="GZ165" s="255"/>
      <c r="HA165" s="255"/>
      <c r="HB165" s="255"/>
      <c r="HC165" s="255"/>
      <c r="HD165" s="255"/>
      <c r="HE165" s="255"/>
      <c r="HF165" s="255"/>
      <c r="HG165" s="255"/>
      <c r="HH165" s="255"/>
      <c r="HI165" s="255"/>
      <c r="HJ165" s="255"/>
      <c r="HK165" s="255"/>
      <c r="HL165" s="255"/>
      <c r="HM165" s="255"/>
      <c r="HN165" s="255"/>
      <c r="HO165" s="255"/>
      <c r="HP165" s="255"/>
      <c r="HQ165" s="255"/>
      <c r="HR165" s="255"/>
      <c r="HS165" s="255"/>
      <c r="HT165" s="255"/>
      <c r="HU165" s="255"/>
      <c r="HV165" s="255"/>
      <c r="HW165" s="255"/>
      <c r="HX165" s="255"/>
      <c r="HY165" s="255"/>
      <c r="HZ165" s="255"/>
      <c r="IA165" s="255"/>
      <c r="IB165" s="255"/>
      <c r="IC165" s="255"/>
      <c r="ID165" s="255"/>
      <c r="IE165" s="255"/>
      <c r="IF165" s="255"/>
      <c r="IG165" s="255"/>
      <c r="IH165" s="255"/>
      <c r="II165" s="255"/>
      <c r="IJ165" s="255"/>
      <c r="IK165" s="255"/>
      <c r="IL165" s="255"/>
      <c r="IM165" s="255"/>
      <c r="IN165" s="255"/>
      <c r="IO165" s="255"/>
      <c r="IP165" s="255"/>
      <c r="IQ165" s="255"/>
      <c r="IR165" s="255"/>
      <c r="IS165" s="255"/>
      <c r="IT165" s="255"/>
      <c r="IU165" s="255"/>
      <c r="IV165" s="255"/>
      <c r="IW165" s="255"/>
      <c r="IX165" s="255"/>
      <c r="IY165" s="255"/>
      <c r="IZ165" s="255"/>
      <c r="JA165" s="255"/>
      <c r="JB165" s="255"/>
      <c r="JC165" s="255"/>
      <c r="JD165" s="255"/>
      <c r="JE165" s="255"/>
      <c r="JF165" s="255"/>
      <c r="JG165" s="255"/>
      <c r="JH165" s="255"/>
      <c r="JI165" s="255"/>
      <c r="JJ165" s="255"/>
      <c r="JK165" s="255"/>
      <c r="JL165" s="255"/>
      <c r="JM165" s="255"/>
      <c r="JN165" s="255"/>
      <c r="JO165" s="255"/>
      <c r="JP165" s="255"/>
      <c r="JQ165" s="255"/>
      <c r="JR165" s="255"/>
      <c r="JS165" s="255"/>
      <c r="JT165" s="255"/>
      <c r="JU165" s="255"/>
      <c r="JV165" s="255"/>
      <c r="JW165" s="255"/>
      <c r="JX165" s="255"/>
      <c r="JY165" s="255"/>
      <c r="JZ165" s="255"/>
      <c r="KA165" s="255"/>
      <c r="KB165" s="255"/>
      <c r="KC165" s="255"/>
      <c r="KD165" s="255"/>
      <c r="KE165" s="255"/>
      <c r="KF165" s="255"/>
      <c r="KG165" s="255"/>
      <c r="KH165" s="255"/>
      <c r="KI165" s="255"/>
      <c r="KJ165" s="255"/>
      <c r="KK165" s="255"/>
      <c r="KL165" s="255"/>
      <c r="KM165" s="255"/>
      <c r="KN165" s="255"/>
      <c r="KO165" s="255"/>
      <c r="KP165" s="255"/>
      <c r="KQ165" s="255"/>
      <c r="KR165" s="255"/>
      <c r="KS165" s="255"/>
      <c r="KT165" s="255"/>
      <c r="KU165" s="255"/>
      <c r="KV165" s="255"/>
      <c r="KW165" s="255"/>
      <c r="KX165" s="255"/>
      <c r="KY165" s="255"/>
      <c r="KZ165" s="255"/>
      <c r="LA165" s="255"/>
      <c r="LB165" s="255"/>
      <c r="LC165" s="255"/>
      <c r="LD165" s="255"/>
      <c r="LE165" s="255"/>
      <c r="LF165" s="255"/>
      <c r="LG165" s="255"/>
      <c r="LH165" s="255"/>
      <c r="LI165" s="255"/>
      <c r="LJ165" s="255"/>
      <c r="LK165" s="255"/>
      <c r="LL165" s="255"/>
      <c r="LM165" s="255"/>
      <c r="LN165" s="255"/>
      <c r="LO165" s="255"/>
      <c r="LP165" s="255"/>
      <c r="LQ165" s="255"/>
      <c r="LR165" s="255"/>
      <c r="LS165" s="255"/>
      <c r="LT165" s="255"/>
      <c r="LU165" s="255"/>
      <c r="LV165" s="255"/>
      <c r="LW165" s="255"/>
      <c r="LX165" s="255"/>
      <c r="LY165" s="255"/>
      <c r="LZ165" s="255"/>
      <c r="MA165" s="255"/>
      <c r="MB165" s="255"/>
      <c r="MC165" s="255"/>
      <c r="MD165" s="255"/>
      <c r="ME165" s="255"/>
      <c r="MF165" s="255"/>
      <c r="MG165" s="255"/>
      <c r="MH165" s="255"/>
      <c r="MI165" s="255"/>
      <c r="MJ165" s="255"/>
      <c r="MK165" s="255"/>
      <c r="ML165" s="255"/>
      <c r="MM165" s="255"/>
      <c r="MN165" s="255"/>
      <c r="MO165" s="255"/>
      <c r="MP165" s="255"/>
      <c r="MQ165" s="255"/>
      <c r="MR165" s="255"/>
      <c r="MS165" s="255"/>
      <c r="MT165" s="255"/>
      <c r="MU165" s="255"/>
      <c r="MV165" s="255"/>
      <c r="MW165" s="255"/>
      <c r="MX165" s="255"/>
      <c r="MY165" s="255"/>
      <c r="MZ165" s="255"/>
      <c r="NA165" s="255"/>
      <c r="NB165" s="255"/>
      <c r="NC165" s="255"/>
      <c r="ND165" s="255"/>
      <c r="NE165" s="255"/>
      <c r="NF165" s="255"/>
      <c r="NG165" s="255"/>
      <c r="NH165" s="255"/>
      <c r="NI165" s="255"/>
      <c r="NJ165" s="255"/>
      <c r="NK165" s="255"/>
      <c r="NL165" s="255"/>
      <c r="NM165" s="255"/>
      <c r="NN165" s="255"/>
      <c r="NO165" s="255"/>
      <c r="NP165" s="255"/>
      <c r="NQ165" s="255"/>
      <c r="NR165" s="255"/>
      <c r="NS165" s="255"/>
      <c r="NT165" s="255"/>
      <c r="NU165" s="255"/>
      <c r="NV165" s="255"/>
      <c r="NW165" s="255"/>
      <c r="NX165" s="255"/>
      <c r="NY165" s="255"/>
      <c r="NZ165" s="255"/>
      <c r="OA165" s="255"/>
      <c r="OB165" s="255"/>
      <c r="OC165" s="255"/>
      <c r="OD165" s="255"/>
      <c r="OE165" s="255"/>
      <c r="OF165" s="255"/>
      <c r="OG165" s="255"/>
      <c r="OH165" s="255"/>
      <c r="OI165" s="255"/>
      <c r="OJ165" s="255"/>
      <c r="OK165" s="255"/>
      <c r="OL165" s="255"/>
      <c r="OM165" s="255"/>
      <c r="ON165" s="255"/>
      <c r="OO165" s="255"/>
      <c r="OP165" s="255"/>
      <c r="OQ165" s="255"/>
      <c r="OR165" s="255"/>
      <c r="OS165" s="255"/>
      <c r="OT165" s="255"/>
      <c r="OU165" s="255"/>
      <c r="OV165" s="255"/>
      <c r="OW165" s="255"/>
      <c r="OX165" s="255"/>
      <c r="OY165" s="255"/>
      <c r="OZ165" s="255"/>
      <c r="PA165" s="255"/>
      <c r="PB165" s="255"/>
      <c r="PC165" s="255"/>
      <c r="PD165" s="255"/>
      <c r="PE165" s="255"/>
      <c r="PF165" s="255"/>
      <c r="PG165" s="255"/>
      <c r="PH165" s="255"/>
      <c r="PI165" s="255"/>
      <c r="PJ165" s="255"/>
      <c r="PK165" s="255"/>
      <c r="PL165" s="255"/>
      <c r="PM165" s="255"/>
      <c r="PN165" s="255"/>
      <c r="PO165" s="255"/>
      <c r="PP165" s="255"/>
      <c r="PQ165" s="255"/>
      <c r="PR165" s="255"/>
      <c r="PS165" s="255"/>
      <c r="PT165" s="255"/>
      <c r="PU165" s="255"/>
      <c r="PV165" s="255"/>
      <c r="PW165" s="255"/>
      <c r="PX165" s="255"/>
      <c r="PY165" s="255"/>
      <c r="PZ165" s="255"/>
      <c r="QA165" s="255"/>
      <c r="QB165" s="255"/>
      <c r="QC165" s="255"/>
      <c r="QD165" s="255"/>
      <c r="QE165" s="255"/>
      <c r="QF165" s="255"/>
      <c r="QG165" s="255"/>
      <c r="QH165" s="255"/>
      <c r="QI165" s="255"/>
      <c r="QJ165" s="255"/>
      <c r="QK165" s="255"/>
      <c r="QL165" s="255"/>
      <c r="QM165" s="255"/>
      <c r="QN165" s="255"/>
      <c r="QO165" s="255"/>
      <c r="QP165" s="255"/>
      <c r="QQ165" s="255"/>
      <c r="QR165" s="255"/>
      <c r="QS165" s="255"/>
      <c r="QT165" s="255"/>
      <c r="QU165" s="255"/>
      <c r="QV165" s="255"/>
      <c r="QW165" s="255"/>
      <c r="QX165" s="255"/>
      <c r="QY165" s="255"/>
      <c r="QZ165" s="255"/>
      <c r="RA165" s="255"/>
      <c r="RB165" s="255"/>
      <c r="RC165" s="255"/>
      <c r="RD165" s="255"/>
      <c r="RE165" s="255"/>
      <c r="RF165" s="255"/>
      <c r="RG165" s="255"/>
      <c r="RH165" s="255"/>
      <c r="RI165" s="255"/>
      <c r="RJ165" s="255"/>
      <c r="RK165" s="255"/>
      <c r="RL165" s="255"/>
      <c r="RM165" s="255"/>
      <c r="RN165" s="255"/>
      <c r="RO165" s="255"/>
      <c r="RP165" s="255"/>
      <c r="RQ165" s="255"/>
      <c r="RR165" s="255"/>
      <c r="RS165" s="255"/>
      <c r="RT165" s="255"/>
      <c r="RU165" s="255"/>
      <c r="RV165" s="255"/>
      <c r="RW165" s="255"/>
      <c r="RX165" s="255"/>
      <c r="RY165" s="255"/>
      <c r="RZ165" s="255"/>
      <c r="SA165" s="255"/>
      <c r="SB165" s="255"/>
      <c r="SC165" s="255"/>
      <c r="SD165" s="255"/>
      <c r="SE165" s="255"/>
      <c r="SF165" s="255"/>
      <c r="SG165" s="255"/>
      <c r="SH165" s="255"/>
      <c r="SI165" s="255"/>
      <c r="SJ165" s="255"/>
      <c r="SK165" s="255"/>
      <c r="SL165" s="255"/>
      <c r="SM165" s="255"/>
      <c r="SN165" s="255"/>
      <c r="SO165" s="255"/>
      <c r="SP165" s="255"/>
      <c r="SQ165" s="255"/>
      <c r="SR165" s="255"/>
      <c r="SS165" s="255"/>
      <c r="ST165" s="255"/>
      <c r="SU165" s="255"/>
      <c r="SV165" s="255"/>
      <c r="SW165" s="255"/>
      <c r="SX165" s="255"/>
      <c r="SY165" s="255"/>
      <c r="SZ165" s="255"/>
      <c r="TA165" s="255"/>
      <c r="TB165" s="255"/>
      <c r="TC165" s="255"/>
      <c r="TD165" s="255"/>
      <c r="TE165" s="255"/>
      <c r="TF165" s="255"/>
      <c r="TG165" s="255"/>
      <c r="TH165" s="255"/>
      <c r="TI165" s="255"/>
      <c r="TJ165" s="255"/>
      <c r="TK165" s="255"/>
      <c r="TL165" s="255"/>
      <c r="TM165" s="255"/>
      <c r="TN165" s="255"/>
      <c r="TO165" s="255"/>
      <c r="TP165" s="255"/>
      <c r="TQ165" s="255"/>
      <c r="TR165" s="255"/>
      <c r="TS165" s="255"/>
      <c r="TT165" s="255"/>
      <c r="TU165" s="255"/>
      <c r="TV165" s="255"/>
      <c r="TW165" s="255"/>
      <c r="TX165" s="255"/>
      <c r="TY165" s="255"/>
      <c r="TZ165" s="255"/>
      <c r="UA165" s="255"/>
      <c r="UB165" s="255"/>
      <c r="UC165" s="255"/>
      <c r="UD165" s="255"/>
      <c r="UE165" s="255"/>
      <c r="UF165" s="255"/>
      <c r="UG165" s="255"/>
      <c r="UH165" s="255"/>
      <c r="UI165" s="255"/>
      <c r="UJ165" s="255"/>
      <c r="UK165" s="255"/>
      <c r="UL165" s="255"/>
      <c r="UM165" s="255"/>
      <c r="UN165" s="255"/>
      <c r="UO165" s="255"/>
      <c r="UP165" s="255"/>
      <c r="UQ165" s="255"/>
      <c r="UR165" s="255"/>
      <c r="US165" s="255"/>
      <c r="UT165" s="255"/>
      <c r="UU165" s="255"/>
      <c r="UV165" s="255"/>
      <c r="UW165" s="255"/>
      <c r="UX165" s="255"/>
      <c r="UY165" s="255"/>
      <c r="UZ165" s="255"/>
      <c r="VA165" s="255"/>
      <c r="VB165" s="255"/>
      <c r="VC165" s="255"/>
      <c r="VD165" s="255"/>
      <c r="VE165" s="255"/>
      <c r="VF165" s="255"/>
      <c r="VG165" s="255"/>
      <c r="VH165" s="255"/>
      <c r="VI165" s="255"/>
      <c r="VJ165" s="255"/>
      <c r="VK165" s="255"/>
      <c r="VL165" s="255"/>
      <c r="VM165" s="255"/>
      <c r="VN165" s="255"/>
      <c r="VO165" s="255"/>
      <c r="VP165" s="255"/>
      <c r="VQ165" s="255"/>
      <c r="VR165" s="255"/>
      <c r="VS165" s="255"/>
      <c r="VT165" s="255"/>
      <c r="VU165" s="255"/>
      <c r="VV165" s="255"/>
      <c r="VW165" s="255"/>
      <c r="VX165" s="255"/>
      <c r="VY165" s="255"/>
      <c r="VZ165" s="255"/>
      <c r="WA165" s="255"/>
      <c r="WB165" s="255"/>
      <c r="WC165" s="255"/>
      <c r="WD165" s="255"/>
      <c r="WE165" s="255"/>
      <c r="WF165" s="255"/>
      <c r="WG165" s="255"/>
      <c r="WH165" s="255"/>
      <c r="WI165" s="255"/>
      <c r="WJ165" s="255"/>
      <c r="WK165" s="255"/>
      <c r="WL165" s="255"/>
      <c r="WM165" s="255"/>
      <c r="WN165" s="255"/>
      <c r="WO165" s="255"/>
      <c r="WP165" s="255"/>
      <c r="WQ165" s="255"/>
      <c r="WR165" s="255"/>
      <c r="WS165" s="255"/>
      <c r="WT165" s="255"/>
      <c r="WU165" s="255"/>
      <c r="WV165" s="255"/>
      <c r="WW165" s="255"/>
      <c r="WX165" s="255"/>
      <c r="WY165" s="255"/>
      <c r="WZ165" s="255"/>
      <c r="XA165" s="255"/>
      <c r="XB165" s="255"/>
      <c r="XC165" s="255"/>
      <c r="XD165" s="255"/>
      <c r="XE165" s="255"/>
      <c r="XF165" s="255"/>
      <c r="XG165" s="255"/>
      <c r="XH165" s="255"/>
      <c r="XI165" s="255"/>
      <c r="XJ165" s="255"/>
      <c r="XK165" s="255"/>
      <c r="XL165" s="255"/>
      <c r="XM165" s="255"/>
      <c r="XN165" s="255"/>
      <c r="XO165" s="255"/>
      <c r="XP165" s="255"/>
      <c r="XQ165" s="255"/>
      <c r="XR165" s="255"/>
      <c r="XS165" s="255"/>
      <c r="XT165" s="255"/>
      <c r="XU165" s="255"/>
      <c r="XV165" s="255"/>
      <c r="XW165" s="255"/>
      <c r="XX165" s="255"/>
      <c r="XY165" s="255"/>
      <c r="XZ165" s="255"/>
      <c r="YA165" s="255"/>
      <c r="YB165" s="255"/>
      <c r="YC165" s="255"/>
      <c r="YD165" s="255"/>
      <c r="YE165" s="255"/>
      <c r="YF165" s="255"/>
      <c r="YG165" s="255"/>
      <c r="YH165" s="255"/>
      <c r="YI165" s="255"/>
      <c r="YJ165" s="255"/>
      <c r="YK165" s="255"/>
      <c r="YL165" s="255"/>
      <c r="YM165" s="255"/>
      <c r="YN165" s="255"/>
      <c r="YO165" s="255"/>
      <c r="YP165" s="255"/>
      <c r="YQ165" s="255"/>
      <c r="YR165" s="255"/>
      <c r="YS165" s="255"/>
      <c r="YT165" s="255"/>
      <c r="YU165" s="255"/>
      <c r="YV165" s="255"/>
      <c r="YW165" s="255"/>
      <c r="YX165" s="255"/>
      <c r="YY165" s="255"/>
      <c r="YZ165" s="255"/>
      <c r="ZA165" s="255"/>
      <c r="ZB165" s="255"/>
      <c r="ZC165" s="255"/>
      <c r="ZD165" s="255"/>
      <c r="ZE165" s="255"/>
      <c r="ZF165" s="255"/>
      <c r="ZG165" s="255"/>
      <c r="ZH165" s="255"/>
      <c r="ZI165" s="255"/>
      <c r="ZJ165" s="255"/>
      <c r="ZK165" s="255"/>
      <c r="ZL165" s="255"/>
      <c r="ZM165" s="255"/>
      <c r="ZN165" s="255"/>
      <c r="ZO165" s="255"/>
      <c r="ZP165" s="255"/>
      <c r="ZQ165" s="255"/>
      <c r="ZR165" s="255"/>
      <c r="ZS165" s="255"/>
      <c r="ZT165" s="255"/>
      <c r="ZU165" s="255"/>
      <c r="ZV165" s="255"/>
      <c r="ZW165" s="255"/>
      <c r="ZX165" s="255"/>
      <c r="ZY165" s="255"/>
      <c r="ZZ165" s="255"/>
      <c r="AAA165" s="255"/>
      <c r="AAB165" s="255"/>
      <c r="AAC165" s="255"/>
      <c r="AAD165" s="255"/>
      <c r="AAE165" s="255"/>
      <c r="AAF165" s="255"/>
      <c r="AAG165" s="255"/>
      <c r="AAH165" s="255"/>
      <c r="AAI165" s="255"/>
      <c r="AAJ165" s="255"/>
      <c r="AAK165" s="255"/>
      <c r="AAL165" s="255"/>
      <c r="AAM165" s="255"/>
      <c r="AAN165" s="255"/>
      <c r="AAO165" s="255"/>
      <c r="AAP165" s="255"/>
      <c r="AAQ165" s="255"/>
      <c r="AAR165" s="255"/>
      <c r="AAS165" s="255"/>
      <c r="AAT165" s="255"/>
      <c r="AAU165" s="255"/>
      <c r="AAV165" s="255"/>
      <c r="AAW165" s="255"/>
      <c r="AAX165" s="255"/>
      <c r="AAY165" s="255"/>
      <c r="AAZ165" s="255"/>
      <c r="ABA165" s="255"/>
      <c r="ABB165" s="255"/>
      <c r="ABC165" s="255"/>
      <c r="ABD165" s="255"/>
      <c r="ABE165" s="255"/>
      <c r="ABF165" s="255"/>
      <c r="ABG165" s="255"/>
      <c r="ABH165" s="255"/>
      <c r="ABI165" s="255"/>
      <c r="ABJ165" s="255"/>
      <c r="ABK165" s="255"/>
      <c r="ABL165" s="255"/>
      <c r="ABM165" s="255"/>
      <c r="ABN165" s="255"/>
      <c r="ABO165" s="255"/>
      <c r="ABP165" s="255"/>
      <c r="ABQ165" s="255"/>
      <c r="ABR165" s="255"/>
      <c r="ABS165" s="255"/>
      <c r="ABT165" s="255"/>
      <c r="ABU165" s="255"/>
      <c r="ABV165" s="255"/>
      <c r="ABW165" s="255"/>
      <c r="ABX165" s="255"/>
      <c r="ABY165" s="255"/>
      <c r="ABZ165" s="255"/>
      <c r="ACA165" s="255"/>
      <c r="ACB165" s="255"/>
      <c r="ACC165" s="255"/>
      <c r="ACD165" s="255"/>
      <c r="ACE165" s="255"/>
      <c r="ACF165" s="255"/>
      <c r="ACG165" s="255"/>
      <c r="ACH165" s="255"/>
      <c r="ACI165" s="255"/>
      <c r="ACJ165" s="255"/>
      <c r="ACK165" s="255"/>
      <c r="ACL165" s="255"/>
      <c r="ACM165" s="255"/>
      <c r="ACN165" s="255"/>
      <c r="ACO165" s="255"/>
      <c r="ACP165" s="255"/>
      <c r="ACQ165" s="255"/>
      <c r="ACR165" s="255"/>
      <c r="ACS165" s="255"/>
      <c r="ACT165" s="255"/>
      <c r="ACU165" s="255"/>
      <c r="ACV165" s="255"/>
      <c r="ACW165" s="255"/>
      <c r="ACX165" s="255"/>
      <c r="ACY165" s="255"/>
      <c r="ACZ165" s="255"/>
      <c r="ADA165" s="255"/>
      <c r="ADB165" s="255"/>
      <c r="ADC165" s="255"/>
      <c r="ADD165" s="255"/>
      <c r="ADE165" s="255"/>
      <c r="ADF165" s="255"/>
      <c r="ADG165" s="255"/>
      <c r="ADH165" s="255"/>
      <c r="ADI165" s="255"/>
      <c r="ADJ165" s="255"/>
      <c r="ADK165" s="255"/>
      <c r="ADL165" s="255"/>
      <c r="ADM165" s="255"/>
      <c r="ADN165" s="255"/>
      <c r="ADO165" s="255"/>
      <c r="ADP165" s="255"/>
      <c r="ADQ165" s="255"/>
      <c r="ADR165" s="255"/>
      <c r="ADS165" s="255"/>
      <c r="ADT165" s="255"/>
      <c r="ADU165" s="255"/>
      <c r="ADV165" s="255"/>
      <c r="ADW165" s="255"/>
      <c r="ADX165" s="255"/>
      <c r="ADY165" s="255"/>
      <c r="ADZ165" s="255"/>
      <c r="AEA165" s="255"/>
      <c r="AEB165" s="255"/>
      <c r="AEC165" s="255"/>
      <c r="AED165" s="255"/>
      <c r="AEE165" s="255"/>
      <c r="AEF165" s="255"/>
      <c r="AEG165" s="255"/>
      <c r="AEH165" s="255"/>
      <c r="AEI165" s="255"/>
      <c r="AEJ165" s="255"/>
      <c r="AEK165" s="255"/>
      <c r="AEL165" s="255"/>
      <c r="AEM165" s="255"/>
      <c r="AEN165" s="255"/>
      <c r="AEO165" s="255"/>
      <c r="AEP165" s="255"/>
      <c r="AEQ165" s="255"/>
      <c r="AER165" s="255"/>
      <c r="AES165" s="255"/>
      <c r="AET165" s="255"/>
      <c r="AEU165" s="255"/>
      <c r="AEV165" s="255"/>
      <c r="AEW165" s="255"/>
      <c r="AEX165" s="255"/>
      <c r="AEY165" s="255"/>
      <c r="AEZ165" s="255"/>
      <c r="AFA165" s="255"/>
      <c r="AFB165" s="255"/>
      <c r="AFC165" s="255"/>
      <c r="AFD165" s="255"/>
      <c r="AFE165" s="255"/>
      <c r="AFF165" s="255"/>
      <c r="AFG165" s="255"/>
      <c r="AFH165" s="255"/>
      <c r="AFI165" s="255"/>
      <c r="AFJ165" s="255"/>
      <c r="AFK165" s="255"/>
      <c r="AFL165" s="255"/>
      <c r="AFM165" s="255"/>
      <c r="AFN165" s="255"/>
      <c r="AFO165" s="255"/>
      <c r="AFP165" s="255"/>
      <c r="AFQ165" s="255"/>
      <c r="AFR165" s="255"/>
      <c r="AFS165" s="255"/>
      <c r="AFT165" s="255"/>
      <c r="AFU165" s="255"/>
      <c r="AFV165" s="255"/>
      <c r="AFW165" s="255"/>
      <c r="AFX165" s="255"/>
      <c r="AFY165" s="255"/>
      <c r="AFZ165" s="255"/>
      <c r="AGA165" s="255"/>
      <c r="AGB165" s="255"/>
      <c r="AGC165" s="255"/>
      <c r="AGD165" s="255"/>
      <c r="AGE165" s="255"/>
      <c r="AGF165" s="255"/>
      <c r="AGG165" s="255"/>
      <c r="AGH165" s="255"/>
      <c r="AGI165" s="255"/>
      <c r="AGJ165" s="255"/>
      <c r="AGK165" s="255"/>
      <c r="AGL165" s="255"/>
      <c r="AGM165" s="255"/>
      <c r="AGN165" s="255"/>
      <c r="AGO165" s="255"/>
      <c r="AGP165" s="255"/>
      <c r="AGQ165" s="255"/>
      <c r="AGR165" s="255"/>
      <c r="AGS165" s="255"/>
      <c r="AGT165" s="255"/>
      <c r="AGU165" s="255"/>
      <c r="AGV165" s="255"/>
      <c r="AGW165" s="255"/>
      <c r="AGX165" s="255"/>
      <c r="AGY165" s="255"/>
      <c r="AGZ165" s="255"/>
      <c r="AHA165" s="255"/>
      <c r="AHB165" s="255"/>
      <c r="AHC165" s="255"/>
      <c r="AHD165" s="255"/>
      <c r="AHE165" s="255"/>
      <c r="AHF165" s="255"/>
      <c r="AHG165" s="255"/>
      <c r="AHH165" s="255"/>
      <c r="AHI165" s="255"/>
      <c r="AHJ165" s="255"/>
      <c r="AHK165" s="255"/>
      <c r="AHL165" s="255"/>
      <c r="AHM165" s="255"/>
      <c r="AHN165" s="255"/>
      <c r="AHO165" s="255"/>
      <c r="AHP165" s="255"/>
      <c r="AHQ165" s="255"/>
      <c r="AHR165" s="255"/>
      <c r="AHS165" s="255"/>
      <c r="AHT165" s="255"/>
      <c r="AHU165" s="255"/>
      <c r="AHV165" s="255"/>
      <c r="AHW165" s="255"/>
      <c r="AHX165" s="255"/>
      <c r="AHY165" s="255"/>
      <c r="AHZ165" s="255"/>
      <c r="AIA165" s="255"/>
      <c r="AIB165" s="255"/>
      <c r="AIC165" s="255"/>
      <c r="AID165" s="255"/>
      <c r="AIE165" s="255"/>
      <c r="AIF165" s="255"/>
      <c r="AIG165" s="255"/>
      <c r="AIH165" s="255"/>
      <c r="AII165" s="255"/>
      <c r="AIJ165" s="255"/>
      <c r="AIK165" s="255"/>
      <c r="AIL165" s="255"/>
      <c r="AIM165" s="255"/>
      <c r="AIN165" s="255"/>
      <c r="AIO165" s="255"/>
      <c r="AIP165" s="255"/>
      <c r="AIQ165" s="255"/>
      <c r="AIR165" s="255"/>
      <c r="AIS165" s="255"/>
      <c r="AIT165" s="255"/>
      <c r="AIU165" s="255"/>
      <c r="AIV165" s="255"/>
      <c r="AIW165" s="255"/>
      <c r="AIX165" s="255"/>
      <c r="AIY165" s="255"/>
      <c r="AIZ165" s="255"/>
      <c r="AJA165" s="255"/>
      <c r="AJB165" s="255"/>
      <c r="AJC165" s="255"/>
      <c r="AJD165" s="255"/>
      <c r="AJE165" s="255"/>
      <c r="AJF165" s="255"/>
      <c r="AJG165" s="255"/>
      <c r="AJH165" s="255"/>
      <c r="AJI165" s="255"/>
      <c r="AJJ165" s="255"/>
      <c r="AJK165" s="255"/>
      <c r="AJL165" s="255"/>
      <c r="AJM165" s="255"/>
      <c r="AJN165" s="255"/>
      <c r="AJO165" s="255"/>
      <c r="AJP165" s="255"/>
      <c r="AJQ165" s="255"/>
      <c r="AJR165" s="255"/>
      <c r="AJS165" s="255"/>
      <c r="AJT165" s="255"/>
      <c r="AJU165" s="255"/>
      <c r="AJV165" s="255"/>
      <c r="AJW165" s="255"/>
      <c r="AJX165" s="255"/>
      <c r="AJY165" s="255"/>
      <c r="AJZ165" s="255"/>
      <c r="AKA165" s="255"/>
      <c r="AKB165" s="255"/>
      <c r="AKC165" s="255"/>
      <c r="AKD165" s="255"/>
      <c r="AKE165" s="255"/>
      <c r="AKF165" s="255"/>
      <c r="AKG165" s="255"/>
      <c r="AKH165" s="255"/>
      <c r="AKI165" s="255"/>
      <c r="AKJ165" s="255"/>
      <c r="AKK165" s="255"/>
      <c r="AKL165" s="255"/>
      <c r="AKM165" s="255"/>
      <c r="AKN165" s="255"/>
      <c r="AKO165" s="255"/>
      <c r="AKP165" s="255"/>
      <c r="AKQ165" s="255"/>
      <c r="AKR165" s="255"/>
      <c r="AKS165" s="255"/>
      <c r="AKT165" s="255"/>
      <c r="AKU165" s="255"/>
      <c r="AKV165" s="255"/>
      <c r="AKW165" s="255"/>
      <c r="AKX165" s="255"/>
      <c r="AKY165" s="255"/>
      <c r="AKZ165" s="255"/>
      <c r="ALA165" s="255"/>
      <c r="ALB165" s="255"/>
      <c r="ALC165" s="255"/>
      <c r="ALD165" s="255"/>
      <c r="ALE165" s="42"/>
      <c r="ALF165" s="42"/>
      <c r="ALG165" s="42"/>
      <c r="ALH165" s="42"/>
      <c r="ALI165" s="42"/>
      <c r="ALJ165" s="42"/>
      <c r="ALK165" s="42"/>
      <c r="ALL165" s="42"/>
      <c r="ALM165" s="42"/>
    </row>
    <row r="166" spans="1:1001" s="1" customFormat="1" ht="15">
      <c r="A166" s="680" t="s">
        <v>6928</v>
      </c>
      <c r="B166" s="680"/>
      <c r="C166" s="680"/>
      <c r="D166" s="680"/>
      <c r="E166" s="680"/>
      <c r="F166" s="680"/>
      <c r="G166" s="680"/>
      <c r="H166" s="680"/>
      <c r="I166" s="680"/>
      <c r="J166" s="281">
        <f>J162+J157+J146+J143+J136+J132+J129+J126+J112+J93+J19+J15</f>
        <v>216049.72145670999</v>
      </c>
      <c r="K166" s="255"/>
      <c r="L166" s="255"/>
      <c r="M166" s="255"/>
      <c r="N166" s="255"/>
      <c r="O166" s="257"/>
      <c r="P166" s="257"/>
    </row>
    <row r="167" spans="1:1001">
      <c r="K167" s="255"/>
      <c r="L167" s="255"/>
      <c r="M167" s="255"/>
      <c r="N167" s="255"/>
      <c r="O167" s="257"/>
      <c r="P167" s="257"/>
    </row>
    <row r="168" spans="1:1001" ht="13.5">
      <c r="A168" s="98"/>
      <c r="B168" s="87"/>
      <c r="C168" s="12"/>
      <c r="K168" s="255"/>
      <c r="L168" s="255"/>
      <c r="M168" s="255"/>
      <c r="N168" s="255"/>
      <c r="O168" s="257"/>
      <c r="P168" s="257"/>
    </row>
    <row r="169" spans="1:1001" ht="13.5">
      <c r="A169" s="98"/>
      <c r="B169" s="87"/>
      <c r="C169" s="12"/>
      <c r="K169" s="255"/>
      <c r="L169" s="255"/>
      <c r="M169" s="255"/>
      <c r="N169" s="255"/>
      <c r="O169" s="257"/>
      <c r="P169" s="257"/>
    </row>
    <row r="170" spans="1:1001" ht="13.5">
      <c r="B170" s="98"/>
      <c r="C170" s="87"/>
      <c r="D170" s="12"/>
      <c r="K170" s="255"/>
      <c r="L170" s="255"/>
      <c r="M170" s="255"/>
      <c r="N170" s="255"/>
      <c r="O170" s="257"/>
      <c r="P170" s="257"/>
    </row>
    <row r="171" spans="1:1001" ht="13.5">
      <c r="B171" s="98"/>
      <c r="C171" s="87"/>
      <c r="D171" s="12"/>
      <c r="K171" s="255"/>
      <c r="L171" s="255"/>
      <c r="M171" s="255"/>
      <c r="N171" s="255"/>
      <c r="O171" s="257"/>
      <c r="P171" s="257"/>
    </row>
    <row r="172" spans="1:1001" ht="13.5">
      <c r="B172" s="98"/>
      <c r="C172" s="87"/>
      <c r="D172" s="12"/>
      <c r="K172" s="255"/>
      <c r="L172" s="255"/>
      <c r="M172" s="255"/>
      <c r="N172" s="255"/>
      <c r="O172" s="257"/>
      <c r="P172" s="257"/>
    </row>
    <row r="173" spans="1:1001" ht="13.5">
      <c r="B173" s="98"/>
      <c r="C173" s="87"/>
      <c r="D173" s="12"/>
      <c r="K173" s="255"/>
      <c r="L173" s="255"/>
      <c r="M173" s="255"/>
      <c r="N173" s="255"/>
      <c r="O173" s="257"/>
      <c r="P173" s="257"/>
    </row>
    <row r="174" spans="1:1001" ht="13.5">
      <c r="B174" s="98"/>
      <c r="C174" s="87"/>
      <c r="D174" s="12"/>
      <c r="K174" s="255"/>
      <c r="L174" s="255"/>
      <c r="M174" s="255"/>
      <c r="N174" s="255"/>
      <c r="O174" s="257"/>
      <c r="P174" s="257"/>
    </row>
    <row r="175" spans="1:1001" ht="13.5">
      <c r="B175" s="98"/>
      <c r="C175" s="87"/>
      <c r="D175" s="12"/>
      <c r="K175" s="255"/>
      <c r="L175" s="255"/>
      <c r="M175" s="255"/>
      <c r="N175" s="255"/>
      <c r="O175" s="257"/>
      <c r="P175" s="257"/>
    </row>
    <row r="176" spans="1:1001" ht="13.5">
      <c r="B176" s="98"/>
      <c r="C176" s="87"/>
      <c r="D176" s="12"/>
      <c r="K176" s="255"/>
      <c r="L176" s="255"/>
      <c r="M176" s="255"/>
      <c r="N176" s="255"/>
      <c r="O176" s="257"/>
      <c r="P176" s="257"/>
    </row>
    <row r="177" spans="2:16" ht="13.5">
      <c r="B177" s="98"/>
      <c r="C177" s="87"/>
      <c r="D177" s="12"/>
      <c r="K177" s="255"/>
      <c r="L177" s="255"/>
      <c r="M177" s="255"/>
      <c r="N177" s="255"/>
      <c r="O177" s="257"/>
      <c r="P177" s="257"/>
    </row>
    <row r="178" spans="2:16" ht="13.5">
      <c r="B178" s="98"/>
      <c r="C178" s="87"/>
      <c r="D178" s="12"/>
      <c r="K178" s="255"/>
      <c r="L178" s="255"/>
      <c r="M178" s="255"/>
      <c r="N178" s="255"/>
      <c r="O178" s="257"/>
      <c r="P178" s="257"/>
    </row>
    <row r="179" spans="2:16" ht="13.5">
      <c r="B179" s="98"/>
      <c r="C179" s="87"/>
      <c r="D179" s="12"/>
      <c r="K179" s="255"/>
      <c r="L179" s="255"/>
      <c r="M179" s="255"/>
      <c r="N179" s="255"/>
      <c r="O179" s="257"/>
      <c r="P179" s="257"/>
    </row>
    <row r="180" spans="2:16">
      <c r="K180" s="255"/>
      <c r="L180" s="255"/>
      <c r="M180" s="255"/>
      <c r="N180" s="255"/>
      <c r="O180" s="257"/>
      <c r="P180" s="257"/>
    </row>
    <row r="181" spans="2:16">
      <c r="K181" s="255"/>
      <c r="L181" s="255"/>
      <c r="M181" s="255"/>
      <c r="N181" s="255"/>
      <c r="O181" s="257"/>
      <c r="P181" s="257"/>
    </row>
    <row r="182" spans="2:16">
      <c r="K182" s="255"/>
      <c r="L182" s="255"/>
      <c r="M182" s="255"/>
      <c r="N182" s="255"/>
      <c r="O182" s="257"/>
      <c r="P182" s="257"/>
    </row>
    <row r="183" spans="2:16">
      <c r="K183" s="255"/>
      <c r="L183" s="255"/>
      <c r="M183" s="255"/>
      <c r="N183" s="255"/>
      <c r="O183" s="257"/>
      <c r="P183" s="257"/>
    </row>
    <row r="184" spans="2:16">
      <c r="K184" s="255"/>
      <c r="L184" s="255"/>
      <c r="M184" s="255"/>
      <c r="N184" s="255"/>
      <c r="O184" s="257"/>
      <c r="P184" s="257"/>
    </row>
    <row r="185" spans="2:16">
      <c r="K185" s="255"/>
      <c r="L185" s="255"/>
      <c r="M185" s="255"/>
      <c r="N185" s="255"/>
      <c r="O185" s="257"/>
      <c r="P185" s="257"/>
    </row>
    <row r="186" spans="2:16">
      <c r="K186" s="255"/>
      <c r="L186" s="255"/>
      <c r="M186" s="255"/>
      <c r="N186" s="255"/>
      <c r="O186" s="257"/>
      <c r="P186" s="257"/>
    </row>
    <row r="187" spans="2:16">
      <c r="K187" s="255"/>
      <c r="L187" s="255"/>
      <c r="M187" s="255"/>
      <c r="N187" s="255"/>
      <c r="O187" s="257"/>
      <c r="P187" s="257"/>
    </row>
    <row r="188" spans="2:16">
      <c r="K188" s="255"/>
      <c r="L188" s="255"/>
      <c r="M188" s="255"/>
      <c r="N188" s="255"/>
      <c r="O188" s="257"/>
      <c r="P188" s="257"/>
    </row>
    <row r="189" spans="2:16">
      <c r="K189" s="255"/>
      <c r="L189" s="255"/>
      <c r="M189" s="255"/>
      <c r="N189" s="255"/>
      <c r="O189" s="257"/>
      <c r="P189" s="257"/>
    </row>
    <row r="190" spans="2:16">
      <c r="K190" s="255"/>
      <c r="L190" s="255"/>
      <c r="M190" s="255"/>
      <c r="N190" s="255"/>
      <c r="O190" s="257"/>
      <c r="P190" s="257"/>
    </row>
    <row r="191" spans="2:16">
      <c r="K191" s="255"/>
      <c r="L191" s="255"/>
      <c r="M191" s="255"/>
      <c r="N191" s="255"/>
      <c r="O191" s="257"/>
      <c r="P191" s="257"/>
    </row>
    <row r="192" spans="2:16">
      <c r="K192" s="255"/>
      <c r="L192" s="255"/>
      <c r="M192" s="255"/>
      <c r="N192" s="255"/>
      <c r="O192" s="257"/>
      <c r="P192" s="257"/>
    </row>
    <row r="193" spans="11:16">
      <c r="K193" s="255"/>
      <c r="L193" s="255"/>
      <c r="M193" s="255"/>
      <c r="N193" s="255"/>
      <c r="O193" s="257"/>
      <c r="P193" s="257"/>
    </row>
    <row r="194" spans="11:16">
      <c r="K194" s="255"/>
      <c r="L194" s="255"/>
      <c r="M194" s="255"/>
      <c r="N194" s="255"/>
      <c r="O194" s="257"/>
      <c r="P194" s="257"/>
    </row>
    <row r="195" spans="11:16">
      <c r="K195" s="255"/>
      <c r="L195" s="255"/>
      <c r="M195" s="255"/>
      <c r="N195" s="255"/>
      <c r="O195" s="257"/>
      <c r="P195" s="257"/>
    </row>
    <row r="196" spans="11:16">
      <c r="K196" s="255"/>
      <c r="L196" s="255"/>
      <c r="M196" s="255"/>
      <c r="N196" s="255"/>
      <c r="O196" s="257"/>
      <c r="P196" s="257"/>
    </row>
    <row r="197" spans="11:16">
      <c r="K197" s="255"/>
      <c r="L197" s="255"/>
      <c r="M197" s="255"/>
      <c r="N197" s="255"/>
      <c r="O197" s="257"/>
      <c r="P197" s="257"/>
    </row>
    <row r="198" spans="11:16">
      <c r="K198" s="255"/>
      <c r="L198" s="255"/>
      <c r="M198" s="255"/>
      <c r="N198" s="255"/>
      <c r="O198" s="257"/>
      <c r="P198" s="257"/>
    </row>
    <row r="199" spans="11:16">
      <c r="K199" s="255"/>
      <c r="L199" s="255"/>
      <c r="M199" s="255"/>
      <c r="N199" s="255"/>
      <c r="O199" s="257"/>
      <c r="P199" s="257"/>
    </row>
    <row r="200" spans="11:16">
      <c r="K200" s="255"/>
      <c r="L200" s="255"/>
      <c r="M200" s="255"/>
      <c r="N200" s="255"/>
      <c r="O200" s="257"/>
      <c r="P200" s="257"/>
    </row>
    <row r="201" spans="11:16">
      <c r="K201" s="255"/>
      <c r="L201" s="255"/>
      <c r="M201" s="255"/>
      <c r="N201" s="255"/>
      <c r="O201" s="257"/>
      <c r="P201" s="257"/>
    </row>
    <row r="202" spans="11:16">
      <c r="K202" s="255"/>
      <c r="L202" s="255"/>
      <c r="M202" s="255"/>
      <c r="N202" s="255"/>
      <c r="O202" s="257"/>
      <c r="P202" s="257"/>
    </row>
    <row r="203" spans="11:16">
      <c r="K203" s="255"/>
      <c r="L203" s="255"/>
      <c r="M203" s="255"/>
      <c r="N203" s="255"/>
      <c r="O203" s="257"/>
      <c r="P203" s="257"/>
    </row>
    <row r="204" spans="11:16">
      <c r="K204" s="255"/>
      <c r="L204" s="255"/>
      <c r="M204" s="255"/>
      <c r="N204" s="255"/>
      <c r="O204" s="257"/>
      <c r="P204" s="257"/>
    </row>
    <row r="205" spans="11:16">
      <c r="K205" s="255"/>
      <c r="L205" s="255"/>
      <c r="M205" s="255"/>
      <c r="N205" s="255"/>
      <c r="O205" s="257"/>
      <c r="P205" s="257"/>
    </row>
    <row r="206" spans="11:16">
      <c r="K206" s="255"/>
      <c r="L206" s="255"/>
      <c r="M206" s="255"/>
      <c r="N206" s="255"/>
      <c r="O206" s="257"/>
      <c r="P206" s="257"/>
    </row>
    <row r="207" spans="11:16">
      <c r="K207" s="255"/>
      <c r="L207" s="255"/>
      <c r="M207" s="255"/>
      <c r="N207" s="255"/>
      <c r="O207" s="257"/>
      <c r="P207" s="257"/>
    </row>
    <row r="208" spans="11:16">
      <c r="K208" s="255"/>
      <c r="L208" s="255"/>
      <c r="M208" s="255"/>
      <c r="N208" s="255"/>
      <c r="O208" s="257"/>
      <c r="P208" s="257"/>
    </row>
    <row r="209" spans="11:16">
      <c r="K209" s="255"/>
      <c r="L209" s="255"/>
      <c r="M209" s="255"/>
      <c r="N209" s="255"/>
      <c r="O209" s="257"/>
      <c r="P209" s="257"/>
    </row>
    <row r="210" spans="11:16">
      <c r="K210" s="255"/>
      <c r="L210" s="255"/>
      <c r="M210" s="255"/>
      <c r="N210" s="255"/>
      <c r="O210" s="257"/>
      <c r="P210" s="257"/>
    </row>
    <row r="211" spans="11:16">
      <c r="K211" s="255"/>
      <c r="L211" s="255"/>
      <c r="M211" s="255"/>
      <c r="N211" s="255"/>
      <c r="O211" s="257"/>
      <c r="P211" s="257"/>
    </row>
    <row r="212" spans="11:16">
      <c r="K212" s="255"/>
      <c r="L212" s="255"/>
      <c r="M212" s="255"/>
      <c r="N212" s="255"/>
      <c r="O212" s="257"/>
      <c r="P212" s="257"/>
    </row>
    <row r="213" spans="11:16">
      <c r="K213" s="255"/>
      <c r="L213" s="255"/>
      <c r="M213" s="255"/>
      <c r="N213" s="255"/>
      <c r="O213" s="257"/>
      <c r="P213" s="257"/>
    </row>
    <row r="214" spans="11:16">
      <c r="K214" s="255"/>
      <c r="L214" s="255"/>
      <c r="M214" s="255"/>
      <c r="N214" s="255"/>
      <c r="O214" s="257"/>
      <c r="P214" s="257"/>
    </row>
    <row r="215" spans="11:16">
      <c r="K215" s="255"/>
      <c r="L215" s="255"/>
      <c r="M215" s="255"/>
      <c r="N215" s="255"/>
      <c r="O215" s="257"/>
      <c r="P215" s="257"/>
    </row>
  </sheetData>
  <mergeCells count="17">
    <mergeCell ref="A166:I166"/>
    <mergeCell ref="A143:I143"/>
    <mergeCell ref="A146:I146"/>
    <mergeCell ref="A157:I157"/>
    <mergeCell ref="A162:I162"/>
    <mergeCell ref="A164:I164"/>
    <mergeCell ref="A165:I165"/>
    <mergeCell ref="A126:I126"/>
    <mergeCell ref="A129:I129"/>
    <mergeCell ref="A132:I132"/>
    <mergeCell ref="A136:I136"/>
    <mergeCell ref="A163:I163"/>
    <mergeCell ref="A1:J3"/>
    <mergeCell ref="A15:I15"/>
    <mergeCell ref="A19:I19"/>
    <mergeCell ref="A93:I93"/>
    <mergeCell ref="A112:I112"/>
  </mergeCells>
  <phoneticPr fontId="49" type="noConversion"/>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S214"/>
  <sheetViews>
    <sheetView showGridLines="0" view="pageBreakPreview" zoomScaleNormal="82" zoomScaleSheetLayoutView="100" workbookViewId="0">
      <selection activeCell="C13" sqref="C13"/>
    </sheetView>
  </sheetViews>
  <sheetFormatPr defaultColWidth="9.140625" defaultRowHeight="12.75"/>
  <cols>
    <col min="1" max="1" width="10.7109375" style="16" customWidth="1"/>
    <col min="2" max="2" width="10.7109375" style="33" customWidth="1"/>
    <col min="3" max="3" width="70.7109375" style="33" customWidth="1"/>
    <col min="4" max="4" width="4.7109375" style="16" customWidth="1"/>
    <col min="5" max="7" width="11.7109375" style="24" customWidth="1"/>
    <col min="8" max="8" width="11.7109375" style="90" customWidth="1"/>
    <col min="9" max="10" width="14.28515625" style="24" customWidth="1"/>
    <col min="11" max="13" width="12.140625" style="14" bestFit="1" customWidth="1"/>
    <col min="14" max="15" width="9.140625" style="14"/>
    <col min="16" max="16" width="9.140625" style="223"/>
    <col min="17" max="1007" width="9.140625" style="14"/>
    <col min="1008" max="16384" width="9.140625" style="18"/>
  </cols>
  <sheetData>
    <row r="1" spans="1:16" ht="24.95" customHeight="1">
      <c r="A1" s="681"/>
      <c r="B1" s="682"/>
      <c r="C1" s="682"/>
      <c r="D1" s="682"/>
      <c r="E1" s="682"/>
      <c r="F1" s="682"/>
      <c r="G1" s="682"/>
      <c r="H1" s="682"/>
      <c r="I1" s="682"/>
      <c r="J1" s="683"/>
    </row>
    <row r="2" spans="1:16" ht="24.95" customHeight="1">
      <c r="A2" s="684"/>
      <c r="B2" s="685"/>
      <c r="C2" s="685"/>
      <c r="D2" s="685"/>
      <c r="E2" s="685"/>
      <c r="F2" s="685"/>
      <c r="G2" s="685"/>
      <c r="H2" s="685"/>
      <c r="I2" s="685"/>
      <c r="J2" s="686"/>
    </row>
    <row r="3" spans="1:16" ht="24.95" customHeight="1">
      <c r="A3" s="687"/>
      <c r="B3" s="688"/>
      <c r="C3" s="688"/>
      <c r="D3" s="688"/>
      <c r="E3" s="688"/>
      <c r="F3" s="688"/>
      <c r="G3" s="688"/>
      <c r="H3" s="688"/>
      <c r="I3" s="688"/>
      <c r="J3" s="689"/>
    </row>
    <row r="4" spans="1:16" ht="14.1" customHeight="1">
      <c r="A4" s="426" t="s">
        <v>6295</v>
      </c>
      <c r="B4" s="443"/>
      <c r="C4" s="422" t="str">
        <f>+RESUMO!B5</f>
        <v>CONCLUSÃO DA CONSTRUÇÃO DO CENTRO DE ATENDIMENTO SÓCIO EDUCATIVO - CASE ITUMBIARA</v>
      </c>
      <c r="D4" s="422"/>
      <c r="E4" s="445"/>
      <c r="F4" s="445"/>
      <c r="G4" s="445"/>
      <c r="H4" s="446"/>
      <c r="I4" s="445"/>
      <c r="J4" s="447"/>
    </row>
    <row r="5" spans="1:16" ht="14.85" customHeight="1">
      <c r="A5" s="426" t="s">
        <v>6297</v>
      </c>
      <c r="B5" s="443"/>
      <c r="C5" s="422" t="str">
        <f>+RESUMO!B6</f>
        <v>SINAPI – NOVEMBRO/2020 (ONERADA)</v>
      </c>
      <c r="D5" s="422"/>
      <c r="E5" s="445"/>
      <c r="F5" s="445"/>
      <c r="G5" s="445"/>
      <c r="H5" s="446"/>
      <c r="I5" s="445"/>
      <c r="J5" s="447"/>
    </row>
    <row r="6" spans="1:16" ht="14.85" customHeight="1">
      <c r="A6" s="448" t="s">
        <v>5545</v>
      </c>
      <c r="B6" s="449"/>
      <c r="C6" s="422" t="str">
        <f>+RESUMO!B7</f>
        <v>MAIO / 2021</v>
      </c>
      <c r="D6" s="450"/>
      <c r="E6" s="451"/>
      <c r="F6" s="451"/>
      <c r="G6" s="451"/>
      <c r="H6" s="446"/>
      <c r="I6" s="451"/>
      <c r="J6" s="452"/>
    </row>
    <row r="7" spans="1:16" ht="14.85" customHeight="1">
      <c r="A7" s="448" t="s">
        <v>6298</v>
      </c>
      <c r="B7" s="443"/>
      <c r="C7" s="453">
        <v>2.02000036012687E+18</v>
      </c>
      <c r="D7" s="422"/>
      <c r="E7" s="445"/>
      <c r="F7" s="445"/>
      <c r="G7" s="445"/>
      <c r="H7" s="446"/>
      <c r="I7" s="445"/>
      <c r="J7" s="447"/>
    </row>
    <row r="8" spans="1:16" ht="14.85" customHeight="1">
      <c r="A8" s="448" t="s">
        <v>6299</v>
      </c>
      <c r="B8" s="443"/>
      <c r="C8" s="444" t="s">
        <v>6930</v>
      </c>
      <c r="D8" s="422"/>
      <c r="E8" s="445"/>
      <c r="F8" s="445"/>
      <c r="G8" s="445"/>
      <c r="H8" s="446"/>
      <c r="I8" s="445"/>
      <c r="J8" s="447"/>
    </row>
    <row r="9" spans="1:16" ht="14.85" customHeight="1">
      <c r="A9" s="414" t="s">
        <v>6300</v>
      </c>
      <c r="B9" s="443"/>
      <c r="C9" s="444" t="s">
        <v>6310</v>
      </c>
      <c r="D9" s="422"/>
      <c r="E9" s="445"/>
      <c r="F9" s="445"/>
      <c r="G9" s="445"/>
      <c r="H9" s="446"/>
      <c r="I9" s="445"/>
      <c r="J9" s="447"/>
    </row>
    <row r="10" spans="1:16" ht="14.85" customHeight="1">
      <c r="A10" s="693"/>
      <c r="B10" s="694"/>
      <c r="C10" s="694"/>
      <c r="D10" s="694"/>
      <c r="E10" s="694"/>
      <c r="F10" s="694"/>
      <c r="G10" s="694"/>
      <c r="H10" s="694"/>
      <c r="I10" s="694"/>
      <c r="J10" s="694"/>
    </row>
    <row r="11" spans="1:16" ht="45.6" customHeight="1">
      <c r="A11" s="35" t="s">
        <v>5551</v>
      </c>
      <c r="B11" s="36" t="s">
        <v>0</v>
      </c>
      <c r="C11" s="35" t="s">
        <v>6305</v>
      </c>
      <c r="D11" s="35" t="s">
        <v>6306</v>
      </c>
      <c r="E11" s="23" t="s">
        <v>6303</v>
      </c>
      <c r="F11" s="23" t="s">
        <v>6285</v>
      </c>
      <c r="G11" s="23" t="s">
        <v>586</v>
      </c>
      <c r="H11" s="23" t="s">
        <v>6286</v>
      </c>
      <c r="I11" s="23" t="s">
        <v>7100</v>
      </c>
      <c r="J11" s="23" t="s">
        <v>6309</v>
      </c>
    </row>
    <row r="12" spans="1:16" s="30" customFormat="1" ht="12">
      <c r="A12" s="294"/>
      <c r="B12" s="321"/>
      <c r="C12" s="322"/>
      <c r="D12" s="297"/>
      <c r="E12" s="323"/>
      <c r="F12" s="323"/>
      <c r="G12" s="323"/>
      <c r="H12" s="324"/>
      <c r="I12" s="323"/>
      <c r="J12" s="323"/>
      <c r="P12" s="258"/>
    </row>
    <row r="13" spans="1:16" s="30" customFormat="1" ht="12">
      <c r="A13" s="251"/>
      <c r="B13" s="290">
        <v>165</v>
      </c>
      <c r="C13" s="273" t="s">
        <v>611</v>
      </c>
      <c r="D13" s="274"/>
      <c r="E13" s="276"/>
      <c r="F13" s="276"/>
      <c r="G13" s="276"/>
      <c r="H13" s="276"/>
      <c r="I13" s="280"/>
      <c r="J13" s="280"/>
      <c r="P13" s="258"/>
    </row>
    <row r="14" spans="1:16" s="30" customFormat="1" ht="24">
      <c r="A14" s="251" t="s">
        <v>6307</v>
      </c>
      <c r="B14" s="313">
        <v>450</v>
      </c>
      <c r="C14" s="301"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279">
        <f>90*0.07*0.5</f>
        <v>3.1500000000000004</v>
      </c>
      <c r="F14" s="279">
        <f>(IF($A14="SINAPI",INDEX(SINAPI_NOV2020_NDES!$A$7:$H$6703,MATCH($B14,SINAPI_NOV2020_NDES!$A$7:$A$6703,0),5),(INDEX(COMPOS!$A$4:$G$801,MATCH($B14,COMPOS!$A$4:A$801,0),4))))</f>
        <v>10.879199999999999</v>
      </c>
      <c r="G14" s="279">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192.99798000000001</v>
      </c>
      <c r="O14" s="256"/>
      <c r="P14" s="258"/>
    </row>
    <row r="15" spans="1:16" s="88" customFormat="1" ht="24" customHeight="1">
      <c r="A15" s="680" t="s">
        <v>6927</v>
      </c>
      <c r="B15" s="680"/>
      <c r="C15" s="680"/>
      <c r="D15" s="680"/>
      <c r="E15" s="680"/>
      <c r="F15" s="680"/>
      <c r="G15" s="680"/>
      <c r="H15" s="680"/>
      <c r="I15" s="680"/>
      <c r="J15" s="281">
        <f>SUM(J14)</f>
        <v>192.99798000000001</v>
      </c>
      <c r="K15" s="30"/>
      <c r="L15" s="30"/>
      <c r="M15" s="30"/>
      <c r="N15" s="30"/>
      <c r="O15" s="30"/>
      <c r="P15" s="258"/>
    </row>
    <row r="16" spans="1:16" s="30" customFormat="1" ht="12">
      <c r="A16" s="251"/>
      <c r="B16" s="290">
        <v>166</v>
      </c>
      <c r="C16" s="273" t="s">
        <v>609</v>
      </c>
      <c r="D16" s="274"/>
      <c r="E16" s="276"/>
      <c r="F16" s="276"/>
      <c r="G16" s="276"/>
      <c r="H16" s="276"/>
      <c r="I16" s="280"/>
      <c r="J16" s="280"/>
      <c r="P16" s="258"/>
    </row>
    <row r="17" spans="1:1007" s="30" customFormat="1" ht="24">
      <c r="A17" s="251" t="s">
        <v>6307</v>
      </c>
      <c r="B17" s="313">
        <v>305</v>
      </c>
      <c r="C17" s="301"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25">
        <f>10.42+4.7/2</f>
        <v>12.77</v>
      </c>
      <c r="F17" s="279">
        <f>(IF($A17="SINAPI",INDEX(SINAPI_NOV2020_NDES!$A$7:$H$6703,MATCH($B17,SINAPI_NOV2020_NDES!$A$7:$A$6703,0),5),(INDEX(COMPOS!$A$4:$G$801,MATCH($B17,COMPOS!$A$4:A$801,0),4))))</f>
        <v>2.842123</v>
      </c>
      <c r="G17" s="279">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36.293910709999999</v>
      </c>
      <c r="O17" s="256"/>
      <c r="P17" s="258"/>
    </row>
    <row r="18" spans="1:1007" s="30" customFormat="1" ht="12">
      <c r="A18" s="251" t="s">
        <v>6307</v>
      </c>
      <c r="B18" s="313">
        <v>302</v>
      </c>
      <c r="C18" s="301"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25">
        <v>12.77</v>
      </c>
      <c r="F18" s="279">
        <f>(IF($A18="SINAPI",INDEX(SINAPI_NOV2020_NDES!$A$7:$H$6703,MATCH($B18,SINAPI_NOV2020_NDES!$A$7:$A$6703,0),5),(INDEX(COMPOS!$A$4:$G$801,MATCH($B18,COMPOS!$A$4:A$801,0),4))))</f>
        <v>6.0440000000000005</v>
      </c>
      <c r="G18" s="279">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6.0440000000000005</v>
      </c>
      <c r="J18" s="279">
        <f>+I18*E18</f>
        <v>77.181880000000007</v>
      </c>
      <c r="O18" s="256"/>
      <c r="P18" s="258"/>
    </row>
    <row r="19" spans="1:1007" s="88" customFormat="1" ht="24" customHeight="1">
      <c r="A19" s="680" t="s">
        <v>6927</v>
      </c>
      <c r="B19" s="680"/>
      <c r="C19" s="680"/>
      <c r="D19" s="680"/>
      <c r="E19" s="680"/>
      <c r="F19" s="680"/>
      <c r="G19" s="680"/>
      <c r="H19" s="680"/>
      <c r="I19" s="680"/>
      <c r="J19" s="281">
        <f>SUM(J17:J18)</f>
        <v>113.47579071000001</v>
      </c>
      <c r="K19" s="30"/>
      <c r="L19" s="30"/>
      <c r="M19" s="30"/>
      <c r="N19" s="30"/>
      <c r="O19" s="30"/>
      <c r="P19" s="258"/>
    </row>
    <row r="20" spans="1:1007">
      <c r="A20" s="251"/>
      <c r="B20" s="290">
        <v>169</v>
      </c>
      <c r="C20" s="273" t="s">
        <v>605</v>
      </c>
      <c r="D20" s="274" t="s">
        <v>6922</v>
      </c>
      <c r="E20" s="276"/>
      <c r="F20" s="276"/>
      <c r="G20" s="276"/>
      <c r="H20" s="276"/>
      <c r="I20" s="280"/>
      <c r="J20" s="280"/>
      <c r="K20" s="30"/>
      <c r="L20" s="30"/>
      <c r="M20" s="30"/>
      <c r="N20" s="30"/>
      <c r="O20" s="30"/>
      <c r="P20" s="258"/>
      <c r="ALS20" s="18"/>
    </row>
    <row r="21" spans="1:1007">
      <c r="A21" s="251"/>
      <c r="B21" s="290"/>
      <c r="C21" s="273" t="s">
        <v>6946</v>
      </c>
      <c r="D21" s="274"/>
      <c r="E21" s="276"/>
      <c r="F21" s="276"/>
      <c r="G21" s="276"/>
      <c r="H21" s="276"/>
      <c r="I21" s="280"/>
      <c r="J21" s="280"/>
      <c r="K21" s="30"/>
      <c r="L21" s="30"/>
      <c r="M21" s="30"/>
      <c r="N21" s="30"/>
      <c r="O21" s="256"/>
      <c r="P21" s="258"/>
      <c r="ALK21" s="42"/>
      <c r="ALL21" s="42"/>
      <c r="ALM21" s="42"/>
      <c r="ALN21" s="42"/>
      <c r="ALO21" s="42"/>
      <c r="ALP21" s="42"/>
      <c r="ALQ21" s="42"/>
      <c r="ALR21" s="42"/>
      <c r="ALS21" s="42"/>
    </row>
    <row r="22" spans="1:1007" s="30" customFormat="1" ht="24">
      <c r="A22" s="251" t="s">
        <v>7</v>
      </c>
      <c r="B22" s="313">
        <v>96973</v>
      </c>
      <c r="C22" s="301" t="str">
        <f>(IF($A22="SINAPI",INDEX(SINAPI_NOV2020_NDES!$A$7:$H$6703,MATCH($B22,SINAPI_NOV2020_NDES!$A$7:$A$6703,0),2),IF($A22="GOINFRA",INDEX(#REF!,MATCH($B22,#REF!,0),2),(INDEX(COMPOS!$A$4:$G$390,MATCH($B22,COMPOS!$A$4:A$390,0),2)))))</f>
        <v>CORDOALHA DE COBRE NU 35 MM², NÃO ENTERRADA, COM ISOLADOR - FORNECIMENTO E INSTALAÇÃO. AF_12/2017</v>
      </c>
      <c r="D22" s="274" t="str">
        <f>(IF($A22="SINAPI",INDEX(SINAPI_NOV2020_NDES!$A$7:$H$6790,MATCH($B22,SINAPI_NOV2020_NDES!$A$7:$A$6790,0),3),(INDEX(COMPOS!$A$4:$G$5000,MATCH($B22,COMPOS!$A$4:$A$5000,0),3))))</f>
        <v>M</v>
      </c>
      <c r="E22" s="325">
        <v>150</v>
      </c>
      <c r="F22" s="279">
        <f>(IF($A22="SINAPI",INDEX(SINAPI_NOV2020_NDES!$A$7:$H$6703,MATCH($B22,SINAPI_NOV2020_NDES!$A$7:$A$6703,0),5),(INDEX(COMPOS!$A$4:$G$801,MATCH($B22,COMPOS!$A$4:A$801,0),4))))</f>
        <v>12.12</v>
      </c>
      <c r="G22" s="279">
        <f>(IF($A22="SINAPI",INDEX(SINAPI_NOV2020_NDES!$A$7:$H$6703,MATCH($B22,SINAPI_NOV2020_NDES!$A$7:$A$6703,0),6),(INDEX(COMPOS!$A$4:$G$801,MATCH($B22,COMPOS!$A$4:A$801,0),5))))</f>
        <v>32.340000000000003</v>
      </c>
      <c r="H22" s="280">
        <f>(IF($A22="SINAPI",INDEX(SINAPI_NOV2020_NDES!$A$7:$H$6703,MATCH($B22,SINAPI_NOV2020_NDES!$A$7:$A$6703,0),7),(INDEX(COMPOS!$A$4:$G$801,MATCH($B22,COMPOS!$A$4:A$801,0),6))))</f>
        <v>0</v>
      </c>
      <c r="I22" s="279">
        <f t="shared" ref="I22" si="5">SUM(F22:H22)</f>
        <v>44.46</v>
      </c>
      <c r="J22" s="276">
        <f t="shared" ref="J22" si="6">+I22*E22</f>
        <v>6669</v>
      </c>
      <c r="O22" s="256"/>
      <c r="P22" s="258"/>
    </row>
    <row r="23" spans="1:1007" s="30" customFormat="1" ht="24">
      <c r="A23" s="251" t="s">
        <v>7</v>
      </c>
      <c r="B23" s="313">
        <v>96974</v>
      </c>
      <c r="C23" s="301" t="str">
        <f>(IF($A23="SINAPI",INDEX(SINAPI_NOV2020_NDES!$A$7:$H$6703,MATCH($B23,SINAPI_NOV2020_NDES!$A$7:$A$6703,0),2),IF($A23="GOINFRA",INDEX(#REF!,MATCH($B23,#REF!,0),2),(INDEX(COMPOS!$A$4:$G$390,MATCH($B23,COMPOS!$A$4:A$390,0),2)))))</f>
        <v>CORDOALHA DE COBRE NU 50 MM², NÃO ENTERRADA, COM ISOLADOR - FORNECIMENTO E INSTALAÇÃO. AF_12/2017</v>
      </c>
      <c r="D23" s="274" t="str">
        <f>(IF($A23="SINAPI",INDEX(SINAPI_NOV2020_NDES!$A$7:$H$6790,MATCH($B23,SINAPI_NOV2020_NDES!$A$7:$A$6790,0),3),(INDEX(COMPOS!$A$4:$G$5000,MATCH($B23,COMPOS!$A$4:$A$5000,0),3))))</f>
        <v>M</v>
      </c>
      <c r="E23" s="325">
        <v>100</v>
      </c>
      <c r="F23" s="279">
        <f>(IF($A23="SINAPI",INDEX(SINAPI_NOV2020_NDES!$A$7:$H$6703,MATCH($B23,SINAPI_NOV2020_NDES!$A$7:$A$6703,0),5),(INDEX(COMPOS!$A$4:$G$801,MATCH($B23,COMPOS!$A$4:A$801,0),4))))</f>
        <v>14.24</v>
      </c>
      <c r="G23" s="279">
        <f>(IF($A23="SINAPI",INDEX(SINAPI_NOV2020_NDES!$A$7:$H$6703,MATCH($B23,SINAPI_NOV2020_NDES!$A$7:$A$6703,0),6),(INDEX(COMPOS!$A$4:$G$801,MATCH($B23,COMPOS!$A$4:A$801,0),5))))</f>
        <v>42.67</v>
      </c>
      <c r="H23" s="280">
        <f>(IF($A23="SINAPI",INDEX(SINAPI_NOV2020_NDES!$A$7:$H$6703,MATCH($B23,SINAPI_NOV2020_NDES!$A$7:$A$6703,0),7),(INDEX(COMPOS!$A$4:$G$801,MATCH($B23,COMPOS!$A$4:A$801,0),6))))</f>
        <v>0</v>
      </c>
      <c r="I23" s="279">
        <f t="shared" ref="I23:I30" si="7">SUM(F23:H23)</f>
        <v>56.910000000000004</v>
      </c>
      <c r="J23" s="276">
        <f t="shared" ref="J23:J30" si="8">+I23*E23</f>
        <v>5691</v>
      </c>
      <c r="O23" s="256"/>
      <c r="P23" s="258"/>
    </row>
    <row r="24" spans="1:1007" s="30" customFormat="1" ht="12">
      <c r="A24" s="251" t="s">
        <v>6307</v>
      </c>
      <c r="B24" s="313">
        <v>714</v>
      </c>
      <c r="C24" s="301" t="str">
        <f>(IF($A24="SINAPI",INDEX(SINAPI_NOV2020_NDES!$A$7:$H$6703,MATCH($B24,SINAPI_NOV2020_NDES!$A$7:$A$6703,0),2),IF($A24="GOINFRA",INDEX(#REF!,MATCH($B24,#REF!,0),2),(INDEX(COMPOS!$A$4:$G$390,MATCH($B24,COMPOS!$A$4:A$390,0),2)))))</f>
        <v>CONECTOR DE COMPRESSÃO FORMATO H PARA CABO 25 A 70 MM2</v>
      </c>
      <c r="D24" s="274" t="str">
        <f>(IF($A24="SINAPI",INDEX(SINAPI_NOV2020_NDES!$A$7:$H$6790,MATCH($B24,SINAPI_NOV2020_NDES!$A$7:$A$6790,0),3),(INDEX(COMPOS!$A$4:$G$5000,MATCH($B24,COMPOS!$A$4:$A$5000,0),3))))</f>
        <v>UN</v>
      </c>
      <c r="E24" s="325">
        <v>10</v>
      </c>
      <c r="F24" s="279">
        <f>(IF($A24="SINAPI",INDEX(SINAPI_NOV2020_NDES!$A$7:$H$6703,MATCH($B24,SINAPI_NOV2020_NDES!$A$7:$A$6703,0),5),(INDEX(COMPOS!$A$4:$G$801,MATCH($B24,COMPOS!$A$4:A$801,0),4))))</f>
        <v>15.452</v>
      </c>
      <c r="G24" s="279">
        <f>(IF($A24="SINAPI",INDEX(SINAPI_NOV2020_NDES!$A$7:$H$6703,MATCH($B24,SINAPI_NOV2020_NDES!$A$7:$A$6703,0),6),(INDEX(COMPOS!$A$4:$G$801,MATCH($B24,COMPOS!$A$4:A$801,0),5))))</f>
        <v>5.0599999999999996</v>
      </c>
      <c r="H24" s="280">
        <f>(IF($A24="SINAPI",INDEX(SINAPI_NOV2020_NDES!$A$7:$H$6703,MATCH($B24,SINAPI_NOV2020_NDES!$A$7:$A$6703,0),7),(INDEX(COMPOS!$A$4:$G$801,MATCH($B24,COMPOS!$A$4:A$801,0),6))))</f>
        <v>0</v>
      </c>
      <c r="I24" s="279">
        <f t="shared" si="7"/>
        <v>20.512</v>
      </c>
      <c r="J24" s="276">
        <f t="shared" si="8"/>
        <v>205.12</v>
      </c>
      <c r="O24" s="256"/>
      <c r="P24" s="258"/>
    </row>
    <row r="25" spans="1:1007" s="30" customFormat="1" ht="12">
      <c r="A25" s="251" t="s">
        <v>6307</v>
      </c>
      <c r="B25" s="313">
        <v>42</v>
      </c>
      <c r="C25" s="301" t="str">
        <f>(IF($A25="SINAPI",INDEX(SINAPI_NOV2020_NDES!$A$7:$H$6703,MATCH($B25,SINAPI_NOV2020_NDES!$A$7:$A$6703,0),2),IF($A25="GOINFRA",INDEX(#REF!,MATCH($B25,#REF!,0),2),(INDEX(COMPOS!$A$4:$G$390,MATCH($B25,COMPOS!$A$4:A$390,0),2)))))</f>
        <v>SOLDA EXOTÉRMICA TAMANHO 115G</v>
      </c>
      <c r="D25" s="274" t="str">
        <f>(IF($A25="SINAPI",INDEX(SINAPI_NOV2020_NDES!$A$7:$H$6790,MATCH($B25,SINAPI_NOV2020_NDES!$A$7:$A$6790,0),3),(INDEX(COMPOS!$A$4:$G$5000,MATCH($B25,COMPOS!$A$4:$A$5000,0),3))))</f>
        <v>UN</v>
      </c>
      <c r="E25" s="325">
        <v>10</v>
      </c>
      <c r="F25" s="279">
        <f>(IF($A25="SINAPI",INDEX(SINAPI_NOV2020_NDES!$A$7:$H$6703,MATCH($B25,SINAPI_NOV2020_NDES!$A$7:$A$6703,0),5),(INDEX(COMPOS!$A$4:$G$801,MATCH($B25,COMPOS!$A$4:A$801,0),4))))</f>
        <v>2.1414880000000003</v>
      </c>
      <c r="G25" s="279">
        <f>(IF($A25="SINAPI",INDEX(SINAPI_NOV2020_NDES!$A$7:$H$6703,MATCH($B25,SINAPI_NOV2020_NDES!$A$7:$A$6703,0),6),(INDEX(COMPOS!$A$4:$G$801,MATCH($B25,COMPOS!$A$4:A$801,0),5))))</f>
        <v>7.91</v>
      </c>
      <c r="H25" s="280">
        <f>(IF($A25="SINAPI",INDEX(SINAPI_NOV2020_NDES!$A$7:$H$6703,MATCH($B25,SINAPI_NOV2020_NDES!$A$7:$A$6703,0),7),(INDEX(COMPOS!$A$4:$G$801,MATCH($B25,COMPOS!$A$4:A$801,0),6))))</f>
        <v>0</v>
      </c>
      <c r="I25" s="279">
        <f t="shared" si="7"/>
        <v>10.051488000000001</v>
      </c>
      <c r="J25" s="276">
        <f t="shared" si="8"/>
        <v>100.51488000000001</v>
      </c>
      <c r="O25" s="256"/>
      <c r="P25" s="258"/>
    </row>
    <row r="26" spans="1:1007" s="30" customFormat="1" ht="24">
      <c r="A26" s="251" t="s">
        <v>7</v>
      </c>
      <c r="B26" s="313">
        <v>96985</v>
      </c>
      <c r="C26" s="301" t="str">
        <f>(IF($A26="SINAPI",INDEX(SINAPI_NOV2020_NDES!$A$7:$H$6703,MATCH($B26,SINAPI_NOV2020_NDES!$A$7:$A$6703,0),2),IF($A26="GOINFRA",INDEX(#REF!,MATCH($B26,#REF!,0),2),(INDEX(COMPOS!$A$4:$G$390,MATCH($B26,COMPOS!$A$4:A$390,0),2)))))</f>
        <v>HASTE DE ATERRAMENTO 5/8  PARA SPDA - FORNECIMENTO E INSTALAÇÃO. AF_12/2017</v>
      </c>
      <c r="D26" s="274" t="str">
        <f>(IF($A26="SINAPI",INDEX(SINAPI_NOV2020_NDES!$A$7:$H$6790,MATCH($B26,SINAPI_NOV2020_NDES!$A$7:$A$6790,0),3),(INDEX(COMPOS!$A$4:$G$5000,MATCH($B26,COMPOS!$A$4:$A$5000,0),3))))</f>
        <v>UN</v>
      </c>
      <c r="E26" s="325">
        <v>6</v>
      </c>
      <c r="F26" s="279">
        <f>(IF($A26="SINAPI",INDEX(SINAPI_NOV2020_NDES!$A$7:$H$6703,MATCH($B26,SINAPI_NOV2020_NDES!$A$7:$A$6703,0),5),(INDEX(COMPOS!$A$4:$G$801,MATCH($B26,COMPOS!$A$4:A$801,0),4))))</f>
        <v>7.44</v>
      </c>
      <c r="G26" s="279">
        <f>(IF($A26="SINAPI",INDEX(SINAPI_NOV2020_NDES!$A$7:$H$6703,MATCH($B26,SINAPI_NOV2020_NDES!$A$7:$A$6703,0),6),(INDEX(COMPOS!$A$4:$G$801,MATCH($B26,COMPOS!$A$4:A$801,0),5))))</f>
        <v>38.17</v>
      </c>
      <c r="H26" s="280">
        <f>(IF($A26="SINAPI",INDEX(SINAPI_NOV2020_NDES!$A$7:$H$6703,MATCH($B26,SINAPI_NOV2020_NDES!$A$7:$A$6703,0),7),(INDEX(COMPOS!$A$4:$G$801,MATCH($B26,COMPOS!$A$4:A$801,0),6))))</f>
        <v>0</v>
      </c>
      <c r="I26" s="279">
        <f t="shared" si="7"/>
        <v>45.61</v>
      </c>
      <c r="J26" s="276">
        <f t="shared" si="8"/>
        <v>273.65999999999997</v>
      </c>
      <c r="O26" s="256"/>
      <c r="P26" s="258"/>
    </row>
    <row r="27" spans="1:1007" s="30" customFormat="1" ht="12">
      <c r="A27" s="251" t="s">
        <v>6307</v>
      </c>
      <c r="B27" s="313">
        <v>471</v>
      </c>
      <c r="C27" s="301" t="str">
        <f>(IF($A27="SINAPI",INDEX(SINAPI_NOV2020_NDES!$A$7:$H$6703,MATCH($B27,SINAPI_NOV2020_NDES!$A$7:$A$6703,0),2),IF($A27="GOINFRA",INDEX(#REF!,MATCH($B27,#REF!,0),2),(INDEX(COMPOS!$A$4:$G$390,MATCH($B27,COMPOS!$A$4:A$390,0),2)))))</f>
        <v>CAIXA DE PASSAGEM 20X20X25 FUNDO BRITA COM TAMPA</v>
      </c>
      <c r="D27" s="274" t="str">
        <f>(IF($A27="SINAPI",INDEX(SINAPI_NOV2020_NDES!$A$7:$H$6790,MATCH($B27,SINAPI_NOV2020_NDES!$A$7:$A$6790,0),3),(INDEX(COMPOS!$A$4:$G$5000,MATCH($B27,COMPOS!$A$4:$A$5000,0),3))))</f>
        <v>UN</v>
      </c>
      <c r="E27" s="325">
        <v>6</v>
      </c>
      <c r="F27" s="279">
        <f>(IF($A27="SINAPI",INDEX(SINAPI_NOV2020_NDES!$A$7:$H$6703,MATCH($B27,SINAPI_NOV2020_NDES!$A$7:$A$6703,0),5),(INDEX(COMPOS!$A$4:$G$801,MATCH($B27,COMPOS!$A$4:A$801,0),4))))</f>
        <v>39.464161000000004</v>
      </c>
      <c r="G27" s="279">
        <f>(IF($A27="SINAPI",INDEX(SINAPI_NOV2020_NDES!$A$7:$H$6703,MATCH($B27,SINAPI_NOV2020_NDES!$A$7:$A$6703,0),6),(INDEX(COMPOS!$A$4:$G$801,MATCH($B27,COMPOS!$A$4:A$801,0),5))))</f>
        <v>28.903701999999999</v>
      </c>
      <c r="H27" s="280">
        <f>(IF($A27="SINAPI",INDEX(SINAPI_NOV2020_NDES!$A$7:$H$6703,MATCH($B27,SINAPI_NOV2020_NDES!$A$7:$A$6703,0),7),(INDEX(COMPOS!$A$4:$G$801,MATCH($B27,COMPOS!$A$4:A$801,0),6))))</f>
        <v>0</v>
      </c>
      <c r="I27" s="279">
        <f t="shared" si="7"/>
        <v>68.367863</v>
      </c>
      <c r="J27" s="276">
        <f t="shared" si="8"/>
        <v>410.207178</v>
      </c>
      <c r="O27" s="256"/>
      <c r="P27" s="258"/>
    </row>
    <row r="28" spans="1:1007" s="30" customFormat="1" ht="12">
      <c r="A28" s="251" t="s">
        <v>6307</v>
      </c>
      <c r="B28" s="313">
        <v>536</v>
      </c>
      <c r="C28" s="301" t="str">
        <f>(IF($A28="SINAPI",INDEX(SINAPI_NOV2020_NDES!$A$7:$H$6703,MATCH($B28,SINAPI_NOV2020_NDES!$A$7:$A$6703,0),2),IF($A28="GOINFRA",INDEX(#REF!,MATCH($B28,#REF!,0),2),(INDEX(COMPOS!$A$4:$G$390,MATCH($B28,COMPOS!$A$4:A$390,0),2)))))</f>
        <v>PARAFUSO SEXTAVADO D=1/4" X 5/8" COM BUCHA S-11</v>
      </c>
      <c r="D28" s="274" t="str">
        <f>(IF($A28="SINAPI",INDEX(SINAPI_NOV2020_NDES!$A$7:$H$6790,MATCH($B28,SINAPI_NOV2020_NDES!$A$7:$A$6790,0),3),(INDEX(COMPOS!$A$4:$G$5000,MATCH($B28,COMPOS!$A$4:$A$5000,0),3))))</f>
        <v>UN</v>
      </c>
      <c r="E28" s="325">
        <v>60</v>
      </c>
      <c r="F28" s="279">
        <f>(IF($A28="SINAPI",INDEX(SINAPI_NOV2020_NDES!$A$7:$H$6703,MATCH($B28,SINAPI_NOV2020_NDES!$A$7:$A$6703,0),5),(INDEX(COMPOS!$A$4:$G$801,MATCH($B28,COMPOS!$A$4:A$801,0),4))))</f>
        <v>1.027558</v>
      </c>
      <c r="G28" s="279">
        <f>(IF($A28="SINAPI",INDEX(SINAPI_NOV2020_NDES!$A$7:$H$6703,MATCH($B28,SINAPI_NOV2020_NDES!$A$7:$A$6703,0),6),(INDEX(COMPOS!$A$4:$G$801,MATCH($B28,COMPOS!$A$4:A$801,0),5))))</f>
        <v>0.48</v>
      </c>
      <c r="H28" s="280">
        <f>(IF($A28="SINAPI",INDEX(SINAPI_NOV2020_NDES!$A$7:$H$6703,MATCH($B28,SINAPI_NOV2020_NDES!$A$7:$A$6703,0),7),(INDEX(COMPOS!$A$4:$G$801,MATCH($B28,COMPOS!$A$4:A$801,0),6))))</f>
        <v>0</v>
      </c>
      <c r="I28" s="279">
        <f t="shared" si="7"/>
        <v>1.507558</v>
      </c>
      <c r="J28" s="276">
        <f t="shared" si="8"/>
        <v>90.453479999999999</v>
      </c>
      <c r="O28" s="256"/>
      <c r="P28" s="258"/>
    </row>
    <row r="29" spans="1:1007" s="30" customFormat="1" ht="12">
      <c r="A29" s="251" t="s">
        <v>6307</v>
      </c>
      <c r="B29" s="313">
        <v>776</v>
      </c>
      <c r="C29" s="301" t="str">
        <f>(IF($A29="SINAPI",INDEX(SINAPI_NOV2020_NDES!$A$7:$H$6703,MATCH($B29,SINAPI_NOV2020_NDES!$A$7:$A$6703,0),2),IF($A29="GOINFRA",INDEX(#REF!,MATCH($B29,#REF!,0),2),(INDEX(COMPOS!$A$4:$G$390,MATCH($B29,COMPOS!$A$4:A$390,0),2)))))</f>
        <v>SUPORTE ISOLADOR SIMPLES</v>
      </c>
      <c r="D29" s="274" t="str">
        <f>(IF($A29="SINAPI",INDEX(SINAPI_NOV2020_NDES!$A$7:$H$6790,MATCH($B29,SINAPI_NOV2020_NDES!$A$7:$A$6790,0),3),(INDEX(COMPOS!$A$4:$G$5000,MATCH($B29,COMPOS!$A$4:$A$5000,0),3))))</f>
        <v>UN</v>
      </c>
      <c r="E29" s="325">
        <v>30</v>
      </c>
      <c r="F29" s="279">
        <f>(IF($A29="SINAPI",INDEX(SINAPI_NOV2020_NDES!$A$7:$H$6703,MATCH($B29,SINAPI_NOV2020_NDES!$A$7:$A$6703,0),5),(INDEX(COMPOS!$A$4:$G$801,MATCH($B29,COMPOS!$A$4:A$801,0),4))))</f>
        <v>13.520499999999998</v>
      </c>
      <c r="G29" s="279">
        <f>(IF($A29="SINAPI",INDEX(SINAPI_NOV2020_NDES!$A$7:$H$6703,MATCH($B29,SINAPI_NOV2020_NDES!$A$7:$A$6703,0),6),(INDEX(COMPOS!$A$4:$G$801,MATCH($B29,COMPOS!$A$4:A$801,0),5))))</f>
        <v>5.38</v>
      </c>
      <c r="H29" s="280">
        <f>(IF($A29="SINAPI",INDEX(SINAPI_NOV2020_NDES!$A$7:$H$6703,MATCH($B29,SINAPI_NOV2020_NDES!$A$7:$A$6703,0),7),(INDEX(COMPOS!$A$4:$G$801,MATCH($B29,COMPOS!$A$4:A$801,0),6))))</f>
        <v>0</v>
      </c>
      <c r="I29" s="279">
        <f t="shared" si="7"/>
        <v>18.900499999999997</v>
      </c>
      <c r="J29" s="276">
        <f t="shared" si="8"/>
        <v>567.01499999999987</v>
      </c>
      <c r="O29" s="256"/>
      <c r="P29" s="258"/>
    </row>
    <row r="30" spans="1:1007" s="30" customFormat="1" ht="12">
      <c r="A30" s="251" t="s">
        <v>6307</v>
      </c>
      <c r="B30" s="313">
        <v>543</v>
      </c>
      <c r="C30" s="301" t="str">
        <f>(IF($A30="SINAPI",INDEX(SINAPI_NOV2020_NDES!$A$7:$H$6703,MATCH($B30,SINAPI_NOV2020_NDES!$A$7:$A$6703,0),2),IF($A30="GOINFRA",INDEX(#REF!,MATCH($B30,#REF!,0),2),(INDEX(COMPOS!$A$4:$G$390,MATCH($B30,COMPOS!$A$4:A$390,0),2)))))</f>
        <v>TERMINAL AÉREO 5/8" X 350MM</v>
      </c>
      <c r="D30" s="274" t="str">
        <f>(IF($A30="SINAPI",INDEX(SINAPI_NOV2020_NDES!$A$7:$H$6790,MATCH($B30,SINAPI_NOV2020_NDES!$A$7:$A$6790,0),3),(INDEX(COMPOS!$A$4:$G$5000,MATCH($B30,COMPOS!$A$4:$A$5000,0),3))))</f>
        <v>UN</v>
      </c>
      <c r="E30" s="325">
        <v>12</v>
      </c>
      <c r="F30" s="279">
        <f>(IF($A30="SINAPI",INDEX(SINAPI_NOV2020_NDES!$A$7:$H$6703,MATCH($B30,SINAPI_NOV2020_NDES!$A$7:$A$6703,0),5),(INDEX(COMPOS!$A$4:$G$801,MATCH($B30,COMPOS!$A$4:A$801,0),4))))</f>
        <v>13.520499999999998</v>
      </c>
      <c r="G30" s="279">
        <f>(IF($A30="SINAPI",INDEX(SINAPI_NOV2020_NDES!$A$7:$H$6703,MATCH($B30,SINAPI_NOV2020_NDES!$A$7:$A$6703,0),6),(INDEX(COMPOS!$A$4:$G$801,MATCH($B30,COMPOS!$A$4:A$801,0),5))))</f>
        <v>9.27</v>
      </c>
      <c r="H30" s="280">
        <f>(IF($A30="SINAPI",INDEX(SINAPI_NOV2020_NDES!$A$7:$H$6703,MATCH($B30,SINAPI_NOV2020_NDES!$A$7:$A$6703,0),7),(INDEX(COMPOS!$A$4:$G$801,MATCH($B30,COMPOS!$A$4:A$801,0),6))))</f>
        <v>0</v>
      </c>
      <c r="I30" s="279">
        <f t="shared" si="7"/>
        <v>22.790499999999998</v>
      </c>
      <c r="J30" s="276">
        <f t="shared" si="8"/>
        <v>273.48599999999999</v>
      </c>
      <c r="O30" s="256"/>
      <c r="P30" s="258"/>
    </row>
    <row r="31" spans="1:1007" s="88" customFormat="1" ht="24" customHeight="1">
      <c r="A31" s="680" t="s">
        <v>6927</v>
      </c>
      <c r="B31" s="680"/>
      <c r="C31" s="680"/>
      <c r="D31" s="680"/>
      <c r="E31" s="680"/>
      <c r="F31" s="680"/>
      <c r="G31" s="680"/>
      <c r="H31" s="680"/>
      <c r="I31" s="680"/>
      <c r="J31" s="281">
        <f>SUM(J22:J30)</f>
        <v>14280.456538000002</v>
      </c>
      <c r="K31" s="30"/>
      <c r="L31" s="30"/>
      <c r="M31" s="30"/>
      <c r="N31" s="30"/>
      <c r="O31" s="256"/>
      <c r="P31" s="258"/>
    </row>
    <row r="32" spans="1:1007" s="30" customFormat="1" ht="12">
      <c r="A32" s="251"/>
      <c r="B32" s="290">
        <v>183</v>
      </c>
      <c r="C32" s="273" t="s">
        <v>592</v>
      </c>
      <c r="D32" s="274"/>
      <c r="E32" s="276"/>
      <c r="F32" s="276"/>
      <c r="G32" s="276"/>
      <c r="H32" s="276"/>
      <c r="I32" s="280"/>
      <c r="J32" s="280"/>
      <c r="O32" s="256"/>
      <c r="P32" s="258"/>
    </row>
    <row r="33" spans="1:16" s="30" customFormat="1" ht="34.9" customHeight="1">
      <c r="A33" s="250" t="s">
        <v>7</v>
      </c>
      <c r="B33" s="250">
        <v>87882</v>
      </c>
      <c r="C33" s="301" t="str">
        <f>(IF($A33="SINAPI",INDEX(SINAPI_NOV2020_NDES!$A$7:$H$6703,MATCH($B33,SINAPI_NOV2020_NDES!$A$7:$A$6703,0),2),IF($A33="GOINFRA",INDEX(#REF!,MATCH($B33,#REF!,0),2),(INDEX(COMPOS!$A$4:$G$390,MATCH($B33,COMPOS!$A$4:A$390,0),2)))))</f>
        <v>CHAPISCO APLICADO NO TETO, COM ROLO PARA TEXTURA ACRÍLICA. ARGAMASSA TRAÇO 1:4 E EMULSÃO POLIMÉRICA (ADESIVO) COM PREPARO EM BETONEIRA 400L. AF_06/2014</v>
      </c>
      <c r="D33" s="274" t="str">
        <f>(IF($A33="SINAPI",INDEX(SINAPI_NOV2020_NDES!$A$7:$H$6790,MATCH($B33,SINAPI_NOV2020_NDES!$A$7:$A$6790,0),3),(INDEX(COMPOS!$A$4:$G$5000,MATCH($B33,COMPOS!$A$4:$A$5000,0),3))))</f>
        <v>M2</v>
      </c>
      <c r="E33" s="325">
        <v>109.62</v>
      </c>
      <c r="F33" s="279">
        <f>(IF($A33="SINAPI",INDEX(SINAPI_NOV2020_NDES!$A$7:$H$6703,MATCH($B33,SINAPI_NOV2020_NDES!$A$7:$A$6703,0),5),(INDEX(COMPOS!$A$4:$G$801,MATCH($B33,COMPOS!$A$4:A$801,0),4))))</f>
        <v>0.82</v>
      </c>
      <c r="G33" s="279">
        <f>(IF($A33="SINAPI",INDEX(SINAPI_NOV2020_NDES!$A$7:$H$6703,MATCH($B33,SINAPI_NOV2020_NDES!$A$7:$A$6703,0),6),(INDEX(COMPOS!$A$4:$G$801,MATCH($B33,COMPOS!$A$4:A$801,0),5))))</f>
        <v>3.11</v>
      </c>
      <c r="H33" s="280">
        <f>(IF($A33="SINAPI",INDEX(SINAPI_NOV2020_NDES!$A$7:$H$6703,MATCH($B33,SINAPI_NOV2020_NDES!$A$7:$A$6703,0),7),(INDEX(COMPOS!$A$4:$G$801,MATCH($B33,COMPOS!$A$4:A$801,0),6))))</f>
        <v>0</v>
      </c>
      <c r="I33" s="279">
        <f t="shared" ref="I33" si="9">SUM(F33:H33)</f>
        <v>3.9299999999999997</v>
      </c>
      <c r="J33" s="276">
        <f t="shared" ref="J33" si="10">+I33*E33</f>
        <v>430.8066</v>
      </c>
      <c r="O33" s="256"/>
      <c r="P33" s="258"/>
    </row>
    <row r="34" spans="1:16" s="30" customFormat="1" ht="36">
      <c r="A34" s="250" t="s">
        <v>7</v>
      </c>
      <c r="B34" s="250">
        <v>90406</v>
      </c>
      <c r="C34" s="301" t="str">
        <f>(IF($A34="SINAPI",INDEX(SINAPI_NOV2020_NDES!$A$7:$H$6703,MATCH($B34,SINAPI_NOV2020_NDES!$A$7:$A$6703,0),2),IF($A34="GOINFRA",INDEX(#REF!,MATCH($B34,#REF!,0),2),(INDEX(COMPOS!$A$4:$G$390,MATCH($B34,COMPOS!$A$4:A$390,0),2)))))</f>
        <v>MASSA ÚNICA, PARA RECEBIMENTO DE PINTURA, EM ARGAMASSA TRAÇO 1:2:8, PREPARO MECÂNICO COM BETONEIRA 400L, APLICADA MANUALMENTE EM TETO, ESPESSURA DE 20MM, COM EXECUÇÃO DE TALISCAS. AF_03/2015</v>
      </c>
      <c r="D34" s="274" t="str">
        <f>(IF($A34="SINAPI",INDEX(SINAPI_NOV2020_NDES!$A$7:$H$6790,MATCH($B34,SINAPI_NOV2020_NDES!$A$7:$A$6790,0),3),(INDEX(COMPOS!$A$4:$G$5000,MATCH($B34,COMPOS!$A$4:$A$5000,0),3))))</f>
        <v>M2</v>
      </c>
      <c r="E34" s="325">
        <v>109.62</v>
      </c>
      <c r="F34" s="279">
        <f>(IF($A34="SINAPI",INDEX(SINAPI_NOV2020_NDES!$A$7:$H$6703,MATCH($B34,SINAPI_NOV2020_NDES!$A$7:$A$6703,0),5),(INDEX(COMPOS!$A$4:$G$801,MATCH($B34,COMPOS!$A$4:A$801,0),4))))</f>
        <v>20.13</v>
      </c>
      <c r="G34" s="279">
        <f>(IF($A34="SINAPI",INDEX(SINAPI_NOV2020_NDES!$A$7:$H$6703,MATCH($B34,SINAPI_NOV2020_NDES!$A$7:$A$6703,0),6),(INDEX(COMPOS!$A$4:$G$801,MATCH($B34,COMPOS!$A$4:A$801,0),5))))</f>
        <v>19.45</v>
      </c>
      <c r="H34" s="280">
        <f>(IF($A34="SINAPI",INDEX(SINAPI_NOV2020_NDES!$A$7:$H$6703,MATCH($B34,SINAPI_NOV2020_NDES!$A$7:$A$6703,0),7),(INDEX(COMPOS!$A$4:$G$801,MATCH($B34,COMPOS!$A$4:A$801,0),6))))</f>
        <v>0.03</v>
      </c>
      <c r="I34" s="279">
        <f t="shared" ref="I34" si="11">SUM(F34:H34)</f>
        <v>39.61</v>
      </c>
      <c r="J34" s="276">
        <f t="shared" ref="J34" si="12">+I34*E34</f>
        <v>4342.0482000000002</v>
      </c>
      <c r="O34" s="256"/>
      <c r="P34" s="258"/>
    </row>
    <row r="35" spans="1:16" s="88" customFormat="1" ht="24" customHeight="1">
      <c r="A35" s="680" t="s">
        <v>6927</v>
      </c>
      <c r="B35" s="680"/>
      <c r="C35" s="680"/>
      <c r="D35" s="680"/>
      <c r="E35" s="680"/>
      <c r="F35" s="680"/>
      <c r="G35" s="680"/>
      <c r="H35" s="680"/>
      <c r="I35" s="680"/>
      <c r="J35" s="281">
        <f>SUM(J33:J34)</f>
        <v>4772.8548000000001</v>
      </c>
      <c r="K35" s="30"/>
      <c r="L35" s="30"/>
      <c r="M35" s="30"/>
      <c r="N35" s="30"/>
      <c r="O35" s="256"/>
      <c r="P35" s="258"/>
    </row>
    <row r="36" spans="1:16" s="30" customFormat="1" ht="12">
      <c r="A36" s="251"/>
      <c r="B36" s="290">
        <v>184</v>
      </c>
      <c r="C36" s="273" t="s">
        <v>591</v>
      </c>
      <c r="D36" s="274"/>
      <c r="E36" s="276"/>
      <c r="F36" s="276"/>
      <c r="G36" s="276"/>
      <c r="H36" s="276"/>
      <c r="I36" s="280"/>
      <c r="J36" s="280"/>
      <c r="O36" s="256"/>
      <c r="P36" s="258"/>
    </row>
    <row r="37" spans="1:16" s="30" customFormat="1" ht="24">
      <c r="A37" s="251" t="s">
        <v>7</v>
      </c>
      <c r="B37" s="289">
        <v>95241</v>
      </c>
      <c r="C37" s="301" t="str">
        <f>(IF($A37="SINAPI",INDEX(SINAPI_NOV2020_NDES!$A$7:$H$6703,MATCH($B37,SINAPI_NOV2020_NDES!$A$7:$A$6703,0),2),IF($A37="GOINFRA",INDEX(#REF!,MATCH($B37,#REF!,0),2),(INDEX(COMPOS!$A$4:$G$390,MATCH($B37,COMPOS!$A$4:A$390,0),2)))))</f>
        <v>LASTRO DE CONCRETO MAGRO, APLICADO EM PISOS OU RADIERS, ESPESSURA DE 5 CM. AF_07/2016</v>
      </c>
      <c r="D37" s="274" t="str">
        <f>(IF($A37="SINAPI",INDEX(SINAPI_NOV2020_NDES!$A$7:$H$6790,MATCH($B37,SINAPI_NOV2020_NDES!$A$7:$A$6790,0),3),(INDEX(COMPOS!$A$4:$G$5000,MATCH($B37,COMPOS!$A$4:$A$5000,0),3))))</f>
        <v>M2</v>
      </c>
      <c r="E37" s="279">
        <f>10.42+2.77</f>
        <v>13.19</v>
      </c>
      <c r="F37" s="279">
        <f>(IF($A37="SINAPI",INDEX(SINAPI_NOV2020_NDES!$A$7:$H$6703,MATCH($B37,SINAPI_NOV2020_NDES!$A$7:$A$6703,0),5),(INDEX(COMPOS!$A$4:$G$801,MATCH($B37,COMPOS!$A$4:A$801,0),4))))</f>
        <v>8.26</v>
      </c>
      <c r="G37" s="279">
        <f>(IF($A37="SINAPI",INDEX(SINAPI_NOV2020_NDES!$A$7:$H$6703,MATCH($B37,SINAPI_NOV2020_NDES!$A$7:$A$6703,0),6),(INDEX(COMPOS!$A$4:$G$801,MATCH($B37,COMPOS!$A$4:A$801,0),5))))</f>
        <v>16.48</v>
      </c>
      <c r="H37" s="280">
        <f>(IF($A37="SINAPI",INDEX(SINAPI_NOV2020_NDES!$A$7:$H$6703,MATCH($B37,SINAPI_NOV2020_NDES!$A$7:$A$6703,0),7),(INDEX(COMPOS!$A$4:$G$801,MATCH($B37,COMPOS!$A$4:A$801,0),6))))</f>
        <v>0.09</v>
      </c>
      <c r="I37" s="279">
        <f t="shared" ref="I37" si="13">SUM(F37:H37)</f>
        <v>24.830000000000002</v>
      </c>
      <c r="J37" s="276">
        <f t="shared" ref="J37" si="14">+I37*E37</f>
        <v>327.5077</v>
      </c>
      <c r="O37" s="256"/>
      <c r="P37" s="258"/>
    </row>
    <row r="38" spans="1:16" s="30" customFormat="1" ht="12">
      <c r="A38" s="251" t="s">
        <v>6307</v>
      </c>
      <c r="B38" s="289">
        <v>350</v>
      </c>
      <c r="C38" s="301" t="str">
        <f>(IF($A38="SINAPI",INDEX(SINAPI_NOV2020_NDES!$A$7:$H$6703,MATCH($B38,SINAPI_NOV2020_NDES!$A$7:$A$6703,0),2),IF($A38="GOINFRA",INDEX(#REF!,MATCH($B38,#REF!,0),2),(INDEX(COMPOS!$A$4:$G$390,MATCH($B38,COMPOS!$A$4:A$390,0),2)))))</f>
        <v>GRANITINA 8MM FUNDIDA COM CONTRAPISO, ESP. 2CM E JUNTA PLÁSTICA 27MM</v>
      </c>
      <c r="D38" s="274" t="str">
        <f>(IF($A38="SINAPI",INDEX(SINAPI_NOV2020_NDES!$A$7:$H$6790,MATCH($B38,SINAPI_NOV2020_NDES!$A$7:$A$6790,0),3),(INDEX(COMPOS!$A$4:$G$5000,MATCH($B38,COMPOS!$A$4:$A$5000,0),3))))</f>
        <v>M2</v>
      </c>
      <c r="E38" s="279">
        <f>20.51+12.77</f>
        <v>33.28</v>
      </c>
      <c r="F38" s="279">
        <f>(IF($A38="SINAPI",INDEX(SINAPI_NOV2020_NDES!$A$7:$H$6703,MATCH($B38,SINAPI_NOV2020_NDES!$A$7:$A$6703,0),5),(INDEX(COMPOS!$A$4:$G$801,MATCH($B38,COMPOS!$A$4:A$801,0),4))))</f>
        <v>19.118230999999998</v>
      </c>
      <c r="G38" s="279">
        <f>(IF($A38="SINAPI",INDEX(SINAPI_NOV2020_NDES!$A$7:$H$6703,MATCH($B38,SINAPI_NOV2020_NDES!$A$7:$A$6703,0),6),(INDEX(COMPOS!$A$4:$G$801,MATCH($B38,COMPOS!$A$4:A$801,0),5))))</f>
        <v>97.538049999999998</v>
      </c>
      <c r="H38" s="280">
        <f>(IF($A38="SINAPI",INDEX(SINAPI_NOV2020_NDES!$A$7:$H$6703,MATCH($B38,SINAPI_NOV2020_NDES!$A$7:$A$6703,0),7),(INDEX(COMPOS!$A$4:$G$801,MATCH($B38,COMPOS!$A$4:A$801,0),6))))</f>
        <v>0</v>
      </c>
      <c r="I38" s="279">
        <f t="shared" ref="I38:I39" si="15">SUM(F38:H38)</f>
        <v>116.65628099999999</v>
      </c>
      <c r="J38" s="276">
        <f t="shared" ref="J38:J39" si="16">+I38*E38</f>
        <v>3882.32103168</v>
      </c>
      <c r="O38" s="256"/>
      <c r="P38" s="258"/>
    </row>
    <row r="39" spans="1:16" s="30" customFormat="1" ht="12">
      <c r="A39" s="251" t="s">
        <v>6307</v>
      </c>
      <c r="B39" s="289">
        <v>351</v>
      </c>
      <c r="C39" s="301" t="str">
        <f>(IF($A39="SINAPI",INDEX(SINAPI_NOV2020_NDES!$A$7:$H$6703,MATCH($B39,SINAPI_NOV2020_NDES!$A$7:$A$6703,0),2),IF($A39="GOINFRA",INDEX(#REF!,MATCH($B39,#REF!,0),2),(INDEX(COMPOS!$A$4:$G$390,MATCH($B39,COMPOS!$A$4:A$390,0),2)))))</f>
        <v>RODAPÉ FUNDIDO DE GRANITINA 7CM</v>
      </c>
      <c r="D39" s="274" t="str">
        <f>(IF($A39="SINAPI",INDEX(SINAPI_NOV2020_NDES!$A$7:$H$6790,MATCH($B39,SINAPI_NOV2020_NDES!$A$7:$A$6790,0),3),(INDEX(COMPOS!$A$4:$G$5000,MATCH($B39,COMPOS!$A$4:$A$5000,0),3))))</f>
        <v>M</v>
      </c>
      <c r="E39" s="279">
        <v>21.02</v>
      </c>
      <c r="F39" s="279">
        <f>(IF($A39="SINAPI",INDEX(SINAPI_NOV2020_NDES!$A$7:$H$6703,MATCH($B39,SINAPI_NOV2020_NDES!$A$7:$A$6703,0),5),(INDEX(COMPOS!$A$4:$G$801,MATCH($B39,COMPOS!$A$4:A$801,0),4))))</f>
        <v>0</v>
      </c>
      <c r="G39" s="279">
        <f>(IF($A39="SINAPI",INDEX(SINAPI_NOV2020_NDES!$A$7:$H$6703,MATCH($B39,SINAPI_NOV2020_NDES!$A$7:$A$6703,0),6),(INDEX(COMPOS!$A$4:$G$801,MATCH($B39,COMPOS!$A$4:A$801,0),5))))</f>
        <v>20.94</v>
      </c>
      <c r="H39" s="280">
        <f>(IF($A39="SINAPI",INDEX(SINAPI_NOV2020_NDES!$A$7:$H$6703,MATCH($B39,SINAPI_NOV2020_NDES!$A$7:$A$6703,0),7),(INDEX(COMPOS!$A$4:$G$801,MATCH($B39,COMPOS!$A$4:A$801,0),6))))</f>
        <v>0</v>
      </c>
      <c r="I39" s="279">
        <f t="shared" si="15"/>
        <v>20.94</v>
      </c>
      <c r="J39" s="276">
        <f t="shared" si="16"/>
        <v>440.15880000000004</v>
      </c>
      <c r="O39" s="256"/>
      <c r="P39" s="258"/>
    </row>
    <row r="40" spans="1:16" s="88" customFormat="1" ht="24" customHeight="1">
      <c r="A40" s="680" t="s">
        <v>6927</v>
      </c>
      <c r="B40" s="680"/>
      <c r="C40" s="680"/>
      <c r="D40" s="680"/>
      <c r="E40" s="680"/>
      <c r="F40" s="680"/>
      <c r="G40" s="680"/>
      <c r="H40" s="680"/>
      <c r="I40" s="680"/>
      <c r="J40" s="281">
        <f>SUM(J37:J39)</f>
        <v>4649.9875316799998</v>
      </c>
      <c r="K40" s="30"/>
      <c r="L40" s="30"/>
      <c r="M40" s="30"/>
      <c r="N40" s="30"/>
      <c r="O40" s="256"/>
      <c r="P40" s="258"/>
    </row>
    <row r="41" spans="1:16" s="30" customFormat="1" ht="12">
      <c r="A41" s="251"/>
      <c r="B41" s="290">
        <v>188</v>
      </c>
      <c r="C41" s="273" t="s">
        <v>587</v>
      </c>
      <c r="D41" s="274"/>
      <c r="E41" s="276"/>
      <c r="F41" s="276"/>
      <c r="G41" s="276"/>
      <c r="H41" s="276"/>
      <c r="I41" s="280"/>
      <c r="J41" s="280"/>
      <c r="O41" s="256"/>
      <c r="P41" s="258"/>
    </row>
    <row r="42" spans="1:16" s="30" customFormat="1" ht="12">
      <c r="A42" s="251" t="s">
        <v>7</v>
      </c>
      <c r="B42" s="313">
        <v>88482</v>
      </c>
      <c r="C42" s="301" t="str">
        <f>(IF($A42="SINAPI",INDEX(SINAPI_NOV2020_NDES!$A$7:$H$6703,MATCH($B42,SINAPI_NOV2020_NDES!$A$7:$A$6703,0),2),IF($A42="GOINFRA",INDEX(#REF!,MATCH($B42,#REF!,0),2),(INDEX(COMPOS!$A$4:$G$390,MATCH($B42,COMPOS!$A$4:A$390,0),2)))))</f>
        <v>APLICAÇÃO DE FUNDO SELADOR LÁTEX PVA EM TETO, UMA DEMÃO. AF_06/2014</v>
      </c>
      <c r="D42" s="274" t="str">
        <f>(IF($A42="SINAPI",INDEX(SINAPI_NOV2020_NDES!$A$7:$H$6790,MATCH($B42,SINAPI_NOV2020_NDES!$A$7:$A$6790,0),3),(INDEX(COMPOS!$A$4:$G$5000,MATCH($B42,COMPOS!$A$4:$A$5000,0),3))))</f>
        <v>M2</v>
      </c>
      <c r="E42" s="325">
        <v>109.62</v>
      </c>
      <c r="F42" s="279">
        <f>(IF($A42="SINAPI",INDEX(SINAPI_NOV2020_NDES!$A$7:$H$6703,MATCH($B42,SINAPI_NOV2020_NDES!$A$7:$A$6703,0),5),(INDEX(COMPOS!$A$4:$G$801,MATCH($B42,COMPOS!$A$4:A$801,0),4))))</f>
        <v>0.74</v>
      </c>
      <c r="G42" s="279">
        <f>(IF($A42="SINAPI",INDEX(SINAPI_NOV2020_NDES!$A$7:$H$6703,MATCH($B42,SINAPI_NOV2020_NDES!$A$7:$A$6703,0),6),(INDEX(COMPOS!$A$4:$G$801,MATCH($B42,COMPOS!$A$4:A$801,0),5))))</f>
        <v>2.44</v>
      </c>
      <c r="H42" s="280">
        <f>(IF($A42="SINAPI",INDEX(SINAPI_NOV2020_NDES!$A$7:$H$6703,MATCH($B42,SINAPI_NOV2020_NDES!$A$7:$A$6703,0),7),(INDEX(COMPOS!$A$4:$G$801,MATCH($B42,COMPOS!$A$4:A$801,0),6))))</f>
        <v>0</v>
      </c>
      <c r="I42" s="279">
        <f t="shared" ref="I42" si="17">SUM(F42:H42)</f>
        <v>3.1799999999999997</v>
      </c>
      <c r="J42" s="276">
        <f t="shared" ref="J42" si="18">+I42*E42</f>
        <v>348.59159999999997</v>
      </c>
      <c r="O42" s="256"/>
      <c r="P42" s="258"/>
    </row>
    <row r="43" spans="1:16" s="30" customFormat="1" ht="12">
      <c r="A43" s="251" t="s">
        <v>7</v>
      </c>
      <c r="B43" s="313">
        <v>88496</v>
      </c>
      <c r="C43" s="301" t="str">
        <f>(IF($A43="SINAPI",INDEX(SINAPI_NOV2020_NDES!$A$7:$H$6703,MATCH($B43,SINAPI_NOV2020_NDES!$A$7:$A$6703,0),2),IF($A43="GOINFRA",INDEX(#REF!,MATCH($B43,#REF!,0),2),(INDEX(COMPOS!$A$4:$G$390,MATCH($B43,COMPOS!$A$4:A$390,0),2)))))</f>
        <v>APLICAÇÃO E LIXAMENTO DE MASSA LÁTEX EM TETO, DUAS DEMÃOS. AF_06/2014</v>
      </c>
      <c r="D43" s="274" t="str">
        <f>(IF($A43="SINAPI",INDEX(SINAPI_NOV2020_NDES!$A$7:$H$6790,MATCH($B43,SINAPI_NOV2020_NDES!$A$7:$A$6790,0),3),(INDEX(COMPOS!$A$4:$G$5000,MATCH($B43,COMPOS!$A$4:$A$5000,0),3))))</f>
        <v>M2</v>
      </c>
      <c r="E43" s="325">
        <v>109.62</v>
      </c>
      <c r="F43" s="279">
        <f>(IF($A43="SINAPI",INDEX(SINAPI_NOV2020_NDES!$A$7:$H$6703,MATCH($B43,SINAPI_NOV2020_NDES!$A$7:$A$6703,0),5),(INDEX(COMPOS!$A$4:$G$801,MATCH($B43,COMPOS!$A$4:A$801,0),4))))</f>
        <v>14.1</v>
      </c>
      <c r="G43" s="279">
        <f>(IF($A43="SINAPI",INDEX(SINAPI_NOV2020_NDES!$A$7:$H$6703,MATCH($B43,SINAPI_NOV2020_NDES!$A$7:$A$6703,0),6),(INDEX(COMPOS!$A$4:$G$801,MATCH($B43,COMPOS!$A$4:A$801,0),5))))</f>
        <v>7.4</v>
      </c>
      <c r="H43" s="280">
        <f>(IF($A43="SINAPI",INDEX(SINAPI_NOV2020_NDES!$A$7:$H$6703,MATCH($B43,SINAPI_NOV2020_NDES!$A$7:$A$6703,0),7),(INDEX(COMPOS!$A$4:$G$801,MATCH($B43,COMPOS!$A$4:A$801,0),6))))</f>
        <v>0</v>
      </c>
      <c r="I43" s="279">
        <f t="shared" ref="I43:I46" si="19">SUM(F43:H43)</f>
        <v>21.5</v>
      </c>
      <c r="J43" s="276">
        <f t="shared" ref="J43:J46" si="20">+I43*E43</f>
        <v>2356.83</v>
      </c>
      <c r="O43" s="256"/>
      <c r="P43" s="258"/>
    </row>
    <row r="44" spans="1:16" s="30" customFormat="1" ht="24">
      <c r="A44" s="251" t="s">
        <v>7</v>
      </c>
      <c r="B44" s="313">
        <v>88486</v>
      </c>
      <c r="C44" s="301" t="str">
        <f>(IF($A44="SINAPI",INDEX(SINAPI_NOV2020_NDES!$A$7:$H$6703,MATCH($B44,SINAPI_NOV2020_NDES!$A$7:$A$6703,0),2),IF($A44="GOINFRA",INDEX(#REF!,MATCH($B44,#REF!,0),2),(INDEX(COMPOS!$A$4:$G$390,MATCH($B44,COMPOS!$A$4:A$390,0),2)))))</f>
        <v>APLICAÇÃO MANUAL DE PINTURA COM TINTA LÁTEX PVA EM TETO, DUAS DEMÃOS. AF_06/2014</v>
      </c>
      <c r="D44" s="274" t="str">
        <f>(IF($A44="SINAPI",INDEX(SINAPI_NOV2020_NDES!$A$7:$H$6790,MATCH($B44,SINAPI_NOV2020_NDES!$A$7:$A$6790,0),3),(INDEX(COMPOS!$A$4:$G$5000,MATCH($B44,COMPOS!$A$4:$A$5000,0),3))))</f>
        <v>M2</v>
      </c>
      <c r="E44" s="325">
        <v>109.62</v>
      </c>
      <c r="F44" s="279">
        <f>(IF($A44="SINAPI",INDEX(SINAPI_NOV2020_NDES!$A$7:$H$6703,MATCH($B44,SINAPI_NOV2020_NDES!$A$7:$A$6703,0),5),(INDEX(COMPOS!$A$4:$G$801,MATCH($B44,COMPOS!$A$4:A$801,0),4))))</f>
        <v>3.54</v>
      </c>
      <c r="G44" s="279">
        <f>(IF($A44="SINAPI",INDEX(SINAPI_NOV2020_NDES!$A$7:$H$6703,MATCH($B44,SINAPI_NOV2020_NDES!$A$7:$A$6703,0),6),(INDEX(COMPOS!$A$4:$G$801,MATCH($B44,COMPOS!$A$4:A$801,0),5))))</f>
        <v>7.47</v>
      </c>
      <c r="H44" s="280">
        <f>(IF($A44="SINAPI",INDEX(SINAPI_NOV2020_NDES!$A$7:$H$6703,MATCH($B44,SINAPI_NOV2020_NDES!$A$7:$A$6703,0),7),(INDEX(COMPOS!$A$4:$G$801,MATCH($B44,COMPOS!$A$4:A$801,0),6))))</f>
        <v>0</v>
      </c>
      <c r="I44" s="279">
        <f t="shared" si="19"/>
        <v>11.01</v>
      </c>
      <c r="J44" s="276">
        <f t="shared" si="20"/>
        <v>1206.9162000000001</v>
      </c>
      <c r="O44" s="256"/>
      <c r="P44" s="258"/>
    </row>
    <row r="45" spans="1:16" s="30" customFormat="1" ht="24">
      <c r="A45" s="251" t="s">
        <v>7</v>
      </c>
      <c r="B45" s="313">
        <v>88415</v>
      </c>
      <c r="C45" s="301" t="str">
        <f>(IF($A45="SINAPI",INDEX(SINAPI_NOV2020_NDES!$A$7:$H$6703,MATCH($B45,SINAPI_NOV2020_NDES!$A$7:$A$6703,0),2),IF($A45="GOINFRA",INDEX(#REF!,MATCH($B45,#REF!,0),2),(INDEX(COMPOS!$A$4:$G$390,MATCH($B45,COMPOS!$A$4:A$390,0),2)))))</f>
        <v>APLICAÇÃO MANUAL DE FUNDO SELADOR ACRÍLICO EM PAREDES EXTERNAS DE CASAS. AF_06/2014</v>
      </c>
      <c r="D45" s="274" t="str">
        <f>(IF($A45="SINAPI",INDEX(SINAPI_NOV2020_NDES!$A$7:$H$6790,MATCH($B45,SINAPI_NOV2020_NDES!$A$7:$A$6790,0),3),(INDEX(COMPOS!$A$4:$G$5000,MATCH($B45,COMPOS!$A$4:$A$5000,0),3))))</f>
        <v>M2</v>
      </c>
      <c r="E45" s="325">
        <v>70.17</v>
      </c>
      <c r="F45" s="279">
        <f>(IF($A45="SINAPI",INDEX(SINAPI_NOV2020_NDES!$A$7:$H$6703,MATCH($B45,SINAPI_NOV2020_NDES!$A$7:$A$6703,0),5),(INDEX(COMPOS!$A$4:$G$801,MATCH($B45,COMPOS!$A$4:A$801,0),4))))</f>
        <v>1.07</v>
      </c>
      <c r="G45" s="279">
        <f>(IF($A45="SINAPI",INDEX(SINAPI_NOV2020_NDES!$A$7:$H$6703,MATCH($B45,SINAPI_NOV2020_NDES!$A$7:$A$6703,0),6),(INDEX(COMPOS!$A$4:$G$801,MATCH($B45,COMPOS!$A$4:A$801,0),5))))</f>
        <v>1.51</v>
      </c>
      <c r="H45" s="280">
        <f>(IF($A45="SINAPI",INDEX(SINAPI_NOV2020_NDES!$A$7:$H$6703,MATCH($B45,SINAPI_NOV2020_NDES!$A$7:$A$6703,0),7),(INDEX(COMPOS!$A$4:$G$801,MATCH($B45,COMPOS!$A$4:A$801,0),6))))</f>
        <v>0</v>
      </c>
      <c r="I45" s="279">
        <f t="shared" si="19"/>
        <v>2.58</v>
      </c>
      <c r="J45" s="276">
        <f t="shared" si="20"/>
        <v>181.0386</v>
      </c>
      <c r="O45" s="256"/>
      <c r="P45" s="258"/>
    </row>
    <row r="46" spans="1:16" s="30" customFormat="1" ht="24">
      <c r="A46" s="251" t="s">
        <v>7</v>
      </c>
      <c r="B46" s="313">
        <v>88423</v>
      </c>
      <c r="C46" s="301" t="str">
        <f>(IF($A46="SINAPI",INDEX(SINAPI_NOV2020_NDES!$A$7:$H$6703,MATCH($B46,SINAPI_NOV2020_NDES!$A$7:$A$6703,0),2),IF($A46="GOINFRA",INDEX(#REF!,MATCH($B46,#REF!,0),2),(INDEX(COMPOS!$A$4:$G$390,MATCH($B46,COMPOS!$A$4:A$390,0),2)))))</f>
        <v>APLICAÇÃO MANUAL DE PINTURA COM TINTA TEXTURIZADA ACRÍLICA EM PAREDES EXTERNAS DE CASAS, UMA COR. AF_06/2014</v>
      </c>
      <c r="D46" s="274" t="str">
        <f>(IF($A46="SINAPI",INDEX(SINAPI_NOV2020_NDES!$A$7:$H$6790,MATCH($B46,SINAPI_NOV2020_NDES!$A$7:$A$6790,0),3),(INDEX(COMPOS!$A$4:$G$5000,MATCH($B46,COMPOS!$A$4:$A$5000,0),3))))</f>
        <v>M2</v>
      </c>
      <c r="E46" s="325">
        <v>70.17</v>
      </c>
      <c r="F46" s="279">
        <f>(IF($A46="SINAPI",INDEX(SINAPI_NOV2020_NDES!$A$7:$H$6703,MATCH($B46,SINAPI_NOV2020_NDES!$A$7:$A$6703,0),5),(INDEX(COMPOS!$A$4:$G$801,MATCH($B46,COMPOS!$A$4:A$801,0),4))))</f>
        <v>3.45</v>
      </c>
      <c r="G46" s="279">
        <f>(IF($A46="SINAPI",INDEX(SINAPI_NOV2020_NDES!$A$7:$H$6703,MATCH($B46,SINAPI_NOV2020_NDES!$A$7:$A$6703,0),6),(INDEX(COMPOS!$A$4:$G$801,MATCH($B46,COMPOS!$A$4:A$801,0),5))))</f>
        <v>14.24</v>
      </c>
      <c r="H46" s="280">
        <f>(IF($A46="SINAPI",INDEX(SINAPI_NOV2020_NDES!$A$7:$H$6703,MATCH($B46,SINAPI_NOV2020_NDES!$A$7:$A$6703,0),7),(INDEX(COMPOS!$A$4:$G$801,MATCH($B46,COMPOS!$A$4:A$801,0),6))))</f>
        <v>0</v>
      </c>
      <c r="I46" s="279">
        <f t="shared" si="19"/>
        <v>17.690000000000001</v>
      </c>
      <c r="J46" s="276">
        <f t="shared" si="20"/>
        <v>1241.3073000000002</v>
      </c>
      <c r="O46" s="256"/>
      <c r="P46" s="258"/>
    </row>
    <row r="47" spans="1:16" s="88" customFormat="1" ht="24" customHeight="1">
      <c r="A47" s="680" t="s">
        <v>6927</v>
      </c>
      <c r="B47" s="680"/>
      <c r="C47" s="680"/>
      <c r="D47" s="680"/>
      <c r="E47" s="680"/>
      <c r="F47" s="680"/>
      <c r="G47" s="680"/>
      <c r="H47" s="680"/>
      <c r="I47" s="680"/>
      <c r="J47" s="281">
        <f>SUM(J42:J46)</f>
        <v>5334.6836999999996</v>
      </c>
      <c r="K47" s="30"/>
      <c r="L47" s="30"/>
      <c r="M47" s="30"/>
      <c r="N47" s="30"/>
      <c r="O47" s="256"/>
      <c r="P47" s="258"/>
    </row>
    <row r="48" spans="1:16" s="30" customFormat="1" ht="12">
      <c r="A48" s="251"/>
      <c r="B48" s="290">
        <v>189</v>
      </c>
      <c r="C48" s="273" t="s">
        <v>2</v>
      </c>
      <c r="D48" s="274"/>
      <c r="E48" s="276"/>
      <c r="F48" s="276"/>
      <c r="G48" s="276"/>
      <c r="H48" s="276"/>
      <c r="I48" s="280"/>
      <c r="J48" s="280"/>
      <c r="O48" s="256"/>
      <c r="P48" s="258"/>
    </row>
    <row r="49" spans="1:1001" s="30" customFormat="1" ht="12">
      <c r="A49" s="251" t="s">
        <v>6307</v>
      </c>
      <c r="B49" s="290">
        <v>362</v>
      </c>
      <c r="C49" s="301" t="str">
        <f>(IF($A49="SINAPI",INDEX(SINAPI_NOV2020_NDES!$A$7:$H$6703,MATCH($B49,SINAPI_NOV2020_NDES!$A$7:$A$6703,0),2),IF($A49="GOINFRA",INDEX(#REF!,MATCH($B49,#REF!,0),2),(INDEX(COMPOS!$A$4:$G$390,MATCH($B49,COMPOS!$A$4:A$390,0),2)))))</f>
        <v>LIMPEZA FINAL DA OBRA</v>
      </c>
      <c r="D49" s="274" t="str">
        <f>(IF($A49="SINAPI",INDEX(SINAPI_NOV2020_NDES!$A$7:$H$6790,MATCH($B49,SINAPI_NOV2020_NDES!$A$7:$A$6790,0),3),(INDEX(COMPOS!$A$4:$G$5000,MATCH($B49,COMPOS!$A$4:$A$5000,0),3))))</f>
        <v>M2</v>
      </c>
      <c r="E49" s="279">
        <v>90</v>
      </c>
      <c r="F49" s="279">
        <f>(IF($A49="SINAPI",INDEX(SINAPI_NOV2020_NDES!$A$7:$H$6703,MATCH($B49,SINAPI_NOV2020_NDES!$A$7:$A$6703,0),5),(INDEX(COMPOS!$A$4:$G$801,MATCH($B49,COMPOS!$A$4:A$801,0),4))))</f>
        <v>2.2664999999999997</v>
      </c>
      <c r="G49" s="279">
        <f>(IF($A49="SINAPI",INDEX(SINAPI_NOV2020_NDES!$A$7:$H$6703,MATCH($B49,SINAPI_NOV2020_NDES!$A$7:$A$6703,0),6),(INDEX(COMPOS!$A$4:$G$801,MATCH($B49,COMPOS!$A$4:A$801,0),5))))</f>
        <v>0.62687100000000007</v>
      </c>
      <c r="H49" s="280">
        <f>(IF($A49="SINAPI",INDEX(SINAPI_NOV2020_NDES!$A$7:$H$6703,MATCH($B49,SINAPI_NOV2020_NDES!$A$7:$A$6703,0),7),(INDEX(COMPOS!$A$4:$G$801,MATCH($B49,COMPOS!$A$4:A$801,0),6))))</f>
        <v>0</v>
      </c>
      <c r="I49" s="279">
        <f t="shared" ref="I49" si="21">SUM(F49:H49)</f>
        <v>2.8933709999999997</v>
      </c>
      <c r="J49" s="276">
        <f t="shared" ref="J49" si="22">+I49*E49</f>
        <v>260.40338999999994</v>
      </c>
      <c r="O49" s="256"/>
      <c r="P49" s="258"/>
    </row>
    <row r="50" spans="1:1001" s="30" customFormat="1" ht="24">
      <c r="A50" s="251" t="s">
        <v>6307</v>
      </c>
      <c r="B50" s="290">
        <v>382</v>
      </c>
      <c r="C50" s="301" t="str">
        <f>(IF($A50="SINAPI",INDEX(SINAPI_NOV2020_NDES!$A$7:$H$6703,MATCH($B50,SINAPI_NOV2020_NDES!$A$7:$A$6703,0),2),IF($A50="GOINFRA",INDEX(#REF!,MATCH($B50,#REF!,0),2),(INDEX(COMPOS!$A$4:$G$390,MATCH($B50,COMPOS!$A$4:A$390,0),2)))))</f>
        <v>BANCO DE CONCRETO POLIDO BASE EM ALVENARIA REBOCADA E PINTADA - PADRÃO GOINFRA</v>
      </c>
      <c r="D50" s="274" t="str">
        <f>(IF($A50="SINAPI",INDEX(SINAPI_NOV2020_NDES!$A$7:$H$6790,MATCH($B50,SINAPI_NOV2020_NDES!$A$7:$A$6790,0),3),(INDEX(COMPOS!$A$4:$G$5000,MATCH($B50,COMPOS!$A$4:$A$5000,0),3))))</f>
        <v>M</v>
      </c>
      <c r="E50" s="279">
        <f>(7.748/2)*4</f>
        <v>15.496</v>
      </c>
      <c r="F50" s="279">
        <f>(IF($A50="SINAPI",INDEX(SINAPI_NOV2020_NDES!$A$7:$H$6703,MATCH($B50,SINAPI_NOV2020_NDES!$A$7:$A$6703,0),5),(INDEX(COMPOS!$A$4:$G$801,MATCH($B50,COMPOS!$A$4:A$801,0),4))))</f>
        <v>118.09193099999999</v>
      </c>
      <c r="G50" s="279">
        <f>(IF($A50="SINAPI",INDEX(SINAPI_NOV2020_NDES!$A$7:$H$6703,MATCH($B50,SINAPI_NOV2020_NDES!$A$7:$A$6703,0),6),(INDEX(COMPOS!$A$4:$G$801,MATCH($B50,COMPOS!$A$4:A$801,0),5))))</f>
        <v>153.54687100000001</v>
      </c>
      <c r="H50" s="280">
        <f>(IF($A50="SINAPI",INDEX(SINAPI_NOV2020_NDES!$A$7:$H$6703,MATCH($B50,SINAPI_NOV2020_NDES!$A$7:$A$6703,0),7),(INDEX(COMPOS!$A$4:$G$801,MATCH($B50,COMPOS!$A$4:A$801,0),6))))</f>
        <v>0</v>
      </c>
      <c r="I50" s="279">
        <f t="shared" ref="I50" si="23">SUM(F50:H50)</f>
        <v>271.638802</v>
      </c>
      <c r="J50" s="276">
        <f t="shared" ref="J50" si="24">+I50*E50</f>
        <v>4209.3148757919998</v>
      </c>
      <c r="O50" s="256"/>
      <c r="P50" s="258"/>
    </row>
    <row r="51" spans="1:1001" s="88" customFormat="1" ht="24" customHeight="1">
      <c r="A51" s="680" t="s">
        <v>6927</v>
      </c>
      <c r="B51" s="680"/>
      <c r="C51" s="680"/>
      <c r="D51" s="680"/>
      <c r="E51" s="680"/>
      <c r="F51" s="680"/>
      <c r="G51" s="680"/>
      <c r="H51" s="680"/>
      <c r="I51" s="680"/>
      <c r="J51" s="281">
        <f>SUM(J49:J50)</f>
        <v>4469.7182657920002</v>
      </c>
      <c r="K51" s="30"/>
      <c r="L51" s="30"/>
      <c r="M51" s="30"/>
      <c r="N51" s="30"/>
      <c r="O51" s="256"/>
      <c r="P51" s="258"/>
    </row>
    <row r="52" spans="1:1001" s="191" customFormat="1" ht="12.75" customHeight="1">
      <c r="A52" s="680" t="s">
        <v>7104</v>
      </c>
      <c r="B52" s="680"/>
      <c r="C52" s="680"/>
      <c r="D52" s="680"/>
      <c r="E52" s="680"/>
      <c r="F52" s="680"/>
      <c r="G52" s="680"/>
      <c r="H52" s="680"/>
      <c r="I52" s="680"/>
      <c r="J52" s="281">
        <f>SUMPRODUCT(E12:E50,F12:F50)</f>
        <v>11884.284287165998</v>
      </c>
      <c r="K52" s="255"/>
      <c r="L52" s="255"/>
      <c r="M52" s="255"/>
      <c r="N52" s="255"/>
      <c r="O52" s="255"/>
      <c r="P52" s="257"/>
      <c r="Q52" s="255"/>
      <c r="R52" s="255"/>
      <c r="S52" s="255"/>
      <c r="T52" s="255"/>
      <c r="U52" s="255"/>
      <c r="V52" s="255"/>
      <c r="W52" s="255"/>
      <c r="X52" s="255"/>
      <c r="Y52" s="255"/>
      <c r="Z52" s="255"/>
      <c r="AA52" s="255"/>
      <c r="AB52" s="255"/>
      <c r="AC52" s="255"/>
      <c r="AD52" s="255"/>
      <c r="AE52" s="255"/>
      <c r="AF52" s="255"/>
      <c r="AG52" s="255"/>
      <c r="AH52" s="255"/>
      <c r="AI52" s="255"/>
      <c r="AJ52" s="255"/>
      <c r="AK52" s="255"/>
      <c r="AL52" s="255"/>
      <c r="AM52" s="255"/>
      <c r="AN52" s="255"/>
      <c r="AO52" s="255"/>
      <c r="AP52" s="255"/>
      <c r="AQ52" s="255"/>
      <c r="AR52" s="255"/>
      <c r="AS52" s="255"/>
      <c r="AT52" s="255"/>
      <c r="AU52" s="255"/>
      <c r="AV52" s="255"/>
      <c r="AW52" s="255"/>
      <c r="AX52" s="255"/>
      <c r="AY52" s="255"/>
      <c r="AZ52" s="255"/>
      <c r="BA52" s="255"/>
      <c r="BB52" s="255"/>
      <c r="BC52" s="255"/>
      <c r="BD52" s="255"/>
      <c r="BE52" s="255"/>
      <c r="BF52" s="255"/>
      <c r="BG52" s="255"/>
      <c r="BH52" s="255"/>
      <c r="BI52" s="255"/>
      <c r="BJ52" s="255"/>
      <c r="BK52" s="255"/>
      <c r="BL52" s="255"/>
      <c r="BM52" s="255"/>
      <c r="BN52" s="255"/>
      <c r="BO52" s="255"/>
      <c r="BP52" s="255"/>
      <c r="BQ52" s="255"/>
      <c r="BR52" s="255"/>
      <c r="BS52" s="255"/>
      <c r="BT52" s="255"/>
      <c r="BU52" s="255"/>
      <c r="BV52" s="255"/>
      <c r="BW52" s="255"/>
      <c r="BX52" s="255"/>
      <c r="BY52" s="255"/>
      <c r="BZ52" s="255"/>
      <c r="CA52" s="255"/>
      <c r="CB52" s="255"/>
      <c r="CC52" s="255"/>
      <c r="CD52" s="255"/>
      <c r="CE52" s="255"/>
      <c r="CF52" s="255"/>
      <c r="CG52" s="255"/>
      <c r="CH52" s="255"/>
      <c r="CI52" s="255"/>
      <c r="CJ52" s="255"/>
      <c r="CK52" s="255"/>
      <c r="CL52" s="255"/>
      <c r="CM52" s="255"/>
      <c r="CN52" s="255"/>
      <c r="CO52" s="255"/>
      <c r="CP52" s="255"/>
      <c r="CQ52" s="255"/>
      <c r="CR52" s="255"/>
      <c r="CS52" s="255"/>
      <c r="CT52" s="255"/>
      <c r="CU52" s="255"/>
      <c r="CV52" s="255"/>
      <c r="CW52" s="255"/>
      <c r="CX52" s="255"/>
      <c r="CY52" s="255"/>
      <c r="CZ52" s="255"/>
      <c r="DA52" s="255"/>
      <c r="DB52" s="255"/>
      <c r="DC52" s="255"/>
      <c r="DD52" s="255"/>
      <c r="DE52" s="255"/>
      <c r="DF52" s="255"/>
      <c r="DG52" s="255"/>
      <c r="DH52" s="255"/>
      <c r="DI52" s="255"/>
      <c r="DJ52" s="255"/>
      <c r="DK52" s="255"/>
      <c r="DL52" s="255"/>
      <c r="DM52" s="255"/>
      <c r="DN52" s="255"/>
      <c r="DO52" s="255"/>
      <c r="DP52" s="255"/>
      <c r="DQ52" s="255"/>
      <c r="DR52" s="255"/>
      <c r="DS52" s="255"/>
      <c r="DT52" s="255"/>
      <c r="DU52" s="255"/>
      <c r="DV52" s="255"/>
      <c r="DW52" s="255"/>
      <c r="DX52" s="255"/>
      <c r="DY52" s="255"/>
      <c r="DZ52" s="255"/>
      <c r="EA52" s="255"/>
      <c r="EB52" s="255"/>
      <c r="EC52" s="255"/>
      <c r="ED52" s="255"/>
      <c r="EE52" s="255"/>
      <c r="EF52" s="255"/>
      <c r="EG52" s="255"/>
      <c r="EH52" s="255"/>
      <c r="EI52" s="255"/>
      <c r="EJ52" s="255"/>
      <c r="EK52" s="255"/>
      <c r="EL52" s="255"/>
      <c r="EM52" s="255"/>
      <c r="EN52" s="255"/>
      <c r="EO52" s="255"/>
      <c r="EP52" s="255"/>
      <c r="EQ52" s="255"/>
      <c r="ER52" s="255"/>
      <c r="ES52" s="255"/>
      <c r="ET52" s="255"/>
      <c r="EU52" s="255"/>
      <c r="EV52" s="255"/>
      <c r="EW52" s="255"/>
      <c r="EX52" s="255"/>
      <c r="EY52" s="255"/>
      <c r="EZ52" s="255"/>
      <c r="FA52" s="255"/>
      <c r="FB52" s="255"/>
      <c r="FC52" s="255"/>
      <c r="FD52" s="255"/>
      <c r="FE52" s="255"/>
      <c r="FF52" s="255"/>
      <c r="FG52" s="255"/>
      <c r="FH52" s="255"/>
      <c r="FI52" s="255"/>
      <c r="FJ52" s="255"/>
      <c r="FK52" s="255"/>
      <c r="FL52" s="255"/>
      <c r="FM52" s="255"/>
      <c r="FN52" s="255"/>
      <c r="FO52" s="255"/>
      <c r="FP52" s="255"/>
      <c r="FQ52" s="255"/>
      <c r="FR52" s="255"/>
      <c r="FS52" s="255"/>
      <c r="FT52" s="255"/>
      <c r="FU52" s="255"/>
      <c r="FV52" s="255"/>
      <c r="FW52" s="255"/>
      <c r="FX52" s="255"/>
      <c r="FY52" s="255"/>
      <c r="FZ52" s="255"/>
      <c r="GA52" s="255"/>
      <c r="GB52" s="255"/>
      <c r="GC52" s="255"/>
      <c r="GD52" s="255"/>
      <c r="GE52" s="255"/>
      <c r="GF52" s="255"/>
      <c r="GG52" s="255"/>
      <c r="GH52" s="255"/>
      <c r="GI52" s="255"/>
      <c r="GJ52" s="255"/>
      <c r="GK52" s="255"/>
      <c r="GL52" s="255"/>
      <c r="GM52" s="255"/>
      <c r="GN52" s="255"/>
      <c r="GO52" s="255"/>
      <c r="GP52" s="255"/>
      <c r="GQ52" s="255"/>
      <c r="GR52" s="255"/>
      <c r="GS52" s="255"/>
      <c r="GT52" s="255"/>
      <c r="GU52" s="255"/>
      <c r="GV52" s="255"/>
      <c r="GW52" s="255"/>
      <c r="GX52" s="255"/>
      <c r="GY52" s="255"/>
      <c r="GZ52" s="255"/>
      <c r="HA52" s="255"/>
      <c r="HB52" s="255"/>
      <c r="HC52" s="255"/>
      <c r="HD52" s="255"/>
      <c r="HE52" s="255"/>
      <c r="HF52" s="255"/>
      <c r="HG52" s="255"/>
      <c r="HH52" s="255"/>
      <c r="HI52" s="255"/>
      <c r="HJ52" s="255"/>
      <c r="HK52" s="255"/>
      <c r="HL52" s="255"/>
      <c r="HM52" s="255"/>
      <c r="HN52" s="255"/>
      <c r="HO52" s="255"/>
      <c r="HP52" s="255"/>
      <c r="HQ52" s="255"/>
      <c r="HR52" s="255"/>
      <c r="HS52" s="255"/>
      <c r="HT52" s="255"/>
      <c r="HU52" s="255"/>
      <c r="HV52" s="255"/>
      <c r="HW52" s="255"/>
      <c r="HX52" s="255"/>
      <c r="HY52" s="255"/>
      <c r="HZ52" s="255"/>
      <c r="IA52" s="255"/>
      <c r="IB52" s="255"/>
      <c r="IC52" s="255"/>
      <c r="ID52" s="255"/>
      <c r="IE52" s="255"/>
      <c r="IF52" s="255"/>
      <c r="IG52" s="255"/>
      <c r="IH52" s="255"/>
      <c r="II52" s="255"/>
      <c r="IJ52" s="255"/>
      <c r="IK52" s="255"/>
      <c r="IL52" s="255"/>
      <c r="IM52" s="255"/>
      <c r="IN52" s="255"/>
      <c r="IO52" s="255"/>
      <c r="IP52" s="255"/>
      <c r="IQ52" s="255"/>
      <c r="IR52" s="255"/>
      <c r="IS52" s="255"/>
      <c r="IT52" s="255"/>
      <c r="IU52" s="255"/>
      <c r="IV52" s="255"/>
      <c r="IW52" s="255"/>
      <c r="IX52" s="255"/>
      <c r="IY52" s="255"/>
      <c r="IZ52" s="255"/>
      <c r="JA52" s="255"/>
      <c r="JB52" s="255"/>
      <c r="JC52" s="255"/>
      <c r="JD52" s="255"/>
      <c r="JE52" s="255"/>
      <c r="JF52" s="255"/>
      <c r="JG52" s="255"/>
      <c r="JH52" s="255"/>
      <c r="JI52" s="255"/>
      <c r="JJ52" s="255"/>
      <c r="JK52" s="255"/>
      <c r="JL52" s="255"/>
      <c r="JM52" s="255"/>
      <c r="JN52" s="255"/>
      <c r="JO52" s="255"/>
      <c r="JP52" s="255"/>
      <c r="JQ52" s="255"/>
      <c r="JR52" s="255"/>
      <c r="JS52" s="255"/>
      <c r="JT52" s="255"/>
      <c r="JU52" s="255"/>
      <c r="JV52" s="255"/>
      <c r="JW52" s="255"/>
      <c r="JX52" s="255"/>
      <c r="JY52" s="255"/>
      <c r="JZ52" s="255"/>
      <c r="KA52" s="255"/>
      <c r="KB52" s="255"/>
      <c r="KC52" s="255"/>
      <c r="KD52" s="255"/>
      <c r="KE52" s="255"/>
      <c r="KF52" s="255"/>
      <c r="KG52" s="255"/>
      <c r="KH52" s="255"/>
      <c r="KI52" s="255"/>
      <c r="KJ52" s="255"/>
      <c r="KK52" s="255"/>
      <c r="KL52" s="255"/>
      <c r="KM52" s="255"/>
      <c r="KN52" s="255"/>
      <c r="KO52" s="255"/>
      <c r="KP52" s="255"/>
      <c r="KQ52" s="255"/>
      <c r="KR52" s="255"/>
      <c r="KS52" s="255"/>
      <c r="KT52" s="255"/>
      <c r="KU52" s="255"/>
      <c r="KV52" s="255"/>
      <c r="KW52" s="255"/>
      <c r="KX52" s="255"/>
      <c r="KY52" s="255"/>
      <c r="KZ52" s="255"/>
      <c r="LA52" s="255"/>
      <c r="LB52" s="255"/>
      <c r="LC52" s="255"/>
      <c r="LD52" s="255"/>
      <c r="LE52" s="255"/>
      <c r="LF52" s="255"/>
      <c r="LG52" s="255"/>
      <c r="LH52" s="255"/>
      <c r="LI52" s="255"/>
      <c r="LJ52" s="255"/>
      <c r="LK52" s="255"/>
      <c r="LL52" s="255"/>
      <c r="LM52" s="255"/>
      <c r="LN52" s="255"/>
      <c r="LO52" s="255"/>
      <c r="LP52" s="255"/>
      <c r="LQ52" s="255"/>
      <c r="LR52" s="255"/>
      <c r="LS52" s="255"/>
      <c r="LT52" s="255"/>
      <c r="LU52" s="255"/>
      <c r="LV52" s="255"/>
      <c r="LW52" s="255"/>
      <c r="LX52" s="255"/>
      <c r="LY52" s="255"/>
      <c r="LZ52" s="255"/>
      <c r="MA52" s="255"/>
      <c r="MB52" s="255"/>
      <c r="MC52" s="255"/>
      <c r="MD52" s="255"/>
      <c r="ME52" s="255"/>
      <c r="MF52" s="255"/>
      <c r="MG52" s="255"/>
      <c r="MH52" s="255"/>
      <c r="MI52" s="255"/>
      <c r="MJ52" s="255"/>
      <c r="MK52" s="255"/>
      <c r="ML52" s="255"/>
      <c r="MM52" s="255"/>
      <c r="MN52" s="255"/>
      <c r="MO52" s="255"/>
      <c r="MP52" s="255"/>
      <c r="MQ52" s="255"/>
      <c r="MR52" s="255"/>
      <c r="MS52" s="255"/>
      <c r="MT52" s="255"/>
      <c r="MU52" s="255"/>
      <c r="MV52" s="255"/>
      <c r="MW52" s="255"/>
      <c r="MX52" s="255"/>
      <c r="MY52" s="255"/>
      <c r="MZ52" s="255"/>
      <c r="NA52" s="255"/>
      <c r="NB52" s="255"/>
      <c r="NC52" s="255"/>
      <c r="ND52" s="255"/>
      <c r="NE52" s="255"/>
      <c r="NF52" s="255"/>
      <c r="NG52" s="255"/>
      <c r="NH52" s="255"/>
      <c r="NI52" s="255"/>
      <c r="NJ52" s="255"/>
      <c r="NK52" s="255"/>
      <c r="NL52" s="255"/>
      <c r="NM52" s="255"/>
      <c r="NN52" s="255"/>
      <c r="NO52" s="255"/>
      <c r="NP52" s="255"/>
      <c r="NQ52" s="255"/>
      <c r="NR52" s="255"/>
      <c r="NS52" s="255"/>
      <c r="NT52" s="255"/>
      <c r="NU52" s="255"/>
      <c r="NV52" s="255"/>
      <c r="NW52" s="255"/>
      <c r="NX52" s="255"/>
      <c r="NY52" s="255"/>
      <c r="NZ52" s="255"/>
      <c r="OA52" s="255"/>
      <c r="OB52" s="255"/>
      <c r="OC52" s="255"/>
      <c r="OD52" s="255"/>
      <c r="OE52" s="255"/>
      <c r="OF52" s="255"/>
      <c r="OG52" s="255"/>
      <c r="OH52" s="255"/>
      <c r="OI52" s="255"/>
      <c r="OJ52" s="255"/>
      <c r="OK52" s="255"/>
      <c r="OL52" s="255"/>
      <c r="OM52" s="255"/>
      <c r="ON52" s="255"/>
      <c r="OO52" s="255"/>
      <c r="OP52" s="255"/>
      <c r="OQ52" s="255"/>
      <c r="OR52" s="255"/>
      <c r="OS52" s="255"/>
      <c r="OT52" s="255"/>
      <c r="OU52" s="255"/>
      <c r="OV52" s="255"/>
      <c r="OW52" s="255"/>
      <c r="OX52" s="255"/>
      <c r="OY52" s="255"/>
      <c r="OZ52" s="255"/>
      <c r="PA52" s="255"/>
      <c r="PB52" s="255"/>
      <c r="PC52" s="255"/>
      <c r="PD52" s="255"/>
      <c r="PE52" s="255"/>
      <c r="PF52" s="255"/>
      <c r="PG52" s="255"/>
      <c r="PH52" s="255"/>
      <c r="PI52" s="255"/>
      <c r="PJ52" s="255"/>
      <c r="PK52" s="255"/>
      <c r="PL52" s="255"/>
      <c r="PM52" s="255"/>
      <c r="PN52" s="255"/>
      <c r="PO52" s="255"/>
      <c r="PP52" s="255"/>
      <c r="PQ52" s="255"/>
      <c r="PR52" s="255"/>
      <c r="PS52" s="255"/>
      <c r="PT52" s="255"/>
      <c r="PU52" s="255"/>
      <c r="PV52" s="255"/>
      <c r="PW52" s="255"/>
      <c r="PX52" s="255"/>
      <c r="PY52" s="255"/>
      <c r="PZ52" s="255"/>
      <c r="QA52" s="255"/>
      <c r="QB52" s="255"/>
      <c r="QC52" s="255"/>
      <c r="QD52" s="255"/>
      <c r="QE52" s="255"/>
      <c r="QF52" s="255"/>
      <c r="QG52" s="255"/>
      <c r="QH52" s="255"/>
      <c r="QI52" s="255"/>
      <c r="QJ52" s="255"/>
      <c r="QK52" s="255"/>
      <c r="QL52" s="255"/>
      <c r="QM52" s="255"/>
      <c r="QN52" s="255"/>
      <c r="QO52" s="255"/>
      <c r="QP52" s="255"/>
      <c r="QQ52" s="255"/>
      <c r="QR52" s="255"/>
      <c r="QS52" s="255"/>
      <c r="QT52" s="255"/>
      <c r="QU52" s="255"/>
      <c r="QV52" s="255"/>
      <c r="QW52" s="255"/>
      <c r="QX52" s="255"/>
      <c r="QY52" s="255"/>
      <c r="QZ52" s="255"/>
      <c r="RA52" s="255"/>
      <c r="RB52" s="255"/>
      <c r="RC52" s="255"/>
      <c r="RD52" s="255"/>
      <c r="RE52" s="255"/>
      <c r="RF52" s="255"/>
      <c r="RG52" s="255"/>
      <c r="RH52" s="255"/>
      <c r="RI52" s="255"/>
      <c r="RJ52" s="255"/>
      <c r="RK52" s="255"/>
      <c r="RL52" s="255"/>
      <c r="RM52" s="255"/>
      <c r="RN52" s="255"/>
      <c r="RO52" s="255"/>
      <c r="RP52" s="255"/>
      <c r="RQ52" s="255"/>
      <c r="RR52" s="255"/>
      <c r="RS52" s="255"/>
      <c r="RT52" s="255"/>
      <c r="RU52" s="255"/>
      <c r="RV52" s="255"/>
      <c r="RW52" s="255"/>
      <c r="RX52" s="255"/>
      <c r="RY52" s="255"/>
      <c r="RZ52" s="255"/>
      <c r="SA52" s="255"/>
      <c r="SB52" s="255"/>
      <c r="SC52" s="255"/>
      <c r="SD52" s="255"/>
      <c r="SE52" s="255"/>
      <c r="SF52" s="255"/>
      <c r="SG52" s="255"/>
      <c r="SH52" s="255"/>
      <c r="SI52" s="255"/>
      <c r="SJ52" s="255"/>
      <c r="SK52" s="255"/>
      <c r="SL52" s="255"/>
      <c r="SM52" s="255"/>
      <c r="SN52" s="255"/>
      <c r="SO52" s="255"/>
      <c r="SP52" s="255"/>
      <c r="SQ52" s="255"/>
      <c r="SR52" s="255"/>
      <c r="SS52" s="255"/>
      <c r="ST52" s="255"/>
      <c r="SU52" s="255"/>
      <c r="SV52" s="255"/>
      <c r="SW52" s="255"/>
      <c r="SX52" s="255"/>
      <c r="SY52" s="255"/>
      <c r="SZ52" s="255"/>
      <c r="TA52" s="255"/>
      <c r="TB52" s="255"/>
      <c r="TC52" s="255"/>
      <c r="TD52" s="255"/>
      <c r="TE52" s="255"/>
      <c r="TF52" s="255"/>
      <c r="TG52" s="255"/>
      <c r="TH52" s="255"/>
      <c r="TI52" s="255"/>
      <c r="TJ52" s="255"/>
      <c r="TK52" s="255"/>
      <c r="TL52" s="255"/>
      <c r="TM52" s="255"/>
      <c r="TN52" s="255"/>
      <c r="TO52" s="255"/>
      <c r="TP52" s="255"/>
      <c r="TQ52" s="255"/>
      <c r="TR52" s="255"/>
      <c r="TS52" s="255"/>
      <c r="TT52" s="255"/>
      <c r="TU52" s="255"/>
      <c r="TV52" s="255"/>
      <c r="TW52" s="255"/>
      <c r="TX52" s="255"/>
      <c r="TY52" s="255"/>
      <c r="TZ52" s="255"/>
      <c r="UA52" s="255"/>
      <c r="UB52" s="255"/>
      <c r="UC52" s="255"/>
      <c r="UD52" s="255"/>
      <c r="UE52" s="255"/>
      <c r="UF52" s="255"/>
      <c r="UG52" s="255"/>
      <c r="UH52" s="255"/>
      <c r="UI52" s="255"/>
      <c r="UJ52" s="255"/>
      <c r="UK52" s="255"/>
      <c r="UL52" s="255"/>
      <c r="UM52" s="255"/>
      <c r="UN52" s="255"/>
      <c r="UO52" s="255"/>
      <c r="UP52" s="255"/>
      <c r="UQ52" s="255"/>
      <c r="UR52" s="255"/>
      <c r="US52" s="255"/>
      <c r="UT52" s="255"/>
      <c r="UU52" s="255"/>
      <c r="UV52" s="255"/>
      <c r="UW52" s="255"/>
      <c r="UX52" s="255"/>
      <c r="UY52" s="255"/>
      <c r="UZ52" s="255"/>
      <c r="VA52" s="255"/>
      <c r="VB52" s="255"/>
      <c r="VC52" s="255"/>
      <c r="VD52" s="255"/>
      <c r="VE52" s="255"/>
      <c r="VF52" s="255"/>
      <c r="VG52" s="255"/>
      <c r="VH52" s="255"/>
      <c r="VI52" s="255"/>
      <c r="VJ52" s="255"/>
      <c r="VK52" s="255"/>
      <c r="VL52" s="255"/>
      <c r="VM52" s="255"/>
      <c r="VN52" s="255"/>
      <c r="VO52" s="255"/>
      <c r="VP52" s="255"/>
      <c r="VQ52" s="255"/>
      <c r="VR52" s="255"/>
      <c r="VS52" s="255"/>
      <c r="VT52" s="255"/>
      <c r="VU52" s="255"/>
      <c r="VV52" s="255"/>
      <c r="VW52" s="255"/>
      <c r="VX52" s="255"/>
      <c r="VY52" s="255"/>
      <c r="VZ52" s="255"/>
      <c r="WA52" s="255"/>
      <c r="WB52" s="255"/>
      <c r="WC52" s="255"/>
      <c r="WD52" s="255"/>
      <c r="WE52" s="255"/>
      <c r="WF52" s="255"/>
      <c r="WG52" s="255"/>
      <c r="WH52" s="255"/>
      <c r="WI52" s="255"/>
      <c r="WJ52" s="255"/>
      <c r="WK52" s="255"/>
      <c r="WL52" s="255"/>
      <c r="WM52" s="255"/>
      <c r="WN52" s="255"/>
      <c r="WO52" s="255"/>
      <c r="WP52" s="255"/>
      <c r="WQ52" s="255"/>
      <c r="WR52" s="255"/>
      <c r="WS52" s="255"/>
      <c r="WT52" s="255"/>
      <c r="WU52" s="255"/>
      <c r="WV52" s="255"/>
      <c r="WW52" s="255"/>
      <c r="WX52" s="255"/>
      <c r="WY52" s="255"/>
      <c r="WZ52" s="255"/>
      <c r="XA52" s="255"/>
      <c r="XB52" s="255"/>
      <c r="XC52" s="255"/>
      <c r="XD52" s="255"/>
      <c r="XE52" s="255"/>
      <c r="XF52" s="255"/>
      <c r="XG52" s="255"/>
      <c r="XH52" s="255"/>
      <c r="XI52" s="255"/>
      <c r="XJ52" s="255"/>
      <c r="XK52" s="255"/>
      <c r="XL52" s="255"/>
      <c r="XM52" s="255"/>
      <c r="XN52" s="255"/>
      <c r="XO52" s="255"/>
      <c r="XP52" s="255"/>
      <c r="XQ52" s="255"/>
      <c r="XR52" s="255"/>
      <c r="XS52" s="255"/>
      <c r="XT52" s="255"/>
      <c r="XU52" s="255"/>
      <c r="XV52" s="255"/>
      <c r="XW52" s="255"/>
      <c r="XX52" s="255"/>
      <c r="XY52" s="255"/>
      <c r="XZ52" s="255"/>
      <c r="YA52" s="255"/>
      <c r="YB52" s="255"/>
      <c r="YC52" s="255"/>
      <c r="YD52" s="255"/>
      <c r="YE52" s="255"/>
      <c r="YF52" s="255"/>
      <c r="YG52" s="255"/>
      <c r="YH52" s="255"/>
      <c r="YI52" s="255"/>
      <c r="YJ52" s="255"/>
      <c r="YK52" s="255"/>
      <c r="YL52" s="255"/>
      <c r="YM52" s="255"/>
      <c r="YN52" s="255"/>
      <c r="YO52" s="255"/>
      <c r="YP52" s="255"/>
      <c r="YQ52" s="255"/>
      <c r="YR52" s="255"/>
      <c r="YS52" s="255"/>
      <c r="YT52" s="255"/>
      <c r="YU52" s="255"/>
      <c r="YV52" s="255"/>
      <c r="YW52" s="255"/>
      <c r="YX52" s="255"/>
      <c r="YY52" s="255"/>
      <c r="YZ52" s="255"/>
      <c r="ZA52" s="255"/>
      <c r="ZB52" s="255"/>
      <c r="ZC52" s="255"/>
      <c r="ZD52" s="255"/>
      <c r="ZE52" s="255"/>
      <c r="ZF52" s="255"/>
      <c r="ZG52" s="255"/>
      <c r="ZH52" s="255"/>
      <c r="ZI52" s="255"/>
      <c r="ZJ52" s="255"/>
      <c r="ZK52" s="255"/>
      <c r="ZL52" s="255"/>
      <c r="ZM52" s="255"/>
      <c r="ZN52" s="255"/>
      <c r="ZO52" s="255"/>
      <c r="ZP52" s="255"/>
      <c r="ZQ52" s="255"/>
      <c r="ZR52" s="255"/>
      <c r="ZS52" s="255"/>
      <c r="ZT52" s="255"/>
      <c r="ZU52" s="255"/>
      <c r="ZV52" s="255"/>
      <c r="ZW52" s="255"/>
      <c r="ZX52" s="255"/>
      <c r="ZY52" s="255"/>
      <c r="ZZ52" s="255"/>
      <c r="AAA52" s="255"/>
      <c r="AAB52" s="255"/>
      <c r="AAC52" s="255"/>
      <c r="AAD52" s="255"/>
      <c r="AAE52" s="255"/>
      <c r="AAF52" s="255"/>
      <c r="AAG52" s="255"/>
      <c r="AAH52" s="255"/>
      <c r="AAI52" s="255"/>
      <c r="AAJ52" s="255"/>
      <c r="AAK52" s="255"/>
      <c r="AAL52" s="255"/>
      <c r="AAM52" s="255"/>
      <c r="AAN52" s="255"/>
      <c r="AAO52" s="255"/>
      <c r="AAP52" s="255"/>
      <c r="AAQ52" s="255"/>
      <c r="AAR52" s="255"/>
      <c r="AAS52" s="255"/>
      <c r="AAT52" s="255"/>
      <c r="AAU52" s="255"/>
      <c r="AAV52" s="255"/>
      <c r="AAW52" s="255"/>
      <c r="AAX52" s="255"/>
      <c r="AAY52" s="255"/>
      <c r="AAZ52" s="255"/>
      <c r="ABA52" s="255"/>
      <c r="ABB52" s="255"/>
      <c r="ABC52" s="255"/>
      <c r="ABD52" s="255"/>
      <c r="ABE52" s="255"/>
      <c r="ABF52" s="255"/>
      <c r="ABG52" s="255"/>
      <c r="ABH52" s="255"/>
      <c r="ABI52" s="255"/>
      <c r="ABJ52" s="255"/>
      <c r="ABK52" s="255"/>
      <c r="ABL52" s="255"/>
      <c r="ABM52" s="255"/>
      <c r="ABN52" s="255"/>
      <c r="ABO52" s="255"/>
      <c r="ABP52" s="255"/>
      <c r="ABQ52" s="255"/>
      <c r="ABR52" s="255"/>
      <c r="ABS52" s="255"/>
      <c r="ABT52" s="255"/>
      <c r="ABU52" s="255"/>
      <c r="ABV52" s="255"/>
      <c r="ABW52" s="255"/>
      <c r="ABX52" s="255"/>
      <c r="ABY52" s="255"/>
      <c r="ABZ52" s="255"/>
      <c r="ACA52" s="255"/>
      <c r="ACB52" s="255"/>
      <c r="ACC52" s="255"/>
      <c r="ACD52" s="255"/>
      <c r="ACE52" s="255"/>
      <c r="ACF52" s="255"/>
      <c r="ACG52" s="255"/>
      <c r="ACH52" s="255"/>
      <c r="ACI52" s="255"/>
      <c r="ACJ52" s="255"/>
      <c r="ACK52" s="255"/>
      <c r="ACL52" s="255"/>
      <c r="ACM52" s="255"/>
      <c r="ACN52" s="255"/>
      <c r="ACO52" s="255"/>
      <c r="ACP52" s="255"/>
      <c r="ACQ52" s="255"/>
      <c r="ACR52" s="255"/>
      <c r="ACS52" s="255"/>
      <c r="ACT52" s="255"/>
      <c r="ACU52" s="255"/>
      <c r="ACV52" s="255"/>
      <c r="ACW52" s="255"/>
      <c r="ACX52" s="255"/>
      <c r="ACY52" s="255"/>
      <c r="ACZ52" s="255"/>
      <c r="ADA52" s="255"/>
      <c r="ADB52" s="255"/>
      <c r="ADC52" s="255"/>
      <c r="ADD52" s="255"/>
      <c r="ADE52" s="255"/>
      <c r="ADF52" s="255"/>
      <c r="ADG52" s="255"/>
      <c r="ADH52" s="255"/>
      <c r="ADI52" s="255"/>
      <c r="ADJ52" s="255"/>
      <c r="ADK52" s="255"/>
      <c r="ADL52" s="255"/>
      <c r="ADM52" s="255"/>
      <c r="ADN52" s="255"/>
      <c r="ADO52" s="255"/>
      <c r="ADP52" s="255"/>
      <c r="ADQ52" s="255"/>
      <c r="ADR52" s="255"/>
      <c r="ADS52" s="255"/>
      <c r="ADT52" s="255"/>
      <c r="ADU52" s="255"/>
      <c r="ADV52" s="255"/>
      <c r="ADW52" s="255"/>
      <c r="ADX52" s="255"/>
      <c r="ADY52" s="255"/>
      <c r="ADZ52" s="255"/>
      <c r="AEA52" s="255"/>
      <c r="AEB52" s="255"/>
      <c r="AEC52" s="255"/>
      <c r="AED52" s="255"/>
      <c r="AEE52" s="255"/>
      <c r="AEF52" s="255"/>
      <c r="AEG52" s="255"/>
      <c r="AEH52" s="255"/>
      <c r="AEI52" s="255"/>
      <c r="AEJ52" s="255"/>
      <c r="AEK52" s="255"/>
      <c r="AEL52" s="255"/>
      <c r="AEM52" s="255"/>
      <c r="AEN52" s="255"/>
      <c r="AEO52" s="255"/>
      <c r="AEP52" s="255"/>
      <c r="AEQ52" s="255"/>
      <c r="AER52" s="255"/>
      <c r="AES52" s="255"/>
      <c r="AET52" s="255"/>
      <c r="AEU52" s="255"/>
      <c r="AEV52" s="255"/>
      <c r="AEW52" s="255"/>
      <c r="AEX52" s="255"/>
      <c r="AEY52" s="255"/>
      <c r="AEZ52" s="255"/>
      <c r="AFA52" s="255"/>
      <c r="AFB52" s="255"/>
      <c r="AFC52" s="255"/>
      <c r="AFD52" s="255"/>
      <c r="AFE52" s="255"/>
      <c r="AFF52" s="255"/>
      <c r="AFG52" s="255"/>
      <c r="AFH52" s="255"/>
      <c r="AFI52" s="255"/>
      <c r="AFJ52" s="255"/>
      <c r="AFK52" s="255"/>
      <c r="AFL52" s="255"/>
      <c r="AFM52" s="255"/>
      <c r="AFN52" s="255"/>
      <c r="AFO52" s="255"/>
      <c r="AFP52" s="255"/>
      <c r="AFQ52" s="255"/>
      <c r="AFR52" s="255"/>
      <c r="AFS52" s="255"/>
      <c r="AFT52" s="255"/>
      <c r="AFU52" s="255"/>
      <c r="AFV52" s="255"/>
      <c r="AFW52" s="255"/>
      <c r="AFX52" s="255"/>
      <c r="AFY52" s="255"/>
      <c r="AFZ52" s="255"/>
      <c r="AGA52" s="255"/>
      <c r="AGB52" s="255"/>
      <c r="AGC52" s="255"/>
      <c r="AGD52" s="255"/>
      <c r="AGE52" s="255"/>
      <c r="AGF52" s="255"/>
      <c r="AGG52" s="255"/>
      <c r="AGH52" s="255"/>
      <c r="AGI52" s="255"/>
      <c r="AGJ52" s="255"/>
      <c r="AGK52" s="255"/>
      <c r="AGL52" s="255"/>
      <c r="AGM52" s="255"/>
      <c r="AGN52" s="255"/>
      <c r="AGO52" s="255"/>
      <c r="AGP52" s="255"/>
      <c r="AGQ52" s="255"/>
      <c r="AGR52" s="255"/>
      <c r="AGS52" s="255"/>
      <c r="AGT52" s="255"/>
      <c r="AGU52" s="255"/>
      <c r="AGV52" s="255"/>
      <c r="AGW52" s="255"/>
      <c r="AGX52" s="255"/>
      <c r="AGY52" s="255"/>
      <c r="AGZ52" s="255"/>
      <c r="AHA52" s="255"/>
      <c r="AHB52" s="255"/>
      <c r="AHC52" s="255"/>
      <c r="AHD52" s="255"/>
      <c r="AHE52" s="255"/>
      <c r="AHF52" s="255"/>
      <c r="AHG52" s="255"/>
      <c r="AHH52" s="255"/>
      <c r="AHI52" s="255"/>
      <c r="AHJ52" s="255"/>
      <c r="AHK52" s="255"/>
      <c r="AHL52" s="255"/>
      <c r="AHM52" s="255"/>
      <c r="AHN52" s="255"/>
      <c r="AHO52" s="255"/>
      <c r="AHP52" s="255"/>
      <c r="AHQ52" s="255"/>
      <c r="AHR52" s="255"/>
      <c r="AHS52" s="255"/>
      <c r="AHT52" s="255"/>
      <c r="AHU52" s="255"/>
      <c r="AHV52" s="255"/>
      <c r="AHW52" s="255"/>
      <c r="AHX52" s="255"/>
      <c r="AHY52" s="255"/>
      <c r="AHZ52" s="255"/>
      <c r="AIA52" s="255"/>
      <c r="AIB52" s="255"/>
      <c r="AIC52" s="255"/>
      <c r="AID52" s="255"/>
      <c r="AIE52" s="255"/>
      <c r="AIF52" s="255"/>
      <c r="AIG52" s="255"/>
      <c r="AIH52" s="255"/>
      <c r="AII52" s="255"/>
      <c r="AIJ52" s="255"/>
      <c r="AIK52" s="255"/>
      <c r="AIL52" s="255"/>
      <c r="AIM52" s="255"/>
      <c r="AIN52" s="255"/>
      <c r="AIO52" s="255"/>
      <c r="AIP52" s="255"/>
      <c r="AIQ52" s="255"/>
      <c r="AIR52" s="255"/>
      <c r="AIS52" s="255"/>
      <c r="AIT52" s="255"/>
      <c r="AIU52" s="255"/>
      <c r="AIV52" s="255"/>
      <c r="AIW52" s="255"/>
      <c r="AIX52" s="255"/>
      <c r="AIY52" s="255"/>
      <c r="AIZ52" s="255"/>
      <c r="AJA52" s="255"/>
      <c r="AJB52" s="255"/>
      <c r="AJC52" s="255"/>
      <c r="AJD52" s="255"/>
      <c r="AJE52" s="255"/>
      <c r="AJF52" s="255"/>
      <c r="AJG52" s="255"/>
      <c r="AJH52" s="255"/>
      <c r="AJI52" s="255"/>
      <c r="AJJ52" s="255"/>
      <c r="AJK52" s="255"/>
      <c r="AJL52" s="255"/>
      <c r="AJM52" s="255"/>
      <c r="AJN52" s="255"/>
      <c r="AJO52" s="255"/>
      <c r="AJP52" s="255"/>
      <c r="AJQ52" s="255"/>
      <c r="AJR52" s="255"/>
      <c r="AJS52" s="255"/>
      <c r="AJT52" s="255"/>
      <c r="AJU52" s="255"/>
      <c r="AJV52" s="255"/>
      <c r="AJW52" s="255"/>
      <c r="AJX52" s="255"/>
      <c r="AJY52" s="255"/>
      <c r="AJZ52" s="255"/>
      <c r="AKA52" s="255"/>
      <c r="AKB52" s="255"/>
      <c r="AKC52" s="255"/>
      <c r="AKD52" s="255"/>
      <c r="AKE52" s="255"/>
      <c r="AKF52" s="255"/>
      <c r="AKG52" s="255"/>
      <c r="AKH52" s="255"/>
      <c r="AKI52" s="255"/>
      <c r="AKJ52" s="255"/>
      <c r="AKK52" s="255"/>
      <c r="AKL52" s="255"/>
      <c r="AKM52" s="255"/>
      <c r="AKN52" s="255"/>
      <c r="AKO52" s="255"/>
      <c r="AKP52" s="255"/>
      <c r="AKQ52" s="255"/>
      <c r="AKR52" s="255"/>
      <c r="AKS52" s="255"/>
      <c r="AKT52" s="255"/>
      <c r="AKU52" s="255"/>
      <c r="AKV52" s="255"/>
      <c r="AKW52" s="255"/>
      <c r="AKX52" s="255"/>
      <c r="AKY52" s="255"/>
      <c r="AKZ52" s="255"/>
      <c r="ALA52" s="255"/>
      <c r="ALB52" s="255"/>
      <c r="ALC52" s="255"/>
      <c r="ALD52" s="255"/>
      <c r="ALE52" s="42"/>
      <c r="ALF52" s="42"/>
      <c r="ALG52" s="42"/>
      <c r="ALH52" s="42"/>
      <c r="ALI52" s="42"/>
      <c r="ALJ52" s="42"/>
      <c r="ALK52" s="42"/>
      <c r="ALL52" s="42"/>
      <c r="ALM52" s="42"/>
    </row>
    <row r="53" spans="1:1001" s="191" customFormat="1" ht="12.75" customHeight="1">
      <c r="A53" s="680" t="s">
        <v>7103</v>
      </c>
      <c r="B53" s="680"/>
      <c r="C53" s="680"/>
      <c r="D53" s="680"/>
      <c r="E53" s="680"/>
      <c r="F53" s="680"/>
      <c r="G53" s="680"/>
      <c r="H53" s="680"/>
      <c r="I53" s="680"/>
      <c r="J53" s="281">
        <f>SUMPRODUCT(E12:E50,G12:G50)+SUMPRODUCT(E12:E50,H12:H50)</f>
        <v>21929.890319015998</v>
      </c>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c r="AL53" s="255"/>
      <c r="AM53" s="255"/>
      <c r="AN53" s="255"/>
      <c r="AO53" s="255"/>
      <c r="AP53" s="255"/>
      <c r="AQ53" s="255"/>
      <c r="AR53" s="255"/>
      <c r="AS53" s="255"/>
      <c r="AT53" s="255"/>
      <c r="AU53" s="255"/>
      <c r="AV53" s="255"/>
      <c r="AW53" s="255"/>
      <c r="AX53" s="255"/>
      <c r="AY53" s="255"/>
      <c r="AZ53" s="255"/>
      <c r="BA53" s="255"/>
      <c r="BB53" s="255"/>
      <c r="BC53" s="255"/>
      <c r="BD53" s="255"/>
      <c r="BE53" s="255"/>
      <c r="BF53" s="255"/>
      <c r="BG53" s="255"/>
      <c r="BH53" s="255"/>
      <c r="BI53" s="255"/>
      <c r="BJ53" s="255"/>
      <c r="BK53" s="255"/>
      <c r="BL53" s="255"/>
      <c r="BM53" s="255"/>
      <c r="BN53" s="255"/>
      <c r="BO53" s="255"/>
      <c r="BP53" s="255"/>
      <c r="BQ53" s="255"/>
      <c r="BR53" s="255"/>
      <c r="BS53" s="255"/>
      <c r="BT53" s="255"/>
      <c r="BU53" s="255"/>
      <c r="BV53" s="255"/>
      <c r="BW53" s="255"/>
      <c r="BX53" s="255"/>
      <c r="BY53" s="255"/>
      <c r="BZ53" s="255"/>
      <c r="CA53" s="255"/>
      <c r="CB53" s="255"/>
      <c r="CC53" s="255"/>
      <c r="CD53" s="255"/>
      <c r="CE53" s="255"/>
      <c r="CF53" s="255"/>
      <c r="CG53" s="255"/>
      <c r="CH53" s="255"/>
      <c r="CI53" s="255"/>
      <c r="CJ53" s="255"/>
      <c r="CK53" s="255"/>
      <c r="CL53" s="255"/>
      <c r="CM53" s="255"/>
      <c r="CN53" s="255"/>
      <c r="CO53" s="255"/>
      <c r="CP53" s="255"/>
      <c r="CQ53" s="255"/>
      <c r="CR53" s="255"/>
      <c r="CS53" s="255"/>
      <c r="CT53" s="255"/>
      <c r="CU53" s="255"/>
      <c r="CV53" s="255"/>
      <c r="CW53" s="255"/>
      <c r="CX53" s="255"/>
      <c r="CY53" s="255"/>
      <c r="CZ53" s="255"/>
      <c r="DA53" s="255"/>
      <c r="DB53" s="255"/>
      <c r="DC53" s="255"/>
      <c r="DD53" s="255"/>
      <c r="DE53" s="255"/>
      <c r="DF53" s="255"/>
      <c r="DG53" s="255"/>
      <c r="DH53" s="255"/>
      <c r="DI53" s="255"/>
      <c r="DJ53" s="255"/>
      <c r="DK53" s="255"/>
      <c r="DL53" s="255"/>
      <c r="DM53" s="255"/>
      <c r="DN53" s="255"/>
      <c r="DO53" s="255"/>
      <c r="DP53" s="255"/>
      <c r="DQ53" s="255"/>
      <c r="DR53" s="255"/>
      <c r="DS53" s="255"/>
      <c r="DT53" s="255"/>
      <c r="DU53" s="255"/>
      <c r="DV53" s="255"/>
      <c r="DW53" s="255"/>
      <c r="DX53" s="255"/>
      <c r="DY53" s="255"/>
      <c r="DZ53" s="255"/>
      <c r="EA53" s="255"/>
      <c r="EB53" s="255"/>
      <c r="EC53" s="255"/>
      <c r="ED53" s="255"/>
      <c r="EE53" s="255"/>
      <c r="EF53" s="255"/>
      <c r="EG53" s="255"/>
      <c r="EH53" s="255"/>
      <c r="EI53" s="255"/>
      <c r="EJ53" s="255"/>
      <c r="EK53" s="255"/>
      <c r="EL53" s="255"/>
      <c r="EM53" s="255"/>
      <c r="EN53" s="255"/>
      <c r="EO53" s="255"/>
      <c r="EP53" s="255"/>
      <c r="EQ53" s="255"/>
      <c r="ER53" s="255"/>
      <c r="ES53" s="255"/>
      <c r="ET53" s="255"/>
      <c r="EU53" s="255"/>
      <c r="EV53" s="255"/>
      <c r="EW53" s="255"/>
      <c r="EX53" s="255"/>
      <c r="EY53" s="255"/>
      <c r="EZ53" s="255"/>
      <c r="FA53" s="255"/>
      <c r="FB53" s="255"/>
      <c r="FC53" s="255"/>
      <c r="FD53" s="255"/>
      <c r="FE53" s="255"/>
      <c r="FF53" s="255"/>
      <c r="FG53" s="255"/>
      <c r="FH53" s="255"/>
      <c r="FI53" s="255"/>
      <c r="FJ53" s="255"/>
      <c r="FK53" s="255"/>
      <c r="FL53" s="255"/>
      <c r="FM53" s="255"/>
      <c r="FN53" s="255"/>
      <c r="FO53" s="255"/>
      <c r="FP53" s="255"/>
      <c r="FQ53" s="255"/>
      <c r="FR53" s="255"/>
      <c r="FS53" s="255"/>
      <c r="FT53" s="255"/>
      <c r="FU53" s="255"/>
      <c r="FV53" s="255"/>
      <c r="FW53" s="255"/>
      <c r="FX53" s="255"/>
      <c r="FY53" s="255"/>
      <c r="FZ53" s="255"/>
      <c r="GA53" s="255"/>
      <c r="GB53" s="255"/>
      <c r="GC53" s="255"/>
      <c r="GD53" s="255"/>
      <c r="GE53" s="255"/>
      <c r="GF53" s="255"/>
      <c r="GG53" s="255"/>
      <c r="GH53" s="255"/>
      <c r="GI53" s="255"/>
      <c r="GJ53" s="255"/>
      <c r="GK53" s="255"/>
      <c r="GL53" s="255"/>
      <c r="GM53" s="255"/>
      <c r="GN53" s="255"/>
      <c r="GO53" s="255"/>
      <c r="GP53" s="255"/>
      <c r="GQ53" s="255"/>
      <c r="GR53" s="255"/>
      <c r="GS53" s="255"/>
      <c r="GT53" s="255"/>
      <c r="GU53" s="255"/>
      <c r="GV53" s="255"/>
      <c r="GW53" s="255"/>
      <c r="GX53" s="255"/>
      <c r="GY53" s="255"/>
      <c r="GZ53" s="255"/>
      <c r="HA53" s="255"/>
      <c r="HB53" s="255"/>
      <c r="HC53" s="255"/>
      <c r="HD53" s="255"/>
      <c r="HE53" s="255"/>
      <c r="HF53" s="255"/>
      <c r="HG53" s="255"/>
      <c r="HH53" s="255"/>
      <c r="HI53" s="255"/>
      <c r="HJ53" s="255"/>
      <c r="HK53" s="255"/>
      <c r="HL53" s="255"/>
      <c r="HM53" s="255"/>
      <c r="HN53" s="255"/>
      <c r="HO53" s="255"/>
      <c r="HP53" s="255"/>
      <c r="HQ53" s="255"/>
      <c r="HR53" s="255"/>
      <c r="HS53" s="255"/>
      <c r="HT53" s="255"/>
      <c r="HU53" s="255"/>
      <c r="HV53" s="255"/>
      <c r="HW53" s="255"/>
      <c r="HX53" s="255"/>
      <c r="HY53" s="255"/>
      <c r="HZ53" s="255"/>
      <c r="IA53" s="255"/>
      <c r="IB53" s="255"/>
      <c r="IC53" s="255"/>
      <c r="ID53" s="255"/>
      <c r="IE53" s="255"/>
      <c r="IF53" s="255"/>
      <c r="IG53" s="255"/>
      <c r="IH53" s="255"/>
      <c r="II53" s="255"/>
      <c r="IJ53" s="255"/>
      <c r="IK53" s="255"/>
      <c r="IL53" s="255"/>
      <c r="IM53" s="255"/>
      <c r="IN53" s="255"/>
      <c r="IO53" s="255"/>
      <c r="IP53" s="255"/>
      <c r="IQ53" s="255"/>
      <c r="IR53" s="255"/>
      <c r="IS53" s="255"/>
      <c r="IT53" s="255"/>
      <c r="IU53" s="255"/>
      <c r="IV53" s="255"/>
      <c r="IW53" s="255"/>
      <c r="IX53" s="255"/>
      <c r="IY53" s="255"/>
      <c r="IZ53" s="255"/>
      <c r="JA53" s="255"/>
      <c r="JB53" s="255"/>
      <c r="JC53" s="255"/>
      <c r="JD53" s="255"/>
      <c r="JE53" s="255"/>
      <c r="JF53" s="255"/>
      <c r="JG53" s="255"/>
      <c r="JH53" s="255"/>
      <c r="JI53" s="255"/>
      <c r="JJ53" s="255"/>
      <c r="JK53" s="255"/>
      <c r="JL53" s="255"/>
      <c r="JM53" s="255"/>
      <c r="JN53" s="255"/>
      <c r="JO53" s="255"/>
      <c r="JP53" s="255"/>
      <c r="JQ53" s="255"/>
      <c r="JR53" s="255"/>
      <c r="JS53" s="255"/>
      <c r="JT53" s="255"/>
      <c r="JU53" s="255"/>
      <c r="JV53" s="255"/>
      <c r="JW53" s="255"/>
      <c r="JX53" s="255"/>
      <c r="JY53" s="255"/>
      <c r="JZ53" s="255"/>
      <c r="KA53" s="255"/>
      <c r="KB53" s="255"/>
      <c r="KC53" s="255"/>
      <c r="KD53" s="255"/>
      <c r="KE53" s="255"/>
      <c r="KF53" s="255"/>
      <c r="KG53" s="255"/>
      <c r="KH53" s="255"/>
      <c r="KI53" s="255"/>
      <c r="KJ53" s="255"/>
      <c r="KK53" s="255"/>
      <c r="KL53" s="255"/>
      <c r="KM53" s="255"/>
      <c r="KN53" s="255"/>
      <c r="KO53" s="255"/>
      <c r="KP53" s="255"/>
      <c r="KQ53" s="255"/>
      <c r="KR53" s="255"/>
      <c r="KS53" s="255"/>
      <c r="KT53" s="255"/>
      <c r="KU53" s="255"/>
      <c r="KV53" s="255"/>
      <c r="KW53" s="255"/>
      <c r="KX53" s="255"/>
      <c r="KY53" s="255"/>
      <c r="KZ53" s="255"/>
      <c r="LA53" s="255"/>
      <c r="LB53" s="255"/>
      <c r="LC53" s="255"/>
      <c r="LD53" s="255"/>
      <c r="LE53" s="255"/>
      <c r="LF53" s="255"/>
      <c r="LG53" s="255"/>
      <c r="LH53" s="255"/>
      <c r="LI53" s="255"/>
      <c r="LJ53" s="255"/>
      <c r="LK53" s="255"/>
      <c r="LL53" s="255"/>
      <c r="LM53" s="255"/>
      <c r="LN53" s="255"/>
      <c r="LO53" s="255"/>
      <c r="LP53" s="255"/>
      <c r="LQ53" s="255"/>
      <c r="LR53" s="255"/>
      <c r="LS53" s="255"/>
      <c r="LT53" s="255"/>
      <c r="LU53" s="255"/>
      <c r="LV53" s="255"/>
      <c r="LW53" s="255"/>
      <c r="LX53" s="255"/>
      <c r="LY53" s="255"/>
      <c r="LZ53" s="255"/>
      <c r="MA53" s="255"/>
      <c r="MB53" s="255"/>
      <c r="MC53" s="255"/>
      <c r="MD53" s="255"/>
      <c r="ME53" s="255"/>
      <c r="MF53" s="255"/>
      <c r="MG53" s="255"/>
      <c r="MH53" s="255"/>
      <c r="MI53" s="255"/>
      <c r="MJ53" s="255"/>
      <c r="MK53" s="255"/>
      <c r="ML53" s="255"/>
      <c r="MM53" s="255"/>
      <c r="MN53" s="255"/>
      <c r="MO53" s="255"/>
      <c r="MP53" s="255"/>
      <c r="MQ53" s="255"/>
      <c r="MR53" s="255"/>
      <c r="MS53" s="255"/>
      <c r="MT53" s="255"/>
      <c r="MU53" s="255"/>
      <c r="MV53" s="255"/>
      <c r="MW53" s="255"/>
      <c r="MX53" s="255"/>
      <c r="MY53" s="255"/>
      <c r="MZ53" s="255"/>
      <c r="NA53" s="255"/>
      <c r="NB53" s="255"/>
      <c r="NC53" s="255"/>
      <c r="ND53" s="255"/>
      <c r="NE53" s="255"/>
      <c r="NF53" s="255"/>
      <c r="NG53" s="255"/>
      <c r="NH53" s="255"/>
      <c r="NI53" s="255"/>
      <c r="NJ53" s="255"/>
      <c r="NK53" s="255"/>
      <c r="NL53" s="255"/>
      <c r="NM53" s="255"/>
      <c r="NN53" s="255"/>
      <c r="NO53" s="255"/>
      <c r="NP53" s="255"/>
      <c r="NQ53" s="255"/>
      <c r="NR53" s="255"/>
      <c r="NS53" s="255"/>
      <c r="NT53" s="255"/>
      <c r="NU53" s="255"/>
      <c r="NV53" s="255"/>
      <c r="NW53" s="255"/>
      <c r="NX53" s="255"/>
      <c r="NY53" s="255"/>
      <c r="NZ53" s="255"/>
      <c r="OA53" s="255"/>
      <c r="OB53" s="255"/>
      <c r="OC53" s="255"/>
      <c r="OD53" s="255"/>
      <c r="OE53" s="255"/>
      <c r="OF53" s="255"/>
      <c r="OG53" s="255"/>
      <c r="OH53" s="255"/>
      <c r="OI53" s="255"/>
      <c r="OJ53" s="255"/>
      <c r="OK53" s="255"/>
      <c r="OL53" s="255"/>
      <c r="OM53" s="255"/>
      <c r="ON53" s="255"/>
      <c r="OO53" s="255"/>
      <c r="OP53" s="255"/>
      <c r="OQ53" s="255"/>
      <c r="OR53" s="255"/>
      <c r="OS53" s="255"/>
      <c r="OT53" s="255"/>
      <c r="OU53" s="255"/>
      <c r="OV53" s="255"/>
      <c r="OW53" s="255"/>
      <c r="OX53" s="255"/>
      <c r="OY53" s="255"/>
      <c r="OZ53" s="255"/>
      <c r="PA53" s="255"/>
      <c r="PB53" s="255"/>
      <c r="PC53" s="255"/>
      <c r="PD53" s="255"/>
      <c r="PE53" s="255"/>
      <c r="PF53" s="255"/>
      <c r="PG53" s="255"/>
      <c r="PH53" s="255"/>
      <c r="PI53" s="255"/>
      <c r="PJ53" s="255"/>
      <c r="PK53" s="255"/>
      <c r="PL53" s="255"/>
      <c r="PM53" s="255"/>
      <c r="PN53" s="255"/>
      <c r="PO53" s="255"/>
      <c r="PP53" s="255"/>
      <c r="PQ53" s="255"/>
      <c r="PR53" s="255"/>
      <c r="PS53" s="255"/>
      <c r="PT53" s="255"/>
      <c r="PU53" s="255"/>
      <c r="PV53" s="255"/>
      <c r="PW53" s="255"/>
      <c r="PX53" s="255"/>
      <c r="PY53" s="255"/>
      <c r="PZ53" s="255"/>
      <c r="QA53" s="255"/>
      <c r="QB53" s="255"/>
      <c r="QC53" s="255"/>
      <c r="QD53" s="255"/>
      <c r="QE53" s="255"/>
      <c r="QF53" s="255"/>
      <c r="QG53" s="255"/>
      <c r="QH53" s="255"/>
      <c r="QI53" s="255"/>
      <c r="QJ53" s="255"/>
      <c r="QK53" s="255"/>
      <c r="QL53" s="255"/>
      <c r="QM53" s="255"/>
      <c r="QN53" s="255"/>
      <c r="QO53" s="255"/>
      <c r="QP53" s="255"/>
      <c r="QQ53" s="255"/>
      <c r="QR53" s="255"/>
      <c r="QS53" s="255"/>
      <c r="QT53" s="255"/>
      <c r="QU53" s="255"/>
      <c r="QV53" s="255"/>
      <c r="QW53" s="255"/>
      <c r="QX53" s="255"/>
      <c r="QY53" s="255"/>
      <c r="QZ53" s="255"/>
      <c r="RA53" s="255"/>
      <c r="RB53" s="255"/>
      <c r="RC53" s="255"/>
      <c r="RD53" s="255"/>
      <c r="RE53" s="255"/>
      <c r="RF53" s="255"/>
      <c r="RG53" s="255"/>
      <c r="RH53" s="255"/>
      <c r="RI53" s="255"/>
      <c r="RJ53" s="255"/>
      <c r="RK53" s="255"/>
      <c r="RL53" s="255"/>
      <c r="RM53" s="255"/>
      <c r="RN53" s="255"/>
      <c r="RO53" s="255"/>
      <c r="RP53" s="255"/>
      <c r="RQ53" s="255"/>
      <c r="RR53" s="255"/>
      <c r="RS53" s="255"/>
      <c r="RT53" s="255"/>
      <c r="RU53" s="255"/>
      <c r="RV53" s="255"/>
      <c r="RW53" s="255"/>
      <c r="RX53" s="255"/>
      <c r="RY53" s="255"/>
      <c r="RZ53" s="255"/>
      <c r="SA53" s="255"/>
      <c r="SB53" s="255"/>
      <c r="SC53" s="255"/>
      <c r="SD53" s="255"/>
      <c r="SE53" s="255"/>
      <c r="SF53" s="255"/>
      <c r="SG53" s="255"/>
      <c r="SH53" s="255"/>
      <c r="SI53" s="255"/>
      <c r="SJ53" s="255"/>
      <c r="SK53" s="255"/>
      <c r="SL53" s="255"/>
      <c r="SM53" s="255"/>
      <c r="SN53" s="255"/>
      <c r="SO53" s="255"/>
      <c r="SP53" s="255"/>
      <c r="SQ53" s="255"/>
      <c r="SR53" s="255"/>
      <c r="SS53" s="255"/>
      <c r="ST53" s="255"/>
      <c r="SU53" s="255"/>
      <c r="SV53" s="255"/>
      <c r="SW53" s="255"/>
      <c r="SX53" s="255"/>
      <c r="SY53" s="255"/>
      <c r="SZ53" s="255"/>
      <c r="TA53" s="255"/>
      <c r="TB53" s="255"/>
      <c r="TC53" s="255"/>
      <c r="TD53" s="255"/>
      <c r="TE53" s="255"/>
      <c r="TF53" s="255"/>
      <c r="TG53" s="255"/>
      <c r="TH53" s="255"/>
      <c r="TI53" s="255"/>
      <c r="TJ53" s="255"/>
      <c r="TK53" s="255"/>
      <c r="TL53" s="255"/>
      <c r="TM53" s="255"/>
      <c r="TN53" s="255"/>
      <c r="TO53" s="255"/>
      <c r="TP53" s="255"/>
      <c r="TQ53" s="255"/>
      <c r="TR53" s="255"/>
      <c r="TS53" s="255"/>
      <c r="TT53" s="255"/>
      <c r="TU53" s="255"/>
      <c r="TV53" s="255"/>
      <c r="TW53" s="255"/>
      <c r="TX53" s="255"/>
      <c r="TY53" s="255"/>
      <c r="TZ53" s="255"/>
      <c r="UA53" s="255"/>
      <c r="UB53" s="255"/>
      <c r="UC53" s="255"/>
      <c r="UD53" s="255"/>
      <c r="UE53" s="255"/>
      <c r="UF53" s="255"/>
      <c r="UG53" s="255"/>
      <c r="UH53" s="255"/>
      <c r="UI53" s="255"/>
      <c r="UJ53" s="255"/>
      <c r="UK53" s="255"/>
      <c r="UL53" s="255"/>
      <c r="UM53" s="255"/>
      <c r="UN53" s="255"/>
      <c r="UO53" s="255"/>
      <c r="UP53" s="255"/>
      <c r="UQ53" s="255"/>
      <c r="UR53" s="255"/>
      <c r="US53" s="255"/>
      <c r="UT53" s="255"/>
      <c r="UU53" s="255"/>
      <c r="UV53" s="255"/>
      <c r="UW53" s="255"/>
      <c r="UX53" s="255"/>
      <c r="UY53" s="255"/>
      <c r="UZ53" s="255"/>
      <c r="VA53" s="255"/>
      <c r="VB53" s="255"/>
      <c r="VC53" s="255"/>
      <c r="VD53" s="255"/>
      <c r="VE53" s="255"/>
      <c r="VF53" s="255"/>
      <c r="VG53" s="255"/>
      <c r="VH53" s="255"/>
      <c r="VI53" s="255"/>
      <c r="VJ53" s="255"/>
      <c r="VK53" s="255"/>
      <c r="VL53" s="255"/>
      <c r="VM53" s="255"/>
      <c r="VN53" s="255"/>
      <c r="VO53" s="255"/>
      <c r="VP53" s="255"/>
      <c r="VQ53" s="255"/>
      <c r="VR53" s="255"/>
      <c r="VS53" s="255"/>
      <c r="VT53" s="255"/>
      <c r="VU53" s="255"/>
      <c r="VV53" s="255"/>
      <c r="VW53" s="255"/>
      <c r="VX53" s="255"/>
      <c r="VY53" s="255"/>
      <c r="VZ53" s="255"/>
      <c r="WA53" s="255"/>
      <c r="WB53" s="255"/>
      <c r="WC53" s="255"/>
      <c r="WD53" s="255"/>
      <c r="WE53" s="255"/>
      <c r="WF53" s="255"/>
      <c r="WG53" s="255"/>
      <c r="WH53" s="255"/>
      <c r="WI53" s="255"/>
      <c r="WJ53" s="255"/>
      <c r="WK53" s="255"/>
      <c r="WL53" s="255"/>
      <c r="WM53" s="255"/>
      <c r="WN53" s="255"/>
      <c r="WO53" s="255"/>
      <c r="WP53" s="255"/>
      <c r="WQ53" s="255"/>
      <c r="WR53" s="255"/>
      <c r="WS53" s="255"/>
      <c r="WT53" s="255"/>
      <c r="WU53" s="255"/>
      <c r="WV53" s="255"/>
      <c r="WW53" s="255"/>
      <c r="WX53" s="255"/>
      <c r="WY53" s="255"/>
      <c r="WZ53" s="255"/>
      <c r="XA53" s="255"/>
      <c r="XB53" s="255"/>
      <c r="XC53" s="255"/>
      <c r="XD53" s="255"/>
      <c r="XE53" s="255"/>
      <c r="XF53" s="255"/>
      <c r="XG53" s="255"/>
      <c r="XH53" s="255"/>
      <c r="XI53" s="255"/>
      <c r="XJ53" s="255"/>
      <c r="XK53" s="255"/>
      <c r="XL53" s="255"/>
      <c r="XM53" s="255"/>
      <c r="XN53" s="255"/>
      <c r="XO53" s="255"/>
      <c r="XP53" s="255"/>
      <c r="XQ53" s="255"/>
      <c r="XR53" s="255"/>
      <c r="XS53" s="255"/>
      <c r="XT53" s="255"/>
      <c r="XU53" s="255"/>
      <c r="XV53" s="255"/>
      <c r="XW53" s="255"/>
      <c r="XX53" s="255"/>
      <c r="XY53" s="255"/>
      <c r="XZ53" s="255"/>
      <c r="YA53" s="255"/>
      <c r="YB53" s="255"/>
      <c r="YC53" s="255"/>
      <c r="YD53" s="255"/>
      <c r="YE53" s="255"/>
      <c r="YF53" s="255"/>
      <c r="YG53" s="255"/>
      <c r="YH53" s="255"/>
      <c r="YI53" s="255"/>
      <c r="YJ53" s="255"/>
      <c r="YK53" s="255"/>
      <c r="YL53" s="255"/>
      <c r="YM53" s="255"/>
      <c r="YN53" s="255"/>
      <c r="YO53" s="255"/>
      <c r="YP53" s="255"/>
      <c r="YQ53" s="255"/>
      <c r="YR53" s="255"/>
      <c r="YS53" s="255"/>
      <c r="YT53" s="255"/>
      <c r="YU53" s="255"/>
      <c r="YV53" s="255"/>
      <c r="YW53" s="255"/>
      <c r="YX53" s="255"/>
      <c r="YY53" s="255"/>
      <c r="YZ53" s="255"/>
      <c r="ZA53" s="255"/>
      <c r="ZB53" s="255"/>
      <c r="ZC53" s="255"/>
      <c r="ZD53" s="255"/>
      <c r="ZE53" s="255"/>
      <c r="ZF53" s="255"/>
      <c r="ZG53" s="255"/>
      <c r="ZH53" s="255"/>
      <c r="ZI53" s="255"/>
      <c r="ZJ53" s="255"/>
      <c r="ZK53" s="255"/>
      <c r="ZL53" s="255"/>
      <c r="ZM53" s="255"/>
      <c r="ZN53" s="255"/>
      <c r="ZO53" s="255"/>
      <c r="ZP53" s="255"/>
      <c r="ZQ53" s="255"/>
      <c r="ZR53" s="255"/>
      <c r="ZS53" s="255"/>
      <c r="ZT53" s="255"/>
      <c r="ZU53" s="255"/>
      <c r="ZV53" s="255"/>
      <c r="ZW53" s="255"/>
      <c r="ZX53" s="255"/>
      <c r="ZY53" s="255"/>
      <c r="ZZ53" s="255"/>
      <c r="AAA53" s="255"/>
      <c r="AAB53" s="255"/>
      <c r="AAC53" s="255"/>
      <c r="AAD53" s="255"/>
      <c r="AAE53" s="255"/>
      <c r="AAF53" s="255"/>
      <c r="AAG53" s="255"/>
      <c r="AAH53" s="255"/>
      <c r="AAI53" s="255"/>
      <c r="AAJ53" s="255"/>
      <c r="AAK53" s="255"/>
      <c r="AAL53" s="255"/>
      <c r="AAM53" s="255"/>
      <c r="AAN53" s="255"/>
      <c r="AAO53" s="255"/>
      <c r="AAP53" s="255"/>
      <c r="AAQ53" s="255"/>
      <c r="AAR53" s="255"/>
      <c r="AAS53" s="255"/>
      <c r="AAT53" s="255"/>
      <c r="AAU53" s="255"/>
      <c r="AAV53" s="255"/>
      <c r="AAW53" s="255"/>
      <c r="AAX53" s="255"/>
      <c r="AAY53" s="255"/>
      <c r="AAZ53" s="255"/>
      <c r="ABA53" s="255"/>
      <c r="ABB53" s="255"/>
      <c r="ABC53" s="255"/>
      <c r="ABD53" s="255"/>
      <c r="ABE53" s="255"/>
      <c r="ABF53" s="255"/>
      <c r="ABG53" s="255"/>
      <c r="ABH53" s="255"/>
      <c r="ABI53" s="255"/>
      <c r="ABJ53" s="255"/>
      <c r="ABK53" s="255"/>
      <c r="ABL53" s="255"/>
      <c r="ABM53" s="255"/>
      <c r="ABN53" s="255"/>
      <c r="ABO53" s="255"/>
      <c r="ABP53" s="255"/>
      <c r="ABQ53" s="255"/>
      <c r="ABR53" s="255"/>
      <c r="ABS53" s="255"/>
      <c r="ABT53" s="255"/>
      <c r="ABU53" s="255"/>
      <c r="ABV53" s="255"/>
      <c r="ABW53" s="255"/>
      <c r="ABX53" s="255"/>
      <c r="ABY53" s="255"/>
      <c r="ABZ53" s="255"/>
      <c r="ACA53" s="255"/>
      <c r="ACB53" s="255"/>
      <c r="ACC53" s="255"/>
      <c r="ACD53" s="255"/>
      <c r="ACE53" s="255"/>
      <c r="ACF53" s="255"/>
      <c r="ACG53" s="255"/>
      <c r="ACH53" s="255"/>
      <c r="ACI53" s="255"/>
      <c r="ACJ53" s="255"/>
      <c r="ACK53" s="255"/>
      <c r="ACL53" s="255"/>
      <c r="ACM53" s="255"/>
      <c r="ACN53" s="255"/>
      <c r="ACO53" s="255"/>
      <c r="ACP53" s="255"/>
      <c r="ACQ53" s="255"/>
      <c r="ACR53" s="255"/>
      <c r="ACS53" s="255"/>
      <c r="ACT53" s="255"/>
      <c r="ACU53" s="255"/>
      <c r="ACV53" s="255"/>
      <c r="ACW53" s="255"/>
      <c r="ACX53" s="255"/>
      <c r="ACY53" s="255"/>
      <c r="ACZ53" s="255"/>
      <c r="ADA53" s="255"/>
      <c r="ADB53" s="255"/>
      <c r="ADC53" s="255"/>
      <c r="ADD53" s="255"/>
      <c r="ADE53" s="255"/>
      <c r="ADF53" s="255"/>
      <c r="ADG53" s="255"/>
      <c r="ADH53" s="255"/>
      <c r="ADI53" s="255"/>
      <c r="ADJ53" s="255"/>
      <c r="ADK53" s="255"/>
      <c r="ADL53" s="255"/>
      <c r="ADM53" s="255"/>
      <c r="ADN53" s="255"/>
      <c r="ADO53" s="255"/>
      <c r="ADP53" s="255"/>
      <c r="ADQ53" s="255"/>
      <c r="ADR53" s="255"/>
      <c r="ADS53" s="255"/>
      <c r="ADT53" s="255"/>
      <c r="ADU53" s="255"/>
      <c r="ADV53" s="255"/>
      <c r="ADW53" s="255"/>
      <c r="ADX53" s="255"/>
      <c r="ADY53" s="255"/>
      <c r="ADZ53" s="255"/>
      <c r="AEA53" s="255"/>
      <c r="AEB53" s="255"/>
      <c r="AEC53" s="255"/>
      <c r="AED53" s="255"/>
      <c r="AEE53" s="255"/>
      <c r="AEF53" s="255"/>
      <c r="AEG53" s="255"/>
      <c r="AEH53" s="255"/>
      <c r="AEI53" s="255"/>
      <c r="AEJ53" s="255"/>
      <c r="AEK53" s="255"/>
      <c r="AEL53" s="255"/>
      <c r="AEM53" s="255"/>
      <c r="AEN53" s="255"/>
      <c r="AEO53" s="255"/>
      <c r="AEP53" s="255"/>
      <c r="AEQ53" s="255"/>
      <c r="AER53" s="255"/>
      <c r="AES53" s="255"/>
      <c r="AET53" s="255"/>
      <c r="AEU53" s="255"/>
      <c r="AEV53" s="255"/>
      <c r="AEW53" s="255"/>
      <c r="AEX53" s="255"/>
      <c r="AEY53" s="255"/>
      <c r="AEZ53" s="255"/>
      <c r="AFA53" s="255"/>
      <c r="AFB53" s="255"/>
      <c r="AFC53" s="255"/>
      <c r="AFD53" s="255"/>
      <c r="AFE53" s="255"/>
      <c r="AFF53" s="255"/>
      <c r="AFG53" s="255"/>
      <c r="AFH53" s="255"/>
      <c r="AFI53" s="255"/>
      <c r="AFJ53" s="255"/>
      <c r="AFK53" s="255"/>
      <c r="AFL53" s="255"/>
      <c r="AFM53" s="255"/>
      <c r="AFN53" s="255"/>
      <c r="AFO53" s="255"/>
      <c r="AFP53" s="255"/>
      <c r="AFQ53" s="255"/>
      <c r="AFR53" s="255"/>
      <c r="AFS53" s="255"/>
      <c r="AFT53" s="255"/>
      <c r="AFU53" s="255"/>
      <c r="AFV53" s="255"/>
      <c r="AFW53" s="255"/>
      <c r="AFX53" s="255"/>
      <c r="AFY53" s="255"/>
      <c r="AFZ53" s="255"/>
      <c r="AGA53" s="255"/>
      <c r="AGB53" s="255"/>
      <c r="AGC53" s="255"/>
      <c r="AGD53" s="255"/>
      <c r="AGE53" s="255"/>
      <c r="AGF53" s="255"/>
      <c r="AGG53" s="255"/>
      <c r="AGH53" s="255"/>
      <c r="AGI53" s="255"/>
      <c r="AGJ53" s="255"/>
      <c r="AGK53" s="255"/>
      <c r="AGL53" s="255"/>
      <c r="AGM53" s="255"/>
      <c r="AGN53" s="255"/>
      <c r="AGO53" s="255"/>
      <c r="AGP53" s="255"/>
      <c r="AGQ53" s="255"/>
      <c r="AGR53" s="255"/>
      <c r="AGS53" s="255"/>
      <c r="AGT53" s="255"/>
      <c r="AGU53" s="255"/>
      <c r="AGV53" s="255"/>
      <c r="AGW53" s="255"/>
      <c r="AGX53" s="255"/>
      <c r="AGY53" s="255"/>
      <c r="AGZ53" s="255"/>
      <c r="AHA53" s="255"/>
      <c r="AHB53" s="255"/>
      <c r="AHC53" s="255"/>
      <c r="AHD53" s="255"/>
      <c r="AHE53" s="255"/>
      <c r="AHF53" s="255"/>
      <c r="AHG53" s="255"/>
      <c r="AHH53" s="255"/>
      <c r="AHI53" s="255"/>
      <c r="AHJ53" s="255"/>
      <c r="AHK53" s="255"/>
      <c r="AHL53" s="255"/>
      <c r="AHM53" s="255"/>
      <c r="AHN53" s="255"/>
      <c r="AHO53" s="255"/>
      <c r="AHP53" s="255"/>
      <c r="AHQ53" s="255"/>
      <c r="AHR53" s="255"/>
      <c r="AHS53" s="255"/>
      <c r="AHT53" s="255"/>
      <c r="AHU53" s="255"/>
      <c r="AHV53" s="255"/>
      <c r="AHW53" s="255"/>
      <c r="AHX53" s="255"/>
      <c r="AHY53" s="255"/>
      <c r="AHZ53" s="255"/>
      <c r="AIA53" s="255"/>
      <c r="AIB53" s="255"/>
      <c r="AIC53" s="255"/>
      <c r="AID53" s="255"/>
      <c r="AIE53" s="255"/>
      <c r="AIF53" s="255"/>
      <c r="AIG53" s="255"/>
      <c r="AIH53" s="255"/>
      <c r="AII53" s="255"/>
      <c r="AIJ53" s="255"/>
      <c r="AIK53" s="255"/>
      <c r="AIL53" s="255"/>
      <c r="AIM53" s="255"/>
      <c r="AIN53" s="255"/>
      <c r="AIO53" s="255"/>
      <c r="AIP53" s="255"/>
      <c r="AIQ53" s="255"/>
      <c r="AIR53" s="255"/>
      <c r="AIS53" s="255"/>
      <c r="AIT53" s="255"/>
      <c r="AIU53" s="255"/>
      <c r="AIV53" s="255"/>
      <c r="AIW53" s="255"/>
      <c r="AIX53" s="255"/>
      <c r="AIY53" s="255"/>
      <c r="AIZ53" s="255"/>
      <c r="AJA53" s="255"/>
      <c r="AJB53" s="255"/>
      <c r="AJC53" s="255"/>
      <c r="AJD53" s="255"/>
      <c r="AJE53" s="255"/>
      <c r="AJF53" s="255"/>
      <c r="AJG53" s="255"/>
      <c r="AJH53" s="255"/>
      <c r="AJI53" s="255"/>
      <c r="AJJ53" s="255"/>
      <c r="AJK53" s="255"/>
      <c r="AJL53" s="255"/>
      <c r="AJM53" s="255"/>
      <c r="AJN53" s="255"/>
      <c r="AJO53" s="255"/>
      <c r="AJP53" s="255"/>
      <c r="AJQ53" s="255"/>
      <c r="AJR53" s="255"/>
      <c r="AJS53" s="255"/>
      <c r="AJT53" s="255"/>
      <c r="AJU53" s="255"/>
      <c r="AJV53" s="255"/>
      <c r="AJW53" s="255"/>
      <c r="AJX53" s="255"/>
      <c r="AJY53" s="255"/>
      <c r="AJZ53" s="255"/>
      <c r="AKA53" s="255"/>
      <c r="AKB53" s="255"/>
      <c r="AKC53" s="255"/>
      <c r="AKD53" s="255"/>
      <c r="AKE53" s="255"/>
      <c r="AKF53" s="255"/>
      <c r="AKG53" s="255"/>
      <c r="AKH53" s="255"/>
      <c r="AKI53" s="255"/>
      <c r="AKJ53" s="255"/>
      <c r="AKK53" s="255"/>
      <c r="AKL53" s="255"/>
      <c r="AKM53" s="255"/>
      <c r="AKN53" s="255"/>
      <c r="AKO53" s="255"/>
      <c r="AKP53" s="255"/>
      <c r="AKQ53" s="255"/>
      <c r="AKR53" s="255"/>
      <c r="AKS53" s="255"/>
      <c r="AKT53" s="255"/>
      <c r="AKU53" s="255"/>
      <c r="AKV53" s="255"/>
      <c r="AKW53" s="255"/>
      <c r="AKX53" s="255"/>
      <c r="AKY53" s="255"/>
      <c r="AKZ53" s="255"/>
      <c r="ALA53" s="255"/>
      <c r="ALB53" s="255"/>
      <c r="ALC53" s="255"/>
      <c r="ALD53" s="255"/>
      <c r="ALE53" s="42"/>
      <c r="ALF53" s="42"/>
      <c r="ALG53" s="42"/>
      <c r="ALH53" s="42"/>
      <c r="ALI53" s="42"/>
      <c r="ALJ53" s="42"/>
      <c r="ALK53" s="42"/>
      <c r="ALL53" s="42"/>
      <c r="ALM53" s="42"/>
    </row>
    <row r="54" spans="1:1001" s="1" customFormat="1" ht="15">
      <c r="A54" s="680" t="s">
        <v>6928</v>
      </c>
      <c r="B54" s="680"/>
      <c r="C54" s="680"/>
      <c r="D54" s="680"/>
      <c r="E54" s="680"/>
      <c r="F54" s="680"/>
      <c r="G54" s="680"/>
      <c r="H54" s="680"/>
      <c r="I54" s="680"/>
      <c r="J54" s="281">
        <f>+J15+J31+J35+J40+J47+J51+J19</f>
        <v>33814.174606182001</v>
      </c>
      <c r="K54" s="30"/>
      <c r="L54" s="30"/>
      <c r="M54" s="30"/>
      <c r="N54" s="30"/>
      <c r="O54" s="256"/>
      <c r="P54" s="258"/>
    </row>
    <row r="55" spans="1:1001" ht="14.1" customHeight="1">
      <c r="A55" s="30"/>
      <c r="B55" s="30"/>
      <c r="C55" s="30"/>
      <c r="D55" s="32"/>
      <c r="E55" s="67"/>
      <c r="F55" s="67"/>
      <c r="G55" s="67"/>
      <c r="H55" s="128"/>
      <c r="I55" s="67"/>
      <c r="J55" s="67"/>
      <c r="K55" s="30"/>
      <c r="L55" s="30"/>
      <c r="M55" s="30"/>
      <c r="N55" s="30"/>
      <c r="O55" s="256"/>
      <c r="P55" s="258"/>
    </row>
    <row r="56" spans="1:1001">
      <c r="K56" s="30"/>
      <c r="L56" s="30"/>
      <c r="M56" s="30"/>
      <c r="N56" s="30"/>
      <c r="O56" s="256"/>
      <c r="P56" s="258"/>
    </row>
    <row r="57" spans="1:1001">
      <c r="K57" s="30"/>
      <c r="L57" s="30"/>
      <c r="M57" s="30"/>
      <c r="N57" s="30"/>
      <c r="O57" s="256"/>
      <c r="P57" s="258"/>
    </row>
    <row r="58" spans="1:1001">
      <c r="K58" s="30"/>
      <c r="L58" s="30"/>
      <c r="M58" s="30"/>
      <c r="N58" s="30"/>
      <c r="O58" s="256"/>
      <c r="P58" s="258"/>
    </row>
    <row r="59" spans="1:1001">
      <c r="K59" s="30"/>
      <c r="L59" s="30"/>
      <c r="M59" s="30"/>
      <c r="N59" s="30"/>
      <c r="O59" s="256"/>
      <c r="P59" s="258"/>
    </row>
    <row r="60" spans="1:1001">
      <c r="K60" s="30"/>
      <c r="L60" s="30"/>
      <c r="M60" s="30"/>
      <c r="N60" s="30"/>
      <c r="O60" s="256"/>
      <c r="P60" s="258"/>
    </row>
    <row r="61" spans="1:1001">
      <c r="K61" s="30"/>
      <c r="L61" s="30"/>
      <c r="M61" s="30"/>
      <c r="N61" s="30"/>
      <c r="O61" s="256"/>
      <c r="P61" s="258"/>
    </row>
    <row r="62" spans="1:1001">
      <c r="K62" s="30"/>
      <c r="L62" s="30"/>
      <c r="M62" s="30"/>
      <c r="N62" s="30"/>
      <c r="O62" s="256"/>
      <c r="P62" s="258"/>
    </row>
    <row r="63" spans="1:1001">
      <c r="K63" s="30"/>
      <c r="L63" s="30"/>
      <c r="M63" s="30"/>
      <c r="N63" s="30"/>
      <c r="O63" s="256"/>
      <c r="P63" s="258"/>
    </row>
    <row r="64" spans="1:1001">
      <c r="K64" s="30"/>
      <c r="L64" s="30"/>
      <c r="M64" s="30"/>
      <c r="N64" s="30"/>
      <c r="O64" s="256"/>
      <c r="P64" s="258"/>
    </row>
    <row r="65" spans="11:16">
      <c r="K65" s="30"/>
      <c r="L65" s="30"/>
      <c r="M65" s="30"/>
      <c r="N65" s="30"/>
      <c r="O65" s="256"/>
      <c r="P65" s="258"/>
    </row>
    <row r="66" spans="11:16">
      <c r="K66" s="30"/>
      <c r="L66" s="30"/>
      <c r="M66" s="30"/>
      <c r="N66" s="30"/>
      <c r="O66" s="256"/>
      <c r="P66" s="258"/>
    </row>
    <row r="67" spans="11:16">
      <c r="K67" s="30"/>
      <c r="L67" s="30"/>
      <c r="M67" s="30"/>
      <c r="N67" s="30"/>
      <c r="O67" s="256"/>
      <c r="P67" s="258"/>
    </row>
    <row r="68" spans="11:16">
      <c r="K68" s="30"/>
      <c r="L68" s="30"/>
      <c r="M68" s="30"/>
      <c r="N68" s="30"/>
      <c r="O68" s="256"/>
      <c r="P68" s="258"/>
    </row>
    <row r="69" spans="11:16">
      <c r="K69" s="30"/>
      <c r="L69" s="30"/>
      <c r="M69" s="30"/>
      <c r="N69" s="30"/>
      <c r="O69" s="256"/>
      <c r="P69" s="258"/>
    </row>
    <row r="70" spans="11:16">
      <c r="K70" s="30"/>
      <c r="L70" s="30"/>
      <c r="M70" s="30"/>
      <c r="N70" s="30"/>
      <c r="O70" s="256"/>
      <c r="P70" s="258"/>
    </row>
    <row r="71" spans="11:16">
      <c r="K71" s="30"/>
      <c r="L71" s="30"/>
      <c r="M71" s="30"/>
      <c r="N71" s="30"/>
      <c r="O71" s="256"/>
      <c r="P71" s="258"/>
    </row>
    <row r="72" spans="11:16">
      <c r="K72" s="30"/>
      <c r="L72" s="30"/>
      <c r="M72" s="30"/>
      <c r="N72" s="30"/>
      <c r="O72" s="256"/>
      <c r="P72" s="258"/>
    </row>
    <row r="73" spans="11:16">
      <c r="K73" s="30"/>
      <c r="L73" s="30"/>
      <c r="M73" s="30"/>
      <c r="N73" s="30"/>
      <c r="O73" s="256"/>
      <c r="P73" s="258"/>
    </row>
    <row r="74" spans="11:16">
      <c r="K74" s="30"/>
      <c r="L74" s="30"/>
      <c r="M74" s="30"/>
      <c r="N74" s="30"/>
      <c r="O74" s="256"/>
      <c r="P74" s="258"/>
    </row>
    <row r="75" spans="11:16">
      <c r="K75" s="30"/>
      <c r="L75" s="30"/>
      <c r="M75" s="30"/>
      <c r="N75" s="30"/>
      <c r="O75" s="256"/>
      <c r="P75" s="258"/>
    </row>
    <row r="76" spans="11:16">
      <c r="K76" s="30"/>
      <c r="L76" s="30"/>
      <c r="M76" s="30"/>
      <c r="N76" s="30"/>
      <c r="O76" s="256"/>
      <c r="P76" s="258"/>
    </row>
    <row r="77" spans="11:16">
      <c r="K77" s="30"/>
      <c r="L77" s="30"/>
      <c r="M77" s="30"/>
      <c r="N77" s="30"/>
      <c r="O77" s="256"/>
      <c r="P77" s="258"/>
    </row>
    <row r="78" spans="11:16">
      <c r="K78" s="30"/>
      <c r="L78" s="30"/>
      <c r="M78" s="30"/>
      <c r="N78" s="30"/>
      <c r="O78" s="256"/>
      <c r="P78" s="258"/>
    </row>
    <row r="79" spans="11:16">
      <c r="K79" s="30"/>
      <c r="L79" s="30"/>
      <c r="M79" s="30"/>
      <c r="N79" s="30"/>
      <c r="O79" s="256"/>
      <c r="P79" s="258"/>
    </row>
    <row r="80" spans="11:16">
      <c r="K80" s="30"/>
      <c r="L80" s="30"/>
      <c r="M80" s="30"/>
      <c r="N80" s="30"/>
      <c r="O80" s="256"/>
      <c r="P80" s="258"/>
    </row>
    <row r="81" spans="11:16">
      <c r="K81" s="30"/>
      <c r="L81" s="30"/>
      <c r="M81" s="30"/>
      <c r="N81" s="30"/>
      <c r="O81" s="256"/>
      <c r="P81" s="258"/>
    </row>
    <row r="82" spans="11:16">
      <c r="K82" s="30"/>
      <c r="L82" s="30"/>
      <c r="M82" s="30"/>
      <c r="N82" s="30"/>
      <c r="O82" s="256"/>
      <c r="P82" s="258"/>
    </row>
    <row r="83" spans="11:16">
      <c r="K83" s="30"/>
      <c r="L83" s="30"/>
      <c r="M83" s="30"/>
      <c r="N83" s="30"/>
      <c r="O83" s="256"/>
      <c r="P83" s="258"/>
    </row>
    <row r="84" spans="11:16">
      <c r="K84" s="30"/>
      <c r="L84" s="30"/>
      <c r="M84" s="30"/>
      <c r="N84" s="30"/>
      <c r="O84" s="256"/>
      <c r="P84" s="258"/>
    </row>
    <row r="85" spans="11:16">
      <c r="K85" s="30"/>
      <c r="L85" s="30"/>
      <c r="M85" s="30"/>
      <c r="N85" s="30"/>
      <c r="O85" s="256"/>
      <c r="P85" s="258"/>
    </row>
    <row r="86" spans="11:16">
      <c r="K86" s="30"/>
      <c r="L86" s="30"/>
      <c r="M86" s="30"/>
      <c r="N86" s="30"/>
      <c r="O86" s="256"/>
      <c r="P86" s="258"/>
    </row>
    <row r="87" spans="11:16">
      <c r="K87" s="30"/>
      <c r="L87" s="30"/>
      <c r="M87" s="30"/>
      <c r="N87" s="30"/>
      <c r="O87" s="256"/>
      <c r="P87" s="258"/>
    </row>
    <row r="88" spans="11:16">
      <c r="K88" s="30"/>
      <c r="L88" s="30"/>
      <c r="M88" s="30"/>
      <c r="N88" s="30"/>
      <c r="O88" s="256"/>
      <c r="P88" s="258"/>
    </row>
    <row r="89" spans="11:16">
      <c r="K89" s="30"/>
      <c r="L89" s="30"/>
      <c r="M89" s="30"/>
      <c r="N89" s="30"/>
      <c r="O89" s="256"/>
      <c r="P89" s="258"/>
    </row>
    <row r="90" spans="11:16">
      <c r="K90" s="30"/>
      <c r="L90" s="30"/>
      <c r="M90" s="30"/>
      <c r="N90" s="30"/>
      <c r="O90" s="256"/>
      <c r="P90" s="258"/>
    </row>
    <row r="91" spans="11:16">
      <c r="K91" s="30"/>
      <c r="L91" s="30"/>
      <c r="M91" s="30"/>
      <c r="N91" s="30"/>
      <c r="O91" s="256"/>
      <c r="P91" s="258"/>
    </row>
    <row r="92" spans="11:16">
      <c r="K92" s="30"/>
      <c r="L92" s="30"/>
      <c r="M92" s="30"/>
      <c r="N92" s="30"/>
      <c r="O92" s="256"/>
      <c r="P92" s="258"/>
    </row>
    <row r="93" spans="11:16">
      <c r="K93" s="30"/>
      <c r="L93" s="30"/>
      <c r="M93" s="30"/>
      <c r="N93" s="30"/>
      <c r="O93" s="256"/>
      <c r="P93" s="258"/>
    </row>
    <row r="94" spans="11:16">
      <c r="K94" s="30"/>
      <c r="L94" s="30"/>
      <c r="M94" s="30"/>
      <c r="N94" s="30"/>
      <c r="O94" s="30"/>
      <c r="P94" s="258"/>
    </row>
    <row r="95" spans="11:16">
      <c r="K95" s="30"/>
      <c r="L95" s="30"/>
      <c r="M95" s="30"/>
      <c r="N95" s="30"/>
      <c r="O95" s="30"/>
      <c r="P95" s="258"/>
    </row>
    <row r="96" spans="11:16">
      <c r="K96" s="30"/>
      <c r="L96" s="30"/>
      <c r="M96" s="30"/>
      <c r="N96" s="30"/>
      <c r="O96" s="256"/>
      <c r="P96" s="258"/>
    </row>
    <row r="97" spans="11:16">
      <c r="K97" s="30"/>
      <c r="L97" s="30"/>
      <c r="M97" s="30"/>
      <c r="N97" s="30"/>
      <c r="O97" s="256"/>
      <c r="P97" s="258"/>
    </row>
    <row r="98" spans="11:16">
      <c r="K98" s="30"/>
      <c r="L98" s="30"/>
      <c r="M98" s="30"/>
      <c r="N98" s="30"/>
      <c r="O98" s="256"/>
      <c r="P98" s="258"/>
    </row>
    <row r="99" spans="11:16">
      <c r="K99" s="30"/>
      <c r="L99" s="30"/>
      <c r="M99" s="30"/>
      <c r="N99" s="30"/>
      <c r="O99" s="256"/>
      <c r="P99" s="258"/>
    </row>
    <row r="100" spans="11:16">
      <c r="K100" s="30"/>
      <c r="L100" s="30"/>
      <c r="M100" s="30"/>
      <c r="N100" s="30"/>
      <c r="O100" s="256"/>
      <c r="P100" s="258"/>
    </row>
    <row r="101" spans="11:16">
      <c r="K101" s="30"/>
      <c r="L101" s="30"/>
      <c r="M101" s="30"/>
      <c r="N101" s="30"/>
      <c r="O101" s="256"/>
      <c r="P101" s="258"/>
    </row>
    <row r="102" spans="11:16">
      <c r="K102" s="30"/>
      <c r="L102" s="30"/>
      <c r="M102" s="30"/>
      <c r="N102" s="30"/>
      <c r="O102" s="256"/>
      <c r="P102" s="258"/>
    </row>
    <row r="103" spans="11:16">
      <c r="K103" s="30"/>
      <c r="L103" s="30"/>
      <c r="M103" s="30"/>
      <c r="N103" s="30"/>
      <c r="O103" s="256"/>
      <c r="P103" s="258"/>
    </row>
    <row r="104" spans="11:16">
      <c r="K104" s="30"/>
      <c r="L104" s="30"/>
      <c r="M104" s="30"/>
      <c r="N104" s="30"/>
      <c r="O104" s="256"/>
      <c r="P104" s="258"/>
    </row>
    <row r="105" spans="11:16">
      <c r="K105" s="30"/>
      <c r="L105" s="30"/>
      <c r="M105" s="30"/>
      <c r="N105" s="30"/>
      <c r="O105" s="256"/>
      <c r="P105" s="258"/>
    </row>
    <row r="106" spans="11:16">
      <c r="K106" s="30"/>
      <c r="L106" s="30"/>
      <c r="M106" s="30"/>
      <c r="N106" s="30"/>
      <c r="O106" s="256"/>
      <c r="P106" s="258"/>
    </row>
    <row r="107" spans="11:16">
      <c r="K107" s="30"/>
      <c r="L107" s="30"/>
      <c r="M107" s="30"/>
      <c r="N107" s="30"/>
      <c r="O107" s="256"/>
      <c r="P107" s="258"/>
    </row>
    <row r="108" spans="11:16">
      <c r="K108" s="30"/>
      <c r="L108" s="30"/>
      <c r="M108" s="30"/>
      <c r="N108" s="30"/>
      <c r="O108" s="256"/>
      <c r="P108" s="258"/>
    </row>
    <row r="109" spans="11:16">
      <c r="K109" s="30"/>
      <c r="L109" s="30"/>
      <c r="M109" s="30"/>
      <c r="N109" s="30"/>
      <c r="O109" s="256"/>
      <c r="P109" s="258"/>
    </row>
    <row r="110" spans="11:16">
      <c r="K110" s="30"/>
      <c r="L110" s="30"/>
      <c r="M110" s="30"/>
      <c r="N110" s="30"/>
      <c r="O110" s="256"/>
      <c r="P110" s="258"/>
    </row>
    <row r="111" spans="11:16">
      <c r="K111" s="30"/>
      <c r="L111" s="30"/>
      <c r="M111" s="30"/>
      <c r="N111" s="30"/>
      <c r="O111" s="256"/>
      <c r="P111" s="258"/>
    </row>
    <row r="112" spans="11:16">
      <c r="K112" s="30"/>
      <c r="L112" s="30"/>
      <c r="M112" s="30"/>
      <c r="N112" s="30"/>
      <c r="O112" s="256"/>
      <c r="P112" s="258"/>
    </row>
    <row r="113" spans="11:16">
      <c r="K113" s="30"/>
      <c r="L113" s="30"/>
      <c r="M113" s="30"/>
      <c r="N113" s="30"/>
      <c r="O113" s="30"/>
      <c r="P113" s="258"/>
    </row>
    <row r="114" spans="11:16">
      <c r="K114" s="30"/>
      <c r="L114" s="30"/>
      <c r="M114" s="30"/>
      <c r="N114" s="30"/>
      <c r="O114" s="30"/>
      <c r="P114" s="258"/>
    </row>
    <row r="115" spans="11:16">
      <c r="K115" s="30"/>
      <c r="L115" s="30"/>
      <c r="M115" s="30"/>
      <c r="N115" s="30"/>
      <c r="O115" s="256"/>
      <c r="P115" s="258"/>
    </row>
    <row r="116" spans="11:16">
      <c r="K116" s="30"/>
      <c r="L116" s="30"/>
      <c r="M116" s="30"/>
      <c r="N116" s="30"/>
      <c r="O116" s="256"/>
      <c r="P116" s="258"/>
    </row>
    <row r="117" spans="11:16">
      <c r="K117" s="30"/>
      <c r="L117" s="30"/>
      <c r="M117" s="30"/>
      <c r="N117" s="30"/>
      <c r="O117" s="256"/>
      <c r="P117" s="258"/>
    </row>
    <row r="118" spans="11:16">
      <c r="K118" s="30"/>
      <c r="L118" s="30"/>
      <c r="M118" s="30"/>
      <c r="N118" s="30"/>
      <c r="O118" s="256"/>
      <c r="P118" s="258"/>
    </row>
    <row r="119" spans="11:16">
      <c r="K119" s="30"/>
      <c r="L119" s="30"/>
      <c r="M119" s="30"/>
      <c r="N119" s="30"/>
      <c r="O119" s="256"/>
      <c r="P119" s="258"/>
    </row>
    <row r="120" spans="11:16">
      <c r="K120" s="30"/>
      <c r="L120" s="30"/>
      <c r="M120" s="30"/>
      <c r="N120" s="30"/>
      <c r="O120" s="256"/>
      <c r="P120" s="258"/>
    </row>
    <row r="121" spans="11:16">
      <c r="K121" s="30"/>
      <c r="L121" s="30"/>
      <c r="M121" s="30"/>
      <c r="N121" s="30"/>
      <c r="O121" s="256"/>
      <c r="P121" s="258"/>
    </row>
    <row r="122" spans="11:16">
      <c r="K122" s="30"/>
      <c r="L122" s="30"/>
      <c r="M122" s="30"/>
      <c r="N122" s="30"/>
      <c r="O122" s="256"/>
      <c r="P122" s="258"/>
    </row>
    <row r="123" spans="11:16">
      <c r="K123" s="30"/>
      <c r="L123" s="30"/>
      <c r="M123" s="30"/>
      <c r="N123" s="30"/>
      <c r="O123" s="256"/>
      <c r="P123" s="258"/>
    </row>
    <row r="124" spans="11:16">
      <c r="K124" s="30"/>
      <c r="L124" s="30"/>
      <c r="M124" s="30"/>
      <c r="N124" s="30"/>
      <c r="O124" s="256"/>
      <c r="P124" s="258"/>
    </row>
    <row r="125" spans="11:16">
      <c r="K125" s="30"/>
      <c r="L125" s="30"/>
      <c r="M125" s="30"/>
      <c r="N125" s="30"/>
      <c r="O125" s="256"/>
      <c r="P125" s="258"/>
    </row>
    <row r="126" spans="11:16">
      <c r="K126" s="30"/>
      <c r="L126" s="30"/>
      <c r="M126" s="30"/>
      <c r="N126" s="30"/>
      <c r="O126" s="256"/>
      <c r="P126" s="258"/>
    </row>
    <row r="127" spans="11:16">
      <c r="K127" s="30"/>
      <c r="L127" s="30"/>
      <c r="M127" s="30"/>
      <c r="N127" s="30"/>
      <c r="O127" s="30"/>
      <c r="P127" s="258"/>
    </row>
    <row r="128" spans="11:16">
      <c r="K128" s="30"/>
      <c r="L128" s="30"/>
      <c r="M128" s="30"/>
      <c r="N128" s="30"/>
      <c r="O128" s="30"/>
      <c r="P128" s="258"/>
    </row>
    <row r="129" spans="11:16">
      <c r="K129" s="30"/>
      <c r="L129" s="30"/>
      <c r="M129" s="30"/>
      <c r="N129" s="30"/>
      <c r="O129" s="256"/>
      <c r="P129" s="258"/>
    </row>
    <row r="130" spans="11:16">
      <c r="K130" s="30"/>
      <c r="L130" s="30"/>
      <c r="M130" s="30"/>
      <c r="N130" s="30"/>
      <c r="O130" s="30"/>
      <c r="P130" s="258"/>
    </row>
    <row r="131" spans="11:16">
      <c r="K131" s="30"/>
      <c r="L131" s="30"/>
      <c r="M131" s="30"/>
      <c r="N131" s="30"/>
      <c r="O131" s="30"/>
      <c r="P131" s="258"/>
    </row>
    <row r="132" spans="11:16">
      <c r="K132" s="30"/>
      <c r="L132" s="30"/>
      <c r="M132" s="30"/>
      <c r="N132" s="30"/>
      <c r="O132" s="256"/>
      <c r="P132" s="258"/>
    </row>
    <row r="133" spans="11:16">
      <c r="K133" s="30"/>
      <c r="L133" s="30"/>
      <c r="M133" s="30"/>
      <c r="N133" s="30"/>
      <c r="O133" s="30"/>
      <c r="P133" s="258"/>
    </row>
    <row r="134" spans="11:16">
      <c r="K134" s="30"/>
      <c r="L134" s="30"/>
      <c r="M134" s="30"/>
      <c r="N134" s="30"/>
      <c r="O134" s="30"/>
      <c r="P134" s="258"/>
    </row>
    <row r="135" spans="11:16">
      <c r="K135" s="30"/>
      <c r="L135" s="30"/>
      <c r="M135" s="30"/>
      <c r="N135" s="30"/>
      <c r="O135" s="256"/>
      <c r="P135" s="258"/>
    </row>
    <row r="136" spans="11:16">
      <c r="K136" s="30"/>
      <c r="L136" s="30"/>
      <c r="M136" s="30"/>
      <c r="N136" s="30"/>
      <c r="O136" s="256"/>
      <c r="P136" s="258"/>
    </row>
    <row r="137" spans="11:16">
      <c r="K137" s="30"/>
      <c r="L137" s="30"/>
      <c r="M137" s="30"/>
      <c r="N137" s="30"/>
      <c r="O137" s="30"/>
      <c r="P137" s="258"/>
    </row>
    <row r="138" spans="11:16">
      <c r="K138" s="30"/>
      <c r="L138" s="30"/>
      <c r="M138" s="30"/>
      <c r="N138" s="30"/>
      <c r="O138" s="30"/>
      <c r="P138" s="258"/>
    </row>
    <row r="139" spans="11:16">
      <c r="K139" s="30"/>
      <c r="L139" s="30"/>
      <c r="M139" s="30"/>
      <c r="N139" s="30"/>
      <c r="O139" s="256"/>
      <c r="P139" s="258"/>
    </row>
    <row r="140" spans="11:16">
      <c r="K140" s="30"/>
      <c r="L140" s="30"/>
      <c r="M140" s="30"/>
      <c r="N140" s="30"/>
      <c r="O140" s="256"/>
      <c r="P140" s="258"/>
    </row>
    <row r="141" spans="11:16">
      <c r="K141" s="30"/>
      <c r="L141" s="30"/>
      <c r="M141" s="30"/>
      <c r="N141" s="30"/>
      <c r="O141" s="256"/>
      <c r="P141" s="258"/>
    </row>
    <row r="142" spans="11:16">
      <c r="K142" s="30"/>
      <c r="L142" s="30"/>
      <c r="M142" s="30"/>
      <c r="N142" s="30"/>
      <c r="O142" s="256"/>
      <c r="P142" s="258"/>
    </row>
    <row r="143" spans="11:16">
      <c r="K143" s="30"/>
      <c r="L143" s="30"/>
      <c r="M143" s="30"/>
      <c r="N143" s="30"/>
      <c r="O143" s="256"/>
      <c r="P143" s="258"/>
    </row>
    <row r="144" spans="11:16">
      <c r="K144" s="30"/>
      <c r="L144" s="30"/>
      <c r="M144" s="30"/>
      <c r="N144" s="30"/>
      <c r="O144" s="30"/>
      <c r="P144" s="258"/>
    </row>
    <row r="145" spans="11:16">
      <c r="K145" s="30"/>
      <c r="L145" s="30"/>
      <c r="M145" s="30"/>
      <c r="N145" s="30"/>
      <c r="O145" s="30"/>
      <c r="P145" s="258"/>
    </row>
    <row r="146" spans="11:16">
      <c r="K146" s="30"/>
      <c r="L146" s="30"/>
      <c r="M146" s="30"/>
      <c r="N146" s="30"/>
      <c r="O146" s="256"/>
      <c r="P146" s="258"/>
    </row>
    <row r="147" spans="11:16">
      <c r="K147" s="30"/>
      <c r="L147" s="30"/>
      <c r="M147" s="30"/>
      <c r="N147" s="30"/>
      <c r="O147" s="30"/>
      <c r="P147" s="258"/>
    </row>
    <row r="148" spans="11:16">
      <c r="K148" s="30"/>
      <c r="L148" s="30"/>
      <c r="M148" s="30"/>
      <c r="N148" s="30"/>
      <c r="O148" s="30"/>
      <c r="P148" s="258"/>
    </row>
    <row r="149" spans="11:16">
      <c r="K149" s="30"/>
      <c r="L149" s="30"/>
      <c r="M149" s="30"/>
      <c r="N149" s="30"/>
      <c r="O149" s="256"/>
      <c r="P149" s="258"/>
    </row>
    <row r="150" spans="11:16">
      <c r="K150" s="30"/>
      <c r="L150" s="30"/>
      <c r="M150" s="30"/>
      <c r="N150" s="30"/>
      <c r="O150" s="256"/>
      <c r="P150" s="258"/>
    </row>
    <row r="151" spans="11:16">
      <c r="K151" s="30"/>
      <c r="L151" s="30"/>
      <c r="M151" s="30"/>
      <c r="N151" s="30"/>
      <c r="O151" s="256"/>
      <c r="P151" s="258"/>
    </row>
    <row r="152" spans="11:16">
      <c r="K152" s="30"/>
      <c r="L152" s="30"/>
      <c r="M152" s="30"/>
      <c r="N152" s="30"/>
      <c r="O152" s="256"/>
      <c r="P152" s="258"/>
    </row>
    <row r="153" spans="11:16">
      <c r="K153" s="30"/>
      <c r="L153" s="30"/>
      <c r="M153" s="30"/>
      <c r="N153" s="30"/>
      <c r="O153" s="256"/>
      <c r="P153" s="258"/>
    </row>
    <row r="154" spans="11:16">
      <c r="K154" s="30"/>
      <c r="L154" s="30"/>
      <c r="M154" s="30"/>
      <c r="N154" s="30"/>
      <c r="O154" s="256"/>
      <c r="P154" s="258"/>
    </row>
    <row r="155" spans="11:16">
      <c r="K155" s="30"/>
      <c r="L155" s="30"/>
      <c r="M155" s="30"/>
      <c r="N155" s="30"/>
      <c r="O155" s="256"/>
      <c r="P155" s="258"/>
    </row>
    <row r="156" spans="11:16">
      <c r="K156" s="30"/>
      <c r="L156" s="30"/>
      <c r="M156" s="30"/>
      <c r="N156" s="30"/>
      <c r="O156" s="256"/>
      <c r="P156" s="258"/>
    </row>
    <row r="157" spans="11:16">
      <c r="K157" s="30"/>
      <c r="L157" s="30"/>
      <c r="M157" s="30"/>
      <c r="N157" s="30"/>
      <c r="O157" s="256"/>
      <c r="P157" s="258"/>
    </row>
    <row r="158" spans="11:16">
      <c r="K158" s="30"/>
      <c r="L158" s="30"/>
      <c r="M158" s="30"/>
      <c r="N158" s="30"/>
      <c r="O158" s="30"/>
      <c r="P158" s="258"/>
    </row>
    <row r="159" spans="11:16">
      <c r="K159" s="30"/>
      <c r="L159" s="30"/>
      <c r="M159" s="30"/>
      <c r="N159" s="30"/>
      <c r="O159" s="30"/>
      <c r="P159" s="258"/>
    </row>
    <row r="160" spans="11:16">
      <c r="K160" s="30"/>
      <c r="L160" s="30"/>
      <c r="M160" s="30"/>
      <c r="N160" s="30"/>
      <c r="O160" s="256"/>
      <c r="P160" s="258"/>
    </row>
    <row r="161" spans="11:16">
      <c r="K161" s="30"/>
      <c r="L161" s="30"/>
      <c r="M161" s="30"/>
      <c r="N161" s="30"/>
      <c r="O161" s="256"/>
      <c r="P161" s="258"/>
    </row>
    <row r="162" spans="11:16">
      <c r="K162" s="30"/>
      <c r="L162" s="30"/>
      <c r="M162" s="30"/>
      <c r="N162" s="30"/>
      <c r="O162" s="256"/>
      <c r="P162" s="258"/>
    </row>
    <row r="163" spans="11:16">
      <c r="K163" s="30"/>
      <c r="L163" s="30"/>
      <c r="M163" s="30"/>
      <c r="N163" s="30"/>
      <c r="O163" s="30"/>
      <c r="P163" s="258"/>
    </row>
    <row r="164" spans="11:16">
      <c r="K164" s="30"/>
      <c r="L164" s="30"/>
      <c r="M164" s="30"/>
      <c r="N164" s="30"/>
      <c r="O164" s="30"/>
      <c r="P164" s="258"/>
    </row>
    <row r="165" spans="11:16">
      <c r="K165" s="30"/>
      <c r="L165" s="30"/>
      <c r="M165" s="30"/>
      <c r="N165" s="30"/>
      <c r="O165" s="30"/>
      <c r="P165" s="258"/>
    </row>
    <row r="166" spans="11:16">
      <c r="K166" s="30"/>
      <c r="L166" s="30"/>
      <c r="M166" s="30"/>
      <c r="N166" s="30"/>
      <c r="O166" s="30"/>
      <c r="P166" s="258"/>
    </row>
    <row r="167" spans="11:16">
      <c r="K167" s="30"/>
      <c r="L167" s="30"/>
      <c r="M167" s="30"/>
      <c r="N167" s="30"/>
      <c r="O167" s="30"/>
      <c r="P167" s="258"/>
    </row>
    <row r="168" spans="11:16">
      <c r="K168" s="30"/>
      <c r="L168" s="30"/>
      <c r="M168" s="30"/>
      <c r="N168" s="30"/>
      <c r="O168" s="30"/>
      <c r="P168" s="258"/>
    </row>
    <row r="169" spans="11:16">
      <c r="K169" s="30"/>
      <c r="L169" s="30"/>
      <c r="M169" s="30"/>
      <c r="N169" s="30"/>
      <c r="O169" s="30"/>
      <c r="P169" s="258"/>
    </row>
    <row r="170" spans="11:16">
      <c r="K170" s="30"/>
      <c r="L170" s="30"/>
      <c r="M170" s="30"/>
      <c r="N170" s="30"/>
      <c r="O170" s="30"/>
      <c r="P170" s="258"/>
    </row>
    <row r="171" spans="11:16">
      <c r="K171" s="30"/>
      <c r="L171" s="30"/>
      <c r="M171" s="30"/>
      <c r="N171" s="30"/>
      <c r="O171" s="30"/>
      <c r="P171" s="258"/>
    </row>
    <row r="172" spans="11:16">
      <c r="K172" s="30"/>
      <c r="L172" s="30"/>
      <c r="M172" s="30"/>
      <c r="N172" s="30"/>
      <c r="O172" s="30"/>
      <c r="P172" s="258"/>
    </row>
    <row r="173" spans="11:16">
      <c r="K173" s="30"/>
      <c r="L173" s="30"/>
      <c r="M173" s="30"/>
      <c r="N173" s="30"/>
      <c r="O173" s="30"/>
      <c r="P173" s="258"/>
    </row>
    <row r="174" spans="11:16">
      <c r="K174" s="30"/>
      <c r="L174" s="30"/>
      <c r="M174" s="30"/>
      <c r="N174" s="30"/>
      <c r="O174" s="30"/>
      <c r="P174" s="258"/>
    </row>
    <row r="175" spans="11:16">
      <c r="K175" s="30"/>
      <c r="L175" s="30"/>
      <c r="M175" s="30"/>
      <c r="N175" s="30"/>
      <c r="O175" s="30"/>
      <c r="P175" s="258"/>
    </row>
    <row r="176" spans="11:16">
      <c r="K176" s="30"/>
      <c r="L176" s="30"/>
      <c r="M176" s="30"/>
      <c r="N176" s="30"/>
      <c r="O176" s="30"/>
      <c r="P176" s="258"/>
    </row>
    <row r="177" spans="11:16">
      <c r="K177" s="30"/>
      <c r="L177" s="30"/>
      <c r="M177" s="30"/>
      <c r="N177" s="30"/>
      <c r="O177" s="30"/>
      <c r="P177" s="258"/>
    </row>
    <row r="178" spans="11:16">
      <c r="K178" s="30"/>
      <c r="L178" s="30"/>
      <c r="M178" s="30"/>
      <c r="N178" s="30"/>
      <c r="O178" s="30"/>
      <c r="P178" s="258"/>
    </row>
    <row r="179" spans="11:16">
      <c r="K179" s="30"/>
      <c r="L179" s="30"/>
      <c r="M179" s="30"/>
      <c r="N179" s="30"/>
      <c r="O179" s="30"/>
      <c r="P179" s="258"/>
    </row>
    <row r="180" spans="11:16">
      <c r="K180" s="30"/>
      <c r="L180" s="30"/>
      <c r="M180" s="30"/>
      <c r="N180" s="30"/>
      <c r="O180" s="30"/>
      <c r="P180" s="258"/>
    </row>
    <row r="181" spans="11:16">
      <c r="K181" s="30"/>
      <c r="L181" s="30"/>
      <c r="M181" s="30"/>
      <c r="N181" s="30"/>
      <c r="O181" s="30"/>
      <c r="P181" s="258"/>
    </row>
    <row r="182" spans="11:16">
      <c r="K182" s="30"/>
      <c r="L182" s="30"/>
      <c r="M182" s="30"/>
      <c r="N182" s="30"/>
      <c r="O182" s="30"/>
      <c r="P182" s="258"/>
    </row>
    <row r="183" spans="11:16">
      <c r="K183" s="30"/>
      <c r="L183" s="30"/>
      <c r="M183" s="30"/>
      <c r="N183" s="30"/>
      <c r="O183" s="30"/>
      <c r="P183" s="258"/>
    </row>
    <row r="184" spans="11:16">
      <c r="K184" s="30"/>
      <c r="L184" s="30"/>
      <c r="M184" s="30"/>
      <c r="N184" s="30"/>
      <c r="O184" s="30"/>
      <c r="P184" s="258"/>
    </row>
    <row r="185" spans="11:16">
      <c r="K185" s="30"/>
      <c r="L185" s="30"/>
      <c r="M185" s="30"/>
      <c r="N185" s="30"/>
      <c r="O185" s="30"/>
      <c r="P185" s="258"/>
    </row>
    <row r="186" spans="11:16">
      <c r="K186" s="30"/>
      <c r="L186" s="30"/>
      <c r="M186" s="30"/>
      <c r="N186" s="30"/>
      <c r="O186" s="30"/>
      <c r="P186" s="258"/>
    </row>
    <row r="187" spans="11:16">
      <c r="K187" s="30"/>
      <c r="L187" s="30"/>
      <c r="M187" s="30"/>
      <c r="N187" s="30"/>
      <c r="O187" s="30"/>
      <c r="P187" s="258"/>
    </row>
    <row r="188" spans="11:16">
      <c r="K188" s="30"/>
      <c r="L188" s="30"/>
      <c r="M188" s="30"/>
      <c r="N188" s="30"/>
      <c r="O188" s="30"/>
      <c r="P188" s="258"/>
    </row>
    <row r="189" spans="11:16">
      <c r="K189" s="30"/>
      <c r="L189" s="30"/>
      <c r="M189" s="30"/>
      <c r="N189" s="30"/>
      <c r="O189" s="30"/>
      <c r="P189" s="258"/>
    </row>
    <row r="190" spans="11:16">
      <c r="K190" s="30"/>
      <c r="L190" s="30"/>
      <c r="M190" s="30"/>
      <c r="N190" s="30"/>
      <c r="O190" s="30"/>
      <c r="P190" s="258"/>
    </row>
    <row r="191" spans="11:16">
      <c r="K191" s="30"/>
      <c r="L191" s="30"/>
      <c r="M191" s="30"/>
      <c r="N191" s="30"/>
      <c r="O191" s="30"/>
      <c r="P191" s="258"/>
    </row>
    <row r="192" spans="11:16">
      <c r="K192" s="30"/>
      <c r="L192" s="30"/>
      <c r="M192" s="30"/>
      <c r="N192" s="30"/>
      <c r="O192" s="30"/>
      <c r="P192" s="258"/>
    </row>
    <row r="193" spans="11:16">
      <c r="K193" s="30"/>
      <c r="L193" s="30"/>
      <c r="M193" s="30"/>
      <c r="N193" s="30"/>
      <c r="O193" s="30"/>
      <c r="P193" s="258"/>
    </row>
    <row r="194" spans="11:16">
      <c r="K194" s="30"/>
      <c r="L194" s="30"/>
      <c r="M194" s="30"/>
      <c r="N194" s="30"/>
      <c r="O194" s="30"/>
      <c r="P194" s="258"/>
    </row>
    <row r="195" spans="11:16">
      <c r="K195" s="30"/>
      <c r="L195" s="30"/>
      <c r="M195" s="30"/>
      <c r="N195" s="30"/>
      <c r="O195" s="30"/>
      <c r="P195" s="258"/>
    </row>
    <row r="196" spans="11:16">
      <c r="K196" s="30"/>
      <c r="L196" s="30"/>
      <c r="M196" s="30"/>
      <c r="N196" s="30"/>
      <c r="O196" s="30"/>
      <c r="P196" s="258"/>
    </row>
    <row r="197" spans="11:16">
      <c r="K197" s="30"/>
      <c r="L197" s="30"/>
      <c r="M197" s="30"/>
      <c r="N197" s="30"/>
      <c r="O197" s="30"/>
      <c r="P197" s="258"/>
    </row>
    <row r="198" spans="11:16">
      <c r="K198" s="30"/>
      <c r="L198" s="30"/>
      <c r="M198" s="30"/>
      <c r="N198" s="30"/>
      <c r="O198" s="30"/>
      <c r="P198" s="258"/>
    </row>
    <row r="199" spans="11:16">
      <c r="K199" s="30"/>
      <c r="L199" s="30"/>
      <c r="M199" s="30"/>
      <c r="N199" s="30"/>
      <c r="O199" s="30"/>
      <c r="P199" s="258"/>
    </row>
    <row r="200" spans="11:16">
      <c r="K200" s="30"/>
      <c r="L200" s="30"/>
      <c r="M200" s="30"/>
      <c r="N200" s="30"/>
      <c r="O200" s="30"/>
      <c r="P200" s="258"/>
    </row>
    <row r="201" spans="11:16">
      <c r="K201" s="30"/>
      <c r="L201" s="30"/>
      <c r="M201" s="30"/>
      <c r="N201" s="30"/>
      <c r="O201" s="30"/>
      <c r="P201" s="258"/>
    </row>
    <row r="202" spans="11:16">
      <c r="K202" s="30"/>
      <c r="L202" s="30"/>
      <c r="M202" s="30"/>
      <c r="N202" s="30"/>
      <c r="O202" s="30"/>
      <c r="P202" s="258"/>
    </row>
    <row r="203" spans="11:16">
      <c r="K203" s="30"/>
      <c r="L203" s="30"/>
      <c r="M203" s="30"/>
      <c r="N203" s="30"/>
      <c r="O203" s="30"/>
      <c r="P203" s="258"/>
    </row>
    <row r="204" spans="11:16">
      <c r="K204" s="30"/>
      <c r="L204" s="30"/>
      <c r="M204" s="30"/>
      <c r="N204" s="30"/>
      <c r="O204" s="30"/>
      <c r="P204" s="258"/>
    </row>
    <row r="205" spans="11:16">
      <c r="K205" s="30"/>
      <c r="L205" s="30"/>
      <c r="M205" s="30"/>
      <c r="N205" s="30"/>
      <c r="O205" s="30"/>
      <c r="P205" s="258"/>
    </row>
    <row r="206" spans="11:16">
      <c r="K206" s="30"/>
      <c r="L206" s="30"/>
      <c r="M206" s="30"/>
      <c r="N206" s="30"/>
      <c r="O206" s="30"/>
      <c r="P206" s="258"/>
    </row>
    <row r="207" spans="11:16">
      <c r="K207" s="30"/>
      <c r="L207" s="30"/>
      <c r="M207" s="30"/>
      <c r="N207" s="30"/>
      <c r="O207" s="30"/>
      <c r="P207" s="258"/>
    </row>
    <row r="208" spans="11:16">
      <c r="K208" s="30"/>
      <c r="L208" s="30"/>
      <c r="M208" s="30"/>
      <c r="N208" s="30"/>
      <c r="O208" s="30"/>
      <c r="P208" s="258"/>
    </row>
    <row r="209" spans="11:16">
      <c r="K209" s="30"/>
      <c r="L209" s="30"/>
      <c r="M209" s="30"/>
      <c r="N209" s="30"/>
      <c r="O209" s="30"/>
      <c r="P209" s="258"/>
    </row>
    <row r="210" spans="11:16">
      <c r="K210" s="30"/>
      <c r="L210" s="30"/>
      <c r="M210" s="30"/>
      <c r="N210" s="30"/>
      <c r="O210" s="30"/>
      <c r="P210" s="258"/>
    </row>
    <row r="211" spans="11:16">
      <c r="K211" s="30"/>
      <c r="L211" s="30"/>
      <c r="M211" s="30"/>
      <c r="N211" s="30"/>
      <c r="O211" s="30"/>
      <c r="P211" s="258"/>
    </row>
    <row r="212" spans="11:16">
      <c r="K212" s="30"/>
      <c r="L212" s="30"/>
      <c r="M212" s="30"/>
      <c r="N212" s="30"/>
      <c r="O212" s="30"/>
      <c r="P212" s="258"/>
    </row>
    <row r="213" spans="11:16">
      <c r="K213" s="30"/>
      <c r="L213" s="30"/>
      <c r="M213" s="30"/>
      <c r="N213" s="30"/>
      <c r="O213" s="30"/>
      <c r="P213" s="258"/>
    </row>
    <row r="214" spans="11:16">
      <c r="K214" s="30"/>
      <c r="L214" s="30"/>
      <c r="M214" s="30"/>
      <c r="N214" s="30"/>
      <c r="O214" s="30"/>
      <c r="P214" s="258"/>
    </row>
  </sheetData>
  <autoFilter ref="A12:J54" xr:uid="{00000000-0009-0000-0000-000005000000}"/>
  <mergeCells count="12">
    <mergeCell ref="A40:I40"/>
    <mergeCell ref="A47:I47"/>
    <mergeCell ref="A51:I51"/>
    <mergeCell ref="A54:I54"/>
    <mergeCell ref="A52:I52"/>
    <mergeCell ref="A53:I53"/>
    <mergeCell ref="A1:J3"/>
    <mergeCell ref="A10:J10"/>
    <mergeCell ref="A15:I15"/>
    <mergeCell ref="A31:I31"/>
    <mergeCell ref="A35:I35"/>
    <mergeCell ref="A19:I19"/>
  </mergeCells>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T214"/>
  <sheetViews>
    <sheetView showGridLines="0" view="pageBreakPreview" zoomScaleNormal="82" zoomScaleSheetLayoutView="100" workbookViewId="0">
      <selection activeCell="C17" sqref="C17"/>
    </sheetView>
  </sheetViews>
  <sheetFormatPr defaultColWidth="9.140625" defaultRowHeight="12.75"/>
  <cols>
    <col min="1" max="1" width="10.7109375" style="16" customWidth="1"/>
    <col min="2" max="2" width="10.7109375" style="79" customWidth="1"/>
    <col min="3" max="3" width="70.7109375" style="33" customWidth="1"/>
    <col min="4" max="4" width="4.7109375" style="16" bestFit="1" customWidth="1"/>
    <col min="5" max="8" width="11.7109375" style="75" customWidth="1"/>
    <col min="9" max="10" width="14.28515625" style="75" customWidth="1"/>
    <col min="11" max="13" width="12.140625" style="14" bestFit="1" customWidth="1"/>
    <col min="14" max="15" width="9.140625" style="14"/>
    <col min="16" max="16" width="9.140625" style="223"/>
    <col min="17" max="999" width="9.140625" style="14"/>
    <col min="1000" max="1008" width="9.140625" style="42"/>
    <col min="1009" max="16384" width="9.140625" style="18"/>
  </cols>
  <sheetData>
    <row r="1" spans="1:15" ht="21" customHeight="1">
      <c r="A1" s="416"/>
      <c r="B1" s="454"/>
      <c r="C1" s="43"/>
      <c r="D1" s="43"/>
      <c r="E1" s="56"/>
      <c r="F1" s="56"/>
      <c r="G1" s="56"/>
      <c r="H1" s="56"/>
      <c r="I1" s="56"/>
      <c r="J1" s="417"/>
    </row>
    <row r="2" spans="1:15" ht="21" customHeight="1">
      <c r="A2" s="418"/>
      <c r="B2" s="76"/>
      <c r="C2" s="37"/>
      <c r="D2" s="37"/>
      <c r="E2" s="57"/>
      <c r="F2" s="57"/>
      <c r="G2" s="57"/>
      <c r="H2" s="57"/>
      <c r="I2" s="57"/>
      <c r="J2" s="419"/>
    </row>
    <row r="3" spans="1:15" ht="21" customHeight="1">
      <c r="A3" s="418"/>
      <c r="B3" s="76"/>
      <c r="C3" s="37"/>
      <c r="D3" s="37"/>
      <c r="E3" s="57"/>
      <c r="F3" s="57"/>
      <c r="G3" s="57"/>
      <c r="H3" s="57"/>
      <c r="I3" s="57"/>
      <c r="J3" s="419"/>
    </row>
    <row r="4" spans="1:15" ht="14.1" customHeight="1">
      <c r="A4" s="426" t="s">
        <v>6295</v>
      </c>
      <c r="B4" s="455"/>
      <c r="C4" s="422" t="str">
        <f>+RESUMO!B5</f>
        <v>CONCLUSÃO DA CONSTRUÇÃO DO CENTRO DE ATENDIMENTO SÓCIO EDUCATIVO - CASE ITUMBIARA</v>
      </c>
      <c r="D4" s="422"/>
      <c r="E4" s="428"/>
      <c r="F4" s="428"/>
      <c r="G4" s="428"/>
      <c r="H4" s="428"/>
      <c r="I4" s="428"/>
      <c r="J4" s="429"/>
    </row>
    <row r="5" spans="1:15" ht="14.85" customHeight="1">
      <c r="A5" s="426" t="s">
        <v>6297</v>
      </c>
      <c r="B5" s="455"/>
      <c r="C5" s="422" t="str">
        <f>+RESUMO!B6</f>
        <v>SINAPI – NOVEMBRO/2020 (ONERADA)</v>
      </c>
      <c r="D5" s="422"/>
      <c r="E5" s="428"/>
      <c r="F5" s="428"/>
      <c r="G5" s="428"/>
      <c r="H5" s="428"/>
      <c r="I5" s="428"/>
      <c r="J5" s="429"/>
    </row>
    <row r="6" spans="1:15" ht="14.85" customHeight="1">
      <c r="A6" s="448" t="s">
        <v>5545</v>
      </c>
      <c r="B6" s="455"/>
      <c r="C6" s="422" t="str">
        <f>+RESUMO!B7</f>
        <v>MAIO / 2021</v>
      </c>
      <c r="D6" s="450"/>
      <c r="E6" s="428"/>
      <c r="F6" s="428"/>
      <c r="G6" s="428"/>
      <c r="H6" s="428"/>
      <c r="I6" s="428"/>
      <c r="J6" s="429"/>
    </row>
    <row r="7" spans="1:15" ht="14.85" customHeight="1">
      <c r="A7" s="448" t="s">
        <v>6298</v>
      </c>
      <c r="B7" s="455"/>
      <c r="C7" s="442">
        <v>2.02000036012687E+18</v>
      </c>
      <c r="D7" s="408"/>
      <c r="E7" s="439"/>
      <c r="F7" s="439"/>
      <c r="G7" s="439"/>
      <c r="H7" s="439"/>
      <c r="I7" s="439"/>
      <c r="J7" s="456"/>
    </row>
    <row r="8" spans="1:15" ht="14.85" customHeight="1">
      <c r="A8" s="448" t="s">
        <v>6299</v>
      </c>
      <c r="B8" s="455"/>
      <c r="C8" s="457" t="s">
        <v>6337</v>
      </c>
      <c r="D8" s="408"/>
      <c r="E8" s="439"/>
      <c r="F8" s="439"/>
      <c r="G8" s="439"/>
      <c r="H8" s="439"/>
      <c r="I8" s="439"/>
      <c r="J8" s="456"/>
      <c r="M8" s="255"/>
    </row>
    <row r="9" spans="1:15" ht="14.85" customHeight="1">
      <c r="A9" s="448" t="s">
        <v>6300</v>
      </c>
      <c r="B9" s="455"/>
      <c r="C9" s="457" t="s">
        <v>6338</v>
      </c>
      <c r="D9" s="408"/>
      <c r="E9" s="439"/>
      <c r="F9" s="439"/>
      <c r="G9" s="439"/>
      <c r="H9" s="439"/>
      <c r="I9" s="439"/>
      <c r="J9" s="456"/>
    </row>
    <row r="10" spans="1:15" ht="14.85" customHeight="1">
      <c r="A10" s="13"/>
      <c r="B10" s="77"/>
      <c r="C10" s="127"/>
      <c r="D10" s="13"/>
      <c r="E10" s="10"/>
      <c r="F10" s="10"/>
      <c r="G10" s="10"/>
      <c r="H10" s="10"/>
      <c r="I10" s="10"/>
      <c r="J10" s="10"/>
    </row>
    <row r="11" spans="1:15" ht="20.85" customHeight="1">
      <c r="A11" s="15" t="s">
        <v>5551</v>
      </c>
      <c r="B11" s="78" t="s">
        <v>0</v>
      </c>
      <c r="C11" s="15" t="s">
        <v>6305</v>
      </c>
      <c r="D11" s="15" t="s">
        <v>6306</v>
      </c>
      <c r="E11" s="59" t="s">
        <v>6311</v>
      </c>
      <c r="F11" s="59" t="s">
        <v>6285</v>
      </c>
      <c r="G11" s="59" t="s">
        <v>586</v>
      </c>
      <c r="H11" s="59" t="s">
        <v>6286</v>
      </c>
      <c r="I11" s="59" t="s">
        <v>6308</v>
      </c>
      <c r="J11" s="59" t="s">
        <v>6309</v>
      </c>
    </row>
    <row r="12" spans="1:15">
      <c r="A12" s="266"/>
      <c r="B12" s="327"/>
      <c r="C12" s="267"/>
      <c r="D12" s="269"/>
      <c r="E12" s="271"/>
      <c r="F12" s="271"/>
      <c r="G12" s="271"/>
      <c r="H12" s="271"/>
      <c r="I12" s="271"/>
      <c r="J12" s="271"/>
      <c r="L12" s="255"/>
      <c r="M12" s="255"/>
    </row>
    <row r="13" spans="1:15">
      <c r="A13" s="251"/>
      <c r="B13" s="290">
        <v>164</v>
      </c>
      <c r="C13" s="273" t="s">
        <v>612</v>
      </c>
      <c r="D13" s="274"/>
      <c r="E13" s="276"/>
      <c r="F13" s="276"/>
      <c r="G13" s="276"/>
      <c r="H13" s="276"/>
      <c r="I13" s="280"/>
      <c r="J13" s="280"/>
    </row>
    <row r="14" spans="1:15" ht="36">
      <c r="A14" s="251" t="s">
        <v>6307</v>
      </c>
      <c r="B14" s="328">
        <v>166</v>
      </c>
      <c r="C14" s="301" t="str">
        <f>(IF($A14="SINAPI",INDEX(SINAPI_NOV2020_NDES!$A$7:$H$6703,MATCH($B14,SINAPI_NOV2020_NDES!$A$7:$A$6703,0),2),IF($A14="GOINFRA",INDEX(#REF!,MATCH($B14,#REF!,0),2),(INDEX(COMPOS!$A$4:$G$390,MATCH($B14,COMPOS!$A$4:A$390,0),2)))))</f>
        <v>LOCAÇÃO DA OBRA, EXECUÇÃO DE GABARITO SEM REAPROVEITAMENTO, INCLUSO PINTURA (FACE INTERNA DO RIPÃO 15CM) E PIQUETE COM TESTEMUNHA</v>
      </c>
      <c r="D14" s="274" t="str">
        <f>(IF($A14="SINAPI",INDEX(SINAPI_NOV2020_NDES!$A$7:$H$6790,MATCH($B14,SINAPI_NOV2020_NDES!$A$7:$A$6790,0),3),(INDEX(COMPOS!$A$4:$G$5000,MATCH($B14,COMPOS!$A$4:$A$5000,0),3))))</f>
        <v>M2</v>
      </c>
      <c r="E14" s="276">
        <v>13.35</v>
      </c>
      <c r="F14" s="279">
        <f>(IF($A14="SINAPI",INDEX(SINAPI_NOV2020_NDES!$A$7:$H$6703,MATCH($B14,SINAPI_NOV2020_NDES!$A$7:$A$6703,0),5),(INDEX(COMPOS!$A$4:$G$801,MATCH($B14,COMPOS!$A$4:A$801,0),4))))</f>
        <v>1.6903229999999998</v>
      </c>
      <c r="G14" s="280">
        <f>(IF($A14="SINAPI",INDEX(SINAPI_NOV2020_NDES!$A$7:$H$6703,MATCH($B14,SINAPI_NOV2020_NDES!$A$7:$A$6703,0),6),(INDEX(COMPOS!$A$4:$G$801,MATCH($B14,COMPOS!$A$4:A$801,0),5))))</f>
        <v>2.6440060000000001</v>
      </c>
      <c r="H14" s="280">
        <f>(IF($A14="SINAPI",INDEX(SINAPI_NOV2020_NDES!$A$7:$H$6703,MATCH($B14,SINAPI_NOV2020_NDES!$A$7:$A$6703,0),7),(INDEX(COMPOS!$A$4:$G$801,MATCH($B14,COMPOS!$A$4:A$801,0),6))))</f>
        <v>0</v>
      </c>
      <c r="I14" s="279">
        <f t="shared" ref="I14" si="0">SUM(F14:H14)</f>
        <v>4.3343290000000003</v>
      </c>
      <c r="J14" s="276">
        <f t="shared" ref="J14" si="1">+I14*E14</f>
        <v>57.863292149999999</v>
      </c>
      <c r="K14" s="255"/>
      <c r="L14" s="255"/>
      <c r="M14" s="255"/>
      <c r="N14" s="255"/>
      <c r="O14" s="257"/>
    </row>
    <row r="15" spans="1:15">
      <c r="A15" s="680" t="s">
        <v>6927</v>
      </c>
      <c r="B15" s="680"/>
      <c r="C15" s="680"/>
      <c r="D15" s="680"/>
      <c r="E15" s="680"/>
      <c r="F15" s="680"/>
      <c r="G15" s="680"/>
      <c r="H15" s="680"/>
      <c r="I15" s="680"/>
      <c r="J15" s="281">
        <f>SUM(J14)</f>
        <v>57.863292149999999</v>
      </c>
      <c r="K15" s="255"/>
      <c r="L15" s="255"/>
      <c r="M15" s="255"/>
      <c r="N15" s="255"/>
      <c r="O15" s="255"/>
    </row>
    <row r="16" spans="1:15">
      <c r="A16" s="251"/>
      <c r="B16" s="290">
        <v>165</v>
      </c>
      <c r="C16" s="273" t="s">
        <v>611</v>
      </c>
      <c r="D16" s="274"/>
      <c r="E16" s="276"/>
      <c r="F16" s="276"/>
      <c r="G16" s="276"/>
      <c r="H16" s="276"/>
      <c r="I16" s="280"/>
      <c r="J16" s="280"/>
      <c r="K16" s="255"/>
      <c r="L16" s="255"/>
      <c r="M16" s="255"/>
      <c r="N16" s="255"/>
      <c r="O16" s="255"/>
    </row>
    <row r="17" spans="1:1008" ht="24">
      <c r="A17" s="251" t="s">
        <v>6307</v>
      </c>
      <c r="B17" s="328">
        <v>450</v>
      </c>
      <c r="C17" s="329" t="str">
        <f>(IF($A17="SINAPI",INDEX(SINAPI_NOV2020_NDES!$A$7:$H$6703,MATCH($B17,SINAPI_NOV2020_NDES!$A$7:$A$6703,0),2),IF($A17="GOINFRA",INDEX(#REF!,MATCH($B17,#REF!,0),2),(INDEX(COMPOS!$A$4:$G$39000,MATCH($B17,COMPOS!$A$4:A$3900,0),2)))))</f>
        <v>TRANSPORTE DE ENTULHO EM CAÇAMBA ESTACIONÁRIA INCLUSO A CARGA MANUAL</v>
      </c>
      <c r="D17" s="274" t="str">
        <f>(IF($A17="SINAPI",INDEX(SINAPI_NOV2020_NDES!$A$7:$H$6790,MATCH($B17,SINAPI_NOV2020_NDES!$A$7:$A$6790,0),3),(INDEX(COMPOS!$A$4:$G$5000,MATCH($B17,COMPOS!$A$4:$A$5000,0),3))))</f>
        <v>M3</v>
      </c>
      <c r="E17" s="276">
        <v>0.93450000000000011</v>
      </c>
      <c r="F17" s="279">
        <f>(IF($A17="SINAPI",INDEX(SINAPI_NOV2020_NDES!$A$7:$H$6703,MATCH($B17,SINAPI_NOV2020_NDES!$A$7:$A$6703,0),5),(INDEX(COMPOS!$A$4:$G$801,MATCH($B17,COMPOS!$A$4:A$801,0),4))))</f>
        <v>10.879199999999999</v>
      </c>
      <c r="G17" s="280">
        <f>(IF($A17="SINAPI",INDEX(SINAPI_NOV2020_NDES!$A$7:$H$6703,MATCH($B17,SINAPI_NOV2020_NDES!$A$7:$A$6703,0),6),(INDEX(COMPOS!$A$4:$G$801,MATCH($B17,COMPOS!$A$4:A$801,0),5))))</f>
        <v>50.39</v>
      </c>
      <c r="H17" s="280">
        <f>(IF($A17="SINAPI",INDEX(SINAPI_NOV2020_NDES!$A$7:$H$6703,MATCH($B17,SINAPI_NOV2020_NDES!$A$7:$A$6703,0),7),(INDEX(COMPOS!$A$4:$G$801,MATCH($B17,COMPOS!$A$4:A$801,0),6))))</f>
        <v>0</v>
      </c>
      <c r="I17" s="279">
        <f t="shared" ref="I17" si="2">SUM(F17:H17)</f>
        <v>61.269199999999998</v>
      </c>
      <c r="J17" s="276">
        <f t="shared" ref="J17" si="3">+I17*E17</f>
        <v>57.256067400000006</v>
      </c>
      <c r="K17" s="255"/>
      <c r="L17" s="255"/>
      <c r="M17" s="255"/>
      <c r="N17" s="255"/>
      <c r="O17" s="257"/>
    </row>
    <row r="18" spans="1:1008" s="88" customFormat="1" ht="24" customHeight="1">
      <c r="A18" s="680" t="s">
        <v>6927</v>
      </c>
      <c r="B18" s="680"/>
      <c r="C18" s="680"/>
      <c r="D18" s="680"/>
      <c r="E18" s="680"/>
      <c r="F18" s="680"/>
      <c r="G18" s="680"/>
      <c r="H18" s="680"/>
      <c r="I18" s="680"/>
      <c r="J18" s="281">
        <f>SUM(J17)</f>
        <v>57.256067400000006</v>
      </c>
      <c r="K18" s="255"/>
      <c r="L18" s="255"/>
      <c r="M18" s="255"/>
      <c r="N18" s="255"/>
      <c r="O18" s="255"/>
      <c r="P18" s="223"/>
    </row>
    <row r="19" spans="1:1008">
      <c r="A19" s="251"/>
      <c r="B19" s="290">
        <v>166</v>
      </c>
      <c r="C19" s="273" t="s">
        <v>609</v>
      </c>
      <c r="D19" s="274"/>
      <c r="E19" s="276"/>
      <c r="F19" s="276"/>
      <c r="G19" s="276"/>
      <c r="H19" s="276"/>
      <c r="I19" s="280"/>
      <c r="J19" s="280"/>
      <c r="K19" s="255"/>
      <c r="L19" s="255"/>
      <c r="M19" s="255"/>
      <c r="N19" s="255"/>
      <c r="O19" s="255"/>
    </row>
    <row r="20" spans="1:1008" ht="24">
      <c r="A20" s="251" t="s">
        <v>7</v>
      </c>
      <c r="B20" s="328">
        <v>93358</v>
      </c>
      <c r="C20" s="329" t="str">
        <f>(IF($A20="SINAPI",INDEX(SINAPI_NOV2020_NDES!$A$7:$H$6703,MATCH($B20,SINAPI_NOV2020_NDES!$A$7:$A$6703,0),2),IF($A20="GOINFRA",INDEX(#REF!,MATCH($B20,#REF!,0),2),(INDEX(COMPOS!$A$4:$G$390,MATCH($B20,COMPOS!$A$4:A$390,0),2)))))</f>
        <v>ESCAVAÇÃO MANUAL DE VALA COM PROFUNDIDADE MENOR OU IGUAL A 1,30 M. AF_03/2016</v>
      </c>
      <c r="D20" s="274" t="str">
        <f>(IF($A20="SINAPI",INDEX(SINAPI_NOV2020_NDES!$A$7:$H$6790,MATCH($B20,SINAPI_NOV2020_NDES!$A$7:$A$6790,0),3),(INDEX(COMPOS!$A$4:$G$5000,MATCH($B20,COMPOS!$A$4:$A$5000,0),3))))</f>
        <v>M3</v>
      </c>
      <c r="E20" s="276">
        <v>4.7300000000000004</v>
      </c>
      <c r="F20" s="279">
        <f>(IF($A20="SINAPI",INDEX(SINAPI_NOV2020_NDES!$A$7:$H$6703,MATCH($B20,SINAPI_NOV2020_NDES!$A$7:$A$6703,0),5),(INDEX(COMPOS!$A$4:$G$801,MATCH($B20,COMPOS!$A$4:A$801,0),4))))</f>
        <v>42.11</v>
      </c>
      <c r="G20" s="280">
        <f>(IF($A20="SINAPI",INDEX(SINAPI_NOV2020_NDES!$A$7:$H$6703,MATCH($B20,SINAPI_NOV2020_NDES!$A$7:$A$6703,0),6),(INDEX(COMPOS!$A$4:$G$801,MATCH($B20,COMPOS!$A$4:A$801,0),5))))</f>
        <v>17.66</v>
      </c>
      <c r="H20" s="280">
        <f>(IF($A20="SINAPI",INDEX(SINAPI_NOV2020_NDES!$A$7:$H$6703,MATCH($B20,SINAPI_NOV2020_NDES!$A$7:$A$6703,0),7),(INDEX(COMPOS!$A$4:$G$801,MATCH($B20,COMPOS!$A$4:A$801,0),6))))</f>
        <v>0</v>
      </c>
      <c r="I20" s="279">
        <f t="shared" ref="I20" si="4">SUM(F20:H20)</f>
        <v>59.769999999999996</v>
      </c>
      <c r="J20" s="276">
        <f t="shared" ref="J20" si="5">+I20*E20</f>
        <v>282.71210000000002</v>
      </c>
      <c r="K20" s="255"/>
      <c r="L20" s="255"/>
      <c r="M20" s="255"/>
      <c r="N20" s="255"/>
      <c r="O20" s="257"/>
    </row>
    <row r="21" spans="1:1008">
      <c r="A21" s="251" t="s">
        <v>7</v>
      </c>
      <c r="B21" s="328">
        <v>96995</v>
      </c>
      <c r="C21" s="329" t="str">
        <f>(IF($A21="SINAPI",INDEX(SINAPI_NOV2020_NDES!$A$7:$H$6703,MATCH($B21,SINAPI_NOV2020_NDES!$A$7:$A$6703,0),2),IF($A21="GOINFRA",INDEX(#REF!,MATCH($B21,#REF!,0),2),(INDEX(COMPOS!$A$4:$G$390,MATCH($B21,COMPOS!$A$4:A$390,0),2)))))</f>
        <v>REATERRO MANUAL APILOADO COM SOQUETE. AF_10/2017</v>
      </c>
      <c r="D21" s="274" t="str">
        <f>(IF($A21="SINAPI",INDEX(SINAPI_NOV2020_NDES!$A$7:$H$6790,MATCH($B21,SINAPI_NOV2020_NDES!$A$7:$A$6790,0),3),(INDEX(COMPOS!$A$4:$G$5000,MATCH($B21,COMPOS!$A$4:$A$5000,0),3))))</f>
        <v>M3</v>
      </c>
      <c r="E21" s="276">
        <v>3.15</v>
      </c>
      <c r="F21" s="279">
        <f>(IF($A21="SINAPI",INDEX(SINAPI_NOV2020_NDES!$A$7:$H$6703,MATCH($B21,SINAPI_NOV2020_NDES!$A$7:$A$6703,0),5),(INDEX(COMPOS!$A$4:$G$801,MATCH($B21,COMPOS!$A$4:A$801,0),4))))</f>
        <v>25.54</v>
      </c>
      <c r="G21" s="280">
        <f>(IF($A21="SINAPI",INDEX(SINAPI_NOV2020_NDES!$A$7:$H$6703,MATCH($B21,SINAPI_NOV2020_NDES!$A$7:$A$6703,0),6),(INDEX(COMPOS!$A$4:$G$801,MATCH($B21,COMPOS!$A$4:A$801,0),5))))</f>
        <v>10.7</v>
      </c>
      <c r="H21" s="280">
        <f>(IF($A21="SINAPI",INDEX(SINAPI_NOV2020_NDES!$A$7:$H$6703,MATCH($B21,SINAPI_NOV2020_NDES!$A$7:$A$6703,0),7),(INDEX(COMPOS!$A$4:$G$801,MATCH($B21,COMPOS!$A$4:A$801,0),6))))</f>
        <v>0</v>
      </c>
      <c r="I21" s="279">
        <f t="shared" ref="I21:I24" si="6">SUM(F21:H21)</f>
        <v>36.239999999999995</v>
      </c>
      <c r="J21" s="276">
        <f t="shared" ref="J21:J24" si="7">+I21*E21</f>
        <v>114.15599999999998</v>
      </c>
      <c r="K21" s="255"/>
      <c r="L21" s="255"/>
      <c r="M21" s="255"/>
      <c r="N21" s="255"/>
      <c r="O21" s="257"/>
    </row>
    <row r="22" spans="1:1008" ht="24">
      <c r="A22" s="250" t="s">
        <v>6307</v>
      </c>
      <c r="B22" s="330">
        <v>305</v>
      </c>
      <c r="C22" s="329" t="str">
        <f>(IF($A22="SINAPI",INDEX(SINAPI_NOV2020_NDES!$A$7:$H$6703,MATCH($B22,SINAPI_NOV2020_NDES!$A$7:$A$6703,0),2),IF($A22="GOINFRA",INDEX(#REF!,MATCH($B22,#REF!,0),2),(INDEX(COMPOS!$A$4:$G$390,MATCH($B22,COMPOS!$A$4:A$390,0),2)))))</f>
        <v>REGULARIZAÇÃO DO TERRENO SEM APILOAMENTO COM TRANSPORTE MANUAL DE TERRA ESCAVADA</v>
      </c>
      <c r="D22" s="274" t="str">
        <f>(IF($A22="SINAPI",INDEX(SINAPI_NOV2020_NDES!$A$7:$H$6790,MATCH($B22,SINAPI_NOV2020_NDES!$A$7:$A$6790,0),3),(INDEX(COMPOS!$A$4:$G$5000,MATCH($B22,COMPOS!$A$4:$A$5000,0),3))))</f>
        <v>M2</v>
      </c>
      <c r="E22" s="303">
        <v>21.87</v>
      </c>
      <c r="F22" s="279">
        <f>(IF($A22="SINAPI",INDEX(SINAPI_NOV2020_NDES!$A$7:$H$6703,MATCH($B22,SINAPI_NOV2020_NDES!$A$7:$A$6703,0),5),(INDEX(COMPOS!$A$4:$G$801,MATCH($B22,COMPOS!$A$4:A$801,0),4))))</f>
        <v>2.842123</v>
      </c>
      <c r="G22" s="280">
        <f>(IF($A22="SINAPI",INDEX(SINAPI_NOV2020_NDES!$A$7:$H$6703,MATCH($B22,SINAPI_NOV2020_NDES!$A$7:$A$6703,0),6),(INDEX(COMPOS!$A$4:$G$801,MATCH($B22,COMPOS!$A$4:A$801,0),5))))</f>
        <v>0</v>
      </c>
      <c r="H22" s="280">
        <f>(IF($A22="SINAPI",INDEX(SINAPI_NOV2020_NDES!$A$7:$H$6703,MATCH($B22,SINAPI_NOV2020_NDES!$A$7:$A$6703,0),7),(INDEX(COMPOS!$A$4:$G$801,MATCH($B22,COMPOS!$A$4:A$801,0),6))))</f>
        <v>0</v>
      </c>
      <c r="I22" s="279">
        <f t="shared" si="6"/>
        <v>2.842123</v>
      </c>
      <c r="J22" s="276">
        <f t="shared" si="7"/>
        <v>62.157230009999999</v>
      </c>
      <c r="K22" s="255"/>
      <c r="L22" s="255"/>
      <c r="M22" s="255"/>
      <c r="N22" s="255"/>
      <c r="O22" s="257"/>
    </row>
    <row r="23" spans="1:1008">
      <c r="A23" s="250" t="s">
        <v>6307</v>
      </c>
      <c r="B23" s="330">
        <v>302</v>
      </c>
      <c r="C23" s="329" t="str">
        <f>(IF($A23="SINAPI",INDEX(SINAPI_NOV2020_NDES!$A$7:$H$6703,MATCH($B23,SINAPI_NOV2020_NDES!$A$7:$A$6703,0),2),IF($A23="GOINFRA",INDEX(#REF!,MATCH($B23,#REF!,0),2),(INDEX(COMPOS!$A$4:$G$390,MATCH($B23,COMPOS!$A$4:A$390,0),2)))))</f>
        <v>APILOAMENTO</v>
      </c>
      <c r="D23" s="274" t="str">
        <f>(IF($A23="SINAPI",INDEX(SINAPI_NOV2020_NDES!$A$7:$H$6790,MATCH($B23,SINAPI_NOV2020_NDES!$A$7:$A$6790,0),3),(INDEX(COMPOS!$A$4:$G$5000,MATCH($B23,COMPOS!$A$4:$A$5000,0),3))))</f>
        <v>M2</v>
      </c>
      <c r="E23" s="303">
        <v>21.87</v>
      </c>
      <c r="F23" s="279">
        <f>(IF($A23="SINAPI",INDEX(SINAPI_NOV2020_NDES!$A$7:$H$6703,MATCH($B23,SINAPI_NOV2020_NDES!$A$7:$A$6703,0),5),(INDEX(COMPOS!$A$4:$G$801,MATCH($B23,COMPOS!$A$4:A$801,0),4))))</f>
        <v>6.0440000000000005</v>
      </c>
      <c r="G23" s="280">
        <f>(IF($A23="SINAPI",INDEX(SINAPI_NOV2020_NDES!$A$7:$H$6703,MATCH($B23,SINAPI_NOV2020_NDES!$A$7:$A$6703,0),6),(INDEX(COMPOS!$A$4:$G$801,MATCH($B23,COMPOS!$A$4:A$801,0),5))))</f>
        <v>0</v>
      </c>
      <c r="H23" s="280">
        <f>(IF($A23="SINAPI",INDEX(SINAPI_NOV2020_NDES!$A$7:$H$6703,MATCH($B23,SINAPI_NOV2020_NDES!$A$7:$A$6703,0),7),(INDEX(COMPOS!$A$4:$G$801,MATCH($B23,COMPOS!$A$4:A$801,0),6))))</f>
        <v>0</v>
      </c>
      <c r="I23" s="279">
        <f t="shared" si="6"/>
        <v>6.0440000000000005</v>
      </c>
      <c r="J23" s="276">
        <f t="shared" si="7"/>
        <v>132.18228000000002</v>
      </c>
      <c r="K23" s="255"/>
      <c r="L23" s="255"/>
      <c r="M23" s="255"/>
      <c r="N23" s="255"/>
      <c r="O23" s="257"/>
    </row>
    <row r="24" spans="1:1008">
      <c r="A24" s="250" t="s">
        <v>6307</v>
      </c>
      <c r="B24" s="330">
        <v>303</v>
      </c>
      <c r="C24" s="329" t="str">
        <f>(IF($A24="SINAPI",INDEX(SINAPI_NOV2020_NDES!$A$7:$H$6703,MATCH($B24,SINAPI_NOV2020_NDES!$A$7:$A$6703,0),2),IF($A24="GOINFRA",INDEX(#REF!,MATCH($B24,#REF!,0),2),(INDEX(COMPOS!$A$4:$G$390,MATCH($B24,COMPOS!$A$4:A$390,0),2)))))</f>
        <v>ATERRO INTERNO SEM APILOAMENTO</v>
      </c>
      <c r="D24" s="274" t="str">
        <f>(IF($A24="SINAPI",INDEX(SINAPI_NOV2020_NDES!$A$7:$H$6790,MATCH($B24,SINAPI_NOV2020_NDES!$A$7:$A$6790,0),3),(INDEX(COMPOS!$A$4:$G$5000,MATCH($B24,COMPOS!$A$4:$A$5000,0),3))))</f>
        <v>M3</v>
      </c>
      <c r="E24" s="303">
        <v>1.6245000000000001</v>
      </c>
      <c r="F24" s="279">
        <f>(IF($A24="SINAPI",INDEX(SINAPI_NOV2020_NDES!$A$7:$H$6703,MATCH($B24,SINAPI_NOV2020_NDES!$A$7:$A$6703,0),5),(INDEX(COMPOS!$A$4:$G$801,MATCH($B24,COMPOS!$A$4:A$801,0),4))))</f>
        <v>30.22</v>
      </c>
      <c r="G24" s="280">
        <f>(IF($A24="SINAPI",INDEX(SINAPI_NOV2020_NDES!$A$7:$H$6703,MATCH($B24,SINAPI_NOV2020_NDES!$A$7:$A$6703,0),6),(INDEX(COMPOS!$A$4:$G$801,MATCH($B24,COMPOS!$A$4:A$801,0),5))))</f>
        <v>0</v>
      </c>
      <c r="H24" s="280">
        <f>(IF($A24="SINAPI",INDEX(SINAPI_NOV2020_NDES!$A$7:$H$6703,MATCH($B24,SINAPI_NOV2020_NDES!$A$7:$A$6703,0),7),(INDEX(COMPOS!$A$4:$G$801,MATCH($B24,COMPOS!$A$4:A$801,0),6))))</f>
        <v>0</v>
      </c>
      <c r="I24" s="279">
        <f t="shared" si="6"/>
        <v>30.22</v>
      </c>
      <c r="J24" s="276">
        <f t="shared" si="7"/>
        <v>49.092390000000002</v>
      </c>
      <c r="K24" s="255"/>
      <c r="L24" s="255"/>
      <c r="M24" s="255"/>
      <c r="N24" s="255"/>
      <c r="O24" s="257"/>
    </row>
    <row r="25" spans="1:1008" s="88" customFormat="1" ht="24" customHeight="1">
      <c r="A25" s="680" t="s">
        <v>6927</v>
      </c>
      <c r="B25" s="680"/>
      <c r="C25" s="680"/>
      <c r="D25" s="680"/>
      <c r="E25" s="680"/>
      <c r="F25" s="680"/>
      <c r="G25" s="680"/>
      <c r="H25" s="680"/>
      <c r="I25" s="680"/>
      <c r="J25" s="281">
        <f>SUM(J20:J24)</f>
        <v>640.30000001000008</v>
      </c>
      <c r="K25" s="255"/>
      <c r="L25" s="255"/>
      <c r="M25" s="255"/>
      <c r="N25" s="255"/>
      <c r="O25" s="255"/>
      <c r="P25" s="223"/>
    </row>
    <row r="26" spans="1:1008">
      <c r="A26" s="251"/>
      <c r="B26" s="290">
        <v>167</v>
      </c>
      <c r="C26" s="273" t="s">
        <v>608</v>
      </c>
      <c r="D26" s="274"/>
      <c r="E26" s="276"/>
      <c r="F26" s="276"/>
      <c r="G26" s="276"/>
      <c r="H26" s="276"/>
      <c r="I26" s="280"/>
      <c r="J26" s="280"/>
      <c r="K26" s="255"/>
      <c r="L26" s="255"/>
      <c r="M26" s="255"/>
      <c r="N26" s="255"/>
      <c r="O26" s="255"/>
    </row>
    <row r="27" spans="1:1008" s="191" customFormat="1">
      <c r="A27" s="251" t="s">
        <v>6307</v>
      </c>
      <c r="B27" s="328">
        <v>368</v>
      </c>
      <c r="C27" s="329" t="str">
        <f>(IF($A27="SINAPI",INDEX(SINAPI_NOV2020_NDES!$A$7:$H$6703,MATCH($B27,SINAPI_NOV2020_NDES!$A$7:$A$6703,0),2),IF($A27="GOINFRA",INDEX(#REF!,MATCH($B27,#REF!,0),2),(INDEX(COMPOS!$A$4:$G$3900,MATCH($B27,COMPOS!$A$4:A$3900,0),2)))))</f>
        <v>ESTACA A TRADO DIAM. 30CM S/ FERRO</v>
      </c>
      <c r="D27" s="274" t="str">
        <f>(IF($A27="SINAPI",INDEX(SINAPI_NOV2020_NDES!$A$7:$H$6790,MATCH($B27,SINAPI_NOV2020_NDES!$A$7:$A$6790,0),3),(INDEX(COMPOS!$A$4:$G$5000,MATCH($B27,COMPOS!$A$4:$A$5000,0),3))))</f>
        <v>M</v>
      </c>
      <c r="E27" s="276">
        <v>48</v>
      </c>
      <c r="F27" s="279">
        <f>(IF($A27="SINAPI",INDEX(SINAPI_NOV2020_NDES!$A$7:$H$6703,MATCH($B27,SINAPI_NOV2020_NDES!$A$7:$A$6703,0),5),(INDEX(COMPOS!$A$4:$G$801,MATCH($B27,COMPOS!$A$4:A$801,0),4))))</f>
        <v>42.231442000000001</v>
      </c>
      <c r="G27" s="280">
        <f>(IF($A27="SINAPI",INDEX(SINAPI_NOV2020_NDES!$A$7:$H$6703,MATCH($B27,SINAPI_NOV2020_NDES!$A$7:$A$6703,0),6),(INDEX(COMPOS!$A$4:$G$801,MATCH($B27,COMPOS!$A$4:A$801,0),5))))</f>
        <v>22.158317999999998</v>
      </c>
      <c r="H27" s="280">
        <f>(IF($A27="SINAPI",INDEX(SINAPI_NOV2020_NDES!$A$7:$H$6703,MATCH($B27,SINAPI_NOV2020_NDES!$A$7:$A$6703,0),7),(INDEX(COMPOS!$A$4:$G$801,MATCH($B27,COMPOS!$A$4:A$801,0),6))))</f>
        <v>0</v>
      </c>
      <c r="I27" s="279">
        <f t="shared" ref="I27" si="8">SUM(F27:H27)</f>
        <v>64.389759999999995</v>
      </c>
      <c r="J27" s="276">
        <f t="shared" ref="J27" si="9">+I27*E27</f>
        <v>3090.7084799999998</v>
      </c>
      <c r="K27" s="255"/>
      <c r="L27" s="255"/>
      <c r="M27" s="255"/>
      <c r="N27" s="255"/>
      <c r="O27" s="257"/>
      <c r="P27" s="223"/>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c r="IQ27" s="190"/>
      <c r="IR27" s="190"/>
      <c r="IS27" s="190"/>
      <c r="IT27" s="190"/>
      <c r="IU27" s="190"/>
      <c r="IV27" s="190"/>
      <c r="IW27" s="190"/>
      <c r="IX27" s="190"/>
      <c r="IY27" s="190"/>
      <c r="IZ27" s="190"/>
      <c r="JA27" s="190"/>
      <c r="JB27" s="190"/>
      <c r="JC27" s="190"/>
      <c r="JD27" s="190"/>
      <c r="JE27" s="190"/>
      <c r="JF27" s="190"/>
      <c r="JG27" s="190"/>
      <c r="JH27" s="190"/>
      <c r="JI27" s="190"/>
      <c r="JJ27" s="190"/>
      <c r="JK27" s="190"/>
      <c r="JL27" s="190"/>
      <c r="JM27" s="190"/>
      <c r="JN27" s="190"/>
      <c r="JO27" s="190"/>
      <c r="JP27" s="190"/>
      <c r="JQ27" s="190"/>
      <c r="JR27" s="190"/>
      <c r="JS27" s="190"/>
      <c r="JT27" s="190"/>
      <c r="JU27" s="190"/>
      <c r="JV27" s="190"/>
      <c r="JW27" s="190"/>
      <c r="JX27" s="190"/>
      <c r="JY27" s="190"/>
      <c r="JZ27" s="190"/>
      <c r="KA27" s="190"/>
      <c r="KB27" s="190"/>
      <c r="KC27" s="190"/>
      <c r="KD27" s="190"/>
      <c r="KE27" s="190"/>
      <c r="KF27" s="190"/>
      <c r="KG27" s="190"/>
      <c r="KH27" s="190"/>
      <c r="KI27" s="190"/>
      <c r="KJ27" s="190"/>
      <c r="KK27" s="190"/>
      <c r="KL27" s="190"/>
      <c r="KM27" s="190"/>
      <c r="KN27" s="190"/>
      <c r="KO27" s="190"/>
      <c r="KP27" s="190"/>
      <c r="KQ27" s="190"/>
      <c r="KR27" s="190"/>
      <c r="KS27" s="190"/>
      <c r="KT27" s="190"/>
      <c r="KU27" s="190"/>
      <c r="KV27" s="190"/>
      <c r="KW27" s="190"/>
      <c r="KX27" s="190"/>
      <c r="KY27" s="190"/>
      <c r="KZ27" s="190"/>
      <c r="LA27" s="190"/>
      <c r="LB27" s="190"/>
      <c r="LC27" s="190"/>
      <c r="LD27" s="190"/>
      <c r="LE27" s="190"/>
      <c r="LF27" s="190"/>
      <c r="LG27" s="190"/>
      <c r="LH27" s="190"/>
      <c r="LI27" s="190"/>
      <c r="LJ27" s="190"/>
      <c r="LK27" s="190"/>
      <c r="LL27" s="190"/>
      <c r="LM27" s="190"/>
      <c r="LN27" s="190"/>
      <c r="LO27" s="190"/>
      <c r="LP27" s="190"/>
      <c r="LQ27" s="190"/>
      <c r="LR27" s="190"/>
      <c r="LS27" s="190"/>
      <c r="LT27" s="190"/>
      <c r="LU27" s="190"/>
      <c r="LV27" s="190"/>
      <c r="LW27" s="190"/>
      <c r="LX27" s="190"/>
      <c r="LY27" s="190"/>
      <c r="LZ27" s="190"/>
      <c r="MA27" s="190"/>
      <c r="MB27" s="190"/>
      <c r="MC27" s="190"/>
      <c r="MD27" s="190"/>
      <c r="ME27" s="190"/>
      <c r="MF27" s="190"/>
      <c r="MG27" s="190"/>
      <c r="MH27" s="190"/>
      <c r="MI27" s="190"/>
      <c r="MJ27" s="190"/>
      <c r="MK27" s="190"/>
      <c r="ML27" s="190"/>
      <c r="MM27" s="190"/>
      <c r="MN27" s="190"/>
      <c r="MO27" s="190"/>
      <c r="MP27" s="190"/>
      <c r="MQ27" s="190"/>
      <c r="MR27" s="190"/>
      <c r="MS27" s="190"/>
      <c r="MT27" s="190"/>
      <c r="MU27" s="190"/>
      <c r="MV27" s="190"/>
      <c r="MW27" s="190"/>
      <c r="MX27" s="190"/>
      <c r="MY27" s="190"/>
      <c r="MZ27" s="190"/>
      <c r="NA27" s="190"/>
      <c r="NB27" s="190"/>
      <c r="NC27" s="190"/>
      <c r="ND27" s="190"/>
      <c r="NE27" s="190"/>
      <c r="NF27" s="190"/>
      <c r="NG27" s="190"/>
      <c r="NH27" s="190"/>
      <c r="NI27" s="190"/>
      <c r="NJ27" s="190"/>
      <c r="NK27" s="190"/>
      <c r="NL27" s="190"/>
      <c r="NM27" s="190"/>
      <c r="NN27" s="190"/>
      <c r="NO27" s="190"/>
      <c r="NP27" s="190"/>
      <c r="NQ27" s="190"/>
      <c r="NR27" s="190"/>
      <c r="NS27" s="190"/>
      <c r="NT27" s="190"/>
      <c r="NU27" s="190"/>
      <c r="NV27" s="190"/>
      <c r="NW27" s="190"/>
      <c r="NX27" s="190"/>
      <c r="NY27" s="190"/>
      <c r="NZ27" s="190"/>
      <c r="OA27" s="190"/>
      <c r="OB27" s="190"/>
      <c r="OC27" s="190"/>
      <c r="OD27" s="190"/>
      <c r="OE27" s="190"/>
      <c r="OF27" s="190"/>
      <c r="OG27" s="190"/>
      <c r="OH27" s="190"/>
      <c r="OI27" s="190"/>
      <c r="OJ27" s="190"/>
      <c r="OK27" s="190"/>
      <c r="OL27" s="190"/>
      <c r="OM27" s="190"/>
      <c r="ON27" s="190"/>
      <c r="OO27" s="190"/>
      <c r="OP27" s="190"/>
      <c r="OQ27" s="190"/>
      <c r="OR27" s="190"/>
      <c r="OS27" s="190"/>
      <c r="OT27" s="190"/>
      <c r="OU27" s="190"/>
      <c r="OV27" s="190"/>
      <c r="OW27" s="190"/>
      <c r="OX27" s="190"/>
      <c r="OY27" s="190"/>
      <c r="OZ27" s="190"/>
      <c r="PA27" s="190"/>
      <c r="PB27" s="190"/>
      <c r="PC27" s="190"/>
      <c r="PD27" s="190"/>
      <c r="PE27" s="190"/>
      <c r="PF27" s="190"/>
      <c r="PG27" s="190"/>
      <c r="PH27" s="190"/>
      <c r="PI27" s="190"/>
      <c r="PJ27" s="190"/>
      <c r="PK27" s="190"/>
      <c r="PL27" s="190"/>
      <c r="PM27" s="190"/>
      <c r="PN27" s="190"/>
      <c r="PO27" s="190"/>
      <c r="PP27" s="190"/>
      <c r="PQ27" s="190"/>
      <c r="PR27" s="190"/>
      <c r="PS27" s="190"/>
      <c r="PT27" s="190"/>
      <c r="PU27" s="190"/>
      <c r="PV27" s="190"/>
      <c r="PW27" s="190"/>
      <c r="PX27" s="190"/>
      <c r="PY27" s="190"/>
      <c r="PZ27" s="190"/>
      <c r="QA27" s="190"/>
      <c r="QB27" s="190"/>
      <c r="QC27" s="190"/>
      <c r="QD27" s="190"/>
      <c r="QE27" s="190"/>
      <c r="QF27" s="190"/>
      <c r="QG27" s="190"/>
      <c r="QH27" s="190"/>
      <c r="QI27" s="190"/>
      <c r="QJ27" s="190"/>
      <c r="QK27" s="190"/>
      <c r="QL27" s="190"/>
      <c r="QM27" s="190"/>
      <c r="QN27" s="190"/>
      <c r="QO27" s="190"/>
      <c r="QP27" s="190"/>
      <c r="QQ27" s="190"/>
      <c r="QR27" s="190"/>
      <c r="QS27" s="190"/>
      <c r="QT27" s="190"/>
      <c r="QU27" s="190"/>
      <c r="QV27" s="190"/>
      <c r="QW27" s="190"/>
      <c r="QX27" s="190"/>
      <c r="QY27" s="190"/>
      <c r="QZ27" s="190"/>
      <c r="RA27" s="190"/>
      <c r="RB27" s="190"/>
      <c r="RC27" s="190"/>
      <c r="RD27" s="190"/>
      <c r="RE27" s="190"/>
      <c r="RF27" s="190"/>
      <c r="RG27" s="190"/>
      <c r="RH27" s="190"/>
      <c r="RI27" s="190"/>
      <c r="RJ27" s="190"/>
      <c r="RK27" s="190"/>
      <c r="RL27" s="190"/>
      <c r="RM27" s="190"/>
      <c r="RN27" s="190"/>
      <c r="RO27" s="190"/>
      <c r="RP27" s="190"/>
      <c r="RQ27" s="190"/>
      <c r="RR27" s="190"/>
      <c r="RS27" s="190"/>
      <c r="RT27" s="190"/>
      <c r="RU27" s="190"/>
      <c r="RV27" s="190"/>
      <c r="RW27" s="190"/>
      <c r="RX27" s="190"/>
      <c r="RY27" s="190"/>
      <c r="RZ27" s="190"/>
      <c r="SA27" s="190"/>
      <c r="SB27" s="190"/>
      <c r="SC27" s="190"/>
      <c r="SD27" s="190"/>
      <c r="SE27" s="190"/>
      <c r="SF27" s="190"/>
      <c r="SG27" s="190"/>
      <c r="SH27" s="190"/>
      <c r="SI27" s="190"/>
      <c r="SJ27" s="190"/>
      <c r="SK27" s="190"/>
      <c r="SL27" s="190"/>
      <c r="SM27" s="190"/>
      <c r="SN27" s="190"/>
      <c r="SO27" s="190"/>
      <c r="SP27" s="190"/>
      <c r="SQ27" s="190"/>
      <c r="SR27" s="190"/>
      <c r="SS27" s="190"/>
      <c r="ST27" s="190"/>
      <c r="SU27" s="190"/>
      <c r="SV27" s="190"/>
      <c r="SW27" s="190"/>
      <c r="SX27" s="190"/>
      <c r="SY27" s="190"/>
      <c r="SZ27" s="190"/>
      <c r="TA27" s="190"/>
      <c r="TB27" s="190"/>
      <c r="TC27" s="190"/>
      <c r="TD27" s="190"/>
      <c r="TE27" s="190"/>
      <c r="TF27" s="190"/>
      <c r="TG27" s="190"/>
      <c r="TH27" s="190"/>
      <c r="TI27" s="190"/>
      <c r="TJ27" s="190"/>
      <c r="TK27" s="190"/>
      <c r="TL27" s="190"/>
      <c r="TM27" s="190"/>
      <c r="TN27" s="190"/>
      <c r="TO27" s="190"/>
      <c r="TP27" s="190"/>
      <c r="TQ27" s="190"/>
      <c r="TR27" s="190"/>
      <c r="TS27" s="190"/>
      <c r="TT27" s="190"/>
      <c r="TU27" s="190"/>
      <c r="TV27" s="190"/>
      <c r="TW27" s="190"/>
      <c r="TX27" s="190"/>
      <c r="TY27" s="190"/>
      <c r="TZ27" s="190"/>
      <c r="UA27" s="190"/>
      <c r="UB27" s="190"/>
      <c r="UC27" s="190"/>
      <c r="UD27" s="190"/>
      <c r="UE27" s="190"/>
      <c r="UF27" s="190"/>
      <c r="UG27" s="190"/>
      <c r="UH27" s="190"/>
      <c r="UI27" s="190"/>
      <c r="UJ27" s="190"/>
      <c r="UK27" s="190"/>
      <c r="UL27" s="190"/>
      <c r="UM27" s="190"/>
      <c r="UN27" s="190"/>
      <c r="UO27" s="190"/>
      <c r="UP27" s="190"/>
      <c r="UQ27" s="190"/>
      <c r="UR27" s="190"/>
      <c r="US27" s="190"/>
      <c r="UT27" s="190"/>
      <c r="UU27" s="190"/>
      <c r="UV27" s="190"/>
      <c r="UW27" s="190"/>
      <c r="UX27" s="190"/>
      <c r="UY27" s="190"/>
      <c r="UZ27" s="190"/>
      <c r="VA27" s="190"/>
      <c r="VB27" s="190"/>
      <c r="VC27" s="190"/>
      <c r="VD27" s="190"/>
      <c r="VE27" s="190"/>
      <c r="VF27" s="190"/>
      <c r="VG27" s="190"/>
      <c r="VH27" s="190"/>
      <c r="VI27" s="190"/>
      <c r="VJ27" s="190"/>
      <c r="VK27" s="190"/>
      <c r="VL27" s="190"/>
      <c r="VM27" s="190"/>
      <c r="VN27" s="190"/>
      <c r="VO27" s="190"/>
      <c r="VP27" s="190"/>
      <c r="VQ27" s="190"/>
      <c r="VR27" s="190"/>
      <c r="VS27" s="190"/>
      <c r="VT27" s="190"/>
      <c r="VU27" s="190"/>
      <c r="VV27" s="190"/>
      <c r="VW27" s="190"/>
      <c r="VX27" s="190"/>
      <c r="VY27" s="190"/>
      <c r="VZ27" s="190"/>
      <c r="WA27" s="190"/>
      <c r="WB27" s="190"/>
      <c r="WC27" s="190"/>
      <c r="WD27" s="190"/>
      <c r="WE27" s="190"/>
      <c r="WF27" s="190"/>
      <c r="WG27" s="190"/>
      <c r="WH27" s="190"/>
      <c r="WI27" s="190"/>
      <c r="WJ27" s="190"/>
      <c r="WK27" s="190"/>
      <c r="WL27" s="190"/>
      <c r="WM27" s="190"/>
      <c r="WN27" s="190"/>
      <c r="WO27" s="190"/>
      <c r="WP27" s="190"/>
      <c r="WQ27" s="190"/>
      <c r="WR27" s="190"/>
      <c r="WS27" s="190"/>
      <c r="WT27" s="190"/>
      <c r="WU27" s="190"/>
      <c r="WV27" s="190"/>
      <c r="WW27" s="190"/>
      <c r="WX27" s="190"/>
      <c r="WY27" s="190"/>
      <c r="WZ27" s="190"/>
      <c r="XA27" s="190"/>
      <c r="XB27" s="190"/>
      <c r="XC27" s="190"/>
      <c r="XD27" s="190"/>
      <c r="XE27" s="190"/>
      <c r="XF27" s="190"/>
      <c r="XG27" s="190"/>
      <c r="XH27" s="190"/>
      <c r="XI27" s="190"/>
      <c r="XJ27" s="190"/>
      <c r="XK27" s="190"/>
      <c r="XL27" s="190"/>
      <c r="XM27" s="190"/>
      <c r="XN27" s="190"/>
      <c r="XO27" s="190"/>
      <c r="XP27" s="190"/>
      <c r="XQ27" s="190"/>
      <c r="XR27" s="190"/>
      <c r="XS27" s="190"/>
      <c r="XT27" s="190"/>
      <c r="XU27" s="190"/>
      <c r="XV27" s="190"/>
      <c r="XW27" s="190"/>
      <c r="XX27" s="190"/>
      <c r="XY27" s="190"/>
      <c r="XZ27" s="190"/>
      <c r="YA27" s="190"/>
      <c r="YB27" s="190"/>
      <c r="YC27" s="190"/>
      <c r="YD27" s="190"/>
      <c r="YE27" s="190"/>
      <c r="YF27" s="190"/>
      <c r="YG27" s="190"/>
      <c r="YH27" s="190"/>
      <c r="YI27" s="190"/>
      <c r="YJ27" s="190"/>
      <c r="YK27" s="190"/>
      <c r="YL27" s="190"/>
      <c r="YM27" s="190"/>
      <c r="YN27" s="190"/>
      <c r="YO27" s="190"/>
      <c r="YP27" s="190"/>
      <c r="YQ27" s="190"/>
      <c r="YR27" s="190"/>
      <c r="YS27" s="190"/>
      <c r="YT27" s="190"/>
      <c r="YU27" s="190"/>
      <c r="YV27" s="190"/>
      <c r="YW27" s="190"/>
      <c r="YX27" s="190"/>
      <c r="YY27" s="190"/>
      <c r="YZ27" s="190"/>
      <c r="ZA27" s="190"/>
      <c r="ZB27" s="190"/>
      <c r="ZC27" s="190"/>
      <c r="ZD27" s="190"/>
      <c r="ZE27" s="190"/>
      <c r="ZF27" s="190"/>
      <c r="ZG27" s="190"/>
      <c r="ZH27" s="190"/>
      <c r="ZI27" s="190"/>
      <c r="ZJ27" s="190"/>
      <c r="ZK27" s="190"/>
      <c r="ZL27" s="190"/>
      <c r="ZM27" s="190"/>
      <c r="ZN27" s="190"/>
      <c r="ZO27" s="190"/>
      <c r="ZP27" s="190"/>
      <c r="ZQ27" s="190"/>
      <c r="ZR27" s="190"/>
      <c r="ZS27" s="190"/>
      <c r="ZT27" s="190"/>
      <c r="ZU27" s="190"/>
      <c r="ZV27" s="190"/>
      <c r="ZW27" s="190"/>
      <c r="ZX27" s="190"/>
      <c r="ZY27" s="190"/>
      <c r="ZZ27" s="190"/>
      <c r="AAA27" s="190"/>
      <c r="AAB27" s="190"/>
      <c r="AAC27" s="190"/>
      <c r="AAD27" s="190"/>
      <c r="AAE27" s="190"/>
      <c r="AAF27" s="190"/>
      <c r="AAG27" s="190"/>
      <c r="AAH27" s="190"/>
      <c r="AAI27" s="190"/>
      <c r="AAJ27" s="190"/>
      <c r="AAK27" s="190"/>
      <c r="AAL27" s="190"/>
      <c r="AAM27" s="190"/>
      <c r="AAN27" s="190"/>
      <c r="AAO27" s="190"/>
      <c r="AAP27" s="190"/>
      <c r="AAQ27" s="190"/>
      <c r="AAR27" s="190"/>
      <c r="AAS27" s="190"/>
      <c r="AAT27" s="190"/>
      <c r="AAU27" s="190"/>
      <c r="AAV27" s="190"/>
      <c r="AAW27" s="190"/>
      <c r="AAX27" s="190"/>
      <c r="AAY27" s="190"/>
      <c r="AAZ27" s="190"/>
      <c r="ABA27" s="190"/>
      <c r="ABB27" s="190"/>
      <c r="ABC27" s="190"/>
      <c r="ABD27" s="190"/>
      <c r="ABE27" s="190"/>
      <c r="ABF27" s="190"/>
      <c r="ABG27" s="190"/>
      <c r="ABH27" s="190"/>
      <c r="ABI27" s="190"/>
      <c r="ABJ27" s="190"/>
      <c r="ABK27" s="190"/>
      <c r="ABL27" s="190"/>
      <c r="ABM27" s="190"/>
      <c r="ABN27" s="190"/>
      <c r="ABO27" s="190"/>
      <c r="ABP27" s="190"/>
      <c r="ABQ27" s="190"/>
      <c r="ABR27" s="190"/>
      <c r="ABS27" s="190"/>
      <c r="ABT27" s="190"/>
      <c r="ABU27" s="190"/>
      <c r="ABV27" s="190"/>
      <c r="ABW27" s="190"/>
      <c r="ABX27" s="190"/>
      <c r="ABY27" s="190"/>
      <c r="ABZ27" s="190"/>
      <c r="ACA27" s="190"/>
      <c r="ACB27" s="190"/>
      <c r="ACC27" s="190"/>
      <c r="ACD27" s="190"/>
      <c r="ACE27" s="190"/>
      <c r="ACF27" s="190"/>
      <c r="ACG27" s="190"/>
      <c r="ACH27" s="190"/>
      <c r="ACI27" s="190"/>
      <c r="ACJ27" s="190"/>
      <c r="ACK27" s="190"/>
      <c r="ACL27" s="190"/>
      <c r="ACM27" s="190"/>
      <c r="ACN27" s="190"/>
      <c r="ACO27" s="190"/>
      <c r="ACP27" s="190"/>
      <c r="ACQ27" s="190"/>
      <c r="ACR27" s="190"/>
      <c r="ACS27" s="190"/>
      <c r="ACT27" s="190"/>
      <c r="ACU27" s="190"/>
      <c r="ACV27" s="190"/>
      <c r="ACW27" s="190"/>
      <c r="ACX27" s="190"/>
      <c r="ACY27" s="190"/>
      <c r="ACZ27" s="190"/>
      <c r="ADA27" s="190"/>
      <c r="ADB27" s="190"/>
      <c r="ADC27" s="190"/>
      <c r="ADD27" s="190"/>
      <c r="ADE27" s="190"/>
      <c r="ADF27" s="190"/>
      <c r="ADG27" s="190"/>
      <c r="ADH27" s="190"/>
      <c r="ADI27" s="190"/>
      <c r="ADJ27" s="190"/>
      <c r="ADK27" s="190"/>
      <c r="ADL27" s="190"/>
      <c r="ADM27" s="190"/>
      <c r="ADN27" s="190"/>
      <c r="ADO27" s="190"/>
      <c r="ADP27" s="190"/>
      <c r="ADQ27" s="190"/>
      <c r="ADR27" s="190"/>
      <c r="ADS27" s="190"/>
      <c r="ADT27" s="190"/>
      <c r="ADU27" s="190"/>
      <c r="ADV27" s="190"/>
      <c r="ADW27" s="190"/>
      <c r="ADX27" s="190"/>
      <c r="ADY27" s="190"/>
      <c r="ADZ27" s="190"/>
      <c r="AEA27" s="190"/>
      <c r="AEB27" s="190"/>
      <c r="AEC27" s="190"/>
      <c r="AED27" s="190"/>
      <c r="AEE27" s="190"/>
      <c r="AEF27" s="190"/>
      <c r="AEG27" s="190"/>
      <c r="AEH27" s="190"/>
      <c r="AEI27" s="190"/>
      <c r="AEJ27" s="190"/>
      <c r="AEK27" s="190"/>
      <c r="AEL27" s="190"/>
      <c r="AEM27" s="190"/>
      <c r="AEN27" s="190"/>
      <c r="AEO27" s="190"/>
      <c r="AEP27" s="190"/>
      <c r="AEQ27" s="190"/>
      <c r="AER27" s="190"/>
      <c r="AES27" s="190"/>
      <c r="AET27" s="190"/>
      <c r="AEU27" s="190"/>
      <c r="AEV27" s="190"/>
      <c r="AEW27" s="190"/>
      <c r="AEX27" s="190"/>
      <c r="AEY27" s="190"/>
      <c r="AEZ27" s="190"/>
      <c r="AFA27" s="190"/>
      <c r="AFB27" s="190"/>
      <c r="AFC27" s="190"/>
      <c r="AFD27" s="190"/>
      <c r="AFE27" s="190"/>
      <c r="AFF27" s="190"/>
      <c r="AFG27" s="190"/>
      <c r="AFH27" s="190"/>
      <c r="AFI27" s="190"/>
      <c r="AFJ27" s="190"/>
      <c r="AFK27" s="190"/>
      <c r="AFL27" s="190"/>
      <c r="AFM27" s="190"/>
      <c r="AFN27" s="190"/>
      <c r="AFO27" s="190"/>
      <c r="AFP27" s="190"/>
      <c r="AFQ27" s="190"/>
      <c r="AFR27" s="190"/>
      <c r="AFS27" s="190"/>
      <c r="AFT27" s="190"/>
      <c r="AFU27" s="190"/>
      <c r="AFV27" s="190"/>
      <c r="AFW27" s="190"/>
      <c r="AFX27" s="190"/>
      <c r="AFY27" s="190"/>
      <c r="AFZ27" s="190"/>
      <c r="AGA27" s="190"/>
      <c r="AGB27" s="190"/>
      <c r="AGC27" s="190"/>
      <c r="AGD27" s="190"/>
      <c r="AGE27" s="190"/>
      <c r="AGF27" s="190"/>
      <c r="AGG27" s="190"/>
      <c r="AGH27" s="190"/>
      <c r="AGI27" s="190"/>
      <c r="AGJ27" s="190"/>
      <c r="AGK27" s="190"/>
      <c r="AGL27" s="190"/>
      <c r="AGM27" s="190"/>
      <c r="AGN27" s="190"/>
      <c r="AGO27" s="190"/>
      <c r="AGP27" s="190"/>
      <c r="AGQ27" s="190"/>
      <c r="AGR27" s="190"/>
      <c r="AGS27" s="190"/>
      <c r="AGT27" s="190"/>
      <c r="AGU27" s="190"/>
      <c r="AGV27" s="190"/>
      <c r="AGW27" s="190"/>
      <c r="AGX27" s="190"/>
      <c r="AGY27" s="190"/>
      <c r="AGZ27" s="190"/>
      <c r="AHA27" s="190"/>
      <c r="AHB27" s="190"/>
      <c r="AHC27" s="190"/>
      <c r="AHD27" s="190"/>
      <c r="AHE27" s="190"/>
      <c r="AHF27" s="190"/>
      <c r="AHG27" s="190"/>
      <c r="AHH27" s="190"/>
      <c r="AHI27" s="190"/>
      <c r="AHJ27" s="190"/>
      <c r="AHK27" s="190"/>
      <c r="AHL27" s="190"/>
      <c r="AHM27" s="190"/>
      <c r="AHN27" s="190"/>
      <c r="AHO27" s="190"/>
      <c r="AHP27" s="190"/>
      <c r="AHQ27" s="190"/>
      <c r="AHR27" s="190"/>
      <c r="AHS27" s="190"/>
      <c r="AHT27" s="190"/>
      <c r="AHU27" s="190"/>
      <c r="AHV27" s="190"/>
      <c r="AHW27" s="190"/>
      <c r="AHX27" s="190"/>
      <c r="AHY27" s="190"/>
      <c r="AHZ27" s="190"/>
      <c r="AIA27" s="190"/>
      <c r="AIB27" s="190"/>
      <c r="AIC27" s="190"/>
      <c r="AID27" s="190"/>
      <c r="AIE27" s="190"/>
      <c r="AIF27" s="190"/>
      <c r="AIG27" s="190"/>
      <c r="AIH27" s="190"/>
      <c r="AII27" s="190"/>
      <c r="AIJ27" s="190"/>
      <c r="AIK27" s="190"/>
      <c r="AIL27" s="190"/>
      <c r="AIM27" s="190"/>
      <c r="AIN27" s="190"/>
      <c r="AIO27" s="190"/>
      <c r="AIP27" s="190"/>
      <c r="AIQ27" s="190"/>
      <c r="AIR27" s="190"/>
      <c r="AIS27" s="190"/>
      <c r="AIT27" s="190"/>
      <c r="AIU27" s="190"/>
      <c r="AIV27" s="190"/>
      <c r="AIW27" s="190"/>
      <c r="AIX27" s="190"/>
      <c r="AIY27" s="190"/>
      <c r="AIZ27" s="190"/>
      <c r="AJA27" s="190"/>
      <c r="AJB27" s="190"/>
      <c r="AJC27" s="190"/>
      <c r="AJD27" s="190"/>
      <c r="AJE27" s="190"/>
      <c r="AJF27" s="190"/>
      <c r="AJG27" s="190"/>
      <c r="AJH27" s="190"/>
      <c r="AJI27" s="190"/>
      <c r="AJJ27" s="190"/>
      <c r="AJK27" s="190"/>
      <c r="AJL27" s="190"/>
      <c r="AJM27" s="190"/>
      <c r="AJN27" s="190"/>
      <c r="AJO27" s="190"/>
      <c r="AJP27" s="190"/>
      <c r="AJQ27" s="190"/>
      <c r="AJR27" s="190"/>
      <c r="AJS27" s="190"/>
      <c r="AJT27" s="190"/>
      <c r="AJU27" s="190"/>
      <c r="AJV27" s="190"/>
      <c r="AJW27" s="190"/>
      <c r="AJX27" s="190"/>
      <c r="AJY27" s="190"/>
      <c r="AJZ27" s="190"/>
      <c r="AKA27" s="190"/>
      <c r="AKB27" s="190"/>
      <c r="AKC27" s="190"/>
      <c r="AKD27" s="190"/>
      <c r="AKE27" s="190"/>
      <c r="AKF27" s="190"/>
      <c r="AKG27" s="190"/>
      <c r="AKH27" s="190"/>
      <c r="AKI27" s="190"/>
      <c r="AKJ27" s="190"/>
      <c r="AKK27" s="190"/>
      <c r="AKL27" s="190"/>
      <c r="AKM27" s="190"/>
      <c r="AKN27" s="190"/>
      <c r="AKO27" s="190"/>
      <c r="AKP27" s="190"/>
      <c r="AKQ27" s="190"/>
      <c r="AKR27" s="190"/>
      <c r="AKS27" s="190"/>
      <c r="AKT27" s="190"/>
      <c r="AKU27" s="190"/>
      <c r="AKV27" s="190"/>
      <c r="AKW27" s="190"/>
      <c r="AKX27" s="190"/>
      <c r="AKY27" s="190"/>
      <c r="AKZ27" s="190"/>
      <c r="ALA27" s="190"/>
      <c r="ALB27" s="190"/>
      <c r="ALC27" s="190"/>
      <c r="ALD27" s="190"/>
      <c r="ALE27" s="190"/>
      <c r="ALF27" s="190"/>
      <c r="ALG27" s="190"/>
      <c r="ALH27" s="190"/>
      <c r="ALI27" s="190"/>
      <c r="ALJ27" s="190"/>
      <c r="ALK27" s="190"/>
      <c r="ALL27" s="42"/>
      <c r="ALM27" s="42"/>
      <c r="ALN27" s="42"/>
      <c r="ALO27" s="42"/>
      <c r="ALP27" s="42"/>
      <c r="ALQ27" s="42"/>
      <c r="ALR27" s="42"/>
      <c r="ALS27" s="42"/>
      <c r="ALT27" s="42"/>
    </row>
    <row r="28" spans="1:1008" s="191" customFormat="1" ht="24">
      <c r="A28" s="251" t="s">
        <v>7</v>
      </c>
      <c r="B28" s="328">
        <v>96531</v>
      </c>
      <c r="C28" s="329" t="str">
        <f>(IF($A28="SINAPI",INDEX(SINAPI_NOV2020_NDES!$A$7:$H$6703,MATCH($B28,SINAPI_NOV2020_NDES!$A$7:$A$6703,0),2),IF($A28="GOINFRA",INDEX(#REF!,MATCH($B28,#REF!,0),2),(INDEX(COMPOS!$A$4:$G$3900,MATCH($B28,COMPOS!$A$4:A$3900,0),2)))))</f>
        <v>FABRICAÇÃO, MONTAGEM E DESMONTAGEM DE FÔRMA PARA BLOCO DE COROAMENTO, EM MADEIRA SERRADA, E=25 MM, 2 UTILIZAÇÕES. AF_06/2017</v>
      </c>
      <c r="D28" s="274" t="str">
        <f>(IF($A28="SINAPI",INDEX(SINAPI_NOV2020_NDES!$A$7:$H$6790,MATCH($B28,SINAPI_NOV2020_NDES!$A$7:$A$6790,0),3),(INDEX(COMPOS!$A$4:$G$5000,MATCH($B28,COMPOS!$A$4:$A$5000,0),3))))</f>
        <v>M2</v>
      </c>
      <c r="E28" s="276">
        <v>9.6</v>
      </c>
      <c r="F28" s="279">
        <f>(IF($A28="SINAPI",INDEX(SINAPI_NOV2020_NDES!$A$7:$H$6703,MATCH($B28,SINAPI_NOV2020_NDES!$A$7:$A$6703,0),5),(INDEX(COMPOS!$A$4:$G$801,MATCH($B28,COMPOS!$A$4:A$801,0),4))))</f>
        <v>36.29</v>
      </c>
      <c r="G28" s="280">
        <f>(IF($A28="SINAPI",INDEX(SINAPI_NOV2020_NDES!$A$7:$H$6703,MATCH($B28,SINAPI_NOV2020_NDES!$A$7:$A$6703,0),6),(INDEX(COMPOS!$A$4:$G$801,MATCH($B28,COMPOS!$A$4:A$801,0),5))))</f>
        <v>45.53</v>
      </c>
      <c r="H28" s="280">
        <f>(IF($A28="SINAPI",INDEX(SINAPI_NOV2020_NDES!$A$7:$H$6703,MATCH($B28,SINAPI_NOV2020_NDES!$A$7:$A$6703,0),7),(INDEX(COMPOS!$A$4:$G$801,MATCH($B28,COMPOS!$A$4:A$801,0),6))))</f>
        <v>0</v>
      </c>
      <c r="I28" s="279">
        <f t="shared" ref="I28:I34" si="10">SUM(F28:H28)</f>
        <v>81.819999999999993</v>
      </c>
      <c r="J28" s="276">
        <f t="shared" ref="J28:J34" si="11">+I28*E28</f>
        <v>785.47199999999987</v>
      </c>
      <c r="K28" s="255"/>
      <c r="L28" s="255"/>
      <c r="M28" s="255"/>
      <c r="N28" s="255"/>
      <c r="O28" s="257"/>
      <c r="P28" s="223"/>
      <c r="Q28" s="190"/>
      <c r="R28" s="190"/>
      <c r="S28" s="190"/>
      <c r="T28" s="190"/>
      <c r="U28" s="190"/>
      <c r="V28" s="190"/>
      <c r="W28" s="190"/>
      <c r="X28" s="190"/>
      <c r="Y28" s="190"/>
      <c r="Z28" s="190"/>
      <c r="AA28" s="190"/>
      <c r="AB28" s="190"/>
      <c r="AC28" s="190"/>
      <c r="AD28" s="190"/>
      <c r="AE28" s="190"/>
      <c r="AF28" s="190"/>
      <c r="AG28" s="190"/>
      <c r="AH28" s="190"/>
      <c r="AI28" s="190"/>
      <c r="AJ28" s="190"/>
      <c r="AK28" s="190"/>
      <c r="AL28" s="190"/>
      <c r="AM28" s="190"/>
      <c r="AN28" s="190"/>
      <c r="AO28" s="190"/>
      <c r="AP28" s="190"/>
      <c r="AQ28" s="190"/>
      <c r="AR28" s="190"/>
      <c r="AS28" s="190"/>
      <c r="AT28" s="190"/>
      <c r="AU28" s="190"/>
      <c r="AV28" s="190"/>
      <c r="AW28" s="190"/>
      <c r="AX28" s="190"/>
      <c r="AY28" s="190"/>
      <c r="AZ28" s="190"/>
      <c r="BA28" s="190"/>
      <c r="BB28" s="190"/>
      <c r="BC28" s="190"/>
      <c r="BD28" s="190"/>
      <c r="BE28" s="190"/>
      <c r="BF28" s="190"/>
      <c r="BG28" s="190"/>
      <c r="BH28" s="190"/>
      <c r="BI28" s="190"/>
      <c r="BJ28" s="190"/>
      <c r="BK28" s="190"/>
      <c r="BL28" s="190"/>
      <c r="BM28" s="190"/>
      <c r="BN28" s="190"/>
      <c r="BO28" s="190"/>
      <c r="BP28" s="190"/>
      <c r="BQ28" s="190"/>
      <c r="BR28" s="190"/>
      <c r="BS28" s="190"/>
      <c r="BT28" s="190"/>
      <c r="BU28" s="190"/>
      <c r="BV28" s="190"/>
      <c r="BW28" s="190"/>
      <c r="BX28" s="190"/>
      <c r="BY28" s="190"/>
      <c r="BZ28" s="190"/>
      <c r="CA28" s="190"/>
      <c r="CB28" s="190"/>
      <c r="CC28" s="190"/>
      <c r="CD28" s="190"/>
      <c r="CE28" s="190"/>
      <c r="CF28" s="190"/>
      <c r="CG28" s="190"/>
      <c r="CH28" s="190"/>
      <c r="CI28" s="190"/>
      <c r="CJ28" s="190"/>
      <c r="CK28" s="190"/>
      <c r="CL28" s="190"/>
      <c r="CM28" s="190"/>
      <c r="CN28" s="190"/>
      <c r="CO28" s="190"/>
      <c r="CP28" s="190"/>
      <c r="CQ28" s="190"/>
      <c r="CR28" s="190"/>
      <c r="CS28" s="190"/>
      <c r="CT28" s="190"/>
      <c r="CU28" s="190"/>
      <c r="CV28" s="190"/>
      <c r="CW28" s="190"/>
      <c r="CX28" s="190"/>
      <c r="CY28" s="190"/>
      <c r="CZ28" s="190"/>
      <c r="DA28" s="190"/>
      <c r="DB28" s="190"/>
      <c r="DC28" s="190"/>
      <c r="DD28" s="190"/>
      <c r="DE28" s="190"/>
      <c r="DF28" s="190"/>
      <c r="DG28" s="190"/>
      <c r="DH28" s="190"/>
      <c r="DI28" s="190"/>
      <c r="DJ28" s="190"/>
      <c r="DK28" s="190"/>
      <c r="DL28" s="190"/>
      <c r="DM28" s="190"/>
      <c r="DN28" s="190"/>
      <c r="DO28" s="190"/>
      <c r="DP28" s="190"/>
      <c r="DQ28" s="190"/>
      <c r="DR28" s="190"/>
      <c r="DS28" s="190"/>
      <c r="DT28" s="190"/>
      <c r="DU28" s="190"/>
      <c r="DV28" s="190"/>
      <c r="DW28" s="190"/>
      <c r="DX28" s="190"/>
      <c r="DY28" s="190"/>
      <c r="DZ28" s="190"/>
      <c r="EA28" s="190"/>
      <c r="EB28" s="190"/>
      <c r="EC28" s="190"/>
      <c r="ED28" s="190"/>
      <c r="EE28" s="190"/>
      <c r="EF28" s="190"/>
      <c r="EG28" s="190"/>
      <c r="EH28" s="190"/>
      <c r="EI28" s="190"/>
      <c r="EJ28" s="190"/>
      <c r="EK28" s="190"/>
      <c r="EL28" s="190"/>
      <c r="EM28" s="190"/>
      <c r="EN28" s="190"/>
      <c r="EO28" s="190"/>
      <c r="EP28" s="190"/>
      <c r="EQ28" s="190"/>
      <c r="ER28" s="190"/>
      <c r="ES28" s="190"/>
      <c r="ET28" s="190"/>
      <c r="EU28" s="190"/>
      <c r="EV28" s="190"/>
      <c r="EW28" s="190"/>
      <c r="EX28" s="190"/>
      <c r="EY28" s="190"/>
      <c r="EZ28" s="190"/>
      <c r="FA28" s="190"/>
      <c r="FB28" s="190"/>
      <c r="FC28" s="190"/>
      <c r="FD28" s="190"/>
      <c r="FE28" s="190"/>
      <c r="FF28" s="190"/>
      <c r="FG28" s="190"/>
      <c r="FH28" s="190"/>
      <c r="FI28" s="190"/>
      <c r="FJ28" s="190"/>
      <c r="FK28" s="190"/>
      <c r="FL28" s="190"/>
      <c r="FM28" s="190"/>
      <c r="FN28" s="190"/>
      <c r="FO28" s="190"/>
      <c r="FP28" s="190"/>
      <c r="FQ28" s="190"/>
      <c r="FR28" s="190"/>
      <c r="FS28" s="190"/>
      <c r="FT28" s="190"/>
      <c r="FU28" s="190"/>
      <c r="FV28" s="190"/>
      <c r="FW28" s="190"/>
      <c r="FX28" s="190"/>
      <c r="FY28" s="190"/>
      <c r="FZ28" s="190"/>
      <c r="GA28" s="190"/>
      <c r="GB28" s="190"/>
      <c r="GC28" s="190"/>
      <c r="GD28" s="190"/>
      <c r="GE28" s="190"/>
      <c r="GF28" s="190"/>
      <c r="GG28" s="190"/>
      <c r="GH28" s="190"/>
      <c r="GI28" s="190"/>
      <c r="GJ28" s="190"/>
      <c r="GK28" s="190"/>
      <c r="GL28" s="190"/>
      <c r="GM28" s="190"/>
      <c r="GN28" s="190"/>
      <c r="GO28" s="190"/>
      <c r="GP28" s="190"/>
      <c r="GQ28" s="190"/>
      <c r="GR28" s="190"/>
      <c r="GS28" s="190"/>
      <c r="GT28" s="190"/>
      <c r="GU28" s="190"/>
      <c r="GV28" s="190"/>
      <c r="GW28" s="190"/>
      <c r="GX28" s="190"/>
      <c r="GY28" s="190"/>
      <c r="GZ28" s="190"/>
      <c r="HA28" s="190"/>
      <c r="HB28" s="190"/>
      <c r="HC28" s="190"/>
      <c r="HD28" s="190"/>
      <c r="HE28" s="190"/>
      <c r="HF28" s="190"/>
      <c r="HG28" s="190"/>
      <c r="HH28" s="190"/>
      <c r="HI28" s="190"/>
      <c r="HJ28" s="190"/>
      <c r="HK28" s="190"/>
      <c r="HL28" s="190"/>
      <c r="HM28" s="190"/>
      <c r="HN28" s="190"/>
      <c r="HO28" s="190"/>
      <c r="HP28" s="190"/>
      <c r="HQ28" s="190"/>
      <c r="HR28" s="190"/>
      <c r="HS28" s="190"/>
      <c r="HT28" s="190"/>
      <c r="HU28" s="190"/>
      <c r="HV28" s="190"/>
      <c r="HW28" s="190"/>
      <c r="HX28" s="190"/>
      <c r="HY28" s="190"/>
      <c r="HZ28" s="190"/>
      <c r="IA28" s="190"/>
      <c r="IB28" s="190"/>
      <c r="IC28" s="190"/>
      <c r="ID28" s="190"/>
      <c r="IE28" s="190"/>
      <c r="IF28" s="190"/>
      <c r="IG28" s="190"/>
      <c r="IH28" s="190"/>
      <c r="II28" s="190"/>
      <c r="IJ28" s="190"/>
      <c r="IK28" s="190"/>
      <c r="IL28" s="190"/>
      <c r="IM28" s="190"/>
      <c r="IN28" s="190"/>
      <c r="IO28" s="190"/>
      <c r="IP28" s="190"/>
      <c r="IQ28" s="190"/>
      <c r="IR28" s="190"/>
      <c r="IS28" s="190"/>
      <c r="IT28" s="190"/>
      <c r="IU28" s="190"/>
      <c r="IV28" s="190"/>
      <c r="IW28" s="190"/>
      <c r="IX28" s="190"/>
      <c r="IY28" s="190"/>
      <c r="IZ28" s="190"/>
      <c r="JA28" s="190"/>
      <c r="JB28" s="190"/>
      <c r="JC28" s="190"/>
      <c r="JD28" s="190"/>
      <c r="JE28" s="190"/>
      <c r="JF28" s="190"/>
      <c r="JG28" s="190"/>
      <c r="JH28" s="190"/>
      <c r="JI28" s="190"/>
      <c r="JJ28" s="190"/>
      <c r="JK28" s="190"/>
      <c r="JL28" s="190"/>
      <c r="JM28" s="190"/>
      <c r="JN28" s="190"/>
      <c r="JO28" s="190"/>
      <c r="JP28" s="190"/>
      <c r="JQ28" s="190"/>
      <c r="JR28" s="190"/>
      <c r="JS28" s="190"/>
      <c r="JT28" s="190"/>
      <c r="JU28" s="190"/>
      <c r="JV28" s="190"/>
      <c r="JW28" s="190"/>
      <c r="JX28" s="190"/>
      <c r="JY28" s="190"/>
      <c r="JZ28" s="190"/>
      <c r="KA28" s="190"/>
      <c r="KB28" s="190"/>
      <c r="KC28" s="190"/>
      <c r="KD28" s="190"/>
      <c r="KE28" s="190"/>
      <c r="KF28" s="190"/>
      <c r="KG28" s="190"/>
      <c r="KH28" s="190"/>
      <c r="KI28" s="190"/>
      <c r="KJ28" s="190"/>
      <c r="KK28" s="190"/>
      <c r="KL28" s="190"/>
      <c r="KM28" s="190"/>
      <c r="KN28" s="190"/>
      <c r="KO28" s="190"/>
      <c r="KP28" s="190"/>
      <c r="KQ28" s="190"/>
      <c r="KR28" s="190"/>
      <c r="KS28" s="190"/>
      <c r="KT28" s="190"/>
      <c r="KU28" s="190"/>
      <c r="KV28" s="190"/>
      <c r="KW28" s="190"/>
      <c r="KX28" s="190"/>
      <c r="KY28" s="190"/>
      <c r="KZ28" s="190"/>
      <c r="LA28" s="190"/>
      <c r="LB28" s="190"/>
      <c r="LC28" s="190"/>
      <c r="LD28" s="190"/>
      <c r="LE28" s="190"/>
      <c r="LF28" s="190"/>
      <c r="LG28" s="190"/>
      <c r="LH28" s="190"/>
      <c r="LI28" s="190"/>
      <c r="LJ28" s="190"/>
      <c r="LK28" s="190"/>
      <c r="LL28" s="190"/>
      <c r="LM28" s="190"/>
      <c r="LN28" s="190"/>
      <c r="LO28" s="190"/>
      <c r="LP28" s="190"/>
      <c r="LQ28" s="190"/>
      <c r="LR28" s="190"/>
      <c r="LS28" s="190"/>
      <c r="LT28" s="190"/>
      <c r="LU28" s="190"/>
      <c r="LV28" s="190"/>
      <c r="LW28" s="190"/>
      <c r="LX28" s="190"/>
      <c r="LY28" s="190"/>
      <c r="LZ28" s="190"/>
      <c r="MA28" s="190"/>
      <c r="MB28" s="190"/>
      <c r="MC28" s="190"/>
      <c r="MD28" s="190"/>
      <c r="ME28" s="190"/>
      <c r="MF28" s="190"/>
      <c r="MG28" s="190"/>
      <c r="MH28" s="190"/>
      <c r="MI28" s="190"/>
      <c r="MJ28" s="190"/>
      <c r="MK28" s="190"/>
      <c r="ML28" s="190"/>
      <c r="MM28" s="190"/>
      <c r="MN28" s="190"/>
      <c r="MO28" s="190"/>
      <c r="MP28" s="190"/>
      <c r="MQ28" s="190"/>
      <c r="MR28" s="190"/>
      <c r="MS28" s="190"/>
      <c r="MT28" s="190"/>
      <c r="MU28" s="190"/>
      <c r="MV28" s="190"/>
      <c r="MW28" s="190"/>
      <c r="MX28" s="190"/>
      <c r="MY28" s="190"/>
      <c r="MZ28" s="190"/>
      <c r="NA28" s="190"/>
      <c r="NB28" s="190"/>
      <c r="NC28" s="190"/>
      <c r="ND28" s="190"/>
      <c r="NE28" s="190"/>
      <c r="NF28" s="190"/>
      <c r="NG28" s="190"/>
      <c r="NH28" s="190"/>
      <c r="NI28" s="190"/>
      <c r="NJ28" s="190"/>
      <c r="NK28" s="190"/>
      <c r="NL28" s="190"/>
      <c r="NM28" s="190"/>
      <c r="NN28" s="190"/>
      <c r="NO28" s="190"/>
      <c r="NP28" s="190"/>
      <c r="NQ28" s="190"/>
      <c r="NR28" s="190"/>
      <c r="NS28" s="190"/>
      <c r="NT28" s="190"/>
      <c r="NU28" s="190"/>
      <c r="NV28" s="190"/>
      <c r="NW28" s="190"/>
      <c r="NX28" s="190"/>
      <c r="NY28" s="190"/>
      <c r="NZ28" s="190"/>
      <c r="OA28" s="190"/>
      <c r="OB28" s="190"/>
      <c r="OC28" s="190"/>
      <c r="OD28" s="190"/>
      <c r="OE28" s="190"/>
      <c r="OF28" s="190"/>
      <c r="OG28" s="190"/>
      <c r="OH28" s="190"/>
      <c r="OI28" s="190"/>
      <c r="OJ28" s="190"/>
      <c r="OK28" s="190"/>
      <c r="OL28" s="190"/>
      <c r="OM28" s="190"/>
      <c r="ON28" s="190"/>
      <c r="OO28" s="190"/>
      <c r="OP28" s="190"/>
      <c r="OQ28" s="190"/>
      <c r="OR28" s="190"/>
      <c r="OS28" s="190"/>
      <c r="OT28" s="190"/>
      <c r="OU28" s="190"/>
      <c r="OV28" s="190"/>
      <c r="OW28" s="190"/>
      <c r="OX28" s="190"/>
      <c r="OY28" s="190"/>
      <c r="OZ28" s="190"/>
      <c r="PA28" s="190"/>
      <c r="PB28" s="190"/>
      <c r="PC28" s="190"/>
      <c r="PD28" s="190"/>
      <c r="PE28" s="190"/>
      <c r="PF28" s="190"/>
      <c r="PG28" s="190"/>
      <c r="PH28" s="190"/>
      <c r="PI28" s="190"/>
      <c r="PJ28" s="190"/>
      <c r="PK28" s="190"/>
      <c r="PL28" s="190"/>
      <c r="PM28" s="190"/>
      <c r="PN28" s="190"/>
      <c r="PO28" s="190"/>
      <c r="PP28" s="190"/>
      <c r="PQ28" s="190"/>
      <c r="PR28" s="190"/>
      <c r="PS28" s="190"/>
      <c r="PT28" s="190"/>
      <c r="PU28" s="190"/>
      <c r="PV28" s="190"/>
      <c r="PW28" s="190"/>
      <c r="PX28" s="190"/>
      <c r="PY28" s="190"/>
      <c r="PZ28" s="190"/>
      <c r="QA28" s="190"/>
      <c r="QB28" s="190"/>
      <c r="QC28" s="190"/>
      <c r="QD28" s="190"/>
      <c r="QE28" s="190"/>
      <c r="QF28" s="190"/>
      <c r="QG28" s="190"/>
      <c r="QH28" s="190"/>
      <c r="QI28" s="190"/>
      <c r="QJ28" s="190"/>
      <c r="QK28" s="190"/>
      <c r="QL28" s="190"/>
      <c r="QM28" s="190"/>
      <c r="QN28" s="190"/>
      <c r="QO28" s="190"/>
      <c r="QP28" s="190"/>
      <c r="QQ28" s="190"/>
      <c r="QR28" s="190"/>
      <c r="QS28" s="190"/>
      <c r="QT28" s="190"/>
      <c r="QU28" s="190"/>
      <c r="QV28" s="190"/>
      <c r="QW28" s="190"/>
      <c r="QX28" s="190"/>
      <c r="QY28" s="190"/>
      <c r="QZ28" s="190"/>
      <c r="RA28" s="190"/>
      <c r="RB28" s="190"/>
      <c r="RC28" s="190"/>
      <c r="RD28" s="190"/>
      <c r="RE28" s="190"/>
      <c r="RF28" s="190"/>
      <c r="RG28" s="190"/>
      <c r="RH28" s="190"/>
      <c r="RI28" s="190"/>
      <c r="RJ28" s="190"/>
      <c r="RK28" s="190"/>
      <c r="RL28" s="190"/>
      <c r="RM28" s="190"/>
      <c r="RN28" s="190"/>
      <c r="RO28" s="190"/>
      <c r="RP28" s="190"/>
      <c r="RQ28" s="190"/>
      <c r="RR28" s="190"/>
      <c r="RS28" s="190"/>
      <c r="RT28" s="190"/>
      <c r="RU28" s="190"/>
      <c r="RV28" s="190"/>
      <c r="RW28" s="190"/>
      <c r="RX28" s="190"/>
      <c r="RY28" s="190"/>
      <c r="RZ28" s="190"/>
      <c r="SA28" s="190"/>
      <c r="SB28" s="190"/>
      <c r="SC28" s="190"/>
      <c r="SD28" s="190"/>
      <c r="SE28" s="190"/>
      <c r="SF28" s="190"/>
      <c r="SG28" s="190"/>
      <c r="SH28" s="190"/>
      <c r="SI28" s="190"/>
      <c r="SJ28" s="190"/>
      <c r="SK28" s="190"/>
      <c r="SL28" s="190"/>
      <c r="SM28" s="190"/>
      <c r="SN28" s="190"/>
      <c r="SO28" s="190"/>
      <c r="SP28" s="190"/>
      <c r="SQ28" s="190"/>
      <c r="SR28" s="190"/>
      <c r="SS28" s="190"/>
      <c r="ST28" s="190"/>
      <c r="SU28" s="190"/>
      <c r="SV28" s="190"/>
      <c r="SW28" s="190"/>
      <c r="SX28" s="190"/>
      <c r="SY28" s="190"/>
      <c r="SZ28" s="190"/>
      <c r="TA28" s="190"/>
      <c r="TB28" s="190"/>
      <c r="TC28" s="190"/>
      <c r="TD28" s="190"/>
      <c r="TE28" s="190"/>
      <c r="TF28" s="190"/>
      <c r="TG28" s="190"/>
      <c r="TH28" s="190"/>
      <c r="TI28" s="190"/>
      <c r="TJ28" s="190"/>
      <c r="TK28" s="190"/>
      <c r="TL28" s="190"/>
      <c r="TM28" s="190"/>
      <c r="TN28" s="190"/>
      <c r="TO28" s="190"/>
      <c r="TP28" s="190"/>
      <c r="TQ28" s="190"/>
      <c r="TR28" s="190"/>
      <c r="TS28" s="190"/>
      <c r="TT28" s="190"/>
      <c r="TU28" s="190"/>
      <c r="TV28" s="190"/>
      <c r="TW28" s="190"/>
      <c r="TX28" s="190"/>
      <c r="TY28" s="190"/>
      <c r="TZ28" s="190"/>
      <c r="UA28" s="190"/>
      <c r="UB28" s="190"/>
      <c r="UC28" s="190"/>
      <c r="UD28" s="190"/>
      <c r="UE28" s="190"/>
      <c r="UF28" s="190"/>
      <c r="UG28" s="190"/>
      <c r="UH28" s="190"/>
      <c r="UI28" s="190"/>
      <c r="UJ28" s="190"/>
      <c r="UK28" s="190"/>
      <c r="UL28" s="190"/>
      <c r="UM28" s="190"/>
      <c r="UN28" s="190"/>
      <c r="UO28" s="190"/>
      <c r="UP28" s="190"/>
      <c r="UQ28" s="190"/>
      <c r="UR28" s="190"/>
      <c r="US28" s="190"/>
      <c r="UT28" s="190"/>
      <c r="UU28" s="190"/>
      <c r="UV28" s="190"/>
      <c r="UW28" s="190"/>
      <c r="UX28" s="190"/>
      <c r="UY28" s="190"/>
      <c r="UZ28" s="190"/>
      <c r="VA28" s="190"/>
      <c r="VB28" s="190"/>
      <c r="VC28" s="190"/>
      <c r="VD28" s="190"/>
      <c r="VE28" s="190"/>
      <c r="VF28" s="190"/>
      <c r="VG28" s="190"/>
      <c r="VH28" s="190"/>
      <c r="VI28" s="190"/>
      <c r="VJ28" s="190"/>
      <c r="VK28" s="190"/>
      <c r="VL28" s="190"/>
      <c r="VM28" s="190"/>
      <c r="VN28" s="190"/>
      <c r="VO28" s="190"/>
      <c r="VP28" s="190"/>
      <c r="VQ28" s="190"/>
      <c r="VR28" s="190"/>
      <c r="VS28" s="190"/>
      <c r="VT28" s="190"/>
      <c r="VU28" s="190"/>
      <c r="VV28" s="190"/>
      <c r="VW28" s="190"/>
      <c r="VX28" s="190"/>
      <c r="VY28" s="190"/>
      <c r="VZ28" s="190"/>
      <c r="WA28" s="190"/>
      <c r="WB28" s="190"/>
      <c r="WC28" s="190"/>
      <c r="WD28" s="190"/>
      <c r="WE28" s="190"/>
      <c r="WF28" s="190"/>
      <c r="WG28" s="190"/>
      <c r="WH28" s="190"/>
      <c r="WI28" s="190"/>
      <c r="WJ28" s="190"/>
      <c r="WK28" s="190"/>
      <c r="WL28" s="190"/>
      <c r="WM28" s="190"/>
      <c r="WN28" s="190"/>
      <c r="WO28" s="190"/>
      <c r="WP28" s="190"/>
      <c r="WQ28" s="190"/>
      <c r="WR28" s="190"/>
      <c r="WS28" s="190"/>
      <c r="WT28" s="190"/>
      <c r="WU28" s="190"/>
      <c r="WV28" s="190"/>
      <c r="WW28" s="190"/>
      <c r="WX28" s="190"/>
      <c r="WY28" s="190"/>
      <c r="WZ28" s="190"/>
      <c r="XA28" s="190"/>
      <c r="XB28" s="190"/>
      <c r="XC28" s="190"/>
      <c r="XD28" s="190"/>
      <c r="XE28" s="190"/>
      <c r="XF28" s="190"/>
      <c r="XG28" s="190"/>
      <c r="XH28" s="190"/>
      <c r="XI28" s="190"/>
      <c r="XJ28" s="190"/>
      <c r="XK28" s="190"/>
      <c r="XL28" s="190"/>
      <c r="XM28" s="190"/>
      <c r="XN28" s="190"/>
      <c r="XO28" s="190"/>
      <c r="XP28" s="190"/>
      <c r="XQ28" s="190"/>
      <c r="XR28" s="190"/>
      <c r="XS28" s="190"/>
      <c r="XT28" s="190"/>
      <c r="XU28" s="190"/>
      <c r="XV28" s="190"/>
      <c r="XW28" s="190"/>
      <c r="XX28" s="190"/>
      <c r="XY28" s="190"/>
      <c r="XZ28" s="190"/>
      <c r="YA28" s="190"/>
      <c r="YB28" s="190"/>
      <c r="YC28" s="190"/>
      <c r="YD28" s="190"/>
      <c r="YE28" s="190"/>
      <c r="YF28" s="190"/>
      <c r="YG28" s="190"/>
      <c r="YH28" s="190"/>
      <c r="YI28" s="190"/>
      <c r="YJ28" s="190"/>
      <c r="YK28" s="190"/>
      <c r="YL28" s="190"/>
      <c r="YM28" s="190"/>
      <c r="YN28" s="190"/>
      <c r="YO28" s="190"/>
      <c r="YP28" s="190"/>
      <c r="YQ28" s="190"/>
      <c r="YR28" s="190"/>
      <c r="YS28" s="190"/>
      <c r="YT28" s="190"/>
      <c r="YU28" s="190"/>
      <c r="YV28" s="190"/>
      <c r="YW28" s="190"/>
      <c r="YX28" s="190"/>
      <c r="YY28" s="190"/>
      <c r="YZ28" s="190"/>
      <c r="ZA28" s="190"/>
      <c r="ZB28" s="190"/>
      <c r="ZC28" s="190"/>
      <c r="ZD28" s="190"/>
      <c r="ZE28" s="190"/>
      <c r="ZF28" s="190"/>
      <c r="ZG28" s="190"/>
      <c r="ZH28" s="190"/>
      <c r="ZI28" s="190"/>
      <c r="ZJ28" s="190"/>
      <c r="ZK28" s="190"/>
      <c r="ZL28" s="190"/>
      <c r="ZM28" s="190"/>
      <c r="ZN28" s="190"/>
      <c r="ZO28" s="190"/>
      <c r="ZP28" s="190"/>
      <c r="ZQ28" s="190"/>
      <c r="ZR28" s="190"/>
      <c r="ZS28" s="190"/>
      <c r="ZT28" s="190"/>
      <c r="ZU28" s="190"/>
      <c r="ZV28" s="190"/>
      <c r="ZW28" s="190"/>
      <c r="ZX28" s="190"/>
      <c r="ZY28" s="190"/>
      <c r="ZZ28" s="190"/>
      <c r="AAA28" s="190"/>
      <c r="AAB28" s="190"/>
      <c r="AAC28" s="190"/>
      <c r="AAD28" s="190"/>
      <c r="AAE28" s="190"/>
      <c r="AAF28" s="190"/>
      <c r="AAG28" s="190"/>
      <c r="AAH28" s="190"/>
      <c r="AAI28" s="190"/>
      <c r="AAJ28" s="190"/>
      <c r="AAK28" s="190"/>
      <c r="AAL28" s="190"/>
      <c r="AAM28" s="190"/>
      <c r="AAN28" s="190"/>
      <c r="AAO28" s="190"/>
      <c r="AAP28" s="190"/>
      <c r="AAQ28" s="190"/>
      <c r="AAR28" s="190"/>
      <c r="AAS28" s="190"/>
      <c r="AAT28" s="190"/>
      <c r="AAU28" s="190"/>
      <c r="AAV28" s="190"/>
      <c r="AAW28" s="190"/>
      <c r="AAX28" s="190"/>
      <c r="AAY28" s="190"/>
      <c r="AAZ28" s="190"/>
      <c r="ABA28" s="190"/>
      <c r="ABB28" s="190"/>
      <c r="ABC28" s="190"/>
      <c r="ABD28" s="190"/>
      <c r="ABE28" s="190"/>
      <c r="ABF28" s="190"/>
      <c r="ABG28" s="190"/>
      <c r="ABH28" s="190"/>
      <c r="ABI28" s="190"/>
      <c r="ABJ28" s="190"/>
      <c r="ABK28" s="190"/>
      <c r="ABL28" s="190"/>
      <c r="ABM28" s="190"/>
      <c r="ABN28" s="190"/>
      <c r="ABO28" s="190"/>
      <c r="ABP28" s="190"/>
      <c r="ABQ28" s="190"/>
      <c r="ABR28" s="190"/>
      <c r="ABS28" s="190"/>
      <c r="ABT28" s="190"/>
      <c r="ABU28" s="190"/>
      <c r="ABV28" s="190"/>
      <c r="ABW28" s="190"/>
      <c r="ABX28" s="190"/>
      <c r="ABY28" s="190"/>
      <c r="ABZ28" s="190"/>
      <c r="ACA28" s="190"/>
      <c r="ACB28" s="190"/>
      <c r="ACC28" s="190"/>
      <c r="ACD28" s="190"/>
      <c r="ACE28" s="190"/>
      <c r="ACF28" s="190"/>
      <c r="ACG28" s="190"/>
      <c r="ACH28" s="190"/>
      <c r="ACI28" s="190"/>
      <c r="ACJ28" s="190"/>
      <c r="ACK28" s="190"/>
      <c r="ACL28" s="190"/>
      <c r="ACM28" s="190"/>
      <c r="ACN28" s="190"/>
      <c r="ACO28" s="190"/>
      <c r="ACP28" s="190"/>
      <c r="ACQ28" s="190"/>
      <c r="ACR28" s="190"/>
      <c r="ACS28" s="190"/>
      <c r="ACT28" s="190"/>
      <c r="ACU28" s="190"/>
      <c r="ACV28" s="190"/>
      <c r="ACW28" s="190"/>
      <c r="ACX28" s="190"/>
      <c r="ACY28" s="190"/>
      <c r="ACZ28" s="190"/>
      <c r="ADA28" s="190"/>
      <c r="ADB28" s="190"/>
      <c r="ADC28" s="190"/>
      <c r="ADD28" s="190"/>
      <c r="ADE28" s="190"/>
      <c r="ADF28" s="190"/>
      <c r="ADG28" s="190"/>
      <c r="ADH28" s="190"/>
      <c r="ADI28" s="190"/>
      <c r="ADJ28" s="190"/>
      <c r="ADK28" s="190"/>
      <c r="ADL28" s="190"/>
      <c r="ADM28" s="190"/>
      <c r="ADN28" s="190"/>
      <c r="ADO28" s="190"/>
      <c r="ADP28" s="190"/>
      <c r="ADQ28" s="190"/>
      <c r="ADR28" s="190"/>
      <c r="ADS28" s="190"/>
      <c r="ADT28" s="190"/>
      <c r="ADU28" s="190"/>
      <c r="ADV28" s="190"/>
      <c r="ADW28" s="190"/>
      <c r="ADX28" s="190"/>
      <c r="ADY28" s="190"/>
      <c r="ADZ28" s="190"/>
      <c r="AEA28" s="190"/>
      <c r="AEB28" s="190"/>
      <c r="AEC28" s="190"/>
      <c r="AED28" s="190"/>
      <c r="AEE28" s="190"/>
      <c r="AEF28" s="190"/>
      <c r="AEG28" s="190"/>
      <c r="AEH28" s="190"/>
      <c r="AEI28" s="190"/>
      <c r="AEJ28" s="190"/>
      <c r="AEK28" s="190"/>
      <c r="AEL28" s="190"/>
      <c r="AEM28" s="190"/>
      <c r="AEN28" s="190"/>
      <c r="AEO28" s="190"/>
      <c r="AEP28" s="190"/>
      <c r="AEQ28" s="190"/>
      <c r="AER28" s="190"/>
      <c r="AES28" s="190"/>
      <c r="AET28" s="190"/>
      <c r="AEU28" s="190"/>
      <c r="AEV28" s="190"/>
      <c r="AEW28" s="190"/>
      <c r="AEX28" s="190"/>
      <c r="AEY28" s="190"/>
      <c r="AEZ28" s="190"/>
      <c r="AFA28" s="190"/>
      <c r="AFB28" s="190"/>
      <c r="AFC28" s="190"/>
      <c r="AFD28" s="190"/>
      <c r="AFE28" s="190"/>
      <c r="AFF28" s="190"/>
      <c r="AFG28" s="190"/>
      <c r="AFH28" s="190"/>
      <c r="AFI28" s="190"/>
      <c r="AFJ28" s="190"/>
      <c r="AFK28" s="190"/>
      <c r="AFL28" s="190"/>
      <c r="AFM28" s="190"/>
      <c r="AFN28" s="190"/>
      <c r="AFO28" s="190"/>
      <c r="AFP28" s="190"/>
      <c r="AFQ28" s="190"/>
      <c r="AFR28" s="190"/>
      <c r="AFS28" s="190"/>
      <c r="AFT28" s="190"/>
      <c r="AFU28" s="190"/>
      <c r="AFV28" s="190"/>
      <c r="AFW28" s="190"/>
      <c r="AFX28" s="190"/>
      <c r="AFY28" s="190"/>
      <c r="AFZ28" s="190"/>
      <c r="AGA28" s="190"/>
      <c r="AGB28" s="190"/>
      <c r="AGC28" s="190"/>
      <c r="AGD28" s="190"/>
      <c r="AGE28" s="190"/>
      <c r="AGF28" s="190"/>
      <c r="AGG28" s="190"/>
      <c r="AGH28" s="190"/>
      <c r="AGI28" s="190"/>
      <c r="AGJ28" s="190"/>
      <c r="AGK28" s="190"/>
      <c r="AGL28" s="190"/>
      <c r="AGM28" s="190"/>
      <c r="AGN28" s="190"/>
      <c r="AGO28" s="190"/>
      <c r="AGP28" s="190"/>
      <c r="AGQ28" s="190"/>
      <c r="AGR28" s="190"/>
      <c r="AGS28" s="190"/>
      <c r="AGT28" s="190"/>
      <c r="AGU28" s="190"/>
      <c r="AGV28" s="190"/>
      <c r="AGW28" s="190"/>
      <c r="AGX28" s="190"/>
      <c r="AGY28" s="190"/>
      <c r="AGZ28" s="190"/>
      <c r="AHA28" s="190"/>
      <c r="AHB28" s="190"/>
      <c r="AHC28" s="190"/>
      <c r="AHD28" s="190"/>
      <c r="AHE28" s="190"/>
      <c r="AHF28" s="190"/>
      <c r="AHG28" s="190"/>
      <c r="AHH28" s="190"/>
      <c r="AHI28" s="190"/>
      <c r="AHJ28" s="190"/>
      <c r="AHK28" s="190"/>
      <c r="AHL28" s="190"/>
      <c r="AHM28" s="190"/>
      <c r="AHN28" s="190"/>
      <c r="AHO28" s="190"/>
      <c r="AHP28" s="190"/>
      <c r="AHQ28" s="190"/>
      <c r="AHR28" s="190"/>
      <c r="AHS28" s="190"/>
      <c r="AHT28" s="190"/>
      <c r="AHU28" s="190"/>
      <c r="AHV28" s="190"/>
      <c r="AHW28" s="190"/>
      <c r="AHX28" s="190"/>
      <c r="AHY28" s="190"/>
      <c r="AHZ28" s="190"/>
      <c r="AIA28" s="190"/>
      <c r="AIB28" s="190"/>
      <c r="AIC28" s="190"/>
      <c r="AID28" s="190"/>
      <c r="AIE28" s="190"/>
      <c r="AIF28" s="190"/>
      <c r="AIG28" s="190"/>
      <c r="AIH28" s="190"/>
      <c r="AII28" s="190"/>
      <c r="AIJ28" s="190"/>
      <c r="AIK28" s="190"/>
      <c r="AIL28" s="190"/>
      <c r="AIM28" s="190"/>
      <c r="AIN28" s="190"/>
      <c r="AIO28" s="190"/>
      <c r="AIP28" s="190"/>
      <c r="AIQ28" s="190"/>
      <c r="AIR28" s="190"/>
      <c r="AIS28" s="190"/>
      <c r="AIT28" s="190"/>
      <c r="AIU28" s="190"/>
      <c r="AIV28" s="190"/>
      <c r="AIW28" s="190"/>
      <c r="AIX28" s="190"/>
      <c r="AIY28" s="190"/>
      <c r="AIZ28" s="190"/>
      <c r="AJA28" s="190"/>
      <c r="AJB28" s="190"/>
      <c r="AJC28" s="190"/>
      <c r="AJD28" s="190"/>
      <c r="AJE28" s="190"/>
      <c r="AJF28" s="190"/>
      <c r="AJG28" s="190"/>
      <c r="AJH28" s="190"/>
      <c r="AJI28" s="190"/>
      <c r="AJJ28" s="190"/>
      <c r="AJK28" s="190"/>
      <c r="AJL28" s="190"/>
      <c r="AJM28" s="190"/>
      <c r="AJN28" s="190"/>
      <c r="AJO28" s="190"/>
      <c r="AJP28" s="190"/>
      <c r="AJQ28" s="190"/>
      <c r="AJR28" s="190"/>
      <c r="AJS28" s="190"/>
      <c r="AJT28" s="190"/>
      <c r="AJU28" s="190"/>
      <c r="AJV28" s="190"/>
      <c r="AJW28" s="190"/>
      <c r="AJX28" s="190"/>
      <c r="AJY28" s="190"/>
      <c r="AJZ28" s="190"/>
      <c r="AKA28" s="190"/>
      <c r="AKB28" s="190"/>
      <c r="AKC28" s="190"/>
      <c r="AKD28" s="190"/>
      <c r="AKE28" s="190"/>
      <c r="AKF28" s="190"/>
      <c r="AKG28" s="190"/>
      <c r="AKH28" s="190"/>
      <c r="AKI28" s="190"/>
      <c r="AKJ28" s="190"/>
      <c r="AKK28" s="190"/>
      <c r="AKL28" s="190"/>
      <c r="AKM28" s="190"/>
      <c r="AKN28" s="190"/>
      <c r="AKO28" s="190"/>
      <c r="AKP28" s="190"/>
      <c r="AKQ28" s="190"/>
      <c r="AKR28" s="190"/>
      <c r="AKS28" s="190"/>
      <c r="AKT28" s="190"/>
      <c r="AKU28" s="190"/>
      <c r="AKV28" s="190"/>
      <c r="AKW28" s="190"/>
      <c r="AKX28" s="190"/>
      <c r="AKY28" s="190"/>
      <c r="AKZ28" s="190"/>
      <c r="ALA28" s="190"/>
      <c r="ALB28" s="190"/>
      <c r="ALC28" s="190"/>
      <c r="ALD28" s="190"/>
      <c r="ALE28" s="190"/>
      <c r="ALF28" s="190"/>
      <c r="ALG28" s="190"/>
      <c r="ALH28" s="190"/>
      <c r="ALI28" s="190"/>
      <c r="ALJ28" s="190"/>
      <c r="ALK28" s="190"/>
      <c r="ALL28" s="42"/>
      <c r="ALM28" s="42"/>
      <c r="ALN28" s="42"/>
      <c r="ALO28" s="42"/>
      <c r="ALP28" s="42"/>
      <c r="ALQ28" s="42"/>
      <c r="ALR28" s="42"/>
      <c r="ALS28" s="42"/>
      <c r="ALT28" s="42"/>
    </row>
    <row r="29" spans="1:1008" s="191" customFormat="1" ht="24">
      <c r="A29" s="251" t="s">
        <v>7</v>
      </c>
      <c r="B29" s="328">
        <v>96545</v>
      </c>
      <c r="C29" s="329" t="str">
        <f>(IF($A29="SINAPI",INDEX(SINAPI_NOV2020_NDES!$A$7:$H$6703,MATCH($B29,SINAPI_NOV2020_NDES!$A$7:$A$6703,0),2),IF($A29="GOINFRA",INDEX(#REF!,MATCH($B29,#REF!,0),2),(INDEX(COMPOS!$A$4:$G$3900,MATCH($B29,COMPOS!$A$4:A$3900,0),2)))))</f>
        <v>ARMAÇÃO DE BLOCO, VIGA BALDRAME OU SAPATA UTILIZANDO AÇO CA-50 DE 8 MM - MONTAGEM. AF_06/2017</v>
      </c>
      <c r="D29" s="274" t="str">
        <f>(IF($A29="SINAPI",INDEX(SINAPI_NOV2020_NDES!$A$7:$H$6790,MATCH($B29,SINAPI_NOV2020_NDES!$A$7:$A$6790,0),3),(INDEX(COMPOS!$A$4:$G$5000,MATCH($B29,COMPOS!$A$4:$A$5000,0),3))))</f>
        <v>KG</v>
      </c>
      <c r="E29" s="276">
        <v>87</v>
      </c>
      <c r="F29" s="279">
        <f>(IF($A29="SINAPI",INDEX(SINAPI_NOV2020_NDES!$A$7:$H$6703,MATCH($B29,SINAPI_NOV2020_NDES!$A$7:$A$6703,0),5),(INDEX(COMPOS!$A$4:$G$801,MATCH($B29,COMPOS!$A$4:A$801,0),4))))</f>
        <v>2.81</v>
      </c>
      <c r="G29" s="280">
        <f>(IF($A29="SINAPI",INDEX(SINAPI_NOV2020_NDES!$A$7:$H$6703,MATCH($B29,SINAPI_NOV2020_NDES!$A$7:$A$6703,0),6),(INDEX(COMPOS!$A$4:$G$801,MATCH($B29,COMPOS!$A$4:A$801,0),5))))</f>
        <v>9</v>
      </c>
      <c r="H29" s="280">
        <f>(IF($A29="SINAPI",INDEX(SINAPI_NOV2020_NDES!$A$7:$H$6703,MATCH($B29,SINAPI_NOV2020_NDES!$A$7:$A$6703,0),7),(INDEX(COMPOS!$A$4:$G$801,MATCH($B29,COMPOS!$A$4:A$801,0),6))))</f>
        <v>0</v>
      </c>
      <c r="I29" s="279">
        <f t="shared" si="10"/>
        <v>11.81</v>
      </c>
      <c r="J29" s="276">
        <f t="shared" si="11"/>
        <v>1027.47</v>
      </c>
      <c r="K29" s="255"/>
      <c r="L29" s="255"/>
      <c r="M29" s="255"/>
      <c r="N29" s="255"/>
      <c r="O29" s="257"/>
      <c r="P29" s="223"/>
      <c r="Q29" s="255"/>
      <c r="R29" s="255"/>
      <c r="S29" s="255"/>
      <c r="T29" s="255"/>
      <c r="U29" s="255"/>
      <c r="V29" s="255"/>
      <c r="W29" s="255"/>
      <c r="X29" s="255"/>
      <c r="Y29" s="255"/>
      <c r="Z29" s="255"/>
      <c r="AA29" s="255"/>
      <c r="AB29" s="255"/>
      <c r="AC29" s="255"/>
      <c r="AD29" s="255"/>
      <c r="AE29" s="255"/>
      <c r="AF29" s="255"/>
      <c r="AG29" s="255"/>
      <c r="AH29" s="255"/>
      <c r="AI29" s="255"/>
      <c r="AJ29" s="255"/>
      <c r="AK29" s="255"/>
      <c r="AL29" s="255"/>
      <c r="AM29" s="255"/>
      <c r="AN29" s="255"/>
      <c r="AO29" s="255"/>
      <c r="AP29" s="255"/>
      <c r="AQ29" s="255"/>
      <c r="AR29" s="255"/>
      <c r="AS29" s="255"/>
      <c r="AT29" s="255"/>
      <c r="AU29" s="255"/>
      <c r="AV29" s="255"/>
      <c r="AW29" s="255"/>
      <c r="AX29" s="255"/>
      <c r="AY29" s="255"/>
      <c r="AZ29" s="255"/>
      <c r="BA29" s="255"/>
      <c r="BB29" s="255"/>
      <c r="BC29" s="255"/>
      <c r="BD29" s="255"/>
      <c r="BE29" s="255"/>
      <c r="BF29" s="255"/>
      <c r="BG29" s="255"/>
      <c r="BH29" s="255"/>
      <c r="BI29" s="255"/>
      <c r="BJ29" s="255"/>
      <c r="BK29" s="255"/>
      <c r="BL29" s="255"/>
      <c r="BM29" s="255"/>
      <c r="BN29" s="255"/>
      <c r="BO29" s="255"/>
      <c r="BP29" s="255"/>
      <c r="BQ29" s="255"/>
      <c r="BR29" s="255"/>
      <c r="BS29" s="255"/>
      <c r="BT29" s="255"/>
      <c r="BU29" s="255"/>
      <c r="BV29" s="255"/>
      <c r="BW29" s="255"/>
      <c r="BX29" s="255"/>
      <c r="BY29" s="255"/>
      <c r="BZ29" s="255"/>
      <c r="CA29" s="255"/>
      <c r="CB29" s="255"/>
      <c r="CC29" s="255"/>
      <c r="CD29" s="255"/>
      <c r="CE29" s="255"/>
      <c r="CF29" s="255"/>
      <c r="CG29" s="255"/>
      <c r="CH29" s="255"/>
      <c r="CI29" s="255"/>
      <c r="CJ29" s="255"/>
      <c r="CK29" s="255"/>
      <c r="CL29" s="255"/>
      <c r="CM29" s="255"/>
      <c r="CN29" s="255"/>
      <c r="CO29" s="255"/>
      <c r="CP29" s="255"/>
      <c r="CQ29" s="255"/>
      <c r="CR29" s="255"/>
      <c r="CS29" s="255"/>
      <c r="CT29" s="255"/>
      <c r="CU29" s="255"/>
      <c r="CV29" s="255"/>
      <c r="CW29" s="255"/>
      <c r="CX29" s="255"/>
      <c r="CY29" s="255"/>
      <c r="CZ29" s="255"/>
      <c r="DA29" s="255"/>
      <c r="DB29" s="255"/>
      <c r="DC29" s="255"/>
      <c r="DD29" s="255"/>
      <c r="DE29" s="255"/>
      <c r="DF29" s="255"/>
      <c r="DG29" s="255"/>
      <c r="DH29" s="255"/>
      <c r="DI29" s="255"/>
      <c r="DJ29" s="255"/>
      <c r="DK29" s="255"/>
      <c r="DL29" s="255"/>
      <c r="DM29" s="255"/>
      <c r="DN29" s="255"/>
      <c r="DO29" s="255"/>
      <c r="DP29" s="255"/>
      <c r="DQ29" s="255"/>
      <c r="DR29" s="255"/>
      <c r="DS29" s="255"/>
      <c r="DT29" s="255"/>
      <c r="DU29" s="255"/>
      <c r="DV29" s="255"/>
      <c r="DW29" s="255"/>
      <c r="DX29" s="255"/>
      <c r="DY29" s="255"/>
      <c r="DZ29" s="255"/>
      <c r="EA29" s="255"/>
      <c r="EB29" s="255"/>
      <c r="EC29" s="255"/>
      <c r="ED29" s="255"/>
      <c r="EE29" s="255"/>
      <c r="EF29" s="255"/>
      <c r="EG29" s="255"/>
      <c r="EH29" s="255"/>
      <c r="EI29" s="255"/>
      <c r="EJ29" s="255"/>
      <c r="EK29" s="255"/>
      <c r="EL29" s="255"/>
      <c r="EM29" s="255"/>
      <c r="EN29" s="255"/>
      <c r="EO29" s="255"/>
      <c r="EP29" s="255"/>
      <c r="EQ29" s="255"/>
      <c r="ER29" s="255"/>
      <c r="ES29" s="255"/>
      <c r="ET29" s="255"/>
      <c r="EU29" s="255"/>
      <c r="EV29" s="255"/>
      <c r="EW29" s="255"/>
      <c r="EX29" s="255"/>
      <c r="EY29" s="255"/>
      <c r="EZ29" s="255"/>
      <c r="FA29" s="255"/>
      <c r="FB29" s="255"/>
      <c r="FC29" s="255"/>
      <c r="FD29" s="255"/>
      <c r="FE29" s="255"/>
      <c r="FF29" s="255"/>
      <c r="FG29" s="255"/>
      <c r="FH29" s="255"/>
      <c r="FI29" s="255"/>
      <c r="FJ29" s="255"/>
      <c r="FK29" s="255"/>
      <c r="FL29" s="255"/>
      <c r="FM29" s="255"/>
      <c r="FN29" s="255"/>
      <c r="FO29" s="255"/>
      <c r="FP29" s="255"/>
      <c r="FQ29" s="255"/>
      <c r="FR29" s="255"/>
      <c r="FS29" s="255"/>
      <c r="FT29" s="255"/>
      <c r="FU29" s="255"/>
      <c r="FV29" s="255"/>
      <c r="FW29" s="255"/>
      <c r="FX29" s="255"/>
      <c r="FY29" s="255"/>
      <c r="FZ29" s="255"/>
      <c r="GA29" s="255"/>
      <c r="GB29" s="255"/>
      <c r="GC29" s="255"/>
      <c r="GD29" s="255"/>
      <c r="GE29" s="255"/>
      <c r="GF29" s="255"/>
      <c r="GG29" s="255"/>
      <c r="GH29" s="255"/>
      <c r="GI29" s="255"/>
      <c r="GJ29" s="255"/>
      <c r="GK29" s="255"/>
      <c r="GL29" s="255"/>
      <c r="GM29" s="255"/>
      <c r="GN29" s="255"/>
      <c r="GO29" s="255"/>
      <c r="GP29" s="255"/>
      <c r="GQ29" s="255"/>
      <c r="GR29" s="255"/>
      <c r="GS29" s="255"/>
      <c r="GT29" s="255"/>
      <c r="GU29" s="255"/>
      <c r="GV29" s="255"/>
      <c r="GW29" s="255"/>
      <c r="GX29" s="255"/>
      <c r="GY29" s="255"/>
      <c r="GZ29" s="255"/>
      <c r="HA29" s="255"/>
      <c r="HB29" s="255"/>
      <c r="HC29" s="255"/>
      <c r="HD29" s="255"/>
      <c r="HE29" s="255"/>
      <c r="HF29" s="255"/>
      <c r="HG29" s="255"/>
      <c r="HH29" s="255"/>
      <c r="HI29" s="255"/>
      <c r="HJ29" s="255"/>
      <c r="HK29" s="255"/>
      <c r="HL29" s="255"/>
      <c r="HM29" s="255"/>
      <c r="HN29" s="255"/>
      <c r="HO29" s="255"/>
      <c r="HP29" s="255"/>
      <c r="HQ29" s="255"/>
      <c r="HR29" s="255"/>
      <c r="HS29" s="255"/>
      <c r="HT29" s="255"/>
      <c r="HU29" s="255"/>
      <c r="HV29" s="255"/>
      <c r="HW29" s="255"/>
      <c r="HX29" s="255"/>
      <c r="HY29" s="255"/>
      <c r="HZ29" s="255"/>
      <c r="IA29" s="255"/>
      <c r="IB29" s="255"/>
      <c r="IC29" s="255"/>
      <c r="ID29" s="255"/>
      <c r="IE29" s="255"/>
      <c r="IF29" s="255"/>
      <c r="IG29" s="255"/>
      <c r="IH29" s="255"/>
      <c r="II29" s="255"/>
      <c r="IJ29" s="255"/>
      <c r="IK29" s="255"/>
      <c r="IL29" s="255"/>
      <c r="IM29" s="255"/>
      <c r="IN29" s="255"/>
      <c r="IO29" s="255"/>
      <c r="IP29" s="255"/>
      <c r="IQ29" s="255"/>
      <c r="IR29" s="255"/>
      <c r="IS29" s="255"/>
      <c r="IT29" s="255"/>
      <c r="IU29" s="255"/>
      <c r="IV29" s="255"/>
      <c r="IW29" s="255"/>
      <c r="IX29" s="255"/>
      <c r="IY29" s="255"/>
      <c r="IZ29" s="255"/>
      <c r="JA29" s="255"/>
      <c r="JB29" s="255"/>
      <c r="JC29" s="255"/>
      <c r="JD29" s="255"/>
      <c r="JE29" s="255"/>
      <c r="JF29" s="255"/>
      <c r="JG29" s="255"/>
      <c r="JH29" s="255"/>
      <c r="JI29" s="255"/>
      <c r="JJ29" s="255"/>
      <c r="JK29" s="255"/>
      <c r="JL29" s="255"/>
      <c r="JM29" s="255"/>
      <c r="JN29" s="255"/>
      <c r="JO29" s="255"/>
      <c r="JP29" s="255"/>
      <c r="JQ29" s="255"/>
      <c r="JR29" s="255"/>
      <c r="JS29" s="255"/>
      <c r="JT29" s="255"/>
      <c r="JU29" s="255"/>
      <c r="JV29" s="255"/>
      <c r="JW29" s="255"/>
      <c r="JX29" s="255"/>
      <c r="JY29" s="255"/>
      <c r="JZ29" s="255"/>
      <c r="KA29" s="255"/>
      <c r="KB29" s="255"/>
      <c r="KC29" s="255"/>
      <c r="KD29" s="255"/>
      <c r="KE29" s="255"/>
      <c r="KF29" s="255"/>
      <c r="KG29" s="255"/>
      <c r="KH29" s="255"/>
      <c r="KI29" s="255"/>
      <c r="KJ29" s="255"/>
      <c r="KK29" s="255"/>
      <c r="KL29" s="255"/>
      <c r="KM29" s="255"/>
      <c r="KN29" s="255"/>
      <c r="KO29" s="255"/>
      <c r="KP29" s="255"/>
      <c r="KQ29" s="255"/>
      <c r="KR29" s="255"/>
      <c r="KS29" s="255"/>
      <c r="KT29" s="255"/>
      <c r="KU29" s="255"/>
      <c r="KV29" s="255"/>
      <c r="KW29" s="255"/>
      <c r="KX29" s="255"/>
      <c r="KY29" s="255"/>
      <c r="KZ29" s="255"/>
      <c r="LA29" s="255"/>
      <c r="LB29" s="255"/>
      <c r="LC29" s="255"/>
      <c r="LD29" s="255"/>
      <c r="LE29" s="255"/>
      <c r="LF29" s="255"/>
      <c r="LG29" s="255"/>
      <c r="LH29" s="255"/>
      <c r="LI29" s="255"/>
      <c r="LJ29" s="255"/>
      <c r="LK29" s="255"/>
      <c r="LL29" s="255"/>
      <c r="LM29" s="255"/>
      <c r="LN29" s="255"/>
      <c r="LO29" s="255"/>
      <c r="LP29" s="255"/>
      <c r="LQ29" s="255"/>
      <c r="LR29" s="255"/>
      <c r="LS29" s="255"/>
      <c r="LT29" s="255"/>
      <c r="LU29" s="255"/>
      <c r="LV29" s="255"/>
      <c r="LW29" s="255"/>
      <c r="LX29" s="255"/>
      <c r="LY29" s="255"/>
      <c r="LZ29" s="255"/>
      <c r="MA29" s="255"/>
      <c r="MB29" s="255"/>
      <c r="MC29" s="255"/>
      <c r="MD29" s="255"/>
      <c r="ME29" s="255"/>
      <c r="MF29" s="255"/>
      <c r="MG29" s="255"/>
      <c r="MH29" s="255"/>
      <c r="MI29" s="255"/>
      <c r="MJ29" s="255"/>
      <c r="MK29" s="255"/>
      <c r="ML29" s="255"/>
      <c r="MM29" s="255"/>
      <c r="MN29" s="255"/>
      <c r="MO29" s="255"/>
      <c r="MP29" s="255"/>
      <c r="MQ29" s="255"/>
      <c r="MR29" s="255"/>
      <c r="MS29" s="255"/>
      <c r="MT29" s="255"/>
      <c r="MU29" s="255"/>
      <c r="MV29" s="255"/>
      <c r="MW29" s="255"/>
      <c r="MX29" s="255"/>
      <c r="MY29" s="255"/>
      <c r="MZ29" s="255"/>
      <c r="NA29" s="255"/>
      <c r="NB29" s="255"/>
      <c r="NC29" s="255"/>
      <c r="ND29" s="255"/>
      <c r="NE29" s="255"/>
      <c r="NF29" s="255"/>
      <c r="NG29" s="255"/>
      <c r="NH29" s="255"/>
      <c r="NI29" s="255"/>
      <c r="NJ29" s="255"/>
      <c r="NK29" s="255"/>
      <c r="NL29" s="255"/>
      <c r="NM29" s="255"/>
      <c r="NN29" s="255"/>
      <c r="NO29" s="255"/>
      <c r="NP29" s="255"/>
      <c r="NQ29" s="255"/>
      <c r="NR29" s="255"/>
      <c r="NS29" s="255"/>
      <c r="NT29" s="255"/>
      <c r="NU29" s="255"/>
      <c r="NV29" s="255"/>
      <c r="NW29" s="255"/>
      <c r="NX29" s="255"/>
      <c r="NY29" s="255"/>
      <c r="NZ29" s="255"/>
      <c r="OA29" s="255"/>
      <c r="OB29" s="255"/>
      <c r="OC29" s="255"/>
      <c r="OD29" s="255"/>
      <c r="OE29" s="255"/>
      <c r="OF29" s="255"/>
      <c r="OG29" s="255"/>
      <c r="OH29" s="255"/>
      <c r="OI29" s="255"/>
      <c r="OJ29" s="255"/>
      <c r="OK29" s="255"/>
      <c r="OL29" s="255"/>
      <c r="OM29" s="255"/>
      <c r="ON29" s="255"/>
      <c r="OO29" s="255"/>
      <c r="OP29" s="255"/>
      <c r="OQ29" s="255"/>
      <c r="OR29" s="255"/>
      <c r="OS29" s="255"/>
      <c r="OT29" s="255"/>
      <c r="OU29" s="255"/>
      <c r="OV29" s="255"/>
      <c r="OW29" s="255"/>
      <c r="OX29" s="255"/>
      <c r="OY29" s="255"/>
      <c r="OZ29" s="255"/>
      <c r="PA29" s="255"/>
      <c r="PB29" s="255"/>
      <c r="PC29" s="255"/>
      <c r="PD29" s="255"/>
      <c r="PE29" s="255"/>
      <c r="PF29" s="255"/>
      <c r="PG29" s="255"/>
      <c r="PH29" s="255"/>
      <c r="PI29" s="255"/>
      <c r="PJ29" s="255"/>
      <c r="PK29" s="255"/>
      <c r="PL29" s="255"/>
      <c r="PM29" s="255"/>
      <c r="PN29" s="255"/>
      <c r="PO29" s="255"/>
      <c r="PP29" s="255"/>
      <c r="PQ29" s="255"/>
      <c r="PR29" s="255"/>
      <c r="PS29" s="255"/>
      <c r="PT29" s="255"/>
      <c r="PU29" s="255"/>
      <c r="PV29" s="255"/>
      <c r="PW29" s="255"/>
      <c r="PX29" s="255"/>
      <c r="PY29" s="255"/>
      <c r="PZ29" s="255"/>
      <c r="QA29" s="255"/>
      <c r="QB29" s="255"/>
      <c r="QC29" s="255"/>
      <c r="QD29" s="255"/>
      <c r="QE29" s="255"/>
      <c r="QF29" s="255"/>
      <c r="QG29" s="255"/>
      <c r="QH29" s="255"/>
      <c r="QI29" s="255"/>
      <c r="QJ29" s="255"/>
      <c r="QK29" s="255"/>
      <c r="QL29" s="255"/>
      <c r="QM29" s="255"/>
      <c r="QN29" s="255"/>
      <c r="QO29" s="255"/>
      <c r="QP29" s="255"/>
      <c r="QQ29" s="255"/>
      <c r="QR29" s="255"/>
      <c r="QS29" s="255"/>
      <c r="QT29" s="255"/>
      <c r="QU29" s="255"/>
      <c r="QV29" s="255"/>
      <c r="QW29" s="255"/>
      <c r="QX29" s="255"/>
      <c r="QY29" s="255"/>
      <c r="QZ29" s="255"/>
      <c r="RA29" s="255"/>
      <c r="RB29" s="255"/>
      <c r="RC29" s="255"/>
      <c r="RD29" s="255"/>
      <c r="RE29" s="255"/>
      <c r="RF29" s="255"/>
      <c r="RG29" s="255"/>
      <c r="RH29" s="255"/>
      <c r="RI29" s="255"/>
      <c r="RJ29" s="255"/>
      <c r="RK29" s="255"/>
      <c r="RL29" s="255"/>
      <c r="RM29" s="255"/>
      <c r="RN29" s="255"/>
      <c r="RO29" s="255"/>
      <c r="RP29" s="255"/>
      <c r="RQ29" s="255"/>
      <c r="RR29" s="255"/>
      <c r="RS29" s="255"/>
      <c r="RT29" s="255"/>
      <c r="RU29" s="255"/>
      <c r="RV29" s="255"/>
      <c r="RW29" s="255"/>
      <c r="RX29" s="255"/>
      <c r="RY29" s="255"/>
      <c r="RZ29" s="255"/>
      <c r="SA29" s="255"/>
      <c r="SB29" s="255"/>
      <c r="SC29" s="255"/>
      <c r="SD29" s="255"/>
      <c r="SE29" s="255"/>
      <c r="SF29" s="255"/>
      <c r="SG29" s="255"/>
      <c r="SH29" s="255"/>
      <c r="SI29" s="255"/>
      <c r="SJ29" s="255"/>
      <c r="SK29" s="255"/>
      <c r="SL29" s="255"/>
      <c r="SM29" s="255"/>
      <c r="SN29" s="255"/>
      <c r="SO29" s="255"/>
      <c r="SP29" s="255"/>
      <c r="SQ29" s="255"/>
      <c r="SR29" s="255"/>
      <c r="SS29" s="255"/>
      <c r="ST29" s="255"/>
      <c r="SU29" s="255"/>
      <c r="SV29" s="255"/>
      <c r="SW29" s="255"/>
      <c r="SX29" s="255"/>
      <c r="SY29" s="255"/>
      <c r="SZ29" s="255"/>
      <c r="TA29" s="255"/>
      <c r="TB29" s="255"/>
      <c r="TC29" s="255"/>
      <c r="TD29" s="255"/>
      <c r="TE29" s="255"/>
      <c r="TF29" s="255"/>
      <c r="TG29" s="255"/>
      <c r="TH29" s="255"/>
      <c r="TI29" s="255"/>
      <c r="TJ29" s="255"/>
      <c r="TK29" s="255"/>
      <c r="TL29" s="255"/>
      <c r="TM29" s="255"/>
      <c r="TN29" s="255"/>
      <c r="TO29" s="255"/>
      <c r="TP29" s="255"/>
      <c r="TQ29" s="255"/>
      <c r="TR29" s="255"/>
      <c r="TS29" s="255"/>
      <c r="TT29" s="255"/>
      <c r="TU29" s="255"/>
      <c r="TV29" s="255"/>
      <c r="TW29" s="255"/>
      <c r="TX29" s="255"/>
      <c r="TY29" s="255"/>
      <c r="TZ29" s="255"/>
      <c r="UA29" s="255"/>
      <c r="UB29" s="255"/>
      <c r="UC29" s="255"/>
      <c r="UD29" s="255"/>
      <c r="UE29" s="255"/>
      <c r="UF29" s="255"/>
      <c r="UG29" s="255"/>
      <c r="UH29" s="255"/>
      <c r="UI29" s="255"/>
      <c r="UJ29" s="255"/>
      <c r="UK29" s="255"/>
      <c r="UL29" s="255"/>
      <c r="UM29" s="255"/>
      <c r="UN29" s="255"/>
      <c r="UO29" s="255"/>
      <c r="UP29" s="255"/>
      <c r="UQ29" s="255"/>
      <c r="UR29" s="255"/>
      <c r="US29" s="255"/>
      <c r="UT29" s="255"/>
      <c r="UU29" s="255"/>
      <c r="UV29" s="255"/>
      <c r="UW29" s="255"/>
      <c r="UX29" s="255"/>
      <c r="UY29" s="255"/>
      <c r="UZ29" s="255"/>
      <c r="VA29" s="255"/>
      <c r="VB29" s="255"/>
      <c r="VC29" s="255"/>
      <c r="VD29" s="255"/>
      <c r="VE29" s="255"/>
      <c r="VF29" s="255"/>
      <c r="VG29" s="255"/>
      <c r="VH29" s="255"/>
      <c r="VI29" s="255"/>
      <c r="VJ29" s="255"/>
      <c r="VK29" s="255"/>
      <c r="VL29" s="255"/>
      <c r="VM29" s="255"/>
      <c r="VN29" s="255"/>
      <c r="VO29" s="255"/>
      <c r="VP29" s="255"/>
      <c r="VQ29" s="255"/>
      <c r="VR29" s="255"/>
      <c r="VS29" s="255"/>
      <c r="VT29" s="255"/>
      <c r="VU29" s="255"/>
      <c r="VV29" s="255"/>
      <c r="VW29" s="255"/>
      <c r="VX29" s="255"/>
      <c r="VY29" s="255"/>
      <c r="VZ29" s="255"/>
      <c r="WA29" s="255"/>
      <c r="WB29" s="255"/>
      <c r="WC29" s="255"/>
      <c r="WD29" s="255"/>
      <c r="WE29" s="255"/>
      <c r="WF29" s="255"/>
      <c r="WG29" s="255"/>
      <c r="WH29" s="255"/>
      <c r="WI29" s="255"/>
      <c r="WJ29" s="255"/>
      <c r="WK29" s="255"/>
      <c r="WL29" s="255"/>
      <c r="WM29" s="255"/>
      <c r="WN29" s="255"/>
      <c r="WO29" s="255"/>
      <c r="WP29" s="255"/>
      <c r="WQ29" s="255"/>
      <c r="WR29" s="255"/>
      <c r="WS29" s="255"/>
      <c r="WT29" s="255"/>
      <c r="WU29" s="255"/>
      <c r="WV29" s="255"/>
      <c r="WW29" s="255"/>
      <c r="WX29" s="255"/>
      <c r="WY29" s="255"/>
      <c r="WZ29" s="255"/>
      <c r="XA29" s="255"/>
      <c r="XB29" s="255"/>
      <c r="XC29" s="255"/>
      <c r="XD29" s="255"/>
      <c r="XE29" s="255"/>
      <c r="XF29" s="255"/>
      <c r="XG29" s="255"/>
      <c r="XH29" s="255"/>
      <c r="XI29" s="255"/>
      <c r="XJ29" s="255"/>
      <c r="XK29" s="255"/>
      <c r="XL29" s="255"/>
      <c r="XM29" s="255"/>
      <c r="XN29" s="255"/>
      <c r="XO29" s="255"/>
      <c r="XP29" s="255"/>
      <c r="XQ29" s="255"/>
      <c r="XR29" s="255"/>
      <c r="XS29" s="255"/>
      <c r="XT29" s="255"/>
      <c r="XU29" s="255"/>
      <c r="XV29" s="255"/>
      <c r="XW29" s="255"/>
      <c r="XX29" s="255"/>
      <c r="XY29" s="255"/>
      <c r="XZ29" s="255"/>
      <c r="YA29" s="255"/>
      <c r="YB29" s="255"/>
      <c r="YC29" s="255"/>
      <c r="YD29" s="255"/>
      <c r="YE29" s="255"/>
      <c r="YF29" s="255"/>
      <c r="YG29" s="255"/>
      <c r="YH29" s="255"/>
      <c r="YI29" s="255"/>
      <c r="YJ29" s="255"/>
      <c r="YK29" s="255"/>
      <c r="YL29" s="255"/>
      <c r="YM29" s="255"/>
      <c r="YN29" s="255"/>
      <c r="YO29" s="255"/>
      <c r="YP29" s="255"/>
      <c r="YQ29" s="255"/>
      <c r="YR29" s="255"/>
      <c r="YS29" s="255"/>
      <c r="YT29" s="255"/>
      <c r="YU29" s="255"/>
      <c r="YV29" s="255"/>
      <c r="YW29" s="255"/>
      <c r="YX29" s="255"/>
      <c r="YY29" s="255"/>
      <c r="YZ29" s="255"/>
      <c r="ZA29" s="255"/>
      <c r="ZB29" s="255"/>
      <c r="ZC29" s="255"/>
      <c r="ZD29" s="255"/>
      <c r="ZE29" s="255"/>
      <c r="ZF29" s="255"/>
      <c r="ZG29" s="255"/>
      <c r="ZH29" s="255"/>
      <c r="ZI29" s="255"/>
      <c r="ZJ29" s="255"/>
      <c r="ZK29" s="255"/>
      <c r="ZL29" s="255"/>
      <c r="ZM29" s="255"/>
      <c r="ZN29" s="255"/>
      <c r="ZO29" s="255"/>
      <c r="ZP29" s="255"/>
      <c r="ZQ29" s="255"/>
      <c r="ZR29" s="255"/>
      <c r="ZS29" s="255"/>
      <c r="ZT29" s="255"/>
      <c r="ZU29" s="255"/>
      <c r="ZV29" s="255"/>
      <c r="ZW29" s="255"/>
      <c r="ZX29" s="255"/>
      <c r="ZY29" s="255"/>
      <c r="ZZ29" s="255"/>
      <c r="AAA29" s="255"/>
      <c r="AAB29" s="255"/>
      <c r="AAC29" s="255"/>
      <c r="AAD29" s="255"/>
      <c r="AAE29" s="255"/>
      <c r="AAF29" s="255"/>
      <c r="AAG29" s="255"/>
      <c r="AAH29" s="255"/>
      <c r="AAI29" s="255"/>
      <c r="AAJ29" s="255"/>
      <c r="AAK29" s="255"/>
      <c r="AAL29" s="255"/>
      <c r="AAM29" s="255"/>
      <c r="AAN29" s="255"/>
      <c r="AAO29" s="255"/>
      <c r="AAP29" s="255"/>
      <c r="AAQ29" s="255"/>
      <c r="AAR29" s="255"/>
      <c r="AAS29" s="255"/>
      <c r="AAT29" s="255"/>
      <c r="AAU29" s="255"/>
      <c r="AAV29" s="255"/>
      <c r="AAW29" s="255"/>
      <c r="AAX29" s="255"/>
      <c r="AAY29" s="255"/>
      <c r="AAZ29" s="255"/>
      <c r="ABA29" s="255"/>
      <c r="ABB29" s="255"/>
      <c r="ABC29" s="255"/>
      <c r="ABD29" s="255"/>
      <c r="ABE29" s="255"/>
      <c r="ABF29" s="255"/>
      <c r="ABG29" s="255"/>
      <c r="ABH29" s="255"/>
      <c r="ABI29" s="255"/>
      <c r="ABJ29" s="255"/>
      <c r="ABK29" s="255"/>
      <c r="ABL29" s="255"/>
      <c r="ABM29" s="255"/>
      <c r="ABN29" s="255"/>
      <c r="ABO29" s="255"/>
      <c r="ABP29" s="255"/>
      <c r="ABQ29" s="255"/>
      <c r="ABR29" s="255"/>
      <c r="ABS29" s="255"/>
      <c r="ABT29" s="255"/>
      <c r="ABU29" s="255"/>
      <c r="ABV29" s="255"/>
      <c r="ABW29" s="255"/>
      <c r="ABX29" s="255"/>
      <c r="ABY29" s="255"/>
      <c r="ABZ29" s="255"/>
      <c r="ACA29" s="255"/>
      <c r="ACB29" s="255"/>
      <c r="ACC29" s="255"/>
      <c r="ACD29" s="255"/>
      <c r="ACE29" s="255"/>
      <c r="ACF29" s="255"/>
      <c r="ACG29" s="255"/>
      <c r="ACH29" s="255"/>
      <c r="ACI29" s="255"/>
      <c r="ACJ29" s="255"/>
      <c r="ACK29" s="255"/>
      <c r="ACL29" s="255"/>
      <c r="ACM29" s="255"/>
      <c r="ACN29" s="255"/>
      <c r="ACO29" s="255"/>
      <c r="ACP29" s="255"/>
      <c r="ACQ29" s="255"/>
      <c r="ACR29" s="255"/>
      <c r="ACS29" s="255"/>
      <c r="ACT29" s="255"/>
      <c r="ACU29" s="255"/>
      <c r="ACV29" s="255"/>
      <c r="ACW29" s="255"/>
      <c r="ACX29" s="255"/>
      <c r="ACY29" s="255"/>
      <c r="ACZ29" s="255"/>
      <c r="ADA29" s="255"/>
      <c r="ADB29" s="255"/>
      <c r="ADC29" s="255"/>
      <c r="ADD29" s="255"/>
      <c r="ADE29" s="255"/>
      <c r="ADF29" s="255"/>
      <c r="ADG29" s="255"/>
      <c r="ADH29" s="255"/>
      <c r="ADI29" s="255"/>
      <c r="ADJ29" s="255"/>
      <c r="ADK29" s="255"/>
      <c r="ADL29" s="255"/>
      <c r="ADM29" s="255"/>
      <c r="ADN29" s="255"/>
      <c r="ADO29" s="255"/>
      <c r="ADP29" s="255"/>
      <c r="ADQ29" s="255"/>
      <c r="ADR29" s="255"/>
      <c r="ADS29" s="255"/>
      <c r="ADT29" s="255"/>
      <c r="ADU29" s="255"/>
      <c r="ADV29" s="255"/>
      <c r="ADW29" s="255"/>
      <c r="ADX29" s="255"/>
      <c r="ADY29" s="255"/>
      <c r="ADZ29" s="255"/>
      <c r="AEA29" s="255"/>
      <c r="AEB29" s="255"/>
      <c r="AEC29" s="255"/>
      <c r="AED29" s="255"/>
      <c r="AEE29" s="255"/>
      <c r="AEF29" s="255"/>
      <c r="AEG29" s="255"/>
      <c r="AEH29" s="255"/>
      <c r="AEI29" s="255"/>
      <c r="AEJ29" s="255"/>
      <c r="AEK29" s="255"/>
      <c r="AEL29" s="255"/>
      <c r="AEM29" s="255"/>
      <c r="AEN29" s="255"/>
      <c r="AEO29" s="255"/>
      <c r="AEP29" s="255"/>
      <c r="AEQ29" s="255"/>
      <c r="AER29" s="255"/>
      <c r="AES29" s="255"/>
      <c r="AET29" s="255"/>
      <c r="AEU29" s="255"/>
      <c r="AEV29" s="255"/>
      <c r="AEW29" s="255"/>
      <c r="AEX29" s="255"/>
      <c r="AEY29" s="255"/>
      <c r="AEZ29" s="255"/>
      <c r="AFA29" s="255"/>
      <c r="AFB29" s="255"/>
      <c r="AFC29" s="255"/>
      <c r="AFD29" s="255"/>
      <c r="AFE29" s="255"/>
      <c r="AFF29" s="255"/>
      <c r="AFG29" s="255"/>
      <c r="AFH29" s="255"/>
      <c r="AFI29" s="255"/>
      <c r="AFJ29" s="255"/>
      <c r="AFK29" s="255"/>
      <c r="AFL29" s="255"/>
      <c r="AFM29" s="255"/>
      <c r="AFN29" s="255"/>
      <c r="AFO29" s="255"/>
      <c r="AFP29" s="255"/>
      <c r="AFQ29" s="255"/>
      <c r="AFR29" s="255"/>
      <c r="AFS29" s="255"/>
      <c r="AFT29" s="255"/>
      <c r="AFU29" s="255"/>
      <c r="AFV29" s="255"/>
      <c r="AFW29" s="255"/>
      <c r="AFX29" s="255"/>
      <c r="AFY29" s="255"/>
      <c r="AFZ29" s="255"/>
      <c r="AGA29" s="255"/>
      <c r="AGB29" s="255"/>
      <c r="AGC29" s="255"/>
      <c r="AGD29" s="255"/>
      <c r="AGE29" s="255"/>
      <c r="AGF29" s="255"/>
      <c r="AGG29" s="255"/>
      <c r="AGH29" s="255"/>
      <c r="AGI29" s="255"/>
      <c r="AGJ29" s="255"/>
      <c r="AGK29" s="255"/>
      <c r="AGL29" s="255"/>
      <c r="AGM29" s="255"/>
      <c r="AGN29" s="255"/>
      <c r="AGO29" s="255"/>
      <c r="AGP29" s="255"/>
      <c r="AGQ29" s="255"/>
      <c r="AGR29" s="255"/>
      <c r="AGS29" s="255"/>
      <c r="AGT29" s="255"/>
      <c r="AGU29" s="255"/>
      <c r="AGV29" s="255"/>
      <c r="AGW29" s="255"/>
      <c r="AGX29" s="255"/>
      <c r="AGY29" s="255"/>
      <c r="AGZ29" s="255"/>
      <c r="AHA29" s="255"/>
      <c r="AHB29" s="255"/>
      <c r="AHC29" s="255"/>
      <c r="AHD29" s="255"/>
      <c r="AHE29" s="255"/>
      <c r="AHF29" s="255"/>
      <c r="AHG29" s="255"/>
      <c r="AHH29" s="255"/>
      <c r="AHI29" s="255"/>
      <c r="AHJ29" s="255"/>
      <c r="AHK29" s="255"/>
      <c r="AHL29" s="255"/>
      <c r="AHM29" s="255"/>
      <c r="AHN29" s="255"/>
      <c r="AHO29" s="255"/>
      <c r="AHP29" s="255"/>
      <c r="AHQ29" s="255"/>
      <c r="AHR29" s="255"/>
      <c r="AHS29" s="255"/>
      <c r="AHT29" s="255"/>
      <c r="AHU29" s="255"/>
      <c r="AHV29" s="255"/>
      <c r="AHW29" s="255"/>
      <c r="AHX29" s="255"/>
      <c r="AHY29" s="255"/>
      <c r="AHZ29" s="255"/>
      <c r="AIA29" s="255"/>
      <c r="AIB29" s="255"/>
      <c r="AIC29" s="255"/>
      <c r="AID29" s="255"/>
      <c r="AIE29" s="255"/>
      <c r="AIF29" s="255"/>
      <c r="AIG29" s="255"/>
      <c r="AIH29" s="255"/>
      <c r="AII29" s="255"/>
      <c r="AIJ29" s="255"/>
      <c r="AIK29" s="255"/>
      <c r="AIL29" s="255"/>
      <c r="AIM29" s="255"/>
      <c r="AIN29" s="255"/>
      <c r="AIO29" s="255"/>
      <c r="AIP29" s="255"/>
      <c r="AIQ29" s="255"/>
      <c r="AIR29" s="255"/>
      <c r="AIS29" s="255"/>
      <c r="AIT29" s="255"/>
      <c r="AIU29" s="255"/>
      <c r="AIV29" s="255"/>
      <c r="AIW29" s="255"/>
      <c r="AIX29" s="255"/>
      <c r="AIY29" s="255"/>
      <c r="AIZ29" s="255"/>
      <c r="AJA29" s="255"/>
      <c r="AJB29" s="255"/>
      <c r="AJC29" s="255"/>
      <c r="AJD29" s="255"/>
      <c r="AJE29" s="255"/>
      <c r="AJF29" s="255"/>
      <c r="AJG29" s="255"/>
      <c r="AJH29" s="255"/>
      <c r="AJI29" s="255"/>
      <c r="AJJ29" s="255"/>
      <c r="AJK29" s="255"/>
      <c r="AJL29" s="255"/>
      <c r="AJM29" s="255"/>
      <c r="AJN29" s="255"/>
      <c r="AJO29" s="255"/>
      <c r="AJP29" s="255"/>
      <c r="AJQ29" s="255"/>
      <c r="AJR29" s="255"/>
      <c r="AJS29" s="255"/>
      <c r="AJT29" s="255"/>
      <c r="AJU29" s="255"/>
      <c r="AJV29" s="255"/>
      <c r="AJW29" s="255"/>
      <c r="AJX29" s="255"/>
      <c r="AJY29" s="255"/>
      <c r="AJZ29" s="255"/>
      <c r="AKA29" s="255"/>
      <c r="AKB29" s="255"/>
      <c r="AKC29" s="255"/>
      <c r="AKD29" s="255"/>
      <c r="AKE29" s="255"/>
      <c r="AKF29" s="255"/>
      <c r="AKG29" s="255"/>
      <c r="AKH29" s="255"/>
      <c r="AKI29" s="255"/>
      <c r="AKJ29" s="255"/>
      <c r="AKK29" s="255"/>
      <c r="AKL29" s="255"/>
      <c r="AKM29" s="255"/>
      <c r="AKN29" s="255"/>
      <c r="AKO29" s="255"/>
      <c r="AKP29" s="255"/>
      <c r="AKQ29" s="255"/>
      <c r="AKR29" s="255"/>
      <c r="AKS29" s="255"/>
      <c r="AKT29" s="255"/>
      <c r="AKU29" s="255"/>
      <c r="AKV29" s="255"/>
      <c r="AKW29" s="255"/>
      <c r="AKX29" s="255"/>
      <c r="AKY29" s="255"/>
      <c r="AKZ29" s="255"/>
      <c r="ALA29" s="255"/>
      <c r="ALB29" s="255"/>
      <c r="ALC29" s="255"/>
      <c r="ALD29" s="255"/>
      <c r="ALE29" s="255"/>
      <c r="ALF29" s="255"/>
      <c r="ALG29" s="255"/>
      <c r="ALH29" s="255"/>
      <c r="ALI29" s="255"/>
      <c r="ALJ29" s="255"/>
      <c r="ALK29" s="255"/>
      <c r="ALL29" s="42"/>
      <c r="ALM29" s="42"/>
      <c r="ALN29" s="42"/>
      <c r="ALO29" s="42"/>
      <c r="ALP29" s="42"/>
      <c r="ALQ29" s="42"/>
      <c r="ALR29" s="42"/>
      <c r="ALS29" s="42"/>
      <c r="ALT29" s="42"/>
    </row>
    <row r="30" spans="1:1008" s="191" customFormat="1" ht="24">
      <c r="A30" s="251" t="s">
        <v>7</v>
      </c>
      <c r="B30" s="328">
        <v>96543</v>
      </c>
      <c r="C30" s="329" t="str">
        <f>(IF($A30="SINAPI",INDEX(SINAPI_NOV2020_NDES!$A$7:$H$6703,MATCH($B30,SINAPI_NOV2020_NDES!$A$7:$A$6703,0),2),IF($A30="GOINFRA",INDEX(#REF!,MATCH($B30,#REF!,0),2),(INDEX(COMPOS!$A$4:$G$3900,MATCH($B30,COMPOS!$A$4:A$3900,0),2)))))</f>
        <v>ARMAÇÃO DE BLOCO, VIGA BALDRAME E SAPATA UTILIZANDO AÇO CA-60 DE 5 MM - MONTAGEM. AF_06/2017</v>
      </c>
      <c r="D30" s="274" t="str">
        <f>(IF($A30="SINAPI",INDEX(SINAPI_NOV2020_NDES!$A$7:$H$6790,MATCH($B30,SINAPI_NOV2020_NDES!$A$7:$A$6790,0),3),(INDEX(COMPOS!$A$4:$G$5000,MATCH($B30,COMPOS!$A$4:$A$5000,0),3))))</f>
        <v>KG</v>
      </c>
      <c r="E30" s="276">
        <v>18</v>
      </c>
      <c r="F30" s="279">
        <f>(IF($A30="SINAPI",INDEX(SINAPI_NOV2020_NDES!$A$7:$H$6703,MATCH($B30,SINAPI_NOV2020_NDES!$A$7:$A$6703,0),5),(INDEX(COMPOS!$A$4:$G$801,MATCH($B30,COMPOS!$A$4:A$801,0),4))))</f>
        <v>5.49</v>
      </c>
      <c r="G30" s="280">
        <f>(IF($A30="SINAPI",INDEX(SINAPI_NOV2020_NDES!$A$7:$H$6703,MATCH($B30,SINAPI_NOV2020_NDES!$A$7:$A$6703,0),6),(INDEX(COMPOS!$A$4:$G$801,MATCH($B30,COMPOS!$A$4:A$801,0),5))))</f>
        <v>8.85</v>
      </c>
      <c r="H30" s="280">
        <f>(IF($A30="SINAPI",INDEX(SINAPI_NOV2020_NDES!$A$7:$H$6703,MATCH($B30,SINAPI_NOV2020_NDES!$A$7:$A$6703,0),7),(INDEX(COMPOS!$A$4:$G$801,MATCH($B30,COMPOS!$A$4:A$801,0),6))))</f>
        <v>0</v>
      </c>
      <c r="I30" s="279">
        <f t="shared" si="10"/>
        <v>14.34</v>
      </c>
      <c r="J30" s="276">
        <f t="shared" si="11"/>
        <v>258.12</v>
      </c>
      <c r="K30" s="255"/>
      <c r="L30" s="255"/>
      <c r="M30" s="255"/>
      <c r="N30" s="255"/>
      <c r="O30" s="257"/>
      <c r="P30" s="223"/>
      <c r="Q30" s="255"/>
      <c r="R30" s="255"/>
      <c r="S30" s="255"/>
      <c r="T30" s="255"/>
      <c r="U30" s="255"/>
      <c r="V30" s="255"/>
      <c r="W30" s="255"/>
      <c r="X30" s="255"/>
      <c r="Y30" s="255"/>
      <c r="Z30" s="255"/>
      <c r="AA30" s="255"/>
      <c r="AB30" s="255"/>
      <c r="AC30" s="255"/>
      <c r="AD30" s="255"/>
      <c r="AE30" s="255"/>
      <c r="AF30" s="255"/>
      <c r="AG30" s="255"/>
      <c r="AH30" s="255"/>
      <c r="AI30" s="255"/>
      <c r="AJ30" s="255"/>
      <c r="AK30" s="255"/>
      <c r="AL30" s="255"/>
      <c r="AM30" s="255"/>
      <c r="AN30" s="255"/>
      <c r="AO30" s="255"/>
      <c r="AP30" s="255"/>
      <c r="AQ30" s="255"/>
      <c r="AR30" s="255"/>
      <c r="AS30" s="255"/>
      <c r="AT30" s="255"/>
      <c r="AU30" s="255"/>
      <c r="AV30" s="255"/>
      <c r="AW30" s="255"/>
      <c r="AX30" s="255"/>
      <c r="AY30" s="255"/>
      <c r="AZ30" s="255"/>
      <c r="BA30" s="255"/>
      <c r="BB30" s="255"/>
      <c r="BC30" s="255"/>
      <c r="BD30" s="255"/>
      <c r="BE30" s="255"/>
      <c r="BF30" s="255"/>
      <c r="BG30" s="255"/>
      <c r="BH30" s="255"/>
      <c r="BI30" s="255"/>
      <c r="BJ30" s="255"/>
      <c r="BK30" s="255"/>
      <c r="BL30" s="255"/>
      <c r="BM30" s="255"/>
      <c r="BN30" s="255"/>
      <c r="BO30" s="255"/>
      <c r="BP30" s="255"/>
      <c r="BQ30" s="255"/>
      <c r="BR30" s="255"/>
      <c r="BS30" s="255"/>
      <c r="BT30" s="255"/>
      <c r="BU30" s="255"/>
      <c r="BV30" s="255"/>
      <c r="BW30" s="255"/>
      <c r="BX30" s="255"/>
      <c r="BY30" s="255"/>
      <c r="BZ30" s="255"/>
      <c r="CA30" s="255"/>
      <c r="CB30" s="255"/>
      <c r="CC30" s="255"/>
      <c r="CD30" s="255"/>
      <c r="CE30" s="255"/>
      <c r="CF30" s="255"/>
      <c r="CG30" s="255"/>
      <c r="CH30" s="255"/>
      <c r="CI30" s="255"/>
      <c r="CJ30" s="255"/>
      <c r="CK30" s="255"/>
      <c r="CL30" s="255"/>
      <c r="CM30" s="255"/>
      <c r="CN30" s="255"/>
      <c r="CO30" s="255"/>
      <c r="CP30" s="255"/>
      <c r="CQ30" s="255"/>
      <c r="CR30" s="255"/>
      <c r="CS30" s="255"/>
      <c r="CT30" s="255"/>
      <c r="CU30" s="255"/>
      <c r="CV30" s="255"/>
      <c r="CW30" s="255"/>
      <c r="CX30" s="255"/>
      <c r="CY30" s="255"/>
      <c r="CZ30" s="255"/>
      <c r="DA30" s="255"/>
      <c r="DB30" s="255"/>
      <c r="DC30" s="255"/>
      <c r="DD30" s="255"/>
      <c r="DE30" s="255"/>
      <c r="DF30" s="255"/>
      <c r="DG30" s="255"/>
      <c r="DH30" s="255"/>
      <c r="DI30" s="255"/>
      <c r="DJ30" s="255"/>
      <c r="DK30" s="255"/>
      <c r="DL30" s="255"/>
      <c r="DM30" s="255"/>
      <c r="DN30" s="255"/>
      <c r="DO30" s="255"/>
      <c r="DP30" s="255"/>
      <c r="DQ30" s="255"/>
      <c r="DR30" s="255"/>
      <c r="DS30" s="255"/>
      <c r="DT30" s="255"/>
      <c r="DU30" s="255"/>
      <c r="DV30" s="255"/>
      <c r="DW30" s="255"/>
      <c r="DX30" s="255"/>
      <c r="DY30" s="255"/>
      <c r="DZ30" s="255"/>
      <c r="EA30" s="255"/>
      <c r="EB30" s="255"/>
      <c r="EC30" s="255"/>
      <c r="ED30" s="255"/>
      <c r="EE30" s="255"/>
      <c r="EF30" s="255"/>
      <c r="EG30" s="255"/>
      <c r="EH30" s="255"/>
      <c r="EI30" s="255"/>
      <c r="EJ30" s="255"/>
      <c r="EK30" s="255"/>
      <c r="EL30" s="255"/>
      <c r="EM30" s="255"/>
      <c r="EN30" s="255"/>
      <c r="EO30" s="255"/>
      <c r="EP30" s="255"/>
      <c r="EQ30" s="255"/>
      <c r="ER30" s="255"/>
      <c r="ES30" s="255"/>
      <c r="ET30" s="255"/>
      <c r="EU30" s="255"/>
      <c r="EV30" s="255"/>
      <c r="EW30" s="255"/>
      <c r="EX30" s="255"/>
      <c r="EY30" s="255"/>
      <c r="EZ30" s="255"/>
      <c r="FA30" s="255"/>
      <c r="FB30" s="255"/>
      <c r="FC30" s="255"/>
      <c r="FD30" s="255"/>
      <c r="FE30" s="255"/>
      <c r="FF30" s="255"/>
      <c r="FG30" s="255"/>
      <c r="FH30" s="255"/>
      <c r="FI30" s="255"/>
      <c r="FJ30" s="255"/>
      <c r="FK30" s="255"/>
      <c r="FL30" s="255"/>
      <c r="FM30" s="255"/>
      <c r="FN30" s="255"/>
      <c r="FO30" s="255"/>
      <c r="FP30" s="255"/>
      <c r="FQ30" s="255"/>
      <c r="FR30" s="255"/>
      <c r="FS30" s="255"/>
      <c r="FT30" s="255"/>
      <c r="FU30" s="255"/>
      <c r="FV30" s="255"/>
      <c r="FW30" s="255"/>
      <c r="FX30" s="255"/>
      <c r="FY30" s="255"/>
      <c r="FZ30" s="255"/>
      <c r="GA30" s="255"/>
      <c r="GB30" s="255"/>
      <c r="GC30" s="255"/>
      <c r="GD30" s="255"/>
      <c r="GE30" s="255"/>
      <c r="GF30" s="255"/>
      <c r="GG30" s="255"/>
      <c r="GH30" s="255"/>
      <c r="GI30" s="255"/>
      <c r="GJ30" s="255"/>
      <c r="GK30" s="255"/>
      <c r="GL30" s="255"/>
      <c r="GM30" s="255"/>
      <c r="GN30" s="255"/>
      <c r="GO30" s="255"/>
      <c r="GP30" s="255"/>
      <c r="GQ30" s="255"/>
      <c r="GR30" s="255"/>
      <c r="GS30" s="255"/>
      <c r="GT30" s="255"/>
      <c r="GU30" s="255"/>
      <c r="GV30" s="255"/>
      <c r="GW30" s="255"/>
      <c r="GX30" s="255"/>
      <c r="GY30" s="255"/>
      <c r="GZ30" s="255"/>
      <c r="HA30" s="255"/>
      <c r="HB30" s="255"/>
      <c r="HC30" s="255"/>
      <c r="HD30" s="255"/>
      <c r="HE30" s="255"/>
      <c r="HF30" s="255"/>
      <c r="HG30" s="255"/>
      <c r="HH30" s="255"/>
      <c r="HI30" s="255"/>
      <c r="HJ30" s="255"/>
      <c r="HK30" s="255"/>
      <c r="HL30" s="255"/>
      <c r="HM30" s="255"/>
      <c r="HN30" s="255"/>
      <c r="HO30" s="255"/>
      <c r="HP30" s="255"/>
      <c r="HQ30" s="255"/>
      <c r="HR30" s="255"/>
      <c r="HS30" s="255"/>
      <c r="HT30" s="255"/>
      <c r="HU30" s="255"/>
      <c r="HV30" s="255"/>
      <c r="HW30" s="255"/>
      <c r="HX30" s="255"/>
      <c r="HY30" s="255"/>
      <c r="HZ30" s="255"/>
      <c r="IA30" s="255"/>
      <c r="IB30" s="255"/>
      <c r="IC30" s="255"/>
      <c r="ID30" s="255"/>
      <c r="IE30" s="255"/>
      <c r="IF30" s="255"/>
      <c r="IG30" s="255"/>
      <c r="IH30" s="255"/>
      <c r="II30" s="255"/>
      <c r="IJ30" s="255"/>
      <c r="IK30" s="255"/>
      <c r="IL30" s="255"/>
      <c r="IM30" s="255"/>
      <c r="IN30" s="255"/>
      <c r="IO30" s="255"/>
      <c r="IP30" s="255"/>
      <c r="IQ30" s="255"/>
      <c r="IR30" s="255"/>
      <c r="IS30" s="255"/>
      <c r="IT30" s="255"/>
      <c r="IU30" s="255"/>
      <c r="IV30" s="255"/>
      <c r="IW30" s="255"/>
      <c r="IX30" s="255"/>
      <c r="IY30" s="255"/>
      <c r="IZ30" s="255"/>
      <c r="JA30" s="255"/>
      <c r="JB30" s="255"/>
      <c r="JC30" s="255"/>
      <c r="JD30" s="255"/>
      <c r="JE30" s="255"/>
      <c r="JF30" s="255"/>
      <c r="JG30" s="255"/>
      <c r="JH30" s="255"/>
      <c r="JI30" s="255"/>
      <c r="JJ30" s="255"/>
      <c r="JK30" s="255"/>
      <c r="JL30" s="255"/>
      <c r="JM30" s="255"/>
      <c r="JN30" s="255"/>
      <c r="JO30" s="255"/>
      <c r="JP30" s="255"/>
      <c r="JQ30" s="255"/>
      <c r="JR30" s="255"/>
      <c r="JS30" s="255"/>
      <c r="JT30" s="255"/>
      <c r="JU30" s="255"/>
      <c r="JV30" s="255"/>
      <c r="JW30" s="255"/>
      <c r="JX30" s="255"/>
      <c r="JY30" s="255"/>
      <c r="JZ30" s="255"/>
      <c r="KA30" s="255"/>
      <c r="KB30" s="255"/>
      <c r="KC30" s="255"/>
      <c r="KD30" s="255"/>
      <c r="KE30" s="255"/>
      <c r="KF30" s="255"/>
      <c r="KG30" s="255"/>
      <c r="KH30" s="255"/>
      <c r="KI30" s="255"/>
      <c r="KJ30" s="255"/>
      <c r="KK30" s="255"/>
      <c r="KL30" s="255"/>
      <c r="KM30" s="255"/>
      <c r="KN30" s="255"/>
      <c r="KO30" s="255"/>
      <c r="KP30" s="255"/>
      <c r="KQ30" s="255"/>
      <c r="KR30" s="255"/>
      <c r="KS30" s="255"/>
      <c r="KT30" s="255"/>
      <c r="KU30" s="255"/>
      <c r="KV30" s="255"/>
      <c r="KW30" s="255"/>
      <c r="KX30" s="255"/>
      <c r="KY30" s="255"/>
      <c r="KZ30" s="255"/>
      <c r="LA30" s="255"/>
      <c r="LB30" s="255"/>
      <c r="LC30" s="255"/>
      <c r="LD30" s="255"/>
      <c r="LE30" s="255"/>
      <c r="LF30" s="255"/>
      <c r="LG30" s="255"/>
      <c r="LH30" s="255"/>
      <c r="LI30" s="255"/>
      <c r="LJ30" s="255"/>
      <c r="LK30" s="255"/>
      <c r="LL30" s="255"/>
      <c r="LM30" s="255"/>
      <c r="LN30" s="255"/>
      <c r="LO30" s="255"/>
      <c r="LP30" s="255"/>
      <c r="LQ30" s="255"/>
      <c r="LR30" s="255"/>
      <c r="LS30" s="255"/>
      <c r="LT30" s="255"/>
      <c r="LU30" s="255"/>
      <c r="LV30" s="255"/>
      <c r="LW30" s="255"/>
      <c r="LX30" s="255"/>
      <c r="LY30" s="255"/>
      <c r="LZ30" s="255"/>
      <c r="MA30" s="255"/>
      <c r="MB30" s="255"/>
      <c r="MC30" s="255"/>
      <c r="MD30" s="255"/>
      <c r="ME30" s="255"/>
      <c r="MF30" s="255"/>
      <c r="MG30" s="255"/>
      <c r="MH30" s="255"/>
      <c r="MI30" s="255"/>
      <c r="MJ30" s="255"/>
      <c r="MK30" s="255"/>
      <c r="ML30" s="255"/>
      <c r="MM30" s="255"/>
      <c r="MN30" s="255"/>
      <c r="MO30" s="255"/>
      <c r="MP30" s="255"/>
      <c r="MQ30" s="255"/>
      <c r="MR30" s="255"/>
      <c r="MS30" s="255"/>
      <c r="MT30" s="255"/>
      <c r="MU30" s="255"/>
      <c r="MV30" s="255"/>
      <c r="MW30" s="255"/>
      <c r="MX30" s="255"/>
      <c r="MY30" s="255"/>
      <c r="MZ30" s="255"/>
      <c r="NA30" s="255"/>
      <c r="NB30" s="255"/>
      <c r="NC30" s="255"/>
      <c r="ND30" s="255"/>
      <c r="NE30" s="255"/>
      <c r="NF30" s="255"/>
      <c r="NG30" s="255"/>
      <c r="NH30" s="255"/>
      <c r="NI30" s="255"/>
      <c r="NJ30" s="255"/>
      <c r="NK30" s="255"/>
      <c r="NL30" s="255"/>
      <c r="NM30" s="255"/>
      <c r="NN30" s="255"/>
      <c r="NO30" s="255"/>
      <c r="NP30" s="255"/>
      <c r="NQ30" s="255"/>
      <c r="NR30" s="255"/>
      <c r="NS30" s="255"/>
      <c r="NT30" s="255"/>
      <c r="NU30" s="255"/>
      <c r="NV30" s="255"/>
      <c r="NW30" s="255"/>
      <c r="NX30" s="255"/>
      <c r="NY30" s="255"/>
      <c r="NZ30" s="255"/>
      <c r="OA30" s="255"/>
      <c r="OB30" s="255"/>
      <c r="OC30" s="255"/>
      <c r="OD30" s="255"/>
      <c r="OE30" s="255"/>
      <c r="OF30" s="255"/>
      <c r="OG30" s="255"/>
      <c r="OH30" s="255"/>
      <c r="OI30" s="255"/>
      <c r="OJ30" s="255"/>
      <c r="OK30" s="255"/>
      <c r="OL30" s="255"/>
      <c r="OM30" s="255"/>
      <c r="ON30" s="255"/>
      <c r="OO30" s="255"/>
      <c r="OP30" s="255"/>
      <c r="OQ30" s="255"/>
      <c r="OR30" s="255"/>
      <c r="OS30" s="255"/>
      <c r="OT30" s="255"/>
      <c r="OU30" s="255"/>
      <c r="OV30" s="255"/>
      <c r="OW30" s="255"/>
      <c r="OX30" s="255"/>
      <c r="OY30" s="255"/>
      <c r="OZ30" s="255"/>
      <c r="PA30" s="255"/>
      <c r="PB30" s="255"/>
      <c r="PC30" s="255"/>
      <c r="PD30" s="255"/>
      <c r="PE30" s="255"/>
      <c r="PF30" s="255"/>
      <c r="PG30" s="255"/>
      <c r="PH30" s="255"/>
      <c r="PI30" s="255"/>
      <c r="PJ30" s="255"/>
      <c r="PK30" s="255"/>
      <c r="PL30" s="255"/>
      <c r="PM30" s="255"/>
      <c r="PN30" s="255"/>
      <c r="PO30" s="255"/>
      <c r="PP30" s="255"/>
      <c r="PQ30" s="255"/>
      <c r="PR30" s="255"/>
      <c r="PS30" s="255"/>
      <c r="PT30" s="255"/>
      <c r="PU30" s="255"/>
      <c r="PV30" s="255"/>
      <c r="PW30" s="255"/>
      <c r="PX30" s="255"/>
      <c r="PY30" s="255"/>
      <c r="PZ30" s="255"/>
      <c r="QA30" s="255"/>
      <c r="QB30" s="255"/>
      <c r="QC30" s="255"/>
      <c r="QD30" s="255"/>
      <c r="QE30" s="255"/>
      <c r="QF30" s="255"/>
      <c r="QG30" s="255"/>
      <c r="QH30" s="255"/>
      <c r="QI30" s="255"/>
      <c r="QJ30" s="255"/>
      <c r="QK30" s="255"/>
      <c r="QL30" s="255"/>
      <c r="QM30" s="255"/>
      <c r="QN30" s="255"/>
      <c r="QO30" s="255"/>
      <c r="QP30" s="255"/>
      <c r="QQ30" s="255"/>
      <c r="QR30" s="255"/>
      <c r="QS30" s="255"/>
      <c r="QT30" s="255"/>
      <c r="QU30" s="255"/>
      <c r="QV30" s="255"/>
      <c r="QW30" s="255"/>
      <c r="QX30" s="255"/>
      <c r="QY30" s="255"/>
      <c r="QZ30" s="255"/>
      <c r="RA30" s="255"/>
      <c r="RB30" s="255"/>
      <c r="RC30" s="255"/>
      <c r="RD30" s="255"/>
      <c r="RE30" s="255"/>
      <c r="RF30" s="255"/>
      <c r="RG30" s="255"/>
      <c r="RH30" s="255"/>
      <c r="RI30" s="255"/>
      <c r="RJ30" s="255"/>
      <c r="RK30" s="255"/>
      <c r="RL30" s="255"/>
      <c r="RM30" s="255"/>
      <c r="RN30" s="255"/>
      <c r="RO30" s="255"/>
      <c r="RP30" s="255"/>
      <c r="RQ30" s="255"/>
      <c r="RR30" s="255"/>
      <c r="RS30" s="255"/>
      <c r="RT30" s="255"/>
      <c r="RU30" s="255"/>
      <c r="RV30" s="255"/>
      <c r="RW30" s="255"/>
      <c r="RX30" s="255"/>
      <c r="RY30" s="255"/>
      <c r="RZ30" s="255"/>
      <c r="SA30" s="255"/>
      <c r="SB30" s="255"/>
      <c r="SC30" s="255"/>
      <c r="SD30" s="255"/>
      <c r="SE30" s="255"/>
      <c r="SF30" s="255"/>
      <c r="SG30" s="255"/>
      <c r="SH30" s="255"/>
      <c r="SI30" s="255"/>
      <c r="SJ30" s="255"/>
      <c r="SK30" s="255"/>
      <c r="SL30" s="255"/>
      <c r="SM30" s="255"/>
      <c r="SN30" s="255"/>
      <c r="SO30" s="255"/>
      <c r="SP30" s="255"/>
      <c r="SQ30" s="255"/>
      <c r="SR30" s="255"/>
      <c r="SS30" s="255"/>
      <c r="ST30" s="255"/>
      <c r="SU30" s="255"/>
      <c r="SV30" s="255"/>
      <c r="SW30" s="255"/>
      <c r="SX30" s="255"/>
      <c r="SY30" s="255"/>
      <c r="SZ30" s="255"/>
      <c r="TA30" s="255"/>
      <c r="TB30" s="255"/>
      <c r="TC30" s="255"/>
      <c r="TD30" s="255"/>
      <c r="TE30" s="255"/>
      <c r="TF30" s="255"/>
      <c r="TG30" s="255"/>
      <c r="TH30" s="255"/>
      <c r="TI30" s="255"/>
      <c r="TJ30" s="255"/>
      <c r="TK30" s="255"/>
      <c r="TL30" s="255"/>
      <c r="TM30" s="255"/>
      <c r="TN30" s="255"/>
      <c r="TO30" s="255"/>
      <c r="TP30" s="255"/>
      <c r="TQ30" s="255"/>
      <c r="TR30" s="255"/>
      <c r="TS30" s="255"/>
      <c r="TT30" s="255"/>
      <c r="TU30" s="255"/>
      <c r="TV30" s="255"/>
      <c r="TW30" s="255"/>
      <c r="TX30" s="255"/>
      <c r="TY30" s="255"/>
      <c r="TZ30" s="255"/>
      <c r="UA30" s="255"/>
      <c r="UB30" s="255"/>
      <c r="UC30" s="255"/>
      <c r="UD30" s="255"/>
      <c r="UE30" s="255"/>
      <c r="UF30" s="255"/>
      <c r="UG30" s="255"/>
      <c r="UH30" s="255"/>
      <c r="UI30" s="255"/>
      <c r="UJ30" s="255"/>
      <c r="UK30" s="255"/>
      <c r="UL30" s="255"/>
      <c r="UM30" s="255"/>
      <c r="UN30" s="255"/>
      <c r="UO30" s="255"/>
      <c r="UP30" s="255"/>
      <c r="UQ30" s="255"/>
      <c r="UR30" s="255"/>
      <c r="US30" s="255"/>
      <c r="UT30" s="255"/>
      <c r="UU30" s="255"/>
      <c r="UV30" s="255"/>
      <c r="UW30" s="255"/>
      <c r="UX30" s="255"/>
      <c r="UY30" s="255"/>
      <c r="UZ30" s="255"/>
      <c r="VA30" s="255"/>
      <c r="VB30" s="255"/>
      <c r="VC30" s="255"/>
      <c r="VD30" s="255"/>
      <c r="VE30" s="255"/>
      <c r="VF30" s="255"/>
      <c r="VG30" s="255"/>
      <c r="VH30" s="255"/>
      <c r="VI30" s="255"/>
      <c r="VJ30" s="255"/>
      <c r="VK30" s="255"/>
      <c r="VL30" s="255"/>
      <c r="VM30" s="255"/>
      <c r="VN30" s="255"/>
      <c r="VO30" s="255"/>
      <c r="VP30" s="255"/>
      <c r="VQ30" s="255"/>
      <c r="VR30" s="255"/>
      <c r="VS30" s="255"/>
      <c r="VT30" s="255"/>
      <c r="VU30" s="255"/>
      <c r="VV30" s="255"/>
      <c r="VW30" s="255"/>
      <c r="VX30" s="255"/>
      <c r="VY30" s="255"/>
      <c r="VZ30" s="255"/>
      <c r="WA30" s="255"/>
      <c r="WB30" s="255"/>
      <c r="WC30" s="255"/>
      <c r="WD30" s="255"/>
      <c r="WE30" s="255"/>
      <c r="WF30" s="255"/>
      <c r="WG30" s="255"/>
      <c r="WH30" s="255"/>
      <c r="WI30" s="255"/>
      <c r="WJ30" s="255"/>
      <c r="WK30" s="255"/>
      <c r="WL30" s="255"/>
      <c r="WM30" s="255"/>
      <c r="WN30" s="255"/>
      <c r="WO30" s="255"/>
      <c r="WP30" s="255"/>
      <c r="WQ30" s="255"/>
      <c r="WR30" s="255"/>
      <c r="WS30" s="255"/>
      <c r="WT30" s="255"/>
      <c r="WU30" s="255"/>
      <c r="WV30" s="255"/>
      <c r="WW30" s="255"/>
      <c r="WX30" s="255"/>
      <c r="WY30" s="255"/>
      <c r="WZ30" s="255"/>
      <c r="XA30" s="255"/>
      <c r="XB30" s="255"/>
      <c r="XC30" s="255"/>
      <c r="XD30" s="255"/>
      <c r="XE30" s="255"/>
      <c r="XF30" s="255"/>
      <c r="XG30" s="255"/>
      <c r="XH30" s="255"/>
      <c r="XI30" s="255"/>
      <c r="XJ30" s="255"/>
      <c r="XK30" s="255"/>
      <c r="XL30" s="255"/>
      <c r="XM30" s="255"/>
      <c r="XN30" s="255"/>
      <c r="XO30" s="255"/>
      <c r="XP30" s="255"/>
      <c r="XQ30" s="255"/>
      <c r="XR30" s="255"/>
      <c r="XS30" s="255"/>
      <c r="XT30" s="255"/>
      <c r="XU30" s="255"/>
      <c r="XV30" s="255"/>
      <c r="XW30" s="255"/>
      <c r="XX30" s="255"/>
      <c r="XY30" s="255"/>
      <c r="XZ30" s="255"/>
      <c r="YA30" s="255"/>
      <c r="YB30" s="255"/>
      <c r="YC30" s="255"/>
      <c r="YD30" s="255"/>
      <c r="YE30" s="255"/>
      <c r="YF30" s="255"/>
      <c r="YG30" s="255"/>
      <c r="YH30" s="255"/>
      <c r="YI30" s="255"/>
      <c r="YJ30" s="255"/>
      <c r="YK30" s="255"/>
      <c r="YL30" s="255"/>
      <c r="YM30" s="255"/>
      <c r="YN30" s="255"/>
      <c r="YO30" s="255"/>
      <c r="YP30" s="255"/>
      <c r="YQ30" s="255"/>
      <c r="YR30" s="255"/>
      <c r="YS30" s="255"/>
      <c r="YT30" s="255"/>
      <c r="YU30" s="255"/>
      <c r="YV30" s="255"/>
      <c r="YW30" s="255"/>
      <c r="YX30" s="255"/>
      <c r="YY30" s="255"/>
      <c r="YZ30" s="255"/>
      <c r="ZA30" s="255"/>
      <c r="ZB30" s="255"/>
      <c r="ZC30" s="255"/>
      <c r="ZD30" s="255"/>
      <c r="ZE30" s="255"/>
      <c r="ZF30" s="255"/>
      <c r="ZG30" s="255"/>
      <c r="ZH30" s="255"/>
      <c r="ZI30" s="255"/>
      <c r="ZJ30" s="255"/>
      <c r="ZK30" s="255"/>
      <c r="ZL30" s="255"/>
      <c r="ZM30" s="255"/>
      <c r="ZN30" s="255"/>
      <c r="ZO30" s="255"/>
      <c r="ZP30" s="255"/>
      <c r="ZQ30" s="255"/>
      <c r="ZR30" s="255"/>
      <c r="ZS30" s="255"/>
      <c r="ZT30" s="255"/>
      <c r="ZU30" s="255"/>
      <c r="ZV30" s="255"/>
      <c r="ZW30" s="255"/>
      <c r="ZX30" s="255"/>
      <c r="ZY30" s="255"/>
      <c r="ZZ30" s="255"/>
      <c r="AAA30" s="255"/>
      <c r="AAB30" s="255"/>
      <c r="AAC30" s="255"/>
      <c r="AAD30" s="255"/>
      <c r="AAE30" s="255"/>
      <c r="AAF30" s="255"/>
      <c r="AAG30" s="255"/>
      <c r="AAH30" s="255"/>
      <c r="AAI30" s="255"/>
      <c r="AAJ30" s="255"/>
      <c r="AAK30" s="255"/>
      <c r="AAL30" s="255"/>
      <c r="AAM30" s="255"/>
      <c r="AAN30" s="255"/>
      <c r="AAO30" s="255"/>
      <c r="AAP30" s="255"/>
      <c r="AAQ30" s="255"/>
      <c r="AAR30" s="255"/>
      <c r="AAS30" s="255"/>
      <c r="AAT30" s="255"/>
      <c r="AAU30" s="255"/>
      <c r="AAV30" s="255"/>
      <c r="AAW30" s="255"/>
      <c r="AAX30" s="255"/>
      <c r="AAY30" s="255"/>
      <c r="AAZ30" s="255"/>
      <c r="ABA30" s="255"/>
      <c r="ABB30" s="255"/>
      <c r="ABC30" s="255"/>
      <c r="ABD30" s="255"/>
      <c r="ABE30" s="255"/>
      <c r="ABF30" s="255"/>
      <c r="ABG30" s="255"/>
      <c r="ABH30" s="255"/>
      <c r="ABI30" s="255"/>
      <c r="ABJ30" s="255"/>
      <c r="ABK30" s="255"/>
      <c r="ABL30" s="255"/>
      <c r="ABM30" s="255"/>
      <c r="ABN30" s="255"/>
      <c r="ABO30" s="255"/>
      <c r="ABP30" s="255"/>
      <c r="ABQ30" s="255"/>
      <c r="ABR30" s="255"/>
      <c r="ABS30" s="255"/>
      <c r="ABT30" s="255"/>
      <c r="ABU30" s="255"/>
      <c r="ABV30" s="255"/>
      <c r="ABW30" s="255"/>
      <c r="ABX30" s="255"/>
      <c r="ABY30" s="255"/>
      <c r="ABZ30" s="255"/>
      <c r="ACA30" s="255"/>
      <c r="ACB30" s="255"/>
      <c r="ACC30" s="255"/>
      <c r="ACD30" s="255"/>
      <c r="ACE30" s="255"/>
      <c r="ACF30" s="255"/>
      <c r="ACG30" s="255"/>
      <c r="ACH30" s="255"/>
      <c r="ACI30" s="255"/>
      <c r="ACJ30" s="255"/>
      <c r="ACK30" s="255"/>
      <c r="ACL30" s="255"/>
      <c r="ACM30" s="255"/>
      <c r="ACN30" s="255"/>
      <c r="ACO30" s="255"/>
      <c r="ACP30" s="255"/>
      <c r="ACQ30" s="255"/>
      <c r="ACR30" s="255"/>
      <c r="ACS30" s="255"/>
      <c r="ACT30" s="255"/>
      <c r="ACU30" s="255"/>
      <c r="ACV30" s="255"/>
      <c r="ACW30" s="255"/>
      <c r="ACX30" s="255"/>
      <c r="ACY30" s="255"/>
      <c r="ACZ30" s="255"/>
      <c r="ADA30" s="255"/>
      <c r="ADB30" s="255"/>
      <c r="ADC30" s="255"/>
      <c r="ADD30" s="255"/>
      <c r="ADE30" s="255"/>
      <c r="ADF30" s="255"/>
      <c r="ADG30" s="255"/>
      <c r="ADH30" s="255"/>
      <c r="ADI30" s="255"/>
      <c r="ADJ30" s="255"/>
      <c r="ADK30" s="255"/>
      <c r="ADL30" s="255"/>
      <c r="ADM30" s="255"/>
      <c r="ADN30" s="255"/>
      <c r="ADO30" s="255"/>
      <c r="ADP30" s="255"/>
      <c r="ADQ30" s="255"/>
      <c r="ADR30" s="255"/>
      <c r="ADS30" s="255"/>
      <c r="ADT30" s="255"/>
      <c r="ADU30" s="255"/>
      <c r="ADV30" s="255"/>
      <c r="ADW30" s="255"/>
      <c r="ADX30" s="255"/>
      <c r="ADY30" s="255"/>
      <c r="ADZ30" s="255"/>
      <c r="AEA30" s="255"/>
      <c r="AEB30" s="255"/>
      <c r="AEC30" s="255"/>
      <c r="AED30" s="255"/>
      <c r="AEE30" s="255"/>
      <c r="AEF30" s="255"/>
      <c r="AEG30" s="255"/>
      <c r="AEH30" s="255"/>
      <c r="AEI30" s="255"/>
      <c r="AEJ30" s="255"/>
      <c r="AEK30" s="255"/>
      <c r="AEL30" s="255"/>
      <c r="AEM30" s="255"/>
      <c r="AEN30" s="255"/>
      <c r="AEO30" s="255"/>
      <c r="AEP30" s="255"/>
      <c r="AEQ30" s="255"/>
      <c r="AER30" s="255"/>
      <c r="AES30" s="255"/>
      <c r="AET30" s="255"/>
      <c r="AEU30" s="255"/>
      <c r="AEV30" s="255"/>
      <c r="AEW30" s="255"/>
      <c r="AEX30" s="255"/>
      <c r="AEY30" s="255"/>
      <c r="AEZ30" s="255"/>
      <c r="AFA30" s="255"/>
      <c r="AFB30" s="255"/>
      <c r="AFC30" s="255"/>
      <c r="AFD30" s="255"/>
      <c r="AFE30" s="255"/>
      <c r="AFF30" s="255"/>
      <c r="AFG30" s="255"/>
      <c r="AFH30" s="255"/>
      <c r="AFI30" s="255"/>
      <c r="AFJ30" s="255"/>
      <c r="AFK30" s="255"/>
      <c r="AFL30" s="255"/>
      <c r="AFM30" s="255"/>
      <c r="AFN30" s="255"/>
      <c r="AFO30" s="255"/>
      <c r="AFP30" s="255"/>
      <c r="AFQ30" s="255"/>
      <c r="AFR30" s="255"/>
      <c r="AFS30" s="255"/>
      <c r="AFT30" s="255"/>
      <c r="AFU30" s="255"/>
      <c r="AFV30" s="255"/>
      <c r="AFW30" s="255"/>
      <c r="AFX30" s="255"/>
      <c r="AFY30" s="255"/>
      <c r="AFZ30" s="255"/>
      <c r="AGA30" s="255"/>
      <c r="AGB30" s="255"/>
      <c r="AGC30" s="255"/>
      <c r="AGD30" s="255"/>
      <c r="AGE30" s="255"/>
      <c r="AGF30" s="255"/>
      <c r="AGG30" s="255"/>
      <c r="AGH30" s="255"/>
      <c r="AGI30" s="255"/>
      <c r="AGJ30" s="255"/>
      <c r="AGK30" s="255"/>
      <c r="AGL30" s="255"/>
      <c r="AGM30" s="255"/>
      <c r="AGN30" s="255"/>
      <c r="AGO30" s="255"/>
      <c r="AGP30" s="255"/>
      <c r="AGQ30" s="255"/>
      <c r="AGR30" s="255"/>
      <c r="AGS30" s="255"/>
      <c r="AGT30" s="255"/>
      <c r="AGU30" s="255"/>
      <c r="AGV30" s="255"/>
      <c r="AGW30" s="255"/>
      <c r="AGX30" s="255"/>
      <c r="AGY30" s="255"/>
      <c r="AGZ30" s="255"/>
      <c r="AHA30" s="255"/>
      <c r="AHB30" s="255"/>
      <c r="AHC30" s="255"/>
      <c r="AHD30" s="255"/>
      <c r="AHE30" s="255"/>
      <c r="AHF30" s="255"/>
      <c r="AHG30" s="255"/>
      <c r="AHH30" s="255"/>
      <c r="AHI30" s="255"/>
      <c r="AHJ30" s="255"/>
      <c r="AHK30" s="255"/>
      <c r="AHL30" s="255"/>
      <c r="AHM30" s="255"/>
      <c r="AHN30" s="255"/>
      <c r="AHO30" s="255"/>
      <c r="AHP30" s="255"/>
      <c r="AHQ30" s="255"/>
      <c r="AHR30" s="255"/>
      <c r="AHS30" s="255"/>
      <c r="AHT30" s="255"/>
      <c r="AHU30" s="255"/>
      <c r="AHV30" s="255"/>
      <c r="AHW30" s="255"/>
      <c r="AHX30" s="255"/>
      <c r="AHY30" s="255"/>
      <c r="AHZ30" s="255"/>
      <c r="AIA30" s="255"/>
      <c r="AIB30" s="255"/>
      <c r="AIC30" s="255"/>
      <c r="AID30" s="255"/>
      <c r="AIE30" s="255"/>
      <c r="AIF30" s="255"/>
      <c r="AIG30" s="255"/>
      <c r="AIH30" s="255"/>
      <c r="AII30" s="255"/>
      <c r="AIJ30" s="255"/>
      <c r="AIK30" s="255"/>
      <c r="AIL30" s="255"/>
      <c r="AIM30" s="255"/>
      <c r="AIN30" s="255"/>
      <c r="AIO30" s="255"/>
      <c r="AIP30" s="255"/>
      <c r="AIQ30" s="255"/>
      <c r="AIR30" s="255"/>
      <c r="AIS30" s="255"/>
      <c r="AIT30" s="255"/>
      <c r="AIU30" s="255"/>
      <c r="AIV30" s="255"/>
      <c r="AIW30" s="255"/>
      <c r="AIX30" s="255"/>
      <c r="AIY30" s="255"/>
      <c r="AIZ30" s="255"/>
      <c r="AJA30" s="255"/>
      <c r="AJB30" s="255"/>
      <c r="AJC30" s="255"/>
      <c r="AJD30" s="255"/>
      <c r="AJE30" s="255"/>
      <c r="AJF30" s="255"/>
      <c r="AJG30" s="255"/>
      <c r="AJH30" s="255"/>
      <c r="AJI30" s="255"/>
      <c r="AJJ30" s="255"/>
      <c r="AJK30" s="255"/>
      <c r="AJL30" s="255"/>
      <c r="AJM30" s="255"/>
      <c r="AJN30" s="255"/>
      <c r="AJO30" s="255"/>
      <c r="AJP30" s="255"/>
      <c r="AJQ30" s="255"/>
      <c r="AJR30" s="255"/>
      <c r="AJS30" s="255"/>
      <c r="AJT30" s="255"/>
      <c r="AJU30" s="255"/>
      <c r="AJV30" s="255"/>
      <c r="AJW30" s="255"/>
      <c r="AJX30" s="255"/>
      <c r="AJY30" s="255"/>
      <c r="AJZ30" s="255"/>
      <c r="AKA30" s="255"/>
      <c r="AKB30" s="255"/>
      <c r="AKC30" s="255"/>
      <c r="AKD30" s="255"/>
      <c r="AKE30" s="255"/>
      <c r="AKF30" s="255"/>
      <c r="AKG30" s="255"/>
      <c r="AKH30" s="255"/>
      <c r="AKI30" s="255"/>
      <c r="AKJ30" s="255"/>
      <c r="AKK30" s="255"/>
      <c r="AKL30" s="255"/>
      <c r="AKM30" s="255"/>
      <c r="AKN30" s="255"/>
      <c r="AKO30" s="255"/>
      <c r="AKP30" s="255"/>
      <c r="AKQ30" s="255"/>
      <c r="AKR30" s="255"/>
      <c r="AKS30" s="255"/>
      <c r="AKT30" s="255"/>
      <c r="AKU30" s="255"/>
      <c r="AKV30" s="255"/>
      <c r="AKW30" s="255"/>
      <c r="AKX30" s="255"/>
      <c r="AKY30" s="255"/>
      <c r="AKZ30" s="255"/>
      <c r="ALA30" s="255"/>
      <c r="ALB30" s="255"/>
      <c r="ALC30" s="255"/>
      <c r="ALD30" s="255"/>
      <c r="ALE30" s="255"/>
      <c r="ALF30" s="255"/>
      <c r="ALG30" s="255"/>
      <c r="ALH30" s="255"/>
      <c r="ALI30" s="255"/>
      <c r="ALJ30" s="255"/>
      <c r="ALK30" s="255"/>
      <c r="ALL30" s="42"/>
      <c r="ALM30" s="42"/>
      <c r="ALN30" s="42"/>
      <c r="ALO30" s="42"/>
      <c r="ALP30" s="42"/>
      <c r="ALQ30" s="42"/>
      <c r="ALR30" s="42"/>
      <c r="ALS30" s="42"/>
      <c r="ALT30" s="42"/>
    </row>
    <row r="31" spans="1:1008" s="191" customFormat="1" ht="24">
      <c r="A31" s="251" t="s">
        <v>7</v>
      </c>
      <c r="B31" s="328">
        <v>94962</v>
      </c>
      <c r="C31" s="329" t="str">
        <f>(IF($A31="SINAPI",INDEX(SINAPI_NOV2020_NDES!$A$7:$H$6703,MATCH($B31,SINAPI_NOV2020_NDES!$A$7:$A$6703,0),2),IF($A31="GOINFRA",INDEX(#REF!,MATCH($B31,#REF!,0),2),(INDEX(COMPOS!$A$4:$G$3900,MATCH($B31,COMPOS!$A$4:A$3900,0),2)))))</f>
        <v>CONCRETO MAGRO PARA LASTRO, TRAÇO 1:4,5:4,5 (CIMENTO/ AREIA MÉDIA/ BRITA 1)  - PREPARO MECÂNICO COM BETONEIRA 400 L. AF_07/2016</v>
      </c>
      <c r="D31" s="274" t="str">
        <f>(IF($A31="SINAPI",INDEX(SINAPI_NOV2020_NDES!$A$7:$H$6790,MATCH($B31,SINAPI_NOV2020_NDES!$A$7:$A$6790,0),3),(INDEX(COMPOS!$A$4:$G$5000,MATCH($B31,COMPOS!$A$4:$A$5000,0),3))))</f>
        <v>M3</v>
      </c>
      <c r="E31" s="276">
        <v>0.26</v>
      </c>
      <c r="F31" s="279">
        <f>(IF($A31="SINAPI",INDEX(SINAPI_NOV2020_NDES!$A$7:$H$6703,MATCH($B31,SINAPI_NOV2020_NDES!$A$7:$A$6703,0),5),(INDEX(COMPOS!$A$4:$G$801,MATCH($B31,COMPOS!$A$4:A$801,0),4))))</f>
        <v>55.21</v>
      </c>
      <c r="G31" s="280">
        <f>(IF($A31="SINAPI",INDEX(SINAPI_NOV2020_NDES!$A$7:$H$6703,MATCH($B31,SINAPI_NOV2020_NDES!$A$7:$A$6703,0),6),(INDEX(COMPOS!$A$4:$G$801,MATCH($B31,COMPOS!$A$4:A$801,0),5))))</f>
        <v>263.66000000000003</v>
      </c>
      <c r="H31" s="280">
        <f>(IF($A31="SINAPI",INDEX(SINAPI_NOV2020_NDES!$A$7:$H$6703,MATCH($B31,SINAPI_NOV2020_NDES!$A$7:$A$6703,0),7),(INDEX(COMPOS!$A$4:$G$801,MATCH($B31,COMPOS!$A$4:A$801,0),6))))</f>
        <v>0.53</v>
      </c>
      <c r="I31" s="279">
        <f t="shared" si="10"/>
        <v>319.39999999999998</v>
      </c>
      <c r="J31" s="276">
        <f t="shared" si="11"/>
        <v>83.043999999999997</v>
      </c>
      <c r="K31" s="255"/>
      <c r="L31" s="255"/>
      <c r="M31" s="255"/>
      <c r="N31" s="255"/>
      <c r="O31" s="257"/>
      <c r="P31" s="223"/>
      <c r="Q31" s="255"/>
      <c r="R31" s="255"/>
      <c r="S31" s="255"/>
      <c r="T31" s="255"/>
      <c r="U31" s="255"/>
      <c r="V31" s="255"/>
      <c r="W31" s="255"/>
      <c r="X31" s="255"/>
      <c r="Y31" s="255"/>
      <c r="Z31" s="255"/>
      <c r="AA31" s="255"/>
      <c r="AB31" s="255"/>
      <c r="AC31" s="255"/>
      <c r="AD31" s="255"/>
      <c r="AE31" s="255"/>
      <c r="AF31" s="255"/>
      <c r="AG31" s="255"/>
      <c r="AH31" s="255"/>
      <c r="AI31" s="255"/>
      <c r="AJ31" s="255"/>
      <c r="AK31" s="255"/>
      <c r="AL31" s="255"/>
      <c r="AM31" s="255"/>
      <c r="AN31" s="255"/>
      <c r="AO31" s="255"/>
      <c r="AP31" s="255"/>
      <c r="AQ31" s="255"/>
      <c r="AR31" s="255"/>
      <c r="AS31" s="255"/>
      <c r="AT31" s="255"/>
      <c r="AU31" s="255"/>
      <c r="AV31" s="255"/>
      <c r="AW31" s="255"/>
      <c r="AX31" s="255"/>
      <c r="AY31" s="255"/>
      <c r="AZ31" s="255"/>
      <c r="BA31" s="255"/>
      <c r="BB31" s="255"/>
      <c r="BC31" s="255"/>
      <c r="BD31" s="255"/>
      <c r="BE31" s="255"/>
      <c r="BF31" s="255"/>
      <c r="BG31" s="255"/>
      <c r="BH31" s="255"/>
      <c r="BI31" s="255"/>
      <c r="BJ31" s="255"/>
      <c r="BK31" s="255"/>
      <c r="BL31" s="255"/>
      <c r="BM31" s="255"/>
      <c r="BN31" s="255"/>
      <c r="BO31" s="255"/>
      <c r="BP31" s="255"/>
      <c r="BQ31" s="255"/>
      <c r="BR31" s="255"/>
      <c r="BS31" s="255"/>
      <c r="BT31" s="255"/>
      <c r="BU31" s="255"/>
      <c r="BV31" s="255"/>
      <c r="BW31" s="255"/>
      <c r="BX31" s="255"/>
      <c r="BY31" s="255"/>
      <c r="BZ31" s="255"/>
      <c r="CA31" s="255"/>
      <c r="CB31" s="255"/>
      <c r="CC31" s="255"/>
      <c r="CD31" s="255"/>
      <c r="CE31" s="255"/>
      <c r="CF31" s="255"/>
      <c r="CG31" s="255"/>
      <c r="CH31" s="255"/>
      <c r="CI31" s="255"/>
      <c r="CJ31" s="255"/>
      <c r="CK31" s="255"/>
      <c r="CL31" s="255"/>
      <c r="CM31" s="255"/>
      <c r="CN31" s="255"/>
      <c r="CO31" s="255"/>
      <c r="CP31" s="255"/>
      <c r="CQ31" s="255"/>
      <c r="CR31" s="255"/>
      <c r="CS31" s="255"/>
      <c r="CT31" s="255"/>
      <c r="CU31" s="255"/>
      <c r="CV31" s="255"/>
      <c r="CW31" s="255"/>
      <c r="CX31" s="255"/>
      <c r="CY31" s="255"/>
      <c r="CZ31" s="255"/>
      <c r="DA31" s="255"/>
      <c r="DB31" s="255"/>
      <c r="DC31" s="255"/>
      <c r="DD31" s="255"/>
      <c r="DE31" s="255"/>
      <c r="DF31" s="255"/>
      <c r="DG31" s="255"/>
      <c r="DH31" s="255"/>
      <c r="DI31" s="255"/>
      <c r="DJ31" s="255"/>
      <c r="DK31" s="255"/>
      <c r="DL31" s="255"/>
      <c r="DM31" s="255"/>
      <c r="DN31" s="255"/>
      <c r="DO31" s="255"/>
      <c r="DP31" s="255"/>
      <c r="DQ31" s="255"/>
      <c r="DR31" s="255"/>
      <c r="DS31" s="255"/>
      <c r="DT31" s="255"/>
      <c r="DU31" s="255"/>
      <c r="DV31" s="255"/>
      <c r="DW31" s="255"/>
      <c r="DX31" s="255"/>
      <c r="DY31" s="255"/>
      <c r="DZ31" s="255"/>
      <c r="EA31" s="255"/>
      <c r="EB31" s="255"/>
      <c r="EC31" s="255"/>
      <c r="ED31" s="255"/>
      <c r="EE31" s="255"/>
      <c r="EF31" s="255"/>
      <c r="EG31" s="255"/>
      <c r="EH31" s="255"/>
      <c r="EI31" s="255"/>
      <c r="EJ31" s="255"/>
      <c r="EK31" s="255"/>
      <c r="EL31" s="255"/>
      <c r="EM31" s="255"/>
      <c r="EN31" s="255"/>
      <c r="EO31" s="255"/>
      <c r="EP31" s="255"/>
      <c r="EQ31" s="255"/>
      <c r="ER31" s="255"/>
      <c r="ES31" s="255"/>
      <c r="ET31" s="255"/>
      <c r="EU31" s="255"/>
      <c r="EV31" s="255"/>
      <c r="EW31" s="255"/>
      <c r="EX31" s="255"/>
      <c r="EY31" s="255"/>
      <c r="EZ31" s="255"/>
      <c r="FA31" s="255"/>
      <c r="FB31" s="255"/>
      <c r="FC31" s="255"/>
      <c r="FD31" s="255"/>
      <c r="FE31" s="255"/>
      <c r="FF31" s="255"/>
      <c r="FG31" s="255"/>
      <c r="FH31" s="255"/>
      <c r="FI31" s="255"/>
      <c r="FJ31" s="255"/>
      <c r="FK31" s="255"/>
      <c r="FL31" s="255"/>
      <c r="FM31" s="255"/>
      <c r="FN31" s="255"/>
      <c r="FO31" s="255"/>
      <c r="FP31" s="255"/>
      <c r="FQ31" s="255"/>
      <c r="FR31" s="255"/>
      <c r="FS31" s="255"/>
      <c r="FT31" s="255"/>
      <c r="FU31" s="255"/>
      <c r="FV31" s="255"/>
      <c r="FW31" s="255"/>
      <c r="FX31" s="255"/>
      <c r="FY31" s="255"/>
      <c r="FZ31" s="255"/>
      <c r="GA31" s="255"/>
      <c r="GB31" s="255"/>
      <c r="GC31" s="255"/>
      <c r="GD31" s="255"/>
      <c r="GE31" s="255"/>
      <c r="GF31" s="255"/>
      <c r="GG31" s="255"/>
      <c r="GH31" s="255"/>
      <c r="GI31" s="255"/>
      <c r="GJ31" s="255"/>
      <c r="GK31" s="255"/>
      <c r="GL31" s="255"/>
      <c r="GM31" s="255"/>
      <c r="GN31" s="255"/>
      <c r="GO31" s="255"/>
      <c r="GP31" s="255"/>
      <c r="GQ31" s="255"/>
      <c r="GR31" s="255"/>
      <c r="GS31" s="255"/>
      <c r="GT31" s="255"/>
      <c r="GU31" s="255"/>
      <c r="GV31" s="255"/>
      <c r="GW31" s="255"/>
      <c r="GX31" s="255"/>
      <c r="GY31" s="255"/>
      <c r="GZ31" s="255"/>
      <c r="HA31" s="255"/>
      <c r="HB31" s="255"/>
      <c r="HC31" s="255"/>
      <c r="HD31" s="255"/>
      <c r="HE31" s="255"/>
      <c r="HF31" s="255"/>
      <c r="HG31" s="255"/>
      <c r="HH31" s="255"/>
      <c r="HI31" s="255"/>
      <c r="HJ31" s="255"/>
      <c r="HK31" s="255"/>
      <c r="HL31" s="255"/>
      <c r="HM31" s="255"/>
      <c r="HN31" s="255"/>
      <c r="HO31" s="255"/>
      <c r="HP31" s="255"/>
      <c r="HQ31" s="255"/>
      <c r="HR31" s="255"/>
      <c r="HS31" s="255"/>
      <c r="HT31" s="255"/>
      <c r="HU31" s="255"/>
      <c r="HV31" s="255"/>
      <c r="HW31" s="255"/>
      <c r="HX31" s="255"/>
      <c r="HY31" s="255"/>
      <c r="HZ31" s="255"/>
      <c r="IA31" s="255"/>
      <c r="IB31" s="255"/>
      <c r="IC31" s="255"/>
      <c r="ID31" s="255"/>
      <c r="IE31" s="255"/>
      <c r="IF31" s="255"/>
      <c r="IG31" s="255"/>
      <c r="IH31" s="255"/>
      <c r="II31" s="255"/>
      <c r="IJ31" s="255"/>
      <c r="IK31" s="255"/>
      <c r="IL31" s="255"/>
      <c r="IM31" s="255"/>
      <c r="IN31" s="255"/>
      <c r="IO31" s="255"/>
      <c r="IP31" s="255"/>
      <c r="IQ31" s="255"/>
      <c r="IR31" s="255"/>
      <c r="IS31" s="255"/>
      <c r="IT31" s="255"/>
      <c r="IU31" s="255"/>
      <c r="IV31" s="255"/>
      <c r="IW31" s="255"/>
      <c r="IX31" s="255"/>
      <c r="IY31" s="255"/>
      <c r="IZ31" s="255"/>
      <c r="JA31" s="255"/>
      <c r="JB31" s="255"/>
      <c r="JC31" s="255"/>
      <c r="JD31" s="255"/>
      <c r="JE31" s="255"/>
      <c r="JF31" s="255"/>
      <c r="JG31" s="255"/>
      <c r="JH31" s="255"/>
      <c r="JI31" s="255"/>
      <c r="JJ31" s="255"/>
      <c r="JK31" s="255"/>
      <c r="JL31" s="255"/>
      <c r="JM31" s="255"/>
      <c r="JN31" s="255"/>
      <c r="JO31" s="255"/>
      <c r="JP31" s="255"/>
      <c r="JQ31" s="255"/>
      <c r="JR31" s="255"/>
      <c r="JS31" s="255"/>
      <c r="JT31" s="255"/>
      <c r="JU31" s="255"/>
      <c r="JV31" s="255"/>
      <c r="JW31" s="255"/>
      <c r="JX31" s="255"/>
      <c r="JY31" s="255"/>
      <c r="JZ31" s="255"/>
      <c r="KA31" s="255"/>
      <c r="KB31" s="255"/>
      <c r="KC31" s="255"/>
      <c r="KD31" s="255"/>
      <c r="KE31" s="255"/>
      <c r="KF31" s="255"/>
      <c r="KG31" s="255"/>
      <c r="KH31" s="255"/>
      <c r="KI31" s="255"/>
      <c r="KJ31" s="255"/>
      <c r="KK31" s="255"/>
      <c r="KL31" s="255"/>
      <c r="KM31" s="255"/>
      <c r="KN31" s="255"/>
      <c r="KO31" s="255"/>
      <c r="KP31" s="255"/>
      <c r="KQ31" s="255"/>
      <c r="KR31" s="255"/>
      <c r="KS31" s="255"/>
      <c r="KT31" s="255"/>
      <c r="KU31" s="255"/>
      <c r="KV31" s="255"/>
      <c r="KW31" s="255"/>
      <c r="KX31" s="255"/>
      <c r="KY31" s="255"/>
      <c r="KZ31" s="255"/>
      <c r="LA31" s="255"/>
      <c r="LB31" s="255"/>
      <c r="LC31" s="255"/>
      <c r="LD31" s="255"/>
      <c r="LE31" s="255"/>
      <c r="LF31" s="255"/>
      <c r="LG31" s="255"/>
      <c r="LH31" s="255"/>
      <c r="LI31" s="255"/>
      <c r="LJ31" s="255"/>
      <c r="LK31" s="255"/>
      <c r="LL31" s="255"/>
      <c r="LM31" s="255"/>
      <c r="LN31" s="255"/>
      <c r="LO31" s="255"/>
      <c r="LP31" s="255"/>
      <c r="LQ31" s="255"/>
      <c r="LR31" s="255"/>
      <c r="LS31" s="255"/>
      <c r="LT31" s="255"/>
      <c r="LU31" s="255"/>
      <c r="LV31" s="255"/>
      <c r="LW31" s="255"/>
      <c r="LX31" s="255"/>
      <c r="LY31" s="255"/>
      <c r="LZ31" s="255"/>
      <c r="MA31" s="255"/>
      <c r="MB31" s="255"/>
      <c r="MC31" s="255"/>
      <c r="MD31" s="255"/>
      <c r="ME31" s="255"/>
      <c r="MF31" s="255"/>
      <c r="MG31" s="255"/>
      <c r="MH31" s="255"/>
      <c r="MI31" s="255"/>
      <c r="MJ31" s="255"/>
      <c r="MK31" s="255"/>
      <c r="ML31" s="255"/>
      <c r="MM31" s="255"/>
      <c r="MN31" s="255"/>
      <c r="MO31" s="255"/>
      <c r="MP31" s="255"/>
      <c r="MQ31" s="255"/>
      <c r="MR31" s="255"/>
      <c r="MS31" s="255"/>
      <c r="MT31" s="255"/>
      <c r="MU31" s="255"/>
      <c r="MV31" s="255"/>
      <c r="MW31" s="255"/>
      <c r="MX31" s="255"/>
      <c r="MY31" s="255"/>
      <c r="MZ31" s="255"/>
      <c r="NA31" s="255"/>
      <c r="NB31" s="255"/>
      <c r="NC31" s="255"/>
      <c r="ND31" s="255"/>
      <c r="NE31" s="255"/>
      <c r="NF31" s="255"/>
      <c r="NG31" s="255"/>
      <c r="NH31" s="255"/>
      <c r="NI31" s="255"/>
      <c r="NJ31" s="255"/>
      <c r="NK31" s="255"/>
      <c r="NL31" s="255"/>
      <c r="NM31" s="255"/>
      <c r="NN31" s="255"/>
      <c r="NO31" s="255"/>
      <c r="NP31" s="255"/>
      <c r="NQ31" s="255"/>
      <c r="NR31" s="255"/>
      <c r="NS31" s="255"/>
      <c r="NT31" s="255"/>
      <c r="NU31" s="255"/>
      <c r="NV31" s="255"/>
      <c r="NW31" s="255"/>
      <c r="NX31" s="255"/>
      <c r="NY31" s="255"/>
      <c r="NZ31" s="255"/>
      <c r="OA31" s="255"/>
      <c r="OB31" s="255"/>
      <c r="OC31" s="255"/>
      <c r="OD31" s="255"/>
      <c r="OE31" s="255"/>
      <c r="OF31" s="255"/>
      <c r="OG31" s="255"/>
      <c r="OH31" s="255"/>
      <c r="OI31" s="255"/>
      <c r="OJ31" s="255"/>
      <c r="OK31" s="255"/>
      <c r="OL31" s="255"/>
      <c r="OM31" s="255"/>
      <c r="ON31" s="255"/>
      <c r="OO31" s="255"/>
      <c r="OP31" s="255"/>
      <c r="OQ31" s="255"/>
      <c r="OR31" s="255"/>
      <c r="OS31" s="255"/>
      <c r="OT31" s="255"/>
      <c r="OU31" s="255"/>
      <c r="OV31" s="255"/>
      <c r="OW31" s="255"/>
      <c r="OX31" s="255"/>
      <c r="OY31" s="255"/>
      <c r="OZ31" s="255"/>
      <c r="PA31" s="255"/>
      <c r="PB31" s="255"/>
      <c r="PC31" s="255"/>
      <c r="PD31" s="255"/>
      <c r="PE31" s="255"/>
      <c r="PF31" s="255"/>
      <c r="PG31" s="255"/>
      <c r="PH31" s="255"/>
      <c r="PI31" s="255"/>
      <c r="PJ31" s="255"/>
      <c r="PK31" s="255"/>
      <c r="PL31" s="255"/>
      <c r="PM31" s="255"/>
      <c r="PN31" s="255"/>
      <c r="PO31" s="255"/>
      <c r="PP31" s="255"/>
      <c r="PQ31" s="255"/>
      <c r="PR31" s="255"/>
      <c r="PS31" s="255"/>
      <c r="PT31" s="255"/>
      <c r="PU31" s="255"/>
      <c r="PV31" s="255"/>
      <c r="PW31" s="255"/>
      <c r="PX31" s="255"/>
      <c r="PY31" s="255"/>
      <c r="PZ31" s="255"/>
      <c r="QA31" s="255"/>
      <c r="QB31" s="255"/>
      <c r="QC31" s="255"/>
      <c r="QD31" s="255"/>
      <c r="QE31" s="255"/>
      <c r="QF31" s="255"/>
      <c r="QG31" s="255"/>
      <c r="QH31" s="255"/>
      <c r="QI31" s="255"/>
      <c r="QJ31" s="255"/>
      <c r="QK31" s="255"/>
      <c r="QL31" s="255"/>
      <c r="QM31" s="255"/>
      <c r="QN31" s="255"/>
      <c r="QO31" s="255"/>
      <c r="QP31" s="255"/>
      <c r="QQ31" s="255"/>
      <c r="QR31" s="255"/>
      <c r="QS31" s="255"/>
      <c r="QT31" s="255"/>
      <c r="QU31" s="255"/>
      <c r="QV31" s="255"/>
      <c r="QW31" s="255"/>
      <c r="QX31" s="255"/>
      <c r="QY31" s="255"/>
      <c r="QZ31" s="255"/>
      <c r="RA31" s="255"/>
      <c r="RB31" s="255"/>
      <c r="RC31" s="255"/>
      <c r="RD31" s="255"/>
      <c r="RE31" s="255"/>
      <c r="RF31" s="255"/>
      <c r="RG31" s="255"/>
      <c r="RH31" s="255"/>
      <c r="RI31" s="255"/>
      <c r="RJ31" s="255"/>
      <c r="RK31" s="255"/>
      <c r="RL31" s="255"/>
      <c r="RM31" s="255"/>
      <c r="RN31" s="255"/>
      <c r="RO31" s="255"/>
      <c r="RP31" s="255"/>
      <c r="RQ31" s="255"/>
      <c r="RR31" s="255"/>
      <c r="RS31" s="255"/>
      <c r="RT31" s="255"/>
      <c r="RU31" s="255"/>
      <c r="RV31" s="255"/>
      <c r="RW31" s="255"/>
      <c r="RX31" s="255"/>
      <c r="RY31" s="255"/>
      <c r="RZ31" s="255"/>
      <c r="SA31" s="255"/>
      <c r="SB31" s="255"/>
      <c r="SC31" s="255"/>
      <c r="SD31" s="255"/>
      <c r="SE31" s="255"/>
      <c r="SF31" s="255"/>
      <c r="SG31" s="255"/>
      <c r="SH31" s="255"/>
      <c r="SI31" s="255"/>
      <c r="SJ31" s="255"/>
      <c r="SK31" s="255"/>
      <c r="SL31" s="255"/>
      <c r="SM31" s="255"/>
      <c r="SN31" s="255"/>
      <c r="SO31" s="255"/>
      <c r="SP31" s="255"/>
      <c r="SQ31" s="255"/>
      <c r="SR31" s="255"/>
      <c r="SS31" s="255"/>
      <c r="ST31" s="255"/>
      <c r="SU31" s="255"/>
      <c r="SV31" s="255"/>
      <c r="SW31" s="255"/>
      <c r="SX31" s="255"/>
      <c r="SY31" s="255"/>
      <c r="SZ31" s="255"/>
      <c r="TA31" s="255"/>
      <c r="TB31" s="255"/>
      <c r="TC31" s="255"/>
      <c r="TD31" s="255"/>
      <c r="TE31" s="255"/>
      <c r="TF31" s="255"/>
      <c r="TG31" s="255"/>
      <c r="TH31" s="255"/>
      <c r="TI31" s="255"/>
      <c r="TJ31" s="255"/>
      <c r="TK31" s="255"/>
      <c r="TL31" s="255"/>
      <c r="TM31" s="255"/>
      <c r="TN31" s="255"/>
      <c r="TO31" s="255"/>
      <c r="TP31" s="255"/>
      <c r="TQ31" s="255"/>
      <c r="TR31" s="255"/>
      <c r="TS31" s="255"/>
      <c r="TT31" s="255"/>
      <c r="TU31" s="255"/>
      <c r="TV31" s="255"/>
      <c r="TW31" s="255"/>
      <c r="TX31" s="255"/>
      <c r="TY31" s="255"/>
      <c r="TZ31" s="255"/>
      <c r="UA31" s="255"/>
      <c r="UB31" s="255"/>
      <c r="UC31" s="255"/>
      <c r="UD31" s="255"/>
      <c r="UE31" s="255"/>
      <c r="UF31" s="255"/>
      <c r="UG31" s="255"/>
      <c r="UH31" s="255"/>
      <c r="UI31" s="255"/>
      <c r="UJ31" s="255"/>
      <c r="UK31" s="255"/>
      <c r="UL31" s="255"/>
      <c r="UM31" s="255"/>
      <c r="UN31" s="255"/>
      <c r="UO31" s="255"/>
      <c r="UP31" s="255"/>
      <c r="UQ31" s="255"/>
      <c r="UR31" s="255"/>
      <c r="US31" s="255"/>
      <c r="UT31" s="255"/>
      <c r="UU31" s="255"/>
      <c r="UV31" s="255"/>
      <c r="UW31" s="255"/>
      <c r="UX31" s="255"/>
      <c r="UY31" s="255"/>
      <c r="UZ31" s="255"/>
      <c r="VA31" s="255"/>
      <c r="VB31" s="255"/>
      <c r="VC31" s="255"/>
      <c r="VD31" s="255"/>
      <c r="VE31" s="255"/>
      <c r="VF31" s="255"/>
      <c r="VG31" s="255"/>
      <c r="VH31" s="255"/>
      <c r="VI31" s="255"/>
      <c r="VJ31" s="255"/>
      <c r="VK31" s="255"/>
      <c r="VL31" s="255"/>
      <c r="VM31" s="255"/>
      <c r="VN31" s="255"/>
      <c r="VO31" s="255"/>
      <c r="VP31" s="255"/>
      <c r="VQ31" s="255"/>
      <c r="VR31" s="255"/>
      <c r="VS31" s="255"/>
      <c r="VT31" s="255"/>
      <c r="VU31" s="255"/>
      <c r="VV31" s="255"/>
      <c r="VW31" s="255"/>
      <c r="VX31" s="255"/>
      <c r="VY31" s="255"/>
      <c r="VZ31" s="255"/>
      <c r="WA31" s="255"/>
      <c r="WB31" s="255"/>
      <c r="WC31" s="255"/>
      <c r="WD31" s="255"/>
      <c r="WE31" s="255"/>
      <c r="WF31" s="255"/>
      <c r="WG31" s="255"/>
      <c r="WH31" s="255"/>
      <c r="WI31" s="255"/>
      <c r="WJ31" s="255"/>
      <c r="WK31" s="255"/>
      <c r="WL31" s="255"/>
      <c r="WM31" s="255"/>
      <c r="WN31" s="255"/>
      <c r="WO31" s="255"/>
      <c r="WP31" s="255"/>
      <c r="WQ31" s="255"/>
      <c r="WR31" s="255"/>
      <c r="WS31" s="255"/>
      <c r="WT31" s="255"/>
      <c r="WU31" s="255"/>
      <c r="WV31" s="255"/>
      <c r="WW31" s="255"/>
      <c r="WX31" s="255"/>
      <c r="WY31" s="255"/>
      <c r="WZ31" s="255"/>
      <c r="XA31" s="255"/>
      <c r="XB31" s="255"/>
      <c r="XC31" s="255"/>
      <c r="XD31" s="255"/>
      <c r="XE31" s="255"/>
      <c r="XF31" s="255"/>
      <c r="XG31" s="255"/>
      <c r="XH31" s="255"/>
      <c r="XI31" s="255"/>
      <c r="XJ31" s="255"/>
      <c r="XK31" s="255"/>
      <c r="XL31" s="255"/>
      <c r="XM31" s="255"/>
      <c r="XN31" s="255"/>
      <c r="XO31" s="255"/>
      <c r="XP31" s="255"/>
      <c r="XQ31" s="255"/>
      <c r="XR31" s="255"/>
      <c r="XS31" s="255"/>
      <c r="XT31" s="255"/>
      <c r="XU31" s="255"/>
      <c r="XV31" s="255"/>
      <c r="XW31" s="255"/>
      <c r="XX31" s="255"/>
      <c r="XY31" s="255"/>
      <c r="XZ31" s="255"/>
      <c r="YA31" s="255"/>
      <c r="YB31" s="255"/>
      <c r="YC31" s="255"/>
      <c r="YD31" s="255"/>
      <c r="YE31" s="255"/>
      <c r="YF31" s="255"/>
      <c r="YG31" s="255"/>
      <c r="YH31" s="255"/>
      <c r="YI31" s="255"/>
      <c r="YJ31" s="255"/>
      <c r="YK31" s="255"/>
      <c r="YL31" s="255"/>
      <c r="YM31" s="255"/>
      <c r="YN31" s="255"/>
      <c r="YO31" s="255"/>
      <c r="YP31" s="255"/>
      <c r="YQ31" s="255"/>
      <c r="YR31" s="255"/>
      <c r="YS31" s="255"/>
      <c r="YT31" s="255"/>
      <c r="YU31" s="255"/>
      <c r="YV31" s="255"/>
      <c r="YW31" s="255"/>
      <c r="YX31" s="255"/>
      <c r="YY31" s="255"/>
      <c r="YZ31" s="255"/>
      <c r="ZA31" s="255"/>
      <c r="ZB31" s="255"/>
      <c r="ZC31" s="255"/>
      <c r="ZD31" s="255"/>
      <c r="ZE31" s="255"/>
      <c r="ZF31" s="255"/>
      <c r="ZG31" s="255"/>
      <c r="ZH31" s="255"/>
      <c r="ZI31" s="255"/>
      <c r="ZJ31" s="255"/>
      <c r="ZK31" s="255"/>
      <c r="ZL31" s="255"/>
      <c r="ZM31" s="255"/>
      <c r="ZN31" s="255"/>
      <c r="ZO31" s="255"/>
      <c r="ZP31" s="255"/>
      <c r="ZQ31" s="255"/>
      <c r="ZR31" s="255"/>
      <c r="ZS31" s="255"/>
      <c r="ZT31" s="255"/>
      <c r="ZU31" s="255"/>
      <c r="ZV31" s="255"/>
      <c r="ZW31" s="255"/>
      <c r="ZX31" s="255"/>
      <c r="ZY31" s="255"/>
      <c r="ZZ31" s="255"/>
      <c r="AAA31" s="255"/>
      <c r="AAB31" s="255"/>
      <c r="AAC31" s="255"/>
      <c r="AAD31" s="255"/>
      <c r="AAE31" s="255"/>
      <c r="AAF31" s="255"/>
      <c r="AAG31" s="255"/>
      <c r="AAH31" s="255"/>
      <c r="AAI31" s="255"/>
      <c r="AAJ31" s="255"/>
      <c r="AAK31" s="255"/>
      <c r="AAL31" s="255"/>
      <c r="AAM31" s="255"/>
      <c r="AAN31" s="255"/>
      <c r="AAO31" s="255"/>
      <c r="AAP31" s="255"/>
      <c r="AAQ31" s="255"/>
      <c r="AAR31" s="255"/>
      <c r="AAS31" s="255"/>
      <c r="AAT31" s="255"/>
      <c r="AAU31" s="255"/>
      <c r="AAV31" s="255"/>
      <c r="AAW31" s="255"/>
      <c r="AAX31" s="255"/>
      <c r="AAY31" s="255"/>
      <c r="AAZ31" s="255"/>
      <c r="ABA31" s="255"/>
      <c r="ABB31" s="255"/>
      <c r="ABC31" s="255"/>
      <c r="ABD31" s="255"/>
      <c r="ABE31" s="255"/>
      <c r="ABF31" s="255"/>
      <c r="ABG31" s="255"/>
      <c r="ABH31" s="255"/>
      <c r="ABI31" s="255"/>
      <c r="ABJ31" s="255"/>
      <c r="ABK31" s="255"/>
      <c r="ABL31" s="255"/>
      <c r="ABM31" s="255"/>
      <c r="ABN31" s="255"/>
      <c r="ABO31" s="255"/>
      <c r="ABP31" s="255"/>
      <c r="ABQ31" s="255"/>
      <c r="ABR31" s="255"/>
      <c r="ABS31" s="255"/>
      <c r="ABT31" s="255"/>
      <c r="ABU31" s="255"/>
      <c r="ABV31" s="255"/>
      <c r="ABW31" s="255"/>
      <c r="ABX31" s="255"/>
      <c r="ABY31" s="255"/>
      <c r="ABZ31" s="255"/>
      <c r="ACA31" s="255"/>
      <c r="ACB31" s="255"/>
      <c r="ACC31" s="255"/>
      <c r="ACD31" s="255"/>
      <c r="ACE31" s="255"/>
      <c r="ACF31" s="255"/>
      <c r="ACG31" s="255"/>
      <c r="ACH31" s="255"/>
      <c r="ACI31" s="255"/>
      <c r="ACJ31" s="255"/>
      <c r="ACK31" s="255"/>
      <c r="ACL31" s="255"/>
      <c r="ACM31" s="255"/>
      <c r="ACN31" s="255"/>
      <c r="ACO31" s="255"/>
      <c r="ACP31" s="255"/>
      <c r="ACQ31" s="255"/>
      <c r="ACR31" s="255"/>
      <c r="ACS31" s="255"/>
      <c r="ACT31" s="255"/>
      <c r="ACU31" s="255"/>
      <c r="ACV31" s="255"/>
      <c r="ACW31" s="255"/>
      <c r="ACX31" s="255"/>
      <c r="ACY31" s="255"/>
      <c r="ACZ31" s="255"/>
      <c r="ADA31" s="255"/>
      <c r="ADB31" s="255"/>
      <c r="ADC31" s="255"/>
      <c r="ADD31" s="255"/>
      <c r="ADE31" s="255"/>
      <c r="ADF31" s="255"/>
      <c r="ADG31" s="255"/>
      <c r="ADH31" s="255"/>
      <c r="ADI31" s="255"/>
      <c r="ADJ31" s="255"/>
      <c r="ADK31" s="255"/>
      <c r="ADL31" s="255"/>
      <c r="ADM31" s="255"/>
      <c r="ADN31" s="255"/>
      <c r="ADO31" s="255"/>
      <c r="ADP31" s="255"/>
      <c r="ADQ31" s="255"/>
      <c r="ADR31" s="255"/>
      <c r="ADS31" s="255"/>
      <c r="ADT31" s="255"/>
      <c r="ADU31" s="255"/>
      <c r="ADV31" s="255"/>
      <c r="ADW31" s="255"/>
      <c r="ADX31" s="255"/>
      <c r="ADY31" s="255"/>
      <c r="ADZ31" s="255"/>
      <c r="AEA31" s="255"/>
      <c r="AEB31" s="255"/>
      <c r="AEC31" s="255"/>
      <c r="AED31" s="255"/>
      <c r="AEE31" s="255"/>
      <c r="AEF31" s="255"/>
      <c r="AEG31" s="255"/>
      <c r="AEH31" s="255"/>
      <c r="AEI31" s="255"/>
      <c r="AEJ31" s="255"/>
      <c r="AEK31" s="255"/>
      <c r="AEL31" s="255"/>
      <c r="AEM31" s="255"/>
      <c r="AEN31" s="255"/>
      <c r="AEO31" s="255"/>
      <c r="AEP31" s="255"/>
      <c r="AEQ31" s="255"/>
      <c r="AER31" s="255"/>
      <c r="AES31" s="255"/>
      <c r="AET31" s="255"/>
      <c r="AEU31" s="255"/>
      <c r="AEV31" s="255"/>
      <c r="AEW31" s="255"/>
      <c r="AEX31" s="255"/>
      <c r="AEY31" s="255"/>
      <c r="AEZ31" s="255"/>
      <c r="AFA31" s="255"/>
      <c r="AFB31" s="255"/>
      <c r="AFC31" s="255"/>
      <c r="AFD31" s="255"/>
      <c r="AFE31" s="255"/>
      <c r="AFF31" s="255"/>
      <c r="AFG31" s="255"/>
      <c r="AFH31" s="255"/>
      <c r="AFI31" s="255"/>
      <c r="AFJ31" s="255"/>
      <c r="AFK31" s="255"/>
      <c r="AFL31" s="255"/>
      <c r="AFM31" s="255"/>
      <c r="AFN31" s="255"/>
      <c r="AFO31" s="255"/>
      <c r="AFP31" s="255"/>
      <c r="AFQ31" s="255"/>
      <c r="AFR31" s="255"/>
      <c r="AFS31" s="255"/>
      <c r="AFT31" s="255"/>
      <c r="AFU31" s="255"/>
      <c r="AFV31" s="255"/>
      <c r="AFW31" s="255"/>
      <c r="AFX31" s="255"/>
      <c r="AFY31" s="255"/>
      <c r="AFZ31" s="255"/>
      <c r="AGA31" s="255"/>
      <c r="AGB31" s="255"/>
      <c r="AGC31" s="255"/>
      <c r="AGD31" s="255"/>
      <c r="AGE31" s="255"/>
      <c r="AGF31" s="255"/>
      <c r="AGG31" s="255"/>
      <c r="AGH31" s="255"/>
      <c r="AGI31" s="255"/>
      <c r="AGJ31" s="255"/>
      <c r="AGK31" s="255"/>
      <c r="AGL31" s="255"/>
      <c r="AGM31" s="255"/>
      <c r="AGN31" s="255"/>
      <c r="AGO31" s="255"/>
      <c r="AGP31" s="255"/>
      <c r="AGQ31" s="255"/>
      <c r="AGR31" s="255"/>
      <c r="AGS31" s="255"/>
      <c r="AGT31" s="255"/>
      <c r="AGU31" s="255"/>
      <c r="AGV31" s="255"/>
      <c r="AGW31" s="255"/>
      <c r="AGX31" s="255"/>
      <c r="AGY31" s="255"/>
      <c r="AGZ31" s="255"/>
      <c r="AHA31" s="255"/>
      <c r="AHB31" s="255"/>
      <c r="AHC31" s="255"/>
      <c r="AHD31" s="255"/>
      <c r="AHE31" s="255"/>
      <c r="AHF31" s="255"/>
      <c r="AHG31" s="255"/>
      <c r="AHH31" s="255"/>
      <c r="AHI31" s="255"/>
      <c r="AHJ31" s="255"/>
      <c r="AHK31" s="255"/>
      <c r="AHL31" s="255"/>
      <c r="AHM31" s="255"/>
      <c r="AHN31" s="255"/>
      <c r="AHO31" s="255"/>
      <c r="AHP31" s="255"/>
      <c r="AHQ31" s="255"/>
      <c r="AHR31" s="255"/>
      <c r="AHS31" s="255"/>
      <c r="AHT31" s="255"/>
      <c r="AHU31" s="255"/>
      <c r="AHV31" s="255"/>
      <c r="AHW31" s="255"/>
      <c r="AHX31" s="255"/>
      <c r="AHY31" s="255"/>
      <c r="AHZ31" s="255"/>
      <c r="AIA31" s="255"/>
      <c r="AIB31" s="255"/>
      <c r="AIC31" s="255"/>
      <c r="AID31" s="255"/>
      <c r="AIE31" s="255"/>
      <c r="AIF31" s="255"/>
      <c r="AIG31" s="255"/>
      <c r="AIH31" s="255"/>
      <c r="AII31" s="255"/>
      <c r="AIJ31" s="255"/>
      <c r="AIK31" s="255"/>
      <c r="AIL31" s="255"/>
      <c r="AIM31" s="255"/>
      <c r="AIN31" s="255"/>
      <c r="AIO31" s="255"/>
      <c r="AIP31" s="255"/>
      <c r="AIQ31" s="255"/>
      <c r="AIR31" s="255"/>
      <c r="AIS31" s="255"/>
      <c r="AIT31" s="255"/>
      <c r="AIU31" s="255"/>
      <c r="AIV31" s="255"/>
      <c r="AIW31" s="255"/>
      <c r="AIX31" s="255"/>
      <c r="AIY31" s="255"/>
      <c r="AIZ31" s="255"/>
      <c r="AJA31" s="255"/>
      <c r="AJB31" s="255"/>
      <c r="AJC31" s="255"/>
      <c r="AJD31" s="255"/>
      <c r="AJE31" s="255"/>
      <c r="AJF31" s="255"/>
      <c r="AJG31" s="255"/>
      <c r="AJH31" s="255"/>
      <c r="AJI31" s="255"/>
      <c r="AJJ31" s="255"/>
      <c r="AJK31" s="255"/>
      <c r="AJL31" s="255"/>
      <c r="AJM31" s="255"/>
      <c r="AJN31" s="255"/>
      <c r="AJO31" s="255"/>
      <c r="AJP31" s="255"/>
      <c r="AJQ31" s="255"/>
      <c r="AJR31" s="255"/>
      <c r="AJS31" s="255"/>
      <c r="AJT31" s="255"/>
      <c r="AJU31" s="255"/>
      <c r="AJV31" s="255"/>
      <c r="AJW31" s="255"/>
      <c r="AJX31" s="255"/>
      <c r="AJY31" s="255"/>
      <c r="AJZ31" s="255"/>
      <c r="AKA31" s="255"/>
      <c r="AKB31" s="255"/>
      <c r="AKC31" s="255"/>
      <c r="AKD31" s="255"/>
      <c r="AKE31" s="255"/>
      <c r="AKF31" s="255"/>
      <c r="AKG31" s="255"/>
      <c r="AKH31" s="255"/>
      <c r="AKI31" s="255"/>
      <c r="AKJ31" s="255"/>
      <c r="AKK31" s="255"/>
      <c r="AKL31" s="255"/>
      <c r="AKM31" s="255"/>
      <c r="AKN31" s="255"/>
      <c r="AKO31" s="255"/>
      <c r="AKP31" s="255"/>
      <c r="AKQ31" s="255"/>
      <c r="AKR31" s="255"/>
      <c r="AKS31" s="255"/>
      <c r="AKT31" s="255"/>
      <c r="AKU31" s="255"/>
      <c r="AKV31" s="255"/>
      <c r="AKW31" s="255"/>
      <c r="AKX31" s="255"/>
      <c r="AKY31" s="255"/>
      <c r="AKZ31" s="255"/>
      <c r="ALA31" s="255"/>
      <c r="ALB31" s="255"/>
      <c r="ALC31" s="255"/>
      <c r="ALD31" s="255"/>
      <c r="ALE31" s="255"/>
      <c r="ALF31" s="255"/>
      <c r="ALG31" s="255"/>
      <c r="ALH31" s="255"/>
      <c r="ALI31" s="255"/>
      <c r="ALJ31" s="255"/>
      <c r="ALK31" s="255"/>
      <c r="ALL31" s="42"/>
      <c r="ALM31" s="42"/>
      <c r="ALN31" s="42"/>
      <c r="ALO31" s="42"/>
      <c r="ALP31" s="42"/>
      <c r="ALQ31" s="42"/>
      <c r="ALR31" s="42"/>
      <c r="ALS31" s="42"/>
      <c r="ALT31" s="42"/>
    </row>
    <row r="32" spans="1:1008" s="191" customFormat="1" ht="24">
      <c r="A32" s="251" t="s">
        <v>7</v>
      </c>
      <c r="B32" s="328">
        <v>94964</v>
      </c>
      <c r="C32" s="329" t="str">
        <f>(IF($A32="SINAPI",INDEX(SINAPI_NOV2020_NDES!$A$7:$H$6703,MATCH($B32,SINAPI_NOV2020_NDES!$A$7:$A$6703,0),2),IF($A32="GOINFRA",INDEX(#REF!,MATCH($B32,#REF!,0),2),(INDEX(COMPOS!$A$4:$G$3900,MATCH($B32,COMPOS!$A$4:A$3900,0),2)))))</f>
        <v>CONCRETO FCK = 20MPA, TRAÇO 1:2,7:3 (CIMENTO/ AREIA MÉDIA/ BRITA 1)  - PREPARO MECÂNICO COM BETONEIRA 400 L. AF_07/2016</v>
      </c>
      <c r="D32" s="274" t="str">
        <f>(IF($A32="SINAPI",INDEX(SINAPI_NOV2020_NDES!$A$7:$H$6790,MATCH($B32,SINAPI_NOV2020_NDES!$A$7:$A$6790,0),3),(INDEX(COMPOS!$A$4:$G$5000,MATCH($B32,COMPOS!$A$4:$A$5000,0),3))))</f>
        <v>M3</v>
      </c>
      <c r="E32" s="276">
        <v>1.2</v>
      </c>
      <c r="F32" s="279">
        <f>(IF($A32="SINAPI",INDEX(SINAPI_NOV2020_NDES!$A$7:$H$6703,MATCH($B32,SINAPI_NOV2020_NDES!$A$7:$A$6703,0),5),(INDEX(COMPOS!$A$4:$G$801,MATCH($B32,COMPOS!$A$4:A$801,0),4))))</f>
        <v>59.69</v>
      </c>
      <c r="G32" s="280">
        <f>(IF($A32="SINAPI",INDEX(SINAPI_NOV2020_NDES!$A$7:$H$6703,MATCH($B32,SINAPI_NOV2020_NDES!$A$7:$A$6703,0),6),(INDEX(COMPOS!$A$4:$G$801,MATCH($B32,COMPOS!$A$4:A$801,0),5))))</f>
        <v>311.7</v>
      </c>
      <c r="H32" s="280">
        <f>(IF($A32="SINAPI",INDEX(SINAPI_NOV2020_NDES!$A$7:$H$6703,MATCH($B32,SINAPI_NOV2020_NDES!$A$7:$A$6703,0),7),(INDEX(COMPOS!$A$4:$G$801,MATCH($B32,COMPOS!$A$4:A$801,0),6))))</f>
        <v>0.56999999999999995</v>
      </c>
      <c r="I32" s="279">
        <f t="shared" si="10"/>
        <v>371.96</v>
      </c>
      <c r="J32" s="276">
        <f t="shared" si="11"/>
        <v>446.35199999999998</v>
      </c>
      <c r="K32" s="255"/>
      <c r="L32" s="255"/>
      <c r="M32" s="255"/>
      <c r="N32" s="255"/>
      <c r="O32" s="257"/>
      <c r="P32" s="223"/>
      <c r="Q32" s="255"/>
      <c r="R32" s="255"/>
      <c r="S32" s="255"/>
      <c r="T32" s="255"/>
      <c r="U32" s="255"/>
      <c r="V32" s="255"/>
      <c r="W32" s="255"/>
      <c r="X32" s="255"/>
      <c r="Y32" s="255"/>
      <c r="Z32" s="255"/>
      <c r="AA32" s="255"/>
      <c r="AB32" s="255"/>
      <c r="AC32" s="255"/>
      <c r="AD32" s="255"/>
      <c r="AE32" s="255"/>
      <c r="AF32" s="255"/>
      <c r="AG32" s="255"/>
      <c r="AH32" s="255"/>
      <c r="AI32" s="255"/>
      <c r="AJ32" s="255"/>
      <c r="AK32" s="255"/>
      <c r="AL32" s="255"/>
      <c r="AM32" s="255"/>
      <c r="AN32" s="255"/>
      <c r="AO32" s="255"/>
      <c r="AP32" s="255"/>
      <c r="AQ32" s="255"/>
      <c r="AR32" s="255"/>
      <c r="AS32" s="255"/>
      <c r="AT32" s="255"/>
      <c r="AU32" s="255"/>
      <c r="AV32" s="255"/>
      <c r="AW32" s="255"/>
      <c r="AX32" s="255"/>
      <c r="AY32" s="255"/>
      <c r="AZ32" s="255"/>
      <c r="BA32" s="255"/>
      <c r="BB32" s="255"/>
      <c r="BC32" s="255"/>
      <c r="BD32" s="255"/>
      <c r="BE32" s="255"/>
      <c r="BF32" s="255"/>
      <c r="BG32" s="255"/>
      <c r="BH32" s="255"/>
      <c r="BI32" s="255"/>
      <c r="BJ32" s="255"/>
      <c r="BK32" s="255"/>
      <c r="BL32" s="255"/>
      <c r="BM32" s="255"/>
      <c r="BN32" s="255"/>
      <c r="BO32" s="255"/>
      <c r="BP32" s="255"/>
      <c r="BQ32" s="255"/>
      <c r="BR32" s="255"/>
      <c r="BS32" s="255"/>
      <c r="BT32" s="255"/>
      <c r="BU32" s="255"/>
      <c r="BV32" s="255"/>
      <c r="BW32" s="255"/>
      <c r="BX32" s="255"/>
      <c r="BY32" s="255"/>
      <c r="BZ32" s="255"/>
      <c r="CA32" s="255"/>
      <c r="CB32" s="255"/>
      <c r="CC32" s="255"/>
      <c r="CD32" s="255"/>
      <c r="CE32" s="255"/>
      <c r="CF32" s="255"/>
      <c r="CG32" s="255"/>
      <c r="CH32" s="255"/>
      <c r="CI32" s="255"/>
      <c r="CJ32" s="255"/>
      <c r="CK32" s="255"/>
      <c r="CL32" s="255"/>
      <c r="CM32" s="255"/>
      <c r="CN32" s="255"/>
      <c r="CO32" s="255"/>
      <c r="CP32" s="255"/>
      <c r="CQ32" s="255"/>
      <c r="CR32" s="255"/>
      <c r="CS32" s="255"/>
      <c r="CT32" s="255"/>
      <c r="CU32" s="255"/>
      <c r="CV32" s="255"/>
      <c r="CW32" s="255"/>
      <c r="CX32" s="255"/>
      <c r="CY32" s="255"/>
      <c r="CZ32" s="255"/>
      <c r="DA32" s="255"/>
      <c r="DB32" s="255"/>
      <c r="DC32" s="255"/>
      <c r="DD32" s="255"/>
      <c r="DE32" s="255"/>
      <c r="DF32" s="255"/>
      <c r="DG32" s="255"/>
      <c r="DH32" s="255"/>
      <c r="DI32" s="255"/>
      <c r="DJ32" s="255"/>
      <c r="DK32" s="255"/>
      <c r="DL32" s="255"/>
      <c r="DM32" s="255"/>
      <c r="DN32" s="255"/>
      <c r="DO32" s="255"/>
      <c r="DP32" s="255"/>
      <c r="DQ32" s="255"/>
      <c r="DR32" s="255"/>
      <c r="DS32" s="255"/>
      <c r="DT32" s="255"/>
      <c r="DU32" s="255"/>
      <c r="DV32" s="255"/>
      <c r="DW32" s="255"/>
      <c r="DX32" s="255"/>
      <c r="DY32" s="255"/>
      <c r="DZ32" s="255"/>
      <c r="EA32" s="255"/>
      <c r="EB32" s="255"/>
      <c r="EC32" s="255"/>
      <c r="ED32" s="255"/>
      <c r="EE32" s="255"/>
      <c r="EF32" s="255"/>
      <c r="EG32" s="255"/>
      <c r="EH32" s="255"/>
      <c r="EI32" s="255"/>
      <c r="EJ32" s="255"/>
      <c r="EK32" s="255"/>
      <c r="EL32" s="255"/>
      <c r="EM32" s="255"/>
      <c r="EN32" s="255"/>
      <c r="EO32" s="255"/>
      <c r="EP32" s="255"/>
      <c r="EQ32" s="255"/>
      <c r="ER32" s="255"/>
      <c r="ES32" s="255"/>
      <c r="ET32" s="255"/>
      <c r="EU32" s="255"/>
      <c r="EV32" s="255"/>
      <c r="EW32" s="255"/>
      <c r="EX32" s="255"/>
      <c r="EY32" s="255"/>
      <c r="EZ32" s="255"/>
      <c r="FA32" s="255"/>
      <c r="FB32" s="255"/>
      <c r="FC32" s="255"/>
      <c r="FD32" s="255"/>
      <c r="FE32" s="255"/>
      <c r="FF32" s="255"/>
      <c r="FG32" s="255"/>
      <c r="FH32" s="255"/>
      <c r="FI32" s="255"/>
      <c r="FJ32" s="255"/>
      <c r="FK32" s="255"/>
      <c r="FL32" s="255"/>
      <c r="FM32" s="255"/>
      <c r="FN32" s="255"/>
      <c r="FO32" s="255"/>
      <c r="FP32" s="255"/>
      <c r="FQ32" s="255"/>
      <c r="FR32" s="255"/>
      <c r="FS32" s="255"/>
      <c r="FT32" s="255"/>
      <c r="FU32" s="255"/>
      <c r="FV32" s="255"/>
      <c r="FW32" s="255"/>
      <c r="FX32" s="255"/>
      <c r="FY32" s="255"/>
      <c r="FZ32" s="255"/>
      <c r="GA32" s="255"/>
      <c r="GB32" s="255"/>
      <c r="GC32" s="255"/>
      <c r="GD32" s="255"/>
      <c r="GE32" s="255"/>
      <c r="GF32" s="255"/>
      <c r="GG32" s="255"/>
      <c r="GH32" s="255"/>
      <c r="GI32" s="255"/>
      <c r="GJ32" s="255"/>
      <c r="GK32" s="255"/>
      <c r="GL32" s="255"/>
      <c r="GM32" s="255"/>
      <c r="GN32" s="255"/>
      <c r="GO32" s="255"/>
      <c r="GP32" s="255"/>
      <c r="GQ32" s="255"/>
      <c r="GR32" s="255"/>
      <c r="GS32" s="255"/>
      <c r="GT32" s="255"/>
      <c r="GU32" s="255"/>
      <c r="GV32" s="255"/>
      <c r="GW32" s="255"/>
      <c r="GX32" s="255"/>
      <c r="GY32" s="255"/>
      <c r="GZ32" s="255"/>
      <c r="HA32" s="255"/>
      <c r="HB32" s="255"/>
      <c r="HC32" s="255"/>
      <c r="HD32" s="255"/>
      <c r="HE32" s="255"/>
      <c r="HF32" s="255"/>
      <c r="HG32" s="255"/>
      <c r="HH32" s="255"/>
      <c r="HI32" s="255"/>
      <c r="HJ32" s="255"/>
      <c r="HK32" s="255"/>
      <c r="HL32" s="255"/>
      <c r="HM32" s="255"/>
      <c r="HN32" s="255"/>
      <c r="HO32" s="255"/>
      <c r="HP32" s="255"/>
      <c r="HQ32" s="255"/>
      <c r="HR32" s="255"/>
      <c r="HS32" s="255"/>
      <c r="HT32" s="255"/>
      <c r="HU32" s="255"/>
      <c r="HV32" s="255"/>
      <c r="HW32" s="255"/>
      <c r="HX32" s="255"/>
      <c r="HY32" s="255"/>
      <c r="HZ32" s="255"/>
      <c r="IA32" s="255"/>
      <c r="IB32" s="255"/>
      <c r="IC32" s="255"/>
      <c r="ID32" s="255"/>
      <c r="IE32" s="255"/>
      <c r="IF32" s="255"/>
      <c r="IG32" s="255"/>
      <c r="IH32" s="255"/>
      <c r="II32" s="255"/>
      <c r="IJ32" s="255"/>
      <c r="IK32" s="255"/>
      <c r="IL32" s="255"/>
      <c r="IM32" s="255"/>
      <c r="IN32" s="255"/>
      <c r="IO32" s="255"/>
      <c r="IP32" s="255"/>
      <c r="IQ32" s="255"/>
      <c r="IR32" s="255"/>
      <c r="IS32" s="255"/>
      <c r="IT32" s="255"/>
      <c r="IU32" s="255"/>
      <c r="IV32" s="255"/>
      <c r="IW32" s="255"/>
      <c r="IX32" s="255"/>
      <c r="IY32" s="255"/>
      <c r="IZ32" s="255"/>
      <c r="JA32" s="255"/>
      <c r="JB32" s="255"/>
      <c r="JC32" s="255"/>
      <c r="JD32" s="255"/>
      <c r="JE32" s="255"/>
      <c r="JF32" s="255"/>
      <c r="JG32" s="255"/>
      <c r="JH32" s="255"/>
      <c r="JI32" s="255"/>
      <c r="JJ32" s="255"/>
      <c r="JK32" s="255"/>
      <c r="JL32" s="255"/>
      <c r="JM32" s="255"/>
      <c r="JN32" s="255"/>
      <c r="JO32" s="255"/>
      <c r="JP32" s="255"/>
      <c r="JQ32" s="255"/>
      <c r="JR32" s="255"/>
      <c r="JS32" s="255"/>
      <c r="JT32" s="255"/>
      <c r="JU32" s="255"/>
      <c r="JV32" s="255"/>
      <c r="JW32" s="255"/>
      <c r="JX32" s="255"/>
      <c r="JY32" s="255"/>
      <c r="JZ32" s="255"/>
      <c r="KA32" s="255"/>
      <c r="KB32" s="255"/>
      <c r="KC32" s="255"/>
      <c r="KD32" s="255"/>
      <c r="KE32" s="255"/>
      <c r="KF32" s="255"/>
      <c r="KG32" s="255"/>
      <c r="KH32" s="255"/>
      <c r="KI32" s="255"/>
      <c r="KJ32" s="255"/>
      <c r="KK32" s="255"/>
      <c r="KL32" s="255"/>
      <c r="KM32" s="255"/>
      <c r="KN32" s="255"/>
      <c r="KO32" s="255"/>
      <c r="KP32" s="255"/>
      <c r="KQ32" s="255"/>
      <c r="KR32" s="255"/>
      <c r="KS32" s="255"/>
      <c r="KT32" s="255"/>
      <c r="KU32" s="255"/>
      <c r="KV32" s="255"/>
      <c r="KW32" s="255"/>
      <c r="KX32" s="255"/>
      <c r="KY32" s="255"/>
      <c r="KZ32" s="255"/>
      <c r="LA32" s="255"/>
      <c r="LB32" s="255"/>
      <c r="LC32" s="255"/>
      <c r="LD32" s="255"/>
      <c r="LE32" s="255"/>
      <c r="LF32" s="255"/>
      <c r="LG32" s="255"/>
      <c r="LH32" s="255"/>
      <c r="LI32" s="255"/>
      <c r="LJ32" s="255"/>
      <c r="LK32" s="255"/>
      <c r="LL32" s="255"/>
      <c r="LM32" s="255"/>
      <c r="LN32" s="255"/>
      <c r="LO32" s="255"/>
      <c r="LP32" s="255"/>
      <c r="LQ32" s="255"/>
      <c r="LR32" s="255"/>
      <c r="LS32" s="255"/>
      <c r="LT32" s="255"/>
      <c r="LU32" s="255"/>
      <c r="LV32" s="255"/>
      <c r="LW32" s="255"/>
      <c r="LX32" s="255"/>
      <c r="LY32" s="255"/>
      <c r="LZ32" s="255"/>
      <c r="MA32" s="255"/>
      <c r="MB32" s="255"/>
      <c r="MC32" s="255"/>
      <c r="MD32" s="255"/>
      <c r="ME32" s="255"/>
      <c r="MF32" s="255"/>
      <c r="MG32" s="255"/>
      <c r="MH32" s="255"/>
      <c r="MI32" s="255"/>
      <c r="MJ32" s="255"/>
      <c r="MK32" s="255"/>
      <c r="ML32" s="255"/>
      <c r="MM32" s="255"/>
      <c r="MN32" s="255"/>
      <c r="MO32" s="255"/>
      <c r="MP32" s="255"/>
      <c r="MQ32" s="255"/>
      <c r="MR32" s="255"/>
      <c r="MS32" s="255"/>
      <c r="MT32" s="255"/>
      <c r="MU32" s="255"/>
      <c r="MV32" s="255"/>
      <c r="MW32" s="255"/>
      <c r="MX32" s="255"/>
      <c r="MY32" s="255"/>
      <c r="MZ32" s="255"/>
      <c r="NA32" s="255"/>
      <c r="NB32" s="255"/>
      <c r="NC32" s="255"/>
      <c r="ND32" s="255"/>
      <c r="NE32" s="255"/>
      <c r="NF32" s="255"/>
      <c r="NG32" s="255"/>
      <c r="NH32" s="255"/>
      <c r="NI32" s="255"/>
      <c r="NJ32" s="255"/>
      <c r="NK32" s="255"/>
      <c r="NL32" s="255"/>
      <c r="NM32" s="255"/>
      <c r="NN32" s="255"/>
      <c r="NO32" s="255"/>
      <c r="NP32" s="255"/>
      <c r="NQ32" s="255"/>
      <c r="NR32" s="255"/>
      <c r="NS32" s="255"/>
      <c r="NT32" s="255"/>
      <c r="NU32" s="255"/>
      <c r="NV32" s="255"/>
      <c r="NW32" s="255"/>
      <c r="NX32" s="255"/>
      <c r="NY32" s="255"/>
      <c r="NZ32" s="255"/>
      <c r="OA32" s="255"/>
      <c r="OB32" s="255"/>
      <c r="OC32" s="255"/>
      <c r="OD32" s="255"/>
      <c r="OE32" s="255"/>
      <c r="OF32" s="255"/>
      <c r="OG32" s="255"/>
      <c r="OH32" s="255"/>
      <c r="OI32" s="255"/>
      <c r="OJ32" s="255"/>
      <c r="OK32" s="255"/>
      <c r="OL32" s="255"/>
      <c r="OM32" s="255"/>
      <c r="ON32" s="255"/>
      <c r="OO32" s="255"/>
      <c r="OP32" s="255"/>
      <c r="OQ32" s="255"/>
      <c r="OR32" s="255"/>
      <c r="OS32" s="255"/>
      <c r="OT32" s="255"/>
      <c r="OU32" s="255"/>
      <c r="OV32" s="255"/>
      <c r="OW32" s="255"/>
      <c r="OX32" s="255"/>
      <c r="OY32" s="255"/>
      <c r="OZ32" s="255"/>
      <c r="PA32" s="255"/>
      <c r="PB32" s="255"/>
      <c r="PC32" s="255"/>
      <c r="PD32" s="255"/>
      <c r="PE32" s="255"/>
      <c r="PF32" s="255"/>
      <c r="PG32" s="255"/>
      <c r="PH32" s="255"/>
      <c r="PI32" s="255"/>
      <c r="PJ32" s="255"/>
      <c r="PK32" s="255"/>
      <c r="PL32" s="255"/>
      <c r="PM32" s="255"/>
      <c r="PN32" s="255"/>
      <c r="PO32" s="255"/>
      <c r="PP32" s="255"/>
      <c r="PQ32" s="255"/>
      <c r="PR32" s="255"/>
      <c r="PS32" s="255"/>
      <c r="PT32" s="255"/>
      <c r="PU32" s="255"/>
      <c r="PV32" s="255"/>
      <c r="PW32" s="255"/>
      <c r="PX32" s="255"/>
      <c r="PY32" s="255"/>
      <c r="PZ32" s="255"/>
      <c r="QA32" s="255"/>
      <c r="QB32" s="255"/>
      <c r="QC32" s="255"/>
      <c r="QD32" s="255"/>
      <c r="QE32" s="255"/>
      <c r="QF32" s="255"/>
      <c r="QG32" s="255"/>
      <c r="QH32" s="255"/>
      <c r="QI32" s="255"/>
      <c r="QJ32" s="255"/>
      <c r="QK32" s="255"/>
      <c r="QL32" s="255"/>
      <c r="QM32" s="255"/>
      <c r="QN32" s="255"/>
      <c r="QO32" s="255"/>
      <c r="QP32" s="255"/>
      <c r="QQ32" s="255"/>
      <c r="QR32" s="255"/>
      <c r="QS32" s="255"/>
      <c r="QT32" s="255"/>
      <c r="QU32" s="255"/>
      <c r="QV32" s="255"/>
      <c r="QW32" s="255"/>
      <c r="QX32" s="255"/>
      <c r="QY32" s="255"/>
      <c r="QZ32" s="255"/>
      <c r="RA32" s="255"/>
      <c r="RB32" s="255"/>
      <c r="RC32" s="255"/>
      <c r="RD32" s="255"/>
      <c r="RE32" s="255"/>
      <c r="RF32" s="255"/>
      <c r="RG32" s="255"/>
      <c r="RH32" s="255"/>
      <c r="RI32" s="255"/>
      <c r="RJ32" s="255"/>
      <c r="RK32" s="255"/>
      <c r="RL32" s="255"/>
      <c r="RM32" s="255"/>
      <c r="RN32" s="255"/>
      <c r="RO32" s="255"/>
      <c r="RP32" s="255"/>
      <c r="RQ32" s="255"/>
      <c r="RR32" s="255"/>
      <c r="RS32" s="255"/>
      <c r="RT32" s="255"/>
      <c r="RU32" s="255"/>
      <c r="RV32" s="255"/>
      <c r="RW32" s="255"/>
      <c r="RX32" s="255"/>
      <c r="RY32" s="255"/>
      <c r="RZ32" s="255"/>
      <c r="SA32" s="255"/>
      <c r="SB32" s="255"/>
      <c r="SC32" s="255"/>
      <c r="SD32" s="255"/>
      <c r="SE32" s="255"/>
      <c r="SF32" s="255"/>
      <c r="SG32" s="255"/>
      <c r="SH32" s="255"/>
      <c r="SI32" s="255"/>
      <c r="SJ32" s="255"/>
      <c r="SK32" s="255"/>
      <c r="SL32" s="255"/>
      <c r="SM32" s="255"/>
      <c r="SN32" s="255"/>
      <c r="SO32" s="255"/>
      <c r="SP32" s="255"/>
      <c r="SQ32" s="255"/>
      <c r="SR32" s="255"/>
      <c r="SS32" s="255"/>
      <c r="ST32" s="255"/>
      <c r="SU32" s="255"/>
      <c r="SV32" s="255"/>
      <c r="SW32" s="255"/>
      <c r="SX32" s="255"/>
      <c r="SY32" s="255"/>
      <c r="SZ32" s="255"/>
      <c r="TA32" s="255"/>
      <c r="TB32" s="255"/>
      <c r="TC32" s="255"/>
      <c r="TD32" s="255"/>
      <c r="TE32" s="255"/>
      <c r="TF32" s="255"/>
      <c r="TG32" s="255"/>
      <c r="TH32" s="255"/>
      <c r="TI32" s="255"/>
      <c r="TJ32" s="255"/>
      <c r="TK32" s="255"/>
      <c r="TL32" s="255"/>
      <c r="TM32" s="255"/>
      <c r="TN32" s="255"/>
      <c r="TO32" s="255"/>
      <c r="TP32" s="255"/>
      <c r="TQ32" s="255"/>
      <c r="TR32" s="255"/>
      <c r="TS32" s="255"/>
      <c r="TT32" s="255"/>
      <c r="TU32" s="255"/>
      <c r="TV32" s="255"/>
      <c r="TW32" s="255"/>
      <c r="TX32" s="255"/>
      <c r="TY32" s="255"/>
      <c r="TZ32" s="255"/>
      <c r="UA32" s="255"/>
      <c r="UB32" s="255"/>
      <c r="UC32" s="255"/>
      <c r="UD32" s="255"/>
      <c r="UE32" s="255"/>
      <c r="UF32" s="255"/>
      <c r="UG32" s="255"/>
      <c r="UH32" s="255"/>
      <c r="UI32" s="255"/>
      <c r="UJ32" s="255"/>
      <c r="UK32" s="255"/>
      <c r="UL32" s="255"/>
      <c r="UM32" s="255"/>
      <c r="UN32" s="255"/>
      <c r="UO32" s="255"/>
      <c r="UP32" s="255"/>
      <c r="UQ32" s="255"/>
      <c r="UR32" s="255"/>
      <c r="US32" s="255"/>
      <c r="UT32" s="255"/>
      <c r="UU32" s="255"/>
      <c r="UV32" s="255"/>
      <c r="UW32" s="255"/>
      <c r="UX32" s="255"/>
      <c r="UY32" s="255"/>
      <c r="UZ32" s="255"/>
      <c r="VA32" s="255"/>
      <c r="VB32" s="255"/>
      <c r="VC32" s="255"/>
      <c r="VD32" s="255"/>
      <c r="VE32" s="255"/>
      <c r="VF32" s="255"/>
      <c r="VG32" s="255"/>
      <c r="VH32" s="255"/>
      <c r="VI32" s="255"/>
      <c r="VJ32" s="255"/>
      <c r="VK32" s="255"/>
      <c r="VL32" s="255"/>
      <c r="VM32" s="255"/>
      <c r="VN32" s="255"/>
      <c r="VO32" s="255"/>
      <c r="VP32" s="255"/>
      <c r="VQ32" s="255"/>
      <c r="VR32" s="255"/>
      <c r="VS32" s="255"/>
      <c r="VT32" s="255"/>
      <c r="VU32" s="255"/>
      <c r="VV32" s="255"/>
      <c r="VW32" s="255"/>
      <c r="VX32" s="255"/>
      <c r="VY32" s="255"/>
      <c r="VZ32" s="255"/>
      <c r="WA32" s="255"/>
      <c r="WB32" s="255"/>
      <c r="WC32" s="255"/>
      <c r="WD32" s="255"/>
      <c r="WE32" s="255"/>
      <c r="WF32" s="255"/>
      <c r="WG32" s="255"/>
      <c r="WH32" s="255"/>
      <c r="WI32" s="255"/>
      <c r="WJ32" s="255"/>
      <c r="WK32" s="255"/>
      <c r="WL32" s="255"/>
      <c r="WM32" s="255"/>
      <c r="WN32" s="255"/>
      <c r="WO32" s="255"/>
      <c r="WP32" s="255"/>
      <c r="WQ32" s="255"/>
      <c r="WR32" s="255"/>
      <c r="WS32" s="255"/>
      <c r="WT32" s="255"/>
      <c r="WU32" s="255"/>
      <c r="WV32" s="255"/>
      <c r="WW32" s="255"/>
      <c r="WX32" s="255"/>
      <c r="WY32" s="255"/>
      <c r="WZ32" s="255"/>
      <c r="XA32" s="255"/>
      <c r="XB32" s="255"/>
      <c r="XC32" s="255"/>
      <c r="XD32" s="255"/>
      <c r="XE32" s="255"/>
      <c r="XF32" s="255"/>
      <c r="XG32" s="255"/>
      <c r="XH32" s="255"/>
      <c r="XI32" s="255"/>
      <c r="XJ32" s="255"/>
      <c r="XK32" s="255"/>
      <c r="XL32" s="255"/>
      <c r="XM32" s="255"/>
      <c r="XN32" s="255"/>
      <c r="XO32" s="255"/>
      <c r="XP32" s="255"/>
      <c r="XQ32" s="255"/>
      <c r="XR32" s="255"/>
      <c r="XS32" s="255"/>
      <c r="XT32" s="255"/>
      <c r="XU32" s="255"/>
      <c r="XV32" s="255"/>
      <c r="XW32" s="255"/>
      <c r="XX32" s="255"/>
      <c r="XY32" s="255"/>
      <c r="XZ32" s="255"/>
      <c r="YA32" s="255"/>
      <c r="YB32" s="255"/>
      <c r="YC32" s="255"/>
      <c r="YD32" s="255"/>
      <c r="YE32" s="255"/>
      <c r="YF32" s="255"/>
      <c r="YG32" s="255"/>
      <c r="YH32" s="255"/>
      <c r="YI32" s="255"/>
      <c r="YJ32" s="255"/>
      <c r="YK32" s="255"/>
      <c r="YL32" s="255"/>
      <c r="YM32" s="255"/>
      <c r="YN32" s="255"/>
      <c r="YO32" s="255"/>
      <c r="YP32" s="255"/>
      <c r="YQ32" s="255"/>
      <c r="YR32" s="255"/>
      <c r="YS32" s="255"/>
      <c r="YT32" s="255"/>
      <c r="YU32" s="255"/>
      <c r="YV32" s="255"/>
      <c r="YW32" s="255"/>
      <c r="YX32" s="255"/>
      <c r="YY32" s="255"/>
      <c r="YZ32" s="255"/>
      <c r="ZA32" s="255"/>
      <c r="ZB32" s="255"/>
      <c r="ZC32" s="255"/>
      <c r="ZD32" s="255"/>
      <c r="ZE32" s="255"/>
      <c r="ZF32" s="255"/>
      <c r="ZG32" s="255"/>
      <c r="ZH32" s="255"/>
      <c r="ZI32" s="255"/>
      <c r="ZJ32" s="255"/>
      <c r="ZK32" s="255"/>
      <c r="ZL32" s="255"/>
      <c r="ZM32" s="255"/>
      <c r="ZN32" s="255"/>
      <c r="ZO32" s="255"/>
      <c r="ZP32" s="255"/>
      <c r="ZQ32" s="255"/>
      <c r="ZR32" s="255"/>
      <c r="ZS32" s="255"/>
      <c r="ZT32" s="255"/>
      <c r="ZU32" s="255"/>
      <c r="ZV32" s="255"/>
      <c r="ZW32" s="255"/>
      <c r="ZX32" s="255"/>
      <c r="ZY32" s="255"/>
      <c r="ZZ32" s="255"/>
      <c r="AAA32" s="255"/>
      <c r="AAB32" s="255"/>
      <c r="AAC32" s="255"/>
      <c r="AAD32" s="255"/>
      <c r="AAE32" s="255"/>
      <c r="AAF32" s="255"/>
      <c r="AAG32" s="255"/>
      <c r="AAH32" s="255"/>
      <c r="AAI32" s="255"/>
      <c r="AAJ32" s="255"/>
      <c r="AAK32" s="255"/>
      <c r="AAL32" s="255"/>
      <c r="AAM32" s="255"/>
      <c r="AAN32" s="255"/>
      <c r="AAO32" s="255"/>
      <c r="AAP32" s="255"/>
      <c r="AAQ32" s="255"/>
      <c r="AAR32" s="255"/>
      <c r="AAS32" s="255"/>
      <c r="AAT32" s="255"/>
      <c r="AAU32" s="255"/>
      <c r="AAV32" s="255"/>
      <c r="AAW32" s="255"/>
      <c r="AAX32" s="255"/>
      <c r="AAY32" s="255"/>
      <c r="AAZ32" s="255"/>
      <c r="ABA32" s="255"/>
      <c r="ABB32" s="255"/>
      <c r="ABC32" s="255"/>
      <c r="ABD32" s="255"/>
      <c r="ABE32" s="255"/>
      <c r="ABF32" s="255"/>
      <c r="ABG32" s="255"/>
      <c r="ABH32" s="255"/>
      <c r="ABI32" s="255"/>
      <c r="ABJ32" s="255"/>
      <c r="ABK32" s="255"/>
      <c r="ABL32" s="255"/>
      <c r="ABM32" s="255"/>
      <c r="ABN32" s="255"/>
      <c r="ABO32" s="255"/>
      <c r="ABP32" s="255"/>
      <c r="ABQ32" s="255"/>
      <c r="ABR32" s="255"/>
      <c r="ABS32" s="255"/>
      <c r="ABT32" s="255"/>
      <c r="ABU32" s="255"/>
      <c r="ABV32" s="255"/>
      <c r="ABW32" s="255"/>
      <c r="ABX32" s="255"/>
      <c r="ABY32" s="255"/>
      <c r="ABZ32" s="255"/>
      <c r="ACA32" s="255"/>
      <c r="ACB32" s="255"/>
      <c r="ACC32" s="255"/>
      <c r="ACD32" s="255"/>
      <c r="ACE32" s="255"/>
      <c r="ACF32" s="255"/>
      <c r="ACG32" s="255"/>
      <c r="ACH32" s="255"/>
      <c r="ACI32" s="255"/>
      <c r="ACJ32" s="255"/>
      <c r="ACK32" s="255"/>
      <c r="ACL32" s="255"/>
      <c r="ACM32" s="255"/>
      <c r="ACN32" s="255"/>
      <c r="ACO32" s="255"/>
      <c r="ACP32" s="255"/>
      <c r="ACQ32" s="255"/>
      <c r="ACR32" s="255"/>
      <c r="ACS32" s="255"/>
      <c r="ACT32" s="255"/>
      <c r="ACU32" s="255"/>
      <c r="ACV32" s="255"/>
      <c r="ACW32" s="255"/>
      <c r="ACX32" s="255"/>
      <c r="ACY32" s="255"/>
      <c r="ACZ32" s="255"/>
      <c r="ADA32" s="255"/>
      <c r="ADB32" s="255"/>
      <c r="ADC32" s="255"/>
      <c r="ADD32" s="255"/>
      <c r="ADE32" s="255"/>
      <c r="ADF32" s="255"/>
      <c r="ADG32" s="255"/>
      <c r="ADH32" s="255"/>
      <c r="ADI32" s="255"/>
      <c r="ADJ32" s="255"/>
      <c r="ADK32" s="255"/>
      <c r="ADL32" s="255"/>
      <c r="ADM32" s="255"/>
      <c r="ADN32" s="255"/>
      <c r="ADO32" s="255"/>
      <c r="ADP32" s="255"/>
      <c r="ADQ32" s="255"/>
      <c r="ADR32" s="255"/>
      <c r="ADS32" s="255"/>
      <c r="ADT32" s="255"/>
      <c r="ADU32" s="255"/>
      <c r="ADV32" s="255"/>
      <c r="ADW32" s="255"/>
      <c r="ADX32" s="255"/>
      <c r="ADY32" s="255"/>
      <c r="ADZ32" s="255"/>
      <c r="AEA32" s="255"/>
      <c r="AEB32" s="255"/>
      <c r="AEC32" s="255"/>
      <c r="AED32" s="255"/>
      <c r="AEE32" s="255"/>
      <c r="AEF32" s="255"/>
      <c r="AEG32" s="255"/>
      <c r="AEH32" s="255"/>
      <c r="AEI32" s="255"/>
      <c r="AEJ32" s="255"/>
      <c r="AEK32" s="255"/>
      <c r="AEL32" s="255"/>
      <c r="AEM32" s="255"/>
      <c r="AEN32" s="255"/>
      <c r="AEO32" s="255"/>
      <c r="AEP32" s="255"/>
      <c r="AEQ32" s="255"/>
      <c r="AER32" s="255"/>
      <c r="AES32" s="255"/>
      <c r="AET32" s="255"/>
      <c r="AEU32" s="255"/>
      <c r="AEV32" s="255"/>
      <c r="AEW32" s="255"/>
      <c r="AEX32" s="255"/>
      <c r="AEY32" s="255"/>
      <c r="AEZ32" s="255"/>
      <c r="AFA32" s="255"/>
      <c r="AFB32" s="255"/>
      <c r="AFC32" s="255"/>
      <c r="AFD32" s="255"/>
      <c r="AFE32" s="255"/>
      <c r="AFF32" s="255"/>
      <c r="AFG32" s="255"/>
      <c r="AFH32" s="255"/>
      <c r="AFI32" s="255"/>
      <c r="AFJ32" s="255"/>
      <c r="AFK32" s="255"/>
      <c r="AFL32" s="255"/>
      <c r="AFM32" s="255"/>
      <c r="AFN32" s="255"/>
      <c r="AFO32" s="255"/>
      <c r="AFP32" s="255"/>
      <c r="AFQ32" s="255"/>
      <c r="AFR32" s="255"/>
      <c r="AFS32" s="255"/>
      <c r="AFT32" s="255"/>
      <c r="AFU32" s="255"/>
      <c r="AFV32" s="255"/>
      <c r="AFW32" s="255"/>
      <c r="AFX32" s="255"/>
      <c r="AFY32" s="255"/>
      <c r="AFZ32" s="255"/>
      <c r="AGA32" s="255"/>
      <c r="AGB32" s="255"/>
      <c r="AGC32" s="255"/>
      <c r="AGD32" s="255"/>
      <c r="AGE32" s="255"/>
      <c r="AGF32" s="255"/>
      <c r="AGG32" s="255"/>
      <c r="AGH32" s="255"/>
      <c r="AGI32" s="255"/>
      <c r="AGJ32" s="255"/>
      <c r="AGK32" s="255"/>
      <c r="AGL32" s="255"/>
      <c r="AGM32" s="255"/>
      <c r="AGN32" s="255"/>
      <c r="AGO32" s="255"/>
      <c r="AGP32" s="255"/>
      <c r="AGQ32" s="255"/>
      <c r="AGR32" s="255"/>
      <c r="AGS32" s="255"/>
      <c r="AGT32" s="255"/>
      <c r="AGU32" s="255"/>
      <c r="AGV32" s="255"/>
      <c r="AGW32" s="255"/>
      <c r="AGX32" s="255"/>
      <c r="AGY32" s="255"/>
      <c r="AGZ32" s="255"/>
      <c r="AHA32" s="255"/>
      <c r="AHB32" s="255"/>
      <c r="AHC32" s="255"/>
      <c r="AHD32" s="255"/>
      <c r="AHE32" s="255"/>
      <c r="AHF32" s="255"/>
      <c r="AHG32" s="255"/>
      <c r="AHH32" s="255"/>
      <c r="AHI32" s="255"/>
      <c r="AHJ32" s="255"/>
      <c r="AHK32" s="255"/>
      <c r="AHL32" s="255"/>
      <c r="AHM32" s="255"/>
      <c r="AHN32" s="255"/>
      <c r="AHO32" s="255"/>
      <c r="AHP32" s="255"/>
      <c r="AHQ32" s="255"/>
      <c r="AHR32" s="255"/>
      <c r="AHS32" s="255"/>
      <c r="AHT32" s="255"/>
      <c r="AHU32" s="255"/>
      <c r="AHV32" s="255"/>
      <c r="AHW32" s="255"/>
      <c r="AHX32" s="255"/>
      <c r="AHY32" s="255"/>
      <c r="AHZ32" s="255"/>
      <c r="AIA32" s="255"/>
      <c r="AIB32" s="255"/>
      <c r="AIC32" s="255"/>
      <c r="AID32" s="255"/>
      <c r="AIE32" s="255"/>
      <c r="AIF32" s="255"/>
      <c r="AIG32" s="255"/>
      <c r="AIH32" s="255"/>
      <c r="AII32" s="255"/>
      <c r="AIJ32" s="255"/>
      <c r="AIK32" s="255"/>
      <c r="AIL32" s="255"/>
      <c r="AIM32" s="255"/>
      <c r="AIN32" s="255"/>
      <c r="AIO32" s="255"/>
      <c r="AIP32" s="255"/>
      <c r="AIQ32" s="255"/>
      <c r="AIR32" s="255"/>
      <c r="AIS32" s="255"/>
      <c r="AIT32" s="255"/>
      <c r="AIU32" s="255"/>
      <c r="AIV32" s="255"/>
      <c r="AIW32" s="255"/>
      <c r="AIX32" s="255"/>
      <c r="AIY32" s="255"/>
      <c r="AIZ32" s="255"/>
      <c r="AJA32" s="255"/>
      <c r="AJB32" s="255"/>
      <c r="AJC32" s="255"/>
      <c r="AJD32" s="255"/>
      <c r="AJE32" s="255"/>
      <c r="AJF32" s="255"/>
      <c r="AJG32" s="255"/>
      <c r="AJH32" s="255"/>
      <c r="AJI32" s="255"/>
      <c r="AJJ32" s="255"/>
      <c r="AJK32" s="255"/>
      <c r="AJL32" s="255"/>
      <c r="AJM32" s="255"/>
      <c r="AJN32" s="255"/>
      <c r="AJO32" s="255"/>
      <c r="AJP32" s="255"/>
      <c r="AJQ32" s="255"/>
      <c r="AJR32" s="255"/>
      <c r="AJS32" s="255"/>
      <c r="AJT32" s="255"/>
      <c r="AJU32" s="255"/>
      <c r="AJV32" s="255"/>
      <c r="AJW32" s="255"/>
      <c r="AJX32" s="255"/>
      <c r="AJY32" s="255"/>
      <c r="AJZ32" s="255"/>
      <c r="AKA32" s="255"/>
      <c r="AKB32" s="255"/>
      <c r="AKC32" s="255"/>
      <c r="AKD32" s="255"/>
      <c r="AKE32" s="255"/>
      <c r="AKF32" s="255"/>
      <c r="AKG32" s="255"/>
      <c r="AKH32" s="255"/>
      <c r="AKI32" s="255"/>
      <c r="AKJ32" s="255"/>
      <c r="AKK32" s="255"/>
      <c r="AKL32" s="255"/>
      <c r="AKM32" s="255"/>
      <c r="AKN32" s="255"/>
      <c r="AKO32" s="255"/>
      <c r="AKP32" s="255"/>
      <c r="AKQ32" s="255"/>
      <c r="AKR32" s="255"/>
      <c r="AKS32" s="255"/>
      <c r="AKT32" s="255"/>
      <c r="AKU32" s="255"/>
      <c r="AKV32" s="255"/>
      <c r="AKW32" s="255"/>
      <c r="AKX32" s="255"/>
      <c r="AKY32" s="255"/>
      <c r="AKZ32" s="255"/>
      <c r="ALA32" s="255"/>
      <c r="ALB32" s="255"/>
      <c r="ALC32" s="255"/>
      <c r="ALD32" s="255"/>
      <c r="ALE32" s="255"/>
      <c r="ALF32" s="255"/>
      <c r="ALG32" s="255"/>
      <c r="ALH32" s="255"/>
      <c r="ALI32" s="255"/>
      <c r="ALJ32" s="255"/>
      <c r="ALK32" s="255"/>
      <c r="ALL32" s="42"/>
      <c r="ALM32" s="42"/>
      <c r="ALN32" s="42"/>
      <c r="ALO32" s="42"/>
      <c r="ALP32" s="42"/>
      <c r="ALQ32" s="42"/>
      <c r="ALR32" s="42"/>
      <c r="ALS32" s="42"/>
      <c r="ALT32" s="42"/>
    </row>
    <row r="33" spans="1:1008" s="191" customFormat="1">
      <c r="A33" s="251" t="s">
        <v>6307</v>
      </c>
      <c r="B33" s="328">
        <v>369</v>
      </c>
      <c r="C33" s="329" t="str">
        <f>(IF($A33="SINAPI",INDEX(SINAPI_NOV2020_NDES!$A$7:$H$6703,MATCH($B33,SINAPI_NOV2020_NDES!$A$7:$A$6703,0),2),IF($A33="GOINFRA",INDEX(#REF!,MATCH($B33,#REF!,0),2),(INDEX(COMPOS!$A$4:$G$3900,MATCH($B33,COMPOS!$A$4:A$3900,0),2)))))</f>
        <v>LANÇAMENTO/APLICAÇÃO/ADENSAMENTO DE CONCRETO EM FUNDAÇÃO- (O.C.)</v>
      </c>
      <c r="D33" s="274" t="str">
        <f>(IF($A33="SINAPI",INDEX(SINAPI_NOV2020_NDES!$A$7:$H$6790,MATCH($B33,SINAPI_NOV2020_NDES!$A$7:$A$6790,0),3),(INDEX(COMPOS!$A$4:$G$5000,MATCH($B33,COMPOS!$A$4:$A$5000,0),3))))</f>
        <v>M3</v>
      </c>
      <c r="E33" s="276">
        <v>1.46</v>
      </c>
      <c r="F33" s="279">
        <f>(IF($A33="SINAPI",INDEX(SINAPI_NOV2020_NDES!$A$7:$H$6703,MATCH($B33,SINAPI_NOV2020_NDES!$A$7:$A$6703,0),5),(INDEX(COMPOS!$A$4:$G$801,MATCH($B33,COMPOS!$A$4:A$801,0),4))))</f>
        <v>43.226987999999999</v>
      </c>
      <c r="G33" s="280">
        <f>(IF($A33="SINAPI",INDEX(SINAPI_NOV2020_NDES!$A$7:$H$6703,MATCH($B33,SINAPI_NOV2020_NDES!$A$7:$A$6703,0),6),(INDEX(COMPOS!$A$4:$G$801,MATCH($B33,COMPOS!$A$4:A$801,0),5))))</f>
        <v>7.6725000000000002E-2</v>
      </c>
      <c r="H33" s="280">
        <f>(IF($A33="SINAPI",INDEX(SINAPI_NOV2020_NDES!$A$7:$H$6703,MATCH($B33,SINAPI_NOV2020_NDES!$A$7:$A$6703,0),7),(INDEX(COMPOS!$A$4:$G$801,MATCH($B33,COMPOS!$A$4:A$801,0),6))))</f>
        <v>0</v>
      </c>
      <c r="I33" s="279">
        <f t="shared" si="10"/>
        <v>43.303713000000002</v>
      </c>
      <c r="J33" s="276">
        <f t="shared" si="11"/>
        <v>63.22342098</v>
      </c>
      <c r="K33" s="255"/>
      <c r="L33" s="255"/>
      <c r="M33" s="255"/>
      <c r="N33" s="255"/>
      <c r="O33" s="257"/>
      <c r="P33" s="223"/>
      <c r="Q33" s="255"/>
      <c r="R33" s="255"/>
      <c r="S33" s="255"/>
      <c r="T33" s="255"/>
      <c r="U33" s="255"/>
      <c r="V33" s="255"/>
      <c r="W33" s="255"/>
      <c r="X33" s="255"/>
      <c r="Y33" s="255"/>
      <c r="Z33" s="255"/>
      <c r="AA33" s="255"/>
      <c r="AB33" s="255"/>
      <c r="AC33" s="255"/>
      <c r="AD33" s="255"/>
      <c r="AE33" s="255"/>
      <c r="AF33" s="255"/>
      <c r="AG33" s="255"/>
      <c r="AH33" s="255"/>
      <c r="AI33" s="255"/>
      <c r="AJ33" s="255"/>
      <c r="AK33" s="255"/>
      <c r="AL33" s="255"/>
      <c r="AM33" s="255"/>
      <c r="AN33" s="255"/>
      <c r="AO33" s="255"/>
      <c r="AP33" s="255"/>
      <c r="AQ33" s="255"/>
      <c r="AR33" s="255"/>
      <c r="AS33" s="255"/>
      <c r="AT33" s="255"/>
      <c r="AU33" s="255"/>
      <c r="AV33" s="255"/>
      <c r="AW33" s="255"/>
      <c r="AX33" s="255"/>
      <c r="AY33" s="255"/>
      <c r="AZ33" s="255"/>
      <c r="BA33" s="255"/>
      <c r="BB33" s="255"/>
      <c r="BC33" s="255"/>
      <c r="BD33" s="255"/>
      <c r="BE33" s="255"/>
      <c r="BF33" s="255"/>
      <c r="BG33" s="255"/>
      <c r="BH33" s="255"/>
      <c r="BI33" s="255"/>
      <c r="BJ33" s="255"/>
      <c r="BK33" s="255"/>
      <c r="BL33" s="255"/>
      <c r="BM33" s="255"/>
      <c r="BN33" s="255"/>
      <c r="BO33" s="255"/>
      <c r="BP33" s="255"/>
      <c r="BQ33" s="255"/>
      <c r="BR33" s="255"/>
      <c r="BS33" s="255"/>
      <c r="BT33" s="255"/>
      <c r="BU33" s="255"/>
      <c r="BV33" s="255"/>
      <c r="BW33" s="255"/>
      <c r="BX33" s="255"/>
      <c r="BY33" s="255"/>
      <c r="BZ33" s="255"/>
      <c r="CA33" s="255"/>
      <c r="CB33" s="255"/>
      <c r="CC33" s="255"/>
      <c r="CD33" s="255"/>
      <c r="CE33" s="255"/>
      <c r="CF33" s="255"/>
      <c r="CG33" s="255"/>
      <c r="CH33" s="255"/>
      <c r="CI33" s="255"/>
      <c r="CJ33" s="255"/>
      <c r="CK33" s="255"/>
      <c r="CL33" s="255"/>
      <c r="CM33" s="255"/>
      <c r="CN33" s="255"/>
      <c r="CO33" s="255"/>
      <c r="CP33" s="255"/>
      <c r="CQ33" s="255"/>
      <c r="CR33" s="255"/>
      <c r="CS33" s="255"/>
      <c r="CT33" s="255"/>
      <c r="CU33" s="255"/>
      <c r="CV33" s="255"/>
      <c r="CW33" s="255"/>
      <c r="CX33" s="255"/>
      <c r="CY33" s="255"/>
      <c r="CZ33" s="255"/>
      <c r="DA33" s="255"/>
      <c r="DB33" s="255"/>
      <c r="DC33" s="255"/>
      <c r="DD33" s="255"/>
      <c r="DE33" s="255"/>
      <c r="DF33" s="255"/>
      <c r="DG33" s="255"/>
      <c r="DH33" s="255"/>
      <c r="DI33" s="255"/>
      <c r="DJ33" s="255"/>
      <c r="DK33" s="255"/>
      <c r="DL33" s="255"/>
      <c r="DM33" s="255"/>
      <c r="DN33" s="255"/>
      <c r="DO33" s="255"/>
      <c r="DP33" s="255"/>
      <c r="DQ33" s="255"/>
      <c r="DR33" s="255"/>
      <c r="DS33" s="255"/>
      <c r="DT33" s="255"/>
      <c r="DU33" s="255"/>
      <c r="DV33" s="255"/>
      <c r="DW33" s="255"/>
      <c r="DX33" s="255"/>
      <c r="DY33" s="255"/>
      <c r="DZ33" s="255"/>
      <c r="EA33" s="255"/>
      <c r="EB33" s="255"/>
      <c r="EC33" s="255"/>
      <c r="ED33" s="255"/>
      <c r="EE33" s="255"/>
      <c r="EF33" s="255"/>
      <c r="EG33" s="255"/>
      <c r="EH33" s="255"/>
      <c r="EI33" s="255"/>
      <c r="EJ33" s="255"/>
      <c r="EK33" s="255"/>
      <c r="EL33" s="255"/>
      <c r="EM33" s="255"/>
      <c r="EN33" s="255"/>
      <c r="EO33" s="255"/>
      <c r="EP33" s="255"/>
      <c r="EQ33" s="255"/>
      <c r="ER33" s="255"/>
      <c r="ES33" s="255"/>
      <c r="ET33" s="255"/>
      <c r="EU33" s="255"/>
      <c r="EV33" s="255"/>
      <c r="EW33" s="255"/>
      <c r="EX33" s="255"/>
      <c r="EY33" s="255"/>
      <c r="EZ33" s="255"/>
      <c r="FA33" s="255"/>
      <c r="FB33" s="255"/>
      <c r="FC33" s="255"/>
      <c r="FD33" s="255"/>
      <c r="FE33" s="255"/>
      <c r="FF33" s="255"/>
      <c r="FG33" s="255"/>
      <c r="FH33" s="255"/>
      <c r="FI33" s="255"/>
      <c r="FJ33" s="255"/>
      <c r="FK33" s="255"/>
      <c r="FL33" s="255"/>
      <c r="FM33" s="255"/>
      <c r="FN33" s="255"/>
      <c r="FO33" s="255"/>
      <c r="FP33" s="255"/>
      <c r="FQ33" s="255"/>
      <c r="FR33" s="255"/>
      <c r="FS33" s="255"/>
      <c r="FT33" s="255"/>
      <c r="FU33" s="255"/>
      <c r="FV33" s="255"/>
      <c r="FW33" s="255"/>
      <c r="FX33" s="255"/>
      <c r="FY33" s="255"/>
      <c r="FZ33" s="255"/>
      <c r="GA33" s="255"/>
      <c r="GB33" s="255"/>
      <c r="GC33" s="255"/>
      <c r="GD33" s="255"/>
      <c r="GE33" s="255"/>
      <c r="GF33" s="255"/>
      <c r="GG33" s="255"/>
      <c r="GH33" s="255"/>
      <c r="GI33" s="255"/>
      <c r="GJ33" s="255"/>
      <c r="GK33" s="255"/>
      <c r="GL33" s="255"/>
      <c r="GM33" s="255"/>
      <c r="GN33" s="255"/>
      <c r="GO33" s="255"/>
      <c r="GP33" s="255"/>
      <c r="GQ33" s="255"/>
      <c r="GR33" s="255"/>
      <c r="GS33" s="255"/>
      <c r="GT33" s="255"/>
      <c r="GU33" s="255"/>
      <c r="GV33" s="255"/>
      <c r="GW33" s="255"/>
      <c r="GX33" s="255"/>
      <c r="GY33" s="255"/>
      <c r="GZ33" s="255"/>
      <c r="HA33" s="255"/>
      <c r="HB33" s="255"/>
      <c r="HC33" s="255"/>
      <c r="HD33" s="255"/>
      <c r="HE33" s="255"/>
      <c r="HF33" s="255"/>
      <c r="HG33" s="255"/>
      <c r="HH33" s="255"/>
      <c r="HI33" s="255"/>
      <c r="HJ33" s="255"/>
      <c r="HK33" s="255"/>
      <c r="HL33" s="255"/>
      <c r="HM33" s="255"/>
      <c r="HN33" s="255"/>
      <c r="HO33" s="255"/>
      <c r="HP33" s="255"/>
      <c r="HQ33" s="255"/>
      <c r="HR33" s="255"/>
      <c r="HS33" s="255"/>
      <c r="HT33" s="255"/>
      <c r="HU33" s="255"/>
      <c r="HV33" s="255"/>
      <c r="HW33" s="255"/>
      <c r="HX33" s="255"/>
      <c r="HY33" s="255"/>
      <c r="HZ33" s="255"/>
      <c r="IA33" s="255"/>
      <c r="IB33" s="255"/>
      <c r="IC33" s="255"/>
      <c r="ID33" s="255"/>
      <c r="IE33" s="255"/>
      <c r="IF33" s="255"/>
      <c r="IG33" s="255"/>
      <c r="IH33" s="255"/>
      <c r="II33" s="255"/>
      <c r="IJ33" s="255"/>
      <c r="IK33" s="255"/>
      <c r="IL33" s="255"/>
      <c r="IM33" s="255"/>
      <c r="IN33" s="255"/>
      <c r="IO33" s="255"/>
      <c r="IP33" s="255"/>
      <c r="IQ33" s="255"/>
      <c r="IR33" s="255"/>
      <c r="IS33" s="255"/>
      <c r="IT33" s="255"/>
      <c r="IU33" s="255"/>
      <c r="IV33" s="255"/>
      <c r="IW33" s="255"/>
      <c r="IX33" s="255"/>
      <c r="IY33" s="255"/>
      <c r="IZ33" s="255"/>
      <c r="JA33" s="255"/>
      <c r="JB33" s="255"/>
      <c r="JC33" s="255"/>
      <c r="JD33" s="255"/>
      <c r="JE33" s="255"/>
      <c r="JF33" s="255"/>
      <c r="JG33" s="255"/>
      <c r="JH33" s="255"/>
      <c r="JI33" s="255"/>
      <c r="JJ33" s="255"/>
      <c r="JK33" s="255"/>
      <c r="JL33" s="255"/>
      <c r="JM33" s="255"/>
      <c r="JN33" s="255"/>
      <c r="JO33" s="255"/>
      <c r="JP33" s="255"/>
      <c r="JQ33" s="255"/>
      <c r="JR33" s="255"/>
      <c r="JS33" s="255"/>
      <c r="JT33" s="255"/>
      <c r="JU33" s="255"/>
      <c r="JV33" s="255"/>
      <c r="JW33" s="255"/>
      <c r="JX33" s="255"/>
      <c r="JY33" s="255"/>
      <c r="JZ33" s="255"/>
      <c r="KA33" s="255"/>
      <c r="KB33" s="255"/>
      <c r="KC33" s="255"/>
      <c r="KD33" s="255"/>
      <c r="KE33" s="255"/>
      <c r="KF33" s="255"/>
      <c r="KG33" s="255"/>
      <c r="KH33" s="255"/>
      <c r="KI33" s="255"/>
      <c r="KJ33" s="255"/>
      <c r="KK33" s="255"/>
      <c r="KL33" s="255"/>
      <c r="KM33" s="255"/>
      <c r="KN33" s="255"/>
      <c r="KO33" s="255"/>
      <c r="KP33" s="255"/>
      <c r="KQ33" s="255"/>
      <c r="KR33" s="255"/>
      <c r="KS33" s="255"/>
      <c r="KT33" s="255"/>
      <c r="KU33" s="255"/>
      <c r="KV33" s="255"/>
      <c r="KW33" s="255"/>
      <c r="KX33" s="255"/>
      <c r="KY33" s="255"/>
      <c r="KZ33" s="255"/>
      <c r="LA33" s="255"/>
      <c r="LB33" s="255"/>
      <c r="LC33" s="255"/>
      <c r="LD33" s="255"/>
      <c r="LE33" s="255"/>
      <c r="LF33" s="255"/>
      <c r="LG33" s="255"/>
      <c r="LH33" s="255"/>
      <c r="LI33" s="255"/>
      <c r="LJ33" s="255"/>
      <c r="LK33" s="255"/>
      <c r="LL33" s="255"/>
      <c r="LM33" s="255"/>
      <c r="LN33" s="255"/>
      <c r="LO33" s="255"/>
      <c r="LP33" s="255"/>
      <c r="LQ33" s="255"/>
      <c r="LR33" s="255"/>
      <c r="LS33" s="255"/>
      <c r="LT33" s="255"/>
      <c r="LU33" s="255"/>
      <c r="LV33" s="255"/>
      <c r="LW33" s="255"/>
      <c r="LX33" s="255"/>
      <c r="LY33" s="255"/>
      <c r="LZ33" s="255"/>
      <c r="MA33" s="255"/>
      <c r="MB33" s="255"/>
      <c r="MC33" s="255"/>
      <c r="MD33" s="255"/>
      <c r="ME33" s="255"/>
      <c r="MF33" s="255"/>
      <c r="MG33" s="255"/>
      <c r="MH33" s="255"/>
      <c r="MI33" s="255"/>
      <c r="MJ33" s="255"/>
      <c r="MK33" s="255"/>
      <c r="ML33" s="255"/>
      <c r="MM33" s="255"/>
      <c r="MN33" s="255"/>
      <c r="MO33" s="255"/>
      <c r="MP33" s="255"/>
      <c r="MQ33" s="255"/>
      <c r="MR33" s="255"/>
      <c r="MS33" s="255"/>
      <c r="MT33" s="255"/>
      <c r="MU33" s="255"/>
      <c r="MV33" s="255"/>
      <c r="MW33" s="255"/>
      <c r="MX33" s="255"/>
      <c r="MY33" s="255"/>
      <c r="MZ33" s="255"/>
      <c r="NA33" s="255"/>
      <c r="NB33" s="255"/>
      <c r="NC33" s="255"/>
      <c r="ND33" s="255"/>
      <c r="NE33" s="255"/>
      <c r="NF33" s="255"/>
      <c r="NG33" s="255"/>
      <c r="NH33" s="255"/>
      <c r="NI33" s="255"/>
      <c r="NJ33" s="255"/>
      <c r="NK33" s="255"/>
      <c r="NL33" s="255"/>
      <c r="NM33" s="255"/>
      <c r="NN33" s="255"/>
      <c r="NO33" s="255"/>
      <c r="NP33" s="255"/>
      <c r="NQ33" s="255"/>
      <c r="NR33" s="255"/>
      <c r="NS33" s="255"/>
      <c r="NT33" s="255"/>
      <c r="NU33" s="255"/>
      <c r="NV33" s="255"/>
      <c r="NW33" s="255"/>
      <c r="NX33" s="255"/>
      <c r="NY33" s="255"/>
      <c r="NZ33" s="255"/>
      <c r="OA33" s="255"/>
      <c r="OB33" s="255"/>
      <c r="OC33" s="255"/>
      <c r="OD33" s="255"/>
      <c r="OE33" s="255"/>
      <c r="OF33" s="255"/>
      <c r="OG33" s="255"/>
      <c r="OH33" s="255"/>
      <c r="OI33" s="255"/>
      <c r="OJ33" s="255"/>
      <c r="OK33" s="255"/>
      <c r="OL33" s="255"/>
      <c r="OM33" s="255"/>
      <c r="ON33" s="255"/>
      <c r="OO33" s="255"/>
      <c r="OP33" s="255"/>
      <c r="OQ33" s="255"/>
      <c r="OR33" s="255"/>
      <c r="OS33" s="255"/>
      <c r="OT33" s="255"/>
      <c r="OU33" s="255"/>
      <c r="OV33" s="255"/>
      <c r="OW33" s="255"/>
      <c r="OX33" s="255"/>
      <c r="OY33" s="255"/>
      <c r="OZ33" s="255"/>
      <c r="PA33" s="255"/>
      <c r="PB33" s="255"/>
      <c r="PC33" s="255"/>
      <c r="PD33" s="255"/>
      <c r="PE33" s="255"/>
      <c r="PF33" s="255"/>
      <c r="PG33" s="255"/>
      <c r="PH33" s="255"/>
      <c r="PI33" s="255"/>
      <c r="PJ33" s="255"/>
      <c r="PK33" s="255"/>
      <c r="PL33" s="255"/>
      <c r="PM33" s="255"/>
      <c r="PN33" s="255"/>
      <c r="PO33" s="255"/>
      <c r="PP33" s="255"/>
      <c r="PQ33" s="255"/>
      <c r="PR33" s="255"/>
      <c r="PS33" s="255"/>
      <c r="PT33" s="255"/>
      <c r="PU33" s="255"/>
      <c r="PV33" s="255"/>
      <c r="PW33" s="255"/>
      <c r="PX33" s="255"/>
      <c r="PY33" s="255"/>
      <c r="PZ33" s="255"/>
      <c r="QA33" s="255"/>
      <c r="QB33" s="255"/>
      <c r="QC33" s="255"/>
      <c r="QD33" s="255"/>
      <c r="QE33" s="255"/>
      <c r="QF33" s="255"/>
      <c r="QG33" s="255"/>
      <c r="QH33" s="255"/>
      <c r="QI33" s="255"/>
      <c r="QJ33" s="255"/>
      <c r="QK33" s="255"/>
      <c r="QL33" s="255"/>
      <c r="QM33" s="255"/>
      <c r="QN33" s="255"/>
      <c r="QO33" s="255"/>
      <c r="QP33" s="255"/>
      <c r="QQ33" s="255"/>
      <c r="QR33" s="255"/>
      <c r="QS33" s="255"/>
      <c r="QT33" s="255"/>
      <c r="QU33" s="255"/>
      <c r="QV33" s="255"/>
      <c r="QW33" s="255"/>
      <c r="QX33" s="255"/>
      <c r="QY33" s="255"/>
      <c r="QZ33" s="255"/>
      <c r="RA33" s="255"/>
      <c r="RB33" s="255"/>
      <c r="RC33" s="255"/>
      <c r="RD33" s="255"/>
      <c r="RE33" s="255"/>
      <c r="RF33" s="255"/>
      <c r="RG33" s="255"/>
      <c r="RH33" s="255"/>
      <c r="RI33" s="255"/>
      <c r="RJ33" s="255"/>
      <c r="RK33" s="255"/>
      <c r="RL33" s="255"/>
      <c r="RM33" s="255"/>
      <c r="RN33" s="255"/>
      <c r="RO33" s="255"/>
      <c r="RP33" s="255"/>
      <c r="RQ33" s="255"/>
      <c r="RR33" s="255"/>
      <c r="RS33" s="255"/>
      <c r="RT33" s="255"/>
      <c r="RU33" s="255"/>
      <c r="RV33" s="255"/>
      <c r="RW33" s="255"/>
      <c r="RX33" s="255"/>
      <c r="RY33" s="255"/>
      <c r="RZ33" s="255"/>
      <c r="SA33" s="255"/>
      <c r="SB33" s="255"/>
      <c r="SC33" s="255"/>
      <c r="SD33" s="255"/>
      <c r="SE33" s="255"/>
      <c r="SF33" s="255"/>
      <c r="SG33" s="255"/>
      <c r="SH33" s="255"/>
      <c r="SI33" s="255"/>
      <c r="SJ33" s="255"/>
      <c r="SK33" s="255"/>
      <c r="SL33" s="255"/>
      <c r="SM33" s="255"/>
      <c r="SN33" s="255"/>
      <c r="SO33" s="255"/>
      <c r="SP33" s="255"/>
      <c r="SQ33" s="255"/>
      <c r="SR33" s="255"/>
      <c r="SS33" s="255"/>
      <c r="ST33" s="255"/>
      <c r="SU33" s="255"/>
      <c r="SV33" s="255"/>
      <c r="SW33" s="255"/>
      <c r="SX33" s="255"/>
      <c r="SY33" s="255"/>
      <c r="SZ33" s="255"/>
      <c r="TA33" s="255"/>
      <c r="TB33" s="255"/>
      <c r="TC33" s="255"/>
      <c r="TD33" s="255"/>
      <c r="TE33" s="255"/>
      <c r="TF33" s="255"/>
      <c r="TG33" s="255"/>
      <c r="TH33" s="255"/>
      <c r="TI33" s="255"/>
      <c r="TJ33" s="255"/>
      <c r="TK33" s="255"/>
      <c r="TL33" s="255"/>
      <c r="TM33" s="255"/>
      <c r="TN33" s="255"/>
      <c r="TO33" s="255"/>
      <c r="TP33" s="255"/>
      <c r="TQ33" s="255"/>
      <c r="TR33" s="255"/>
      <c r="TS33" s="255"/>
      <c r="TT33" s="255"/>
      <c r="TU33" s="255"/>
      <c r="TV33" s="255"/>
      <c r="TW33" s="255"/>
      <c r="TX33" s="255"/>
      <c r="TY33" s="255"/>
      <c r="TZ33" s="255"/>
      <c r="UA33" s="255"/>
      <c r="UB33" s="255"/>
      <c r="UC33" s="255"/>
      <c r="UD33" s="255"/>
      <c r="UE33" s="255"/>
      <c r="UF33" s="255"/>
      <c r="UG33" s="255"/>
      <c r="UH33" s="255"/>
      <c r="UI33" s="255"/>
      <c r="UJ33" s="255"/>
      <c r="UK33" s="255"/>
      <c r="UL33" s="255"/>
      <c r="UM33" s="255"/>
      <c r="UN33" s="255"/>
      <c r="UO33" s="255"/>
      <c r="UP33" s="255"/>
      <c r="UQ33" s="255"/>
      <c r="UR33" s="255"/>
      <c r="US33" s="255"/>
      <c r="UT33" s="255"/>
      <c r="UU33" s="255"/>
      <c r="UV33" s="255"/>
      <c r="UW33" s="255"/>
      <c r="UX33" s="255"/>
      <c r="UY33" s="255"/>
      <c r="UZ33" s="255"/>
      <c r="VA33" s="255"/>
      <c r="VB33" s="255"/>
      <c r="VC33" s="255"/>
      <c r="VD33" s="255"/>
      <c r="VE33" s="255"/>
      <c r="VF33" s="255"/>
      <c r="VG33" s="255"/>
      <c r="VH33" s="255"/>
      <c r="VI33" s="255"/>
      <c r="VJ33" s="255"/>
      <c r="VK33" s="255"/>
      <c r="VL33" s="255"/>
      <c r="VM33" s="255"/>
      <c r="VN33" s="255"/>
      <c r="VO33" s="255"/>
      <c r="VP33" s="255"/>
      <c r="VQ33" s="255"/>
      <c r="VR33" s="255"/>
      <c r="VS33" s="255"/>
      <c r="VT33" s="255"/>
      <c r="VU33" s="255"/>
      <c r="VV33" s="255"/>
      <c r="VW33" s="255"/>
      <c r="VX33" s="255"/>
      <c r="VY33" s="255"/>
      <c r="VZ33" s="255"/>
      <c r="WA33" s="255"/>
      <c r="WB33" s="255"/>
      <c r="WC33" s="255"/>
      <c r="WD33" s="255"/>
      <c r="WE33" s="255"/>
      <c r="WF33" s="255"/>
      <c r="WG33" s="255"/>
      <c r="WH33" s="255"/>
      <c r="WI33" s="255"/>
      <c r="WJ33" s="255"/>
      <c r="WK33" s="255"/>
      <c r="WL33" s="255"/>
      <c r="WM33" s="255"/>
      <c r="WN33" s="255"/>
      <c r="WO33" s="255"/>
      <c r="WP33" s="255"/>
      <c r="WQ33" s="255"/>
      <c r="WR33" s="255"/>
      <c r="WS33" s="255"/>
      <c r="WT33" s="255"/>
      <c r="WU33" s="255"/>
      <c r="WV33" s="255"/>
      <c r="WW33" s="255"/>
      <c r="WX33" s="255"/>
      <c r="WY33" s="255"/>
      <c r="WZ33" s="255"/>
      <c r="XA33" s="255"/>
      <c r="XB33" s="255"/>
      <c r="XC33" s="255"/>
      <c r="XD33" s="255"/>
      <c r="XE33" s="255"/>
      <c r="XF33" s="255"/>
      <c r="XG33" s="255"/>
      <c r="XH33" s="255"/>
      <c r="XI33" s="255"/>
      <c r="XJ33" s="255"/>
      <c r="XK33" s="255"/>
      <c r="XL33" s="255"/>
      <c r="XM33" s="255"/>
      <c r="XN33" s="255"/>
      <c r="XO33" s="255"/>
      <c r="XP33" s="255"/>
      <c r="XQ33" s="255"/>
      <c r="XR33" s="255"/>
      <c r="XS33" s="255"/>
      <c r="XT33" s="255"/>
      <c r="XU33" s="255"/>
      <c r="XV33" s="255"/>
      <c r="XW33" s="255"/>
      <c r="XX33" s="255"/>
      <c r="XY33" s="255"/>
      <c r="XZ33" s="255"/>
      <c r="YA33" s="255"/>
      <c r="YB33" s="255"/>
      <c r="YC33" s="255"/>
      <c r="YD33" s="255"/>
      <c r="YE33" s="255"/>
      <c r="YF33" s="255"/>
      <c r="YG33" s="255"/>
      <c r="YH33" s="255"/>
      <c r="YI33" s="255"/>
      <c r="YJ33" s="255"/>
      <c r="YK33" s="255"/>
      <c r="YL33" s="255"/>
      <c r="YM33" s="255"/>
      <c r="YN33" s="255"/>
      <c r="YO33" s="255"/>
      <c r="YP33" s="255"/>
      <c r="YQ33" s="255"/>
      <c r="YR33" s="255"/>
      <c r="YS33" s="255"/>
      <c r="YT33" s="255"/>
      <c r="YU33" s="255"/>
      <c r="YV33" s="255"/>
      <c r="YW33" s="255"/>
      <c r="YX33" s="255"/>
      <c r="YY33" s="255"/>
      <c r="YZ33" s="255"/>
      <c r="ZA33" s="255"/>
      <c r="ZB33" s="255"/>
      <c r="ZC33" s="255"/>
      <c r="ZD33" s="255"/>
      <c r="ZE33" s="255"/>
      <c r="ZF33" s="255"/>
      <c r="ZG33" s="255"/>
      <c r="ZH33" s="255"/>
      <c r="ZI33" s="255"/>
      <c r="ZJ33" s="255"/>
      <c r="ZK33" s="255"/>
      <c r="ZL33" s="255"/>
      <c r="ZM33" s="255"/>
      <c r="ZN33" s="255"/>
      <c r="ZO33" s="255"/>
      <c r="ZP33" s="255"/>
      <c r="ZQ33" s="255"/>
      <c r="ZR33" s="255"/>
      <c r="ZS33" s="255"/>
      <c r="ZT33" s="255"/>
      <c r="ZU33" s="255"/>
      <c r="ZV33" s="255"/>
      <c r="ZW33" s="255"/>
      <c r="ZX33" s="255"/>
      <c r="ZY33" s="255"/>
      <c r="ZZ33" s="255"/>
      <c r="AAA33" s="255"/>
      <c r="AAB33" s="255"/>
      <c r="AAC33" s="255"/>
      <c r="AAD33" s="255"/>
      <c r="AAE33" s="255"/>
      <c r="AAF33" s="255"/>
      <c r="AAG33" s="255"/>
      <c r="AAH33" s="255"/>
      <c r="AAI33" s="255"/>
      <c r="AAJ33" s="255"/>
      <c r="AAK33" s="255"/>
      <c r="AAL33" s="255"/>
      <c r="AAM33" s="255"/>
      <c r="AAN33" s="255"/>
      <c r="AAO33" s="255"/>
      <c r="AAP33" s="255"/>
      <c r="AAQ33" s="255"/>
      <c r="AAR33" s="255"/>
      <c r="AAS33" s="255"/>
      <c r="AAT33" s="255"/>
      <c r="AAU33" s="255"/>
      <c r="AAV33" s="255"/>
      <c r="AAW33" s="255"/>
      <c r="AAX33" s="255"/>
      <c r="AAY33" s="255"/>
      <c r="AAZ33" s="255"/>
      <c r="ABA33" s="255"/>
      <c r="ABB33" s="255"/>
      <c r="ABC33" s="255"/>
      <c r="ABD33" s="255"/>
      <c r="ABE33" s="255"/>
      <c r="ABF33" s="255"/>
      <c r="ABG33" s="255"/>
      <c r="ABH33" s="255"/>
      <c r="ABI33" s="255"/>
      <c r="ABJ33" s="255"/>
      <c r="ABK33" s="255"/>
      <c r="ABL33" s="255"/>
      <c r="ABM33" s="255"/>
      <c r="ABN33" s="255"/>
      <c r="ABO33" s="255"/>
      <c r="ABP33" s="255"/>
      <c r="ABQ33" s="255"/>
      <c r="ABR33" s="255"/>
      <c r="ABS33" s="255"/>
      <c r="ABT33" s="255"/>
      <c r="ABU33" s="255"/>
      <c r="ABV33" s="255"/>
      <c r="ABW33" s="255"/>
      <c r="ABX33" s="255"/>
      <c r="ABY33" s="255"/>
      <c r="ABZ33" s="255"/>
      <c r="ACA33" s="255"/>
      <c r="ACB33" s="255"/>
      <c r="ACC33" s="255"/>
      <c r="ACD33" s="255"/>
      <c r="ACE33" s="255"/>
      <c r="ACF33" s="255"/>
      <c r="ACG33" s="255"/>
      <c r="ACH33" s="255"/>
      <c r="ACI33" s="255"/>
      <c r="ACJ33" s="255"/>
      <c r="ACK33" s="255"/>
      <c r="ACL33" s="255"/>
      <c r="ACM33" s="255"/>
      <c r="ACN33" s="255"/>
      <c r="ACO33" s="255"/>
      <c r="ACP33" s="255"/>
      <c r="ACQ33" s="255"/>
      <c r="ACR33" s="255"/>
      <c r="ACS33" s="255"/>
      <c r="ACT33" s="255"/>
      <c r="ACU33" s="255"/>
      <c r="ACV33" s="255"/>
      <c r="ACW33" s="255"/>
      <c r="ACX33" s="255"/>
      <c r="ACY33" s="255"/>
      <c r="ACZ33" s="255"/>
      <c r="ADA33" s="255"/>
      <c r="ADB33" s="255"/>
      <c r="ADC33" s="255"/>
      <c r="ADD33" s="255"/>
      <c r="ADE33" s="255"/>
      <c r="ADF33" s="255"/>
      <c r="ADG33" s="255"/>
      <c r="ADH33" s="255"/>
      <c r="ADI33" s="255"/>
      <c r="ADJ33" s="255"/>
      <c r="ADK33" s="255"/>
      <c r="ADL33" s="255"/>
      <c r="ADM33" s="255"/>
      <c r="ADN33" s="255"/>
      <c r="ADO33" s="255"/>
      <c r="ADP33" s="255"/>
      <c r="ADQ33" s="255"/>
      <c r="ADR33" s="255"/>
      <c r="ADS33" s="255"/>
      <c r="ADT33" s="255"/>
      <c r="ADU33" s="255"/>
      <c r="ADV33" s="255"/>
      <c r="ADW33" s="255"/>
      <c r="ADX33" s="255"/>
      <c r="ADY33" s="255"/>
      <c r="ADZ33" s="255"/>
      <c r="AEA33" s="255"/>
      <c r="AEB33" s="255"/>
      <c r="AEC33" s="255"/>
      <c r="AED33" s="255"/>
      <c r="AEE33" s="255"/>
      <c r="AEF33" s="255"/>
      <c r="AEG33" s="255"/>
      <c r="AEH33" s="255"/>
      <c r="AEI33" s="255"/>
      <c r="AEJ33" s="255"/>
      <c r="AEK33" s="255"/>
      <c r="AEL33" s="255"/>
      <c r="AEM33" s="255"/>
      <c r="AEN33" s="255"/>
      <c r="AEO33" s="255"/>
      <c r="AEP33" s="255"/>
      <c r="AEQ33" s="255"/>
      <c r="AER33" s="255"/>
      <c r="AES33" s="255"/>
      <c r="AET33" s="255"/>
      <c r="AEU33" s="255"/>
      <c r="AEV33" s="255"/>
      <c r="AEW33" s="255"/>
      <c r="AEX33" s="255"/>
      <c r="AEY33" s="255"/>
      <c r="AEZ33" s="255"/>
      <c r="AFA33" s="255"/>
      <c r="AFB33" s="255"/>
      <c r="AFC33" s="255"/>
      <c r="AFD33" s="255"/>
      <c r="AFE33" s="255"/>
      <c r="AFF33" s="255"/>
      <c r="AFG33" s="255"/>
      <c r="AFH33" s="255"/>
      <c r="AFI33" s="255"/>
      <c r="AFJ33" s="255"/>
      <c r="AFK33" s="255"/>
      <c r="AFL33" s="255"/>
      <c r="AFM33" s="255"/>
      <c r="AFN33" s="255"/>
      <c r="AFO33" s="255"/>
      <c r="AFP33" s="255"/>
      <c r="AFQ33" s="255"/>
      <c r="AFR33" s="255"/>
      <c r="AFS33" s="255"/>
      <c r="AFT33" s="255"/>
      <c r="AFU33" s="255"/>
      <c r="AFV33" s="255"/>
      <c r="AFW33" s="255"/>
      <c r="AFX33" s="255"/>
      <c r="AFY33" s="255"/>
      <c r="AFZ33" s="255"/>
      <c r="AGA33" s="255"/>
      <c r="AGB33" s="255"/>
      <c r="AGC33" s="255"/>
      <c r="AGD33" s="255"/>
      <c r="AGE33" s="255"/>
      <c r="AGF33" s="255"/>
      <c r="AGG33" s="255"/>
      <c r="AGH33" s="255"/>
      <c r="AGI33" s="255"/>
      <c r="AGJ33" s="255"/>
      <c r="AGK33" s="255"/>
      <c r="AGL33" s="255"/>
      <c r="AGM33" s="255"/>
      <c r="AGN33" s="255"/>
      <c r="AGO33" s="255"/>
      <c r="AGP33" s="255"/>
      <c r="AGQ33" s="255"/>
      <c r="AGR33" s="255"/>
      <c r="AGS33" s="255"/>
      <c r="AGT33" s="255"/>
      <c r="AGU33" s="255"/>
      <c r="AGV33" s="255"/>
      <c r="AGW33" s="255"/>
      <c r="AGX33" s="255"/>
      <c r="AGY33" s="255"/>
      <c r="AGZ33" s="255"/>
      <c r="AHA33" s="255"/>
      <c r="AHB33" s="255"/>
      <c r="AHC33" s="255"/>
      <c r="AHD33" s="255"/>
      <c r="AHE33" s="255"/>
      <c r="AHF33" s="255"/>
      <c r="AHG33" s="255"/>
      <c r="AHH33" s="255"/>
      <c r="AHI33" s="255"/>
      <c r="AHJ33" s="255"/>
      <c r="AHK33" s="255"/>
      <c r="AHL33" s="255"/>
      <c r="AHM33" s="255"/>
      <c r="AHN33" s="255"/>
      <c r="AHO33" s="255"/>
      <c r="AHP33" s="255"/>
      <c r="AHQ33" s="255"/>
      <c r="AHR33" s="255"/>
      <c r="AHS33" s="255"/>
      <c r="AHT33" s="255"/>
      <c r="AHU33" s="255"/>
      <c r="AHV33" s="255"/>
      <c r="AHW33" s="255"/>
      <c r="AHX33" s="255"/>
      <c r="AHY33" s="255"/>
      <c r="AHZ33" s="255"/>
      <c r="AIA33" s="255"/>
      <c r="AIB33" s="255"/>
      <c r="AIC33" s="255"/>
      <c r="AID33" s="255"/>
      <c r="AIE33" s="255"/>
      <c r="AIF33" s="255"/>
      <c r="AIG33" s="255"/>
      <c r="AIH33" s="255"/>
      <c r="AII33" s="255"/>
      <c r="AIJ33" s="255"/>
      <c r="AIK33" s="255"/>
      <c r="AIL33" s="255"/>
      <c r="AIM33" s="255"/>
      <c r="AIN33" s="255"/>
      <c r="AIO33" s="255"/>
      <c r="AIP33" s="255"/>
      <c r="AIQ33" s="255"/>
      <c r="AIR33" s="255"/>
      <c r="AIS33" s="255"/>
      <c r="AIT33" s="255"/>
      <c r="AIU33" s="255"/>
      <c r="AIV33" s="255"/>
      <c r="AIW33" s="255"/>
      <c r="AIX33" s="255"/>
      <c r="AIY33" s="255"/>
      <c r="AIZ33" s="255"/>
      <c r="AJA33" s="255"/>
      <c r="AJB33" s="255"/>
      <c r="AJC33" s="255"/>
      <c r="AJD33" s="255"/>
      <c r="AJE33" s="255"/>
      <c r="AJF33" s="255"/>
      <c r="AJG33" s="255"/>
      <c r="AJH33" s="255"/>
      <c r="AJI33" s="255"/>
      <c r="AJJ33" s="255"/>
      <c r="AJK33" s="255"/>
      <c r="AJL33" s="255"/>
      <c r="AJM33" s="255"/>
      <c r="AJN33" s="255"/>
      <c r="AJO33" s="255"/>
      <c r="AJP33" s="255"/>
      <c r="AJQ33" s="255"/>
      <c r="AJR33" s="255"/>
      <c r="AJS33" s="255"/>
      <c r="AJT33" s="255"/>
      <c r="AJU33" s="255"/>
      <c r="AJV33" s="255"/>
      <c r="AJW33" s="255"/>
      <c r="AJX33" s="255"/>
      <c r="AJY33" s="255"/>
      <c r="AJZ33" s="255"/>
      <c r="AKA33" s="255"/>
      <c r="AKB33" s="255"/>
      <c r="AKC33" s="255"/>
      <c r="AKD33" s="255"/>
      <c r="AKE33" s="255"/>
      <c r="AKF33" s="255"/>
      <c r="AKG33" s="255"/>
      <c r="AKH33" s="255"/>
      <c r="AKI33" s="255"/>
      <c r="AKJ33" s="255"/>
      <c r="AKK33" s="255"/>
      <c r="AKL33" s="255"/>
      <c r="AKM33" s="255"/>
      <c r="AKN33" s="255"/>
      <c r="AKO33" s="255"/>
      <c r="AKP33" s="255"/>
      <c r="AKQ33" s="255"/>
      <c r="AKR33" s="255"/>
      <c r="AKS33" s="255"/>
      <c r="AKT33" s="255"/>
      <c r="AKU33" s="255"/>
      <c r="AKV33" s="255"/>
      <c r="AKW33" s="255"/>
      <c r="AKX33" s="255"/>
      <c r="AKY33" s="255"/>
      <c r="AKZ33" s="255"/>
      <c r="ALA33" s="255"/>
      <c r="ALB33" s="255"/>
      <c r="ALC33" s="255"/>
      <c r="ALD33" s="255"/>
      <c r="ALE33" s="255"/>
      <c r="ALF33" s="255"/>
      <c r="ALG33" s="255"/>
      <c r="ALH33" s="255"/>
      <c r="ALI33" s="255"/>
      <c r="ALJ33" s="255"/>
      <c r="ALK33" s="255"/>
      <c r="ALL33" s="42"/>
      <c r="ALM33" s="42"/>
      <c r="ALN33" s="42"/>
      <c r="ALO33" s="42"/>
      <c r="ALP33" s="42"/>
      <c r="ALQ33" s="42"/>
      <c r="ALR33" s="42"/>
      <c r="ALS33" s="42"/>
      <c r="ALT33" s="42"/>
    </row>
    <row r="34" spans="1:1008" s="191" customFormat="1">
      <c r="A34" s="251" t="s">
        <v>6307</v>
      </c>
      <c r="B34" s="328">
        <v>311</v>
      </c>
      <c r="C34" s="329" t="str">
        <f>(IF($A34="SINAPI",INDEX(SINAPI_NOV2020_NDES!$A$7:$H$6703,MATCH($B34,SINAPI_NOV2020_NDES!$A$7:$A$6703,0),2),IF($A34="GOINFRA",INDEX(#REF!,MATCH($B34,#REF!,0),2),(INDEX(COMPOS!$A$4:$G$3900,MATCH($B34,COMPOS!$A$4:A$3900,0),2)))))</f>
        <v>LASTRO DE BRITA</v>
      </c>
      <c r="D34" s="274" t="str">
        <f>(IF($A34="SINAPI",INDEX(SINAPI_NOV2020_NDES!$A$7:$H$6790,MATCH($B34,SINAPI_NOV2020_NDES!$A$7:$A$6790,0),3),(INDEX(COMPOS!$A$4:$G$5000,MATCH($B34,COMPOS!$A$4:$A$5000,0),3))))</f>
        <v>M3</v>
      </c>
      <c r="E34" s="276">
        <v>0.33</v>
      </c>
      <c r="F34" s="279">
        <f>(IF($A34="SINAPI",INDEX(SINAPI_NOV2020_NDES!$A$7:$H$6703,MATCH($B34,SINAPI_NOV2020_NDES!$A$7:$A$6703,0),5),(INDEX(COMPOS!$A$4:$G$801,MATCH($B34,COMPOS!$A$4:A$801,0),4))))</f>
        <v>30.22</v>
      </c>
      <c r="G34" s="280">
        <f>(IF($A34="SINAPI",INDEX(SINAPI_NOV2020_NDES!$A$7:$H$6703,MATCH($B34,SINAPI_NOV2020_NDES!$A$7:$A$6703,0),6),(INDEX(COMPOS!$A$4:$G$801,MATCH($B34,COMPOS!$A$4:A$801,0),5))))</f>
        <v>110.328</v>
      </c>
      <c r="H34" s="280">
        <f>(IF($A34="SINAPI",INDEX(SINAPI_NOV2020_NDES!$A$7:$H$6703,MATCH($B34,SINAPI_NOV2020_NDES!$A$7:$A$6703,0),7),(INDEX(COMPOS!$A$4:$G$801,MATCH($B34,COMPOS!$A$4:A$801,0),6))))</f>
        <v>0</v>
      </c>
      <c r="I34" s="279">
        <f t="shared" si="10"/>
        <v>140.548</v>
      </c>
      <c r="J34" s="276">
        <f t="shared" si="11"/>
        <v>46.380840000000006</v>
      </c>
      <c r="K34" s="255"/>
      <c r="L34" s="255"/>
      <c r="M34" s="255"/>
      <c r="N34" s="255"/>
      <c r="O34" s="257"/>
      <c r="P34" s="223"/>
      <c r="Q34" s="255"/>
      <c r="R34" s="255"/>
      <c r="S34" s="255"/>
      <c r="T34" s="255"/>
      <c r="U34" s="255"/>
      <c r="V34" s="255"/>
      <c r="W34" s="255"/>
      <c r="X34" s="255"/>
      <c r="Y34" s="255"/>
      <c r="Z34" s="255"/>
      <c r="AA34" s="255"/>
      <c r="AB34" s="255"/>
      <c r="AC34" s="255"/>
      <c r="AD34" s="255"/>
      <c r="AE34" s="255"/>
      <c r="AF34" s="255"/>
      <c r="AG34" s="255"/>
      <c r="AH34" s="255"/>
      <c r="AI34" s="255"/>
      <c r="AJ34" s="255"/>
      <c r="AK34" s="255"/>
      <c r="AL34" s="255"/>
      <c r="AM34" s="255"/>
      <c r="AN34" s="255"/>
      <c r="AO34" s="255"/>
      <c r="AP34" s="255"/>
      <c r="AQ34" s="255"/>
      <c r="AR34" s="255"/>
      <c r="AS34" s="255"/>
      <c r="AT34" s="255"/>
      <c r="AU34" s="255"/>
      <c r="AV34" s="255"/>
      <c r="AW34" s="255"/>
      <c r="AX34" s="255"/>
      <c r="AY34" s="255"/>
      <c r="AZ34" s="255"/>
      <c r="BA34" s="255"/>
      <c r="BB34" s="255"/>
      <c r="BC34" s="255"/>
      <c r="BD34" s="255"/>
      <c r="BE34" s="255"/>
      <c r="BF34" s="255"/>
      <c r="BG34" s="255"/>
      <c r="BH34" s="255"/>
      <c r="BI34" s="255"/>
      <c r="BJ34" s="255"/>
      <c r="BK34" s="255"/>
      <c r="BL34" s="255"/>
      <c r="BM34" s="255"/>
      <c r="BN34" s="255"/>
      <c r="BO34" s="255"/>
      <c r="BP34" s="255"/>
      <c r="BQ34" s="255"/>
      <c r="BR34" s="255"/>
      <c r="BS34" s="255"/>
      <c r="BT34" s="255"/>
      <c r="BU34" s="255"/>
      <c r="BV34" s="255"/>
      <c r="BW34" s="255"/>
      <c r="BX34" s="255"/>
      <c r="BY34" s="255"/>
      <c r="BZ34" s="255"/>
      <c r="CA34" s="255"/>
      <c r="CB34" s="255"/>
      <c r="CC34" s="255"/>
      <c r="CD34" s="255"/>
      <c r="CE34" s="255"/>
      <c r="CF34" s="255"/>
      <c r="CG34" s="255"/>
      <c r="CH34" s="255"/>
      <c r="CI34" s="255"/>
      <c r="CJ34" s="255"/>
      <c r="CK34" s="255"/>
      <c r="CL34" s="255"/>
      <c r="CM34" s="255"/>
      <c r="CN34" s="255"/>
      <c r="CO34" s="255"/>
      <c r="CP34" s="255"/>
      <c r="CQ34" s="255"/>
      <c r="CR34" s="255"/>
      <c r="CS34" s="255"/>
      <c r="CT34" s="255"/>
      <c r="CU34" s="255"/>
      <c r="CV34" s="255"/>
      <c r="CW34" s="255"/>
      <c r="CX34" s="255"/>
      <c r="CY34" s="255"/>
      <c r="CZ34" s="255"/>
      <c r="DA34" s="255"/>
      <c r="DB34" s="255"/>
      <c r="DC34" s="255"/>
      <c r="DD34" s="255"/>
      <c r="DE34" s="255"/>
      <c r="DF34" s="255"/>
      <c r="DG34" s="255"/>
      <c r="DH34" s="255"/>
      <c r="DI34" s="255"/>
      <c r="DJ34" s="255"/>
      <c r="DK34" s="255"/>
      <c r="DL34" s="255"/>
      <c r="DM34" s="255"/>
      <c r="DN34" s="255"/>
      <c r="DO34" s="255"/>
      <c r="DP34" s="255"/>
      <c r="DQ34" s="255"/>
      <c r="DR34" s="255"/>
      <c r="DS34" s="255"/>
      <c r="DT34" s="255"/>
      <c r="DU34" s="255"/>
      <c r="DV34" s="255"/>
      <c r="DW34" s="255"/>
      <c r="DX34" s="255"/>
      <c r="DY34" s="255"/>
      <c r="DZ34" s="255"/>
      <c r="EA34" s="255"/>
      <c r="EB34" s="255"/>
      <c r="EC34" s="255"/>
      <c r="ED34" s="255"/>
      <c r="EE34" s="255"/>
      <c r="EF34" s="255"/>
      <c r="EG34" s="255"/>
      <c r="EH34" s="255"/>
      <c r="EI34" s="255"/>
      <c r="EJ34" s="255"/>
      <c r="EK34" s="255"/>
      <c r="EL34" s="255"/>
      <c r="EM34" s="255"/>
      <c r="EN34" s="255"/>
      <c r="EO34" s="255"/>
      <c r="EP34" s="255"/>
      <c r="EQ34" s="255"/>
      <c r="ER34" s="255"/>
      <c r="ES34" s="255"/>
      <c r="ET34" s="255"/>
      <c r="EU34" s="255"/>
      <c r="EV34" s="255"/>
      <c r="EW34" s="255"/>
      <c r="EX34" s="255"/>
      <c r="EY34" s="255"/>
      <c r="EZ34" s="255"/>
      <c r="FA34" s="255"/>
      <c r="FB34" s="255"/>
      <c r="FC34" s="255"/>
      <c r="FD34" s="255"/>
      <c r="FE34" s="255"/>
      <c r="FF34" s="255"/>
      <c r="FG34" s="255"/>
      <c r="FH34" s="255"/>
      <c r="FI34" s="255"/>
      <c r="FJ34" s="255"/>
      <c r="FK34" s="255"/>
      <c r="FL34" s="255"/>
      <c r="FM34" s="255"/>
      <c r="FN34" s="255"/>
      <c r="FO34" s="255"/>
      <c r="FP34" s="255"/>
      <c r="FQ34" s="255"/>
      <c r="FR34" s="255"/>
      <c r="FS34" s="255"/>
      <c r="FT34" s="255"/>
      <c r="FU34" s="255"/>
      <c r="FV34" s="255"/>
      <c r="FW34" s="255"/>
      <c r="FX34" s="255"/>
      <c r="FY34" s="255"/>
      <c r="FZ34" s="255"/>
      <c r="GA34" s="255"/>
      <c r="GB34" s="255"/>
      <c r="GC34" s="255"/>
      <c r="GD34" s="255"/>
      <c r="GE34" s="255"/>
      <c r="GF34" s="255"/>
      <c r="GG34" s="255"/>
      <c r="GH34" s="255"/>
      <c r="GI34" s="255"/>
      <c r="GJ34" s="255"/>
      <c r="GK34" s="255"/>
      <c r="GL34" s="255"/>
      <c r="GM34" s="255"/>
      <c r="GN34" s="255"/>
      <c r="GO34" s="255"/>
      <c r="GP34" s="255"/>
      <c r="GQ34" s="255"/>
      <c r="GR34" s="255"/>
      <c r="GS34" s="255"/>
      <c r="GT34" s="255"/>
      <c r="GU34" s="255"/>
      <c r="GV34" s="255"/>
      <c r="GW34" s="255"/>
      <c r="GX34" s="255"/>
      <c r="GY34" s="255"/>
      <c r="GZ34" s="255"/>
      <c r="HA34" s="255"/>
      <c r="HB34" s="255"/>
      <c r="HC34" s="255"/>
      <c r="HD34" s="255"/>
      <c r="HE34" s="255"/>
      <c r="HF34" s="255"/>
      <c r="HG34" s="255"/>
      <c r="HH34" s="255"/>
      <c r="HI34" s="255"/>
      <c r="HJ34" s="255"/>
      <c r="HK34" s="255"/>
      <c r="HL34" s="255"/>
      <c r="HM34" s="255"/>
      <c r="HN34" s="255"/>
      <c r="HO34" s="255"/>
      <c r="HP34" s="255"/>
      <c r="HQ34" s="255"/>
      <c r="HR34" s="255"/>
      <c r="HS34" s="255"/>
      <c r="HT34" s="255"/>
      <c r="HU34" s="255"/>
      <c r="HV34" s="255"/>
      <c r="HW34" s="255"/>
      <c r="HX34" s="255"/>
      <c r="HY34" s="255"/>
      <c r="HZ34" s="255"/>
      <c r="IA34" s="255"/>
      <c r="IB34" s="255"/>
      <c r="IC34" s="255"/>
      <c r="ID34" s="255"/>
      <c r="IE34" s="255"/>
      <c r="IF34" s="255"/>
      <c r="IG34" s="255"/>
      <c r="IH34" s="255"/>
      <c r="II34" s="255"/>
      <c r="IJ34" s="255"/>
      <c r="IK34" s="255"/>
      <c r="IL34" s="255"/>
      <c r="IM34" s="255"/>
      <c r="IN34" s="255"/>
      <c r="IO34" s="255"/>
      <c r="IP34" s="255"/>
      <c r="IQ34" s="255"/>
      <c r="IR34" s="255"/>
      <c r="IS34" s="255"/>
      <c r="IT34" s="255"/>
      <c r="IU34" s="255"/>
      <c r="IV34" s="255"/>
      <c r="IW34" s="255"/>
      <c r="IX34" s="255"/>
      <c r="IY34" s="255"/>
      <c r="IZ34" s="255"/>
      <c r="JA34" s="255"/>
      <c r="JB34" s="255"/>
      <c r="JC34" s="255"/>
      <c r="JD34" s="255"/>
      <c r="JE34" s="255"/>
      <c r="JF34" s="255"/>
      <c r="JG34" s="255"/>
      <c r="JH34" s="255"/>
      <c r="JI34" s="255"/>
      <c r="JJ34" s="255"/>
      <c r="JK34" s="255"/>
      <c r="JL34" s="255"/>
      <c r="JM34" s="255"/>
      <c r="JN34" s="255"/>
      <c r="JO34" s="255"/>
      <c r="JP34" s="255"/>
      <c r="JQ34" s="255"/>
      <c r="JR34" s="255"/>
      <c r="JS34" s="255"/>
      <c r="JT34" s="255"/>
      <c r="JU34" s="255"/>
      <c r="JV34" s="255"/>
      <c r="JW34" s="255"/>
      <c r="JX34" s="255"/>
      <c r="JY34" s="255"/>
      <c r="JZ34" s="255"/>
      <c r="KA34" s="255"/>
      <c r="KB34" s="255"/>
      <c r="KC34" s="255"/>
      <c r="KD34" s="255"/>
      <c r="KE34" s="255"/>
      <c r="KF34" s="255"/>
      <c r="KG34" s="255"/>
      <c r="KH34" s="255"/>
      <c r="KI34" s="255"/>
      <c r="KJ34" s="255"/>
      <c r="KK34" s="255"/>
      <c r="KL34" s="255"/>
      <c r="KM34" s="255"/>
      <c r="KN34" s="255"/>
      <c r="KO34" s="255"/>
      <c r="KP34" s="255"/>
      <c r="KQ34" s="255"/>
      <c r="KR34" s="255"/>
      <c r="KS34" s="255"/>
      <c r="KT34" s="255"/>
      <c r="KU34" s="255"/>
      <c r="KV34" s="255"/>
      <c r="KW34" s="255"/>
      <c r="KX34" s="255"/>
      <c r="KY34" s="255"/>
      <c r="KZ34" s="255"/>
      <c r="LA34" s="255"/>
      <c r="LB34" s="255"/>
      <c r="LC34" s="255"/>
      <c r="LD34" s="255"/>
      <c r="LE34" s="255"/>
      <c r="LF34" s="255"/>
      <c r="LG34" s="255"/>
      <c r="LH34" s="255"/>
      <c r="LI34" s="255"/>
      <c r="LJ34" s="255"/>
      <c r="LK34" s="255"/>
      <c r="LL34" s="255"/>
      <c r="LM34" s="255"/>
      <c r="LN34" s="255"/>
      <c r="LO34" s="255"/>
      <c r="LP34" s="255"/>
      <c r="LQ34" s="255"/>
      <c r="LR34" s="255"/>
      <c r="LS34" s="255"/>
      <c r="LT34" s="255"/>
      <c r="LU34" s="255"/>
      <c r="LV34" s="255"/>
      <c r="LW34" s="255"/>
      <c r="LX34" s="255"/>
      <c r="LY34" s="255"/>
      <c r="LZ34" s="255"/>
      <c r="MA34" s="255"/>
      <c r="MB34" s="255"/>
      <c r="MC34" s="255"/>
      <c r="MD34" s="255"/>
      <c r="ME34" s="255"/>
      <c r="MF34" s="255"/>
      <c r="MG34" s="255"/>
      <c r="MH34" s="255"/>
      <c r="MI34" s="255"/>
      <c r="MJ34" s="255"/>
      <c r="MK34" s="255"/>
      <c r="ML34" s="255"/>
      <c r="MM34" s="255"/>
      <c r="MN34" s="255"/>
      <c r="MO34" s="255"/>
      <c r="MP34" s="255"/>
      <c r="MQ34" s="255"/>
      <c r="MR34" s="255"/>
      <c r="MS34" s="255"/>
      <c r="MT34" s="255"/>
      <c r="MU34" s="255"/>
      <c r="MV34" s="255"/>
      <c r="MW34" s="255"/>
      <c r="MX34" s="255"/>
      <c r="MY34" s="255"/>
      <c r="MZ34" s="255"/>
      <c r="NA34" s="255"/>
      <c r="NB34" s="255"/>
      <c r="NC34" s="255"/>
      <c r="ND34" s="255"/>
      <c r="NE34" s="255"/>
      <c r="NF34" s="255"/>
      <c r="NG34" s="255"/>
      <c r="NH34" s="255"/>
      <c r="NI34" s="255"/>
      <c r="NJ34" s="255"/>
      <c r="NK34" s="255"/>
      <c r="NL34" s="255"/>
      <c r="NM34" s="255"/>
      <c r="NN34" s="255"/>
      <c r="NO34" s="255"/>
      <c r="NP34" s="255"/>
      <c r="NQ34" s="255"/>
      <c r="NR34" s="255"/>
      <c r="NS34" s="255"/>
      <c r="NT34" s="255"/>
      <c r="NU34" s="255"/>
      <c r="NV34" s="255"/>
      <c r="NW34" s="255"/>
      <c r="NX34" s="255"/>
      <c r="NY34" s="255"/>
      <c r="NZ34" s="255"/>
      <c r="OA34" s="255"/>
      <c r="OB34" s="255"/>
      <c r="OC34" s="255"/>
      <c r="OD34" s="255"/>
      <c r="OE34" s="255"/>
      <c r="OF34" s="255"/>
      <c r="OG34" s="255"/>
      <c r="OH34" s="255"/>
      <c r="OI34" s="255"/>
      <c r="OJ34" s="255"/>
      <c r="OK34" s="255"/>
      <c r="OL34" s="255"/>
      <c r="OM34" s="255"/>
      <c r="ON34" s="255"/>
      <c r="OO34" s="255"/>
      <c r="OP34" s="255"/>
      <c r="OQ34" s="255"/>
      <c r="OR34" s="255"/>
      <c r="OS34" s="255"/>
      <c r="OT34" s="255"/>
      <c r="OU34" s="255"/>
      <c r="OV34" s="255"/>
      <c r="OW34" s="255"/>
      <c r="OX34" s="255"/>
      <c r="OY34" s="255"/>
      <c r="OZ34" s="255"/>
      <c r="PA34" s="255"/>
      <c r="PB34" s="255"/>
      <c r="PC34" s="255"/>
      <c r="PD34" s="255"/>
      <c r="PE34" s="255"/>
      <c r="PF34" s="255"/>
      <c r="PG34" s="255"/>
      <c r="PH34" s="255"/>
      <c r="PI34" s="255"/>
      <c r="PJ34" s="255"/>
      <c r="PK34" s="255"/>
      <c r="PL34" s="255"/>
      <c r="PM34" s="255"/>
      <c r="PN34" s="255"/>
      <c r="PO34" s="255"/>
      <c r="PP34" s="255"/>
      <c r="PQ34" s="255"/>
      <c r="PR34" s="255"/>
      <c r="PS34" s="255"/>
      <c r="PT34" s="255"/>
      <c r="PU34" s="255"/>
      <c r="PV34" s="255"/>
      <c r="PW34" s="255"/>
      <c r="PX34" s="255"/>
      <c r="PY34" s="255"/>
      <c r="PZ34" s="255"/>
      <c r="QA34" s="255"/>
      <c r="QB34" s="255"/>
      <c r="QC34" s="255"/>
      <c r="QD34" s="255"/>
      <c r="QE34" s="255"/>
      <c r="QF34" s="255"/>
      <c r="QG34" s="255"/>
      <c r="QH34" s="255"/>
      <c r="QI34" s="255"/>
      <c r="QJ34" s="255"/>
      <c r="QK34" s="255"/>
      <c r="QL34" s="255"/>
      <c r="QM34" s="255"/>
      <c r="QN34" s="255"/>
      <c r="QO34" s="255"/>
      <c r="QP34" s="255"/>
      <c r="QQ34" s="255"/>
      <c r="QR34" s="255"/>
      <c r="QS34" s="255"/>
      <c r="QT34" s="255"/>
      <c r="QU34" s="255"/>
      <c r="QV34" s="255"/>
      <c r="QW34" s="255"/>
      <c r="QX34" s="255"/>
      <c r="QY34" s="255"/>
      <c r="QZ34" s="255"/>
      <c r="RA34" s="255"/>
      <c r="RB34" s="255"/>
      <c r="RC34" s="255"/>
      <c r="RD34" s="255"/>
      <c r="RE34" s="255"/>
      <c r="RF34" s="255"/>
      <c r="RG34" s="255"/>
      <c r="RH34" s="255"/>
      <c r="RI34" s="255"/>
      <c r="RJ34" s="255"/>
      <c r="RK34" s="255"/>
      <c r="RL34" s="255"/>
      <c r="RM34" s="255"/>
      <c r="RN34" s="255"/>
      <c r="RO34" s="255"/>
      <c r="RP34" s="255"/>
      <c r="RQ34" s="255"/>
      <c r="RR34" s="255"/>
      <c r="RS34" s="255"/>
      <c r="RT34" s="255"/>
      <c r="RU34" s="255"/>
      <c r="RV34" s="255"/>
      <c r="RW34" s="255"/>
      <c r="RX34" s="255"/>
      <c r="RY34" s="255"/>
      <c r="RZ34" s="255"/>
      <c r="SA34" s="255"/>
      <c r="SB34" s="255"/>
      <c r="SC34" s="255"/>
      <c r="SD34" s="255"/>
      <c r="SE34" s="255"/>
      <c r="SF34" s="255"/>
      <c r="SG34" s="255"/>
      <c r="SH34" s="255"/>
      <c r="SI34" s="255"/>
      <c r="SJ34" s="255"/>
      <c r="SK34" s="255"/>
      <c r="SL34" s="255"/>
      <c r="SM34" s="255"/>
      <c r="SN34" s="255"/>
      <c r="SO34" s="255"/>
      <c r="SP34" s="255"/>
      <c r="SQ34" s="255"/>
      <c r="SR34" s="255"/>
      <c r="SS34" s="255"/>
      <c r="ST34" s="255"/>
      <c r="SU34" s="255"/>
      <c r="SV34" s="255"/>
      <c r="SW34" s="255"/>
      <c r="SX34" s="255"/>
      <c r="SY34" s="255"/>
      <c r="SZ34" s="255"/>
      <c r="TA34" s="255"/>
      <c r="TB34" s="255"/>
      <c r="TC34" s="255"/>
      <c r="TD34" s="255"/>
      <c r="TE34" s="255"/>
      <c r="TF34" s="255"/>
      <c r="TG34" s="255"/>
      <c r="TH34" s="255"/>
      <c r="TI34" s="255"/>
      <c r="TJ34" s="255"/>
      <c r="TK34" s="255"/>
      <c r="TL34" s="255"/>
      <c r="TM34" s="255"/>
      <c r="TN34" s="255"/>
      <c r="TO34" s="255"/>
      <c r="TP34" s="255"/>
      <c r="TQ34" s="255"/>
      <c r="TR34" s="255"/>
      <c r="TS34" s="255"/>
      <c r="TT34" s="255"/>
      <c r="TU34" s="255"/>
      <c r="TV34" s="255"/>
      <c r="TW34" s="255"/>
      <c r="TX34" s="255"/>
      <c r="TY34" s="255"/>
      <c r="TZ34" s="255"/>
      <c r="UA34" s="255"/>
      <c r="UB34" s="255"/>
      <c r="UC34" s="255"/>
      <c r="UD34" s="255"/>
      <c r="UE34" s="255"/>
      <c r="UF34" s="255"/>
      <c r="UG34" s="255"/>
      <c r="UH34" s="255"/>
      <c r="UI34" s="255"/>
      <c r="UJ34" s="255"/>
      <c r="UK34" s="255"/>
      <c r="UL34" s="255"/>
      <c r="UM34" s="255"/>
      <c r="UN34" s="255"/>
      <c r="UO34" s="255"/>
      <c r="UP34" s="255"/>
      <c r="UQ34" s="255"/>
      <c r="UR34" s="255"/>
      <c r="US34" s="255"/>
      <c r="UT34" s="255"/>
      <c r="UU34" s="255"/>
      <c r="UV34" s="255"/>
      <c r="UW34" s="255"/>
      <c r="UX34" s="255"/>
      <c r="UY34" s="255"/>
      <c r="UZ34" s="255"/>
      <c r="VA34" s="255"/>
      <c r="VB34" s="255"/>
      <c r="VC34" s="255"/>
      <c r="VD34" s="255"/>
      <c r="VE34" s="255"/>
      <c r="VF34" s="255"/>
      <c r="VG34" s="255"/>
      <c r="VH34" s="255"/>
      <c r="VI34" s="255"/>
      <c r="VJ34" s="255"/>
      <c r="VK34" s="255"/>
      <c r="VL34" s="255"/>
      <c r="VM34" s="255"/>
      <c r="VN34" s="255"/>
      <c r="VO34" s="255"/>
      <c r="VP34" s="255"/>
      <c r="VQ34" s="255"/>
      <c r="VR34" s="255"/>
      <c r="VS34" s="255"/>
      <c r="VT34" s="255"/>
      <c r="VU34" s="255"/>
      <c r="VV34" s="255"/>
      <c r="VW34" s="255"/>
      <c r="VX34" s="255"/>
      <c r="VY34" s="255"/>
      <c r="VZ34" s="255"/>
      <c r="WA34" s="255"/>
      <c r="WB34" s="255"/>
      <c r="WC34" s="255"/>
      <c r="WD34" s="255"/>
      <c r="WE34" s="255"/>
      <c r="WF34" s="255"/>
      <c r="WG34" s="255"/>
      <c r="WH34" s="255"/>
      <c r="WI34" s="255"/>
      <c r="WJ34" s="255"/>
      <c r="WK34" s="255"/>
      <c r="WL34" s="255"/>
      <c r="WM34" s="255"/>
      <c r="WN34" s="255"/>
      <c r="WO34" s="255"/>
      <c r="WP34" s="255"/>
      <c r="WQ34" s="255"/>
      <c r="WR34" s="255"/>
      <c r="WS34" s="255"/>
      <c r="WT34" s="255"/>
      <c r="WU34" s="255"/>
      <c r="WV34" s="255"/>
      <c r="WW34" s="255"/>
      <c r="WX34" s="255"/>
      <c r="WY34" s="255"/>
      <c r="WZ34" s="255"/>
      <c r="XA34" s="255"/>
      <c r="XB34" s="255"/>
      <c r="XC34" s="255"/>
      <c r="XD34" s="255"/>
      <c r="XE34" s="255"/>
      <c r="XF34" s="255"/>
      <c r="XG34" s="255"/>
      <c r="XH34" s="255"/>
      <c r="XI34" s="255"/>
      <c r="XJ34" s="255"/>
      <c r="XK34" s="255"/>
      <c r="XL34" s="255"/>
      <c r="XM34" s="255"/>
      <c r="XN34" s="255"/>
      <c r="XO34" s="255"/>
      <c r="XP34" s="255"/>
      <c r="XQ34" s="255"/>
      <c r="XR34" s="255"/>
      <c r="XS34" s="255"/>
      <c r="XT34" s="255"/>
      <c r="XU34" s="255"/>
      <c r="XV34" s="255"/>
      <c r="XW34" s="255"/>
      <c r="XX34" s="255"/>
      <c r="XY34" s="255"/>
      <c r="XZ34" s="255"/>
      <c r="YA34" s="255"/>
      <c r="YB34" s="255"/>
      <c r="YC34" s="255"/>
      <c r="YD34" s="255"/>
      <c r="YE34" s="255"/>
      <c r="YF34" s="255"/>
      <c r="YG34" s="255"/>
      <c r="YH34" s="255"/>
      <c r="YI34" s="255"/>
      <c r="YJ34" s="255"/>
      <c r="YK34" s="255"/>
      <c r="YL34" s="255"/>
      <c r="YM34" s="255"/>
      <c r="YN34" s="255"/>
      <c r="YO34" s="255"/>
      <c r="YP34" s="255"/>
      <c r="YQ34" s="255"/>
      <c r="YR34" s="255"/>
      <c r="YS34" s="255"/>
      <c r="YT34" s="255"/>
      <c r="YU34" s="255"/>
      <c r="YV34" s="255"/>
      <c r="YW34" s="255"/>
      <c r="YX34" s="255"/>
      <c r="YY34" s="255"/>
      <c r="YZ34" s="255"/>
      <c r="ZA34" s="255"/>
      <c r="ZB34" s="255"/>
      <c r="ZC34" s="255"/>
      <c r="ZD34" s="255"/>
      <c r="ZE34" s="255"/>
      <c r="ZF34" s="255"/>
      <c r="ZG34" s="255"/>
      <c r="ZH34" s="255"/>
      <c r="ZI34" s="255"/>
      <c r="ZJ34" s="255"/>
      <c r="ZK34" s="255"/>
      <c r="ZL34" s="255"/>
      <c r="ZM34" s="255"/>
      <c r="ZN34" s="255"/>
      <c r="ZO34" s="255"/>
      <c r="ZP34" s="255"/>
      <c r="ZQ34" s="255"/>
      <c r="ZR34" s="255"/>
      <c r="ZS34" s="255"/>
      <c r="ZT34" s="255"/>
      <c r="ZU34" s="255"/>
      <c r="ZV34" s="255"/>
      <c r="ZW34" s="255"/>
      <c r="ZX34" s="255"/>
      <c r="ZY34" s="255"/>
      <c r="ZZ34" s="255"/>
      <c r="AAA34" s="255"/>
      <c r="AAB34" s="255"/>
      <c r="AAC34" s="255"/>
      <c r="AAD34" s="255"/>
      <c r="AAE34" s="255"/>
      <c r="AAF34" s="255"/>
      <c r="AAG34" s="255"/>
      <c r="AAH34" s="255"/>
      <c r="AAI34" s="255"/>
      <c r="AAJ34" s="255"/>
      <c r="AAK34" s="255"/>
      <c r="AAL34" s="255"/>
      <c r="AAM34" s="255"/>
      <c r="AAN34" s="255"/>
      <c r="AAO34" s="255"/>
      <c r="AAP34" s="255"/>
      <c r="AAQ34" s="255"/>
      <c r="AAR34" s="255"/>
      <c r="AAS34" s="255"/>
      <c r="AAT34" s="255"/>
      <c r="AAU34" s="255"/>
      <c r="AAV34" s="255"/>
      <c r="AAW34" s="255"/>
      <c r="AAX34" s="255"/>
      <c r="AAY34" s="255"/>
      <c r="AAZ34" s="255"/>
      <c r="ABA34" s="255"/>
      <c r="ABB34" s="255"/>
      <c r="ABC34" s="255"/>
      <c r="ABD34" s="255"/>
      <c r="ABE34" s="255"/>
      <c r="ABF34" s="255"/>
      <c r="ABG34" s="255"/>
      <c r="ABH34" s="255"/>
      <c r="ABI34" s="255"/>
      <c r="ABJ34" s="255"/>
      <c r="ABK34" s="255"/>
      <c r="ABL34" s="255"/>
      <c r="ABM34" s="255"/>
      <c r="ABN34" s="255"/>
      <c r="ABO34" s="255"/>
      <c r="ABP34" s="255"/>
      <c r="ABQ34" s="255"/>
      <c r="ABR34" s="255"/>
      <c r="ABS34" s="255"/>
      <c r="ABT34" s="255"/>
      <c r="ABU34" s="255"/>
      <c r="ABV34" s="255"/>
      <c r="ABW34" s="255"/>
      <c r="ABX34" s="255"/>
      <c r="ABY34" s="255"/>
      <c r="ABZ34" s="255"/>
      <c r="ACA34" s="255"/>
      <c r="ACB34" s="255"/>
      <c r="ACC34" s="255"/>
      <c r="ACD34" s="255"/>
      <c r="ACE34" s="255"/>
      <c r="ACF34" s="255"/>
      <c r="ACG34" s="255"/>
      <c r="ACH34" s="255"/>
      <c r="ACI34" s="255"/>
      <c r="ACJ34" s="255"/>
      <c r="ACK34" s="255"/>
      <c r="ACL34" s="255"/>
      <c r="ACM34" s="255"/>
      <c r="ACN34" s="255"/>
      <c r="ACO34" s="255"/>
      <c r="ACP34" s="255"/>
      <c r="ACQ34" s="255"/>
      <c r="ACR34" s="255"/>
      <c r="ACS34" s="255"/>
      <c r="ACT34" s="255"/>
      <c r="ACU34" s="255"/>
      <c r="ACV34" s="255"/>
      <c r="ACW34" s="255"/>
      <c r="ACX34" s="255"/>
      <c r="ACY34" s="255"/>
      <c r="ACZ34" s="255"/>
      <c r="ADA34" s="255"/>
      <c r="ADB34" s="255"/>
      <c r="ADC34" s="255"/>
      <c r="ADD34" s="255"/>
      <c r="ADE34" s="255"/>
      <c r="ADF34" s="255"/>
      <c r="ADG34" s="255"/>
      <c r="ADH34" s="255"/>
      <c r="ADI34" s="255"/>
      <c r="ADJ34" s="255"/>
      <c r="ADK34" s="255"/>
      <c r="ADL34" s="255"/>
      <c r="ADM34" s="255"/>
      <c r="ADN34" s="255"/>
      <c r="ADO34" s="255"/>
      <c r="ADP34" s="255"/>
      <c r="ADQ34" s="255"/>
      <c r="ADR34" s="255"/>
      <c r="ADS34" s="255"/>
      <c r="ADT34" s="255"/>
      <c r="ADU34" s="255"/>
      <c r="ADV34" s="255"/>
      <c r="ADW34" s="255"/>
      <c r="ADX34" s="255"/>
      <c r="ADY34" s="255"/>
      <c r="ADZ34" s="255"/>
      <c r="AEA34" s="255"/>
      <c r="AEB34" s="255"/>
      <c r="AEC34" s="255"/>
      <c r="AED34" s="255"/>
      <c r="AEE34" s="255"/>
      <c r="AEF34" s="255"/>
      <c r="AEG34" s="255"/>
      <c r="AEH34" s="255"/>
      <c r="AEI34" s="255"/>
      <c r="AEJ34" s="255"/>
      <c r="AEK34" s="255"/>
      <c r="AEL34" s="255"/>
      <c r="AEM34" s="255"/>
      <c r="AEN34" s="255"/>
      <c r="AEO34" s="255"/>
      <c r="AEP34" s="255"/>
      <c r="AEQ34" s="255"/>
      <c r="AER34" s="255"/>
      <c r="AES34" s="255"/>
      <c r="AET34" s="255"/>
      <c r="AEU34" s="255"/>
      <c r="AEV34" s="255"/>
      <c r="AEW34" s="255"/>
      <c r="AEX34" s="255"/>
      <c r="AEY34" s="255"/>
      <c r="AEZ34" s="255"/>
      <c r="AFA34" s="255"/>
      <c r="AFB34" s="255"/>
      <c r="AFC34" s="255"/>
      <c r="AFD34" s="255"/>
      <c r="AFE34" s="255"/>
      <c r="AFF34" s="255"/>
      <c r="AFG34" s="255"/>
      <c r="AFH34" s="255"/>
      <c r="AFI34" s="255"/>
      <c r="AFJ34" s="255"/>
      <c r="AFK34" s="255"/>
      <c r="AFL34" s="255"/>
      <c r="AFM34" s="255"/>
      <c r="AFN34" s="255"/>
      <c r="AFO34" s="255"/>
      <c r="AFP34" s="255"/>
      <c r="AFQ34" s="255"/>
      <c r="AFR34" s="255"/>
      <c r="AFS34" s="255"/>
      <c r="AFT34" s="255"/>
      <c r="AFU34" s="255"/>
      <c r="AFV34" s="255"/>
      <c r="AFW34" s="255"/>
      <c r="AFX34" s="255"/>
      <c r="AFY34" s="255"/>
      <c r="AFZ34" s="255"/>
      <c r="AGA34" s="255"/>
      <c r="AGB34" s="255"/>
      <c r="AGC34" s="255"/>
      <c r="AGD34" s="255"/>
      <c r="AGE34" s="255"/>
      <c r="AGF34" s="255"/>
      <c r="AGG34" s="255"/>
      <c r="AGH34" s="255"/>
      <c r="AGI34" s="255"/>
      <c r="AGJ34" s="255"/>
      <c r="AGK34" s="255"/>
      <c r="AGL34" s="255"/>
      <c r="AGM34" s="255"/>
      <c r="AGN34" s="255"/>
      <c r="AGO34" s="255"/>
      <c r="AGP34" s="255"/>
      <c r="AGQ34" s="255"/>
      <c r="AGR34" s="255"/>
      <c r="AGS34" s="255"/>
      <c r="AGT34" s="255"/>
      <c r="AGU34" s="255"/>
      <c r="AGV34" s="255"/>
      <c r="AGW34" s="255"/>
      <c r="AGX34" s="255"/>
      <c r="AGY34" s="255"/>
      <c r="AGZ34" s="255"/>
      <c r="AHA34" s="255"/>
      <c r="AHB34" s="255"/>
      <c r="AHC34" s="255"/>
      <c r="AHD34" s="255"/>
      <c r="AHE34" s="255"/>
      <c r="AHF34" s="255"/>
      <c r="AHG34" s="255"/>
      <c r="AHH34" s="255"/>
      <c r="AHI34" s="255"/>
      <c r="AHJ34" s="255"/>
      <c r="AHK34" s="255"/>
      <c r="AHL34" s="255"/>
      <c r="AHM34" s="255"/>
      <c r="AHN34" s="255"/>
      <c r="AHO34" s="255"/>
      <c r="AHP34" s="255"/>
      <c r="AHQ34" s="255"/>
      <c r="AHR34" s="255"/>
      <c r="AHS34" s="255"/>
      <c r="AHT34" s="255"/>
      <c r="AHU34" s="255"/>
      <c r="AHV34" s="255"/>
      <c r="AHW34" s="255"/>
      <c r="AHX34" s="255"/>
      <c r="AHY34" s="255"/>
      <c r="AHZ34" s="255"/>
      <c r="AIA34" s="255"/>
      <c r="AIB34" s="255"/>
      <c r="AIC34" s="255"/>
      <c r="AID34" s="255"/>
      <c r="AIE34" s="255"/>
      <c r="AIF34" s="255"/>
      <c r="AIG34" s="255"/>
      <c r="AIH34" s="255"/>
      <c r="AII34" s="255"/>
      <c r="AIJ34" s="255"/>
      <c r="AIK34" s="255"/>
      <c r="AIL34" s="255"/>
      <c r="AIM34" s="255"/>
      <c r="AIN34" s="255"/>
      <c r="AIO34" s="255"/>
      <c r="AIP34" s="255"/>
      <c r="AIQ34" s="255"/>
      <c r="AIR34" s="255"/>
      <c r="AIS34" s="255"/>
      <c r="AIT34" s="255"/>
      <c r="AIU34" s="255"/>
      <c r="AIV34" s="255"/>
      <c r="AIW34" s="255"/>
      <c r="AIX34" s="255"/>
      <c r="AIY34" s="255"/>
      <c r="AIZ34" s="255"/>
      <c r="AJA34" s="255"/>
      <c r="AJB34" s="255"/>
      <c r="AJC34" s="255"/>
      <c r="AJD34" s="255"/>
      <c r="AJE34" s="255"/>
      <c r="AJF34" s="255"/>
      <c r="AJG34" s="255"/>
      <c r="AJH34" s="255"/>
      <c r="AJI34" s="255"/>
      <c r="AJJ34" s="255"/>
      <c r="AJK34" s="255"/>
      <c r="AJL34" s="255"/>
      <c r="AJM34" s="255"/>
      <c r="AJN34" s="255"/>
      <c r="AJO34" s="255"/>
      <c r="AJP34" s="255"/>
      <c r="AJQ34" s="255"/>
      <c r="AJR34" s="255"/>
      <c r="AJS34" s="255"/>
      <c r="AJT34" s="255"/>
      <c r="AJU34" s="255"/>
      <c r="AJV34" s="255"/>
      <c r="AJW34" s="255"/>
      <c r="AJX34" s="255"/>
      <c r="AJY34" s="255"/>
      <c r="AJZ34" s="255"/>
      <c r="AKA34" s="255"/>
      <c r="AKB34" s="255"/>
      <c r="AKC34" s="255"/>
      <c r="AKD34" s="255"/>
      <c r="AKE34" s="255"/>
      <c r="AKF34" s="255"/>
      <c r="AKG34" s="255"/>
      <c r="AKH34" s="255"/>
      <c r="AKI34" s="255"/>
      <c r="AKJ34" s="255"/>
      <c r="AKK34" s="255"/>
      <c r="AKL34" s="255"/>
      <c r="AKM34" s="255"/>
      <c r="AKN34" s="255"/>
      <c r="AKO34" s="255"/>
      <c r="AKP34" s="255"/>
      <c r="AKQ34" s="255"/>
      <c r="AKR34" s="255"/>
      <c r="AKS34" s="255"/>
      <c r="AKT34" s="255"/>
      <c r="AKU34" s="255"/>
      <c r="AKV34" s="255"/>
      <c r="AKW34" s="255"/>
      <c r="AKX34" s="255"/>
      <c r="AKY34" s="255"/>
      <c r="AKZ34" s="255"/>
      <c r="ALA34" s="255"/>
      <c r="ALB34" s="255"/>
      <c r="ALC34" s="255"/>
      <c r="ALD34" s="255"/>
      <c r="ALE34" s="255"/>
      <c r="ALF34" s="255"/>
      <c r="ALG34" s="255"/>
      <c r="ALH34" s="255"/>
      <c r="ALI34" s="255"/>
      <c r="ALJ34" s="255"/>
      <c r="ALK34" s="255"/>
      <c r="ALL34" s="42"/>
      <c r="ALM34" s="42"/>
      <c r="ALN34" s="42"/>
      <c r="ALO34" s="42"/>
      <c r="ALP34" s="42"/>
      <c r="ALQ34" s="42"/>
      <c r="ALR34" s="42"/>
      <c r="ALS34" s="42"/>
      <c r="ALT34" s="42"/>
    </row>
    <row r="35" spans="1:1008" s="112" customFormat="1" ht="24" customHeight="1">
      <c r="A35" s="680" t="s">
        <v>6927</v>
      </c>
      <c r="B35" s="680"/>
      <c r="C35" s="680"/>
      <c r="D35" s="680"/>
      <c r="E35" s="680"/>
      <c r="F35" s="680"/>
      <c r="G35" s="680"/>
      <c r="H35" s="680"/>
      <c r="I35" s="680"/>
      <c r="J35" s="281">
        <f>SUM(J27:J34)</f>
        <v>5800.7707409799987</v>
      </c>
      <c r="K35" s="255"/>
      <c r="L35" s="255"/>
      <c r="M35" s="255"/>
      <c r="N35" s="255"/>
      <c r="O35" s="255"/>
      <c r="P35" s="223"/>
    </row>
    <row r="36" spans="1:1008">
      <c r="A36" s="251"/>
      <c r="B36" s="290">
        <v>168</v>
      </c>
      <c r="C36" s="273" t="s">
        <v>607</v>
      </c>
      <c r="D36" s="274"/>
      <c r="E36" s="276"/>
      <c r="F36" s="276"/>
      <c r="G36" s="276"/>
      <c r="H36" s="276"/>
      <c r="I36" s="280"/>
      <c r="J36" s="280"/>
      <c r="K36" s="255"/>
      <c r="L36" s="255"/>
      <c r="M36" s="255"/>
      <c r="N36" s="255"/>
      <c r="O36" s="255"/>
    </row>
    <row r="37" spans="1:1008" s="191" customFormat="1" ht="24">
      <c r="A37" s="251" t="s">
        <v>7</v>
      </c>
      <c r="B37" s="328">
        <v>96533</v>
      </c>
      <c r="C37" s="329" t="str">
        <f>(IF($A37="SINAPI",INDEX(SINAPI_NOV2020_NDES!$A$7:$H$6703,MATCH($B37,SINAPI_NOV2020_NDES!$A$7:$A$6703,0),2),IF($A37="GOINFRA",INDEX(#REF!,MATCH($B37,#REF!,0),2),(INDEX(COMPOS!$A$4:$G$390,MATCH($B37,COMPOS!$A$4:A$390,0),2)))))</f>
        <v>FABRICAÇÃO, MONTAGEM E DESMONTAGEM DE FÔRMA PARA VIGA BALDRAME, EM MADEIRA SERRADA, E=25 MM, 2 UTILIZAÇÕES. AF_06/2017</v>
      </c>
      <c r="D37" s="274" t="str">
        <f>(IF($A37="SINAPI",INDEX(SINAPI_NOV2020_NDES!$A$7:$H$6790,MATCH($B37,SINAPI_NOV2020_NDES!$A$7:$A$6790,0),3),(INDEX(COMPOS!$A$4:$G$5000,MATCH($B37,COMPOS!$A$4:$A$5000,0),3))))</f>
        <v>M2</v>
      </c>
      <c r="E37" s="276">
        <v>6.32</v>
      </c>
      <c r="F37" s="279">
        <f>(IF($A37="SINAPI",INDEX(SINAPI_NOV2020_NDES!$A$7:$H$6703,MATCH($B37,SINAPI_NOV2020_NDES!$A$7:$A$6703,0),5),(INDEX(COMPOS!$A$4:$G$801,MATCH($B37,COMPOS!$A$4:A$801,0),4))))</f>
        <v>29.96</v>
      </c>
      <c r="G37" s="280">
        <f>(IF($A37="SINAPI",INDEX(SINAPI_NOV2020_NDES!$A$7:$H$6703,MATCH($B37,SINAPI_NOV2020_NDES!$A$7:$A$6703,0),6),(INDEX(COMPOS!$A$4:$G$801,MATCH($B37,COMPOS!$A$4:A$801,0),5))))</f>
        <v>41.33</v>
      </c>
      <c r="H37" s="280">
        <f>(IF($A37="SINAPI",INDEX(SINAPI_NOV2020_NDES!$A$7:$H$6703,MATCH($B37,SINAPI_NOV2020_NDES!$A$7:$A$6703,0),7),(INDEX(COMPOS!$A$4:$G$801,MATCH($B37,COMPOS!$A$4:A$801,0),6))))</f>
        <v>0</v>
      </c>
      <c r="I37" s="279">
        <f t="shared" ref="I37" si="12">SUM(F37:H37)</f>
        <v>71.289999999999992</v>
      </c>
      <c r="J37" s="276">
        <f t="shared" ref="J37" si="13">+I37*E37</f>
        <v>450.55279999999999</v>
      </c>
      <c r="K37" s="255"/>
      <c r="L37" s="255"/>
      <c r="M37" s="255"/>
      <c r="N37" s="255"/>
      <c r="O37" s="257"/>
      <c r="P37" s="223"/>
      <c r="Q37" s="255"/>
      <c r="R37" s="255"/>
      <c r="S37" s="255"/>
      <c r="T37" s="255"/>
      <c r="U37" s="255"/>
      <c r="V37" s="255"/>
      <c r="W37" s="255"/>
      <c r="X37" s="255"/>
      <c r="Y37" s="255"/>
      <c r="Z37" s="255"/>
      <c r="AA37" s="255"/>
      <c r="AB37" s="255"/>
      <c r="AC37" s="255"/>
      <c r="AD37" s="255"/>
      <c r="AE37" s="255"/>
      <c r="AF37" s="255"/>
      <c r="AG37" s="255"/>
      <c r="AH37" s="255"/>
      <c r="AI37" s="255"/>
      <c r="AJ37" s="255"/>
      <c r="AK37" s="255"/>
      <c r="AL37" s="255"/>
      <c r="AM37" s="255"/>
      <c r="AN37" s="255"/>
      <c r="AO37" s="255"/>
      <c r="AP37" s="255"/>
      <c r="AQ37" s="255"/>
      <c r="AR37" s="255"/>
      <c r="AS37" s="255"/>
      <c r="AT37" s="255"/>
      <c r="AU37" s="255"/>
      <c r="AV37" s="255"/>
      <c r="AW37" s="255"/>
      <c r="AX37" s="255"/>
      <c r="AY37" s="255"/>
      <c r="AZ37" s="255"/>
      <c r="BA37" s="255"/>
      <c r="BB37" s="255"/>
      <c r="BC37" s="255"/>
      <c r="BD37" s="255"/>
      <c r="BE37" s="255"/>
      <c r="BF37" s="255"/>
      <c r="BG37" s="255"/>
      <c r="BH37" s="255"/>
      <c r="BI37" s="255"/>
      <c r="BJ37" s="255"/>
      <c r="BK37" s="255"/>
      <c r="BL37" s="255"/>
      <c r="BM37" s="255"/>
      <c r="BN37" s="255"/>
      <c r="BO37" s="255"/>
      <c r="BP37" s="255"/>
      <c r="BQ37" s="255"/>
      <c r="BR37" s="255"/>
      <c r="BS37" s="255"/>
      <c r="BT37" s="255"/>
      <c r="BU37" s="255"/>
      <c r="BV37" s="255"/>
      <c r="BW37" s="255"/>
      <c r="BX37" s="255"/>
      <c r="BY37" s="255"/>
      <c r="BZ37" s="255"/>
      <c r="CA37" s="255"/>
      <c r="CB37" s="255"/>
      <c r="CC37" s="255"/>
      <c r="CD37" s="255"/>
      <c r="CE37" s="255"/>
      <c r="CF37" s="255"/>
      <c r="CG37" s="255"/>
      <c r="CH37" s="255"/>
      <c r="CI37" s="255"/>
      <c r="CJ37" s="255"/>
      <c r="CK37" s="255"/>
      <c r="CL37" s="255"/>
      <c r="CM37" s="255"/>
      <c r="CN37" s="255"/>
      <c r="CO37" s="255"/>
      <c r="CP37" s="255"/>
      <c r="CQ37" s="255"/>
      <c r="CR37" s="255"/>
      <c r="CS37" s="255"/>
      <c r="CT37" s="255"/>
      <c r="CU37" s="255"/>
      <c r="CV37" s="255"/>
      <c r="CW37" s="255"/>
      <c r="CX37" s="255"/>
      <c r="CY37" s="255"/>
      <c r="CZ37" s="255"/>
      <c r="DA37" s="255"/>
      <c r="DB37" s="255"/>
      <c r="DC37" s="255"/>
      <c r="DD37" s="255"/>
      <c r="DE37" s="255"/>
      <c r="DF37" s="255"/>
      <c r="DG37" s="255"/>
      <c r="DH37" s="255"/>
      <c r="DI37" s="255"/>
      <c r="DJ37" s="255"/>
      <c r="DK37" s="255"/>
      <c r="DL37" s="255"/>
      <c r="DM37" s="255"/>
      <c r="DN37" s="255"/>
      <c r="DO37" s="255"/>
      <c r="DP37" s="255"/>
      <c r="DQ37" s="255"/>
      <c r="DR37" s="255"/>
      <c r="DS37" s="255"/>
      <c r="DT37" s="255"/>
      <c r="DU37" s="255"/>
      <c r="DV37" s="255"/>
      <c r="DW37" s="255"/>
      <c r="DX37" s="255"/>
      <c r="DY37" s="255"/>
      <c r="DZ37" s="255"/>
      <c r="EA37" s="255"/>
      <c r="EB37" s="255"/>
      <c r="EC37" s="255"/>
      <c r="ED37" s="255"/>
      <c r="EE37" s="255"/>
      <c r="EF37" s="255"/>
      <c r="EG37" s="255"/>
      <c r="EH37" s="255"/>
      <c r="EI37" s="255"/>
      <c r="EJ37" s="255"/>
      <c r="EK37" s="255"/>
      <c r="EL37" s="255"/>
      <c r="EM37" s="255"/>
      <c r="EN37" s="255"/>
      <c r="EO37" s="255"/>
      <c r="EP37" s="255"/>
      <c r="EQ37" s="255"/>
      <c r="ER37" s="255"/>
      <c r="ES37" s="255"/>
      <c r="ET37" s="255"/>
      <c r="EU37" s="255"/>
      <c r="EV37" s="255"/>
      <c r="EW37" s="255"/>
      <c r="EX37" s="255"/>
      <c r="EY37" s="255"/>
      <c r="EZ37" s="255"/>
      <c r="FA37" s="255"/>
      <c r="FB37" s="255"/>
      <c r="FC37" s="255"/>
      <c r="FD37" s="255"/>
      <c r="FE37" s="255"/>
      <c r="FF37" s="255"/>
      <c r="FG37" s="255"/>
      <c r="FH37" s="255"/>
      <c r="FI37" s="255"/>
      <c r="FJ37" s="255"/>
      <c r="FK37" s="255"/>
      <c r="FL37" s="255"/>
      <c r="FM37" s="255"/>
      <c r="FN37" s="255"/>
      <c r="FO37" s="255"/>
      <c r="FP37" s="255"/>
      <c r="FQ37" s="255"/>
      <c r="FR37" s="255"/>
      <c r="FS37" s="255"/>
      <c r="FT37" s="255"/>
      <c r="FU37" s="255"/>
      <c r="FV37" s="255"/>
      <c r="FW37" s="255"/>
      <c r="FX37" s="255"/>
      <c r="FY37" s="255"/>
      <c r="FZ37" s="255"/>
      <c r="GA37" s="255"/>
      <c r="GB37" s="255"/>
      <c r="GC37" s="255"/>
      <c r="GD37" s="255"/>
      <c r="GE37" s="255"/>
      <c r="GF37" s="255"/>
      <c r="GG37" s="255"/>
      <c r="GH37" s="255"/>
      <c r="GI37" s="255"/>
      <c r="GJ37" s="255"/>
      <c r="GK37" s="255"/>
      <c r="GL37" s="255"/>
      <c r="GM37" s="255"/>
      <c r="GN37" s="255"/>
      <c r="GO37" s="255"/>
      <c r="GP37" s="255"/>
      <c r="GQ37" s="255"/>
      <c r="GR37" s="255"/>
      <c r="GS37" s="255"/>
      <c r="GT37" s="255"/>
      <c r="GU37" s="255"/>
      <c r="GV37" s="255"/>
      <c r="GW37" s="255"/>
      <c r="GX37" s="255"/>
      <c r="GY37" s="255"/>
      <c r="GZ37" s="255"/>
      <c r="HA37" s="255"/>
      <c r="HB37" s="255"/>
      <c r="HC37" s="255"/>
      <c r="HD37" s="255"/>
      <c r="HE37" s="255"/>
      <c r="HF37" s="255"/>
      <c r="HG37" s="255"/>
      <c r="HH37" s="255"/>
      <c r="HI37" s="255"/>
      <c r="HJ37" s="255"/>
      <c r="HK37" s="255"/>
      <c r="HL37" s="255"/>
      <c r="HM37" s="255"/>
      <c r="HN37" s="255"/>
      <c r="HO37" s="255"/>
      <c r="HP37" s="255"/>
      <c r="HQ37" s="255"/>
      <c r="HR37" s="255"/>
      <c r="HS37" s="255"/>
      <c r="HT37" s="255"/>
      <c r="HU37" s="255"/>
      <c r="HV37" s="255"/>
      <c r="HW37" s="255"/>
      <c r="HX37" s="255"/>
      <c r="HY37" s="255"/>
      <c r="HZ37" s="255"/>
      <c r="IA37" s="255"/>
      <c r="IB37" s="255"/>
      <c r="IC37" s="255"/>
      <c r="ID37" s="255"/>
      <c r="IE37" s="255"/>
      <c r="IF37" s="255"/>
      <c r="IG37" s="255"/>
      <c r="IH37" s="255"/>
      <c r="II37" s="255"/>
      <c r="IJ37" s="255"/>
      <c r="IK37" s="255"/>
      <c r="IL37" s="255"/>
      <c r="IM37" s="255"/>
      <c r="IN37" s="255"/>
      <c r="IO37" s="255"/>
      <c r="IP37" s="255"/>
      <c r="IQ37" s="255"/>
      <c r="IR37" s="255"/>
      <c r="IS37" s="255"/>
      <c r="IT37" s="255"/>
      <c r="IU37" s="255"/>
      <c r="IV37" s="255"/>
      <c r="IW37" s="255"/>
      <c r="IX37" s="255"/>
      <c r="IY37" s="255"/>
      <c r="IZ37" s="255"/>
      <c r="JA37" s="255"/>
      <c r="JB37" s="255"/>
      <c r="JC37" s="255"/>
      <c r="JD37" s="255"/>
      <c r="JE37" s="255"/>
      <c r="JF37" s="255"/>
      <c r="JG37" s="255"/>
      <c r="JH37" s="255"/>
      <c r="JI37" s="255"/>
      <c r="JJ37" s="255"/>
      <c r="JK37" s="255"/>
      <c r="JL37" s="255"/>
      <c r="JM37" s="255"/>
      <c r="JN37" s="255"/>
      <c r="JO37" s="255"/>
      <c r="JP37" s="255"/>
      <c r="JQ37" s="255"/>
      <c r="JR37" s="255"/>
      <c r="JS37" s="255"/>
      <c r="JT37" s="255"/>
      <c r="JU37" s="255"/>
      <c r="JV37" s="255"/>
      <c r="JW37" s="255"/>
      <c r="JX37" s="255"/>
      <c r="JY37" s="255"/>
      <c r="JZ37" s="255"/>
      <c r="KA37" s="255"/>
      <c r="KB37" s="255"/>
      <c r="KC37" s="255"/>
      <c r="KD37" s="255"/>
      <c r="KE37" s="255"/>
      <c r="KF37" s="255"/>
      <c r="KG37" s="255"/>
      <c r="KH37" s="255"/>
      <c r="KI37" s="255"/>
      <c r="KJ37" s="255"/>
      <c r="KK37" s="255"/>
      <c r="KL37" s="255"/>
      <c r="KM37" s="255"/>
      <c r="KN37" s="255"/>
      <c r="KO37" s="255"/>
      <c r="KP37" s="255"/>
      <c r="KQ37" s="255"/>
      <c r="KR37" s="255"/>
      <c r="KS37" s="255"/>
      <c r="KT37" s="255"/>
      <c r="KU37" s="255"/>
      <c r="KV37" s="255"/>
      <c r="KW37" s="255"/>
      <c r="KX37" s="255"/>
      <c r="KY37" s="255"/>
      <c r="KZ37" s="255"/>
      <c r="LA37" s="255"/>
      <c r="LB37" s="255"/>
      <c r="LC37" s="255"/>
      <c r="LD37" s="255"/>
      <c r="LE37" s="255"/>
      <c r="LF37" s="255"/>
      <c r="LG37" s="255"/>
      <c r="LH37" s="255"/>
      <c r="LI37" s="255"/>
      <c r="LJ37" s="255"/>
      <c r="LK37" s="255"/>
      <c r="LL37" s="255"/>
      <c r="LM37" s="255"/>
      <c r="LN37" s="255"/>
      <c r="LO37" s="255"/>
      <c r="LP37" s="255"/>
      <c r="LQ37" s="255"/>
      <c r="LR37" s="255"/>
      <c r="LS37" s="255"/>
      <c r="LT37" s="255"/>
      <c r="LU37" s="255"/>
      <c r="LV37" s="255"/>
      <c r="LW37" s="255"/>
      <c r="LX37" s="255"/>
      <c r="LY37" s="255"/>
      <c r="LZ37" s="255"/>
      <c r="MA37" s="255"/>
      <c r="MB37" s="255"/>
      <c r="MC37" s="255"/>
      <c r="MD37" s="255"/>
      <c r="ME37" s="255"/>
      <c r="MF37" s="255"/>
      <c r="MG37" s="255"/>
      <c r="MH37" s="255"/>
      <c r="MI37" s="255"/>
      <c r="MJ37" s="255"/>
      <c r="MK37" s="255"/>
      <c r="ML37" s="255"/>
      <c r="MM37" s="255"/>
      <c r="MN37" s="255"/>
      <c r="MO37" s="255"/>
      <c r="MP37" s="255"/>
      <c r="MQ37" s="255"/>
      <c r="MR37" s="255"/>
      <c r="MS37" s="255"/>
      <c r="MT37" s="255"/>
      <c r="MU37" s="255"/>
      <c r="MV37" s="255"/>
      <c r="MW37" s="255"/>
      <c r="MX37" s="255"/>
      <c r="MY37" s="255"/>
      <c r="MZ37" s="255"/>
      <c r="NA37" s="255"/>
      <c r="NB37" s="255"/>
      <c r="NC37" s="255"/>
      <c r="ND37" s="255"/>
      <c r="NE37" s="255"/>
      <c r="NF37" s="255"/>
      <c r="NG37" s="255"/>
      <c r="NH37" s="255"/>
      <c r="NI37" s="255"/>
      <c r="NJ37" s="255"/>
      <c r="NK37" s="255"/>
      <c r="NL37" s="255"/>
      <c r="NM37" s="255"/>
      <c r="NN37" s="255"/>
      <c r="NO37" s="255"/>
      <c r="NP37" s="255"/>
      <c r="NQ37" s="255"/>
      <c r="NR37" s="255"/>
      <c r="NS37" s="255"/>
      <c r="NT37" s="255"/>
      <c r="NU37" s="255"/>
      <c r="NV37" s="255"/>
      <c r="NW37" s="255"/>
      <c r="NX37" s="255"/>
      <c r="NY37" s="255"/>
      <c r="NZ37" s="255"/>
      <c r="OA37" s="255"/>
      <c r="OB37" s="255"/>
      <c r="OC37" s="255"/>
      <c r="OD37" s="255"/>
      <c r="OE37" s="255"/>
      <c r="OF37" s="255"/>
      <c r="OG37" s="255"/>
      <c r="OH37" s="255"/>
      <c r="OI37" s="255"/>
      <c r="OJ37" s="255"/>
      <c r="OK37" s="255"/>
      <c r="OL37" s="255"/>
      <c r="OM37" s="255"/>
      <c r="ON37" s="255"/>
      <c r="OO37" s="255"/>
      <c r="OP37" s="255"/>
      <c r="OQ37" s="255"/>
      <c r="OR37" s="255"/>
      <c r="OS37" s="255"/>
      <c r="OT37" s="255"/>
      <c r="OU37" s="255"/>
      <c r="OV37" s="255"/>
      <c r="OW37" s="255"/>
      <c r="OX37" s="255"/>
      <c r="OY37" s="255"/>
      <c r="OZ37" s="255"/>
      <c r="PA37" s="255"/>
      <c r="PB37" s="255"/>
      <c r="PC37" s="255"/>
      <c r="PD37" s="255"/>
      <c r="PE37" s="255"/>
      <c r="PF37" s="255"/>
      <c r="PG37" s="255"/>
      <c r="PH37" s="255"/>
      <c r="PI37" s="255"/>
      <c r="PJ37" s="255"/>
      <c r="PK37" s="255"/>
      <c r="PL37" s="255"/>
      <c r="PM37" s="255"/>
      <c r="PN37" s="255"/>
      <c r="PO37" s="255"/>
      <c r="PP37" s="255"/>
      <c r="PQ37" s="255"/>
      <c r="PR37" s="255"/>
      <c r="PS37" s="255"/>
      <c r="PT37" s="255"/>
      <c r="PU37" s="255"/>
      <c r="PV37" s="255"/>
      <c r="PW37" s="255"/>
      <c r="PX37" s="255"/>
      <c r="PY37" s="255"/>
      <c r="PZ37" s="255"/>
      <c r="QA37" s="255"/>
      <c r="QB37" s="255"/>
      <c r="QC37" s="255"/>
      <c r="QD37" s="255"/>
      <c r="QE37" s="255"/>
      <c r="QF37" s="255"/>
      <c r="QG37" s="255"/>
      <c r="QH37" s="255"/>
      <c r="QI37" s="255"/>
      <c r="QJ37" s="255"/>
      <c r="QK37" s="255"/>
      <c r="QL37" s="255"/>
      <c r="QM37" s="255"/>
      <c r="QN37" s="255"/>
      <c r="QO37" s="255"/>
      <c r="QP37" s="255"/>
      <c r="QQ37" s="255"/>
      <c r="QR37" s="255"/>
      <c r="QS37" s="255"/>
      <c r="QT37" s="255"/>
      <c r="QU37" s="255"/>
      <c r="QV37" s="255"/>
      <c r="QW37" s="255"/>
      <c r="QX37" s="255"/>
      <c r="QY37" s="255"/>
      <c r="QZ37" s="255"/>
      <c r="RA37" s="255"/>
      <c r="RB37" s="255"/>
      <c r="RC37" s="255"/>
      <c r="RD37" s="255"/>
      <c r="RE37" s="255"/>
      <c r="RF37" s="255"/>
      <c r="RG37" s="255"/>
      <c r="RH37" s="255"/>
      <c r="RI37" s="255"/>
      <c r="RJ37" s="255"/>
      <c r="RK37" s="255"/>
      <c r="RL37" s="255"/>
      <c r="RM37" s="255"/>
      <c r="RN37" s="255"/>
      <c r="RO37" s="255"/>
      <c r="RP37" s="255"/>
      <c r="RQ37" s="255"/>
      <c r="RR37" s="255"/>
      <c r="RS37" s="255"/>
      <c r="RT37" s="255"/>
      <c r="RU37" s="255"/>
      <c r="RV37" s="255"/>
      <c r="RW37" s="255"/>
      <c r="RX37" s="255"/>
      <c r="RY37" s="255"/>
      <c r="RZ37" s="255"/>
      <c r="SA37" s="255"/>
      <c r="SB37" s="255"/>
      <c r="SC37" s="255"/>
      <c r="SD37" s="255"/>
      <c r="SE37" s="255"/>
      <c r="SF37" s="255"/>
      <c r="SG37" s="255"/>
      <c r="SH37" s="255"/>
      <c r="SI37" s="255"/>
      <c r="SJ37" s="255"/>
      <c r="SK37" s="255"/>
      <c r="SL37" s="255"/>
      <c r="SM37" s="255"/>
      <c r="SN37" s="255"/>
      <c r="SO37" s="255"/>
      <c r="SP37" s="255"/>
      <c r="SQ37" s="255"/>
      <c r="SR37" s="255"/>
      <c r="SS37" s="255"/>
      <c r="ST37" s="255"/>
      <c r="SU37" s="255"/>
      <c r="SV37" s="255"/>
      <c r="SW37" s="255"/>
      <c r="SX37" s="255"/>
      <c r="SY37" s="255"/>
      <c r="SZ37" s="255"/>
      <c r="TA37" s="255"/>
      <c r="TB37" s="255"/>
      <c r="TC37" s="255"/>
      <c r="TD37" s="255"/>
      <c r="TE37" s="255"/>
      <c r="TF37" s="255"/>
      <c r="TG37" s="255"/>
      <c r="TH37" s="255"/>
      <c r="TI37" s="255"/>
      <c r="TJ37" s="255"/>
      <c r="TK37" s="255"/>
      <c r="TL37" s="255"/>
      <c r="TM37" s="255"/>
      <c r="TN37" s="255"/>
      <c r="TO37" s="255"/>
      <c r="TP37" s="255"/>
      <c r="TQ37" s="255"/>
      <c r="TR37" s="255"/>
      <c r="TS37" s="255"/>
      <c r="TT37" s="255"/>
      <c r="TU37" s="255"/>
      <c r="TV37" s="255"/>
      <c r="TW37" s="255"/>
      <c r="TX37" s="255"/>
      <c r="TY37" s="255"/>
      <c r="TZ37" s="255"/>
      <c r="UA37" s="255"/>
      <c r="UB37" s="255"/>
      <c r="UC37" s="255"/>
      <c r="UD37" s="255"/>
      <c r="UE37" s="255"/>
      <c r="UF37" s="255"/>
      <c r="UG37" s="255"/>
      <c r="UH37" s="255"/>
      <c r="UI37" s="255"/>
      <c r="UJ37" s="255"/>
      <c r="UK37" s="255"/>
      <c r="UL37" s="255"/>
      <c r="UM37" s="255"/>
      <c r="UN37" s="255"/>
      <c r="UO37" s="255"/>
      <c r="UP37" s="255"/>
      <c r="UQ37" s="255"/>
      <c r="UR37" s="255"/>
      <c r="US37" s="255"/>
      <c r="UT37" s="255"/>
      <c r="UU37" s="255"/>
      <c r="UV37" s="255"/>
      <c r="UW37" s="255"/>
      <c r="UX37" s="255"/>
      <c r="UY37" s="255"/>
      <c r="UZ37" s="255"/>
      <c r="VA37" s="255"/>
      <c r="VB37" s="255"/>
      <c r="VC37" s="255"/>
      <c r="VD37" s="255"/>
      <c r="VE37" s="255"/>
      <c r="VF37" s="255"/>
      <c r="VG37" s="255"/>
      <c r="VH37" s="255"/>
      <c r="VI37" s="255"/>
      <c r="VJ37" s="255"/>
      <c r="VK37" s="255"/>
      <c r="VL37" s="255"/>
      <c r="VM37" s="255"/>
      <c r="VN37" s="255"/>
      <c r="VO37" s="255"/>
      <c r="VP37" s="255"/>
      <c r="VQ37" s="255"/>
      <c r="VR37" s="255"/>
      <c r="VS37" s="255"/>
      <c r="VT37" s="255"/>
      <c r="VU37" s="255"/>
      <c r="VV37" s="255"/>
      <c r="VW37" s="255"/>
      <c r="VX37" s="255"/>
      <c r="VY37" s="255"/>
      <c r="VZ37" s="255"/>
      <c r="WA37" s="255"/>
      <c r="WB37" s="255"/>
      <c r="WC37" s="255"/>
      <c r="WD37" s="255"/>
      <c r="WE37" s="255"/>
      <c r="WF37" s="255"/>
      <c r="WG37" s="255"/>
      <c r="WH37" s="255"/>
      <c r="WI37" s="255"/>
      <c r="WJ37" s="255"/>
      <c r="WK37" s="255"/>
      <c r="WL37" s="255"/>
      <c r="WM37" s="255"/>
      <c r="WN37" s="255"/>
      <c r="WO37" s="255"/>
      <c r="WP37" s="255"/>
      <c r="WQ37" s="255"/>
      <c r="WR37" s="255"/>
      <c r="WS37" s="255"/>
      <c r="WT37" s="255"/>
      <c r="WU37" s="255"/>
      <c r="WV37" s="255"/>
      <c r="WW37" s="255"/>
      <c r="WX37" s="255"/>
      <c r="WY37" s="255"/>
      <c r="WZ37" s="255"/>
      <c r="XA37" s="255"/>
      <c r="XB37" s="255"/>
      <c r="XC37" s="255"/>
      <c r="XD37" s="255"/>
      <c r="XE37" s="255"/>
      <c r="XF37" s="255"/>
      <c r="XG37" s="255"/>
      <c r="XH37" s="255"/>
      <c r="XI37" s="255"/>
      <c r="XJ37" s="255"/>
      <c r="XK37" s="255"/>
      <c r="XL37" s="255"/>
      <c r="XM37" s="255"/>
      <c r="XN37" s="255"/>
      <c r="XO37" s="255"/>
      <c r="XP37" s="255"/>
      <c r="XQ37" s="255"/>
      <c r="XR37" s="255"/>
      <c r="XS37" s="255"/>
      <c r="XT37" s="255"/>
      <c r="XU37" s="255"/>
      <c r="XV37" s="255"/>
      <c r="XW37" s="255"/>
      <c r="XX37" s="255"/>
      <c r="XY37" s="255"/>
      <c r="XZ37" s="255"/>
      <c r="YA37" s="255"/>
      <c r="YB37" s="255"/>
      <c r="YC37" s="255"/>
      <c r="YD37" s="255"/>
      <c r="YE37" s="255"/>
      <c r="YF37" s="255"/>
      <c r="YG37" s="255"/>
      <c r="YH37" s="255"/>
      <c r="YI37" s="255"/>
      <c r="YJ37" s="255"/>
      <c r="YK37" s="255"/>
      <c r="YL37" s="255"/>
      <c r="YM37" s="255"/>
      <c r="YN37" s="255"/>
      <c r="YO37" s="255"/>
      <c r="YP37" s="255"/>
      <c r="YQ37" s="255"/>
      <c r="YR37" s="255"/>
      <c r="YS37" s="255"/>
      <c r="YT37" s="255"/>
      <c r="YU37" s="255"/>
      <c r="YV37" s="255"/>
      <c r="YW37" s="255"/>
      <c r="YX37" s="255"/>
      <c r="YY37" s="255"/>
      <c r="YZ37" s="255"/>
      <c r="ZA37" s="255"/>
      <c r="ZB37" s="255"/>
      <c r="ZC37" s="255"/>
      <c r="ZD37" s="255"/>
      <c r="ZE37" s="255"/>
      <c r="ZF37" s="255"/>
      <c r="ZG37" s="255"/>
      <c r="ZH37" s="255"/>
      <c r="ZI37" s="255"/>
      <c r="ZJ37" s="255"/>
      <c r="ZK37" s="255"/>
      <c r="ZL37" s="255"/>
      <c r="ZM37" s="255"/>
      <c r="ZN37" s="255"/>
      <c r="ZO37" s="255"/>
      <c r="ZP37" s="255"/>
      <c r="ZQ37" s="255"/>
      <c r="ZR37" s="255"/>
      <c r="ZS37" s="255"/>
      <c r="ZT37" s="255"/>
      <c r="ZU37" s="255"/>
      <c r="ZV37" s="255"/>
      <c r="ZW37" s="255"/>
      <c r="ZX37" s="255"/>
      <c r="ZY37" s="255"/>
      <c r="ZZ37" s="255"/>
      <c r="AAA37" s="255"/>
      <c r="AAB37" s="255"/>
      <c r="AAC37" s="255"/>
      <c r="AAD37" s="255"/>
      <c r="AAE37" s="255"/>
      <c r="AAF37" s="255"/>
      <c r="AAG37" s="255"/>
      <c r="AAH37" s="255"/>
      <c r="AAI37" s="255"/>
      <c r="AAJ37" s="255"/>
      <c r="AAK37" s="255"/>
      <c r="AAL37" s="255"/>
      <c r="AAM37" s="255"/>
      <c r="AAN37" s="255"/>
      <c r="AAO37" s="255"/>
      <c r="AAP37" s="255"/>
      <c r="AAQ37" s="255"/>
      <c r="AAR37" s="255"/>
      <c r="AAS37" s="255"/>
      <c r="AAT37" s="255"/>
      <c r="AAU37" s="255"/>
      <c r="AAV37" s="255"/>
      <c r="AAW37" s="255"/>
      <c r="AAX37" s="255"/>
      <c r="AAY37" s="255"/>
      <c r="AAZ37" s="255"/>
      <c r="ABA37" s="255"/>
      <c r="ABB37" s="255"/>
      <c r="ABC37" s="255"/>
      <c r="ABD37" s="255"/>
      <c r="ABE37" s="255"/>
      <c r="ABF37" s="255"/>
      <c r="ABG37" s="255"/>
      <c r="ABH37" s="255"/>
      <c r="ABI37" s="255"/>
      <c r="ABJ37" s="255"/>
      <c r="ABK37" s="255"/>
      <c r="ABL37" s="255"/>
      <c r="ABM37" s="255"/>
      <c r="ABN37" s="255"/>
      <c r="ABO37" s="255"/>
      <c r="ABP37" s="255"/>
      <c r="ABQ37" s="255"/>
      <c r="ABR37" s="255"/>
      <c r="ABS37" s="255"/>
      <c r="ABT37" s="255"/>
      <c r="ABU37" s="255"/>
      <c r="ABV37" s="255"/>
      <c r="ABW37" s="255"/>
      <c r="ABX37" s="255"/>
      <c r="ABY37" s="255"/>
      <c r="ABZ37" s="255"/>
      <c r="ACA37" s="255"/>
      <c r="ACB37" s="255"/>
      <c r="ACC37" s="255"/>
      <c r="ACD37" s="255"/>
      <c r="ACE37" s="255"/>
      <c r="ACF37" s="255"/>
      <c r="ACG37" s="255"/>
      <c r="ACH37" s="255"/>
      <c r="ACI37" s="255"/>
      <c r="ACJ37" s="255"/>
      <c r="ACK37" s="255"/>
      <c r="ACL37" s="255"/>
      <c r="ACM37" s="255"/>
      <c r="ACN37" s="255"/>
      <c r="ACO37" s="255"/>
      <c r="ACP37" s="255"/>
      <c r="ACQ37" s="255"/>
      <c r="ACR37" s="255"/>
      <c r="ACS37" s="255"/>
      <c r="ACT37" s="255"/>
      <c r="ACU37" s="255"/>
      <c r="ACV37" s="255"/>
      <c r="ACW37" s="255"/>
      <c r="ACX37" s="255"/>
      <c r="ACY37" s="255"/>
      <c r="ACZ37" s="255"/>
      <c r="ADA37" s="255"/>
      <c r="ADB37" s="255"/>
      <c r="ADC37" s="255"/>
      <c r="ADD37" s="255"/>
      <c r="ADE37" s="255"/>
      <c r="ADF37" s="255"/>
      <c r="ADG37" s="255"/>
      <c r="ADH37" s="255"/>
      <c r="ADI37" s="255"/>
      <c r="ADJ37" s="255"/>
      <c r="ADK37" s="255"/>
      <c r="ADL37" s="255"/>
      <c r="ADM37" s="255"/>
      <c r="ADN37" s="255"/>
      <c r="ADO37" s="255"/>
      <c r="ADP37" s="255"/>
      <c r="ADQ37" s="255"/>
      <c r="ADR37" s="255"/>
      <c r="ADS37" s="255"/>
      <c r="ADT37" s="255"/>
      <c r="ADU37" s="255"/>
      <c r="ADV37" s="255"/>
      <c r="ADW37" s="255"/>
      <c r="ADX37" s="255"/>
      <c r="ADY37" s="255"/>
      <c r="ADZ37" s="255"/>
      <c r="AEA37" s="255"/>
      <c r="AEB37" s="255"/>
      <c r="AEC37" s="255"/>
      <c r="AED37" s="255"/>
      <c r="AEE37" s="255"/>
      <c r="AEF37" s="255"/>
      <c r="AEG37" s="255"/>
      <c r="AEH37" s="255"/>
      <c r="AEI37" s="255"/>
      <c r="AEJ37" s="255"/>
      <c r="AEK37" s="255"/>
      <c r="AEL37" s="255"/>
      <c r="AEM37" s="255"/>
      <c r="AEN37" s="255"/>
      <c r="AEO37" s="255"/>
      <c r="AEP37" s="255"/>
      <c r="AEQ37" s="255"/>
      <c r="AER37" s="255"/>
      <c r="AES37" s="255"/>
      <c r="AET37" s="255"/>
      <c r="AEU37" s="255"/>
      <c r="AEV37" s="255"/>
      <c r="AEW37" s="255"/>
      <c r="AEX37" s="255"/>
      <c r="AEY37" s="255"/>
      <c r="AEZ37" s="255"/>
      <c r="AFA37" s="255"/>
      <c r="AFB37" s="255"/>
      <c r="AFC37" s="255"/>
      <c r="AFD37" s="255"/>
      <c r="AFE37" s="255"/>
      <c r="AFF37" s="255"/>
      <c r="AFG37" s="255"/>
      <c r="AFH37" s="255"/>
      <c r="AFI37" s="255"/>
      <c r="AFJ37" s="255"/>
      <c r="AFK37" s="255"/>
      <c r="AFL37" s="255"/>
      <c r="AFM37" s="255"/>
      <c r="AFN37" s="255"/>
      <c r="AFO37" s="255"/>
      <c r="AFP37" s="255"/>
      <c r="AFQ37" s="255"/>
      <c r="AFR37" s="255"/>
      <c r="AFS37" s="255"/>
      <c r="AFT37" s="255"/>
      <c r="AFU37" s="255"/>
      <c r="AFV37" s="255"/>
      <c r="AFW37" s="255"/>
      <c r="AFX37" s="255"/>
      <c r="AFY37" s="255"/>
      <c r="AFZ37" s="255"/>
      <c r="AGA37" s="255"/>
      <c r="AGB37" s="255"/>
      <c r="AGC37" s="255"/>
      <c r="AGD37" s="255"/>
      <c r="AGE37" s="255"/>
      <c r="AGF37" s="255"/>
      <c r="AGG37" s="255"/>
      <c r="AGH37" s="255"/>
      <c r="AGI37" s="255"/>
      <c r="AGJ37" s="255"/>
      <c r="AGK37" s="255"/>
      <c r="AGL37" s="255"/>
      <c r="AGM37" s="255"/>
      <c r="AGN37" s="255"/>
      <c r="AGO37" s="255"/>
      <c r="AGP37" s="255"/>
      <c r="AGQ37" s="255"/>
      <c r="AGR37" s="255"/>
      <c r="AGS37" s="255"/>
      <c r="AGT37" s="255"/>
      <c r="AGU37" s="255"/>
      <c r="AGV37" s="255"/>
      <c r="AGW37" s="255"/>
      <c r="AGX37" s="255"/>
      <c r="AGY37" s="255"/>
      <c r="AGZ37" s="255"/>
      <c r="AHA37" s="255"/>
      <c r="AHB37" s="255"/>
      <c r="AHC37" s="255"/>
      <c r="AHD37" s="255"/>
      <c r="AHE37" s="255"/>
      <c r="AHF37" s="255"/>
      <c r="AHG37" s="255"/>
      <c r="AHH37" s="255"/>
      <c r="AHI37" s="255"/>
      <c r="AHJ37" s="255"/>
      <c r="AHK37" s="255"/>
      <c r="AHL37" s="255"/>
      <c r="AHM37" s="255"/>
      <c r="AHN37" s="255"/>
      <c r="AHO37" s="255"/>
      <c r="AHP37" s="255"/>
      <c r="AHQ37" s="255"/>
      <c r="AHR37" s="255"/>
      <c r="AHS37" s="255"/>
      <c r="AHT37" s="255"/>
      <c r="AHU37" s="255"/>
      <c r="AHV37" s="255"/>
      <c r="AHW37" s="255"/>
      <c r="AHX37" s="255"/>
      <c r="AHY37" s="255"/>
      <c r="AHZ37" s="255"/>
      <c r="AIA37" s="255"/>
      <c r="AIB37" s="255"/>
      <c r="AIC37" s="255"/>
      <c r="AID37" s="255"/>
      <c r="AIE37" s="255"/>
      <c r="AIF37" s="255"/>
      <c r="AIG37" s="255"/>
      <c r="AIH37" s="255"/>
      <c r="AII37" s="255"/>
      <c r="AIJ37" s="255"/>
      <c r="AIK37" s="255"/>
      <c r="AIL37" s="255"/>
      <c r="AIM37" s="255"/>
      <c r="AIN37" s="255"/>
      <c r="AIO37" s="255"/>
      <c r="AIP37" s="255"/>
      <c r="AIQ37" s="255"/>
      <c r="AIR37" s="255"/>
      <c r="AIS37" s="255"/>
      <c r="AIT37" s="255"/>
      <c r="AIU37" s="255"/>
      <c r="AIV37" s="255"/>
      <c r="AIW37" s="255"/>
      <c r="AIX37" s="255"/>
      <c r="AIY37" s="255"/>
      <c r="AIZ37" s="255"/>
      <c r="AJA37" s="255"/>
      <c r="AJB37" s="255"/>
      <c r="AJC37" s="255"/>
      <c r="AJD37" s="255"/>
      <c r="AJE37" s="255"/>
      <c r="AJF37" s="255"/>
      <c r="AJG37" s="255"/>
      <c r="AJH37" s="255"/>
      <c r="AJI37" s="255"/>
      <c r="AJJ37" s="255"/>
      <c r="AJK37" s="255"/>
      <c r="AJL37" s="255"/>
      <c r="AJM37" s="255"/>
      <c r="AJN37" s="255"/>
      <c r="AJO37" s="255"/>
      <c r="AJP37" s="255"/>
      <c r="AJQ37" s="255"/>
      <c r="AJR37" s="255"/>
      <c r="AJS37" s="255"/>
      <c r="AJT37" s="255"/>
      <c r="AJU37" s="255"/>
      <c r="AJV37" s="255"/>
      <c r="AJW37" s="255"/>
      <c r="AJX37" s="255"/>
      <c r="AJY37" s="255"/>
      <c r="AJZ37" s="255"/>
      <c r="AKA37" s="255"/>
      <c r="AKB37" s="255"/>
      <c r="AKC37" s="255"/>
      <c r="AKD37" s="255"/>
      <c r="AKE37" s="255"/>
      <c r="AKF37" s="255"/>
      <c r="AKG37" s="255"/>
      <c r="AKH37" s="255"/>
      <c r="AKI37" s="255"/>
      <c r="AKJ37" s="255"/>
      <c r="AKK37" s="255"/>
      <c r="AKL37" s="255"/>
      <c r="AKM37" s="255"/>
      <c r="AKN37" s="255"/>
      <c r="AKO37" s="255"/>
      <c r="AKP37" s="255"/>
      <c r="AKQ37" s="255"/>
      <c r="AKR37" s="255"/>
      <c r="AKS37" s="255"/>
      <c r="AKT37" s="255"/>
      <c r="AKU37" s="255"/>
      <c r="AKV37" s="255"/>
      <c r="AKW37" s="255"/>
      <c r="AKX37" s="255"/>
      <c r="AKY37" s="255"/>
      <c r="AKZ37" s="255"/>
      <c r="ALA37" s="255"/>
      <c r="ALB37" s="255"/>
      <c r="ALC37" s="255"/>
      <c r="ALD37" s="255"/>
      <c r="ALE37" s="255"/>
      <c r="ALF37" s="255"/>
      <c r="ALG37" s="255"/>
      <c r="ALH37" s="255"/>
      <c r="ALI37" s="255"/>
      <c r="ALJ37" s="255"/>
      <c r="ALK37" s="255"/>
      <c r="ALL37" s="42"/>
      <c r="ALM37" s="42"/>
      <c r="ALN37" s="42"/>
      <c r="ALO37" s="42"/>
      <c r="ALP37" s="42"/>
      <c r="ALQ37" s="42"/>
      <c r="ALR37" s="42"/>
      <c r="ALS37" s="42"/>
      <c r="ALT37" s="42"/>
    </row>
    <row r="38" spans="1:1008" s="191" customFormat="1">
      <c r="A38" s="251" t="s">
        <v>6307</v>
      </c>
      <c r="B38" s="328">
        <v>307</v>
      </c>
      <c r="C38" s="329" t="str">
        <f>(IF($A38="SINAPI",INDEX(SINAPI_NOV2020_NDES!$A$7:$H$6703,MATCH($B38,SINAPI_NOV2020_NDES!$A$7:$A$6703,0),2),IF($A38="GOINFRA",INDEX(#REF!,MATCH($B38,#REF!,0),2),(INDEX(COMPOS!$A$4:$G$390,MATCH($B38,COMPOS!$A$4:A$390,0),2)))))</f>
        <v>FORMA CHAPA COMPENSADA 12MM – VIGA/PILAR U=3X (OBRAS CIVIS)</v>
      </c>
      <c r="D38" s="274" t="str">
        <f>(IF($A38="SINAPI",INDEX(SINAPI_NOV2020_NDES!$A$7:$H$6790,MATCH($B38,SINAPI_NOV2020_NDES!$A$7:$A$6790,0),3),(INDEX(COMPOS!$A$4:$G$5000,MATCH($B38,COMPOS!$A$4:$A$5000,0),3))))</f>
        <v>M2</v>
      </c>
      <c r="E38" s="276">
        <v>40.480000000000004</v>
      </c>
      <c r="F38" s="279">
        <f>(IF($A38="SINAPI",INDEX(SINAPI_NOV2020_NDES!$A$7:$H$6703,MATCH($B38,SINAPI_NOV2020_NDES!$A$7:$A$6703,0),5),(INDEX(COMPOS!$A$4:$G$801,MATCH($B38,COMPOS!$A$4:A$801,0),4))))</f>
        <v>49.396500000000003</v>
      </c>
      <c r="G38" s="280">
        <f>(IF($A38="SINAPI",INDEX(SINAPI_NOV2020_NDES!$A$7:$H$6703,MATCH($B38,SINAPI_NOV2020_NDES!$A$7:$A$6703,0),6),(INDEX(COMPOS!$A$4:$G$801,MATCH($B38,COMPOS!$A$4:A$801,0),5))))</f>
        <v>30.385095041322312</v>
      </c>
      <c r="H38" s="280">
        <f>(IF($A38="SINAPI",INDEX(SINAPI_NOV2020_NDES!$A$7:$H$6703,MATCH($B38,SINAPI_NOV2020_NDES!$A$7:$A$6703,0),7),(INDEX(COMPOS!$A$4:$G$801,MATCH($B38,COMPOS!$A$4:A$801,0),6))))</f>
        <v>0</v>
      </c>
      <c r="I38" s="279">
        <f t="shared" ref="I38:I46" si="14">SUM(F38:H38)</f>
        <v>79.781595041322319</v>
      </c>
      <c r="J38" s="276">
        <f t="shared" ref="J38:J46" si="15">+I38*E38</f>
        <v>3229.5589672727278</v>
      </c>
      <c r="K38" s="255"/>
      <c r="L38" s="255"/>
      <c r="M38" s="255"/>
      <c r="N38" s="255"/>
      <c r="O38" s="257"/>
      <c r="P38" s="223"/>
      <c r="Q38" s="255"/>
      <c r="R38" s="255"/>
      <c r="S38" s="255"/>
      <c r="T38" s="255"/>
      <c r="U38" s="255"/>
      <c r="V38" s="255"/>
      <c r="W38" s="255"/>
      <c r="X38" s="255"/>
      <c r="Y38" s="255"/>
      <c r="Z38" s="255"/>
      <c r="AA38" s="255"/>
      <c r="AB38" s="255"/>
      <c r="AC38" s="255"/>
      <c r="AD38" s="255"/>
      <c r="AE38" s="255"/>
      <c r="AF38" s="255"/>
      <c r="AG38" s="255"/>
      <c r="AH38" s="255"/>
      <c r="AI38" s="255"/>
      <c r="AJ38" s="255"/>
      <c r="AK38" s="255"/>
      <c r="AL38" s="255"/>
      <c r="AM38" s="255"/>
      <c r="AN38" s="255"/>
      <c r="AO38" s="255"/>
      <c r="AP38" s="255"/>
      <c r="AQ38" s="255"/>
      <c r="AR38" s="255"/>
      <c r="AS38" s="255"/>
      <c r="AT38" s="255"/>
      <c r="AU38" s="255"/>
      <c r="AV38" s="255"/>
      <c r="AW38" s="255"/>
      <c r="AX38" s="255"/>
      <c r="AY38" s="255"/>
      <c r="AZ38" s="255"/>
      <c r="BA38" s="255"/>
      <c r="BB38" s="255"/>
      <c r="BC38" s="255"/>
      <c r="BD38" s="255"/>
      <c r="BE38" s="255"/>
      <c r="BF38" s="255"/>
      <c r="BG38" s="255"/>
      <c r="BH38" s="255"/>
      <c r="BI38" s="255"/>
      <c r="BJ38" s="255"/>
      <c r="BK38" s="255"/>
      <c r="BL38" s="255"/>
      <c r="BM38" s="255"/>
      <c r="BN38" s="255"/>
      <c r="BO38" s="255"/>
      <c r="BP38" s="255"/>
      <c r="BQ38" s="255"/>
      <c r="BR38" s="255"/>
      <c r="BS38" s="255"/>
      <c r="BT38" s="255"/>
      <c r="BU38" s="255"/>
      <c r="BV38" s="255"/>
      <c r="BW38" s="255"/>
      <c r="BX38" s="255"/>
      <c r="BY38" s="255"/>
      <c r="BZ38" s="255"/>
      <c r="CA38" s="255"/>
      <c r="CB38" s="255"/>
      <c r="CC38" s="255"/>
      <c r="CD38" s="255"/>
      <c r="CE38" s="255"/>
      <c r="CF38" s="255"/>
      <c r="CG38" s="255"/>
      <c r="CH38" s="255"/>
      <c r="CI38" s="255"/>
      <c r="CJ38" s="255"/>
      <c r="CK38" s="255"/>
      <c r="CL38" s="255"/>
      <c r="CM38" s="255"/>
      <c r="CN38" s="255"/>
      <c r="CO38" s="255"/>
      <c r="CP38" s="255"/>
      <c r="CQ38" s="255"/>
      <c r="CR38" s="255"/>
      <c r="CS38" s="255"/>
      <c r="CT38" s="255"/>
      <c r="CU38" s="255"/>
      <c r="CV38" s="255"/>
      <c r="CW38" s="255"/>
      <c r="CX38" s="255"/>
      <c r="CY38" s="255"/>
      <c r="CZ38" s="255"/>
      <c r="DA38" s="255"/>
      <c r="DB38" s="255"/>
      <c r="DC38" s="255"/>
      <c r="DD38" s="255"/>
      <c r="DE38" s="255"/>
      <c r="DF38" s="255"/>
      <c r="DG38" s="255"/>
      <c r="DH38" s="255"/>
      <c r="DI38" s="255"/>
      <c r="DJ38" s="255"/>
      <c r="DK38" s="255"/>
      <c r="DL38" s="255"/>
      <c r="DM38" s="255"/>
      <c r="DN38" s="255"/>
      <c r="DO38" s="255"/>
      <c r="DP38" s="255"/>
      <c r="DQ38" s="255"/>
      <c r="DR38" s="255"/>
      <c r="DS38" s="255"/>
      <c r="DT38" s="255"/>
      <c r="DU38" s="255"/>
      <c r="DV38" s="255"/>
      <c r="DW38" s="255"/>
      <c r="DX38" s="255"/>
      <c r="DY38" s="255"/>
      <c r="DZ38" s="255"/>
      <c r="EA38" s="255"/>
      <c r="EB38" s="255"/>
      <c r="EC38" s="255"/>
      <c r="ED38" s="255"/>
      <c r="EE38" s="255"/>
      <c r="EF38" s="255"/>
      <c r="EG38" s="255"/>
      <c r="EH38" s="255"/>
      <c r="EI38" s="255"/>
      <c r="EJ38" s="255"/>
      <c r="EK38" s="255"/>
      <c r="EL38" s="255"/>
      <c r="EM38" s="255"/>
      <c r="EN38" s="255"/>
      <c r="EO38" s="255"/>
      <c r="EP38" s="255"/>
      <c r="EQ38" s="255"/>
      <c r="ER38" s="255"/>
      <c r="ES38" s="255"/>
      <c r="ET38" s="255"/>
      <c r="EU38" s="255"/>
      <c r="EV38" s="255"/>
      <c r="EW38" s="255"/>
      <c r="EX38" s="255"/>
      <c r="EY38" s="255"/>
      <c r="EZ38" s="255"/>
      <c r="FA38" s="255"/>
      <c r="FB38" s="255"/>
      <c r="FC38" s="255"/>
      <c r="FD38" s="255"/>
      <c r="FE38" s="255"/>
      <c r="FF38" s="255"/>
      <c r="FG38" s="255"/>
      <c r="FH38" s="255"/>
      <c r="FI38" s="255"/>
      <c r="FJ38" s="255"/>
      <c r="FK38" s="255"/>
      <c r="FL38" s="255"/>
      <c r="FM38" s="255"/>
      <c r="FN38" s="255"/>
      <c r="FO38" s="255"/>
      <c r="FP38" s="255"/>
      <c r="FQ38" s="255"/>
      <c r="FR38" s="255"/>
      <c r="FS38" s="255"/>
      <c r="FT38" s="255"/>
      <c r="FU38" s="255"/>
      <c r="FV38" s="255"/>
      <c r="FW38" s="255"/>
      <c r="FX38" s="255"/>
      <c r="FY38" s="255"/>
      <c r="FZ38" s="255"/>
      <c r="GA38" s="255"/>
      <c r="GB38" s="255"/>
      <c r="GC38" s="255"/>
      <c r="GD38" s="255"/>
      <c r="GE38" s="255"/>
      <c r="GF38" s="255"/>
      <c r="GG38" s="255"/>
      <c r="GH38" s="255"/>
      <c r="GI38" s="255"/>
      <c r="GJ38" s="255"/>
      <c r="GK38" s="255"/>
      <c r="GL38" s="255"/>
      <c r="GM38" s="255"/>
      <c r="GN38" s="255"/>
      <c r="GO38" s="255"/>
      <c r="GP38" s="255"/>
      <c r="GQ38" s="255"/>
      <c r="GR38" s="255"/>
      <c r="GS38" s="255"/>
      <c r="GT38" s="255"/>
      <c r="GU38" s="255"/>
      <c r="GV38" s="255"/>
      <c r="GW38" s="255"/>
      <c r="GX38" s="255"/>
      <c r="GY38" s="255"/>
      <c r="GZ38" s="255"/>
      <c r="HA38" s="255"/>
      <c r="HB38" s="255"/>
      <c r="HC38" s="255"/>
      <c r="HD38" s="255"/>
      <c r="HE38" s="255"/>
      <c r="HF38" s="255"/>
      <c r="HG38" s="255"/>
      <c r="HH38" s="255"/>
      <c r="HI38" s="255"/>
      <c r="HJ38" s="255"/>
      <c r="HK38" s="255"/>
      <c r="HL38" s="255"/>
      <c r="HM38" s="255"/>
      <c r="HN38" s="255"/>
      <c r="HO38" s="255"/>
      <c r="HP38" s="255"/>
      <c r="HQ38" s="255"/>
      <c r="HR38" s="255"/>
      <c r="HS38" s="255"/>
      <c r="HT38" s="255"/>
      <c r="HU38" s="255"/>
      <c r="HV38" s="255"/>
      <c r="HW38" s="255"/>
      <c r="HX38" s="255"/>
      <c r="HY38" s="255"/>
      <c r="HZ38" s="255"/>
      <c r="IA38" s="255"/>
      <c r="IB38" s="255"/>
      <c r="IC38" s="255"/>
      <c r="ID38" s="255"/>
      <c r="IE38" s="255"/>
      <c r="IF38" s="255"/>
      <c r="IG38" s="255"/>
      <c r="IH38" s="255"/>
      <c r="II38" s="255"/>
      <c r="IJ38" s="255"/>
      <c r="IK38" s="255"/>
      <c r="IL38" s="255"/>
      <c r="IM38" s="255"/>
      <c r="IN38" s="255"/>
      <c r="IO38" s="255"/>
      <c r="IP38" s="255"/>
      <c r="IQ38" s="255"/>
      <c r="IR38" s="255"/>
      <c r="IS38" s="255"/>
      <c r="IT38" s="255"/>
      <c r="IU38" s="255"/>
      <c r="IV38" s="255"/>
      <c r="IW38" s="255"/>
      <c r="IX38" s="255"/>
      <c r="IY38" s="255"/>
      <c r="IZ38" s="255"/>
      <c r="JA38" s="255"/>
      <c r="JB38" s="255"/>
      <c r="JC38" s="255"/>
      <c r="JD38" s="255"/>
      <c r="JE38" s="255"/>
      <c r="JF38" s="255"/>
      <c r="JG38" s="255"/>
      <c r="JH38" s="255"/>
      <c r="JI38" s="255"/>
      <c r="JJ38" s="255"/>
      <c r="JK38" s="255"/>
      <c r="JL38" s="255"/>
      <c r="JM38" s="255"/>
      <c r="JN38" s="255"/>
      <c r="JO38" s="255"/>
      <c r="JP38" s="255"/>
      <c r="JQ38" s="255"/>
      <c r="JR38" s="255"/>
      <c r="JS38" s="255"/>
      <c r="JT38" s="255"/>
      <c r="JU38" s="255"/>
      <c r="JV38" s="255"/>
      <c r="JW38" s="255"/>
      <c r="JX38" s="255"/>
      <c r="JY38" s="255"/>
      <c r="JZ38" s="255"/>
      <c r="KA38" s="255"/>
      <c r="KB38" s="255"/>
      <c r="KC38" s="255"/>
      <c r="KD38" s="255"/>
      <c r="KE38" s="255"/>
      <c r="KF38" s="255"/>
      <c r="KG38" s="255"/>
      <c r="KH38" s="255"/>
      <c r="KI38" s="255"/>
      <c r="KJ38" s="255"/>
      <c r="KK38" s="255"/>
      <c r="KL38" s="255"/>
      <c r="KM38" s="255"/>
      <c r="KN38" s="255"/>
      <c r="KO38" s="255"/>
      <c r="KP38" s="255"/>
      <c r="KQ38" s="255"/>
      <c r="KR38" s="255"/>
      <c r="KS38" s="255"/>
      <c r="KT38" s="255"/>
      <c r="KU38" s="255"/>
      <c r="KV38" s="255"/>
      <c r="KW38" s="255"/>
      <c r="KX38" s="255"/>
      <c r="KY38" s="255"/>
      <c r="KZ38" s="255"/>
      <c r="LA38" s="255"/>
      <c r="LB38" s="255"/>
      <c r="LC38" s="255"/>
      <c r="LD38" s="255"/>
      <c r="LE38" s="255"/>
      <c r="LF38" s="255"/>
      <c r="LG38" s="255"/>
      <c r="LH38" s="255"/>
      <c r="LI38" s="255"/>
      <c r="LJ38" s="255"/>
      <c r="LK38" s="255"/>
      <c r="LL38" s="255"/>
      <c r="LM38" s="255"/>
      <c r="LN38" s="255"/>
      <c r="LO38" s="255"/>
      <c r="LP38" s="255"/>
      <c r="LQ38" s="255"/>
      <c r="LR38" s="255"/>
      <c r="LS38" s="255"/>
      <c r="LT38" s="255"/>
      <c r="LU38" s="255"/>
      <c r="LV38" s="255"/>
      <c r="LW38" s="255"/>
      <c r="LX38" s="255"/>
      <c r="LY38" s="255"/>
      <c r="LZ38" s="255"/>
      <c r="MA38" s="255"/>
      <c r="MB38" s="255"/>
      <c r="MC38" s="255"/>
      <c r="MD38" s="255"/>
      <c r="ME38" s="255"/>
      <c r="MF38" s="255"/>
      <c r="MG38" s="255"/>
      <c r="MH38" s="255"/>
      <c r="MI38" s="255"/>
      <c r="MJ38" s="255"/>
      <c r="MK38" s="255"/>
      <c r="ML38" s="255"/>
      <c r="MM38" s="255"/>
      <c r="MN38" s="255"/>
      <c r="MO38" s="255"/>
      <c r="MP38" s="255"/>
      <c r="MQ38" s="255"/>
      <c r="MR38" s="255"/>
      <c r="MS38" s="255"/>
      <c r="MT38" s="255"/>
      <c r="MU38" s="255"/>
      <c r="MV38" s="255"/>
      <c r="MW38" s="255"/>
      <c r="MX38" s="255"/>
      <c r="MY38" s="255"/>
      <c r="MZ38" s="255"/>
      <c r="NA38" s="255"/>
      <c r="NB38" s="255"/>
      <c r="NC38" s="255"/>
      <c r="ND38" s="255"/>
      <c r="NE38" s="255"/>
      <c r="NF38" s="255"/>
      <c r="NG38" s="255"/>
      <c r="NH38" s="255"/>
      <c r="NI38" s="255"/>
      <c r="NJ38" s="255"/>
      <c r="NK38" s="255"/>
      <c r="NL38" s="255"/>
      <c r="NM38" s="255"/>
      <c r="NN38" s="255"/>
      <c r="NO38" s="255"/>
      <c r="NP38" s="255"/>
      <c r="NQ38" s="255"/>
      <c r="NR38" s="255"/>
      <c r="NS38" s="255"/>
      <c r="NT38" s="255"/>
      <c r="NU38" s="255"/>
      <c r="NV38" s="255"/>
      <c r="NW38" s="255"/>
      <c r="NX38" s="255"/>
      <c r="NY38" s="255"/>
      <c r="NZ38" s="255"/>
      <c r="OA38" s="255"/>
      <c r="OB38" s="255"/>
      <c r="OC38" s="255"/>
      <c r="OD38" s="255"/>
      <c r="OE38" s="255"/>
      <c r="OF38" s="255"/>
      <c r="OG38" s="255"/>
      <c r="OH38" s="255"/>
      <c r="OI38" s="255"/>
      <c r="OJ38" s="255"/>
      <c r="OK38" s="255"/>
      <c r="OL38" s="255"/>
      <c r="OM38" s="255"/>
      <c r="ON38" s="255"/>
      <c r="OO38" s="255"/>
      <c r="OP38" s="255"/>
      <c r="OQ38" s="255"/>
      <c r="OR38" s="255"/>
      <c r="OS38" s="255"/>
      <c r="OT38" s="255"/>
      <c r="OU38" s="255"/>
      <c r="OV38" s="255"/>
      <c r="OW38" s="255"/>
      <c r="OX38" s="255"/>
      <c r="OY38" s="255"/>
      <c r="OZ38" s="255"/>
      <c r="PA38" s="255"/>
      <c r="PB38" s="255"/>
      <c r="PC38" s="255"/>
      <c r="PD38" s="255"/>
      <c r="PE38" s="255"/>
      <c r="PF38" s="255"/>
      <c r="PG38" s="255"/>
      <c r="PH38" s="255"/>
      <c r="PI38" s="255"/>
      <c r="PJ38" s="255"/>
      <c r="PK38" s="255"/>
      <c r="PL38" s="255"/>
      <c r="PM38" s="255"/>
      <c r="PN38" s="255"/>
      <c r="PO38" s="255"/>
      <c r="PP38" s="255"/>
      <c r="PQ38" s="255"/>
      <c r="PR38" s="255"/>
      <c r="PS38" s="255"/>
      <c r="PT38" s="255"/>
      <c r="PU38" s="255"/>
      <c r="PV38" s="255"/>
      <c r="PW38" s="255"/>
      <c r="PX38" s="255"/>
      <c r="PY38" s="255"/>
      <c r="PZ38" s="255"/>
      <c r="QA38" s="255"/>
      <c r="QB38" s="255"/>
      <c r="QC38" s="255"/>
      <c r="QD38" s="255"/>
      <c r="QE38" s="255"/>
      <c r="QF38" s="255"/>
      <c r="QG38" s="255"/>
      <c r="QH38" s="255"/>
      <c r="QI38" s="255"/>
      <c r="QJ38" s="255"/>
      <c r="QK38" s="255"/>
      <c r="QL38" s="255"/>
      <c r="QM38" s="255"/>
      <c r="QN38" s="255"/>
      <c r="QO38" s="255"/>
      <c r="QP38" s="255"/>
      <c r="QQ38" s="255"/>
      <c r="QR38" s="255"/>
      <c r="QS38" s="255"/>
      <c r="QT38" s="255"/>
      <c r="QU38" s="255"/>
      <c r="QV38" s="255"/>
      <c r="QW38" s="255"/>
      <c r="QX38" s="255"/>
      <c r="QY38" s="255"/>
      <c r="QZ38" s="255"/>
      <c r="RA38" s="255"/>
      <c r="RB38" s="255"/>
      <c r="RC38" s="255"/>
      <c r="RD38" s="255"/>
      <c r="RE38" s="255"/>
      <c r="RF38" s="255"/>
      <c r="RG38" s="255"/>
      <c r="RH38" s="255"/>
      <c r="RI38" s="255"/>
      <c r="RJ38" s="255"/>
      <c r="RK38" s="255"/>
      <c r="RL38" s="255"/>
      <c r="RM38" s="255"/>
      <c r="RN38" s="255"/>
      <c r="RO38" s="255"/>
      <c r="RP38" s="255"/>
      <c r="RQ38" s="255"/>
      <c r="RR38" s="255"/>
      <c r="RS38" s="255"/>
      <c r="RT38" s="255"/>
      <c r="RU38" s="255"/>
      <c r="RV38" s="255"/>
      <c r="RW38" s="255"/>
      <c r="RX38" s="255"/>
      <c r="RY38" s="255"/>
      <c r="RZ38" s="255"/>
      <c r="SA38" s="255"/>
      <c r="SB38" s="255"/>
      <c r="SC38" s="255"/>
      <c r="SD38" s="255"/>
      <c r="SE38" s="255"/>
      <c r="SF38" s="255"/>
      <c r="SG38" s="255"/>
      <c r="SH38" s="255"/>
      <c r="SI38" s="255"/>
      <c r="SJ38" s="255"/>
      <c r="SK38" s="255"/>
      <c r="SL38" s="255"/>
      <c r="SM38" s="255"/>
      <c r="SN38" s="255"/>
      <c r="SO38" s="255"/>
      <c r="SP38" s="255"/>
      <c r="SQ38" s="255"/>
      <c r="SR38" s="255"/>
      <c r="SS38" s="255"/>
      <c r="ST38" s="255"/>
      <c r="SU38" s="255"/>
      <c r="SV38" s="255"/>
      <c r="SW38" s="255"/>
      <c r="SX38" s="255"/>
      <c r="SY38" s="255"/>
      <c r="SZ38" s="255"/>
      <c r="TA38" s="255"/>
      <c r="TB38" s="255"/>
      <c r="TC38" s="255"/>
      <c r="TD38" s="255"/>
      <c r="TE38" s="255"/>
      <c r="TF38" s="255"/>
      <c r="TG38" s="255"/>
      <c r="TH38" s="255"/>
      <c r="TI38" s="255"/>
      <c r="TJ38" s="255"/>
      <c r="TK38" s="255"/>
      <c r="TL38" s="255"/>
      <c r="TM38" s="255"/>
      <c r="TN38" s="255"/>
      <c r="TO38" s="255"/>
      <c r="TP38" s="255"/>
      <c r="TQ38" s="255"/>
      <c r="TR38" s="255"/>
      <c r="TS38" s="255"/>
      <c r="TT38" s="255"/>
      <c r="TU38" s="255"/>
      <c r="TV38" s="255"/>
      <c r="TW38" s="255"/>
      <c r="TX38" s="255"/>
      <c r="TY38" s="255"/>
      <c r="TZ38" s="255"/>
      <c r="UA38" s="255"/>
      <c r="UB38" s="255"/>
      <c r="UC38" s="255"/>
      <c r="UD38" s="255"/>
      <c r="UE38" s="255"/>
      <c r="UF38" s="255"/>
      <c r="UG38" s="255"/>
      <c r="UH38" s="255"/>
      <c r="UI38" s="255"/>
      <c r="UJ38" s="255"/>
      <c r="UK38" s="255"/>
      <c r="UL38" s="255"/>
      <c r="UM38" s="255"/>
      <c r="UN38" s="255"/>
      <c r="UO38" s="255"/>
      <c r="UP38" s="255"/>
      <c r="UQ38" s="255"/>
      <c r="UR38" s="255"/>
      <c r="US38" s="255"/>
      <c r="UT38" s="255"/>
      <c r="UU38" s="255"/>
      <c r="UV38" s="255"/>
      <c r="UW38" s="255"/>
      <c r="UX38" s="255"/>
      <c r="UY38" s="255"/>
      <c r="UZ38" s="255"/>
      <c r="VA38" s="255"/>
      <c r="VB38" s="255"/>
      <c r="VC38" s="255"/>
      <c r="VD38" s="255"/>
      <c r="VE38" s="255"/>
      <c r="VF38" s="255"/>
      <c r="VG38" s="255"/>
      <c r="VH38" s="255"/>
      <c r="VI38" s="255"/>
      <c r="VJ38" s="255"/>
      <c r="VK38" s="255"/>
      <c r="VL38" s="255"/>
      <c r="VM38" s="255"/>
      <c r="VN38" s="255"/>
      <c r="VO38" s="255"/>
      <c r="VP38" s="255"/>
      <c r="VQ38" s="255"/>
      <c r="VR38" s="255"/>
      <c r="VS38" s="255"/>
      <c r="VT38" s="255"/>
      <c r="VU38" s="255"/>
      <c r="VV38" s="255"/>
      <c r="VW38" s="255"/>
      <c r="VX38" s="255"/>
      <c r="VY38" s="255"/>
      <c r="VZ38" s="255"/>
      <c r="WA38" s="255"/>
      <c r="WB38" s="255"/>
      <c r="WC38" s="255"/>
      <c r="WD38" s="255"/>
      <c r="WE38" s="255"/>
      <c r="WF38" s="255"/>
      <c r="WG38" s="255"/>
      <c r="WH38" s="255"/>
      <c r="WI38" s="255"/>
      <c r="WJ38" s="255"/>
      <c r="WK38" s="255"/>
      <c r="WL38" s="255"/>
      <c r="WM38" s="255"/>
      <c r="WN38" s="255"/>
      <c r="WO38" s="255"/>
      <c r="WP38" s="255"/>
      <c r="WQ38" s="255"/>
      <c r="WR38" s="255"/>
      <c r="WS38" s="255"/>
      <c r="WT38" s="255"/>
      <c r="WU38" s="255"/>
      <c r="WV38" s="255"/>
      <c r="WW38" s="255"/>
      <c r="WX38" s="255"/>
      <c r="WY38" s="255"/>
      <c r="WZ38" s="255"/>
      <c r="XA38" s="255"/>
      <c r="XB38" s="255"/>
      <c r="XC38" s="255"/>
      <c r="XD38" s="255"/>
      <c r="XE38" s="255"/>
      <c r="XF38" s="255"/>
      <c r="XG38" s="255"/>
      <c r="XH38" s="255"/>
      <c r="XI38" s="255"/>
      <c r="XJ38" s="255"/>
      <c r="XK38" s="255"/>
      <c r="XL38" s="255"/>
      <c r="XM38" s="255"/>
      <c r="XN38" s="255"/>
      <c r="XO38" s="255"/>
      <c r="XP38" s="255"/>
      <c r="XQ38" s="255"/>
      <c r="XR38" s="255"/>
      <c r="XS38" s="255"/>
      <c r="XT38" s="255"/>
      <c r="XU38" s="255"/>
      <c r="XV38" s="255"/>
      <c r="XW38" s="255"/>
      <c r="XX38" s="255"/>
      <c r="XY38" s="255"/>
      <c r="XZ38" s="255"/>
      <c r="YA38" s="255"/>
      <c r="YB38" s="255"/>
      <c r="YC38" s="255"/>
      <c r="YD38" s="255"/>
      <c r="YE38" s="255"/>
      <c r="YF38" s="255"/>
      <c r="YG38" s="255"/>
      <c r="YH38" s="255"/>
      <c r="YI38" s="255"/>
      <c r="YJ38" s="255"/>
      <c r="YK38" s="255"/>
      <c r="YL38" s="255"/>
      <c r="YM38" s="255"/>
      <c r="YN38" s="255"/>
      <c r="YO38" s="255"/>
      <c r="YP38" s="255"/>
      <c r="YQ38" s="255"/>
      <c r="YR38" s="255"/>
      <c r="YS38" s="255"/>
      <c r="YT38" s="255"/>
      <c r="YU38" s="255"/>
      <c r="YV38" s="255"/>
      <c r="YW38" s="255"/>
      <c r="YX38" s="255"/>
      <c r="YY38" s="255"/>
      <c r="YZ38" s="255"/>
      <c r="ZA38" s="255"/>
      <c r="ZB38" s="255"/>
      <c r="ZC38" s="255"/>
      <c r="ZD38" s="255"/>
      <c r="ZE38" s="255"/>
      <c r="ZF38" s="255"/>
      <c r="ZG38" s="255"/>
      <c r="ZH38" s="255"/>
      <c r="ZI38" s="255"/>
      <c r="ZJ38" s="255"/>
      <c r="ZK38" s="255"/>
      <c r="ZL38" s="255"/>
      <c r="ZM38" s="255"/>
      <c r="ZN38" s="255"/>
      <c r="ZO38" s="255"/>
      <c r="ZP38" s="255"/>
      <c r="ZQ38" s="255"/>
      <c r="ZR38" s="255"/>
      <c r="ZS38" s="255"/>
      <c r="ZT38" s="255"/>
      <c r="ZU38" s="255"/>
      <c r="ZV38" s="255"/>
      <c r="ZW38" s="255"/>
      <c r="ZX38" s="255"/>
      <c r="ZY38" s="255"/>
      <c r="ZZ38" s="255"/>
      <c r="AAA38" s="255"/>
      <c r="AAB38" s="255"/>
      <c r="AAC38" s="255"/>
      <c r="AAD38" s="255"/>
      <c r="AAE38" s="255"/>
      <c r="AAF38" s="255"/>
      <c r="AAG38" s="255"/>
      <c r="AAH38" s="255"/>
      <c r="AAI38" s="255"/>
      <c r="AAJ38" s="255"/>
      <c r="AAK38" s="255"/>
      <c r="AAL38" s="255"/>
      <c r="AAM38" s="255"/>
      <c r="AAN38" s="255"/>
      <c r="AAO38" s="255"/>
      <c r="AAP38" s="255"/>
      <c r="AAQ38" s="255"/>
      <c r="AAR38" s="255"/>
      <c r="AAS38" s="255"/>
      <c r="AAT38" s="255"/>
      <c r="AAU38" s="255"/>
      <c r="AAV38" s="255"/>
      <c r="AAW38" s="255"/>
      <c r="AAX38" s="255"/>
      <c r="AAY38" s="255"/>
      <c r="AAZ38" s="255"/>
      <c r="ABA38" s="255"/>
      <c r="ABB38" s="255"/>
      <c r="ABC38" s="255"/>
      <c r="ABD38" s="255"/>
      <c r="ABE38" s="255"/>
      <c r="ABF38" s="255"/>
      <c r="ABG38" s="255"/>
      <c r="ABH38" s="255"/>
      <c r="ABI38" s="255"/>
      <c r="ABJ38" s="255"/>
      <c r="ABK38" s="255"/>
      <c r="ABL38" s="255"/>
      <c r="ABM38" s="255"/>
      <c r="ABN38" s="255"/>
      <c r="ABO38" s="255"/>
      <c r="ABP38" s="255"/>
      <c r="ABQ38" s="255"/>
      <c r="ABR38" s="255"/>
      <c r="ABS38" s="255"/>
      <c r="ABT38" s="255"/>
      <c r="ABU38" s="255"/>
      <c r="ABV38" s="255"/>
      <c r="ABW38" s="255"/>
      <c r="ABX38" s="255"/>
      <c r="ABY38" s="255"/>
      <c r="ABZ38" s="255"/>
      <c r="ACA38" s="255"/>
      <c r="ACB38" s="255"/>
      <c r="ACC38" s="255"/>
      <c r="ACD38" s="255"/>
      <c r="ACE38" s="255"/>
      <c r="ACF38" s="255"/>
      <c r="ACG38" s="255"/>
      <c r="ACH38" s="255"/>
      <c r="ACI38" s="255"/>
      <c r="ACJ38" s="255"/>
      <c r="ACK38" s="255"/>
      <c r="ACL38" s="255"/>
      <c r="ACM38" s="255"/>
      <c r="ACN38" s="255"/>
      <c r="ACO38" s="255"/>
      <c r="ACP38" s="255"/>
      <c r="ACQ38" s="255"/>
      <c r="ACR38" s="255"/>
      <c r="ACS38" s="255"/>
      <c r="ACT38" s="255"/>
      <c r="ACU38" s="255"/>
      <c r="ACV38" s="255"/>
      <c r="ACW38" s="255"/>
      <c r="ACX38" s="255"/>
      <c r="ACY38" s="255"/>
      <c r="ACZ38" s="255"/>
      <c r="ADA38" s="255"/>
      <c r="ADB38" s="255"/>
      <c r="ADC38" s="255"/>
      <c r="ADD38" s="255"/>
      <c r="ADE38" s="255"/>
      <c r="ADF38" s="255"/>
      <c r="ADG38" s="255"/>
      <c r="ADH38" s="255"/>
      <c r="ADI38" s="255"/>
      <c r="ADJ38" s="255"/>
      <c r="ADK38" s="255"/>
      <c r="ADL38" s="255"/>
      <c r="ADM38" s="255"/>
      <c r="ADN38" s="255"/>
      <c r="ADO38" s="255"/>
      <c r="ADP38" s="255"/>
      <c r="ADQ38" s="255"/>
      <c r="ADR38" s="255"/>
      <c r="ADS38" s="255"/>
      <c r="ADT38" s="255"/>
      <c r="ADU38" s="255"/>
      <c r="ADV38" s="255"/>
      <c r="ADW38" s="255"/>
      <c r="ADX38" s="255"/>
      <c r="ADY38" s="255"/>
      <c r="ADZ38" s="255"/>
      <c r="AEA38" s="255"/>
      <c r="AEB38" s="255"/>
      <c r="AEC38" s="255"/>
      <c r="AED38" s="255"/>
      <c r="AEE38" s="255"/>
      <c r="AEF38" s="255"/>
      <c r="AEG38" s="255"/>
      <c r="AEH38" s="255"/>
      <c r="AEI38" s="255"/>
      <c r="AEJ38" s="255"/>
      <c r="AEK38" s="255"/>
      <c r="AEL38" s="255"/>
      <c r="AEM38" s="255"/>
      <c r="AEN38" s="255"/>
      <c r="AEO38" s="255"/>
      <c r="AEP38" s="255"/>
      <c r="AEQ38" s="255"/>
      <c r="AER38" s="255"/>
      <c r="AES38" s="255"/>
      <c r="AET38" s="255"/>
      <c r="AEU38" s="255"/>
      <c r="AEV38" s="255"/>
      <c r="AEW38" s="255"/>
      <c r="AEX38" s="255"/>
      <c r="AEY38" s="255"/>
      <c r="AEZ38" s="255"/>
      <c r="AFA38" s="255"/>
      <c r="AFB38" s="255"/>
      <c r="AFC38" s="255"/>
      <c r="AFD38" s="255"/>
      <c r="AFE38" s="255"/>
      <c r="AFF38" s="255"/>
      <c r="AFG38" s="255"/>
      <c r="AFH38" s="255"/>
      <c r="AFI38" s="255"/>
      <c r="AFJ38" s="255"/>
      <c r="AFK38" s="255"/>
      <c r="AFL38" s="255"/>
      <c r="AFM38" s="255"/>
      <c r="AFN38" s="255"/>
      <c r="AFO38" s="255"/>
      <c r="AFP38" s="255"/>
      <c r="AFQ38" s="255"/>
      <c r="AFR38" s="255"/>
      <c r="AFS38" s="255"/>
      <c r="AFT38" s="255"/>
      <c r="AFU38" s="255"/>
      <c r="AFV38" s="255"/>
      <c r="AFW38" s="255"/>
      <c r="AFX38" s="255"/>
      <c r="AFY38" s="255"/>
      <c r="AFZ38" s="255"/>
      <c r="AGA38" s="255"/>
      <c r="AGB38" s="255"/>
      <c r="AGC38" s="255"/>
      <c r="AGD38" s="255"/>
      <c r="AGE38" s="255"/>
      <c r="AGF38" s="255"/>
      <c r="AGG38" s="255"/>
      <c r="AGH38" s="255"/>
      <c r="AGI38" s="255"/>
      <c r="AGJ38" s="255"/>
      <c r="AGK38" s="255"/>
      <c r="AGL38" s="255"/>
      <c r="AGM38" s="255"/>
      <c r="AGN38" s="255"/>
      <c r="AGO38" s="255"/>
      <c r="AGP38" s="255"/>
      <c r="AGQ38" s="255"/>
      <c r="AGR38" s="255"/>
      <c r="AGS38" s="255"/>
      <c r="AGT38" s="255"/>
      <c r="AGU38" s="255"/>
      <c r="AGV38" s="255"/>
      <c r="AGW38" s="255"/>
      <c r="AGX38" s="255"/>
      <c r="AGY38" s="255"/>
      <c r="AGZ38" s="255"/>
      <c r="AHA38" s="255"/>
      <c r="AHB38" s="255"/>
      <c r="AHC38" s="255"/>
      <c r="AHD38" s="255"/>
      <c r="AHE38" s="255"/>
      <c r="AHF38" s="255"/>
      <c r="AHG38" s="255"/>
      <c r="AHH38" s="255"/>
      <c r="AHI38" s="255"/>
      <c r="AHJ38" s="255"/>
      <c r="AHK38" s="255"/>
      <c r="AHL38" s="255"/>
      <c r="AHM38" s="255"/>
      <c r="AHN38" s="255"/>
      <c r="AHO38" s="255"/>
      <c r="AHP38" s="255"/>
      <c r="AHQ38" s="255"/>
      <c r="AHR38" s="255"/>
      <c r="AHS38" s="255"/>
      <c r="AHT38" s="255"/>
      <c r="AHU38" s="255"/>
      <c r="AHV38" s="255"/>
      <c r="AHW38" s="255"/>
      <c r="AHX38" s="255"/>
      <c r="AHY38" s="255"/>
      <c r="AHZ38" s="255"/>
      <c r="AIA38" s="255"/>
      <c r="AIB38" s="255"/>
      <c r="AIC38" s="255"/>
      <c r="AID38" s="255"/>
      <c r="AIE38" s="255"/>
      <c r="AIF38" s="255"/>
      <c r="AIG38" s="255"/>
      <c r="AIH38" s="255"/>
      <c r="AII38" s="255"/>
      <c r="AIJ38" s="255"/>
      <c r="AIK38" s="255"/>
      <c r="AIL38" s="255"/>
      <c r="AIM38" s="255"/>
      <c r="AIN38" s="255"/>
      <c r="AIO38" s="255"/>
      <c r="AIP38" s="255"/>
      <c r="AIQ38" s="255"/>
      <c r="AIR38" s="255"/>
      <c r="AIS38" s="255"/>
      <c r="AIT38" s="255"/>
      <c r="AIU38" s="255"/>
      <c r="AIV38" s="255"/>
      <c r="AIW38" s="255"/>
      <c r="AIX38" s="255"/>
      <c r="AIY38" s="255"/>
      <c r="AIZ38" s="255"/>
      <c r="AJA38" s="255"/>
      <c r="AJB38" s="255"/>
      <c r="AJC38" s="255"/>
      <c r="AJD38" s="255"/>
      <c r="AJE38" s="255"/>
      <c r="AJF38" s="255"/>
      <c r="AJG38" s="255"/>
      <c r="AJH38" s="255"/>
      <c r="AJI38" s="255"/>
      <c r="AJJ38" s="255"/>
      <c r="AJK38" s="255"/>
      <c r="AJL38" s="255"/>
      <c r="AJM38" s="255"/>
      <c r="AJN38" s="255"/>
      <c r="AJO38" s="255"/>
      <c r="AJP38" s="255"/>
      <c r="AJQ38" s="255"/>
      <c r="AJR38" s="255"/>
      <c r="AJS38" s="255"/>
      <c r="AJT38" s="255"/>
      <c r="AJU38" s="255"/>
      <c r="AJV38" s="255"/>
      <c r="AJW38" s="255"/>
      <c r="AJX38" s="255"/>
      <c r="AJY38" s="255"/>
      <c r="AJZ38" s="255"/>
      <c r="AKA38" s="255"/>
      <c r="AKB38" s="255"/>
      <c r="AKC38" s="255"/>
      <c r="AKD38" s="255"/>
      <c r="AKE38" s="255"/>
      <c r="AKF38" s="255"/>
      <c r="AKG38" s="255"/>
      <c r="AKH38" s="255"/>
      <c r="AKI38" s="255"/>
      <c r="AKJ38" s="255"/>
      <c r="AKK38" s="255"/>
      <c r="AKL38" s="255"/>
      <c r="AKM38" s="255"/>
      <c r="AKN38" s="255"/>
      <c r="AKO38" s="255"/>
      <c r="AKP38" s="255"/>
      <c r="AKQ38" s="255"/>
      <c r="AKR38" s="255"/>
      <c r="AKS38" s="255"/>
      <c r="AKT38" s="255"/>
      <c r="AKU38" s="255"/>
      <c r="AKV38" s="255"/>
      <c r="AKW38" s="255"/>
      <c r="AKX38" s="255"/>
      <c r="AKY38" s="255"/>
      <c r="AKZ38" s="255"/>
      <c r="ALA38" s="255"/>
      <c r="ALB38" s="255"/>
      <c r="ALC38" s="255"/>
      <c r="ALD38" s="255"/>
      <c r="ALE38" s="255"/>
      <c r="ALF38" s="255"/>
      <c r="ALG38" s="255"/>
      <c r="ALH38" s="255"/>
      <c r="ALI38" s="255"/>
      <c r="ALJ38" s="255"/>
      <c r="ALK38" s="255"/>
      <c r="ALL38" s="42"/>
      <c r="ALM38" s="42"/>
      <c r="ALN38" s="42"/>
      <c r="ALO38" s="42"/>
      <c r="ALP38" s="42"/>
      <c r="ALQ38" s="42"/>
      <c r="ALR38" s="42"/>
      <c r="ALS38" s="42"/>
      <c r="ALT38" s="42"/>
    </row>
    <row r="39" spans="1:1008" s="191" customFormat="1" ht="36">
      <c r="A39" s="251" t="s">
        <v>7</v>
      </c>
      <c r="B39" s="328">
        <v>92775</v>
      </c>
      <c r="C39" s="329" t="str">
        <f>(IF($A39="SINAPI",INDEX(SINAPI_NOV2020_NDES!$A$7:$H$6703,MATCH($B39,SINAPI_NOV2020_NDES!$A$7:$A$6703,0),2),IF($A39="GOINFRA",INDEX(#REF!,MATCH($B39,#REF!,0),2),(INDEX(COMPOS!$A$4:$G$390,MATCH($B39,COMPOS!$A$4:A$390,0),2)))))</f>
        <v>ARMAÇÃO DE PILAR OU VIGA DE UMA ESTRUTURA CONVENCIONAL DE CONCRETO ARMADO EM UMA EDIFICAÇÃO TÉRREA OU SOBRADO UTILIZANDO AÇO CA-60 DE 5,0 MM - MONTAGEM. AF_12/2015</v>
      </c>
      <c r="D39" s="274" t="str">
        <f>(IF($A39="SINAPI",INDEX(SINAPI_NOV2020_NDES!$A$7:$H$6790,MATCH($B39,SINAPI_NOV2020_NDES!$A$7:$A$6790,0),3),(INDEX(COMPOS!$A$4:$G$5000,MATCH($B39,COMPOS!$A$4:$A$5000,0),3))))</f>
        <v>KG</v>
      </c>
      <c r="E39" s="276">
        <v>75</v>
      </c>
      <c r="F39" s="279">
        <f>(IF($A39="SINAPI",INDEX(SINAPI_NOV2020_NDES!$A$7:$H$6703,MATCH($B39,SINAPI_NOV2020_NDES!$A$7:$A$6703,0),5),(INDEX(COMPOS!$A$4:$G$801,MATCH($B39,COMPOS!$A$4:A$801,0),4))))</f>
        <v>5.68</v>
      </c>
      <c r="G39" s="280">
        <f>(IF($A39="SINAPI",INDEX(SINAPI_NOV2020_NDES!$A$7:$H$6703,MATCH($B39,SINAPI_NOV2020_NDES!$A$7:$A$6703,0),6),(INDEX(COMPOS!$A$4:$G$801,MATCH($B39,COMPOS!$A$4:A$801,0),5))))</f>
        <v>8.75</v>
      </c>
      <c r="H39" s="280">
        <f>(IF($A39="SINAPI",INDEX(SINAPI_NOV2020_NDES!$A$7:$H$6703,MATCH($B39,SINAPI_NOV2020_NDES!$A$7:$A$6703,0),7),(INDEX(COMPOS!$A$4:$G$801,MATCH($B39,COMPOS!$A$4:A$801,0),6))))</f>
        <v>0</v>
      </c>
      <c r="I39" s="279">
        <f t="shared" si="14"/>
        <v>14.43</v>
      </c>
      <c r="J39" s="276">
        <f t="shared" si="15"/>
        <v>1082.25</v>
      </c>
      <c r="K39" s="255"/>
      <c r="L39" s="255"/>
      <c r="M39" s="255"/>
      <c r="N39" s="255"/>
      <c r="O39" s="257"/>
      <c r="P39" s="223"/>
      <c r="Q39" s="255"/>
      <c r="R39" s="255"/>
      <c r="S39" s="255"/>
      <c r="T39" s="255"/>
      <c r="U39" s="255"/>
      <c r="V39" s="255"/>
      <c r="W39" s="255"/>
      <c r="X39" s="255"/>
      <c r="Y39" s="255"/>
      <c r="Z39" s="255"/>
      <c r="AA39" s="255"/>
      <c r="AB39" s="255"/>
      <c r="AC39" s="255"/>
      <c r="AD39" s="255"/>
      <c r="AE39" s="255"/>
      <c r="AF39" s="255"/>
      <c r="AG39" s="255"/>
      <c r="AH39" s="255"/>
      <c r="AI39" s="255"/>
      <c r="AJ39" s="255"/>
      <c r="AK39" s="255"/>
      <c r="AL39" s="255"/>
      <c r="AM39" s="255"/>
      <c r="AN39" s="255"/>
      <c r="AO39" s="255"/>
      <c r="AP39" s="255"/>
      <c r="AQ39" s="255"/>
      <c r="AR39" s="255"/>
      <c r="AS39" s="255"/>
      <c r="AT39" s="255"/>
      <c r="AU39" s="255"/>
      <c r="AV39" s="255"/>
      <c r="AW39" s="255"/>
      <c r="AX39" s="255"/>
      <c r="AY39" s="255"/>
      <c r="AZ39" s="255"/>
      <c r="BA39" s="255"/>
      <c r="BB39" s="255"/>
      <c r="BC39" s="255"/>
      <c r="BD39" s="255"/>
      <c r="BE39" s="255"/>
      <c r="BF39" s="255"/>
      <c r="BG39" s="255"/>
      <c r="BH39" s="255"/>
      <c r="BI39" s="255"/>
      <c r="BJ39" s="255"/>
      <c r="BK39" s="255"/>
      <c r="BL39" s="255"/>
      <c r="BM39" s="255"/>
      <c r="BN39" s="255"/>
      <c r="BO39" s="255"/>
      <c r="BP39" s="255"/>
      <c r="BQ39" s="255"/>
      <c r="BR39" s="255"/>
      <c r="BS39" s="255"/>
      <c r="BT39" s="255"/>
      <c r="BU39" s="255"/>
      <c r="BV39" s="255"/>
      <c r="BW39" s="255"/>
      <c r="BX39" s="255"/>
      <c r="BY39" s="255"/>
      <c r="BZ39" s="255"/>
      <c r="CA39" s="255"/>
      <c r="CB39" s="255"/>
      <c r="CC39" s="255"/>
      <c r="CD39" s="255"/>
      <c r="CE39" s="255"/>
      <c r="CF39" s="255"/>
      <c r="CG39" s="255"/>
      <c r="CH39" s="255"/>
      <c r="CI39" s="255"/>
      <c r="CJ39" s="255"/>
      <c r="CK39" s="255"/>
      <c r="CL39" s="255"/>
      <c r="CM39" s="255"/>
      <c r="CN39" s="255"/>
      <c r="CO39" s="255"/>
      <c r="CP39" s="255"/>
      <c r="CQ39" s="255"/>
      <c r="CR39" s="255"/>
      <c r="CS39" s="255"/>
      <c r="CT39" s="255"/>
      <c r="CU39" s="255"/>
      <c r="CV39" s="255"/>
      <c r="CW39" s="255"/>
      <c r="CX39" s="255"/>
      <c r="CY39" s="255"/>
      <c r="CZ39" s="255"/>
      <c r="DA39" s="255"/>
      <c r="DB39" s="255"/>
      <c r="DC39" s="255"/>
      <c r="DD39" s="255"/>
      <c r="DE39" s="255"/>
      <c r="DF39" s="255"/>
      <c r="DG39" s="255"/>
      <c r="DH39" s="255"/>
      <c r="DI39" s="255"/>
      <c r="DJ39" s="255"/>
      <c r="DK39" s="255"/>
      <c r="DL39" s="255"/>
      <c r="DM39" s="255"/>
      <c r="DN39" s="255"/>
      <c r="DO39" s="255"/>
      <c r="DP39" s="255"/>
      <c r="DQ39" s="255"/>
      <c r="DR39" s="255"/>
      <c r="DS39" s="255"/>
      <c r="DT39" s="255"/>
      <c r="DU39" s="255"/>
      <c r="DV39" s="255"/>
      <c r="DW39" s="255"/>
      <c r="DX39" s="255"/>
      <c r="DY39" s="255"/>
      <c r="DZ39" s="255"/>
      <c r="EA39" s="255"/>
      <c r="EB39" s="255"/>
      <c r="EC39" s="255"/>
      <c r="ED39" s="255"/>
      <c r="EE39" s="255"/>
      <c r="EF39" s="255"/>
      <c r="EG39" s="255"/>
      <c r="EH39" s="255"/>
      <c r="EI39" s="255"/>
      <c r="EJ39" s="255"/>
      <c r="EK39" s="255"/>
      <c r="EL39" s="255"/>
      <c r="EM39" s="255"/>
      <c r="EN39" s="255"/>
      <c r="EO39" s="255"/>
      <c r="EP39" s="255"/>
      <c r="EQ39" s="255"/>
      <c r="ER39" s="255"/>
      <c r="ES39" s="255"/>
      <c r="ET39" s="255"/>
      <c r="EU39" s="255"/>
      <c r="EV39" s="255"/>
      <c r="EW39" s="255"/>
      <c r="EX39" s="255"/>
      <c r="EY39" s="255"/>
      <c r="EZ39" s="255"/>
      <c r="FA39" s="255"/>
      <c r="FB39" s="255"/>
      <c r="FC39" s="255"/>
      <c r="FD39" s="255"/>
      <c r="FE39" s="255"/>
      <c r="FF39" s="255"/>
      <c r="FG39" s="255"/>
      <c r="FH39" s="255"/>
      <c r="FI39" s="255"/>
      <c r="FJ39" s="255"/>
      <c r="FK39" s="255"/>
      <c r="FL39" s="255"/>
      <c r="FM39" s="255"/>
      <c r="FN39" s="255"/>
      <c r="FO39" s="255"/>
      <c r="FP39" s="255"/>
      <c r="FQ39" s="255"/>
      <c r="FR39" s="255"/>
      <c r="FS39" s="255"/>
      <c r="FT39" s="255"/>
      <c r="FU39" s="255"/>
      <c r="FV39" s="255"/>
      <c r="FW39" s="255"/>
      <c r="FX39" s="255"/>
      <c r="FY39" s="255"/>
      <c r="FZ39" s="255"/>
      <c r="GA39" s="255"/>
      <c r="GB39" s="255"/>
      <c r="GC39" s="255"/>
      <c r="GD39" s="255"/>
      <c r="GE39" s="255"/>
      <c r="GF39" s="255"/>
      <c r="GG39" s="255"/>
      <c r="GH39" s="255"/>
      <c r="GI39" s="255"/>
      <c r="GJ39" s="255"/>
      <c r="GK39" s="255"/>
      <c r="GL39" s="255"/>
      <c r="GM39" s="255"/>
      <c r="GN39" s="255"/>
      <c r="GO39" s="255"/>
      <c r="GP39" s="255"/>
      <c r="GQ39" s="255"/>
      <c r="GR39" s="255"/>
      <c r="GS39" s="255"/>
      <c r="GT39" s="255"/>
      <c r="GU39" s="255"/>
      <c r="GV39" s="255"/>
      <c r="GW39" s="255"/>
      <c r="GX39" s="255"/>
      <c r="GY39" s="255"/>
      <c r="GZ39" s="255"/>
      <c r="HA39" s="255"/>
      <c r="HB39" s="255"/>
      <c r="HC39" s="255"/>
      <c r="HD39" s="255"/>
      <c r="HE39" s="255"/>
      <c r="HF39" s="255"/>
      <c r="HG39" s="255"/>
      <c r="HH39" s="255"/>
      <c r="HI39" s="255"/>
      <c r="HJ39" s="255"/>
      <c r="HK39" s="255"/>
      <c r="HL39" s="255"/>
      <c r="HM39" s="255"/>
      <c r="HN39" s="255"/>
      <c r="HO39" s="255"/>
      <c r="HP39" s="255"/>
      <c r="HQ39" s="255"/>
      <c r="HR39" s="255"/>
      <c r="HS39" s="255"/>
      <c r="HT39" s="255"/>
      <c r="HU39" s="255"/>
      <c r="HV39" s="255"/>
      <c r="HW39" s="255"/>
      <c r="HX39" s="255"/>
      <c r="HY39" s="255"/>
      <c r="HZ39" s="255"/>
      <c r="IA39" s="255"/>
      <c r="IB39" s="255"/>
      <c r="IC39" s="255"/>
      <c r="ID39" s="255"/>
      <c r="IE39" s="255"/>
      <c r="IF39" s="255"/>
      <c r="IG39" s="255"/>
      <c r="IH39" s="255"/>
      <c r="II39" s="255"/>
      <c r="IJ39" s="255"/>
      <c r="IK39" s="255"/>
      <c r="IL39" s="255"/>
      <c r="IM39" s="255"/>
      <c r="IN39" s="255"/>
      <c r="IO39" s="255"/>
      <c r="IP39" s="255"/>
      <c r="IQ39" s="255"/>
      <c r="IR39" s="255"/>
      <c r="IS39" s="255"/>
      <c r="IT39" s="255"/>
      <c r="IU39" s="255"/>
      <c r="IV39" s="255"/>
      <c r="IW39" s="255"/>
      <c r="IX39" s="255"/>
      <c r="IY39" s="255"/>
      <c r="IZ39" s="255"/>
      <c r="JA39" s="255"/>
      <c r="JB39" s="255"/>
      <c r="JC39" s="255"/>
      <c r="JD39" s="255"/>
      <c r="JE39" s="255"/>
      <c r="JF39" s="255"/>
      <c r="JG39" s="255"/>
      <c r="JH39" s="255"/>
      <c r="JI39" s="255"/>
      <c r="JJ39" s="255"/>
      <c r="JK39" s="255"/>
      <c r="JL39" s="255"/>
      <c r="JM39" s="255"/>
      <c r="JN39" s="255"/>
      <c r="JO39" s="255"/>
      <c r="JP39" s="255"/>
      <c r="JQ39" s="255"/>
      <c r="JR39" s="255"/>
      <c r="JS39" s="255"/>
      <c r="JT39" s="255"/>
      <c r="JU39" s="255"/>
      <c r="JV39" s="255"/>
      <c r="JW39" s="255"/>
      <c r="JX39" s="255"/>
      <c r="JY39" s="255"/>
      <c r="JZ39" s="255"/>
      <c r="KA39" s="255"/>
      <c r="KB39" s="255"/>
      <c r="KC39" s="255"/>
      <c r="KD39" s="255"/>
      <c r="KE39" s="255"/>
      <c r="KF39" s="255"/>
      <c r="KG39" s="255"/>
      <c r="KH39" s="255"/>
      <c r="KI39" s="255"/>
      <c r="KJ39" s="255"/>
      <c r="KK39" s="255"/>
      <c r="KL39" s="255"/>
      <c r="KM39" s="255"/>
      <c r="KN39" s="255"/>
      <c r="KO39" s="255"/>
      <c r="KP39" s="255"/>
      <c r="KQ39" s="255"/>
      <c r="KR39" s="255"/>
      <c r="KS39" s="255"/>
      <c r="KT39" s="255"/>
      <c r="KU39" s="255"/>
      <c r="KV39" s="255"/>
      <c r="KW39" s="255"/>
      <c r="KX39" s="255"/>
      <c r="KY39" s="255"/>
      <c r="KZ39" s="255"/>
      <c r="LA39" s="255"/>
      <c r="LB39" s="255"/>
      <c r="LC39" s="255"/>
      <c r="LD39" s="255"/>
      <c r="LE39" s="255"/>
      <c r="LF39" s="255"/>
      <c r="LG39" s="255"/>
      <c r="LH39" s="255"/>
      <c r="LI39" s="255"/>
      <c r="LJ39" s="255"/>
      <c r="LK39" s="255"/>
      <c r="LL39" s="255"/>
      <c r="LM39" s="255"/>
      <c r="LN39" s="255"/>
      <c r="LO39" s="255"/>
      <c r="LP39" s="255"/>
      <c r="LQ39" s="255"/>
      <c r="LR39" s="255"/>
      <c r="LS39" s="255"/>
      <c r="LT39" s="255"/>
      <c r="LU39" s="255"/>
      <c r="LV39" s="255"/>
      <c r="LW39" s="255"/>
      <c r="LX39" s="255"/>
      <c r="LY39" s="255"/>
      <c r="LZ39" s="255"/>
      <c r="MA39" s="255"/>
      <c r="MB39" s="255"/>
      <c r="MC39" s="255"/>
      <c r="MD39" s="255"/>
      <c r="ME39" s="255"/>
      <c r="MF39" s="255"/>
      <c r="MG39" s="255"/>
      <c r="MH39" s="255"/>
      <c r="MI39" s="255"/>
      <c r="MJ39" s="255"/>
      <c r="MK39" s="255"/>
      <c r="ML39" s="255"/>
      <c r="MM39" s="255"/>
      <c r="MN39" s="255"/>
      <c r="MO39" s="255"/>
      <c r="MP39" s="255"/>
      <c r="MQ39" s="255"/>
      <c r="MR39" s="255"/>
      <c r="MS39" s="255"/>
      <c r="MT39" s="255"/>
      <c r="MU39" s="255"/>
      <c r="MV39" s="255"/>
      <c r="MW39" s="255"/>
      <c r="MX39" s="255"/>
      <c r="MY39" s="255"/>
      <c r="MZ39" s="255"/>
      <c r="NA39" s="255"/>
      <c r="NB39" s="255"/>
      <c r="NC39" s="255"/>
      <c r="ND39" s="255"/>
      <c r="NE39" s="255"/>
      <c r="NF39" s="255"/>
      <c r="NG39" s="255"/>
      <c r="NH39" s="255"/>
      <c r="NI39" s="255"/>
      <c r="NJ39" s="255"/>
      <c r="NK39" s="255"/>
      <c r="NL39" s="255"/>
      <c r="NM39" s="255"/>
      <c r="NN39" s="255"/>
      <c r="NO39" s="255"/>
      <c r="NP39" s="255"/>
      <c r="NQ39" s="255"/>
      <c r="NR39" s="255"/>
      <c r="NS39" s="255"/>
      <c r="NT39" s="255"/>
      <c r="NU39" s="255"/>
      <c r="NV39" s="255"/>
      <c r="NW39" s="255"/>
      <c r="NX39" s="255"/>
      <c r="NY39" s="255"/>
      <c r="NZ39" s="255"/>
      <c r="OA39" s="255"/>
      <c r="OB39" s="255"/>
      <c r="OC39" s="255"/>
      <c r="OD39" s="255"/>
      <c r="OE39" s="255"/>
      <c r="OF39" s="255"/>
      <c r="OG39" s="255"/>
      <c r="OH39" s="255"/>
      <c r="OI39" s="255"/>
      <c r="OJ39" s="255"/>
      <c r="OK39" s="255"/>
      <c r="OL39" s="255"/>
      <c r="OM39" s="255"/>
      <c r="ON39" s="255"/>
      <c r="OO39" s="255"/>
      <c r="OP39" s="255"/>
      <c r="OQ39" s="255"/>
      <c r="OR39" s="255"/>
      <c r="OS39" s="255"/>
      <c r="OT39" s="255"/>
      <c r="OU39" s="255"/>
      <c r="OV39" s="255"/>
      <c r="OW39" s="255"/>
      <c r="OX39" s="255"/>
      <c r="OY39" s="255"/>
      <c r="OZ39" s="255"/>
      <c r="PA39" s="255"/>
      <c r="PB39" s="255"/>
      <c r="PC39" s="255"/>
      <c r="PD39" s="255"/>
      <c r="PE39" s="255"/>
      <c r="PF39" s="255"/>
      <c r="PG39" s="255"/>
      <c r="PH39" s="255"/>
      <c r="PI39" s="255"/>
      <c r="PJ39" s="255"/>
      <c r="PK39" s="255"/>
      <c r="PL39" s="255"/>
      <c r="PM39" s="255"/>
      <c r="PN39" s="255"/>
      <c r="PO39" s="255"/>
      <c r="PP39" s="255"/>
      <c r="PQ39" s="255"/>
      <c r="PR39" s="255"/>
      <c r="PS39" s="255"/>
      <c r="PT39" s="255"/>
      <c r="PU39" s="255"/>
      <c r="PV39" s="255"/>
      <c r="PW39" s="255"/>
      <c r="PX39" s="255"/>
      <c r="PY39" s="255"/>
      <c r="PZ39" s="255"/>
      <c r="QA39" s="255"/>
      <c r="QB39" s="255"/>
      <c r="QC39" s="255"/>
      <c r="QD39" s="255"/>
      <c r="QE39" s="255"/>
      <c r="QF39" s="255"/>
      <c r="QG39" s="255"/>
      <c r="QH39" s="255"/>
      <c r="QI39" s="255"/>
      <c r="QJ39" s="255"/>
      <c r="QK39" s="255"/>
      <c r="QL39" s="255"/>
      <c r="QM39" s="255"/>
      <c r="QN39" s="255"/>
      <c r="QO39" s="255"/>
      <c r="QP39" s="255"/>
      <c r="QQ39" s="255"/>
      <c r="QR39" s="255"/>
      <c r="QS39" s="255"/>
      <c r="QT39" s="255"/>
      <c r="QU39" s="255"/>
      <c r="QV39" s="255"/>
      <c r="QW39" s="255"/>
      <c r="QX39" s="255"/>
      <c r="QY39" s="255"/>
      <c r="QZ39" s="255"/>
      <c r="RA39" s="255"/>
      <c r="RB39" s="255"/>
      <c r="RC39" s="255"/>
      <c r="RD39" s="255"/>
      <c r="RE39" s="255"/>
      <c r="RF39" s="255"/>
      <c r="RG39" s="255"/>
      <c r="RH39" s="255"/>
      <c r="RI39" s="255"/>
      <c r="RJ39" s="255"/>
      <c r="RK39" s="255"/>
      <c r="RL39" s="255"/>
      <c r="RM39" s="255"/>
      <c r="RN39" s="255"/>
      <c r="RO39" s="255"/>
      <c r="RP39" s="255"/>
      <c r="RQ39" s="255"/>
      <c r="RR39" s="255"/>
      <c r="RS39" s="255"/>
      <c r="RT39" s="255"/>
      <c r="RU39" s="255"/>
      <c r="RV39" s="255"/>
      <c r="RW39" s="255"/>
      <c r="RX39" s="255"/>
      <c r="RY39" s="255"/>
      <c r="RZ39" s="255"/>
      <c r="SA39" s="255"/>
      <c r="SB39" s="255"/>
      <c r="SC39" s="255"/>
      <c r="SD39" s="255"/>
      <c r="SE39" s="255"/>
      <c r="SF39" s="255"/>
      <c r="SG39" s="255"/>
      <c r="SH39" s="255"/>
      <c r="SI39" s="255"/>
      <c r="SJ39" s="255"/>
      <c r="SK39" s="255"/>
      <c r="SL39" s="255"/>
      <c r="SM39" s="255"/>
      <c r="SN39" s="255"/>
      <c r="SO39" s="255"/>
      <c r="SP39" s="255"/>
      <c r="SQ39" s="255"/>
      <c r="SR39" s="255"/>
      <c r="SS39" s="255"/>
      <c r="ST39" s="255"/>
      <c r="SU39" s="255"/>
      <c r="SV39" s="255"/>
      <c r="SW39" s="255"/>
      <c r="SX39" s="255"/>
      <c r="SY39" s="255"/>
      <c r="SZ39" s="255"/>
      <c r="TA39" s="255"/>
      <c r="TB39" s="255"/>
      <c r="TC39" s="255"/>
      <c r="TD39" s="255"/>
      <c r="TE39" s="255"/>
      <c r="TF39" s="255"/>
      <c r="TG39" s="255"/>
      <c r="TH39" s="255"/>
      <c r="TI39" s="255"/>
      <c r="TJ39" s="255"/>
      <c r="TK39" s="255"/>
      <c r="TL39" s="255"/>
      <c r="TM39" s="255"/>
      <c r="TN39" s="255"/>
      <c r="TO39" s="255"/>
      <c r="TP39" s="255"/>
      <c r="TQ39" s="255"/>
      <c r="TR39" s="255"/>
      <c r="TS39" s="255"/>
      <c r="TT39" s="255"/>
      <c r="TU39" s="255"/>
      <c r="TV39" s="255"/>
      <c r="TW39" s="255"/>
      <c r="TX39" s="255"/>
      <c r="TY39" s="255"/>
      <c r="TZ39" s="255"/>
      <c r="UA39" s="255"/>
      <c r="UB39" s="255"/>
      <c r="UC39" s="255"/>
      <c r="UD39" s="255"/>
      <c r="UE39" s="255"/>
      <c r="UF39" s="255"/>
      <c r="UG39" s="255"/>
      <c r="UH39" s="255"/>
      <c r="UI39" s="255"/>
      <c r="UJ39" s="255"/>
      <c r="UK39" s="255"/>
      <c r="UL39" s="255"/>
      <c r="UM39" s="255"/>
      <c r="UN39" s="255"/>
      <c r="UO39" s="255"/>
      <c r="UP39" s="255"/>
      <c r="UQ39" s="255"/>
      <c r="UR39" s="255"/>
      <c r="US39" s="255"/>
      <c r="UT39" s="255"/>
      <c r="UU39" s="255"/>
      <c r="UV39" s="255"/>
      <c r="UW39" s="255"/>
      <c r="UX39" s="255"/>
      <c r="UY39" s="255"/>
      <c r="UZ39" s="255"/>
      <c r="VA39" s="255"/>
      <c r="VB39" s="255"/>
      <c r="VC39" s="255"/>
      <c r="VD39" s="255"/>
      <c r="VE39" s="255"/>
      <c r="VF39" s="255"/>
      <c r="VG39" s="255"/>
      <c r="VH39" s="255"/>
      <c r="VI39" s="255"/>
      <c r="VJ39" s="255"/>
      <c r="VK39" s="255"/>
      <c r="VL39" s="255"/>
      <c r="VM39" s="255"/>
      <c r="VN39" s="255"/>
      <c r="VO39" s="255"/>
      <c r="VP39" s="255"/>
      <c r="VQ39" s="255"/>
      <c r="VR39" s="255"/>
      <c r="VS39" s="255"/>
      <c r="VT39" s="255"/>
      <c r="VU39" s="255"/>
      <c r="VV39" s="255"/>
      <c r="VW39" s="255"/>
      <c r="VX39" s="255"/>
      <c r="VY39" s="255"/>
      <c r="VZ39" s="255"/>
      <c r="WA39" s="255"/>
      <c r="WB39" s="255"/>
      <c r="WC39" s="255"/>
      <c r="WD39" s="255"/>
      <c r="WE39" s="255"/>
      <c r="WF39" s="255"/>
      <c r="WG39" s="255"/>
      <c r="WH39" s="255"/>
      <c r="WI39" s="255"/>
      <c r="WJ39" s="255"/>
      <c r="WK39" s="255"/>
      <c r="WL39" s="255"/>
      <c r="WM39" s="255"/>
      <c r="WN39" s="255"/>
      <c r="WO39" s="255"/>
      <c r="WP39" s="255"/>
      <c r="WQ39" s="255"/>
      <c r="WR39" s="255"/>
      <c r="WS39" s="255"/>
      <c r="WT39" s="255"/>
      <c r="WU39" s="255"/>
      <c r="WV39" s="255"/>
      <c r="WW39" s="255"/>
      <c r="WX39" s="255"/>
      <c r="WY39" s="255"/>
      <c r="WZ39" s="255"/>
      <c r="XA39" s="255"/>
      <c r="XB39" s="255"/>
      <c r="XC39" s="255"/>
      <c r="XD39" s="255"/>
      <c r="XE39" s="255"/>
      <c r="XF39" s="255"/>
      <c r="XG39" s="255"/>
      <c r="XH39" s="255"/>
      <c r="XI39" s="255"/>
      <c r="XJ39" s="255"/>
      <c r="XK39" s="255"/>
      <c r="XL39" s="255"/>
      <c r="XM39" s="255"/>
      <c r="XN39" s="255"/>
      <c r="XO39" s="255"/>
      <c r="XP39" s="255"/>
      <c r="XQ39" s="255"/>
      <c r="XR39" s="255"/>
      <c r="XS39" s="255"/>
      <c r="XT39" s="255"/>
      <c r="XU39" s="255"/>
      <c r="XV39" s="255"/>
      <c r="XW39" s="255"/>
      <c r="XX39" s="255"/>
      <c r="XY39" s="255"/>
      <c r="XZ39" s="255"/>
      <c r="YA39" s="255"/>
      <c r="YB39" s="255"/>
      <c r="YC39" s="255"/>
      <c r="YD39" s="255"/>
      <c r="YE39" s="255"/>
      <c r="YF39" s="255"/>
      <c r="YG39" s="255"/>
      <c r="YH39" s="255"/>
      <c r="YI39" s="255"/>
      <c r="YJ39" s="255"/>
      <c r="YK39" s="255"/>
      <c r="YL39" s="255"/>
      <c r="YM39" s="255"/>
      <c r="YN39" s="255"/>
      <c r="YO39" s="255"/>
      <c r="YP39" s="255"/>
      <c r="YQ39" s="255"/>
      <c r="YR39" s="255"/>
      <c r="YS39" s="255"/>
      <c r="YT39" s="255"/>
      <c r="YU39" s="255"/>
      <c r="YV39" s="255"/>
      <c r="YW39" s="255"/>
      <c r="YX39" s="255"/>
      <c r="YY39" s="255"/>
      <c r="YZ39" s="255"/>
      <c r="ZA39" s="255"/>
      <c r="ZB39" s="255"/>
      <c r="ZC39" s="255"/>
      <c r="ZD39" s="255"/>
      <c r="ZE39" s="255"/>
      <c r="ZF39" s="255"/>
      <c r="ZG39" s="255"/>
      <c r="ZH39" s="255"/>
      <c r="ZI39" s="255"/>
      <c r="ZJ39" s="255"/>
      <c r="ZK39" s="255"/>
      <c r="ZL39" s="255"/>
      <c r="ZM39" s="255"/>
      <c r="ZN39" s="255"/>
      <c r="ZO39" s="255"/>
      <c r="ZP39" s="255"/>
      <c r="ZQ39" s="255"/>
      <c r="ZR39" s="255"/>
      <c r="ZS39" s="255"/>
      <c r="ZT39" s="255"/>
      <c r="ZU39" s="255"/>
      <c r="ZV39" s="255"/>
      <c r="ZW39" s="255"/>
      <c r="ZX39" s="255"/>
      <c r="ZY39" s="255"/>
      <c r="ZZ39" s="255"/>
      <c r="AAA39" s="255"/>
      <c r="AAB39" s="255"/>
      <c r="AAC39" s="255"/>
      <c r="AAD39" s="255"/>
      <c r="AAE39" s="255"/>
      <c r="AAF39" s="255"/>
      <c r="AAG39" s="255"/>
      <c r="AAH39" s="255"/>
      <c r="AAI39" s="255"/>
      <c r="AAJ39" s="255"/>
      <c r="AAK39" s="255"/>
      <c r="AAL39" s="255"/>
      <c r="AAM39" s="255"/>
      <c r="AAN39" s="255"/>
      <c r="AAO39" s="255"/>
      <c r="AAP39" s="255"/>
      <c r="AAQ39" s="255"/>
      <c r="AAR39" s="255"/>
      <c r="AAS39" s="255"/>
      <c r="AAT39" s="255"/>
      <c r="AAU39" s="255"/>
      <c r="AAV39" s="255"/>
      <c r="AAW39" s="255"/>
      <c r="AAX39" s="255"/>
      <c r="AAY39" s="255"/>
      <c r="AAZ39" s="255"/>
      <c r="ABA39" s="255"/>
      <c r="ABB39" s="255"/>
      <c r="ABC39" s="255"/>
      <c r="ABD39" s="255"/>
      <c r="ABE39" s="255"/>
      <c r="ABF39" s="255"/>
      <c r="ABG39" s="255"/>
      <c r="ABH39" s="255"/>
      <c r="ABI39" s="255"/>
      <c r="ABJ39" s="255"/>
      <c r="ABK39" s="255"/>
      <c r="ABL39" s="255"/>
      <c r="ABM39" s="255"/>
      <c r="ABN39" s="255"/>
      <c r="ABO39" s="255"/>
      <c r="ABP39" s="255"/>
      <c r="ABQ39" s="255"/>
      <c r="ABR39" s="255"/>
      <c r="ABS39" s="255"/>
      <c r="ABT39" s="255"/>
      <c r="ABU39" s="255"/>
      <c r="ABV39" s="255"/>
      <c r="ABW39" s="255"/>
      <c r="ABX39" s="255"/>
      <c r="ABY39" s="255"/>
      <c r="ABZ39" s="255"/>
      <c r="ACA39" s="255"/>
      <c r="ACB39" s="255"/>
      <c r="ACC39" s="255"/>
      <c r="ACD39" s="255"/>
      <c r="ACE39" s="255"/>
      <c r="ACF39" s="255"/>
      <c r="ACG39" s="255"/>
      <c r="ACH39" s="255"/>
      <c r="ACI39" s="255"/>
      <c r="ACJ39" s="255"/>
      <c r="ACK39" s="255"/>
      <c r="ACL39" s="255"/>
      <c r="ACM39" s="255"/>
      <c r="ACN39" s="255"/>
      <c r="ACO39" s="255"/>
      <c r="ACP39" s="255"/>
      <c r="ACQ39" s="255"/>
      <c r="ACR39" s="255"/>
      <c r="ACS39" s="255"/>
      <c r="ACT39" s="255"/>
      <c r="ACU39" s="255"/>
      <c r="ACV39" s="255"/>
      <c r="ACW39" s="255"/>
      <c r="ACX39" s="255"/>
      <c r="ACY39" s="255"/>
      <c r="ACZ39" s="255"/>
      <c r="ADA39" s="255"/>
      <c r="ADB39" s="255"/>
      <c r="ADC39" s="255"/>
      <c r="ADD39" s="255"/>
      <c r="ADE39" s="255"/>
      <c r="ADF39" s="255"/>
      <c r="ADG39" s="255"/>
      <c r="ADH39" s="255"/>
      <c r="ADI39" s="255"/>
      <c r="ADJ39" s="255"/>
      <c r="ADK39" s="255"/>
      <c r="ADL39" s="255"/>
      <c r="ADM39" s="255"/>
      <c r="ADN39" s="255"/>
      <c r="ADO39" s="255"/>
      <c r="ADP39" s="255"/>
      <c r="ADQ39" s="255"/>
      <c r="ADR39" s="255"/>
      <c r="ADS39" s="255"/>
      <c r="ADT39" s="255"/>
      <c r="ADU39" s="255"/>
      <c r="ADV39" s="255"/>
      <c r="ADW39" s="255"/>
      <c r="ADX39" s="255"/>
      <c r="ADY39" s="255"/>
      <c r="ADZ39" s="255"/>
      <c r="AEA39" s="255"/>
      <c r="AEB39" s="255"/>
      <c r="AEC39" s="255"/>
      <c r="AED39" s="255"/>
      <c r="AEE39" s="255"/>
      <c r="AEF39" s="255"/>
      <c r="AEG39" s="255"/>
      <c r="AEH39" s="255"/>
      <c r="AEI39" s="255"/>
      <c r="AEJ39" s="255"/>
      <c r="AEK39" s="255"/>
      <c r="AEL39" s="255"/>
      <c r="AEM39" s="255"/>
      <c r="AEN39" s="255"/>
      <c r="AEO39" s="255"/>
      <c r="AEP39" s="255"/>
      <c r="AEQ39" s="255"/>
      <c r="AER39" s="255"/>
      <c r="AES39" s="255"/>
      <c r="AET39" s="255"/>
      <c r="AEU39" s="255"/>
      <c r="AEV39" s="255"/>
      <c r="AEW39" s="255"/>
      <c r="AEX39" s="255"/>
      <c r="AEY39" s="255"/>
      <c r="AEZ39" s="255"/>
      <c r="AFA39" s="255"/>
      <c r="AFB39" s="255"/>
      <c r="AFC39" s="255"/>
      <c r="AFD39" s="255"/>
      <c r="AFE39" s="255"/>
      <c r="AFF39" s="255"/>
      <c r="AFG39" s="255"/>
      <c r="AFH39" s="255"/>
      <c r="AFI39" s="255"/>
      <c r="AFJ39" s="255"/>
      <c r="AFK39" s="255"/>
      <c r="AFL39" s="255"/>
      <c r="AFM39" s="255"/>
      <c r="AFN39" s="255"/>
      <c r="AFO39" s="255"/>
      <c r="AFP39" s="255"/>
      <c r="AFQ39" s="255"/>
      <c r="AFR39" s="255"/>
      <c r="AFS39" s="255"/>
      <c r="AFT39" s="255"/>
      <c r="AFU39" s="255"/>
      <c r="AFV39" s="255"/>
      <c r="AFW39" s="255"/>
      <c r="AFX39" s="255"/>
      <c r="AFY39" s="255"/>
      <c r="AFZ39" s="255"/>
      <c r="AGA39" s="255"/>
      <c r="AGB39" s="255"/>
      <c r="AGC39" s="255"/>
      <c r="AGD39" s="255"/>
      <c r="AGE39" s="255"/>
      <c r="AGF39" s="255"/>
      <c r="AGG39" s="255"/>
      <c r="AGH39" s="255"/>
      <c r="AGI39" s="255"/>
      <c r="AGJ39" s="255"/>
      <c r="AGK39" s="255"/>
      <c r="AGL39" s="255"/>
      <c r="AGM39" s="255"/>
      <c r="AGN39" s="255"/>
      <c r="AGO39" s="255"/>
      <c r="AGP39" s="255"/>
      <c r="AGQ39" s="255"/>
      <c r="AGR39" s="255"/>
      <c r="AGS39" s="255"/>
      <c r="AGT39" s="255"/>
      <c r="AGU39" s="255"/>
      <c r="AGV39" s="255"/>
      <c r="AGW39" s="255"/>
      <c r="AGX39" s="255"/>
      <c r="AGY39" s="255"/>
      <c r="AGZ39" s="255"/>
      <c r="AHA39" s="255"/>
      <c r="AHB39" s="255"/>
      <c r="AHC39" s="255"/>
      <c r="AHD39" s="255"/>
      <c r="AHE39" s="255"/>
      <c r="AHF39" s="255"/>
      <c r="AHG39" s="255"/>
      <c r="AHH39" s="255"/>
      <c r="AHI39" s="255"/>
      <c r="AHJ39" s="255"/>
      <c r="AHK39" s="255"/>
      <c r="AHL39" s="255"/>
      <c r="AHM39" s="255"/>
      <c r="AHN39" s="255"/>
      <c r="AHO39" s="255"/>
      <c r="AHP39" s="255"/>
      <c r="AHQ39" s="255"/>
      <c r="AHR39" s="255"/>
      <c r="AHS39" s="255"/>
      <c r="AHT39" s="255"/>
      <c r="AHU39" s="255"/>
      <c r="AHV39" s="255"/>
      <c r="AHW39" s="255"/>
      <c r="AHX39" s="255"/>
      <c r="AHY39" s="255"/>
      <c r="AHZ39" s="255"/>
      <c r="AIA39" s="255"/>
      <c r="AIB39" s="255"/>
      <c r="AIC39" s="255"/>
      <c r="AID39" s="255"/>
      <c r="AIE39" s="255"/>
      <c r="AIF39" s="255"/>
      <c r="AIG39" s="255"/>
      <c r="AIH39" s="255"/>
      <c r="AII39" s="255"/>
      <c r="AIJ39" s="255"/>
      <c r="AIK39" s="255"/>
      <c r="AIL39" s="255"/>
      <c r="AIM39" s="255"/>
      <c r="AIN39" s="255"/>
      <c r="AIO39" s="255"/>
      <c r="AIP39" s="255"/>
      <c r="AIQ39" s="255"/>
      <c r="AIR39" s="255"/>
      <c r="AIS39" s="255"/>
      <c r="AIT39" s="255"/>
      <c r="AIU39" s="255"/>
      <c r="AIV39" s="255"/>
      <c r="AIW39" s="255"/>
      <c r="AIX39" s="255"/>
      <c r="AIY39" s="255"/>
      <c r="AIZ39" s="255"/>
      <c r="AJA39" s="255"/>
      <c r="AJB39" s="255"/>
      <c r="AJC39" s="255"/>
      <c r="AJD39" s="255"/>
      <c r="AJE39" s="255"/>
      <c r="AJF39" s="255"/>
      <c r="AJG39" s="255"/>
      <c r="AJH39" s="255"/>
      <c r="AJI39" s="255"/>
      <c r="AJJ39" s="255"/>
      <c r="AJK39" s="255"/>
      <c r="AJL39" s="255"/>
      <c r="AJM39" s="255"/>
      <c r="AJN39" s="255"/>
      <c r="AJO39" s="255"/>
      <c r="AJP39" s="255"/>
      <c r="AJQ39" s="255"/>
      <c r="AJR39" s="255"/>
      <c r="AJS39" s="255"/>
      <c r="AJT39" s="255"/>
      <c r="AJU39" s="255"/>
      <c r="AJV39" s="255"/>
      <c r="AJW39" s="255"/>
      <c r="AJX39" s="255"/>
      <c r="AJY39" s="255"/>
      <c r="AJZ39" s="255"/>
      <c r="AKA39" s="255"/>
      <c r="AKB39" s="255"/>
      <c r="AKC39" s="255"/>
      <c r="AKD39" s="255"/>
      <c r="AKE39" s="255"/>
      <c r="AKF39" s="255"/>
      <c r="AKG39" s="255"/>
      <c r="AKH39" s="255"/>
      <c r="AKI39" s="255"/>
      <c r="AKJ39" s="255"/>
      <c r="AKK39" s="255"/>
      <c r="AKL39" s="255"/>
      <c r="AKM39" s="255"/>
      <c r="AKN39" s="255"/>
      <c r="AKO39" s="255"/>
      <c r="AKP39" s="255"/>
      <c r="AKQ39" s="255"/>
      <c r="AKR39" s="255"/>
      <c r="AKS39" s="255"/>
      <c r="AKT39" s="255"/>
      <c r="AKU39" s="255"/>
      <c r="AKV39" s="255"/>
      <c r="AKW39" s="255"/>
      <c r="AKX39" s="255"/>
      <c r="AKY39" s="255"/>
      <c r="AKZ39" s="255"/>
      <c r="ALA39" s="255"/>
      <c r="ALB39" s="255"/>
      <c r="ALC39" s="255"/>
      <c r="ALD39" s="255"/>
      <c r="ALE39" s="255"/>
      <c r="ALF39" s="255"/>
      <c r="ALG39" s="255"/>
      <c r="ALH39" s="255"/>
      <c r="ALI39" s="255"/>
      <c r="ALJ39" s="255"/>
      <c r="ALK39" s="255"/>
      <c r="ALL39" s="42"/>
      <c r="ALM39" s="42"/>
      <c r="ALN39" s="42"/>
      <c r="ALO39" s="42"/>
      <c r="ALP39" s="42"/>
      <c r="ALQ39" s="42"/>
      <c r="ALR39" s="42"/>
      <c r="ALS39" s="42"/>
      <c r="ALT39" s="42"/>
    </row>
    <row r="40" spans="1:1008" s="191" customFormat="1" ht="36">
      <c r="A40" s="251" t="s">
        <v>7</v>
      </c>
      <c r="B40" s="328">
        <v>92776</v>
      </c>
      <c r="C40" s="329" t="str">
        <f>(IF($A40="SINAPI",INDEX(SINAPI_NOV2020_NDES!$A$7:$H$6703,MATCH($B40,SINAPI_NOV2020_NDES!$A$7:$A$6703,0),2),IF($A40="GOINFRA",INDEX(#REF!,MATCH($B40,#REF!,0),2),(INDEX(COMPOS!$A$4:$G$390,MATCH($B40,COMPOS!$A$4:A$390,0),2)))))</f>
        <v>ARMAÇÃO DE PILAR OU VIGA DE UMA ESTRUTURA CONVENCIONAL DE CONCRETO ARMADO EM UMA EDIFICAÇÃO TÉRREA OU SOBRADO UTILIZANDO AÇO CA-50 DE 6,3 MM - MONTAGEM. AF_12/2015</v>
      </c>
      <c r="D40" s="274" t="str">
        <f>(IF($A40="SINAPI",INDEX(SINAPI_NOV2020_NDES!$A$7:$H$6790,MATCH($B40,SINAPI_NOV2020_NDES!$A$7:$A$6790,0),3),(INDEX(COMPOS!$A$4:$G$5000,MATCH($B40,COMPOS!$A$4:$A$5000,0),3))))</f>
        <v>KG</v>
      </c>
      <c r="E40" s="276">
        <v>37</v>
      </c>
      <c r="F40" s="279">
        <f>(IF($A40="SINAPI",INDEX(SINAPI_NOV2020_NDES!$A$7:$H$6703,MATCH($B40,SINAPI_NOV2020_NDES!$A$7:$A$6703,0),5),(INDEX(COMPOS!$A$4:$G$801,MATCH($B40,COMPOS!$A$4:A$801,0),4))))</f>
        <v>4.0199999999999996</v>
      </c>
      <c r="G40" s="280">
        <f>(IF($A40="SINAPI",INDEX(SINAPI_NOV2020_NDES!$A$7:$H$6703,MATCH($B40,SINAPI_NOV2020_NDES!$A$7:$A$6703,0),6),(INDEX(COMPOS!$A$4:$G$801,MATCH($B40,COMPOS!$A$4:A$801,0),5))))</f>
        <v>9.0299999999999994</v>
      </c>
      <c r="H40" s="280">
        <f>(IF($A40="SINAPI",INDEX(SINAPI_NOV2020_NDES!$A$7:$H$6703,MATCH($B40,SINAPI_NOV2020_NDES!$A$7:$A$6703,0),7),(INDEX(COMPOS!$A$4:$G$801,MATCH($B40,COMPOS!$A$4:A$801,0),6))))</f>
        <v>0</v>
      </c>
      <c r="I40" s="279">
        <f t="shared" si="14"/>
        <v>13.049999999999999</v>
      </c>
      <c r="J40" s="276">
        <f t="shared" si="15"/>
        <v>482.84999999999997</v>
      </c>
      <c r="K40" s="255"/>
      <c r="L40" s="255"/>
      <c r="M40" s="255"/>
      <c r="N40" s="255"/>
      <c r="O40" s="257"/>
      <c r="P40" s="223"/>
      <c r="Q40" s="255"/>
      <c r="R40" s="255"/>
      <c r="S40" s="255"/>
      <c r="T40" s="255"/>
      <c r="U40" s="255"/>
      <c r="V40" s="255"/>
      <c r="W40" s="255"/>
      <c r="X40" s="255"/>
      <c r="Y40" s="255"/>
      <c r="Z40" s="255"/>
      <c r="AA40" s="255"/>
      <c r="AB40" s="255"/>
      <c r="AC40" s="255"/>
      <c r="AD40" s="255"/>
      <c r="AE40" s="255"/>
      <c r="AF40" s="255"/>
      <c r="AG40" s="255"/>
      <c r="AH40" s="255"/>
      <c r="AI40" s="255"/>
      <c r="AJ40" s="255"/>
      <c r="AK40" s="255"/>
      <c r="AL40" s="255"/>
      <c r="AM40" s="255"/>
      <c r="AN40" s="255"/>
      <c r="AO40" s="255"/>
      <c r="AP40" s="255"/>
      <c r="AQ40" s="255"/>
      <c r="AR40" s="255"/>
      <c r="AS40" s="255"/>
      <c r="AT40" s="255"/>
      <c r="AU40" s="255"/>
      <c r="AV40" s="255"/>
      <c r="AW40" s="255"/>
      <c r="AX40" s="255"/>
      <c r="AY40" s="255"/>
      <c r="AZ40" s="255"/>
      <c r="BA40" s="255"/>
      <c r="BB40" s="255"/>
      <c r="BC40" s="255"/>
      <c r="BD40" s="255"/>
      <c r="BE40" s="255"/>
      <c r="BF40" s="255"/>
      <c r="BG40" s="255"/>
      <c r="BH40" s="255"/>
      <c r="BI40" s="255"/>
      <c r="BJ40" s="255"/>
      <c r="BK40" s="255"/>
      <c r="BL40" s="255"/>
      <c r="BM40" s="255"/>
      <c r="BN40" s="255"/>
      <c r="BO40" s="255"/>
      <c r="BP40" s="255"/>
      <c r="BQ40" s="255"/>
      <c r="BR40" s="255"/>
      <c r="BS40" s="255"/>
      <c r="BT40" s="255"/>
      <c r="BU40" s="255"/>
      <c r="BV40" s="255"/>
      <c r="BW40" s="255"/>
      <c r="BX40" s="255"/>
      <c r="BY40" s="255"/>
      <c r="BZ40" s="255"/>
      <c r="CA40" s="255"/>
      <c r="CB40" s="255"/>
      <c r="CC40" s="255"/>
      <c r="CD40" s="255"/>
      <c r="CE40" s="255"/>
      <c r="CF40" s="255"/>
      <c r="CG40" s="255"/>
      <c r="CH40" s="255"/>
      <c r="CI40" s="255"/>
      <c r="CJ40" s="255"/>
      <c r="CK40" s="255"/>
      <c r="CL40" s="255"/>
      <c r="CM40" s="255"/>
      <c r="CN40" s="255"/>
      <c r="CO40" s="255"/>
      <c r="CP40" s="255"/>
      <c r="CQ40" s="255"/>
      <c r="CR40" s="255"/>
      <c r="CS40" s="255"/>
      <c r="CT40" s="255"/>
      <c r="CU40" s="255"/>
      <c r="CV40" s="255"/>
      <c r="CW40" s="255"/>
      <c r="CX40" s="255"/>
      <c r="CY40" s="255"/>
      <c r="CZ40" s="255"/>
      <c r="DA40" s="255"/>
      <c r="DB40" s="255"/>
      <c r="DC40" s="255"/>
      <c r="DD40" s="255"/>
      <c r="DE40" s="255"/>
      <c r="DF40" s="255"/>
      <c r="DG40" s="255"/>
      <c r="DH40" s="255"/>
      <c r="DI40" s="255"/>
      <c r="DJ40" s="255"/>
      <c r="DK40" s="255"/>
      <c r="DL40" s="255"/>
      <c r="DM40" s="255"/>
      <c r="DN40" s="255"/>
      <c r="DO40" s="255"/>
      <c r="DP40" s="255"/>
      <c r="DQ40" s="255"/>
      <c r="DR40" s="255"/>
      <c r="DS40" s="255"/>
      <c r="DT40" s="255"/>
      <c r="DU40" s="255"/>
      <c r="DV40" s="255"/>
      <c r="DW40" s="255"/>
      <c r="DX40" s="255"/>
      <c r="DY40" s="255"/>
      <c r="DZ40" s="255"/>
      <c r="EA40" s="255"/>
      <c r="EB40" s="255"/>
      <c r="EC40" s="255"/>
      <c r="ED40" s="255"/>
      <c r="EE40" s="255"/>
      <c r="EF40" s="255"/>
      <c r="EG40" s="255"/>
      <c r="EH40" s="255"/>
      <c r="EI40" s="255"/>
      <c r="EJ40" s="255"/>
      <c r="EK40" s="255"/>
      <c r="EL40" s="255"/>
      <c r="EM40" s="255"/>
      <c r="EN40" s="255"/>
      <c r="EO40" s="255"/>
      <c r="EP40" s="255"/>
      <c r="EQ40" s="255"/>
      <c r="ER40" s="255"/>
      <c r="ES40" s="255"/>
      <c r="ET40" s="255"/>
      <c r="EU40" s="255"/>
      <c r="EV40" s="255"/>
      <c r="EW40" s="255"/>
      <c r="EX40" s="255"/>
      <c r="EY40" s="255"/>
      <c r="EZ40" s="255"/>
      <c r="FA40" s="255"/>
      <c r="FB40" s="255"/>
      <c r="FC40" s="255"/>
      <c r="FD40" s="255"/>
      <c r="FE40" s="255"/>
      <c r="FF40" s="255"/>
      <c r="FG40" s="255"/>
      <c r="FH40" s="255"/>
      <c r="FI40" s="255"/>
      <c r="FJ40" s="255"/>
      <c r="FK40" s="255"/>
      <c r="FL40" s="255"/>
      <c r="FM40" s="255"/>
      <c r="FN40" s="255"/>
      <c r="FO40" s="255"/>
      <c r="FP40" s="255"/>
      <c r="FQ40" s="255"/>
      <c r="FR40" s="255"/>
      <c r="FS40" s="255"/>
      <c r="FT40" s="255"/>
      <c r="FU40" s="255"/>
      <c r="FV40" s="255"/>
      <c r="FW40" s="255"/>
      <c r="FX40" s="255"/>
      <c r="FY40" s="255"/>
      <c r="FZ40" s="255"/>
      <c r="GA40" s="255"/>
      <c r="GB40" s="255"/>
      <c r="GC40" s="255"/>
      <c r="GD40" s="255"/>
      <c r="GE40" s="255"/>
      <c r="GF40" s="255"/>
      <c r="GG40" s="255"/>
      <c r="GH40" s="255"/>
      <c r="GI40" s="255"/>
      <c r="GJ40" s="255"/>
      <c r="GK40" s="255"/>
      <c r="GL40" s="255"/>
      <c r="GM40" s="255"/>
      <c r="GN40" s="255"/>
      <c r="GO40" s="255"/>
      <c r="GP40" s="255"/>
      <c r="GQ40" s="255"/>
      <c r="GR40" s="255"/>
      <c r="GS40" s="255"/>
      <c r="GT40" s="255"/>
      <c r="GU40" s="255"/>
      <c r="GV40" s="255"/>
      <c r="GW40" s="255"/>
      <c r="GX40" s="255"/>
      <c r="GY40" s="255"/>
      <c r="GZ40" s="255"/>
      <c r="HA40" s="255"/>
      <c r="HB40" s="255"/>
      <c r="HC40" s="255"/>
      <c r="HD40" s="255"/>
      <c r="HE40" s="255"/>
      <c r="HF40" s="255"/>
      <c r="HG40" s="255"/>
      <c r="HH40" s="255"/>
      <c r="HI40" s="255"/>
      <c r="HJ40" s="255"/>
      <c r="HK40" s="255"/>
      <c r="HL40" s="255"/>
      <c r="HM40" s="255"/>
      <c r="HN40" s="255"/>
      <c r="HO40" s="255"/>
      <c r="HP40" s="255"/>
      <c r="HQ40" s="255"/>
      <c r="HR40" s="255"/>
      <c r="HS40" s="255"/>
      <c r="HT40" s="255"/>
      <c r="HU40" s="255"/>
      <c r="HV40" s="255"/>
      <c r="HW40" s="255"/>
      <c r="HX40" s="255"/>
      <c r="HY40" s="255"/>
      <c r="HZ40" s="255"/>
      <c r="IA40" s="255"/>
      <c r="IB40" s="255"/>
      <c r="IC40" s="255"/>
      <c r="ID40" s="255"/>
      <c r="IE40" s="255"/>
      <c r="IF40" s="255"/>
      <c r="IG40" s="255"/>
      <c r="IH40" s="255"/>
      <c r="II40" s="255"/>
      <c r="IJ40" s="255"/>
      <c r="IK40" s="255"/>
      <c r="IL40" s="255"/>
      <c r="IM40" s="255"/>
      <c r="IN40" s="255"/>
      <c r="IO40" s="255"/>
      <c r="IP40" s="255"/>
      <c r="IQ40" s="255"/>
      <c r="IR40" s="255"/>
      <c r="IS40" s="255"/>
      <c r="IT40" s="255"/>
      <c r="IU40" s="255"/>
      <c r="IV40" s="255"/>
      <c r="IW40" s="255"/>
      <c r="IX40" s="255"/>
      <c r="IY40" s="255"/>
      <c r="IZ40" s="255"/>
      <c r="JA40" s="255"/>
      <c r="JB40" s="255"/>
      <c r="JC40" s="255"/>
      <c r="JD40" s="255"/>
      <c r="JE40" s="255"/>
      <c r="JF40" s="255"/>
      <c r="JG40" s="255"/>
      <c r="JH40" s="255"/>
      <c r="JI40" s="255"/>
      <c r="JJ40" s="255"/>
      <c r="JK40" s="255"/>
      <c r="JL40" s="255"/>
      <c r="JM40" s="255"/>
      <c r="JN40" s="255"/>
      <c r="JO40" s="255"/>
      <c r="JP40" s="255"/>
      <c r="JQ40" s="255"/>
      <c r="JR40" s="255"/>
      <c r="JS40" s="255"/>
      <c r="JT40" s="255"/>
      <c r="JU40" s="255"/>
      <c r="JV40" s="255"/>
      <c r="JW40" s="255"/>
      <c r="JX40" s="255"/>
      <c r="JY40" s="255"/>
      <c r="JZ40" s="255"/>
      <c r="KA40" s="255"/>
      <c r="KB40" s="255"/>
      <c r="KC40" s="255"/>
      <c r="KD40" s="255"/>
      <c r="KE40" s="255"/>
      <c r="KF40" s="255"/>
      <c r="KG40" s="255"/>
      <c r="KH40" s="255"/>
      <c r="KI40" s="255"/>
      <c r="KJ40" s="255"/>
      <c r="KK40" s="255"/>
      <c r="KL40" s="255"/>
      <c r="KM40" s="255"/>
      <c r="KN40" s="255"/>
      <c r="KO40" s="255"/>
      <c r="KP40" s="255"/>
      <c r="KQ40" s="255"/>
      <c r="KR40" s="255"/>
      <c r="KS40" s="255"/>
      <c r="KT40" s="255"/>
      <c r="KU40" s="255"/>
      <c r="KV40" s="255"/>
      <c r="KW40" s="255"/>
      <c r="KX40" s="255"/>
      <c r="KY40" s="255"/>
      <c r="KZ40" s="255"/>
      <c r="LA40" s="255"/>
      <c r="LB40" s="255"/>
      <c r="LC40" s="255"/>
      <c r="LD40" s="255"/>
      <c r="LE40" s="255"/>
      <c r="LF40" s="255"/>
      <c r="LG40" s="255"/>
      <c r="LH40" s="255"/>
      <c r="LI40" s="255"/>
      <c r="LJ40" s="255"/>
      <c r="LK40" s="255"/>
      <c r="LL40" s="255"/>
      <c r="LM40" s="255"/>
      <c r="LN40" s="255"/>
      <c r="LO40" s="255"/>
      <c r="LP40" s="255"/>
      <c r="LQ40" s="255"/>
      <c r="LR40" s="255"/>
      <c r="LS40" s="255"/>
      <c r="LT40" s="255"/>
      <c r="LU40" s="255"/>
      <c r="LV40" s="255"/>
      <c r="LW40" s="255"/>
      <c r="LX40" s="255"/>
      <c r="LY40" s="255"/>
      <c r="LZ40" s="255"/>
      <c r="MA40" s="255"/>
      <c r="MB40" s="255"/>
      <c r="MC40" s="255"/>
      <c r="MD40" s="255"/>
      <c r="ME40" s="255"/>
      <c r="MF40" s="255"/>
      <c r="MG40" s="255"/>
      <c r="MH40" s="255"/>
      <c r="MI40" s="255"/>
      <c r="MJ40" s="255"/>
      <c r="MK40" s="255"/>
      <c r="ML40" s="255"/>
      <c r="MM40" s="255"/>
      <c r="MN40" s="255"/>
      <c r="MO40" s="255"/>
      <c r="MP40" s="255"/>
      <c r="MQ40" s="255"/>
      <c r="MR40" s="255"/>
      <c r="MS40" s="255"/>
      <c r="MT40" s="255"/>
      <c r="MU40" s="255"/>
      <c r="MV40" s="255"/>
      <c r="MW40" s="255"/>
      <c r="MX40" s="255"/>
      <c r="MY40" s="255"/>
      <c r="MZ40" s="255"/>
      <c r="NA40" s="255"/>
      <c r="NB40" s="255"/>
      <c r="NC40" s="255"/>
      <c r="ND40" s="255"/>
      <c r="NE40" s="255"/>
      <c r="NF40" s="255"/>
      <c r="NG40" s="255"/>
      <c r="NH40" s="255"/>
      <c r="NI40" s="255"/>
      <c r="NJ40" s="255"/>
      <c r="NK40" s="255"/>
      <c r="NL40" s="255"/>
      <c r="NM40" s="255"/>
      <c r="NN40" s="255"/>
      <c r="NO40" s="255"/>
      <c r="NP40" s="255"/>
      <c r="NQ40" s="255"/>
      <c r="NR40" s="255"/>
      <c r="NS40" s="255"/>
      <c r="NT40" s="255"/>
      <c r="NU40" s="255"/>
      <c r="NV40" s="255"/>
      <c r="NW40" s="255"/>
      <c r="NX40" s="255"/>
      <c r="NY40" s="255"/>
      <c r="NZ40" s="255"/>
      <c r="OA40" s="255"/>
      <c r="OB40" s="255"/>
      <c r="OC40" s="255"/>
      <c r="OD40" s="255"/>
      <c r="OE40" s="255"/>
      <c r="OF40" s="255"/>
      <c r="OG40" s="255"/>
      <c r="OH40" s="255"/>
      <c r="OI40" s="255"/>
      <c r="OJ40" s="255"/>
      <c r="OK40" s="255"/>
      <c r="OL40" s="255"/>
      <c r="OM40" s="255"/>
      <c r="ON40" s="255"/>
      <c r="OO40" s="255"/>
      <c r="OP40" s="255"/>
      <c r="OQ40" s="255"/>
      <c r="OR40" s="255"/>
      <c r="OS40" s="255"/>
      <c r="OT40" s="255"/>
      <c r="OU40" s="255"/>
      <c r="OV40" s="255"/>
      <c r="OW40" s="255"/>
      <c r="OX40" s="255"/>
      <c r="OY40" s="255"/>
      <c r="OZ40" s="255"/>
      <c r="PA40" s="255"/>
      <c r="PB40" s="255"/>
      <c r="PC40" s="255"/>
      <c r="PD40" s="255"/>
      <c r="PE40" s="255"/>
      <c r="PF40" s="255"/>
      <c r="PG40" s="255"/>
      <c r="PH40" s="255"/>
      <c r="PI40" s="255"/>
      <c r="PJ40" s="255"/>
      <c r="PK40" s="255"/>
      <c r="PL40" s="255"/>
      <c r="PM40" s="255"/>
      <c r="PN40" s="255"/>
      <c r="PO40" s="255"/>
      <c r="PP40" s="255"/>
      <c r="PQ40" s="255"/>
      <c r="PR40" s="255"/>
      <c r="PS40" s="255"/>
      <c r="PT40" s="255"/>
      <c r="PU40" s="255"/>
      <c r="PV40" s="255"/>
      <c r="PW40" s="255"/>
      <c r="PX40" s="255"/>
      <c r="PY40" s="255"/>
      <c r="PZ40" s="255"/>
      <c r="QA40" s="255"/>
      <c r="QB40" s="255"/>
      <c r="QC40" s="255"/>
      <c r="QD40" s="255"/>
      <c r="QE40" s="255"/>
      <c r="QF40" s="255"/>
      <c r="QG40" s="255"/>
      <c r="QH40" s="255"/>
      <c r="QI40" s="255"/>
      <c r="QJ40" s="255"/>
      <c r="QK40" s="255"/>
      <c r="QL40" s="255"/>
      <c r="QM40" s="255"/>
      <c r="QN40" s="255"/>
      <c r="QO40" s="255"/>
      <c r="QP40" s="255"/>
      <c r="QQ40" s="255"/>
      <c r="QR40" s="255"/>
      <c r="QS40" s="255"/>
      <c r="QT40" s="255"/>
      <c r="QU40" s="255"/>
      <c r="QV40" s="255"/>
      <c r="QW40" s="255"/>
      <c r="QX40" s="255"/>
      <c r="QY40" s="255"/>
      <c r="QZ40" s="255"/>
      <c r="RA40" s="255"/>
      <c r="RB40" s="255"/>
      <c r="RC40" s="255"/>
      <c r="RD40" s="255"/>
      <c r="RE40" s="255"/>
      <c r="RF40" s="255"/>
      <c r="RG40" s="255"/>
      <c r="RH40" s="255"/>
      <c r="RI40" s="255"/>
      <c r="RJ40" s="255"/>
      <c r="RK40" s="255"/>
      <c r="RL40" s="255"/>
      <c r="RM40" s="255"/>
      <c r="RN40" s="255"/>
      <c r="RO40" s="255"/>
      <c r="RP40" s="255"/>
      <c r="RQ40" s="255"/>
      <c r="RR40" s="255"/>
      <c r="RS40" s="255"/>
      <c r="RT40" s="255"/>
      <c r="RU40" s="255"/>
      <c r="RV40" s="255"/>
      <c r="RW40" s="255"/>
      <c r="RX40" s="255"/>
      <c r="RY40" s="255"/>
      <c r="RZ40" s="255"/>
      <c r="SA40" s="255"/>
      <c r="SB40" s="255"/>
      <c r="SC40" s="255"/>
      <c r="SD40" s="255"/>
      <c r="SE40" s="255"/>
      <c r="SF40" s="255"/>
      <c r="SG40" s="255"/>
      <c r="SH40" s="255"/>
      <c r="SI40" s="255"/>
      <c r="SJ40" s="255"/>
      <c r="SK40" s="255"/>
      <c r="SL40" s="255"/>
      <c r="SM40" s="255"/>
      <c r="SN40" s="255"/>
      <c r="SO40" s="255"/>
      <c r="SP40" s="255"/>
      <c r="SQ40" s="255"/>
      <c r="SR40" s="255"/>
      <c r="SS40" s="255"/>
      <c r="ST40" s="255"/>
      <c r="SU40" s="255"/>
      <c r="SV40" s="255"/>
      <c r="SW40" s="255"/>
      <c r="SX40" s="255"/>
      <c r="SY40" s="255"/>
      <c r="SZ40" s="255"/>
      <c r="TA40" s="255"/>
      <c r="TB40" s="255"/>
      <c r="TC40" s="255"/>
      <c r="TD40" s="255"/>
      <c r="TE40" s="255"/>
      <c r="TF40" s="255"/>
      <c r="TG40" s="255"/>
      <c r="TH40" s="255"/>
      <c r="TI40" s="255"/>
      <c r="TJ40" s="255"/>
      <c r="TK40" s="255"/>
      <c r="TL40" s="255"/>
      <c r="TM40" s="255"/>
      <c r="TN40" s="255"/>
      <c r="TO40" s="255"/>
      <c r="TP40" s="255"/>
      <c r="TQ40" s="255"/>
      <c r="TR40" s="255"/>
      <c r="TS40" s="255"/>
      <c r="TT40" s="255"/>
      <c r="TU40" s="255"/>
      <c r="TV40" s="255"/>
      <c r="TW40" s="255"/>
      <c r="TX40" s="255"/>
      <c r="TY40" s="255"/>
      <c r="TZ40" s="255"/>
      <c r="UA40" s="255"/>
      <c r="UB40" s="255"/>
      <c r="UC40" s="255"/>
      <c r="UD40" s="255"/>
      <c r="UE40" s="255"/>
      <c r="UF40" s="255"/>
      <c r="UG40" s="255"/>
      <c r="UH40" s="255"/>
      <c r="UI40" s="255"/>
      <c r="UJ40" s="255"/>
      <c r="UK40" s="255"/>
      <c r="UL40" s="255"/>
      <c r="UM40" s="255"/>
      <c r="UN40" s="255"/>
      <c r="UO40" s="255"/>
      <c r="UP40" s="255"/>
      <c r="UQ40" s="255"/>
      <c r="UR40" s="255"/>
      <c r="US40" s="255"/>
      <c r="UT40" s="255"/>
      <c r="UU40" s="255"/>
      <c r="UV40" s="255"/>
      <c r="UW40" s="255"/>
      <c r="UX40" s="255"/>
      <c r="UY40" s="255"/>
      <c r="UZ40" s="255"/>
      <c r="VA40" s="255"/>
      <c r="VB40" s="255"/>
      <c r="VC40" s="255"/>
      <c r="VD40" s="255"/>
      <c r="VE40" s="255"/>
      <c r="VF40" s="255"/>
      <c r="VG40" s="255"/>
      <c r="VH40" s="255"/>
      <c r="VI40" s="255"/>
      <c r="VJ40" s="255"/>
      <c r="VK40" s="255"/>
      <c r="VL40" s="255"/>
      <c r="VM40" s="255"/>
      <c r="VN40" s="255"/>
      <c r="VO40" s="255"/>
      <c r="VP40" s="255"/>
      <c r="VQ40" s="255"/>
      <c r="VR40" s="255"/>
      <c r="VS40" s="255"/>
      <c r="VT40" s="255"/>
      <c r="VU40" s="255"/>
      <c r="VV40" s="255"/>
      <c r="VW40" s="255"/>
      <c r="VX40" s="255"/>
      <c r="VY40" s="255"/>
      <c r="VZ40" s="255"/>
      <c r="WA40" s="255"/>
      <c r="WB40" s="255"/>
      <c r="WC40" s="255"/>
      <c r="WD40" s="255"/>
      <c r="WE40" s="255"/>
      <c r="WF40" s="255"/>
      <c r="WG40" s="255"/>
      <c r="WH40" s="255"/>
      <c r="WI40" s="255"/>
      <c r="WJ40" s="255"/>
      <c r="WK40" s="255"/>
      <c r="WL40" s="255"/>
      <c r="WM40" s="255"/>
      <c r="WN40" s="255"/>
      <c r="WO40" s="255"/>
      <c r="WP40" s="255"/>
      <c r="WQ40" s="255"/>
      <c r="WR40" s="255"/>
      <c r="WS40" s="255"/>
      <c r="WT40" s="255"/>
      <c r="WU40" s="255"/>
      <c r="WV40" s="255"/>
      <c r="WW40" s="255"/>
      <c r="WX40" s="255"/>
      <c r="WY40" s="255"/>
      <c r="WZ40" s="255"/>
      <c r="XA40" s="255"/>
      <c r="XB40" s="255"/>
      <c r="XC40" s="255"/>
      <c r="XD40" s="255"/>
      <c r="XE40" s="255"/>
      <c r="XF40" s="255"/>
      <c r="XG40" s="255"/>
      <c r="XH40" s="255"/>
      <c r="XI40" s="255"/>
      <c r="XJ40" s="255"/>
      <c r="XK40" s="255"/>
      <c r="XL40" s="255"/>
      <c r="XM40" s="255"/>
      <c r="XN40" s="255"/>
      <c r="XO40" s="255"/>
      <c r="XP40" s="255"/>
      <c r="XQ40" s="255"/>
      <c r="XR40" s="255"/>
      <c r="XS40" s="255"/>
      <c r="XT40" s="255"/>
      <c r="XU40" s="255"/>
      <c r="XV40" s="255"/>
      <c r="XW40" s="255"/>
      <c r="XX40" s="255"/>
      <c r="XY40" s="255"/>
      <c r="XZ40" s="255"/>
      <c r="YA40" s="255"/>
      <c r="YB40" s="255"/>
      <c r="YC40" s="255"/>
      <c r="YD40" s="255"/>
      <c r="YE40" s="255"/>
      <c r="YF40" s="255"/>
      <c r="YG40" s="255"/>
      <c r="YH40" s="255"/>
      <c r="YI40" s="255"/>
      <c r="YJ40" s="255"/>
      <c r="YK40" s="255"/>
      <c r="YL40" s="255"/>
      <c r="YM40" s="255"/>
      <c r="YN40" s="255"/>
      <c r="YO40" s="255"/>
      <c r="YP40" s="255"/>
      <c r="YQ40" s="255"/>
      <c r="YR40" s="255"/>
      <c r="YS40" s="255"/>
      <c r="YT40" s="255"/>
      <c r="YU40" s="255"/>
      <c r="YV40" s="255"/>
      <c r="YW40" s="255"/>
      <c r="YX40" s="255"/>
      <c r="YY40" s="255"/>
      <c r="YZ40" s="255"/>
      <c r="ZA40" s="255"/>
      <c r="ZB40" s="255"/>
      <c r="ZC40" s="255"/>
      <c r="ZD40" s="255"/>
      <c r="ZE40" s="255"/>
      <c r="ZF40" s="255"/>
      <c r="ZG40" s="255"/>
      <c r="ZH40" s="255"/>
      <c r="ZI40" s="255"/>
      <c r="ZJ40" s="255"/>
      <c r="ZK40" s="255"/>
      <c r="ZL40" s="255"/>
      <c r="ZM40" s="255"/>
      <c r="ZN40" s="255"/>
      <c r="ZO40" s="255"/>
      <c r="ZP40" s="255"/>
      <c r="ZQ40" s="255"/>
      <c r="ZR40" s="255"/>
      <c r="ZS40" s="255"/>
      <c r="ZT40" s="255"/>
      <c r="ZU40" s="255"/>
      <c r="ZV40" s="255"/>
      <c r="ZW40" s="255"/>
      <c r="ZX40" s="255"/>
      <c r="ZY40" s="255"/>
      <c r="ZZ40" s="255"/>
      <c r="AAA40" s="255"/>
      <c r="AAB40" s="255"/>
      <c r="AAC40" s="255"/>
      <c r="AAD40" s="255"/>
      <c r="AAE40" s="255"/>
      <c r="AAF40" s="255"/>
      <c r="AAG40" s="255"/>
      <c r="AAH40" s="255"/>
      <c r="AAI40" s="255"/>
      <c r="AAJ40" s="255"/>
      <c r="AAK40" s="255"/>
      <c r="AAL40" s="255"/>
      <c r="AAM40" s="255"/>
      <c r="AAN40" s="255"/>
      <c r="AAO40" s="255"/>
      <c r="AAP40" s="255"/>
      <c r="AAQ40" s="255"/>
      <c r="AAR40" s="255"/>
      <c r="AAS40" s="255"/>
      <c r="AAT40" s="255"/>
      <c r="AAU40" s="255"/>
      <c r="AAV40" s="255"/>
      <c r="AAW40" s="255"/>
      <c r="AAX40" s="255"/>
      <c r="AAY40" s="255"/>
      <c r="AAZ40" s="255"/>
      <c r="ABA40" s="255"/>
      <c r="ABB40" s="255"/>
      <c r="ABC40" s="255"/>
      <c r="ABD40" s="255"/>
      <c r="ABE40" s="255"/>
      <c r="ABF40" s="255"/>
      <c r="ABG40" s="255"/>
      <c r="ABH40" s="255"/>
      <c r="ABI40" s="255"/>
      <c r="ABJ40" s="255"/>
      <c r="ABK40" s="255"/>
      <c r="ABL40" s="255"/>
      <c r="ABM40" s="255"/>
      <c r="ABN40" s="255"/>
      <c r="ABO40" s="255"/>
      <c r="ABP40" s="255"/>
      <c r="ABQ40" s="255"/>
      <c r="ABR40" s="255"/>
      <c r="ABS40" s="255"/>
      <c r="ABT40" s="255"/>
      <c r="ABU40" s="255"/>
      <c r="ABV40" s="255"/>
      <c r="ABW40" s="255"/>
      <c r="ABX40" s="255"/>
      <c r="ABY40" s="255"/>
      <c r="ABZ40" s="255"/>
      <c r="ACA40" s="255"/>
      <c r="ACB40" s="255"/>
      <c r="ACC40" s="255"/>
      <c r="ACD40" s="255"/>
      <c r="ACE40" s="255"/>
      <c r="ACF40" s="255"/>
      <c r="ACG40" s="255"/>
      <c r="ACH40" s="255"/>
      <c r="ACI40" s="255"/>
      <c r="ACJ40" s="255"/>
      <c r="ACK40" s="255"/>
      <c r="ACL40" s="255"/>
      <c r="ACM40" s="255"/>
      <c r="ACN40" s="255"/>
      <c r="ACO40" s="255"/>
      <c r="ACP40" s="255"/>
      <c r="ACQ40" s="255"/>
      <c r="ACR40" s="255"/>
      <c r="ACS40" s="255"/>
      <c r="ACT40" s="255"/>
      <c r="ACU40" s="255"/>
      <c r="ACV40" s="255"/>
      <c r="ACW40" s="255"/>
      <c r="ACX40" s="255"/>
      <c r="ACY40" s="255"/>
      <c r="ACZ40" s="255"/>
      <c r="ADA40" s="255"/>
      <c r="ADB40" s="255"/>
      <c r="ADC40" s="255"/>
      <c r="ADD40" s="255"/>
      <c r="ADE40" s="255"/>
      <c r="ADF40" s="255"/>
      <c r="ADG40" s="255"/>
      <c r="ADH40" s="255"/>
      <c r="ADI40" s="255"/>
      <c r="ADJ40" s="255"/>
      <c r="ADK40" s="255"/>
      <c r="ADL40" s="255"/>
      <c r="ADM40" s="255"/>
      <c r="ADN40" s="255"/>
      <c r="ADO40" s="255"/>
      <c r="ADP40" s="255"/>
      <c r="ADQ40" s="255"/>
      <c r="ADR40" s="255"/>
      <c r="ADS40" s="255"/>
      <c r="ADT40" s="255"/>
      <c r="ADU40" s="255"/>
      <c r="ADV40" s="255"/>
      <c r="ADW40" s="255"/>
      <c r="ADX40" s="255"/>
      <c r="ADY40" s="255"/>
      <c r="ADZ40" s="255"/>
      <c r="AEA40" s="255"/>
      <c r="AEB40" s="255"/>
      <c r="AEC40" s="255"/>
      <c r="AED40" s="255"/>
      <c r="AEE40" s="255"/>
      <c r="AEF40" s="255"/>
      <c r="AEG40" s="255"/>
      <c r="AEH40" s="255"/>
      <c r="AEI40" s="255"/>
      <c r="AEJ40" s="255"/>
      <c r="AEK40" s="255"/>
      <c r="AEL40" s="255"/>
      <c r="AEM40" s="255"/>
      <c r="AEN40" s="255"/>
      <c r="AEO40" s="255"/>
      <c r="AEP40" s="255"/>
      <c r="AEQ40" s="255"/>
      <c r="AER40" s="255"/>
      <c r="AES40" s="255"/>
      <c r="AET40" s="255"/>
      <c r="AEU40" s="255"/>
      <c r="AEV40" s="255"/>
      <c r="AEW40" s="255"/>
      <c r="AEX40" s="255"/>
      <c r="AEY40" s="255"/>
      <c r="AEZ40" s="255"/>
      <c r="AFA40" s="255"/>
      <c r="AFB40" s="255"/>
      <c r="AFC40" s="255"/>
      <c r="AFD40" s="255"/>
      <c r="AFE40" s="255"/>
      <c r="AFF40" s="255"/>
      <c r="AFG40" s="255"/>
      <c r="AFH40" s="255"/>
      <c r="AFI40" s="255"/>
      <c r="AFJ40" s="255"/>
      <c r="AFK40" s="255"/>
      <c r="AFL40" s="255"/>
      <c r="AFM40" s="255"/>
      <c r="AFN40" s="255"/>
      <c r="AFO40" s="255"/>
      <c r="AFP40" s="255"/>
      <c r="AFQ40" s="255"/>
      <c r="AFR40" s="255"/>
      <c r="AFS40" s="255"/>
      <c r="AFT40" s="255"/>
      <c r="AFU40" s="255"/>
      <c r="AFV40" s="255"/>
      <c r="AFW40" s="255"/>
      <c r="AFX40" s="255"/>
      <c r="AFY40" s="255"/>
      <c r="AFZ40" s="255"/>
      <c r="AGA40" s="255"/>
      <c r="AGB40" s="255"/>
      <c r="AGC40" s="255"/>
      <c r="AGD40" s="255"/>
      <c r="AGE40" s="255"/>
      <c r="AGF40" s="255"/>
      <c r="AGG40" s="255"/>
      <c r="AGH40" s="255"/>
      <c r="AGI40" s="255"/>
      <c r="AGJ40" s="255"/>
      <c r="AGK40" s="255"/>
      <c r="AGL40" s="255"/>
      <c r="AGM40" s="255"/>
      <c r="AGN40" s="255"/>
      <c r="AGO40" s="255"/>
      <c r="AGP40" s="255"/>
      <c r="AGQ40" s="255"/>
      <c r="AGR40" s="255"/>
      <c r="AGS40" s="255"/>
      <c r="AGT40" s="255"/>
      <c r="AGU40" s="255"/>
      <c r="AGV40" s="255"/>
      <c r="AGW40" s="255"/>
      <c r="AGX40" s="255"/>
      <c r="AGY40" s="255"/>
      <c r="AGZ40" s="255"/>
      <c r="AHA40" s="255"/>
      <c r="AHB40" s="255"/>
      <c r="AHC40" s="255"/>
      <c r="AHD40" s="255"/>
      <c r="AHE40" s="255"/>
      <c r="AHF40" s="255"/>
      <c r="AHG40" s="255"/>
      <c r="AHH40" s="255"/>
      <c r="AHI40" s="255"/>
      <c r="AHJ40" s="255"/>
      <c r="AHK40" s="255"/>
      <c r="AHL40" s="255"/>
      <c r="AHM40" s="255"/>
      <c r="AHN40" s="255"/>
      <c r="AHO40" s="255"/>
      <c r="AHP40" s="255"/>
      <c r="AHQ40" s="255"/>
      <c r="AHR40" s="255"/>
      <c r="AHS40" s="255"/>
      <c r="AHT40" s="255"/>
      <c r="AHU40" s="255"/>
      <c r="AHV40" s="255"/>
      <c r="AHW40" s="255"/>
      <c r="AHX40" s="255"/>
      <c r="AHY40" s="255"/>
      <c r="AHZ40" s="255"/>
      <c r="AIA40" s="255"/>
      <c r="AIB40" s="255"/>
      <c r="AIC40" s="255"/>
      <c r="AID40" s="255"/>
      <c r="AIE40" s="255"/>
      <c r="AIF40" s="255"/>
      <c r="AIG40" s="255"/>
      <c r="AIH40" s="255"/>
      <c r="AII40" s="255"/>
      <c r="AIJ40" s="255"/>
      <c r="AIK40" s="255"/>
      <c r="AIL40" s="255"/>
      <c r="AIM40" s="255"/>
      <c r="AIN40" s="255"/>
      <c r="AIO40" s="255"/>
      <c r="AIP40" s="255"/>
      <c r="AIQ40" s="255"/>
      <c r="AIR40" s="255"/>
      <c r="AIS40" s="255"/>
      <c r="AIT40" s="255"/>
      <c r="AIU40" s="255"/>
      <c r="AIV40" s="255"/>
      <c r="AIW40" s="255"/>
      <c r="AIX40" s="255"/>
      <c r="AIY40" s="255"/>
      <c r="AIZ40" s="255"/>
      <c r="AJA40" s="255"/>
      <c r="AJB40" s="255"/>
      <c r="AJC40" s="255"/>
      <c r="AJD40" s="255"/>
      <c r="AJE40" s="255"/>
      <c r="AJF40" s="255"/>
      <c r="AJG40" s="255"/>
      <c r="AJH40" s="255"/>
      <c r="AJI40" s="255"/>
      <c r="AJJ40" s="255"/>
      <c r="AJK40" s="255"/>
      <c r="AJL40" s="255"/>
      <c r="AJM40" s="255"/>
      <c r="AJN40" s="255"/>
      <c r="AJO40" s="255"/>
      <c r="AJP40" s="255"/>
      <c r="AJQ40" s="255"/>
      <c r="AJR40" s="255"/>
      <c r="AJS40" s="255"/>
      <c r="AJT40" s="255"/>
      <c r="AJU40" s="255"/>
      <c r="AJV40" s="255"/>
      <c r="AJW40" s="255"/>
      <c r="AJX40" s="255"/>
      <c r="AJY40" s="255"/>
      <c r="AJZ40" s="255"/>
      <c r="AKA40" s="255"/>
      <c r="AKB40" s="255"/>
      <c r="AKC40" s="255"/>
      <c r="AKD40" s="255"/>
      <c r="AKE40" s="255"/>
      <c r="AKF40" s="255"/>
      <c r="AKG40" s="255"/>
      <c r="AKH40" s="255"/>
      <c r="AKI40" s="255"/>
      <c r="AKJ40" s="255"/>
      <c r="AKK40" s="255"/>
      <c r="AKL40" s="255"/>
      <c r="AKM40" s="255"/>
      <c r="AKN40" s="255"/>
      <c r="AKO40" s="255"/>
      <c r="AKP40" s="255"/>
      <c r="AKQ40" s="255"/>
      <c r="AKR40" s="255"/>
      <c r="AKS40" s="255"/>
      <c r="AKT40" s="255"/>
      <c r="AKU40" s="255"/>
      <c r="AKV40" s="255"/>
      <c r="AKW40" s="255"/>
      <c r="AKX40" s="255"/>
      <c r="AKY40" s="255"/>
      <c r="AKZ40" s="255"/>
      <c r="ALA40" s="255"/>
      <c r="ALB40" s="255"/>
      <c r="ALC40" s="255"/>
      <c r="ALD40" s="255"/>
      <c r="ALE40" s="255"/>
      <c r="ALF40" s="255"/>
      <c r="ALG40" s="255"/>
      <c r="ALH40" s="255"/>
      <c r="ALI40" s="255"/>
      <c r="ALJ40" s="255"/>
      <c r="ALK40" s="255"/>
      <c r="ALL40" s="42"/>
      <c r="ALM40" s="42"/>
      <c r="ALN40" s="42"/>
      <c r="ALO40" s="42"/>
      <c r="ALP40" s="42"/>
      <c r="ALQ40" s="42"/>
      <c r="ALR40" s="42"/>
      <c r="ALS40" s="42"/>
      <c r="ALT40" s="42"/>
    </row>
    <row r="41" spans="1:1008" s="191" customFormat="1" ht="36">
      <c r="A41" s="251" t="s">
        <v>7</v>
      </c>
      <c r="B41" s="328">
        <v>92777</v>
      </c>
      <c r="C41" s="329" t="str">
        <f>(IF($A41="SINAPI",INDEX(SINAPI_NOV2020_NDES!$A$7:$H$6703,MATCH($B41,SINAPI_NOV2020_NDES!$A$7:$A$6703,0),2),IF($A41="GOINFRA",INDEX(#REF!,MATCH($B41,#REF!,0),2),(INDEX(COMPOS!$A$4:$G$390,MATCH($B41,COMPOS!$A$4:A$390,0),2)))))</f>
        <v>ARMAÇÃO DE PILAR OU VIGA DE UMA ESTRUTURA CONVENCIONAL DE CONCRETO ARMADO EM UMA EDIFICAÇÃO TÉRREA OU SOBRADO UTILIZANDO AÇO CA-50 DE 8,0 MM - MONTAGEM. AF_12/2015</v>
      </c>
      <c r="D41" s="274" t="str">
        <f>(IF($A41="SINAPI",INDEX(SINAPI_NOV2020_NDES!$A$7:$H$6790,MATCH($B41,SINAPI_NOV2020_NDES!$A$7:$A$6790,0),3),(INDEX(COMPOS!$A$4:$G$5000,MATCH($B41,COMPOS!$A$4:$A$5000,0),3))))</f>
        <v>KG</v>
      </c>
      <c r="E41" s="276">
        <v>21</v>
      </c>
      <c r="F41" s="279">
        <f>(IF($A41="SINAPI",INDEX(SINAPI_NOV2020_NDES!$A$7:$H$6703,MATCH($B41,SINAPI_NOV2020_NDES!$A$7:$A$6703,0),5),(INDEX(COMPOS!$A$4:$G$801,MATCH($B41,COMPOS!$A$4:A$801,0),4))))</f>
        <v>2.82</v>
      </c>
      <c r="G41" s="280">
        <f>(IF($A41="SINAPI",INDEX(SINAPI_NOV2020_NDES!$A$7:$H$6703,MATCH($B41,SINAPI_NOV2020_NDES!$A$7:$A$6703,0),6),(INDEX(COMPOS!$A$4:$G$801,MATCH($B41,COMPOS!$A$4:A$801,0),5))))</f>
        <v>8.99</v>
      </c>
      <c r="H41" s="280">
        <f>(IF($A41="SINAPI",INDEX(SINAPI_NOV2020_NDES!$A$7:$H$6703,MATCH($B41,SINAPI_NOV2020_NDES!$A$7:$A$6703,0),7),(INDEX(COMPOS!$A$4:$G$801,MATCH($B41,COMPOS!$A$4:A$801,0),6))))</f>
        <v>0</v>
      </c>
      <c r="I41" s="279">
        <f t="shared" si="14"/>
        <v>11.81</v>
      </c>
      <c r="J41" s="276">
        <f t="shared" si="15"/>
        <v>248.01000000000002</v>
      </c>
      <c r="K41" s="255"/>
      <c r="L41" s="255"/>
      <c r="M41" s="255"/>
      <c r="N41" s="255"/>
      <c r="O41" s="257"/>
      <c r="P41" s="223"/>
      <c r="Q41" s="255"/>
      <c r="R41" s="255"/>
      <c r="S41" s="255"/>
      <c r="T41" s="255"/>
      <c r="U41" s="255"/>
      <c r="V41" s="255"/>
      <c r="W41" s="255"/>
      <c r="X41" s="255"/>
      <c r="Y41" s="255"/>
      <c r="Z41" s="255"/>
      <c r="AA41" s="255"/>
      <c r="AB41" s="255"/>
      <c r="AC41" s="255"/>
      <c r="AD41" s="255"/>
      <c r="AE41" s="255"/>
      <c r="AF41" s="255"/>
      <c r="AG41" s="255"/>
      <c r="AH41" s="255"/>
      <c r="AI41" s="255"/>
      <c r="AJ41" s="255"/>
      <c r="AK41" s="255"/>
      <c r="AL41" s="255"/>
      <c r="AM41" s="255"/>
      <c r="AN41" s="255"/>
      <c r="AO41" s="255"/>
      <c r="AP41" s="255"/>
      <c r="AQ41" s="255"/>
      <c r="AR41" s="255"/>
      <c r="AS41" s="255"/>
      <c r="AT41" s="255"/>
      <c r="AU41" s="255"/>
      <c r="AV41" s="255"/>
      <c r="AW41" s="255"/>
      <c r="AX41" s="255"/>
      <c r="AY41" s="255"/>
      <c r="AZ41" s="255"/>
      <c r="BA41" s="255"/>
      <c r="BB41" s="255"/>
      <c r="BC41" s="255"/>
      <c r="BD41" s="255"/>
      <c r="BE41" s="255"/>
      <c r="BF41" s="255"/>
      <c r="BG41" s="255"/>
      <c r="BH41" s="255"/>
      <c r="BI41" s="255"/>
      <c r="BJ41" s="255"/>
      <c r="BK41" s="255"/>
      <c r="BL41" s="255"/>
      <c r="BM41" s="255"/>
      <c r="BN41" s="255"/>
      <c r="BO41" s="255"/>
      <c r="BP41" s="255"/>
      <c r="BQ41" s="255"/>
      <c r="BR41" s="255"/>
      <c r="BS41" s="255"/>
      <c r="BT41" s="255"/>
      <c r="BU41" s="255"/>
      <c r="BV41" s="255"/>
      <c r="BW41" s="255"/>
      <c r="BX41" s="255"/>
      <c r="BY41" s="255"/>
      <c r="BZ41" s="255"/>
      <c r="CA41" s="255"/>
      <c r="CB41" s="255"/>
      <c r="CC41" s="255"/>
      <c r="CD41" s="255"/>
      <c r="CE41" s="255"/>
      <c r="CF41" s="255"/>
      <c r="CG41" s="255"/>
      <c r="CH41" s="255"/>
      <c r="CI41" s="255"/>
      <c r="CJ41" s="255"/>
      <c r="CK41" s="255"/>
      <c r="CL41" s="255"/>
      <c r="CM41" s="255"/>
      <c r="CN41" s="255"/>
      <c r="CO41" s="255"/>
      <c r="CP41" s="255"/>
      <c r="CQ41" s="255"/>
      <c r="CR41" s="255"/>
      <c r="CS41" s="255"/>
      <c r="CT41" s="255"/>
      <c r="CU41" s="255"/>
      <c r="CV41" s="255"/>
      <c r="CW41" s="255"/>
      <c r="CX41" s="255"/>
      <c r="CY41" s="255"/>
      <c r="CZ41" s="255"/>
      <c r="DA41" s="255"/>
      <c r="DB41" s="255"/>
      <c r="DC41" s="255"/>
      <c r="DD41" s="255"/>
      <c r="DE41" s="255"/>
      <c r="DF41" s="255"/>
      <c r="DG41" s="255"/>
      <c r="DH41" s="255"/>
      <c r="DI41" s="255"/>
      <c r="DJ41" s="255"/>
      <c r="DK41" s="255"/>
      <c r="DL41" s="255"/>
      <c r="DM41" s="255"/>
      <c r="DN41" s="255"/>
      <c r="DO41" s="255"/>
      <c r="DP41" s="255"/>
      <c r="DQ41" s="255"/>
      <c r="DR41" s="255"/>
      <c r="DS41" s="255"/>
      <c r="DT41" s="255"/>
      <c r="DU41" s="255"/>
      <c r="DV41" s="255"/>
      <c r="DW41" s="255"/>
      <c r="DX41" s="255"/>
      <c r="DY41" s="255"/>
      <c r="DZ41" s="255"/>
      <c r="EA41" s="255"/>
      <c r="EB41" s="255"/>
      <c r="EC41" s="255"/>
      <c r="ED41" s="255"/>
      <c r="EE41" s="255"/>
      <c r="EF41" s="255"/>
      <c r="EG41" s="255"/>
      <c r="EH41" s="255"/>
      <c r="EI41" s="255"/>
      <c r="EJ41" s="255"/>
      <c r="EK41" s="255"/>
      <c r="EL41" s="255"/>
      <c r="EM41" s="255"/>
      <c r="EN41" s="255"/>
      <c r="EO41" s="255"/>
      <c r="EP41" s="255"/>
      <c r="EQ41" s="255"/>
      <c r="ER41" s="255"/>
      <c r="ES41" s="255"/>
      <c r="ET41" s="255"/>
      <c r="EU41" s="255"/>
      <c r="EV41" s="255"/>
      <c r="EW41" s="255"/>
      <c r="EX41" s="255"/>
      <c r="EY41" s="255"/>
      <c r="EZ41" s="255"/>
      <c r="FA41" s="255"/>
      <c r="FB41" s="255"/>
      <c r="FC41" s="255"/>
      <c r="FD41" s="255"/>
      <c r="FE41" s="255"/>
      <c r="FF41" s="255"/>
      <c r="FG41" s="255"/>
      <c r="FH41" s="255"/>
      <c r="FI41" s="255"/>
      <c r="FJ41" s="255"/>
      <c r="FK41" s="255"/>
      <c r="FL41" s="255"/>
      <c r="FM41" s="255"/>
      <c r="FN41" s="255"/>
      <c r="FO41" s="255"/>
      <c r="FP41" s="255"/>
      <c r="FQ41" s="255"/>
      <c r="FR41" s="255"/>
      <c r="FS41" s="255"/>
      <c r="FT41" s="255"/>
      <c r="FU41" s="255"/>
      <c r="FV41" s="255"/>
      <c r="FW41" s="255"/>
      <c r="FX41" s="255"/>
      <c r="FY41" s="255"/>
      <c r="FZ41" s="255"/>
      <c r="GA41" s="255"/>
      <c r="GB41" s="255"/>
      <c r="GC41" s="255"/>
      <c r="GD41" s="255"/>
      <c r="GE41" s="255"/>
      <c r="GF41" s="255"/>
      <c r="GG41" s="255"/>
      <c r="GH41" s="255"/>
      <c r="GI41" s="255"/>
      <c r="GJ41" s="255"/>
      <c r="GK41" s="255"/>
      <c r="GL41" s="255"/>
      <c r="GM41" s="255"/>
      <c r="GN41" s="255"/>
      <c r="GO41" s="255"/>
      <c r="GP41" s="255"/>
      <c r="GQ41" s="255"/>
      <c r="GR41" s="255"/>
      <c r="GS41" s="255"/>
      <c r="GT41" s="255"/>
      <c r="GU41" s="255"/>
      <c r="GV41" s="255"/>
      <c r="GW41" s="255"/>
      <c r="GX41" s="255"/>
      <c r="GY41" s="255"/>
      <c r="GZ41" s="255"/>
      <c r="HA41" s="255"/>
      <c r="HB41" s="255"/>
      <c r="HC41" s="255"/>
      <c r="HD41" s="255"/>
      <c r="HE41" s="255"/>
      <c r="HF41" s="255"/>
      <c r="HG41" s="255"/>
      <c r="HH41" s="255"/>
      <c r="HI41" s="255"/>
      <c r="HJ41" s="255"/>
      <c r="HK41" s="255"/>
      <c r="HL41" s="255"/>
      <c r="HM41" s="255"/>
      <c r="HN41" s="255"/>
      <c r="HO41" s="255"/>
      <c r="HP41" s="255"/>
      <c r="HQ41" s="255"/>
      <c r="HR41" s="255"/>
      <c r="HS41" s="255"/>
      <c r="HT41" s="255"/>
      <c r="HU41" s="255"/>
      <c r="HV41" s="255"/>
      <c r="HW41" s="255"/>
      <c r="HX41" s="255"/>
      <c r="HY41" s="255"/>
      <c r="HZ41" s="255"/>
      <c r="IA41" s="255"/>
      <c r="IB41" s="255"/>
      <c r="IC41" s="255"/>
      <c r="ID41" s="255"/>
      <c r="IE41" s="255"/>
      <c r="IF41" s="255"/>
      <c r="IG41" s="255"/>
      <c r="IH41" s="255"/>
      <c r="II41" s="255"/>
      <c r="IJ41" s="255"/>
      <c r="IK41" s="255"/>
      <c r="IL41" s="255"/>
      <c r="IM41" s="255"/>
      <c r="IN41" s="255"/>
      <c r="IO41" s="255"/>
      <c r="IP41" s="255"/>
      <c r="IQ41" s="255"/>
      <c r="IR41" s="255"/>
      <c r="IS41" s="255"/>
      <c r="IT41" s="255"/>
      <c r="IU41" s="255"/>
      <c r="IV41" s="255"/>
      <c r="IW41" s="255"/>
      <c r="IX41" s="255"/>
      <c r="IY41" s="255"/>
      <c r="IZ41" s="255"/>
      <c r="JA41" s="255"/>
      <c r="JB41" s="255"/>
      <c r="JC41" s="255"/>
      <c r="JD41" s="255"/>
      <c r="JE41" s="255"/>
      <c r="JF41" s="255"/>
      <c r="JG41" s="255"/>
      <c r="JH41" s="255"/>
      <c r="JI41" s="255"/>
      <c r="JJ41" s="255"/>
      <c r="JK41" s="255"/>
      <c r="JL41" s="255"/>
      <c r="JM41" s="255"/>
      <c r="JN41" s="255"/>
      <c r="JO41" s="255"/>
      <c r="JP41" s="255"/>
      <c r="JQ41" s="255"/>
      <c r="JR41" s="255"/>
      <c r="JS41" s="255"/>
      <c r="JT41" s="255"/>
      <c r="JU41" s="255"/>
      <c r="JV41" s="255"/>
      <c r="JW41" s="255"/>
      <c r="JX41" s="255"/>
      <c r="JY41" s="255"/>
      <c r="JZ41" s="255"/>
      <c r="KA41" s="255"/>
      <c r="KB41" s="255"/>
      <c r="KC41" s="255"/>
      <c r="KD41" s="255"/>
      <c r="KE41" s="255"/>
      <c r="KF41" s="255"/>
      <c r="KG41" s="255"/>
      <c r="KH41" s="255"/>
      <c r="KI41" s="255"/>
      <c r="KJ41" s="255"/>
      <c r="KK41" s="255"/>
      <c r="KL41" s="255"/>
      <c r="KM41" s="255"/>
      <c r="KN41" s="255"/>
      <c r="KO41" s="255"/>
      <c r="KP41" s="255"/>
      <c r="KQ41" s="255"/>
      <c r="KR41" s="255"/>
      <c r="KS41" s="255"/>
      <c r="KT41" s="255"/>
      <c r="KU41" s="255"/>
      <c r="KV41" s="255"/>
      <c r="KW41" s="255"/>
      <c r="KX41" s="255"/>
      <c r="KY41" s="255"/>
      <c r="KZ41" s="255"/>
      <c r="LA41" s="255"/>
      <c r="LB41" s="255"/>
      <c r="LC41" s="255"/>
      <c r="LD41" s="255"/>
      <c r="LE41" s="255"/>
      <c r="LF41" s="255"/>
      <c r="LG41" s="255"/>
      <c r="LH41" s="255"/>
      <c r="LI41" s="255"/>
      <c r="LJ41" s="255"/>
      <c r="LK41" s="255"/>
      <c r="LL41" s="255"/>
      <c r="LM41" s="255"/>
      <c r="LN41" s="255"/>
      <c r="LO41" s="255"/>
      <c r="LP41" s="255"/>
      <c r="LQ41" s="255"/>
      <c r="LR41" s="255"/>
      <c r="LS41" s="255"/>
      <c r="LT41" s="255"/>
      <c r="LU41" s="255"/>
      <c r="LV41" s="255"/>
      <c r="LW41" s="255"/>
      <c r="LX41" s="255"/>
      <c r="LY41" s="255"/>
      <c r="LZ41" s="255"/>
      <c r="MA41" s="255"/>
      <c r="MB41" s="255"/>
      <c r="MC41" s="255"/>
      <c r="MD41" s="255"/>
      <c r="ME41" s="255"/>
      <c r="MF41" s="255"/>
      <c r="MG41" s="255"/>
      <c r="MH41" s="255"/>
      <c r="MI41" s="255"/>
      <c r="MJ41" s="255"/>
      <c r="MK41" s="255"/>
      <c r="ML41" s="255"/>
      <c r="MM41" s="255"/>
      <c r="MN41" s="255"/>
      <c r="MO41" s="255"/>
      <c r="MP41" s="255"/>
      <c r="MQ41" s="255"/>
      <c r="MR41" s="255"/>
      <c r="MS41" s="255"/>
      <c r="MT41" s="255"/>
      <c r="MU41" s="255"/>
      <c r="MV41" s="255"/>
      <c r="MW41" s="255"/>
      <c r="MX41" s="255"/>
      <c r="MY41" s="255"/>
      <c r="MZ41" s="255"/>
      <c r="NA41" s="255"/>
      <c r="NB41" s="255"/>
      <c r="NC41" s="255"/>
      <c r="ND41" s="255"/>
      <c r="NE41" s="255"/>
      <c r="NF41" s="255"/>
      <c r="NG41" s="255"/>
      <c r="NH41" s="255"/>
      <c r="NI41" s="255"/>
      <c r="NJ41" s="255"/>
      <c r="NK41" s="255"/>
      <c r="NL41" s="255"/>
      <c r="NM41" s="255"/>
      <c r="NN41" s="255"/>
      <c r="NO41" s="255"/>
      <c r="NP41" s="255"/>
      <c r="NQ41" s="255"/>
      <c r="NR41" s="255"/>
      <c r="NS41" s="255"/>
      <c r="NT41" s="255"/>
      <c r="NU41" s="255"/>
      <c r="NV41" s="255"/>
      <c r="NW41" s="255"/>
      <c r="NX41" s="255"/>
      <c r="NY41" s="255"/>
      <c r="NZ41" s="255"/>
      <c r="OA41" s="255"/>
      <c r="OB41" s="255"/>
      <c r="OC41" s="255"/>
      <c r="OD41" s="255"/>
      <c r="OE41" s="255"/>
      <c r="OF41" s="255"/>
      <c r="OG41" s="255"/>
      <c r="OH41" s="255"/>
      <c r="OI41" s="255"/>
      <c r="OJ41" s="255"/>
      <c r="OK41" s="255"/>
      <c r="OL41" s="255"/>
      <c r="OM41" s="255"/>
      <c r="ON41" s="255"/>
      <c r="OO41" s="255"/>
      <c r="OP41" s="255"/>
      <c r="OQ41" s="255"/>
      <c r="OR41" s="255"/>
      <c r="OS41" s="255"/>
      <c r="OT41" s="255"/>
      <c r="OU41" s="255"/>
      <c r="OV41" s="255"/>
      <c r="OW41" s="255"/>
      <c r="OX41" s="255"/>
      <c r="OY41" s="255"/>
      <c r="OZ41" s="255"/>
      <c r="PA41" s="255"/>
      <c r="PB41" s="255"/>
      <c r="PC41" s="255"/>
      <c r="PD41" s="255"/>
      <c r="PE41" s="255"/>
      <c r="PF41" s="255"/>
      <c r="PG41" s="255"/>
      <c r="PH41" s="255"/>
      <c r="PI41" s="255"/>
      <c r="PJ41" s="255"/>
      <c r="PK41" s="255"/>
      <c r="PL41" s="255"/>
      <c r="PM41" s="255"/>
      <c r="PN41" s="255"/>
      <c r="PO41" s="255"/>
      <c r="PP41" s="255"/>
      <c r="PQ41" s="255"/>
      <c r="PR41" s="255"/>
      <c r="PS41" s="255"/>
      <c r="PT41" s="255"/>
      <c r="PU41" s="255"/>
      <c r="PV41" s="255"/>
      <c r="PW41" s="255"/>
      <c r="PX41" s="255"/>
      <c r="PY41" s="255"/>
      <c r="PZ41" s="255"/>
      <c r="QA41" s="255"/>
      <c r="QB41" s="255"/>
      <c r="QC41" s="255"/>
      <c r="QD41" s="255"/>
      <c r="QE41" s="255"/>
      <c r="QF41" s="255"/>
      <c r="QG41" s="255"/>
      <c r="QH41" s="255"/>
      <c r="QI41" s="255"/>
      <c r="QJ41" s="255"/>
      <c r="QK41" s="255"/>
      <c r="QL41" s="255"/>
      <c r="QM41" s="255"/>
      <c r="QN41" s="255"/>
      <c r="QO41" s="255"/>
      <c r="QP41" s="255"/>
      <c r="QQ41" s="255"/>
      <c r="QR41" s="255"/>
      <c r="QS41" s="255"/>
      <c r="QT41" s="255"/>
      <c r="QU41" s="255"/>
      <c r="QV41" s="255"/>
      <c r="QW41" s="255"/>
      <c r="QX41" s="255"/>
      <c r="QY41" s="255"/>
      <c r="QZ41" s="255"/>
      <c r="RA41" s="255"/>
      <c r="RB41" s="255"/>
      <c r="RC41" s="255"/>
      <c r="RD41" s="255"/>
      <c r="RE41" s="255"/>
      <c r="RF41" s="255"/>
      <c r="RG41" s="255"/>
      <c r="RH41" s="255"/>
      <c r="RI41" s="255"/>
      <c r="RJ41" s="255"/>
      <c r="RK41" s="255"/>
      <c r="RL41" s="255"/>
      <c r="RM41" s="255"/>
      <c r="RN41" s="255"/>
      <c r="RO41" s="255"/>
      <c r="RP41" s="255"/>
      <c r="RQ41" s="255"/>
      <c r="RR41" s="255"/>
      <c r="RS41" s="255"/>
      <c r="RT41" s="255"/>
      <c r="RU41" s="255"/>
      <c r="RV41" s="255"/>
      <c r="RW41" s="255"/>
      <c r="RX41" s="255"/>
      <c r="RY41" s="255"/>
      <c r="RZ41" s="255"/>
      <c r="SA41" s="255"/>
      <c r="SB41" s="255"/>
      <c r="SC41" s="255"/>
      <c r="SD41" s="255"/>
      <c r="SE41" s="255"/>
      <c r="SF41" s="255"/>
      <c r="SG41" s="255"/>
      <c r="SH41" s="255"/>
      <c r="SI41" s="255"/>
      <c r="SJ41" s="255"/>
      <c r="SK41" s="255"/>
      <c r="SL41" s="255"/>
      <c r="SM41" s="255"/>
      <c r="SN41" s="255"/>
      <c r="SO41" s="255"/>
      <c r="SP41" s="255"/>
      <c r="SQ41" s="255"/>
      <c r="SR41" s="255"/>
      <c r="SS41" s="255"/>
      <c r="ST41" s="255"/>
      <c r="SU41" s="255"/>
      <c r="SV41" s="255"/>
      <c r="SW41" s="255"/>
      <c r="SX41" s="255"/>
      <c r="SY41" s="255"/>
      <c r="SZ41" s="255"/>
      <c r="TA41" s="255"/>
      <c r="TB41" s="255"/>
      <c r="TC41" s="255"/>
      <c r="TD41" s="255"/>
      <c r="TE41" s="255"/>
      <c r="TF41" s="255"/>
      <c r="TG41" s="255"/>
      <c r="TH41" s="255"/>
      <c r="TI41" s="255"/>
      <c r="TJ41" s="255"/>
      <c r="TK41" s="255"/>
      <c r="TL41" s="255"/>
      <c r="TM41" s="255"/>
      <c r="TN41" s="255"/>
      <c r="TO41" s="255"/>
      <c r="TP41" s="255"/>
      <c r="TQ41" s="255"/>
      <c r="TR41" s="255"/>
      <c r="TS41" s="255"/>
      <c r="TT41" s="255"/>
      <c r="TU41" s="255"/>
      <c r="TV41" s="255"/>
      <c r="TW41" s="255"/>
      <c r="TX41" s="255"/>
      <c r="TY41" s="255"/>
      <c r="TZ41" s="255"/>
      <c r="UA41" s="255"/>
      <c r="UB41" s="255"/>
      <c r="UC41" s="255"/>
      <c r="UD41" s="255"/>
      <c r="UE41" s="255"/>
      <c r="UF41" s="255"/>
      <c r="UG41" s="255"/>
      <c r="UH41" s="255"/>
      <c r="UI41" s="255"/>
      <c r="UJ41" s="255"/>
      <c r="UK41" s="255"/>
      <c r="UL41" s="255"/>
      <c r="UM41" s="255"/>
      <c r="UN41" s="255"/>
      <c r="UO41" s="255"/>
      <c r="UP41" s="255"/>
      <c r="UQ41" s="255"/>
      <c r="UR41" s="255"/>
      <c r="US41" s="255"/>
      <c r="UT41" s="255"/>
      <c r="UU41" s="255"/>
      <c r="UV41" s="255"/>
      <c r="UW41" s="255"/>
      <c r="UX41" s="255"/>
      <c r="UY41" s="255"/>
      <c r="UZ41" s="255"/>
      <c r="VA41" s="255"/>
      <c r="VB41" s="255"/>
      <c r="VC41" s="255"/>
      <c r="VD41" s="255"/>
      <c r="VE41" s="255"/>
      <c r="VF41" s="255"/>
      <c r="VG41" s="255"/>
      <c r="VH41" s="255"/>
      <c r="VI41" s="255"/>
      <c r="VJ41" s="255"/>
      <c r="VK41" s="255"/>
      <c r="VL41" s="255"/>
      <c r="VM41" s="255"/>
      <c r="VN41" s="255"/>
      <c r="VO41" s="255"/>
      <c r="VP41" s="255"/>
      <c r="VQ41" s="255"/>
      <c r="VR41" s="255"/>
      <c r="VS41" s="255"/>
      <c r="VT41" s="255"/>
      <c r="VU41" s="255"/>
      <c r="VV41" s="255"/>
      <c r="VW41" s="255"/>
      <c r="VX41" s="255"/>
      <c r="VY41" s="255"/>
      <c r="VZ41" s="255"/>
      <c r="WA41" s="255"/>
      <c r="WB41" s="255"/>
      <c r="WC41" s="255"/>
      <c r="WD41" s="255"/>
      <c r="WE41" s="255"/>
      <c r="WF41" s="255"/>
      <c r="WG41" s="255"/>
      <c r="WH41" s="255"/>
      <c r="WI41" s="255"/>
      <c r="WJ41" s="255"/>
      <c r="WK41" s="255"/>
      <c r="WL41" s="255"/>
      <c r="WM41" s="255"/>
      <c r="WN41" s="255"/>
      <c r="WO41" s="255"/>
      <c r="WP41" s="255"/>
      <c r="WQ41" s="255"/>
      <c r="WR41" s="255"/>
      <c r="WS41" s="255"/>
      <c r="WT41" s="255"/>
      <c r="WU41" s="255"/>
      <c r="WV41" s="255"/>
      <c r="WW41" s="255"/>
      <c r="WX41" s="255"/>
      <c r="WY41" s="255"/>
      <c r="WZ41" s="255"/>
      <c r="XA41" s="255"/>
      <c r="XB41" s="255"/>
      <c r="XC41" s="255"/>
      <c r="XD41" s="255"/>
      <c r="XE41" s="255"/>
      <c r="XF41" s="255"/>
      <c r="XG41" s="255"/>
      <c r="XH41" s="255"/>
      <c r="XI41" s="255"/>
      <c r="XJ41" s="255"/>
      <c r="XK41" s="255"/>
      <c r="XL41" s="255"/>
      <c r="XM41" s="255"/>
      <c r="XN41" s="255"/>
      <c r="XO41" s="255"/>
      <c r="XP41" s="255"/>
      <c r="XQ41" s="255"/>
      <c r="XR41" s="255"/>
      <c r="XS41" s="255"/>
      <c r="XT41" s="255"/>
      <c r="XU41" s="255"/>
      <c r="XV41" s="255"/>
      <c r="XW41" s="255"/>
      <c r="XX41" s="255"/>
      <c r="XY41" s="255"/>
      <c r="XZ41" s="255"/>
      <c r="YA41" s="255"/>
      <c r="YB41" s="255"/>
      <c r="YC41" s="255"/>
      <c r="YD41" s="255"/>
      <c r="YE41" s="255"/>
      <c r="YF41" s="255"/>
      <c r="YG41" s="255"/>
      <c r="YH41" s="255"/>
      <c r="YI41" s="255"/>
      <c r="YJ41" s="255"/>
      <c r="YK41" s="255"/>
      <c r="YL41" s="255"/>
      <c r="YM41" s="255"/>
      <c r="YN41" s="255"/>
      <c r="YO41" s="255"/>
      <c r="YP41" s="255"/>
      <c r="YQ41" s="255"/>
      <c r="YR41" s="255"/>
      <c r="YS41" s="255"/>
      <c r="YT41" s="255"/>
      <c r="YU41" s="255"/>
      <c r="YV41" s="255"/>
      <c r="YW41" s="255"/>
      <c r="YX41" s="255"/>
      <c r="YY41" s="255"/>
      <c r="YZ41" s="255"/>
      <c r="ZA41" s="255"/>
      <c r="ZB41" s="255"/>
      <c r="ZC41" s="255"/>
      <c r="ZD41" s="255"/>
      <c r="ZE41" s="255"/>
      <c r="ZF41" s="255"/>
      <c r="ZG41" s="255"/>
      <c r="ZH41" s="255"/>
      <c r="ZI41" s="255"/>
      <c r="ZJ41" s="255"/>
      <c r="ZK41" s="255"/>
      <c r="ZL41" s="255"/>
      <c r="ZM41" s="255"/>
      <c r="ZN41" s="255"/>
      <c r="ZO41" s="255"/>
      <c r="ZP41" s="255"/>
      <c r="ZQ41" s="255"/>
      <c r="ZR41" s="255"/>
      <c r="ZS41" s="255"/>
      <c r="ZT41" s="255"/>
      <c r="ZU41" s="255"/>
      <c r="ZV41" s="255"/>
      <c r="ZW41" s="255"/>
      <c r="ZX41" s="255"/>
      <c r="ZY41" s="255"/>
      <c r="ZZ41" s="255"/>
      <c r="AAA41" s="255"/>
      <c r="AAB41" s="255"/>
      <c r="AAC41" s="255"/>
      <c r="AAD41" s="255"/>
      <c r="AAE41" s="255"/>
      <c r="AAF41" s="255"/>
      <c r="AAG41" s="255"/>
      <c r="AAH41" s="255"/>
      <c r="AAI41" s="255"/>
      <c r="AAJ41" s="255"/>
      <c r="AAK41" s="255"/>
      <c r="AAL41" s="255"/>
      <c r="AAM41" s="255"/>
      <c r="AAN41" s="255"/>
      <c r="AAO41" s="255"/>
      <c r="AAP41" s="255"/>
      <c r="AAQ41" s="255"/>
      <c r="AAR41" s="255"/>
      <c r="AAS41" s="255"/>
      <c r="AAT41" s="255"/>
      <c r="AAU41" s="255"/>
      <c r="AAV41" s="255"/>
      <c r="AAW41" s="255"/>
      <c r="AAX41" s="255"/>
      <c r="AAY41" s="255"/>
      <c r="AAZ41" s="255"/>
      <c r="ABA41" s="255"/>
      <c r="ABB41" s="255"/>
      <c r="ABC41" s="255"/>
      <c r="ABD41" s="255"/>
      <c r="ABE41" s="255"/>
      <c r="ABF41" s="255"/>
      <c r="ABG41" s="255"/>
      <c r="ABH41" s="255"/>
      <c r="ABI41" s="255"/>
      <c r="ABJ41" s="255"/>
      <c r="ABK41" s="255"/>
      <c r="ABL41" s="255"/>
      <c r="ABM41" s="255"/>
      <c r="ABN41" s="255"/>
      <c r="ABO41" s="255"/>
      <c r="ABP41" s="255"/>
      <c r="ABQ41" s="255"/>
      <c r="ABR41" s="255"/>
      <c r="ABS41" s="255"/>
      <c r="ABT41" s="255"/>
      <c r="ABU41" s="255"/>
      <c r="ABV41" s="255"/>
      <c r="ABW41" s="255"/>
      <c r="ABX41" s="255"/>
      <c r="ABY41" s="255"/>
      <c r="ABZ41" s="255"/>
      <c r="ACA41" s="255"/>
      <c r="ACB41" s="255"/>
      <c r="ACC41" s="255"/>
      <c r="ACD41" s="255"/>
      <c r="ACE41" s="255"/>
      <c r="ACF41" s="255"/>
      <c r="ACG41" s="255"/>
      <c r="ACH41" s="255"/>
      <c r="ACI41" s="255"/>
      <c r="ACJ41" s="255"/>
      <c r="ACK41" s="255"/>
      <c r="ACL41" s="255"/>
      <c r="ACM41" s="255"/>
      <c r="ACN41" s="255"/>
      <c r="ACO41" s="255"/>
      <c r="ACP41" s="255"/>
      <c r="ACQ41" s="255"/>
      <c r="ACR41" s="255"/>
      <c r="ACS41" s="255"/>
      <c r="ACT41" s="255"/>
      <c r="ACU41" s="255"/>
      <c r="ACV41" s="255"/>
      <c r="ACW41" s="255"/>
      <c r="ACX41" s="255"/>
      <c r="ACY41" s="255"/>
      <c r="ACZ41" s="255"/>
      <c r="ADA41" s="255"/>
      <c r="ADB41" s="255"/>
      <c r="ADC41" s="255"/>
      <c r="ADD41" s="255"/>
      <c r="ADE41" s="255"/>
      <c r="ADF41" s="255"/>
      <c r="ADG41" s="255"/>
      <c r="ADH41" s="255"/>
      <c r="ADI41" s="255"/>
      <c r="ADJ41" s="255"/>
      <c r="ADK41" s="255"/>
      <c r="ADL41" s="255"/>
      <c r="ADM41" s="255"/>
      <c r="ADN41" s="255"/>
      <c r="ADO41" s="255"/>
      <c r="ADP41" s="255"/>
      <c r="ADQ41" s="255"/>
      <c r="ADR41" s="255"/>
      <c r="ADS41" s="255"/>
      <c r="ADT41" s="255"/>
      <c r="ADU41" s="255"/>
      <c r="ADV41" s="255"/>
      <c r="ADW41" s="255"/>
      <c r="ADX41" s="255"/>
      <c r="ADY41" s="255"/>
      <c r="ADZ41" s="255"/>
      <c r="AEA41" s="255"/>
      <c r="AEB41" s="255"/>
      <c r="AEC41" s="255"/>
      <c r="AED41" s="255"/>
      <c r="AEE41" s="255"/>
      <c r="AEF41" s="255"/>
      <c r="AEG41" s="255"/>
      <c r="AEH41" s="255"/>
      <c r="AEI41" s="255"/>
      <c r="AEJ41" s="255"/>
      <c r="AEK41" s="255"/>
      <c r="AEL41" s="255"/>
      <c r="AEM41" s="255"/>
      <c r="AEN41" s="255"/>
      <c r="AEO41" s="255"/>
      <c r="AEP41" s="255"/>
      <c r="AEQ41" s="255"/>
      <c r="AER41" s="255"/>
      <c r="AES41" s="255"/>
      <c r="AET41" s="255"/>
      <c r="AEU41" s="255"/>
      <c r="AEV41" s="255"/>
      <c r="AEW41" s="255"/>
      <c r="AEX41" s="255"/>
      <c r="AEY41" s="255"/>
      <c r="AEZ41" s="255"/>
      <c r="AFA41" s="255"/>
      <c r="AFB41" s="255"/>
      <c r="AFC41" s="255"/>
      <c r="AFD41" s="255"/>
      <c r="AFE41" s="255"/>
      <c r="AFF41" s="255"/>
      <c r="AFG41" s="255"/>
      <c r="AFH41" s="255"/>
      <c r="AFI41" s="255"/>
      <c r="AFJ41" s="255"/>
      <c r="AFK41" s="255"/>
      <c r="AFL41" s="255"/>
      <c r="AFM41" s="255"/>
      <c r="AFN41" s="255"/>
      <c r="AFO41" s="255"/>
      <c r="AFP41" s="255"/>
      <c r="AFQ41" s="255"/>
      <c r="AFR41" s="255"/>
      <c r="AFS41" s="255"/>
      <c r="AFT41" s="255"/>
      <c r="AFU41" s="255"/>
      <c r="AFV41" s="255"/>
      <c r="AFW41" s="255"/>
      <c r="AFX41" s="255"/>
      <c r="AFY41" s="255"/>
      <c r="AFZ41" s="255"/>
      <c r="AGA41" s="255"/>
      <c r="AGB41" s="255"/>
      <c r="AGC41" s="255"/>
      <c r="AGD41" s="255"/>
      <c r="AGE41" s="255"/>
      <c r="AGF41" s="255"/>
      <c r="AGG41" s="255"/>
      <c r="AGH41" s="255"/>
      <c r="AGI41" s="255"/>
      <c r="AGJ41" s="255"/>
      <c r="AGK41" s="255"/>
      <c r="AGL41" s="255"/>
      <c r="AGM41" s="255"/>
      <c r="AGN41" s="255"/>
      <c r="AGO41" s="255"/>
      <c r="AGP41" s="255"/>
      <c r="AGQ41" s="255"/>
      <c r="AGR41" s="255"/>
      <c r="AGS41" s="255"/>
      <c r="AGT41" s="255"/>
      <c r="AGU41" s="255"/>
      <c r="AGV41" s="255"/>
      <c r="AGW41" s="255"/>
      <c r="AGX41" s="255"/>
      <c r="AGY41" s="255"/>
      <c r="AGZ41" s="255"/>
      <c r="AHA41" s="255"/>
      <c r="AHB41" s="255"/>
      <c r="AHC41" s="255"/>
      <c r="AHD41" s="255"/>
      <c r="AHE41" s="255"/>
      <c r="AHF41" s="255"/>
      <c r="AHG41" s="255"/>
      <c r="AHH41" s="255"/>
      <c r="AHI41" s="255"/>
      <c r="AHJ41" s="255"/>
      <c r="AHK41" s="255"/>
      <c r="AHL41" s="255"/>
      <c r="AHM41" s="255"/>
      <c r="AHN41" s="255"/>
      <c r="AHO41" s="255"/>
      <c r="AHP41" s="255"/>
      <c r="AHQ41" s="255"/>
      <c r="AHR41" s="255"/>
      <c r="AHS41" s="255"/>
      <c r="AHT41" s="255"/>
      <c r="AHU41" s="255"/>
      <c r="AHV41" s="255"/>
      <c r="AHW41" s="255"/>
      <c r="AHX41" s="255"/>
      <c r="AHY41" s="255"/>
      <c r="AHZ41" s="255"/>
      <c r="AIA41" s="255"/>
      <c r="AIB41" s="255"/>
      <c r="AIC41" s="255"/>
      <c r="AID41" s="255"/>
      <c r="AIE41" s="255"/>
      <c r="AIF41" s="255"/>
      <c r="AIG41" s="255"/>
      <c r="AIH41" s="255"/>
      <c r="AII41" s="255"/>
      <c r="AIJ41" s="255"/>
      <c r="AIK41" s="255"/>
      <c r="AIL41" s="255"/>
      <c r="AIM41" s="255"/>
      <c r="AIN41" s="255"/>
      <c r="AIO41" s="255"/>
      <c r="AIP41" s="255"/>
      <c r="AIQ41" s="255"/>
      <c r="AIR41" s="255"/>
      <c r="AIS41" s="255"/>
      <c r="AIT41" s="255"/>
      <c r="AIU41" s="255"/>
      <c r="AIV41" s="255"/>
      <c r="AIW41" s="255"/>
      <c r="AIX41" s="255"/>
      <c r="AIY41" s="255"/>
      <c r="AIZ41" s="255"/>
      <c r="AJA41" s="255"/>
      <c r="AJB41" s="255"/>
      <c r="AJC41" s="255"/>
      <c r="AJD41" s="255"/>
      <c r="AJE41" s="255"/>
      <c r="AJF41" s="255"/>
      <c r="AJG41" s="255"/>
      <c r="AJH41" s="255"/>
      <c r="AJI41" s="255"/>
      <c r="AJJ41" s="255"/>
      <c r="AJK41" s="255"/>
      <c r="AJL41" s="255"/>
      <c r="AJM41" s="255"/>
      <c r="AJN41" s="255"/>
      <c r="AJO41" s="255"/>
      <c r="AJP41" s="255"/>
      <c r="AJQ41" s="255"/>
      <c r="AJR41" s="255"/>
      <c r="AJS41" s="255"/>
      <c r="AJT41" s="255"/>
      <c r="AJU41" s="255"/>
      <c r="AJV41" s="255"/>
      <c r="AJW41" s="255"/>
      <c r="AJX41" s="255"/>
      <c r="AJY41" s="255"/>
      <c r="AJZ41" s="255"/>
      <c r="AKA41" s="255"/>
      <c r="AKB41" s="255"/>
      <c r="AKC41" s="255"/>
      <c r="AKD41" s="255"/>
      <c r="AKE41" s="255"/>
      <c r="AKF41" s="255"/>
      <c r="AKG41" s="255"/>
      <c r="AKH41" s="255"/>
      <c r="AKI41" s="255"/>
      <c r="AKJ41" s="255"/>
      <c r="AKK41" s="255"/>
      <c r="AKL41" s="255"/>
      <c r="AKM41" s="255"/>
      <c r="AKN41" s="255"/>
      <c r="AKO41" s="255"/>
      <c r="AKP41" s="255"/>
      <c r="AKQ41" s="255"/>
      <c r="AKR41" s="255"/>
      <c r="AKS41" s="255"/>
      <c r="AKT41" s="255"/>
      <c r="AKU41" s="255"/>
      <c r="AKV41" s="255"/>
      <c r="AKW41" s="255"/>
      <c r="AKX41" s="255"/>
      <c r="AKY41" s="255"/>
      <c r="AKZ41" s="255"/>
      <c r="ALA41" s="255"/>
      <c r="ALB41" s="255"/>
      <c r="ALC41" s="255"/>
      <c r="ALD41" s="255"/>
      <c r="ALE41" s="255"/>
      <c r="ALF41" s="255"/>
      <c r="ALG41" s="255"/>
      <c r="ALH41" s="255"/>
      <c r="ALI41" s="255"/>
      <c r="ALJ41" s="255"/>
      <c r="ALK41" s="255"/>
      <c r="ALL41" s="42"/>
      <c r="ALM41" s="42"/>
      <c r="ALN41" s="42"/>
      <c r="ALO41" s="42"/>
      <c r="ALP41" s="42"/>
      <c r="ALQ41" s="42"/>
      <c r="ALR41" s="42"/>
      <c r="ALS41" s="42"/>
      <c r="ALT41" s="42"/>
    </row>
    <row r="42" spans="1:1008" s="191" customFormat="1" ht="36">
      <c r="A42" s="251" t="s">
        <v>7</v>
      </c>
      <c r="B42" s="328">
        <v>92778</v>
      </c>
      <c r="C42" s="329" t="str">
        <f>(IF($A42="SINAPI",INDEX(SINAPI_NOV2020_NDES!$A$7:$H$6703,MATCH($B42,SINAPI_NOV2020_NDES!$A$7:$A$6703,0),2),IF($A42="GOINFRA",INDEX(#REF!,MATCH($B42,#REF!,0),2),(INDEX(COMPOS!$A$4:$G$390,MATCH($B42,COMPOS!$A$4:A$390,0),2)))))</f>
        <v>ARMAÇÃO DE PILAR OU VIGA DE UMA ESTRUTURA CONVENCIONAL DE CONCRETO ARMADO EM UMA EDIFICAÇÃO TÉRREA OU SOBRADO UTILIZANDO AÇO CA-50 DE 10,0 MM - MONTAGEM. AF_12/2015</v>
      </c>
      <c r="D42" s="274" t="str">
        <f>(IF($A42="SINAPI",INDEX(SINAPI_NOV2020_NDES!$A$7:$H$6790,MATCH($B42,SINAPI_NOV2020_NDES!$A$7:$A$6790,0),3),(INDEX(COMPOS!$A$4:$G$5000,MATCH($B42,COMPOS!$A$4:$A$5000,0),3))))</f>
        <v>KG</v>
      </c>
      <c r="E42" s="276">
        <v>106</v>
      </c>
      <c r="F42" s="279">
        <f>(IF($A42="SINAPI",INDEX(SINAPI_NOV2020_NDES!$A$7:$H$6703,MATCH($B42,SINAPI_NOV2020_NDES!$A$7:$A$6703,0),5),(INDEX(COMPOS!$A$4:$G$801,MATCH($B42,COMPOS!$A$4:A$801,0),4))))</f>
        <v>2.04</v>
      </c>
      <c r="G42" s="280">
        <f>(IF($A42="SINAPI",INDEX(SINAPI_NOV2020_NDES!$A$7:$H$6703,MATCH($B42,SINAPI_NOV2020_NDES!$A$7:$A$6703,0),6),(INDEX(COMPOS!$A$4:$G$801,MATCH($B42,COMPOS!$A$4:A$801,0),5))))</f>
        <v>8.2799999999999994</v>
      </c>
      <c r="H42" s="280">
        <f>(IF($A42="SINAPI",INDEX(SINAPI_NOV2020_NDES!$A$7:$H$6703,MATCH($B42,SINAPI_NOV2020_NDES!$A$7:$A$6703,0),7),(INDEX(COMPOS!$A$4:$G$801,MATCH($B42,COMPOS!$A$4:A$801,0),6))))</f>
        <v>0</v>
      </c>
      <c r="I42" s="279">
        <f t="shared" si="14"/>
        <v>10.32</v>
      </c>
      <c r="J42" s="276">
        <f t="shared" si="15"/>
        <v>1093.92</v>
      </c>
      <c r="K42" s="255"/>
      <c r="L42" s="255"/>
      <c r="M42" s="255"/>
      <c r="N42" s="255"/>
      <c r="O42" s="257"/>
      <c r="P42" s="223"/>
      <c r="Q42" s="255"/>
      <c r="R42" s="255"/>
      <c r="S42" s="255"/>
      <c r="T42" s="255"/>
      <c r="U42" s="255"/>
      <c r="V42" s="255"/>
      <c r="W42" s="255"/>
      <c r="X42" s="255"/>
      <c r="Y42" s="255"/>
      <c r="Z42" s="255"/>
      <c r="AA42" s="255"/>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c r="BP42" s="255"/>
      <c r="BQ42" s="255"/>
      <c r="BR42" s="255"/>
      <c r="BS42" s="255"/>
      <c r="BT42" s="255"/>
      <c r="BU42" s="255"/>
      <c r="BV42" s="255"/>
      <c r="BW42" s="255"/>
      <c r="BX42" s="255"/>
      <c r="BY42" s="255"/>
      <c r="BZ42" s="255"/>
      <c r="CA42" s="255"/>
      <c r="CB42" s="255"/>
      <c r="CC42" s="255"/>
      <c r="CD42" s="255"/>
      <c r="CE42" s="255"/>
      <c r="CF42" s="255"/>
      <c r="CG42" s="255"/>
      <c r="CH42" s="255"/>
      <c r="CI42" s="255"/>
      <c r="CJ42" s="255"/>
      <c r="CK42" s="255"/>
      <c r="CL42" s="255"/>
      <c r="CM42" s="255"/>
      <c r="CN42" s="255"/>
      <c r="CO42" s="255"/>
      <c r="CP42" s="255"/>
      <c r="CQ42" s="255"/>
      <c r="CR42" s="255"/>
      <c r="CS42" s="255"/>
      <c r="CT42" s="255"/>
      <c r="CU42" s="255"/>
      <c r="CV42" s="255"/>
      <c r="CW42" s="255"/>
      <c r="CX42" s="255"/>
      <c r="CY42" s="255"/>
      <c r="CZ42" s="255"/>
      <c r="DA42" s="255"/>
      <c r="DB42" s="255"/>
      <c r="DC42" s="255"/>
      <c r="DD42" s="255"/>
      <c r="DE42" s="255"/>
      <c r="DF42" s="255"/>
      <c r="DG42" s="255"/>
      <c r="DH42" s="255"/>
      <c r="DI42" s="255"/>
      <c r="DJ42" s="255"/>
      <c r="DK42" s="255"/>
      <c r="DL42" s="255"/>
      <c r="DM42" s="255"/>
      <c r="DN42" s="255"/>
      <c r="DO42" s="255"/>
      <c r="DP42" s="255"/>
      <c r="DQ42" s="255"/>
      <c r="DR42" s="255"/>
      <c r="DS42" s="255"/>
      <c r="DT42" s="255"/>
      <c r="DU42" s="255"/>
      <c r="DV42" s="255"/>
      <c r="DW42" s="255"/>
      <c r="DX42" s="255"/>
      <c r="DY42" s="255"/>
      <c r="DZ42" s="255"/>
      <c r="EA42" s="255"/>
      <c r="EB42" s="255"/>
      <c r="EC42" s="255"/>
      <c r="ED42" s="255"/>
      <c r="EE42" s="255"/>
      <c r="EF42" s="255"/>
      <c r="EG42" s="255"/>
      <c r="EH42" s="255"/>
      <c r="EI42" s="255"/>
      <c r="EJ42" s="255"/>
      <c r="EK42" s="255"/>
      <c r="EL42" s="255"/>
      <c r="EM42" s="255"/>
      <c r="EN42" s="255"/>
      <c r="EO42" s="255"/>
      <c r="EP42" s="255"/>
      <c r="EQ42" s="255"/>
      <c r="ER42" s="255"/>
      <c r="ES42" s="255"/>
      <c r="ET42" s="255"/>
      <c r="EU42" s="255"/>
      <c r="EV42" s="255"/>
      <c r="EW42" s="255"/>
      <c r="EX42" s="255"/>
      <c r="EY42" s="255"/>
      <c r="EZ42" s="255"/>
      <c r="FA42" s="255"/>
      <c r="FB42" s="255"/>
      <c r="FC42" s="255"/>
      <c r="FD42" s="255"/>
      <c r="FE42" s="255"/>
      <c r="FF42" s="255"/>
      <c r="FG42" s="255"/>
      <c r="FH42" s="255"/>
      <c r="FI42" s="255"/>
      <c r="FJ42" s="255"/>
      <c r="FK42" s="255"/>
      <c r="FL42" s="255"/>
      <c r="FM42" s="255"/>
      <c r="FN42" s="255"/>
      <c r="FO42" s="255"/>
      <c r="FP42" s="255"/>
      <c r="FQ42" s="255"/>
      <c r="FR42" s="255"/>
      <c r="FS42" s="255"/>
      <c r="FT42" s="255"/>
      <c r="FU42" s="255"/>
      <c r="FV42" s="255"/>
      <c r="FW42" s="255"/>
      <c r="FX42" s="255"/>
      <c r="FY42" s="255"/>
      <c r="FZ42" s="255"/>
      <c r="GA42" s="255"/>
      <c r="GB42" s="255"/>
      <c r="GC42" s="255"/>
      <c r="GD42" s="255"/>
      <c r="GE42" s="255"/>
      <c r="GF42" s="255"/>
      <c r="GG42" s="255"/>
      <c r="GH42" s="255"/>
      <c r="GI42" s="255"/>
      <c r="GJ42" s="255"/>
      <c r="GK42" s="255"/>
      <c r="GL42" s="255"/>
      <c r="GM42" s="255"/>
      <c r="GN42" s="255"/>
      <c r="GO42" s="255"/>
      <c r="GP42" s="255"/>
      <c r="GQ42" s="255"/>
      <c r="GR42" s="255"/>
      <c r="GS42" s="255"/>
      <c r="GT42" s="255"/>
      <c r="GU42" s="255"/>
      <c r="GV42" s="255"/>
      <c r="GW42" s="255"/>
      <c r="GX42" s="255"/>
      <c r="GY42" s="255"/>
      <c r="GZ42" s="255"/>
      <c r="HA42" s="255"/>
      <c r="HB42" s="255"/>
      <c r="HC42" s="255"/>
      <c r="HD42" s="255"/>
      <c r="HE42" s="255"/>
      <c r="HF42" s="255"/>
      <c r="HG42" s="255"/>
      <c r="HH42" s="255"/>
      <c r="HI42" s="255"/>
      <c r="HJ42" s="255"/>
      <c r="HK42" s="255"/>
      <c r="HL42" s="255"/>
      <c r="HM42" s="255"/>
      <c r="HN42" s="255"/>
      <c r="HO42" s="255"/>
      <c r="HP42" s="255"/>
      <c r="HQ42" s="255"/>
      <c r="HR42" s="255"/>
      <c r="HS42" s="255"/>
      <c r="HT42" s="255"/>
      <c r="HU42" s="255"/>
      <c r="HV42" s="255"/>
      <c r="HW42" s="255"/>
      <c r="HX42" s="255"/>
      <c r="HY42" s="255"/>
      <c r="HZ42" s="255"/>
      <c r="IA42" s="255"/>
      <c r="IB42" s="255"/>
      <c r="IC42" s="255"/>
      <c r="ID42" s="255"/>
      <c r="IE42" s="255"/>
      <c r="IF42" s="255"/>
      <c r="IG42" s="255"/>
      <c r="IH42" s="255"/>
      <c r="II42" s="255"/>
      <c r="IJ42" s="255"/>
      <c r="IK42" s="255"/>
      <c r="IL42" s="255"/>
      <c r="IM42" s="255"/>
      <c r="IN42" s="255"/>
      <c r="IO42" s="255"/>
      <c r="IP42" s="255"/>
      <c r="IQ42" s="255"/>
      <c r="IR42" s="255"/>
      <c r="IS42" s="255"/>
      <c r="IT42" s="255"/>
      <c r="IU42" s="255"/>
      <c r="IV42" s="255"/>
      <c r="IW42" s="255"/>
      <c r="IX42" s="255"/>
      <c r="IY42" s="255"/>
      <c r="IZ42" s="255"/>
      <c r="JA42" s="255"/>
      <c r="JB42" s="255"/>
      <c r="JC42" s="255"/>
      <c r="JD42" s="255"/>
      <c r="JE42" s="255"/>
      <c r="JF42" s="255"/>
      <c r="JG42" s="255"/>
      <c r="JH42" s="255"/>
      <c r="JI42" s="255"/>
      <c r="JJ42" s="255"/>
      <c r="JK42" s="255"/>
      <c r="JL42" s="255"/>
      <c r="JM42" s="255"/>
      <c r="JN42" s="255"/>
      <c r="JO42" s="255"/>
      <c r="JP42" s="255"/>
      <c r="JQ42" s="255"/>
      <c r="JR42" s="255"/>
      <c r="JS42" s="255"/>
      <c r="JT42" s="255"/>
      <c r="JU42" s="255"/>
      <c r="JV42" s="255"/>
      <c r="JW42" s="255"/>
      <c r="JX42" s="255"/>
      <c r="JY42" s="255"/>
      <c r="JZ42" s="255"/>
      <c r="KA42" s="255"/>
      <c r="KB42" s="255"/>
      <c r="KC42" s="255"/>
      <c r="KD42" s="255"/>
      <c r="KE42" s="255"/>
      <c r="KF42" s="255"/>
      <c r="KG42" s="255"/>
      <c r="KH42" s="255"/>
      <c r="KI42" s="255"/>
      <c r="KJ42" s="255"/>
      <c r="KK42" s="255"/>
      <c r="KL42" s="255"/>
      <c r="KM42" s="255"/>
      <c r="KN42" s="255"/>
      <c r="KO42" s="255"/>
      <c r="KP42" s="255"/>
      <c r="KQ42" s="255"/>
      <c r="KR42" s="255"/>
      <c r="KS42" s="255"/>
      <c r="KT42" s="255"/>
      <c r="KU42" s="255"/>
      <c r="KV42" s="255"/>
      <c r="KW42" s="255"/>
      <c r="KX42" s="255"/>
      <c r="KY42" s="255"/>
      <c r="KZ42" s="255"/>
      <c r="LA42" s="255"/>
      <c r="LB42" s="255"/>
      <c r="LC42" s="255"/>
      <c r="LD42" s="255"/>
      <c r="LE42" s="255"/>
      <c r="LF42" s="255"/>
      <c r="LG42" s="255"/>
      <c r="LH42" s="255"/>
      <c r="LI42" s="255"/>
      <c r="LJ42" s="255"/>
      <c r="LK42" s="255"/>
      <c r="LL42" s="255"/>
      <c r="LM42" s="255"/>
      <c r="LN42" s="255"/>
      <c r="LO42" s="255"/>
      <c r="LP42" s="255"/>
      <c r="LQ42" s="255"/>
      <c r="LR42" s="255"/>
      <c r="LS42" s="255"/>
      <c r="LT42" s="255"/>
      <c r="LU42" s="255"/>
      <c r="LV42" s="255"/>
      <c r="LW42" s="255"/>
      <c r="LX42" s="255"/>
      <c r="LY42" s="255"/>
      <c r="LZ42" s="255"/>
      <c r="MA42" s="255"/>
      <c r="MB42" s="255"/>
      <c r="MC42" s="255"/>
      <c r="MD42" s="255"/>
      <c r="ME42" s="255"/>
      <c r="MF42" s="255"/>
      <c r="MG42" s="255"/>
      <c r="MH42" s="255"/>
      <c r="MI42" s="255"/>
      <c r="MJ42" s="255"/>
      <c r="MK42" s="255"/>
      <c r="ML42" s="255"/>
      <c r="MM42" s="255"/>
      <c r="MN42" s="255"/>
      <c r="MO42" s="255"/>
      <c r="MP42" s="255"/>
      <c r="MQ42" s="255"/>
      <c r="MR42" s="255"/>
      <c r="MS42" s="255"/>
      <c r="MT42" s="255"/>
      <c r="MU42" s="255"/>
      <c r="MV42" s="255"/>
      <c r="MW42" s="255"/>
      <c r="MX42" s="255"/>
      <c r="MY42" s="255"/>
      <c r="MZ42" s="255"/>
      <c r="NA42" s="255"/>
      <c r="NB42" s="255"/>
      <c r="NC42" s="255"/>
      <c r="ND42" s="255"/>
      <c r="NE42" s="255"/>
      <c r="NF42" s="255"/>
      <c r="NG42" s="255"/>
      <c r="NH42" s="255"/>
      <c r="NI42" s="255"/>
      <c r="NJ42" s="255"/>
      <c r="NK42" s="255"/>
      <c r="NL42" s="255"/>
      <c r="NM42" s="255"/>
      <c r="NN42" s="255"/>
      <c r="NO42" s="255"/>
      <c r="NP42" s="255"/>
      <c r="NQ42" s="255"/>
      <c r="NR42" s="255"/>
      <c r="NS42" s="255"/>
      <c r="NT42" s="255"/>
      <c r="NU42" s="255"/>
      <c r="NV42" s="255"/>
      <c r="NW42" s="255"/>
      <c r="NX42" s="255"/>
      <c r="NY42" s="255"/>
      <c r="NZ42" s="255"/>
      <c r="OA42" s="255"/>
      <c r="OB42" s="255"/>
      <c r="OC42" s="255"/>
      <c r="OD42" s="255"/>
      <c r="OE42" s="255"/>
      <c r="OF42" s="255"/>
      <c r="OG42" s="255"/>
      <c r="OH42" s="255"/>
      <c r="OI42" s="255"/>
      <c r="OJ42" s="255"/>
      <c r="OK42" s="255"/>
      <c r="OL42" s="255"/>
      <c r="OM42" s="255"/>
      <c r="ON42" s="255"/>
      <c r="OO42" s="255"/>
      <c r="OP42" s="255"/>
      <c r="OQ42" s="255"/>
      <c r="OR42" s="255"/>
      <c r="OS42" s="255"/>
      <c r="OT42" s="255"/>
      <c r="OU42" s="255"/>
      <c r="OV42" s="255"/>
      <c r="OW42" s="255"/>
      <c r="OX42" s="255"/>
      <c r="OY42" s="255"/>
      <c r="OZ42" s="255"/>
      <c r="PA42" s="255"/>
      <c r="PB42" s="255"/>
      <c r="PC42" s="255"/>
      <c r="PD42" s="255"/>
      <c r="PE42" s="255"/>
      <c r="PF42" s="255"/>
      <c r="PG42" s="255"/>
      <c r="PH42" s="255"/>
      <c r="PI42" s="255"/>
      <c r="PJ42" s="255"/>
      <c r="PK42" s="255"/>
      <c r="PL42" s="255"/>
      <c r="PM42" s="255"/>
      <c r="PN42" s="255"/>
      <c r="PO42" s="255"/>
      <c r="PP42" s="255"/>
      <c r="PQ42" s="255"/>
      <c r="PR42" s="255"/>
      <c r="PS42" s="255"/>
      <c r="PT42" s="255"/>
      <c r="PU42" s="255"/>
      <c r="PV42" s="255"/>
      <c r="PW42" s="255"/>
      <c r="PX42" s="255"/>
      <c r="PY42" s="255"/>
      <c r="PZ42" s="255"/>
      <c r="QA42" s="255"/>
      <c r="QB42" s="255"/>
      <c r="QC42" s="255"/>
      <c r="QD42" s="255"/>
      <c r="QE42" s="255"/>
      <c r="QF42" s="255"/>
      <c r="QG42" s="255"/>
      <c r="QH42" s="255"/>
      <c r="QI42" s="255"/>
      <c r="QJ42" s="255"/>
      <c r="QK42" s="255"/>
      <c r="QL42" s="255"/>
      <c r="QM42" s="255"/>
      <c r="QN42" s="255"/>
      <c r="QO42" s="255"/>
      <c r="QP42" s="255"/>
      <c r="QQ42" s="255"/>
      <c r="QR42" s="255"/>
      <c r="QS42" s="255"/>
      <c r="QT42" s="255"/>
      <c r="QU42" s="255"/>
      <c r="QV42" s="255"/>
      <c r="QW42" s="255"/>
      <c r="QX42" s="255"/>
      <c r="QY42" s="255"/>
      <c r="QZ42" s="255"/>
      <c r="RA42" s="255"/>
      <c r="RB42" s="255"/>
      <c r="RC42" s="255"/>
      <c r="RD42" s="255"/>
      <c r="RE42" s="255"/>
      <c r="RF42" s="255"/>
      <c r="RG42" s="255"/>
      <c r="RH42" s="255"/>
      <c r="RI42" s="255"/>
      <c r="RJ42" s="255"/>
      <c r="RK42" s="255"/>
      <c r="RL42" s="255"/>
      <c r="RM42" s="255"/>
      <c r="RN42" s="255"/>
      <c r="RO42" s="255"/>
      <c r="RP42" s="255"/>
      <c r="RQ42" s="255"/>
      <c r="RR42" s="255"/>
      <c r="RS42" s="255"/>
      <c r="RT42" s="255"/>
      <c r="RU42" s="255"/>
      <c r="RV42" s="255"/>
      <c r="RW42" s="255"/>
      <c r="RX42" s="255"/>
      <c r="RY42" s="255"/>
      <c r="RZ42" s="255"/>
      <c r="SA42" s="255"/>
      <c r="SB42" s="255"/>
      <c r="SC42" s="255"/>
      <c r="SD42" s="255"/>
      <c r="SE42" s="255"/>
      <c r="SF42" s="255"/>
      <c r="SG42" s="255"/>
      <c r="SH42" s="255"/>
      <c r="SI42" s="255"/>
      <c r="SJ42" s="255"/>
      <c r="SK42" s="255"/>
      <c r="SL42" s="255"/>
      <c r="SM42" s="255"/>
      <c r="SN42" s="255"/>
      <c r="SO42" s="255"/>
      <c r="SP42" s="255"/>
      <c r="SQ42" s="255"/>
      <c r="SR42" s="255"/>
      <c r="SS42" s="255"/>
      <c r="ST42" s="255"/>
      <c r="SU42" s="255"/>
      <c r="SV42" s="255"/>
      <c r="SW42" s="255"/>
      <c r="SX42" s="255"/>
      <c r="SY42" s="255"/>
      <c r="SZ42" s="255"/>
      <c r="TA42" s="255"/>
      <c r="TB42" s="255"/>
      <c r="TC42" s="255"/>
      <c r="TD42" s="255"/>
      <c r="TE42" s="255"/>
      <c r="TF42" s="255"/>
      <c r="TG42" s="255"/>
      <c r="TH42" s="255"/>
      <c r="TI42" s="255"/>
      <c r="TJ42" s="255"/>
      <c r="TK42" s="255"/>
      <c r="TL42" s="255"/>
      <c r="TM42" s="255"/>
      <c r="TN42" s="255"/>
      <c r="TO42" s="255"/>
      <c r="TP42" s="255"/>
      <c r="TQ42" s="255"/>
      <c r="TR42" s="255"/>
      <c r="TS42" s="255"/>
      <c r="TT42" s="255"/>
      <c r="TU42" s="255"/>
      <c r="TV42" s="255"/>
      <c r="TW42" s="255"/>
      <c r="TX42" s="255"/>
      <c r="TY42" s="255"/>
      <c r="TZ42" s="255"/>
      <c r="UA42" s="255"/>
      <c r="UB42" s="255"/>
      <c r="UC42" s="255"/>
      <c r="UD42" s="255"/>
      <c r="UE42" s="255"/>
      <c r="UF42" s="255"/>
      <c r="UG42" s="255"/>
      <c r="UH42" s="255"/>
      <c r="UI42" s="255"/>
      <c r="UJ42" s="255"/>
      <c r="UK42" s="255"/>
      <c r="UL42" s="255"/>
      <c r="UM42" s="255"/>
      <c r="UN42" s="255"/>
      <c r="UO42" s="255"/>
      <c r="UP42" s="255"/>
      <c r="UQ42" s="255"/>
      <c r="UR42" s="255"/>
      <c r="US42" s="255"/>
      <c r="UT42" s="255"/>
      <c r="UU42" s="255"/>
      <c r="UV42" s="255"/>
      <c r="UW42" s="255"/>
      <c r="UX42" s="255"/>
      <c r="UY42" s="255"/>
      <c r="UZ42" s="255"/>
      <c r="VA42" s="255"/>
      <c r="VB42" s="255"/>
      <c r="VC42" s="255"/>
      <c r="VD42" s="255"/>
      <c r="VE42" s="255"/>
      <c r="VF42" s="255"/>
      <c r="VG42" s="255"/>
      <c r="VH42" s="255"/>
      <c r="VI42" s="255"/>
      <c r="VJ42" s="255"/>
      <c r="VK42" s="255"/>
      <c r="VL42" s="255"/>
      <c r="VM42" s="255"/>
      <c r="VN42" s="255"/>
      <c r="VO42" s="255"/>
      <c r="VP42" s="255"/>
      <c r="VQ42" s="255"/>
      <c r="VR42" s="255"/>
      <c r="VS42" s="255"/>
      <c r="VT42" s="255"/>
      <c r="VU42" s="255"/>
      <c r="VV42" s="255"/>
      <c r="VW42" s="255"/>
      <c r="VX42" s="255"/>
      <c r="VY42" s="255"/>
      <c r="VZ42" s="255"/>
      <c r="WA42" s="255"/>
      <c r="WB42" s="255"/>
      <c r="WC42" s="255"/>
      <c r="WD42" s="255"/>
      <c r="WE42" s="255"/>
      <c r="WF42" s="255"/>
      <c r="WG42" s="255"/>
      <c r="WH42" s="255"/>
      <c r="WI42" s="255"/>
      <c r="WJ42" s="255"/>
      <c r="WK42" s="255"/>
      <c r="WL42" s="255"/>
      <c r="WM42" s="255"/>
      <c r="WN42" s="255"/>
      <c r="WO42" s="255"/>
      <c r="WP42" s="255"/>
      <c r="WQ42" s="255"/>
      <c r="WR42" s="255"/>
      <c r="WS42" s="255"/>
      <c r="WT42" s="255"/>
      <c r="WU42" s="255"/>
      <c r="WV42" s="255"/>
      <c r="WW42" s="255"/>
      <c r="WX42" s="255"/>
      <c r="WY42" s="255"/>
      <c r="WZ42" s="255"/>
      <c r="XA42" s="255"/>
      <c r="XB42" s="255"/>
      <c r="XC42" s="255"/>
      <c r="XD42" s="255"/>
      <c r="XE42" s="255"/>
      <c r="XF42" s="255"/>
      <c r="XG42" s="255"/>
      <c r="XH42" s="255"/>
      <c r="XI42" s="255"/>
      <c r="XJ42" s="255"/>
      <c r="XK42" s="255"/>
      <c r="XL42" s="255"/>
      <c r="XM42" s="255"/>
      <c r="XN42" s="255"/>
      <c r="XO42" s="255"/>
      <c r="XP42" s="255"/>
      <c r="XQ42" s="255"/>
      <c r="XR42" s="255"/>
      <c r="XS42" s="255"/>
      <c r="XT42" s="255"/>
      <c r="XU42" s="255"/>
      <c r="XV42" s="255"/>
      <c r="XW42" s="255"/>
      <c r="XX42" s="255"/>
      <c r="XY42" s="255"/>
      <c r="XZ42" s="255"/>
      <c r="YA42" s="255"/>
      <c r="YB42" s="255"/>
      <c r="YC42" s="255"/>
      <c r="YD42" s="255"/>
      <c r="YE42" s="255"/>
      <c r="YF42" s="255"/>
      <c r="YG42" s="255"/>
      <c r="YH42" s="255"/>
      <c r="YI42" s="255"/>
      <c r="YJ42" s="255"/>
      <c r="YK42" s="255"/>
      <c r="YL42" s="255"/>
      <c r="YM42" s="255"/>
      <c r="YN42" s="255"/>
      <c r="YO42" s="255"/>
      <c r="YP42" s="255"/>
      <c r="YQ42" s="255"/>
      <c r="YR42" s="255"/>
      <c r="YS42" s="255"/>
      <c r="YT42" s="255"/>
      <c r="YU42" s="255"/>
      <c r="YV42" s="255"/>
      <c r="YW42" s="255"/>
      <c r="YX42" s="255"/>
      <c r="YY42" s="255"/>
      <c r="YZ42" s="255"/>
      <c r="ZA42" s="255"/>
      <c r="ZB42" s="255"/>
      <c r="ZC42" s="255"/>
      <c r="ZD42" s="255"/>
      <c r="ZE42" s="255"/>
      <c r="ZF42" s="255"/>
      <c r="ZG42" s="255"/>
      <c r="ZH42" s="255"/>
      <c r="ZI42" s="255"/>
      <c r="ZJ42" s="255"/>
      <c r="ZK42" s="255"/>
      <c r="ZL42" s="255"/>
      <c r="ZM42" s="255"/>
      <c r="ZN42" s="255"/>
      <c r="ZO42" s="255"/>
      <c r="ZP42" s="255"/>
      <c r="ZQ42" s="255"/>
      <c r="ZR42" s="255"/>
      <c r="ZS42" s="255"/>
      <c r="ZT42" s="255"/>
      <c r="ZU42" s="255"/>
      <c r="ZV42" s="255"/>
      <c r="ZW42" s="255"/>
      <c r="ZX42" s="255"/>
      <c r="ZY42" s="255"/>
      <c r="ZZ42" s="255"/>
      <c r="AAA42" s="255"/>
      <c r="AAB42" s="255"/>
      <c r="AAC42" s="255"/>
      <c r="AAD42" s="255"/>
      <c r="AAE42" s="255"/>
      <c r="AAF42" s="255"/>
      <c r="AAG42" s="255"/>
      <c r="AAH42" s="255"/>
      <c r="AAI42" s="255"/>
      <c r="AAJ42" s="255"/>
      <c r="AAK42" s="255"/>
      <c r="AAL42" s="255"/>
      <c r="AAM42" s="255"/>
      <c r="AAN42" s="255"/>
      <c r="AAO42" s="255"/>
      <c r="AAP42" s="255"/>
      <c r="AAQ42" s="255"/>
      <c r="AAR42" s="255"/>
      <c r="AAS42" s="255"/>
      <c r="AAT42" s="255"/>
      <c r="AAU42" s="255"/>
      <c r="AAV42" s="255"/>
      <c r="AAW42" s="255"/>
      <c r="AAX42" s="255"/>
      <c r="AAY42" s="255"/>
      <c r="AAZ42" s="255"/>
      <c r="ABA42" s="255"/>
      <c r="ABB42" s="255"/>
      <c r="ABC42" s="255"/>
      <c r="ABD42" s="255"/>
      <c r="ABE42" s="255"/>
      <c r="ABF42" s="255"/>
      <c r="ABG42" s="255"/>
      <c r="ABH42" s="255"/>
      <c r="ABI42" s="255"/>
      <c r="ABJ42" s="255"/>
      <c r="ABK42" s="255"/>
      <c r="ABL42" s="255"/>
      <c r="ABM42" s="255"/>
      <c r="ABN42" s="255"/>
      <c r="ABO42" s="255"/>
      <c r="ABP42" s="255"/>
      <c r="ABQ42" s="255"/>
      <c r="ABR42" s="255"/>
      <c r="ABS42" s="255"/>
      <c r="ABT42" s="255"/>
      <c r="ABU42" s="255"/>
      <c r="ABV42" s="255"/>
      <c r="ABW42" s="255"/>
      <c r="ABX42" s="255"/>
      <c r="ABY42" s="255"/>
      <c r="ABZ42" s="255"/>
      <c r="ACA42" s="255"/>
      <c r="ACB42" s="255"/>
      <c r="ACC42" s="255"/>
      <c r="ACD42" s="255"/>
      <c r="ACE42" s="255"/>
      <c r="ACF42" s="255"/>
      <c r="ACG42" s="255"/>
      <c r="ACH42" s="255"/>
      <c r="ACI42" s="255"/>
      <c r="ACJ42" s="255"/>
      <c r="ACK42" s="255"/>
      <c r="ACL42" s="255"/>
      <c r="ACM42" s="255"/>
      <c r="ACN42" s="255"/>
      <c r="ACO42" s="255"/>
      <c r="ACP42" s="255"/>
      <c r="ACQ42" s="255"/>
      <c r="ACR42" s="255"/>
      <c r="ACS42" s="255"/>
      <c r="ACT42" s="255"/>
      <c r="ACU42" s="255"/>
      <c r="ACV42" s="255"/>
      <c r="ACW42" s="255"/>
      <c r="ACX42" s="255"/>
      <c r="ACY42" s="255"/>
      <c r="ACZ42" s="255"/>
      <c r="ADA42" s="255"/>
      <c r="ADB42" s="255"/>
      <c r="ADC42" s="255"/>
      <c r="ADD42" s="255"/>
      <c r="ADE42" s="255"/>
      <c r="ADF42" s="255"/>
      <c r="ADG42" s="255"/>
      <c r="ADH42" s="255"/>
      <c r="ADI42" s="255"/>
      <c r="ADJ42" s="255"/>
      <c r="ADK42" s="255"/>
      <c r="ADL42" s="255"/>
      <c r="ADM42" s="255"/>
      <c r="ADN42" s="255"/>
      <c r="ADO42" s="255"/>
      <c r="ADP42" s="255"/>
      <c r="ADQ42" s="255"/>
      <c r="ADR42" s="255"/>
      <c r="ADS42" s="255"/>
      <c r="ADT42" s="255"/>
      <c r="ADU42" s="255"/>
      <c r="ADV42" s="255"/>
      <c r="ADW42" s="255"/>
      <c r="ADX42" s="255"/>
      <c r="ADY42" s="255"/>
      <c r="ADZ42" s="255"/>
      <c r="AEA42" s="255"/>
      <c r="AEB42" s="255"/>
      <c r="AEC42" s="255"/>
      <c r="AED42" s="255"/>
      <c r="AEE42" s="255"/>
      <c r="AEF42" s="255"/>
      <c r="AEG42" s="255"/>
      <c r="AEH42" s="255"/>
      <c r="AEI42" s="255"/>
      <c r="AEJ42" s="255"/>
      <c r="AEK42" s="255"/>
      <c r="AEL42" s="255"/>
      <c r="AEM42" s="255"/>
      <c r="AEN42" s="255"/>
      <c r="AEO42" s="255"/>
      <c r="AEP42" s="255"/>
      <c r="AEQ42" s="255"/>
      <c r="AER42" s="255"/>
      <c r="AES42" s="255"/>
      <c r="AET42" s="255"/>
      <c r="AEU42" s="255"/>
      <c r="AEV42" s="255"/>
      <c r="AEW42" s="255"/>
      <c r="AEX42" s="255"/>
      <c r="AEY42" s="255"/>
      <c r="AEZ42" s="255"/>
      <c r="AFA42" s="255"/>
      <c r="AFB42" s="255"/>
      <c r="AFC42" s="255"/>
      <c r="AFD42" s="255"/>
      <c r="AFE42" s="255"/>
      <c r="AFF42" s="255"/>
      <c r="AFG42" s="255"/>
      <c r="AFH42" s="255"/>
      <c r="AFI42" s="255"/>
      <c r="AFJ42" s="255"/>
      <c r="AFK42" s="255"/>
      <c r="AFL42" s="255"/>
      <c r="AFM42" s="255"/>
      <c r="AFN42" s="255"/>
      <c r="AFO42" s="255"/>
      <c r="AFP42" s="255"/>
      <c r="AFQ42" s="255"/>
      <c r="AFR42" s="255"/>
      <c r="AFS42" s="255"/>
      <c r="AFT42" s="255"/>
      <c r="AFU42" s="255"/>
      <c r="AFV42" s="255"/>
      <c r="AFW42" s="255"/>
      <c r="AFX42" s="255"/>
      <c r="AFY42" s="255"/>
      <c r="AFZ42" s="255"/>
      <c r="AGA42" s="255"/>
      <c r="AGB42" s="255"/>
      <c r="AGC42" s="255"/>
      <c r="AGD42" s="255"/>
      <c r="AGE42" s="255"/>
      <c r="AGF42" s="255"/>
      <c r="AGG42" s="255"/>
      <c r="AGH42" s="255"/>
      <c r="AGI42" s="255"/>
      <c r="AGJ42" s="255"/>
      <c r="AGK42" s="255"/>
      <c r="AGL42" s="255"/>
      <c r="AGM42" s="255"/>
      <c r="AGN42" s="255"/>
      <c r="AGO42" s="255"/>
      <c r="AGP42" s="255"/>
      <c r="AGQ42" s="255"/>
      <c r="AGR42" s="255"/>
      <c r="AGS42" s="255"/>
      <c r="AGT42" s="255"/>
      <c r="AGU42" s="255"/>
      <c r="AGV42" s="255"/>
      <c r="AGW42" s="255"/>
      <c r="AGX42" s="255"/>
      <c r="AGY42" s="255"/>
      <c r="AGZ42" s="255"/>
      <c r="AHA42" s="255"/>
      <c r="AHB42" s="255"/>
      <c r="AHC42" s="255"/>
      <c r="AHD42" s="255"/>
      <c r="AHE42" s="255"/>
      <c r="AHF42" s="255"/>
      <c r="AHG42" s="255"/>
      <c r="AHH42" s="255"/>
      <c r="AHI42" s="255"/>
      <c r="AHJ42" s="255"/>
      <c r="AHK42" s="255"/>
      <c r="AHL42" s="255"/>
      <c r="AHM42" s="255"/>
      <c r="AHN42" s="255"/>
      <c r="AHO42" s="255"/>
      <c r="AHP42" s="255"/>
      <c r="AHQ42" s="255"/>
      <c r="AHR42" s="255"/>
      <c r="AHS42" s="255"/>
      <c r="AHT42" s="255"/>
      <c r="AHU42" s="255"/>
      <c r="AHV42" s="255"/>
      <c r="AHW42" s="255"/>
      <c r="AHX42" s="255"/>
      <c r="AHY42" s="255"/>
      <c r="AHZ42" s="255"/>
      <c r="AIA42" s="255"/>
      <c r="AIB42" s="255"/>
      <c r="AIC42" s="255"/>
      <c r="AID42" s="255"/>
      <c r="AIE42" s="255"/>
      <c r="AIF42" s="255"/>
      <c r="AIG42" s="255"/>
      <c r="AIH42" s="255"/>
      <c r="AII42" s="255"/>
      <c r="AIJ42" s="255"/>
      <c r="AIK42" s="255"/>
      <c r="AIL42" s="255"/>
      <c r="AIM42" s="255"/>
      <c r="AIN42" s="255"/>
      <c r="AIO42" s="255"/>
      <c r="AIP42" s="255"/>
      <c r="AIQ42" s="255"/>
      <c r="AIR42" s="255"/>
      <c r="AIS42" s="255"/>
      <c r="AIT42" s="255"/>
      <c r="AIU42" s="255"/>
      <c r="AIV42" s="255"/>
      <c r="AIW42" s="255"/>
      <c r="AIX42" s="255"/>
      <c r="AIY42" s="255"/>
      <c r="AIZ42" s="255"/>
      <c r="AJA42" s="255"/>
      <c r="AJB42" s="255"/>
      <c r="AJC42" s="255"/>
      <c r="AJD42" s="255"/>
      <c r="AJE42" s="255"/>
      <c r="AJF42" s="255"/>
      <c r="AJG42" s="255"/>
      <c r="AJH42" s="255"/>
      <c r="AJI42" s="255"/>
      <c r="AJJ42" s="255"/>
      <c r="AJK42" s="255"/>
      <c r="AJL42" s="255"/>
      <c r="AJM42" s="255"/>
      <c r="AJN42" s="255"/>
      <c r="AJO42" s="255"/>
      <c r="AJP42" s="255"/>
      <c r="AJQ42" s="255"/>
      <c r="AJR42" s="255"/>
      <c r="AJS42" s="255"/>
      <c r="AJT42" s="255"/>
      <c r="AJU42" s="255"/>
      <c r="AJV42" s="255"/>
      <c r="AJW42" s="255"/>
      <c r="AJX42" s="255"/>
      <c r="AJY42" s="255"/>
      <c r="AJZ42" s="255"/>
      <c r="AKA42" s="255"/>
      <c r="AKB42" s="255"/>
      <c r="AKC42" s="255"/>
      <c r="AKD42" s="255"/>
      <c r="AKE42" s="255"/>
      <c r="AKF42" s="255"/>
      <c r="AKG42" s="255"/>
      <c r="AKH42" s="255"/>
      <c r="AKI42" s="255"/>
      <c r="AKJ42" s="255"/>
      <c r="AKK42" s="255"/>
      <c r="AKL42" s="255"/>
      <c r="AKM42" s="255"/>
      <c r="AKN42" s="255"/>
      <c r="AKO42" s="255"/>
      <c r="AKP42" s="255"/>
      <c r="AKQ42" s="255"/>
      <c r="AKR42" s="255"/>
      <c r="AKS42" s="255"/>
      <c r="AKT42" s="255"/>
      <c r="AKU42" s="255"/>
      <c r="AKV42" s="255"/>
      <c r="AKW42" s="255"/>
      <c r="AKX42" s="255"/>
      <c r="AKY42" s="255"/>
      <c r="AKZ42" s="255"/>
      <c r="ALA42" s="255"/>
      <c r="ALB42" s="255"/>
      <c r="ALC42" s="255"/>
      <c r="ALD42" s="255"/>
      <c r="ALE42" s="255"/>
      <c r="ALF42" s="255"/>
      <c r="ALG42" s="255"/>
      <c r="ALH42" s="255"/>
      <c r="ALI42" s="255"/>
      <c r="ALJ42" s="255"/>
      <c r="ALK42" s="255"/>
      <c r="ALL42" s="42"/>
      <c r="ALM42" s="42"/>
      <c r="ALN42" s="42"/>
      <c r="ALO42" s="42"/>
      <c r="ALP42" s="42"/>
      <c r="ALQ42" s="42"/>
      <c r="ALR42" s="42"/>
      <c r="ALS42" s="42"/>
      <c r="ALT42" s="42"/>
    </row>
    <row r="43" spans="1:1008" s="191" customFormat="1" ht="24">
      <c r="A43" s="251" t="s">
        <v>7</v>
      </c>
      <c r="B43" s="328">
        <v>94964</v>
      </c>
      <c r="C43" s="329" t="str">
        <f>(IF($A43="SINAPI",INDEX(SINAPI_NOV2020_NDES!$A$7:$H$6703,MATCH($B43,SINAPI_NOV2020_NDES!$A$7:$A$6703,0),2),IF($A43="GOINFRA",INDEX(#REF!,MATCH($B43,#REF!,0),2),(INDEX(COMPOS!$A$4:$G$390,MATCH($B43,COMPOS!$A$4:A$390,0),2)))))</f>
        <v>CONCRETO FCK = 20MPA, TRAÇO 1:2,7:3 (CIMENTO/ AREIA MÉDIA/ BRITA 1)  - PREPARO MECÂNICO COM BETONEIRA 400 L. AF_07/2016</v>
      </c>
      <c r="D43" s="274" t="str">
        <f>(IF($A43="SINAPI",INDEX(SINAPI_NOV2020_NDES!$A$7:$H$6790,MATCH($B43,SINAPI_NOV2020_NDES!$A$7:$A$6790,0),3),(INDEX(COMPOS!$A$4:$G$5000,MATCH($B43,COMPOS!$A$4:$A$5000,0),3))))</f>
        <v>M3</v>
      </c>
      <c r="E43" s="276">
        <v>2.09</v>
      </c>
      <c r="F43" s="279">
        <f>(IF($A43="SINAPI",INDEX(SINAPI_NOV2020_NDES!$A$7:$H$6703,MATCH($B43,SINAPI_NOV2020_NDES!$A$7:$A$6703,0),5),(INDEX(COMPOS!$A$4:$G$801,MATCH($B43,COMPOS!$A$4:A$801,0),4))))</f>
        <v>59.69</v>
      </c>
      <c r="G43" s="280">
        <f>(IF($A43="SINAPI",INDEX(SINAPI_NOV2020_NDES!$A$7:$H$6703,MATCH($B43,SINAPI_NOV2020_NDES!$A$7:$A$6703,0),6),(INDEX(COMPOS!$A$4:$G$801,MATCH($B43,COMPOS!$A$4:A$801,0),5))))</f>
        <v>311.7</v>
      </c>
      <c r="H43" s="280">
        <f>(IF($A43="SINAPI",INDEX(SINAPI_NOV2020_NDES!$A$7:$H$6703,MATCH($B43,SINAPI_NOV2020_NDES!$A$7:$A$6703,0),7),(INDEX(COMPOS!$A$4:$G$801,MATCH($B43,COMPOS!$A$4:A$801,0),6))))</f>
        <v>0.56999999999999995</v>
      </c>
      <c r="I43" s="279">
        <f t="shared" si="14"/>
        <v>371.96</v>
      </c>
      <c r="J43" s="276">
        <f t="shared" si="15"/>
        <v>777.39639999999986</v>
      </c>
      <c r="K43" s="255"/>
      <c r="L43" s="255"/>
      <c r="M43" s="255"/>
      <c r="N43" s="255"/>
      <c r="O43" s="257"/>
      <c r="P43" s="223"/>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255"/>
      <c r="BK43" s="255"/>
      <c r="BL43" s="255"/>
      <c r="BM43" s="255"/>
      <c r="BN43" s="255"/>
      <c r="BO43" s="255"/>
      <c r="BP43" s="255"/>
      <c r="BQ43" s="255"/>
      <c r="BR43" s="255"/>
      <c r="BS43" s="255"/>
      <c r="BT43" s="255"/>
      <c r="BU43" s="255"/>
      <c r="BV43" s="255"/>
      <c r="BW43" s="255"/>
      <c r="BX43" s="255"/>
      <c r="BY43" s="255"/>
      <c r="BZ43" s="255"/>
      <c r="CA43" s="255"/>
      <c r="CB43" s="255"/>
      <c r="CC43" s="255"/>
      <c r="CD43" s="255"/>
      <c r="CE43" s="255"/>
      <c r="CF43" s="255"/>
      <c r="CG43" s="255"/>
      <c r="CH43" s="255"/>
      <c r="CI43" s="255"/>
      <c r="CJ43" s="255"/>
      <c r="CK43" s="255"/>
      <c r="CL43" s="255"/>
      <c r="CM43" s="255"/>
      <c r="CN43" s="255"/>
      <c r="CO43" s="255"/>
      <c r="CP43" s="255"/>
      <c r="CQ43" s="255"/>
      <c r="CR43" s="255"/>
      <c r="CS43" s="255"/>
      <c r="CT43" s="255"/>
      <c r="CU43" s="255"/>
      <c r="CV43" s="255"/>
      <c r="CW43" s="255"/>
      <c r="CX43" s="255"/>
      <c r="CY43" s="255"/>
      <c r="CZ43" s="255"/>
      <c r="DA43" s="255"/>
      <c r="DB43" s="255"/>
      <c r="DC43" s="255"/>
      <c r="DD43" s="255"/>
      <c r="DE43" s="255"/>
      <c r="DF43" s="255"/>
      <c r="DG43" s="255"/>
      <c r="DH43" s="255"/>
      <c r="DI43" s="255"/>
      <c r="DJ43" s="255"/>
      <c r="DK43" s="255"/>
      <c r="DL43" s="255"/>
      <c r="DM43" s="255"/>
      <c r="DN43" s="255"/>
      <c r="DO43" s="255"/>
      <c r="DP43" s="255"/>
      <c r="DQ43" s="255"/>
      <c r="DR43" s="255"/>
      <c r="DS43" s="255"/>
      <c r="DT43" s="255"/>
      <c r="DU43" s="255"/>
      <c r="DV43" s="255"/>
      <c r="DW43" s="255"/>
      <c r="DX43" s="255"/>
      <c r="DY43" s="255"/>
      <c r="DZ43" s="255"/>
      <c r="EA43" s="255"/>
      <c r="EB43" s="255"/>
      <c r="EC43" s="255"/>
      <c r="ED43" s="255"/>
      <c r="EE43" s="255"/>
      <c r="EF43" s="255"/>
      <c r="EG43" s="255"/>
      <c r="EH43" s="255"/>
      <c r="EI43" s="255"/>
      <c r="EJ43" s="255"/>
      <c r="EK43" s="255"/>
      <c r="EL43" s="255"/>
      <c r="EM43" s="255"/>
      <c r="EN43" s="255"/>
      <c r="EO43" s="255"/>
      <c r="EP43" s="255"/>
      <c r="EQ43" s="255"/>
      <c r="ER43" s="255"/>
      <c r="ES43" s="255"/>
      <c r="ET43" s="255"/>
      <c r="EU43" s="255"/>
      <c r="EV43" s="255"/>
      <c r="EW43" s="255"/>
      <c r="EX43" s="255"/>
      <c r="EY43" s="255"/>
      <c r="EZ43" s="255"/>
      <c r="FA43" s="255"/>
      <c r="FB43" s="255"/>
      <c r="FC43" s="255"/>
      <c r="FD43" s="255"/>
      <c r="FE43" s="255"/>
      <c r="FF43" s="255"/>
      <c r="FG43" s="255"/>
      <c r="FH43" s="255"/>
      <c r="FI43" s="255"/>
      <c r="FJ43" s="255"/>
      <c r="FK43" s="255"/>
      <c r="FL43" s="255"/>
      <c r="FM43" s="255"/>
      <c r="FN43" s="255"/>
      <c r="FO43" s="255"/>
      <c r="FP43" s="255"/>
      <c r="FQ43" s="255"/>
      <c r="FR43" s="255"/>
      <c r="FS43" s="255"/>
      <c r="FT43" s="255"/>
      <c r="FU43" s="255"/>
      <c r="FV43" s="255"/>
      <c r="FW43" s="255"/>
      <c r="FX43" s="255"/>
      <c r="FY43" s="255"/>
      <c r="FZ43" s="255"/>
      <c r="GA43" s="255"/>
      <c r="GB43" s="255"/>
      <c r="GC43" s="255"/>
      <c r="GD43" s="255"/>
      <c r="GE43" s="255"/>
      <c r="GF43" s="255"/>
      <c r="GG43" s="255"/>
      <c r="GH43" s="255"/>
      <c r="GI43" s="255"/>
      <c r="GJ43" s="255"/>
      <c r="GK43" s="255"/>
      <c r="GL43" s="255"/>
      <c r="GM43" s="255"/>
      <c r="GN43" s="255"/>
      <c r="GO43" s="255"/>
      <c r="GP43" s="255"/>
      <c r="GQ43" s="255"/>
      <c r="GR43" s="255"/>
      <c r="GS43" s="255"/>
      <c r="GT43" s="255"/>
      <c r="GU43" s="255"/>
      <c r="GV43" s="255"/>
      <c r="GW43" s="255"/>
      <c r="GX43" s="255"/>
      <c r="GY43" s="255"/>
      <c r="GZ43" s="255"/>
      <c r="HA43" s="255"/>
      <c r="HB43" s="255"/>
      <c r="HC43" s="255"/>
      <c r="HD43" s="255"/>
      <c r="HE43" s="255"/>
      <c r="HF43" s="255"/>
      <c r="HG43" s="255"/>
      <c r="HH43" s="255"/>
      <c r="HI43" s="255"/>
      <c r="HJ43" s="255"/>
      <c r="HK43" s="255"/>
      <c r="HL43" s="255"/>
      <c r="HM43" s="255"/>
      <c r="HN43" s="255"/>
      <c r="HO43" s="255"/>
      <c r="HP43" s="255"/>
      <c r="HQ43" s="255"/>
      <c r="HR43" s="255"/>
      <c r="HS43" s="255"/>
      <c r="HT43" s="255"/>
      <c r="HU43" s="255"/>
      <c r="HV43" s="255"/>
      <c r="HW43" s="255"/>
      <c r="HX43" s="255"/>
      <c r="HY43" s="255"/>
      <c r="HZ43" s="255"/>
      <c r="IA43" s="255"/>
      <c r="IB43" s="255"/>
      <c r="IC43" s="255"/>
      <c r="ID43" s="255"/>
      <c r="IE43" s="255"/>
      <c r="IF43" s="255"/>
      <c r="IG43" s="255"/>
      <c r="IH43" s="255"/>
      <c r="II43" s="255"/>
      <c r="IJ43" s="255"/>
      <c r="IK43" s="255"/>
      <c r="IL43" s="255"/>
      <c r="IM43" s="255"/>
      <c r="IN43" s="255"/>
      <c r="IO43" s="255"/>
      <c r="IP43" s="255"/>
      <c r="IQ43" s="255"/>
      <c r="IR43" s="255"/>
      <c r="IS43" s="255"/>
      <c r="IT43" s="255"/>
      <c r="IU43" s="255"/>
      <c r="IV43" s="255"/>
      <c r="IW43" s="255"/>
      <c r="IX43" s="255"/>
      <c r="IY43" s="255"/>
      <c r="IZ43" s="255"/>
      <c r="JA43" s="255"/>
      <c r="JB43" s="255"/>
      <c r="JC43" s="255"/>
      <c r="JD43" s="255"/>
      <c r="JE43" s="255"/>
      <c r="JF43" s="255"/>
      <c r="JG43" s="255"/>
      <c r="JH43" s="255"/>
      <c r="JI43" s="255"/>
      <c r="JJ43" s="255"/>
      <c r="JK43" s="255"/>
      <c r="JL43" s="255"/>
      <c r="JM43" s="255"/>
      <c r="JN43" s="255"/>
      <c r="JO43" s="255"/>
      <c r="JP43" s="255"/>
      <c r="JQ43" s="255"/>
      <c r="JR43" s="255"/>
      <c r="JS43" s="255"/>
      <c r="JT43" s="255"/>
      <c r="JU43" s="255"/>
      <c r="JV43" s="255"/>
      <c r="JW43" s="255"/>
      <c r="JX43" s="255"/>
      <c r="JY43" s="255"/>
      <c r="JZ43" s="255"/>
      <c r="KA43" s="255"/>
      <c r="KB43" s="255"/>
      <c r="KC43" s="255"/>
      <c r="KD43" s="255"/>
      <c r="KE43" s="255"/>
      <c r="KF43" s="255"/>
      <c r="KG43" s="255"/>
      <c r="KH43" s="255"/>
      <c r="KI43" s="255"/>
      <c r="KJ43" s="255"/>
      <c r="KK43" s="255"/>
      <c r="KL43" s="255"/>
      <c r="KM43" s="255"/>
      <c r="KN43" s="255"/>
      <c r="KO43" s="255"/>
      <c r="KP43" s="255"/>
      <c r="KQ43" s="255"/>
      <c r="KR43" s="255"/>
      <c r="KS43" s="255"/>
      <c r="KT43" s="255"/>
      <c r="KU43" s="255"/>
      <c r="KV43" s="255"/>
      <c r="KW43" s="255"/>
      <c r="KX43" s="255"/>
      <c r="KY43" s="255"/>
      <c r="KZ43" s="255"/>
      <c r="LA43" s="255"/>
      <c r="LB43" s="255"/>
      <c r="LC43" s="255"/>
      <c r="LD43" s="255"/>
      <c r="LE43" s="255"/>
      <c r="LF43" s="255"/>
      <c r="LG43" s="255"/>
      <c r="LH43" s="255"/>
      <c r="LI43" s="255"/>
      <c r="LJ43" s="255"/>
      <c r="LK43" s="255"/>
      <c r="LL43" s="255"/>
      <c r="LM43" s="255"/>
      <c r="LN43" s="255"/>
      <c r="LO43" s="255"/>
      <c r="LP43" s="255"/>
      <c r="LQ43" s="255"/>
      <c r="LR43" s="255"/>
      <c r="LS43" s="255"/>
      <c r="LT43" s="255"/>
      <c r="LU43" s="255"/>
      <c r="LV43" s="255"/>
      <c r="LW43" s="255"/>
      <c r="LX43" s="255"/>
      <c r="LY43" s="255"/>
      <c r="LZ43" s="255"/>
      <c r="MA43" s="255"/>
      <c r="MB43" s="255"/>
      <c r="MC43" s="255"/>
      <c r="MD43" s="255"/>
      <c r="ME43" s="255"/>
      <c r="MF43" s="255"/>
      <c r="MG43" s="255"/>
      <c r="MH43" s="255"/>
      <c r="MI43" s="255"/>
      <c r="MJ43" s="255"/>
      <c r="MK43" s="255"/>
      <c r="ML43" s="255"/>
      <c r="MM43" s="255"/>
      <c r="MN43" s="255"/>
      <c r="MO43" s="255"/>
      <c r="MP43" s="255"/>
      <c r="MQ43" s="255"/>
      <c r="MR43" s="255"/>
      <c r="MS43" s="255"/>
      <c r="MT43" s="255"/>
      <c r="MU43" s="255"/>
      <c r="MV43" s="255"/>
      <c r="MW43" s="255"/>
      <c r="MX43" s="255"/>
      <c r="MY43" s="255"/>
      <c r="MZ43" s="255"/>
      <c r="NA43" s="255"/>
      <c r="NB43" s="255"/>
      <c r="NC43" s="255"/>
      <c r="ND43" s="255"/>
      <c r="NE43" s="255"/>
      <c r="NF43" s="255"/>
      <c r="NG43" s="255"/>
      <c r="NH43" s="255"/>
      <c r="NI43" s="255"/>
      <c r="NJ43" s="255"/>
      <c r="NK43" s="255"/>
      <c r="NL43" s="255"/>
      <c r="NM43" s="255"/>
      <c r="NN43" s="255"/>
      <c r="NO43" s="255"/>
      <c r="NP43" s="255"/>
      <c r="NQ43" s="255"/>
      <c r="NR43" s="255"/>
      <c r="NS43" s="255"/>
      <c r="NT43" s="255"/>
      <c r="NU43" s="255"/>
      <c r="NV43" s="255"/>
      <c r="NW43" s="255"/>
      <c r="NX43" s="255"/>
      <c r="NY43" s="255"/>
      <c r="NZ43" s="255"/>
      <c r="OA43" s="255"/>
      <c r="OB43" s="255"/>
      <c r="OC43" s="255"/>
      <c r="OD43" s="255"/>
      <c r="OE43" s="255"/>
      <c r="OF43" s="255"/>
      <c r="OG43" s="255"/>
      <c r="OH43" s="255"/>
      <c r="OI43" s="255"/>
      <c r="OJ43" s="255"/>
      <c r="OK43" s="255"/>
      <c r="OL43" s="255"/>
      <c r="OM43" s="255"/>
      <c r="ON43" s="255"/>
      <c r="OO43" s="255"/>
      <c r="OP43" s="255"/>
      <c r="OQ43" s="255"/>
      <c r="OR43" s="255"/>
      <c r="OS43" s="255"/>
      <c r="OT43" s="255"/>
      <c r="OU43" s="255"/>
      <c r="OV43" s="255"/>
      <c r="OW43" s="255"/>
      <c r="OX43" s="255"/>
      <c r="OY43" s="255"/>
      <c r="OZ43" s="255"/>
      <c r="PA43" s="255"/>
      <c r="PB43" s="255"/>
      <c r="PC43" s="255"/>
      <c r="PD43" s="255"/>
      <c r="PE43" s="255"/>
      <c r="PF43" s="255"/>
      <c r="PG43" s="255"/>
      <c r="PH43" s="255"/>
      <c r="PI43" s="255"/>
      <c r="PJ43" s="255"/>
      <c r="PK43" s="255"/>
      <c r="PL43" s="255"/>
      <c r="PM43" s="255"/>
      <c r="PN43" s="255"/>
      <c r="PO43" s="255"/>
      <c r="PP43" s="255"/>
      <c r="PQ43" s="255"/>
      <c r="PR43" s="255"/>
      <c r="PS43" s="255"/>
      <c r="PT43" s="255"/>
      <c r="PU43" s="255"/>
      <c r="PV43" s="255"/>
      <c r="PW43" s="255"/>
      <c r="PX43" s="255"/>
      <c r="PY43" s="255"/>
      <c r="PZ43" s="255"/>
      <c r="QA43" s="255"/>
      <c r="QB43" s="255"/>
      <c r="QC43" s="255"/>
      <c r="QD43" s="255"/>
      <c r="QE43" s="255"/>
      <c r="QF43" s="255"/>
      <c r="QG43" s="255"/>
      <c r="QH43" s="255"/>
      <c r="QI43" s="255"/>
      <c r="QJ43" s="255"/>
      <c r="QK43" s="255"/>
      <c r="QL43" s="255"/>
      <c r="QM43" s="255"/>
      <c r="QN43" s="255"/>
      <c r="QO43" s="255"/>
      <c r="QP43" s="255"/>
      <c r="QQ43" s="255"/>
      <c r="QR43" s="255"/>
      <c r="QS43" s="255"/>
      <c r="QT43" s="255"/>
      <c r="QU43" s="255"/>
      <c r="QV43" s="255"/>
      <c r="QW43" s="255"/>
      <c r="QX43" s="255"/>
      <c r="QY43" s="255"/>
      <c r="QZ43" s="255"/>
      <c r="RA43" s="255"/>
      <c r="RB43" s="255"/>
      <c r="RC43" s="255"/>
      <c r="RD43" s="255"/>
      <c r="RE43" s="255"/>
      <c r="RF43" s="255"/>
      <c r="RG43" s="255"/>
      <c r="RH43" s="255"/>
      <c r="RI43" s="255"/>
      <c r="RJ43" s="255"/>
      <c r="RK43" s="255"/>
      <c r="RL43" s="255"/>
      <c r="RM43" s="255"/>
      <c r="RN43" s="255"/>
      <c r="RO43" s="255"/>
      <c r="RP43" s="255"/>
      <c r="RQ43" s="255"/>
      <c r="RR43" s="255"/>
      <c r="RS43" s="255"/>
      <c r="RT43" s="255"/>
      <c r="RU43" s="255"/>
      <c r="RV43" s="255"/>
      <c r="RW43" s="255"/>
      <c r="RX43" s="255"/>
      <c r="RY43" s="255"/>
      <c r="RZ43" s="255"/>
      <c r="SA43" s="255"/>
      <c r="SB43" s="255"/>
      <c r="SC43" s="255"/>
      <c r="SD43" s="255"/>
      <c r="SE43" s="255"/>
      <c r="SF43" s="255"/>
      <c r="SG43" s="255"/>
      <c r="SH43" s="255"/>
      <c r="SI43" s="255"/>
      <c r="SJ43" s="255"/>
      <c r="SK43" s="255"/>
      <c r="SL43" s="255"/>
      <c r="SM43" s="255"/>
      <c r="SN43" s="255"/>
      <c r="SO43" s="255"/>
      <c r="SP43" s="255"/>
      <c r="SQ43" s="255"/>
      <c r="SR43" s="255"/>
      <c r="SS43" s="255"/>
      <c r="ST43" s="255"/>
      <c r="SU43" s="255"/>
      <c r="SV43" s="255"/>
      <c r="SW43" s="255"/>
      <c r="SX43" s="255"/>
      <c r="SY43" s="255"/>
      <c r="SZ43" s="255"/>
      <c r="TA43" s="255"/>
      <c r="TB43" s="255"/>
      <c r="TC43" s="255"/>
      <c r="TD43" s="255"/>
      <c r="TE43" s="255"/>
      <c r="TF43" s="255"/>
      <c r="TG43" s="255"/>
      <c r="TH43" s="255"/>
      <c r="TI43" s="255"/>
      <c r="TJ43" s="255"/>
      <c r="TK43" s="255"/>
      <c r="TL43" s="255"/>
      <c r="TM43" s="255"/>
      <c r="TN43" s="255"/>
      <c r="TO43" s="255"/>
      <c r="TP43" s="255"/>
      <c r="TQ43" s="255"/>
      <c r="TR43" s="255"/>
      <c r="TS43" s="255"/>
      <c r="TT43" s="255"/>
      <c r="TU43" s="255"/>
      <c r="TV43" s="255"/>
      <c r="TW43" s="255"/>
      <c r="TX43" s="255"/>
      <c r="TY43" s="255"/>
      <c r="TZ43" s="255"/>
      <c r="UA43" s="255"/>
      <c r="UB43" s="255"/>
      <c r="UC43" s="255"/>
      <c r="UD43" s="255"/>
      <c r="UE43" s="255"/>
      <c r="UF43" s="255"/>
      <c r="UG43" s="255"/>
      <c r="UH43" s="255"/>
      <c r="UI43" s="255"/>
      <c r="UJ43" s="255"/>
      <c r="UK43" s="255"/>
      <c r="UL43" s="255"/>
      <c r="UM43" s="255"/>
      <c r="UN43" s="255"/>
      <c r="UO43" s="255"/>
      <c r="UP43" s="255"/>
      <c r="UQ43" s="255"/>
      <c r="UR43" s="255"/>
      <c r="US43" s="255"/>
      <c r="UT43" s="255"/>
      <c r="UU43" s="255"/>
      <c r="UV43" s="255"/>
      <c r="UW43" s="255"/>
      <c r="UX43" s="255"/>
      <c r="UY43" s="255"/>
      <c r="UZ43" s="255"/>
      <c r="VA43" s="255"/>
      <c r="VB43" s="255"/>
      <c r="VC43" s="255"/>
      <c r="VD43" s="255"/>
      <c r="VE43" s="255"/>
      <c r="VF43" s="255"/>
      <c r="VG43" s="255"/>
      <c r="VH43" s="255"/>
      <c r="VI43" s="255"/>
      <c r="VJ43" s="255"/>
      <c r="VK43" s="255"/>
      <c r="VL43" s="255"/>
      <c r="VM43" s="255"/>
      <c r="VN43" s="255"/>
      <c r="VO43" s="255"/>
      <c r="VP43" s="255"/>
      <c r="VQ43" s="255"/>
      <c r="VR43" s="255"/>
      <c r="VS43" s="255"/>
      <c r="VT43" s="255"/>
      <c r="VU43" s="255"/>
      <c r="VV43" s="255"/>
      <c r="VW43" s="255"/>
      <c r="VX43" s="255"/>
      <c r="VY43" s="255"/>
      <c r="VZ43" s="255"/>
      <c r="WA43" s="255"/>
      <c r="WB43" s="255"/>
      <c r="WC43" s="255"/>
      <c r="WD43" s="255"/>
      <c r="WE43" s="255"/>
      <c r="WF43" s="255"/>
      <c r="WG43" s="255"/>
      <c r="WH43" s="255"/>
      <c r="WI43" s="255"/>
      <c r="WJ43" s="255"/>
      <c r="WK43" s="255"/>
      <c r="WL43" s="255"/>
      <c r="WM43" s="255"/>
      <c r="WN43" s="255"/>
      <c r="WO43" s="255"/>
      <c r="WP43" s="255"/>
      <c r="WQ43" s="255"/>
      <c r="WR43" s="255"/>
      <c r="WS43" s="255"/>
      <c r="WT43" s="255"/>
      <c r="WU43" s="255"/>
      <c r="WV43" s="255"/>
      <c r="WW43" s="255"/>
      <c r="WX43" s="255"/>
      <c r="WY43" s="255"/>
      <c r="WZ43" s="255"/>
      <c r="XA43" s="255"/>
      <c r="XB43" s="255"/>
      <c r="XC43" s="255"/>
      <c r="XD43" s="255"/>
      <c r="XE43" s="255"/>
      <c r="XF43" s="255"/>
      <c r="XG43" s="255"/>
      <c r="XH43" s="255"/>
      <c r="XI43" s="255"/>
      <c r="XJ43" s="255"/>
      <c r="XK43" s="255"/>
      <c r="XL43" s="255"/>
      <c r="XM43" s="255"/>
      <c r="XN43" s="255"/>
      <c r="XO43" s="255"/>
      <c r="XP43" s="255"/>
      <c r="XQ43" s="255"/>
      <c r="XR43" s="255"/>
      <c r="XS43" s="255"/>
      <c r="XT43" s="255"/>
      <c r="XU43" s="255"/>
      <c r="XV43" s="255"/>
      <c r="XW43" s="255"/>
      <c r="XX43" s="255"/>
      <c r="XY43" s="255"/>
      <c r="XZ43" s="255"/>
      <c r="YA43" s="255"/>
      <c r="YB43" s="255"/>
      <c r="YC43" s="255"/>
      <c r="YD43" s="255"/>
      <c r="YE43" s="255"/>
      <c r="YF43" s="255"/>
      <c r="YG43" s="255"/>
      <c r="YH43" s="255"/>
      <c r="YI43" s="255"/>
      <c r="YJ43" s="255"/>
      <c r="YK43" s="255"/>
      <c r="YL43" s="255"/>
      <c r="YM43" s="255"/>
      <c r="YN43" s="255"/>
      <c r="YO43" s="255"/>
      <c r="YP43" s="255"/>
      <c r="YQ43" s="255"/>
      <c r="YR43" s="255"/>
      <c r="YS43" s="255"/>
      <c r="YT43" s="255"/>
      <c r="YU43" s="255"/>
      <c r="YV43" s="255"/>
      <c r="YW43" s="255"/>
      <c r="YX43" s="255"/>
      <c r="YY43" s="255"/>
      <c r="YZ43" s="255"/>
      <c r="ZA43" s="255"/>
      <c r="ZB43" s="255"/>
      <c r="ZC43" s="255"/>
      <c r="ZD43" s="255"/>
      <c r="ZE43" s="255"/>
      <c r="ZF43" s="255"/>
      <c r="ZG43" s="255"/>
      <c r="ZH43" s="255"/>
      <c r="ZI43" s="255"/>
      <c r="ZJ43" s="255"/>
      <c r="ZK43" s="255"/>
      <c r="ZL43" s="255"/>
      <c r="ZM43" s="255"/>
      <c r="ZN43" s="255"/>
      <c r="ZO43" s="255"/>
      <c r="ZP43" s="255"/>
      <c r="ZQ43" s="255"/>
      <c r="ZR43" s="255"/>
      <c r="ZS43" s="255"/>
      <c r="ZT43" s="255"/>
      <c r="ZU43" s="255"/>
      <c r="ZV43" s="255"/>
      <c r="ZW43" s="255"/>
      <c r="ZX43" s="255"/>
      <c r="ZY43" s="255"/>
      <c r="ZZ43" s="255"/>
      <c r="AAA43" s="255"/>
      <c r="AAB43" s="255"/>
      <c r="AAC43" s="255"/>
      <c r="AAD43" s="255"/>
      <c r="AAE43" s="255"/>
      <c r="AAF43" s="255"/>
      <c r="AAG43" s="255"/>
      <c r="AAH43" s="255"/>
      <c r="AAI43" s="255"/>
      <c r="AAJ43" s="255"/>
      <c r="AAK43" s="255"/>
      <c r="AAL43" s="255"/>
      <c r="AAM43" s="255"/>
      <c r="AAN43" s="255"/>
      <c r="AAO43" s="255"/>
      <c r="AAP43" s="255"/>
      <c r="AAQ43" s="255"/>
      <c r="AAR43" s="255"/>
      <c r="AAS43" s="255"/>
      <c r="AAT43" s="255"/>
      <c r="AAU43" s="255"/>
      <c r="AAV43" s="255"/>
      <c r="AAW43" s="255"/>
      <c r="AAX43" s="255"/>
      <c r="AAY43" s="255"/>
      <c r="AAZ43" s="255"/>
      <c r="ABA43" s="255"/>
      <c r="ABB43" s="255"/>
      <c r="ABC43" s="255"/>
      <c r="ABD43" s="255"/>
      <c r="ABE43" s="255"/>
      <c r="ABF43" s="255"/>
      <c r="ABG43" s="255"/>
      <c r="ABH43" s="255"/>
      <c r="ABI43" s="255"/>
      <c r="ABJ43" s="255"/>
      <c r="ABK43" s="255"/>
      <c r="ABL43" s="255"/>
      <c r="ABM43" s="255"/>
      <c r="ABN43" s="255"/>
      <c r="ABO43" s="255"/>
      <c r="ABP43" s="255"/>
      <c r="ABQ43" s="255"/>
      <c r="ABR43" s="255"/>
      <c r="ABS43" s="255"/>
      <c r="ABT43" s="255"/>
      <c r="ABU43" s="255"/>
      <c r="ABV43" s="255"/>
      <c r="ABW43" s="255"/>
      <c r="ABX43" s="255"/>
      <c r="ABY43" s="255"/>
      <c r="ABZ43" s="255"/>
      <c r="ACA43" s="255"/>
      <c r="ACB43" s="255"/>
      <c r="ACC43" s="255"/>
      <c r="ACD43" s="255"/>
      <c r="ACE43" s="255"/>
      <c r="ACF43" s="255"/>
      <c r="ACG43" s="255"/>
      <c r="ACH43" s="255"/>
      <c r="ACI43" s="255"/>
      <c r="ACJ43" s="255"/>
      <c r="ACK43" s="255"/>
      <c r="ACL43" s="255"/>
      <c r="ACM43" s="255"/>
      <c r="ACN43" s="255"/>
      <c r="ACO43" s="255"/>
      <c r="ACP43" s="255"/>
      <c r="ACQ43" s="255"/>
      <c r="ACR43" s="255"/>
      <c r="ACS43" s="255"/>
      <c r="ACT43" s="255"/>
      <c r="ACU43" s="255"/>
      <c r="ACV43" s="255"/>
      <c r="ACW43" s="255"/>
      <c r="ACX43" s="255"/>
      <c r="ACY43" s="255"/>
      <c r="ACZ43" s="255"/>
      <c r="ADA43" s="255"/>
      <c r="ADB43" s="255"/>
      <c r="ADC43" s="255"/>
      <c r="ADD43" s="255"/>
      <c r="ADE43" s="255"/>
      <c r="ADF43" s="255"/>
      <c r="ADG43" s="255"/>
      <c r="ADH43" s="255"/>
      <c r="ADI43" s="255"/>
      <c r="ADJ43" s="255"/>
      <c r="ADK43" s="255"/>
      <c r="ADL43" s="255"/>
      <c r="ADM43" s="255"/>
      <c r="ADN43" s="255"/>
      <c r="ADO43" s="255"/>
      <c r="ADP43" s="255"/>
      <c r="ADQ43" s="255"/>
      <c r="ADR43" s="255"/>
      <c r="ADS43" s="255"/>
      <c r="ADT43" s="255"/>
      <c r="ADU43" s="255"/>
      <c r="ADV43" s="255"/>
      <c r="ADW43" s="255"/>
      <c r="ADX43" s="255"/>
      <c r="ADY43" s="255"/>
      <c r="ADZ43" s="255"/>
      <c r="AEA43" s="255"/>
      <c r="AEB43" s="255"/>
      <c r="AEC43" s="255"/>
      <c r="AED43" s="255"/>
      <c r="AEE43" s="255"/>
      <c r="AEF43" s="255"/>
      <c r="AEG43" s="255"/>
      <c r="AEH43" s="255"/>
      <c r="AEI43" s="255"/>
      <c r="AEJ43" s="255"/>
      <c r="AEK43" s="255"/>
      <c r="AEL43" s="255"/>
      <c r="AEM43" s="255"/>
      <c r="AEN43" s="255"/>
      <c r="AEO43" s="255"/>
      <c r="AEP43" s="255"/>
      <c r="AEQ43" s="255"/>
      <c r="AER43" s="255"/>
      <c r="AES43" s="255"/>
      <c r="AET43" s="255"/>
      <c r="AEU43" s="255"/>
      <c r="AEV43" s="255"/>
      <c r="AEW43" s="255"/>
      <c r="AEX43" s="255"/>
      <c r="AEY43" s="255"/>
      <c r="AEZ43" s="255"/>
      <c r="AFA43" s="255"/>
      <c r="AFB43" s="255"/>
      <c r="AFC43" s="255"/>
      <c r="AFD43" s="255"/>
      <c r="AFE43" s="255"/>
      <c r="AFF43" s="255"/>
      <c r="AFG43" s="255"/>
      <c r="AFH43" s="255"/>
      <c r="AFI43" s="255"/>
      <c r="AFJ43" s="255"/>
      <c r="AFK43" s="255"/>
      <c r="AFL43" s="255"/>
      <c r="AFM43" s="255"/>
      <c r="AFN43" s="255"/>
      <c r="AFO43" s="255"/>
      <c r="AFP43" s="255"/>
      <c r="AFQ43" s="255"/>
      <c r="AFR43" s="255"/>
      <c r="AFS43" s="255"/>
      <c r="AFT43" s="255"/>
      <c r="AFU43" s="255"/>
      <c r="AFV43" s="255"/>
      <c r="AFW43" s="255"/>
      <c r="AFX43" s="255"/>
      <c r="AFY43" s="255"/>
      <c r="AFZ43" s="255"/>
      <c r="AGA43" s="255"/>
      <c r="AGB43" s="255"/>
      <c r="AGC43" s="255"/>
      <c r="AGD43" s="255"/>
      <c r="AGE43" s="255"/>
      <c r="AGF43" s="255"/>
      <c r="AGG43" s="255"/>
      <c r="AGH43" s="255"/>
      <c r="AGI43" s="255"/>
      <c r="AGJ43" s="255"/>
      <c r="AGK43" s="255"/>
      <c r="AGL43" s="255"/>
      <c r="AGM43" s="255"/>
      <c r="AGN43" s="255"/>
      <c r="AGO43" s="255"/>
      <c r="AGP43" s="255"/>
      <c r="AGQ43" s="255"/>
      <c r="AGR43" s="255"/>
      <c r="AGS43" s="255"/>
      <c r="AGT43" s="255"/>
      <c r="AGU43" s="255"/>
      <c r="AGV43" s="255"/>
      <c r="AGW43" s="255"/>
      <c r="AGX43" s="255"/>
      <c r="AGY43" s="255"/>
      <c r="AGZ43" s="255"/>
      <c r="AHA43" s="255"/>
      <c r="AHB43" s="255"/>
      <c r="AHC43" s="255"/>
      <c r="AHD43" s="255"/>
      <c r="AHE43" s="255"/>
      <c r="AHF43" s="255"/>
      <c r="AHG43" s="255"/>
      <c r="AHH43" s="255"/>
      <c r="AHI43" s="255"/>
      <c r="AHJ43" s="255"/>
      <c r="AHK43" s="255"/>
      <c r="AHL43" s="255"/>
      <c r="AHM43" s="255"/>
      <c r="AHN43" s="255"/>
      <c r="AHO43" s="255"/>
      <c r="AHP43" s="255"/>
      <c r="AHQ43" s="255"/>
      <c r="AHR43" s="255"/>
      <c r="AHS43" s="255"/>
      <c r="AHT43" s="255"/>
      <c r="AHU43" s="255"/>
      <c r="AHV43" s="255"/>
      <c r="AHW43" s="255"/>
      <c r="AHX43" s="255"/>
      <c r="AHY43" s="255"/>
      <c r="AHZ43" s="255"/>
      <c r="AIA43" s="255"/>
      <c r="AIB43" s="255"/>
      <c r="AIC43" s="255"/>
      <c r="AID43" s="255"/>
      <c r="AIE43" s="255"/>
      <c r="AIF43" s="255"/>
      <c r="AIG43" s="255"/>
      <c r="AIH43" s="255"/>
      <c r="AII43" s="255"/>
      <c r="AIJ43" s="255"/>
      <c r="AIK43" s="255"/>
      <c r="AIL43" s="255"/>
      <c r="AIM43" s="255"/>
      <c r="AIN43" s="255"/>
      <c r="AIO43" s="255"/>
      <c r="AIP43" s="255"/>
      <c r="AIQ43" s="255"/>
      <c r="AIR43" s="255"/>
      <c r="AIS43" s="255"/>
      <c r="AIT43" s="255"/>
      <c r="AIU43" s="255"/>
      <c r="AIV43" s="255"/>
      <c r="AIW43" s="255"/>
      <c r="AIX43" s="255"/>
      <c r="AIY43" s="255"/>
      <c r="AIZ43" s="255"/>
      <c r="AJA43" s="255"/>
      <c r="AJB43" s="255"/>
      <c r="AJC43" s="255"/>
      <c r="AJD43" s="255"/>
      <c r="AJE43" s="255"/>
      <c r="AJF43" s="255"/>
      <c r="AJG43" s="255"/>
      <c r="AJH43" s="255"/>
      <c r="AJI43" s="255"/>
      <c r="AJJ43" s="255"/>
      <c r="AJK43" s="255"/>
      <c r="AJL43" s="255"/>
      <c r="AJM43" s="255"/>
      <c r="AJN43" s="255"/>
      <c r="AJO43" s="255"/>
      <c r="AJP43" s="255"/>
      <c r="AJQ43" s="255"/>
      <c r="AJR43" s="255"/>
      <c r="AJS43" s="255"/>
      <c r="AJT43" s="255"/>
      <c r="AJU43" s="255"/>
      <c r="AJV43" s="255"/>
      <c r="AJW43" s="255"/>
      <c r="AJX43" s="255"/>
      <c r="AJY43" s="255"/>
      <c r="AJZ43" s="255"/>
      <c r="AKA43" s="255"/>
      <c r="AKB43" s="255"/>
      <c r="AKC43" s="255"/>
      <c r="AKD43" s="255"/>
      <c r="AKE43" s="255"/>
      <c r="AKF43" s="255"/>
      <c r="AKG43" s="255"/>
      <c r="AKH43" s="255"/>
      <c r="AKI43" s="255"/>
      <c r="AKJ43" s="255"/>
      <c r="AKK43" s="255"/>
      <c r="AKL43" s="255"/>
      <c r="AKM43" s="255"/>
      <c r="AKN43" s="255"/>
      <c r="AKO43" s="255"/>
      <c r="AKP43" s="255"/>
      <c r="AKQ43" s="255"/>
      <c r="AKR43" s="255"/>
      <c r="AKS43" s="255"/>
      <c r="AKT43" s="255"/>
      <c r="AKU43" s="255"/>
      <c r="AKV43" s="255"/>
      <c r="AKW43" s="255"/>
      <c r="AKX43" s="255"/>
      <c r="AKY43" s="255"/>
      <c r="AKZ43" s="255"/>
      <c r="ALA43" s="255"/>
      <c r="ALB43" s="255"/>
      <c r="ALC43" s="255"/>
      <c r="ALD43" s="255"/>
      <c r="ALE43" s="255"/>
      <c r="ALF43" s="255"/>
      <c r="ALG43" s="255"/>
      <c r="ALH43" s="255"/>
      <c r="ALI43" s="255"/>
      <c r="ALJ43" s="255"/>
      <c r="ALK43" s="255"/>
      <c r="ALL43" s="42"/>
      <c r="ALM43" s="42"/>
      <c r="ALN43" s="42"/>
      <c r="ALO43" s="42"/>
      <c r="ALP43" s="42"/>
      <c r="ALQ43" s="42"/>
      <c r="ALR43" s="42"/>
      <c r="ALS43" s="42"/>
      <c r="ALT43" s="42"/>
    </row>
    <row r="44" spans="1:1008" s="191" customFormat="1" ht="24">
      <c r="A44" s="251" t="s">
        <v>7</v>
      </c>
      <c r="B44" s="328">
        <v>92873</v>
      </c>
      <c r="C44" s="329" t="str">
        <f>(IF($A44="SINAPI",INDEX(SINAPI_NOV2020_NDES!$A$7:$H$6703,MATCH($B44,SINAPI_NOV2020_NDES!$A$7:$A$6703,0),2),IF($A44="GOINFRA",INDEX(#REF!,MATCH($B44,#REF!,0),2),(INDEX(COMPOS!$A$4:$G$390,MATCH($B44,COMPOS!$A$4:A$390,0),2)))))</f>
        <v>LANÇAMENTO COM USO DE BALDES, ADENSAMENTO E ACABAMENTO DE CONCRETO EM ESTRUTURAS. AF_12/2015</v>
      </c>
      <c r="D44" s="274" t="str">
        <f>(IF($A44="SINAPI",INDEX(SINAPI_NOV2020_NDES!$A$7:$H$6790,MATCH($B44,SINAPI_NOV2020_NDES!$A$7:$A$6790,0),3),(INDEX(COMPOS!$A$4:$G$5000,MATCH($B44,COMPOS!$A$4:$A$5000,0),3))))</f>
        <v>M3</v>
      </c>
      <c r="E44" s="276">
        <v>2.09</v>
      </c>
      <c r="F44" s="279">
        <f>(IF($A44="SINAPI",INDEX(SINAPI_NOV2020_NDES!$A$7:$H$6703,MATCH($B44,SINAPI_NOV2020_NDES!$A$7:$A$6703,0),5),(INDEX(COMPOS!$A$4:$G$801,MATCH($B44,COMPOS!$A$4:A$801,0),4))))</f>
        <v>121.95</v>
      </c>
      <c r="G44" s="280">
        <f>(IF($A44="SINAPI",INDEX(SINAPI_NOV2020_NDES!$A$7:$H$6703,MATCH($B44,SINAPI_NOV2020_NDES!$A$7:$A$6703,0),6),(INDEX(COMPOS!$A$4:$G$801,MATCH($B44,COMPOS!$A$4:A$801,0),5))))</f>
        <v>41.44</v>
      </c>
      <c r="H44" s="280">
        <f>(IF($A44="SINAPI",INDEX(SINAPI_NOV2020_NDES!$A$7:$H$6703,MATCH($B44,SINAPI_NOV2020_NDES!$A$7:$A$6703,0),7),(INDEX(COMPOS!$A$4:$G$801,MATCH($B44,COMPOS!$A$4:A$801,0),6))))</f>
        <v>0.9</v>
      </c>
      <c r="I44" s="279">
        <f t="shared" si="14"/>
        <v>164.29</v>
      </c>
      <c r="J44" s="276">
        <f t="shared" si="15"/>
        <v>343.36609999999996</v>
      </c>
      <c r="K44" s="255"/>
      <c r="L44" s="255"/>
      <c r="M44" s="255"/>
      <c r="N44" s="255"/>
      <c r="O44" s="257"/>
      <c r="P44" s="223"/>
      <c r="Q44" s="255"/>
      <c r="R44" s="255"/>
      <c r="S44" s="255"/>
      <c r="T44" s="255"/>
      <c r="U44" s="255"/>
      <c r="V44" s="255"/>
      <c r="W44" s="255"/>
      <c r="X44" s="255"/>
      <c r="Y44" s="255"/>
      <c r="Z44" s="255"/>
      <c r="AA44" s="255"/>
      <c r="AB44" s="255"/>
      <c r="AC44" s="255"/>
      <c r="AD44" s="255"/>
      <c r="AE44" s="255"/>
      <c r="AF44" s="255"/>
      <c r="AG44" s="255"/>
      <c r="AH44" s="255"/>
      <c r="AI44" s="255"/>
      <c r="AJ44" s="255"/>
      <c r="AK44" s="255"/>
      <c r="AL44" s="255"/>
      <c r="AM44" s="255"/>
      <c r="AN44" s="255"/>
      <c r="AO44" s="255"/>
      <c r="AP44" s="255"/>
      <c r="AQ44" s="255"/>
      <c r="AR44" s="255"/>
      <c r="AS44" s="255"/>
      <c r="AT44" s="255"/>
      <c r="AU44" s="255"/>
      <c r="AV44" s="255"/>
      <c r="AW44" s="255"/>
      <c r="AX44" s="255"/>
      <c r="AY44" s="255"/>
      <c r="AZ44" s="255"/>
      <c r="BA44" s="255"/>
      <c r="BB44" s="255"/>
      <c r="BC44" s="255"/>
      <c r="BD44" s="255"/>
      <c r="BE44" s="255"/>
      <c r="BF44" s="255"/>
      <c r="BG44" s="255"/>
      <c r="BH44" s="255"/>
      <c r="BI44" s="255"/>
      <c r="BJ44" s="255"/>
      <c r="BK44" s="255"/>
      <c r="BL44" s="255"/>
      <c r="BM44" s="255"/>
      <c r="BN44" s="255"/>
      <c r="BO44" s="255"/>
      <c r="BP44" s="255"/>
      <c r="BQ44" s="255"/>
      <c r="BR44" s="255"/>
      <c r="BS44" s="255"/>
      <c r="BT44" s="255"/>
      <c r="BU44" s="255"/>
      <c r="BV44" s="255"/>
      <c r="BW44" s="255"/>
      <c r="BX44" s="255"/>
      <c r="BY44" s="255"/>
      <c r="BZ44" s="255"/>
      <c r="CA44" s="255"/>
      <c r="CB44" s="255"/>
      <c r="CC44" s="255"/>
      <c r="CD44" s="255"/>
      <c r="CE44" s="255"/>
      <c r="CF44" s="255"/>
      <c r="CG44" s="255"/>
      <c r="CH44" s="255"/>
      <c r="CI44" s="255"/>
      <c r="CJ44" s="255"/>
      <c r="CK44" s="255"/>
      <c r="CL44" s="255"/>
      <c r="CM44" s="255"/>
      <c r="CN44" s="255"/>
      <c r="CO44" s="255"/>
      <c r="CP44" s="255"/>
      <c r="CQ44" s="255"/>
      <c r="CR44" s="255"/>
      <c r="CS44" s="255"/>
      <c r="CT44" s="255"/>
      <c r="CU44" s="255"/>
      <c r="CV44" s="255"/>
      <c r="CW44" s="255"/>
      <c r="CX44" s="255"/>
      <c r="CY44" s="255"/>
      <c r="CZ44" s="255"/>
      <c r="DA44" s="255"/>
      <c r="DB44" s="255"/>
      <c r="DC44" s="255"/>
      <c r="DD44" s="255"/>
      <c r="DE44" s="255"/>
      <c r="DF44" s="255"/>
      <c r="DG44" s="255"/>
      <c r="DH44" s="255"/>
      <c r="DI44" s="255"/>
      <c r="DJ44" s="255"/>
      <c r="DK44" s="255"/>
      <c r="DL44" s="255"/>
      <c r="DM44" s="255"/>
      <c r="DN44" s="255"/>
      <c r="DO44" s="255"/>
      <c r="DP44" s="255"/>
      <c r="DQ44" s="255"/>
      <c r="DR44" s="255"/>
      <c r="DS44" s="255"/>
      <c r="DT44" s="255"/>
      <c r="DU44" s="255"/>
      <c r="DV44" s="255"/>
      <c r="DW44" s="255"/>
      <c r="DX44" s="255"/>
      <c r="DY44" s="255"/>
      <c r="DZ44" s="255"/>
      <c r="EA44" s="255"/>
      <c r="EB44" s="255"/>
      <c r="EC44" s="255"/>
      <c r="ED44" s="255"/>
      <c r="EE44" s="255"/>
      <c r="EF44" s="255"/>
      <c r="EG44" s="255"/>
      <c r="EH44" s="255"/>
      <c r="EI44" s="255"/>
      <c r="EJ44" s="255"/>
      <c r="EK44" s="255"/>
      <c r="EL44" s="255"/>
      <c r="EM44" s="255"/>
      <c r="EN44" s="255"/>
      <c r="EO44" s="255"/>
      <c r="EP44" s="255"/>
      <c r="EQ44" s="255"/>
      <c r="ER44" s="255"/>
      <c r="ES44" s="255"/>
      <c r="ET44" s="255"/>
      <c r="EU44" s="255"/>
      <c r="EV44" s="255"/>
      <c r="EW44" s="255"/>
      <c r="EX44" s="255"/>
      <c r="EY44" s="255"/>
      <c r="EZ44" s="255"/>
      <c r="FA44" s="255"/>
      <c r="FB44" s="255"/>
      <c r="FC44" s="255"/>
      <c r="FD44" s="255"/>
      <c r="FE44" s="255"/>
      <c r="FF44" s="255"/>
      <c r="FG44" s="255"/>
      <c r="FH44" s="255"/>
      <c r="FI44" s="255"/>
      <c r="FJ44" s="255"/>
      <c r="FK44" s="255"/>
      <c r="FL44" s="255"/>
      <c r="FM44" s="255"/>
      <c r="FN44" s="255"/>
      <c r="FO44" s="255"/>
      <c r="FP44" s="255"/>
      <c r="FQ44" s="255"/>
      <c r="FR44" s="255"/>
      <c r="FS44" s="255"/>
      <c r="FT44" s="255"/>
      <c r="FU44" s="255"/>
      <c r="FV44" s="255"/>
      <c r="FW44" s="255"/>
      <c r="FX44" s="255"/>
      <c r="FY44" s="255"/>
      <c r="FZ44" s="255"/>
      <c r="GA44" s="255"/>
      <c r="GB44" s="255"/>
      <c r="GC44" s="255"/>
      <c r="GD44" s="255"/>
      <c r="GE44" s="255"/>
      <c r="GF44" s="255"/>
      <c r="GG44" s="255"/>
      <c r="GH44" s="255"/>
      <c r="GI44" s="255"/>
      <c r="GJ44" s="255"/>
      <c r="GK44" s="255"/>
      <c r="GL44" s="255"/>
      <c r="GM44" s="255"/>
      <c r="GN44" s="255"/>
      <c r="GO44" s="255"/>
      <c r="GP44" s="255"/>
      <c r="GQ44" s="255"/>
      <c r="GR44" s="255"/>
      <c r="GS44" s="255"/>
      <c r="GT44" s="255"/>
      <c r="GU44" s="255"/>
      <c r="GV44" s="255"/>
      <c r="GW44" s="255"/>
      <c r="GX44" s="255"/>
      <c r="GY44" s="255"/>
      <c r="GZ44" s="255"/>
      <c r="HA44" s="255"/>
      <c r="HB44" s="255"/>
      <c r="HC44" s="255"/>
      <c r="HD44" s="255"/>
      <c r="HE44" s="255"/>
      <c r="HF44" s="255"/>
      <c r="HG44" s="255"/>
      <c r="HH44" s="255"/>
      <c r="HI44" s="255"/>
      <c r="HJ44" s="255"/>
      <c r="HK44" s="255"/>
      <c r="HL44" s="255"/>
      <c r="HM44" s="255"/>
      <c r="HN44" s="255"/>
      <c r="HO44" s="255"/>
      <c r="HP44" s="255"/>
      <c r="HQ44" s="255"/>
      <c r="HR44" s="255"/>
      <c r="HS44" s="255"/>
      <c r="HT44" s="255"/>
      <c r="HU44" s="255"/>
      <c r="HV44" s="255"/>
      <c r="HW44" s="255"/>
      <c r="HX44" s="255"/>
      <c r="HY44" s="255"/>
      <c r="HZ44" s="255"/>
      <c r="IA44" s="255"/>
      <c r="IB44" s="255"/>
      <c r="IC44" s="255"/>
      <c r="ID44" s="255"/>
      <c r="IE44" s="255"/>
      <c r="IF44" s="255"/>
      <c r="IG44" s="255"/>
      <c r="IH44" s="255"/>
      <c r="II44" s="255"/>
      <c r="IJ44" s="255"/>
      <c r="IK44" s="255"/>
      <c r="IL44" s="255"/>
      <c r="IM44" s="255"/>
      <c r="IN44" s="255"/>
      <c r="IO44" s="255"/>
      <c r="IP44" s="255"/>
      <c r="IQ44" s="255"/>
      <c r="IR44" s="255"/>
      <c r="IS44" s="255"/>
      <c r="IT44" s="255"/>
      <c r="IU44" s="255"/>
      <c r="IV44" s="255"/>
      <c r="IW44" s="255"/>
      <c r="IX44" s="255"/>
      <c r="IY44" s="255"/>
      <c r="IZ44" s="255"/>
      <c r="JA44" s="255"/>
      <c r="JB44" s="255"/>
      <c r="JC44" s="255"/>
      <c r="JD44" s="255"/>
      <c r="JE44" s="255"/>
      <c r="JF44" s="255"/>
      <c r="JG44" s="255"/>
      <c r="JH44" s="255"/>
      <c r="JI44" s="255"/>
      <c r="JJ44" s="255"/>
      <c r="JK44" s="255"/>
      <c r="JL44" s="255"/>
      <c r="JM44" s="255"/>
      <c r="JN44" s="255"/>
      <c r="JO44" s="255"/>
      <c r="JP44" s="255"/>
      <c r="JQ44" s="255"/>
      <c r="JR44" s="255"/>
      <c r="JS44" s="255"/>
      <c r="JT44" s="255"/>
      <c r="JU44" s="255"/>
      <c r="JV44" s="255"/>
      <c r="JW44" s="255"/>
      <c r="JX44" s="255"/>
      <c r="JY44" s="255"/>
      <c r="JZ44" s="255"/>
      <c r="KA44" s="255"/>
      <c r="KB44" s="255"/>
      <c r="KC44" s="255"/>
      <c r="KD44" s="255"/>
      <c r="KE44" s="255"/>
      <c r="KF44" s="255"/>
      <c r="KG44" s="255"/>
      <c r="KH44" s="255"/>
      <c r="KI44" s="255"/>
      <c r="KJ44" s="255"/>
      <c r="KK44" s="255"/>
      <c r="KL44" s="255"/>
      <c r="KM44" s="255"/>
      <c r="KN44" s="255"/>
      <c r="KO44" s="255"/>
      <c r="KP44" s="255"/>
      <c r="KQ44" s="255"/>
      <c r="KR44" s="255"/>
      <c r="KS44" s="255"/>
      <c r="KT44" s="255"/>
      <c r="KU44" s="255"/>
      <c r="KV44" s="255"/>
      <c r="KW44" s="255"/>
      <c r="KX44" s="255"/>
      <c r="KY44" s="255"/>
      <c r="KZ44" s="255"/>
      <c r="LA44" s="255"/>
      <c r="LB44" s="255"/>
      <c r="LC44" s="255"/>
      <c r="LD44" s="255"/>
      <c r="LE44" s="255"/>
      <c r="LF44" s="255"/>
      <c r="LG44" s="255"/>
      <c r="LH44" s="255"/>
      <c r="LI44" s="255"/>
      <c r="LJ44" s="255"/>
      <c r="LK44" s="255"/>
      <c r="LL44" s="255"/>
      <c r="LM44" s="255"/>
      <c r="LN44" s="255"/>
      <c r="LO44" s="255"/>
      <c r="LP44" s="255"/>
      <c r="LQ44" s="255"/>
      <c r="LR44" s="255"/>
      <c r="LS44" s="255"/>
      <c r="LT44" s="255"/>
      <c r="LU44" s="255"/>
      <c r="LV44" s="255"/>
      <c r="LW44" s="255"/>
      <c r="LX44" s="255"/>
      <c r="LY44" s="255"/>
      <c r="LZ44" s="255"/>
      <c r="MA44" s="255"/>
      <c r="MB44" s="255"/>
      <c r="MC44" s="255"/>
      <c r="MD44" s="255"/>
      <c r="ME44" s="255"/>
      <c r="MF44" s="255"/>
      <c r="MG44" s="255"/>
      <c r="MH44" s="255"/>
      <c r="MI44" s="255"/>
      <c r="MJ44" s="255"/>
      <c r="MK44" s="255"/>
      <c r="ML44" s="255"/>
      <c r="MM44" s="255"/>
      <c r="MN44" s="255"/>
      <c r="MO44" s="255"/>
      <c r="MP44" s="255"/>
      <c r="MQ44" s="255"/>
      <c r="MR44" s="255"/>
      <c r="MS44" s="255"/>
      <c r="MT44" s="255"/>
      <c r="MU44" s="255"/>
      <c r="MV44" s="255"/>
      <c r="MW44" s="255"/>
      <c r="MX44" s="255"/>
      <c r="MY44" s="255"/>
      <c r="MZ44" s="255"/>
      <c r="NA44" s="255"/>
      <c r="NB44" s="255"/>
      <c r="NC44" s="255"/>
      <c r="ND44" s="255"/>
      <c r="NE44" s="255"/>
      <c r="NF44" s="255"/>
      <c r="NG44" s="255"/>
      <c r="NH44" s="255"/>
      <c r="NI44" s="255"/>
      <c r="NJ44" s="255"/>
      <c r="NK44" s="255"/>
      <c r="NL44" s="255"/>
      <c r="NM44" s="255"/>
      <c r="NN44" s="255"/>
      <c r="NO44" s="255"/>
      <c r="NP44" s="255"/>
      <c r="NQ44" s="255"/>
      <c r="NR44" s="255"/>
      <c r="NS44" s="255"/>
      <c r="NT44" s="255"/>
      <c r="NU44" s="255"/>
      <c r="NV44" s="255"/>
      <c r="NW44" s="255"/>
      <c r="NX44" s="255"/>
      <c r="NY44" s="255"/>
      <c r="NZ44" s="255"/>
      <c r="OA44" s="255"/>
      <c r="OB44" s="255"/>
      <c r="OC44" s="255"/>
      <c r="OD44" s="255"/>
      <c r="OE44" s="255"/>
      <c r="OF44" s="255"/>
      <c r="OG44" s="255"/>
      <c r="OH44" s="255"/>
      <c r="OI44" s="255"/>
      <c r="OJ44" s="255"/>
      <c r="OK44" s="255"/>
      <c r="OL44" s="255"/>
      <c r="OM44" s="255"/>
      <c r="ON44" s="255"/>
      <c r="OO44" s="255"/>
      <c r="OP44" s="255"/>
      <c r="OQ44" s="255"/>
      <c r="OR44" s="255"/>
      <c r="OS44" s="255"/>
      <c r="OT44" s="255"/>
      <c r="OU44" s="255"/>
      <c r="OV44" s="255"/>
      <c r="OW44" s="255"/>
      <c r="OX44" s="255"/>
      <c r="OY44" s="255"/>
      <c r="OZ44" s="255"/>
      <c r="PA44" s="255"/>
      <c r="PB44" s="255"/>
      <c r="PC44" s="255"/>
      <c r="PD44" s="255"/>
      <c r="PE44" s="255"/>
      <c r="PF44" s="255"/>
      <c r="PG44" s="255"/>
      <c r="PH44" s="255"/>
      <c r="PI44" s="255"/>
      <c r="PJ44" s="255"/>
      <c r="PK44" s="255"/>
      <c r="PL44" s="255"/>
      <c r="PM44" s="255"/>
      <c r="PN44" s="255"/>
      <c r="PO44" s="255"/>
      <c r="PP44" s="255"/>
      <c r="PQ44" s="255"/>
      <c r="PR44" s="255"/>
      <c r="PS44" s="255"/>
      <c r="PT44" s="255"/>
      <c r="PU44" s="255"/>
      <c r="PV44" s="255"/>
      <c r="PW44" s="255"/>
      <c r="PX44" s="255"/>
      <c r="PY44" s="255"/>
      <c r="PZ44" s="255"/>
      <c r="QA44" s="255"/>
      <c r="QB44" s="255"/>
      <c r="QC44" s="255"/>
      <c r="QD44" s="255"/>
      <c r="QE44" s="255"/>
      <c r="QF44" s="255"/>
      <c r="QG44" s="255"/>
      <c r="QH44" s="255"/>
      <c r="QI44" s="255"/>
      <c r="QJ44" s="255"/>
      <c r="QK44" s="255"/>
      <c r="QL44" s="255"/>
      <c r="QM44" s="255"/>
      <c r="QN44" s="255"/>
      <c r="QO44" s="255"/>
      <c r="QP44" s="255"/>
      <c r="QQ44" s="255"/>
      <c r="QR44" s="255"/>
      <c r="QS44" s="255"/>
      <c r="QT44" s="255"/>
      <c r="QU44" s="255"/>
      <c r="QV44" s="255"/>
      <c r="QW44" s="255"/>
      <c r="QX44" s="255"/>
      <c r="QY44" s="255"/>
      <c r="QZ44" s="255"/>
      <c r="RA44" s="255"/>
      <c r="RB44" s="255"/>
      <c r="RC44" s="255"/>
      <c r="RD44" s="255"/>
      <c r="RE44" s="255"/>
      <c r="RF44" s="255"/>
      <c r="RG44" s="255"/>
      <c r="RH44" s="255"/>
      <c r="RI44" s="255"/>
      <c r="RJ44" s="255"/>
      <c r="RK44" s="255"/>
      <c r="RL44" s="255"/>
      <c r="RM44" s="255"/>
      <c r="RN44" s="255"/>
      <c r="RO44" s="255"/>
      <c r="RP44" s="255"/>
      <c r="RQ44" s="255"/>
      <c r="RR44" s="255"/>
      <c r="RS44" s="255"/>
      <c r="RT44" s="255"/>
      <c r="RU44" s="255"/>
      <c r="RV44" s="255"/>
      <c r="RW44" s="255"/>
      <c r="RX44" s="255"/>
      <c r="RY44" s="255"/>
      <c r="RZ44" s="255"/>
      <c r="SA44" s="255"/>
      <c r="SB44" s="255"/>
      <c r="SC44" s="255"/>
      <c r="SD44" s="255"/>
      <c r="SE44" s="255"/>
      <c r="SF44" s="255"/>
      <c r="SG44" s="255"/>
      <c r="SH44" s="255"/>
      <c r="SI44" s="255"/>
      <c r="SJ44" s="255"/>
      <c r="SK44" s="255"/>
      <c r="SL44" s="255"/>
      <c r="SM44" s="255"/>
      <c r="SN44" s="255"/>
      <c r="SO44" s="255"/>
      <c r="SP44" s="255"/>
      <c r="SQ44" s="255"/>
      <c r="SR44" s="255"/>
      <c r="SS44" s="255"/>
      <c r="ST44" s="255"/>
      <c r="SU44" s="255"/>
      <c r="SV44" s="255"/>
      <c r="SW44" s="255"/>
      <c r="SX44" s="255"/>
      <c r="SY44" s="255"/>
      <c r="SZ44" s="255"/>
      <c r="TA44" s="255"/>
      <c r="TB44" s="255"/>
      <c r="TC44" s="255"/>
      <c r="TD44" s="255"/>
      <c r="TE44" s="255"/>
      <c r="TF44" s="255"/>
      <c r="TG44" s="255"/>
      <c r="TH44" s="255"/>
      <c r="TI44" s="255"/>
      <c r="TJ44" s="255"/>
      <c r="TK44" s="255"/>
      <c r="TL44" s="255"/>
      <c r="TM44" s="255"/>
      <c r="TN44" s="255"/>
      <c r="TO44" s="255"/>
      <c r="TP44" s="255"/>
      <c r="TQ44" s="255"/>
      <c r="TR44" s="255"/>
      <c r="TS44" s="255"/>
      <c r="TT44" s="255"/>
      <c r="TU44" s="255"/>
      <c r="TV44" s="255"/>
      <c r="TW44" s="255"/>
      <c r="TX44" s="255"/>
      <c r="TY44" s="255"/>
      <c r="TZ44" s="255"/>
      <c r="UA44" s="255"/>
      <c r="UB44" s="255"/>
      <c r="UC44" s="255"/>
      <c r="UD44" s="255"/>
      <c r="UE44" s="255"/>
      <c r="UF44" s="255"/>
      <c r="UG44" s="255"/>
      <c r="UH44" s="255"/>
      <c r="UI44" s="255"/>
      <c r="UJ44" s="255"/>
      <c r="UK44" s="255"/>
      <c r="UL44" s="255"/>
      <c r="UM44" s="255"/>
      <c r="UN44" s="255"/>
      <c r="UO44" s="255"/>
      <c r="UP44" s="255"/>
      <c r="UQ44" s="255"/>
      <c r="UR44" s="255"/>
      <c r="US44" s="255"/>
      <c r="UT44" s="255"/>
      <c r="UU44" s="255"/>
      <c r="UV44" s="255"/>
      <c r="UW44" s="255"/>
      <c r="UX44" s="255"/>
      <c r="UY44" s="255"/>
      <c r="UZ44" s="255"/>
      <c r="VA44" s="255"/>
      <c r="VB44" s="255"/>
      <c r="VC44" s="255"/>
      <c r="VD44" s="255"/>
      <c r="VE44" s="255"/>
      <c r="VF44" s="255"/>
      <c r="VG44" s="255"/>
      <c r="VH44" s="255"/>
      <c r="VI44" s="255"/>
      <c r="VJ44" s="255"/>
      <c r="VK44" s="255"/>
      <c r="VL44" s="255"/>
      <c r="VM44" s="255"/>
      <c r="VN44" s="255"/>
      <c r="VO44" s="255"/>
      <c r="VP44" s="255"/>
      <c r="VQ44" s="255"/>
      <c r="VR44" s="255"/>
      <c r="VS44" s="255"/>
      <c r="VT44" s="255"/>
      <c r="VU44" s="255"/>
      <c r="VV44" s="255"/>
      <c r="VW44" s="255"/>
      <c r="VX44" s="255"/>
      <c r="VY44" s="255"/>
      <c r="VZ44" s="255"/>
      <c r="WA44" s="255"/>
      <c r="WB44" s="255"/>
      <c r="WC44" s="255"/>
      <c r="WD44" s="255"/>
      <c r="WE44" s="255"/>
      <c r="WF44" s="255"/>
      <c r="WG44" s="255"/>
      <c r="WH44" s="255"/>
      <c r="WI44" s="255"/>
      <c r="WJ44" s="255"/>
      <c r="WK44" s="255"/>
      <c r="WL44" s="255"/>
      <c r="WM44" s="255"/>
      <c r="WN44" s="255"/>
      <c r="WO44" s="255"/>
      <c r="WP44" s="255"/>
      <c r="WQ44" s="255"/>
      <c r="WR44" s="255"/>
      <c r="WS44" s="255"/>
      <c r="WT44" s="255"/>
      <c r="WU44" s="255"/>
      <c r="WV44" s="255"/>
      <c r="WW44" s="255"/>
      <c r="WX44" s="255"/>
      <c r="WY44" s="255"/>
      <c r="WZ44" s="255"/>
      <c r="XA44" s="255"/>
      <c r="XB44" s="255"/>
      <c r="XC44" s="255"/>
      <c r="XD44" s="255"/>
      <c r="XE44" s="255"/>
      <c r="XF44" s="255"/>
      <c r="XG44" s="255"/>
      <c r="XH44" s="255"/>
      <c r="XI44" s="255"/>
      <c r="XJ44" s="255"/>
      <c r="XK44" s="255"/>
      <c r="XL44" s="255"/>
      <c r="XM44" s="255"/>
      <c r="XN44" s="255"/>
      <c r="XO44" s="255"/>
      <c r="XP44" s="255"/>
      <c r="XQ44" s="255"/>
      <c r="XR44" s="255"/>
      <c r="XS44" s="255"/>
      <c r="XT44" s="255"/>
      <c r="XU44" s="255"/>
      <c r="XV44" s="255"/>
      <c r="XW44" s="255"/>
      <c r="XX44" s="255"/>
      <c r="XY44" s="255"/>
      <c r="XZ44" s="255"/>
      <c r="YA44" s="255"/>
      <c r="YB44" s="255"/>
      <c r="YC44" s="255"/>
      <c r="YD44" s="255"/>
      <c r="YE44" s="255"/>
      <c r="YF44" s="255"/>
      <c r="YG44" s="255"/>
      <c r="YH44" s="255"/>
      <c r="YI44" s="255"/>
      <c r="YJ44" s="255"/>
      <c r="YK44" s="255"/>
      <c r="YL44" s="255"/>
      <c r="YM44" s="255"/>
      <c r="YN44" s="255"/>
      <c r="YO44" s="255"/>
      <c r="YP44" s="255"/>
      <c r="YQ44" s="255"/>
      <c r="YR44" s="255"/>
      <c r="YS44" s="255"/>
      <c r="YT44" s="255"/>
      <c r="YU44" s="255"/>
      <c r="YV44" s="255"/>
      <c r="YW44" s="255"/>
      <c r="YX44" s="255"/>
      <c r="YY44" s="255"/>
      <c r="YZ44" s="255"/>
      <c r="ZA44" s="255"/>
      <c r="ZB44" s="255"/>
      <c r="ZC44" s="255"/>
      <c r="ZD44" s="255"/>
      <c r="ZE44" s="255"/>
      <c r="ZF44" s="255"/>
      <c r="ZG44" s="255"/>
      <c r="ZH44" s="255"/>
      <c r="ZI44" s="255"/>
      <c r="ZJ44" s="255"/>
      <c r="ZK44" s="255"/>
      <c r="ZL44" s="255"/>
      <c r="ZM44" s="255"/>
      <c r="ZN44" s="255"/>
      <c r="ZO44" s="255"/>
      <c r="ZP44" s="255"/>
      <c r="ZQ44" s="255"/>
      <c r="ZR44" s="255"/>
      <c r="ZS44" s="255"/>
      <c r="ZT44" s="255"/>
      <c r="ZU44" s="255"/>
      <c r="ZV44" s="255"/>
      <c r="ZW44" s="255"/>
      <c r="ZX44" s="255"/>
      <c r="ZY44" s="255"/>
      <c r="ZZ44" s="255"/>
      <c r="AAA44" s="255"/>
      <c r="AAB44" s="255"/>
      <c r="AAC44" s="255"/>
      <c r="AAD44" s="255"/>
      <c r="AAE44" s="255"/>
      <c r="AAF44" s="255"/>
      <c r="AAG44" s="255"/>
      <c r="AAH44" s="255"/>
      <c r="AAI44" s="255"/>
      <c r="AAJ44" s="255"/>
      <c r="AAK44" s="255"/>
      <c r="AAL44" s="255"/>
      <c r="AAM44" s="255"/>
      <c r="AAN44" s="255"/>
      <c r="AAO44" s="255"/>
      <c r="AAP44" s="255"/>
      <c r="AAQ44" s="255"/>
      <c r="AAR44" s="255"/>
      <c r="AAS44" s="255"/>
      <c r="AAT44" s="255"/>
      <c r="AAU44" s="255"/>
      <c r="AAV44" s="255"/>
      <c r="AAW44" s="255"/>
      <c r="AAX44" s="255"/>
      <c r="AAY44" s="255"/>
      <c r="AAZ44" s="255"/>
      <c r="ABA44" s="255"/>
      <c r="ABB44" s="255"/>
      <c r="ABC44" s="255"/>
      <c r="ABD44" s="255"/>
      <c r="ABE44" s="255"/>
      <c r="ABF44" s="255"/>
      <c r="ABG44" s="255"/>
      <c r="ABH44" s="255"/>
      <c r="ABI44" s="255"/>
      <c r="ABJ44" s="255"/>
      <c r="ABK44" s="255"/>
      <c r="ABL44" s="255"/>
      <c r="ABM44" s="255"/>
      <c r="ABN44" s="255"/>
      <c r="ABO44" s="255"/>
      <c r="ABP44" s="255"/>
      <c r="ABQ44" s="255"/>
      <c r="ABR44" s="255"/>
      <c r="ABS44" s="255"/>
      <c r="ABT44" s="255"/>
      <c r="ABU44" s="255"/>
      <c r="ABV44" s="255"/>
      <c r="ABW44" s="255"/>
      <c r="ABX44" s="255"/>
      <c r="ABY44" s="255"/>
      <c r="ABZ44" s="255"/>
      <c r="ACA44" s="255"/>
      <c r="ACB44" s="255"/>
      <c r="ACC44" s="255"/>
      <c r="ACD44" s="255"/>
      <c r="ACE44" s="255"/>
      <c r="ACF44" s="255"/>
      <c r="ACG44" s="255"/>
      <c r="ACH44" s="255"/>
      <c r="ACI44" s="255"/>
      <c r="ACJ44" s="255"/>
      <c r="ACK44" s="255"/>
      <c r="ACL44" s="255"/>
      <c r="ACM44" s="255"/>
      <c r="ACN44" s="255"/>
      <c r="ACO44" s="255"/>
      <c r="ACP44" s="255"/>
      <c r="ACQ44" s="255"/>
      <c r="ACR44" s="255"/>
      <c r="ACS44" s="255"/>
      <c r="ACT44" s="255"/>
      <c r="ACU44" s="255"/>
      <c r="ACV44" s="255"/>
      <c r="ACW44" s="255"/>
      <c r="ACX44" s="255"/>
      <c r="ACY44" s="255"/>
      <c r="ACZ44" s="255"/>
      <c r="ADA44" s="255"/>
      <c r="ADB44" s="255"/>
      <c r="ADC44" s="255"/>
      <c r="ADD44" s="255"/>
      <c r="ADE44" s="255"/>
      <c r="ADF44" s="255"/>
      <c r="ADG44" s="255"/>
      <c r="ADH44" s="255"/>
      <c r="ADI44" s="255"/>
      <c r="ADJ44" s="255"/>
      <c r="ADK44" s="255"/>
      <c r="ADL44" s="255"/>
      <c r="ADM44" s="255"/>
      <c r="ADN44" s="255"/>
      <c r="ADO44" s="255"/>
      <c r="ADP44" s="255"/>
      <c r="ADQ44" s="255"/>
      <c r="ADR44" s="255"/>
      <c r="ADS44" s="255"/>
      <c r="ADT44" s="255"/>
      <c r="ADU44" s="255"/>
      <c r="ADV44" s="255"/>
      <c r="ADW44" s="255"/>
      <c r="ADX44" s="255"/>
      <c r="ADY44" s="255"/>
      <c r="ADZ44" s="255"/>
      <c r="AEA44" s="255"/>
      <c r="AEB44" s="255"/>
      <c r="AEC44" s="255"/>
      <c r="AED44" s="255"/>
      <c r="AEE44" s="255"/>
      <c r="AEF44" s="255"/>
      <c r="AEG44" s="255"/>
      <c r="AEH44" s="255"/>
      <c r="AEI44" s="255"/>
      <c r="AEJ44" s="255"/>
      <c r="AEK44" s="255"/>
      <c r="AEL44" s="255"/>
      <c r="AEM44" s="255"/>
      <c r="AEN44" s="255"/>
      <c r="AEO44" s="255"/>
      <c r="AEP44" s="255"/>
      <c r="AEQ44" s="255"/>
      <c r="AER44" s="255"/>
      <c r="AES44" s="255"/>
      <c r="AET44" s="255"/>
      <c r="AEU44" s="255"/>
      <c r="AEV44" s="255"/>
      <c r="AEW44" s="255"/>
      <c r="AEX44" s="255"/>
      <c r="AEY44" s="255"/>
      <c r="AEZ44" s="255"/>
      <c r="AFA44" s="255"/>
      <c r="AFB44" s="255"/>
      <c r="AFC44" s="255"/>
      <c r="AFD44" s="255"/>
      <c r="AFE44" s="255"/>
      <c r="AFF44" s="255"/>
      <c r="AFG44" s="255"/>
      <c r="AFH44" s="255"/>
      <c r="AFI44" s="255"/>
      <c r="AFJ44" s="255"/>
      <c r="AFK44" s="255"/>
      <c r="AFL44" s="255"/>
      <c r="AFM44" s="255"/>
      <c r="AFN44" s="255"/>
      <c r="AFO44" s="255"/>
      <c r="AFP44" s="255"/>
      <c r="AFQ44" s="255"/>
      <c r="AFR44" s="255"/>
      <c r="AFS44" s="255"/>
      <c r="AFT44" s="255"/>
      <c r="AFU44" s="255"/>
      <c r="AFV44" s="255"/>
      <c r="AFW44" s="255"/>
      <c r="AFX44" s="255"/>
      <c r="AFY44" s="255"/>
      <c r="AFZ44" s="255"/>
      <c r="AGA44" s="255"/>
      <c r="AGB44" s="255"/>
      <c r="AGC44" s="255"/>
      <c r="AGD44" s="255"/>
      <c r="AGE44" s="255"/>
      <c r="AGF44" s="255"/>
      <c r="AGG44" s="255"/>
      <c r="AGH44" s="255"/>
      <c r="AGI44" s="255"/>
      <c r="AGJ44" s="255"/>
      <c r="AGK44" s="255"/>
      <c r="AGL44" s="255"/>
      <c r="AGM44" s="255"/>
      <c r="AGN44" s="255"/>
      <c r="AGO44" s="255"/>
      <c r="AGP44" s="255"/>
      <c r="AGQ44" s="255"/>
      <c r="AGR44" s="255"/>
      <c r="AGS44" s="255"/>
      <c r="AGT44" s="255"/>
      <c r="AGU44" s="255"/>
      <c r="AGV44" s="255"/>
      <c r="AGW44" s="255"/>
      <c r="AGX44" s="255"/>
      <c r="AGY44" s="255"/>
      <c r="AGZ44" s="255"/>
      <c r="AHA44" s="255"/>
      <c r="AHB44" s="255"/>
      <c r="AHC44" s="255"/>
      <c r="AHD44" s="255"/>
      <c r="AHE44" s="255"/>
      <c r="AHF44" s="255"/>
      <c r="AHG44" s="255"/>
      <c r="AHH44" s="255"/>
      <c r="AHI44" s="255"/>
      <c r="AHJ44" s="255"/>
      <c r="AHK44" s="255"/>
      <c r="AHL44" s="255"/>
      <c r="AHM44" s="255"/>
      <c r="AHN44" s="255"/>
      <c r="AHO44" s="255"/>
      <c r="AHP44" s="255"/>
      <c r="AHQ44" s="255"/>
      <c r="AHR44" s="255"/>
      <c r="AHS44" s="255"/>
      <c r="AHT44" s="255"/>
      <c r="AHU44" s="255"/>
      <c r="AHV44" s="255"/>
      <c r="AHW44" s="255"/>
      <c r="AHX44" s="255"/>
      <c r="AHY44" s="255"/>
      <c r="AHZ44" s="255"/>
      <c r="AIA44" s="255"/>
      <c r="AIB44" s="255"/>
      <c r="AIC44" s="255"/>
      <c r="AID44" s="255"/>
      <c r="AIE44" s="255"/>
      <c r="AIF44" s="255"/>
      <c r="AIG44" s="255"/>
      <c r="AIH44" s="255"/>
      <c r="AII44" s="255"/>
      <c r="AIJ44" s="255"/>
      <c r="AIK44" s="255"/>
      <c r="AIL44" s="255"/>
      <c r="AIM44" s="255"/>
      <c r="AIN44" s="255"/>
      <c r="AIO44" s="255"/>
      <c r="AIP44" s="255"/>
      <c r="AIQ44" s="255"/>
      <c r="AIR44" s="255"/>
      <c r="AIS44" s="255"/>
      <c r="AIT44" s="255"/>
      <c r="AIU44" s="255"/>
      <c r="AIV44" s="255"/>
      <c r="AIW44" s="255"/>
      <c r="AIX44" s="255"/>
      <c r="AIY44" s="255"/>
      <c r="AIZ44" s="255"/>
      <c r="AJA44" s="255"/>
      <c r="AJB44" s="255"/>
      <c r="AJC44" s="255"/>
      <c r="AJD44" s="255"/>
      <c r="AJE44" s="255"/>
      <c r="AJF44" s="255"/>
      <c r="AJG44" s="255"/>
      <c r="AJH44" s="255"/>
      <c r="AJI44" s="255"/>
      <c r="AJJ44" s="255"/>
      <c r="AJK44" s="255"/>
      <c r="AJL44" s="255"/>
      <c r="AJM44" s="255"/>
      <c r="AJN44" s="255"/>
      <c r="AJO44" s="255"/>
      <c r="AJP44" s="255"/>
      <c r="AJQ44" s="255"/>
      <c r="AJR44" s="255"/>
      <c r="AJS44" s="255"/>
      <c r="AJT44" s="255"/>
      <c r="AJU44" s="255"/>
      <c r="AJV44" s="255"/>
      <c r="AJW44" s="255"/>
      <c r="AJX44" s="255"/>
      <c r="AJY44" s="255"/>
      <c r="AJZ44" s="255"/>
      <c r="AKA44" s="255"/>
      <c r="AKB44" s="255"/>
      <c r="AKC44" s="255"/>
      <c r="AKD44" s="255"/>
      <c r="AKE44" s="255"/>
      <c r="AKF44" s="255"/>
      <c r="AKG44" s="255"/>
      <c r="AKH44" s="255"/>
      <c r="AKI44" s="255"/>
      <c r="AKJ44" s="255"/>
      <c r="AKK44" s="255"/>
      <c r="AKL44" s="255"/>
      <c r="AKM44" s="255"/>
      <c r="AKN44" s="255"/>
      <c r="AKO44" s="255"/>
      <c r="AKP44" s="255"/>
      <c r="AKQ44" s="255"/>
      <c r="AKR44" s="255"/>
      <c r="AKS44" s="255"/>
      <c r="AKT44" s="255"/>
      <c r="AKU44" s="255"/>
      <c r="AKV44" s="255"/>
      <c r="AKW44" s="255"/>
      <c r="AKX44" s="255"/>
      <c r="AKY44" s="255"/>
      <c r="AKZ44" s="255"/>
      <c r="ALA44" s="255"/>
      <c r="ALB44" s="255"/>
      <c r="ALC44" s="255"/>
      <c r="ALD44" s="255"/>
      <c r="ALE44" s="255"/>
      <c r="ALF44" s="255"/>
      <c r="ALG44" s="255"/>
      <c r="ALH44" s="255"/>
      <c r="ALI44" s="255"/>
      <c r="ALJ44" s="255"/>
      <c r="ALK44" s="255"/>
      <c r="ALL44" s="42"/>
      <c r="ALM44" s="42"/>
      <c r="ALN44" s="42"/>
      <c r="ALO44" s="42"/>
      <c r="ALP44" s="42"/>
      <c r="ALQ44" s="42"/>
      <c r="ALR44" s="42"/>
      <c r="ALS44" s="42"/>
      <c r="ALT44" s="42"/>
    </row>
    <row r="45" spans="1:1008" s="191" customFormat="1">
      <c r="A45" s="251" t="s">
        <v>6307</v>
      </c>
      <c r="B45" s="328">
        <v>308</v>
      </c>
      <c r="C45" s="329" t="str">
        <f>(IF($A45="SINAPI",INDEX(SINAPI_NOV2020_NDES!$A$7:$H$6703,MATCH($B45,SINAPI_NOV2020_NDES!$A$7:$A$6703,0),2),IF($A45="GOINFRA",INDEX(#REF!,MATCH($B45,#REF!,0),2),(INDEX(COMPOS!$A$4:$G$390,MATCH($B45,COMPOS!$A$4:A$390,0),2)))))</f>
        <v>LAJE TRELIÇADA COM ENCHIMENTO EM EPS E CAP ESP. 4CM</v>
      </c>
      <c r="D45" s="274" t="str">
        <f>(IF($A45="SINAPI",INDEX(SINAPI_NOV2020_NDES!$A$7:$H$6790,MATCH($B45,SINAPI_NOV2020_NDES!$A$7:$A$6790,0),3),(INDEX(COMPOS!$A$4:$G$5000,MATCH($B45,COMPOS!$A$4:$A$5000,0),3))))</f>
        <v>M2</v>
      </c>
      <c r="E45" s="276">
        <v>17.8</v>
      </c>
      <c r="F45" s="279">
        <f>(IF($A45="SINAPI",INDEX(SINAPI_NOV2020_NDES!$A$7:$H$6703,MATCH($B45,SINAPI_NOV2020_NDES!$A$7:$A$6703,0),5),(INDEX(COMPOS!$A$4:$G$801,MATCH($B45,COMPOS!$A$4:A$801,0),4))))</f>
        <v>12.489490000000002</v>
      </c>
      <c r="G45" s="280">
        <f>(IF($A45="SINAPI",INDEX(SINAPI_NOV2020_NDES!$A$7:$H$6703,MATCH($B45,SINAPI_NOV2020_NDES!$A$7:$A$6703,0),6),(INDEX(COMPOS!$A$4:$G$801,MATCH($B45,COMPOS!$A$4:A$801,0),5))))</f>
        <v>114.6722</v>
      </c>
      <c r="H45" s="280">
        <f>(IF($A45="SINAPI",INDEX(SINAPI_NOV2020_NDES!$A$7:$H$6703,MATCH($B45,SINAPI_NOV2020_NDES!$A$7:$A$6703,0),7),(INDEX(COMPOS!$A$4:$G$801,MATCH($B45,COMPOS!$A$4:A$801,0),6))))</f>
        <v>0</v>
      </c>
      <c r="I45" s="279">
        <f t="shared" si="14"/>
        <v>127.16169000000001</v>
      </c>
      <c r="J45" s="276">
        <f t="shared" si="15"/>
        <v>2263.4780820000001</v>
      </c>
      <c r="K45" s="255"/>
      <c r="L45" s="255"/>
      <c r="M45" s="255"/>
      <c r="N45" s="255"/>
      <c r="O45" s="257"/>
      <c r="P45" s="223"/>
      <c r="Q45" s="255"/>
      <c r="R45" s="255"/>
      <c r="S45" s="255"/>
      <c r="T45" s="255"/>
      <c r="U45" s="255"/>
      <c r="V45" s="255"/>
      <c r="W45" s="255"/>
      <c r="X45" s="255"/>
      <c r="Y45" s="255"/>
      <c r="Z45" s="255"/>
      <c r="AA45" s="255"/>
      <c r="AB45" s="255"/>
      <c r="AC45" s="255"/>
      <c r="AD45" s="255"/>
      <c r="AE45" s="255"/>
      <c r="AF45" s="255"/>
      <c r="AG45" s="255"/>
      <c r="AH45" s="255"/>
      <c r="AI45" s="255"/>
      <c r="AJ45" s="255"/>
      <c r="AK45" s="255"/>
      <c r="AL45" s="255"/>
      <c r="AM45" s="255"/>
      <c r="AN45" s="255"/>
      <c r="AO45" s="255"/>
      <c r="AP45" s="255"/>
      <c r="AQ45" s="255"/>
      <c r="AR45" s="255"/>
      <c r="AS45" s="255"/>
      <c r="AT45" s="255"/>
      <c r="AU45" s="255"/>
      <c r="AV45" s="255"/>
      <c r="AW45" s="255"/>
      <c r="AX45" s="255"/>
      <c r="AY45" s="255"/>
      <c r="AZ45" s="255"/>
      <c r="BA45" s="255"/>
      <c r="BB45" s="255"/>
      <c r="BC45" s="255"/>
      <c r="BD45" s="255"/>
      <c r="BE45" s="255"/>
      <c r="BF45" s="255"/>
      <c r="BG45" s="255"/>
      <c r="BH45" s="255"/>
      <c r="BI45" s="255"/>
      <c r="BJ45" s="255"/>
      <c r="BK45" s="255"/>
      <c r="BL45" s="255"/>
      <c r="BM45" s="255"/>
      <c r="BN45" s="255"/>
      <c r="BO45" s="255"/>
      <c r="BP45" s="255"/>
      <c r="BQ45" s="255"/>
      <c r="BR45" s="255"/>
      <c r="BS45" s="255"/>
      <c r="BT45" s="255"/>
      <c r="BU45" s="255"/>
      <c r="BV45" s="255"/>
      <c r="BW45" s="255"/>
      <c r="BX45" s="255"/>
      <c r="BY45" s="255"/>
      <c r="BZ45" s="255"/>
      <c r="CA45" s="255"/>
      <c r="CB45" s="255"/>
      <c r="CC45" s="255"/>
      <c r="CD45" s="255"/>
      <c r="CE45" s="255"/>
      <c r="CF45" s="255"/>
      <c r="CG45" s="255"/>
      <c r="CH45" s="255"/>
      <c r="CI45" s="255"/>
      <c r="CJ45" s="255"/>
      <c r="CK45" s="255"/>
      <c r="CL45" s="255"/>
      <c r="CM45" s="255"/>
      <c r="CN45" s="255"/>
      <c r="CO45" s="255"/>
      <c r="CP45" s="255"/>
      <c r="CQ45" s="255"/>
      <c r="CR45" s="255"/>
      <c r="CS45" s="255"/>
      <c r="CT45" s="255"/>
      <c r="CU45" s="255"/>
      <c r="CV45" s="255"/>
      <c r="CW45" s="255"/>
      <c r="CX45" s="255"/>
      <c r="CY45" s="255"/>
      <c r="CZ45" s="255"/>
      <c r="DA45" s="255"/>
      <c r="DB45" s="255"/>
      <c r="DC45" s="255"/>
      <c r="DD45" s="255"/>
      <c r="DE45" s="255"/>
      <c r="DF45" s="255"/>
      <c r="DG45" s="255"/>
      <c r="DH45" s="255"/>
      <c r="DI45" s="255"/>
      <c r="DJ45" s="255"/>
      <c r="DK45" s="255"/>
      <c r="DL45" s="255"/>
      <c r="DM45" s="255"/>
      <c r="DN45" s="255"/>
      <c r="DO45" s="255"/>
      <c r="DP45" s="255"/>
      <c r="DQ45" s="255"/>
      <c r="DR45" s="255"/>
      <c r="DS45" s="255"/>
      <c r="DT45" s="255"/>
      <c r="DU45" s="255"/>
      <c r="DV45" s="255"/>
      <c r="DW45" s="255"/>
      <c r="DX45" s="255"/>
      <c r="DY45" s="255"/>
      <c r="DZ45" s="255"/>
      <c r="EA45" s="255"/>
      <c r="EB45" s="255"/>
      <c r="EC45" s="255"/>
      <c r="ED45" s="255"/>
      <c r="EE45" s="255"/>
      <c r="EF45" s="255"/>
      <c r="EG45" s="255"/>
      <c r="EH45" s="255"/>
      <c r="EI45" s="255"/>
      <c r="EJ45" s="255"/>
      <c r="EK45" s="255"/>
      <c r="EL45" s="255"/>
      <c r="EM45" s="255"/>
      <c r="EN45" s="255"/>
      <c r="EO45" s="255"/>
      <c r="EP45" s="255"/>
      <c r="EQ45" s="255"/>
      <c r="ER45" s="255"/>
      <c r="ES45" s="255"/>
      <c r="ET45" s="255"/>
      <c r="EU45" s="255"/>
      <c r="EV45" s="255"/>
      <c r="EW45" s="255"/>
      <c r="EX45" s="255"/>
      <c r="EY45" s="255"/>
      <c r="EZ45" s="255"/>
      <c r="FA45" s="255"/>
      <c r="FB45" s="255"/>
      <c r="FC45" s="255"/>
      <c r="FD45" s="255"/>
      <c r="FE45" s="255"/>
      <c r="FF45" s="255"/>
      <c r="FG45" s="255"/>
      <c r="FH45" s="255"/>
      <c r="FI45" s="255"/>
      <c r="FJ45" s="255"/>
      <c r="FK45" s="255"/>
      <c r="FL45" s="255"/>
      <c r="FM45" s="255"/>
      <c r="FN45" s="255"/>
      <c r="FO45" s="255"/>
      <c r="FP45" s="255"/>
      <c r="FQ45" s="255"/>
      <c r="FR45" s="255"/>
      <c r="FS45" s="255"/>
      <c r="FT45" s="255"/>
      <c r="FU45" s="255"/>
      <c r="FV45" s="255"/>
      <c r="FW45" s="255"/>
      <c r="FX45" s="255"/>
      <c r="FY45" s="255"/>
      <c r="FZ45" s="255"/>
      <c r="GA45" s="255"/>
      <c r="GB45" s="255"/>
      <c r="GC45" s="255"/>
      <c r="GD45" s="255"/>
      <c r="GE45" s="255"/>
      <c r="GF45" s="255"/>
      <c r="GG45" s="255"/>
      <c r="GH45" s="255"/>
      <c r="GI45" s="255"/>
      <c r="GJ45" s="255"/>
      <c r="GK45" s="255"/>
      <c r="GL45" s="255"/>
      <c r="GM45" s="255"/>
      <c r="GN45" s="255"/>
      <c r="GO45" s="255"/>
      <c r="GP45" s="255"/>
      <c r="GQ45" s="255"/>
      <c r="GR45" s="255"/>
      <c r="GS45" s="255"/>
      <c r="GT45" s="255"/>
      <c r="GU45" s="255"/>
      <c r="GV45" s="255"/>
      <c r="GW45" s="255"/>
      <c r="GX45" s="255"/>
      <c r="GY45" s="255"/>
      <c r="GZ45" s="255"/>
      <c r="HA45" s="255"/>
      <c r="HB45" s="255"/>
      <c r="HC45" s="255"/>
      <c r="HD45" s="255"/>
      <c r="HE45" s="255"/>
      <c r="HF45" s="255"/>
      <c r="HG45" s="255"/>
      <c r="HH45" s="255"/>
      <c r="HI45" s="255"/>
      <c r="HJ45" s="255"/>
      <c r="HK45" s="255"/>
      <c r="HL45" s="255"/>
      <c r="HM45" s="255"/>
      <c r="HN45" s="255"/>
      <c r="HO45" s="255"/>
      <c r="HP45" s="255"/>
      <c r="HQ45" s="255"/>
      <c r="HR45" s="255"/>
      <c r="HS45" s="255"/>
      <c r="HT45" s="255"/>
      <c r="HU45" s="255"/>
      <c r="HV45" s="255"/>
      <c r="HW45" s="255"/>
      <c r="HX45" s="255"/>
      <c r="HY45" s="255"/>
      <c r="HZ45" s="255"/>
      <c r="IA45" s="255"/>
      <c r="IB45" s="255"/>
      <c r="IC45" s="255"/>
      <c r="ID45" s="255"/>
      <c r="IE45" s="255"/>
      <c r="IF45" s="255"/>
      <c r="IG45" s="255"/>
      <c r="IH45" s="255"/>
      <c r="II45" s="255"/>
      <c r="IJ45" s="255"/>
      <c r="IK45" s="255"/>
      <c r="IL45" s="255"/>
      <c r="IM45" s="255"/>
      <c r="IN45" s="255"/>
      <c r="IO45" s="255"/>
      <c r="IP45" s="255"/>
      <c r="IQ45" s="255"/>
      <c r="IR45" s="255"/>
      <c r="IS45" s="255"/>
      <c r="IT45" s="255"/>
      <c r="IU45" s="255"/>
      <c r="IV45" s="255"/>
      <c r="IW45" s="255"/>
      <c r="IX45" s="255"/>
      <c r="IY45" s="255"/>
      <c r="IZ45" s="255"/>
      <c r="JA45" s="255"/>
      <c r="JB45" s="255"/>
      <c r="JC45" s="255"/>
      <c r="JD45" s="255"/>
      <c r="JE45" s="255"/>
      <c r="JF45" s="255"/>
      <c r="JG45" s="255"/>
      <c r="JH45" s="255"/>
      <c r="JI45" s="255"/>
      <c r="JJ45" s="255"/>
      <c r="JK45" s="255"/>
      <c r="JL45" s="255"/>
      <c r="JM45" s="255"/>
      <c r="JN45" s="255"/>
      <c r="JO45" s="255"/>
      <c r="JP45" s="255"/>
      <c r="JQ45" s="255"/>
      <c r="JR45" s="255"/>
      <c r="JS45" s="255"/>
      <c r="JT45" s="255"/>
      <c r="JU45" s="255"/>
      <c r="JV45" s="255"/>
      <c r="JW45" s="255"/>
      <c r="JX45" s="255"/>
      <c r="JY45" s="255"/>
      <c r="JZ45" s="255"/>
      <c r="KA45" s="255"/>
      <c r="KB45" s="255"/>
      <c r="KC45" s="255"/>
      <c r="KD45" s="255"/>
      <c r="KE45" s="255"/>
      <c r="KF45" s="255"/>
      <c r="KG45" s="255"/>
      <c r="KH45" s="255"/>
      <c r="KI45" s="255"/>
      <c r="KJ45" s="255"/>
      <c r="KK45" s="255"/>
      <c r="KL45" s="255"/>
      <c r="KM45" s="255"/>
      <c r="KN45" s="255"/>
      <c r="KO45" s="255"/>
      <c r="KP45" s="255"/>
      <c r="KQ45" s="255"/>
      <c r="KR45" s="255"/>
      <c r="KS45" s="255"/>
      <c r="KT45" s="255"/>
      <c r="KU45" s="255"/>
      <c r="KV45" s="255"/>
      <c r="KW45" s="255"/>
      <c r="KX45" s="255"/>
      <c r="KY45" s="255"/>
      <c r="KZ45" s="255"/>
      <c r="LA45" s="255"/>
      <c r="LB45" s="255"/>
      <c r="LC45" s="255"/>
      <c r="LD45" s="255"/>
      <c r="LE45" s="255"/>
      <c r="LF45" s="255"/>
      <c r="LG45" s="255"/>
      <c r="LH45" s="255"/>
      <c r="LI45" s="255"/>
      <c r="LJ45" s="255"/>
      <c r="LK45" s="255"/>
      <c r="LL45" s="255"/>
      <c r="LM45" s="255"/>
      <c r="LN45" s="255"/>
      <c r="LO45" s="255"/>
      <c r="LP45" s="255"/>
      <c r="LQ45" s="255"/>
      <c r="LR45" s="255"/>
      <c r="LS45" s="255"/>
      <c r="LT45" s="255"/>
      <c r="LU45" s="255"/>
      <c r="LV45" s="255"/>
      <c r="LW45" s="255"/>
      <c r="LX45" s="255"/>
      <c r="LY45" s="255"/>
      <c r="LZ45" s="255"/>
      <c r="MA45" s="255"/>
      <c r="MB45" s="255"/>
      <c r="MC45" s="255"/>
      <c r="MD45" s="255"/>
      <c r="ME45" s="255"/>
      <c r="MF45" s="255"/>
      <c r="MG45" s="255"/>
      <c r="MH45" s="255"/>
      <c r="MI45" s="255"/>
      <c r="MJ45" s="255"/>
      <c r="MK45" s="255"/>
      <c r="ML45" s="255"/>
      <c r="MM45" s="255"/>
      <c r="MN45" s="255"/>
      <c r="MO45" s="255"/>
      <c r="MP45" s="255"/>
      <c r="MQ45" s="255"/>
      <c r="MR45" s="255"/>
      <c r="MS45" s="255"/>
      <c r="MT45" s="255"/>
      <c r="MU45" s="255"/>
      <c r="MV45" s="255"/>
      <c r="MW45" s="255"/>
      <c r="MX45" s="255"/>
      <c r="MY45" s="255"/>
      <c r="MZ45" s="255"/>
      <c r="NA45" s="255"/>
      <c r="NB45" s="255"/>
      <c r="NC45" s="255"/>
      <c r="ND45" s="255"/>
      <c r="NE45" s="255"/>
      <c r="NF45" s="255"/>
      <c r="NG45" s="255"/>
      <c r="NH45" s="255"/>
      <c r="NI45" s="255"/>
      <c r="NJ45" s="255"/>
      <c r="NK45" s="255"/>
      <c r="NL45" s="255"/>
      <c r="NM45" s="255"/>
      <c r="NN45" s="255"/>
      <c r="NO45" s="255"/>
      <c r="NP45" s="255"/>
      <c r="NQ45" s="255"/>
      <c r="NR45" s="255"/>
      <c r="NS45" s="255"/>
      <c r="NT45" s="255"/>
      <c r="NU45" s="255"/>
      <c r="NV45" s="255"/>
      <c r="NW45" s="255"/>
      <c r="NX45" s="255"/>
      <c r="NY45" s="255"/>
      <c r="NZ45" s="255"/>
      <c r="OA45" s="255"/>
      <c r="OB45" s="255"/>
      <c r="OC45" s="255"/>
      <c r="OD45" s="255"/>
      <c r="OE45" s="255"/>
      <c r="OF45" s="255"/>
      <c r="OG45" s="255"/>
      <c r="OH45" s="255"/>
      <c r="OI45" s="255"/>
      <c r="OJ45" s="255"/>
      <c r="OK45" s="255"/>
      <c r="OL45" s="255"/>
      <c r="OM45" s="255"/>
      <c r="ON45" s="255"/>
      <c r="OO45" s="255"/>
      <c r="OP45" s="255"/>
      <c r="OQ45" s="255"/>
      <c r="OR45" s="255"/>
      <c r="OS45" s="255"/>
      <c r="OT45" s="255"/>
      <c r="OU45" s="255"/>
      <c r="OV45" s="255"/>
      <c r="OW45" s="255"/>
      <c r="OX45" s="255"/>
      <c r="OY45" s="255"/>
      <c r="OZ45" s="255"/>
      <c r="PA45" s="255"/>
      <c r="PB45" s="255"/>
      <c r="PC45" s="255"/>
      <c r="PD45" s="255"/>
      <c r="PE45" s="255"/>
      <c r="PF45" s="255"/>
      <c r="PG45" s="255"/>
      <c r="PH45" s="255"/>
      <c r="PI45" s="255"/>
      <c r="PJ45" s="255"/>
      <c r="PK45" s="255"/>
      <c r="PL45" s="255"/>
      <c r="PM45" s="255"/>
      <c r="PN45" s="255"/>
      <c r="PO45" s="255"/>
      <c r="PP45" s="255"/>
      <c r="PQ45" s="255"/>
      <c r="PR45" s="255"/>
      <c r="PS45" s="255"/>
      <c r="PT45" s="255"/>
      <c r="PU45" s="255"/>
      <c r="PV45" s="255"/>
      <c r="PW45" s="255"/>
      <c r="PX45" s="255"/>
      <c r="PY45" s="255"/>
      <c r="PZ45" s="255"/>
      <c r="QA45" s="255"/>
      <c r="QB45" s="255"/>
      <c r="QC45" s="255"/>
      <c r="QD45" s="255"/>
      <c r="QE45" s="255"/>
      <c r="QF45" s="255"/>
      <c r="QG45" s="255"/>
      <c r="QH45" s="255"/>
      <c r="QI45" s="255"/>
      <c r="QJ45" s="255"/>
      <c r="QK45" s="255"/>
      <c r="QL45" s="255"/>
      <c r="QM45" s="255"/>
      <c r="QN45" s="255"/>
      <c r="QO45" s="255"/>
      <c r="QP45" s="255"/>
      <c r="QQ45" s="255"/>
      <c r="QR45" s="255"/>
      <c r="QS45" s="255"/>
      <c r="QT45" s="255"/>
      <c r="QU45" s="255"/>
      <c r="QV45" s="255"/>
      <c r="QW45" s="255"/>
      <c r="QX45" s="255"/>
      <c r="QY45" s="255"/>
      <c r="QZ45" s="255"/>
      <c r="RA45" s="255"/>
      <c r="RB45" s="255"/>
      <c r="RC45" s="255"/>
      <c r="RD45" s="255"/>
      <c r="RE45" s="255"/>
      <c r="RF45" s="255"/>
      <c r="RG45" s="255"/>
      <c r="RH45" s="255"/>
      <c r="RI45" s="255"/>
      <c r="RJ45" s="255"/>
      <c r="RK45" s="255"/>
      <c r="RL45" s="255"/>
      <c r="RM45" s="255"/>
      <c r="RN45" s="255"/>
      <c r="RO45" s="255"/>
      <c r="RP45" s="255"/>
      <c r="RQ45" s="255"/>
      <c r="RR45" s="255"/>
      <c r="RS45" s="255"/>
      <c r="RT45" s="255"/>
      <c r="RU45" s="255"/>
      <c r="RV45" s="255"/>
      <c r="RW45" s="255"/>
      <c r="RX45" s="255"/>
      <c r="RY45" s="255"/>
      <c r="RZ45" s="255"/>
      <c r="SA45" s="255"/>
      <c r="SB45" s="255"/>
      <c r="SC45" s="255"/>
      <c r="SD45" s="255"/>
      <c r="SE45" s="255"/>
      <c r="SF45" s="255"/>
      <c r="SG45" s="255"/>
      <c r="SH45" s="255"/>
      <c r="SI45" s="255"/>
      <c r="SJ45" s="255"/>
      <c r="SK45" s="255"/>
      <c r="SL45" s="255"/>
      <c r="SM45" s="255"/>
      <c r="SN45" s="255"/>
      <c r="SO45" s="255"/>
      <c r="SP45" s="255"/>
      <c r="SQ45" s="255"/>
      <c r="SR45" s="255"/>
      <c r="SS45" s="255"/>
      <c r="ST45" s="255"/>
      <c r="SU45" s="255"/>
      <c r="SV45" s="255"/>
      <c r="SW45" s="255"/>
      <c r="SX45" s="255"/>
      <c r="SY45" s="255"/>
      <c r="SZ45" s="255"/>
      <c r="TA45" s="255"/>
      <c r="TB45" s="255"/>
      <c r="TC45" s="255"/>
      <c r="TD45" s="255"/>
      <c r="TE45" s="255"/>
      <c r="TF45" s="255"/>
      <c r="TG45" s="255"/>
      <c r="TH45" s="255"/>
      <c r="TI45" s="255"/>
      <c r="TJ45" s="255"/>
      <c r="TK45" s="255"/>
      <c r="TL45" s="255"/>
      <c r="TM45" s="255"/>
      <c r="TN45" s="255"/>
      <c r="TO45" s="255"/>
      <c r="TP45" s="255"/>
      <c r="TQ45" s="255"/>
      <c r="TR45" s="255"/>
      <c r="TS45" s="255"/>
      <c r="TT45" s="255"/>
      <c r="TU45" s="255"/>
      <c r="TV45" s="255"/>
      <c r="TW45" s="255"/>
      <c r="TX45" s="255"/>
      <c r="TY45" s="255"/>
      <c r="TZ45" s="255"/>
      <c r="UA45" s="255"/>
      <c r="UB45" s="255"/>
      <c r="UC45" s="255"/>
      <c r="UD45" s="255"/>
      <c r="UE45" s="255"/>
      <c r="UF45" s="255"/>
      <c r="UG45" s="255"/>
      <c r="UH45" s="255"/>
      <c r="UI45" s="255"/>
      <c r="UJ45" s="255"/>
      <c r="UK45" s="255"/>
      <c r="UL45" s="255"/>
      <c r="UM45" s="255"/>
      <c r="UN45" s="255"/>
      <c r="UO45" s="255"/>
      <c r="UP45" s="255"/>
      <c r="UQ45" s="255"/>
      <c r="UR45" s="255"/>
      <c r="US45" s="255"/>
      <c r="UT45" s="255"/>
      <c r="UU45" s="255"/>
      <c r="UV45" s="255"/>
      <c r="UW45" s="255"/>
      <c r="UX45" s="255"/>
      <c r="UY45" s="255"/>
      <c r="UZ45" s="255"/>
      <c r="VA45" s="255"/>
      <c r="VB45" s="255"/>
      <c r="VC45" s="255"/>
      <c r="VD45" s="255"/>
      <c r="VE45" s="255"/>
      <c r="VF45" s="255"/>
      <c r="VG45" s="255"/>
      <c r="VH45" s="255"/>
      <c r="VI45" s="255"/>
      <c r="VJ45" s="255"/>
      <c r="VK45" s="255"/>
      <c r="VL45" s="255"/>
      <c r="VM45" s="255"/>
      <c r="VN45" s="255"/>
      <c r="VO45" s="255"/>
      <c r="VP45" s="255"/>
      <c r="VQ45" s="255"/>
      <c r="VR45" s="255"/>
      <c r="VS45" s="255"/>
      <c r="VT45" s="255"/>
      <c r="VU45" s="255"/>
      <c r="VV45" s="255"/>
      <c r="VW45" s="255"/>
      <c r="VX45" s="255"/>
      <c r="VY45" s="255"/>
      <c r="VZ45" s="255"/>
      <c r="WA45" s="255"/>
      <c r="WB45" s="255"/>
      <c r="WC45" s="255"/>
      <c r="WD45" s="255"/>
      <c r="WE45" s="255"/>
      <c r="WF45" s="255"/>
      <c r="WG45" s="255"/>
      <c r="WH45" s="255"/>
      <c r="WI45" s="255"/>
      <c r="WJ45" s="255"/>
      <c r="WK45" s="255"/>
      <c r="WL45" s="255"/>
      <c r="WM45" s="255"/>
      <c r="WN45" s="255"/>
      <c r="WO45" s="255"/>
      <c r="WP45" s="255"/>
      <c r="WQ45" s="255"/>
      <c r="WR45" s="255"/>
      <c r="WS45" s="255"/>
      <c r="WT45" s="255"/>
      <c r="WU45" s="255"/>
      <c r="WV45" s="255"/>
      <c r="WW45" s="255"/>
      <c r="WX45" s="255"/>
      <c r="WY45" s="255"/>
      <c r="WZ45" s="255"/>
      <c r="XA45" s="255"/>
      <c r="XB45" s="255"/>
      <c r="XC45" s="255"/>
      <c r="XD45" s="255"/>
      <c r="XE45" s="255"/>
      <c r="XF45" s="255"/>
      <c r="XG45" s="255"/>
      <c r="XH45" s="255"/>
      <c r="XI45" s="255"/>
      <c r="XJ45" s="255"/>
      <c r="XK45" s="255"/>
      <c r="XL45" s="255"/>
      <c r="XM45" s="255"/>
      <c r="XN45" s="255"/>
      <c r="XO45" s="255"/>
      <c r="XP45" s="255"/>
      <c r="XQ45" s="255"/>
      <c r="XR45" s="255"/>
      <c r="XS45" s="255"/>
      <c r="XT45" s="255"/>
      <c r="XU45" s="255"/>
      <c r="XV45" s="255"/>
      <c r="XW45" s="255"/>
      <c r="XX45" s="255"/>
      <c r="XY45" s="255"/>
      <c r="XZ45" s="255"/>
      <c r="YA45" s="255"/>
      <c r="YB45" s="255"/>
      <c r="YC45" s="255"/>
      <c r="YD45" s="255"/>
      <c r="YE45" s="255"/>
      <c r="YF45" s="255"/>
      <c r="YG45" s="255"/>
      <c r="YH45" s="255"/>
      <c r="YI45" s="255"/>
      <c r="YJ45" s="255"/>
      <c r="YK45" s="255"/>
      <c r="YL45" s="255"/>
      <c r="YM45" s="255"/>
      <c r="YN45" s="255"/>
      <c r="YO45" s="255"/>
      <c r="YP45" s="255"/>
      <c r="YQ45" s="255"/>
      <c r="YR45" s="255"/>
      <c r="YS45" s="255"/>
      <c r="YT45" s="255"/>
      <c r="YU45" s="255"/>
      <c r="YV45" s="255"/>
      <c r="YW45" s="255"/>
      <c r="YX45" s="255"/>
      <c r="YY45" s="255"/>
      <c r="YZ45" s="255"/>
      <c r="ZA45" s="255"/>
      <c r="ZB45" s="255"/>
      <c r="ZC45" s="255"/>
      <c r="ZD45" s="255"/>
      <c r="ZE45" s="255"/>
      <c r="ZF45" s="255"/>
      <c r="ZG45" s="255"/>
      <c r="ZH45" s="255"/>
      <c r="ZI45" s="255"/>
      <c r="ZJ45" s="255"/>
      <c r="ZK45" s="255"/>
      <c r="ZL45" s="255"/>
      <c r="ZM45" s="255"/>
      <c r="ZN45" s="255"/>
      <c r="ZO45" s="255"/>
      <c r="ZP45" s="255"/>
      <c r="ZQ45" s="255"/>
      <c r="ZR45" s="255"/>
      <c r="ZS45" s="255"/>
      <c r="ZT45" s="255"/>
      <c r="ZU45" s="255"/>
      <c r="ZV45" s="255"/>
      <c r="ZW45" s="255"/>
      <c r="ZX45" s="255"/>
      <c r="ZY45" s="255"/>
      <c r="ZZ45" s="255"/>
      <c r="AAA45" s="255"/>
      <c r="AAB45" s="255"/>
      <c r="AAC45" s="255"/>
      <c r="AAD45" s="255"/>
      <c r="AAE45" s="255"/>
      <c r="AAF45" s="255"/>
      <c r="AAG45" s="255"/>
      <c r="AAH45" s="255"/>
      <c r="AAI45" s="255"/>
      <c r="AAJ45" s="255"/>
      <c r="AAK45" s="255"/>
      <c r="AAL45" s="255"/>
      <c r="AAM45" s="255"/>
      <c r="AAN45" s="255"/>
      <c r="AAO45" s="255"/>
      <c r="AAP45" s="255"/>
      <c r="AAQ45" s="255"/>
      <c r="AAR45" s="255"/>
      <c r="AAS45" s="255"/>
      <c r="AAT45" s="255"/>
      <c r="AAU45" s="255"/>
      <c r="AAV45" s="255"/>
      <c r="AAW45" s="255"/>
      <c r="AAX45" s="255"/>
      <c r="AAY45" s="255"/>
      <c r="AAZ45" s="255"/>
      <c r="ABA45" s="255"/>
      <c r="ABB45" s="255"/>
      <c r="ABC45" s="255"/>
      <c r="ABD45" s="255"/>
      <c r="ABE45" s="255"/>
      <c r="ABF45" s="255"/>
      <c r="ABG45" s="255"/>
      <c r="ABH45" s="255"/>
      <c r="ABI45" s="255"/>
      <c r="ABJ45" s="255"/>
      <c r="ABK45" s="255"/>
      <c r="ABL45" s="255"/>
      <c r="ABM45" s="255"/>
      <c r="ABN45" s="255"/>
      <c r="ABO45" s="255"/>
      <c r="ABP45" s="255"/>
      <c r="ABQ45" s="255"/>
      <c r="ABR45" s="255"/>
      <c r="ABS45" s="255"/>
      <c r="ABT45" s="255"/>
      <c r="ABU45" s="255"/>
      <c r="ABV45" s="255"/>
      <c r="ABW45" s="255"/>
      <c r="ABX45" s="255"/>
      <c r="ABY45" s="255"/>
      <c r="ABZ45" s="255"/>
      <c r="ACA45" s="255"/>
      <c r="ACB45" s="255"/>
      <c r="ACC45" s="255"/>
      <c r="ACD45" s="255"/>
      <c r="ACE45" s="255"/>
      <c r="ACF45" s="255"/>
      <c r="ACG45" s="255"/>
      <c r="ACH45" s="255"/>
      <c r="ACI45" s="255"/>
      <c r="ACJ45" s="255"/>
      <c r="ACK45" s="255"/>
      <c r="ACL45" s="255"/>
      <c r="ACM45" s="255"/>
      <c r="ACN45" s="255"/>
      <c r="ACO45" s="255"/>
      <c r="ACP45" s="255"/>
      <c r="ACQ45" s="255"/>
      <c r="ACR45" s="255"/>
      <c r="ACS45" s="255"/>
      <c r="ACT45" s="255"/>
      <c r="ACU45" s="255"/>
      <c r="ACV45" s="255"/>
      <c r="ACW45" s="255"/>
      <c r="ACX45" s="255"/>
      <c r="ACY45" s="255"/>
      <c r="ACZ45" s="255"/>
      <c r="ADA45" s="255"/>
      <c r="ADB45" s="255"/>
      <c r="ADC45" s="255"/>
      <c r="ADD45" s="255"/>
      <c r="ADE45" s="255"/>
      <c r="ADF45" s="255"/>
      <c r="ADG45" s="255"/>
      <c r="ADH45" s="255"/>
      <c r="ADI45" s="255"/>
      <c r="ADJ45" s="255"/>
      <c r="ADK45" s="255"/>
      <c r="ADL45" s="255"/>
      <c r="ADM45" s="255"/>
      <c r="ADN45" s="255"/>
      <c r="ADO45" s="255"/>
      <c r="ADP45" s="255"/>
      <c r="ADQ45" s="255"/>
      <c r="ADR45" s="255"/>
      <c r="ADS45" s="255"/>
      <c r="ADT45" s="255"/>
      <c r="ADU45" s="255"/>
      <c r="ADV45" s="255"/>
      <c r="ADW45" s="255"/>
      <c r="ADX45" s="255"/>
      <c r="ADY45" s="255"/>
      <c r="ADZ45" s="255"/>
      <c r="AEA45" s="255"/>
      <c r="AEB45" s="255"/>
      <c r="AEC45" s="255"/>
      <c r="AED45" s="255"/>
      <c r="AEE45" s="255"/>
      <c r="AEF45" s="255"/>
      <c r="AEG45" s="255"/>
      <c r="AEH45" s="255"/>
      <c r="AEI45" s="255"/>
      <c r="AEJ45" s="255"/>
      <c r="AEK45" s="255"/>
      <c r="AEL45" s="255"/>
      <c r="AEM45" s="255"/>
      <c r="AEN45" s="255"/>
      <c r="AEO45" s="255"/>
      <c r="AEP45" s="255"/>
      <c r="AEQ45" s="255"/>
      <c r="AER45" s="255"/>
      <c r="AES45" s="255"/>
      <c r="AET45" s="255"/>
      <c r="AEU45" s="255"/>
      <c r="AEV45" s="255"/>
      <c r="AEW45" s="255"/>
      <c r="AEX45" s="255"/>
      <c r="AEY45" s="255"/>
      <c r="AEZ45" s="255"/>
      <c r="AFA45" s="255"/>
      <c r="AFB45" s="255"/>
      <c r="AFC45" s="255"/>
      <c r="AFD45" s="255"/>
      <c r="AFE45" s="255"/>
      <c r="AFF45" s="255"/>
      <c r="AFG45" s="255"/>
      <c r="AFH45" s="255"/>
      <c r="AFI45" s="255"/>
      <c r="AFJ45" s="255"/>
      <c r="AFK45" s="255"/>
      <c r="AFL45" s="255"/>
      <c r="AFM45" s="255"/>
      <c r="AFN45" s="255"/>
      <c r="AFO45" s="255"/>
      <c r="AFP45" s="255"/>
      <c r="AFQ45" s="255"/>
      <c r="AFR45" s="255"/>
      <c r="AFS45" s="255"/>
      <c r="AFT45" s="255"/>
      <c r="AFU45" s="255"/>
      <c r="AFV45" s="255"/>
      <c r="AFW45" s="255"/>
      <c r="AFX45" s="255"/>
      <c r="AFY45" s="255"/>
      <c r="AFZ45" s="255"/>
      <c r="AGA45" s="255"/>
      <c r="AGB45" s="255"/>
      <c r="AGC45" s="255"/>
      <c r="AGD45" s="255"/>
      <c r="AGE45" s="255"/>
      <c r="AGF45" s="255"/>
      <c r="AGG45" s="255"/>
      <c r="AGH45" s="255"/>
      <c r="AGI45" s="255"/>
      <c r="AGJ45" s="255"/>
      <c r="AGK45" s="255"/>
      <c r="AGL45" s="255"/>
      <c r="AGM45" s="255"/>
      <c r="AGN45" s="255"/>
      <c r="AGO45" s="255"/>
      <c r="AGP45" s="255"/>
      <c r="AGQ45" s="255"/>
      <c r="AGR45" s="255"/>
      <c r="AGS45" s="255"/>
      <c r="AGT45" s="255"/>
      <c r="AGU45" s="255"/>
      <c r="AGV45" s="255"/>
      <c r="AGW45" s="255"/>
      <c r="AGX45" s="255"/>
      <c r="AGY45" s="255"/>
      <c r="AGZ45" s="255"/>
      <c r="AHA45" s="255"/>
      <c r="AHB45" s="255"/>
      <c r="AHC45" s="255"/>
      <c r="AHD45" s="255"/>
      <c r="AHE45" s="255"/>
      <c r="AHF45" s="255"/>
      <c r="AHG45" s="255"/>
      <c r="AHH45" s="255"/>
      <c r="AHI45" s="255"/>
      <c r="AHJ45" s="255"/>
      <c r="AHK45" s="255"/>
      <c r="AHL45" s="255"/>
      <c r="AHM45" s="255"/>
      <c r="AHN45" s="255"/>
      <c r="AHO45" s="255"/>
      <c r="AHP45" s="255"/>
      <c r="AHQ45" s="255"/>
      <c r="AHR45" s="255"/>
      <c r="AHS45" s="255"/>
      <c r="AHT45" s="255"/>
      <c r="AHU45" s="255"/>
      <c r="AHV45" s="255"/>
      <c r="AHW45" s="255"/>
      <c r="AHX45" s="255"/>
      <c r="AHY45" s="255"/>
      <c r="AHZ45" s="255"/>
      <c r="AIA45" s="255"/>
      <c r="AIB45" s="255"/>
      <c r="AIC45" s="255"/>
      <c r="AID45" s="255"/>
      <c r="AIE45" s="255"/>
      <c r="AIF45" s="255"/>
      <c r="AIG45" s="255"/>
      <c r="AIH45" s="255"/>
      <c r="AII45" s="255"/>
      <c r="AIJ45" s="255"/>
      <c r="AIK45" s="255"/>
      <c r="AIL45" s="255"/>
      <c r="AIM45" s="255"/>
      <c r="AIN45" s="255"/>
      <c r="AIO45" s="255"/>
      <c r="AIP45" s="255"/>
      <c r="AIQ45" s="255"/>
      <c r="AIR45" s="255"/>
      <c r="AIS45" s="255"/>
      <c r="AIT45" s="255"/>
      <c r="AIU45" s="255"/>
      <c r="AIV45" s="255"/>
      <c r="AIW45" s="255"/>
      <c r="AIX45" s="255"/>
      <c r="AIY45" s="255"/>
      <c r="AIZ45" s="255"/>
      <c r="AJA45" s="255"/>
      <c r="AJB45" s="255"/>
      <c r="AJC45" s="255"/>
      <c r="AJD45" s="255"/>
      <c r="AJE45" s="255"/>
      <c r="AJF45" s="255"/>
      <c r="AJG45" s="255"/>
      <c r="AJH45" s="255"/>
      <c r="AJI45" s="255"/>
      <c r="AJJ45" s="255"/>
      <c r="AJK45" s="255"/>
      <c r="AJL45" s="255"/>
      <c r="AJM45" s="255"/>
      <c r="AJN45" s="255"/>
      <c r="AJO45" s="255"/>
      <c r="AJP45" s="255"/>
      <c r="AJQ45" s="255"/>
      <c r="AJR45" s="255"/>
      <c r="AJS45" s="255"/>
      <c r="AJT45" s="255"/>
      <c r="AJU45" s="255"/>
      <c r="AJV45" s="255"/>
      <c r="AJW45" s="255"/>
      <c r="AJX45" s="255"/>
      <c r="AJY45" s="255"/>
      <c r="AJZ45" s="255"/>
      <c r="AKA45" s="255"/>
      <c r="AKB45" s="255"/>
      <c r="AKC45" s="255"/>
      <c r="AKD45" s="255"/>
      <c r="AKE45" s="255"/>
      <c r="AKF45" s="255"/>
      <c r="AKG45" s="255"/>
      <c r="AKH45" s="255"/>
      <c r="AKI45" s="255"/>
      <c r="AKJ45" s="255"/>
      <c r="AKK45" s="255"/>
      <c r="AKL45" s="255"/>
      <c r="AKM45" s="255"/>
      <c r="AKN45" s="255"/>
      <c r="AKO45" s="255"/>
      <c r="AKP45" s="255"/>
      <c r="AKQ45" s="255"/>
      <c r="AKR45" s="255"/>
      <c r="AKS45" s="255"/>
      <c r="AKT45" s="255"/>
      <c r="AKU45" s="255"/>
      <c r="AKV45" s="255"/>
      <c r="AKW45" s="255"/>
      <c r="AKX45" s="255"/>
      <c r="AKY45" s="255"/>
      <c r="AKZ45" s="255"/>
      <c r="ALA45" s="255"/>
      <c r="ALB45" s="255"/>
      <c r="ALC45" s="255"/>
      <c r="ALD45" s="255"/>
      <c r="ALE45" s="255"/>
      <c r="ALF45" s="255"/>
      <c r="ALG45" s="255"/>
      <c r="ALH45" s="255"/>
      <c r="ALI45" s="255"/>
      <c r="ALJ45" s="255"/>
      <c r="ALK45" s="255"/>
      <c r="ALL45" s="42"/>
      <c r="ALM45" s="42"/>
      <c r="ALN45" s="42"/>
      <c r="ALO45" s="42"/>
      <c r="ALP45" s="42"/>
      <c r="ALQ45" s="42"/>
      <c r="ALR45" s="42"/>
      <c r="ALS45" s="42"/>
      <c r="ALT45" s="42"/>
    </row>
    <row r="46" spans="1:1008" s="191" customFormat="1">
      <c r="A46" s="251" t="s">
        <v>6307</v>
      </c>
      <c r="B46" s="328">
        <v>309</v>
      </c>
      <c r="C46" s="329" t="str">
        <f>(IF($A46="SINAPI",INDEX(SINAPI_NOV2020_NDES!$A$7:$H$6703,MATCH($B46,SINAPI_NOV2020_NDES!$A$7:$A$6703,0),2),IF($A46="GOINFRA",INDEX(#REF!,MATCH($B46,#REF!,0),2),(INDEX(COMPOS!$A$4:$G$390,MATCH($B46,COMPOS!$A$4:A$390,0),2)))))</f>
        <v>VERGA/CONTRAVERGA EM CONCRETO ARMADO CK=20MPA</v>
      </c>
      <c r="D46" s="274" t="str">
        <f>(IF($A46="SINAPI",INDEX(SINAPI_NOV2020_NDES!$A$7:$H$6790,MATCH($B46,SINAPI_NOV2020_NDES!$A$7:$A$6790,0),3),(INDEX(COMPOS!$A$4:$G$5000,MATCH($B46,COMPOS!$A$4:$A$5000,0),3))))</f>
        <v>M3</v>
      </c>
      <c r="E46" s="276">
        <v>0.11</v>
      </c>
      <c r="F46" s="279">
        <f>(IF($A46="SINAPI",INDEX(SINAPI_NOV2020_NDES!$A$7:$H$6703,MATCH($B46,SINAPI_NOV2020_NDES!$A$7:$A$6703,0),5),(INDEX(COMPOS!$A$4:$G$801,MATCH($B46,COMPOS!$A$4:A$801,0),4))))</f>
        <v>773.423723</v>
      </c>
      <c r="G46" s="280">
        <f>(IF($A46="SINAPI",INDEX(SINAPI_NOV2020_NDES!$A$7:$H$6703,MATCH($B46,SINAPI_NOV2020_NDES!$A$7:$A$6703,0),6),(INDEX(COMPOS!$A$4:$G$801,MATCH($B46,COMPOS!$A$4:A$801,0),5))))</f>
        <v>1566.03586</v>
      </c>
      <c r="H46" s="280">
        <f>(IF($A46="SINAPI",INDEX(SINAPI_NOV2020_NDES!$A$7:$H$6703,MATCH($B46,SINAPI_NOV2020_NDES!$A$7:$A$6703,0),7),(INDEX(COMPOS!$A$4:$G$801,MATCH($B46,COMPOS!$A$4:A$801,0),6))))</f>
        <v>0</v>
      </c>
      <c r="I46" s="279">
        <f t="shared" si="14"/>
        <v>2339.4595829999998</v>
      </c>
      <c r="J46" s="276">
        <f t="shared" si="15"/>
        <v>257.34055412999999</v>
      </c>
      <c r="K46" s="255"/>
      <c r="L46" s="255"/>
      <c r="M46" s="255"/>
      <c r="N46" s="255"/>
      <c r="O46" s="257"/>
      <c r="P46" s="223"/>
      <c r="Q46" s="255"/>
      <c r="R46" s="255"/>
      <c r="S46" s="255"/>
      <c r="T46" s="255"/>
      <c r="U46" s="255"/>
      <c r="V46" s="255"/>
      <c r="W46" s="255"/>
      <c r="X46" s="255"/>
      <c r="Y46" s="255"/>
      <c r="Z46" s="255"/>
      <c r="AA46" s="255"/>
      <c r="AB46" s="255"/>
      <c r="AC46" s="255"/>
      <c r="AD46" s="255"/>
      <c r="AE46" s="255"/>
      <c r="AF46" s="255"/>
      <c r="AG46" s="255"/>
      <c r="AH46" s="255"/>
      <c r="AI46" s="255"/>
      <c r="AJ46" s="255"/>
      <c r="AK46" s="255"/>
      <c r="AL46" s="255"/>
      <c r="AM46" s="255"/>
      <c r="AN46" s="255"/>
      <c r="AO46" s="255"/>
      <c r="AP46" s="255"/>
      <c r="AQ46" s="255"/>
      <c r="AR46" s="255"/>
      <c r="AS46" s="255"/>
      <c r="AT46" s="255"/>
      <c r="AU46" s="255"/>
      <c r="AV46" s="255"/>
      <c r="AW46" s="255"/>
      <c r="AX46" s="255"/>
      <c r="AY46" s="255"/>
      <c r="AZ46" s="255"/>
      <c r="BA46" s="255"/>
      <c r="BB46" s="255"/>
      <c r="BC46" s="255"/>
      <c r="BD46" s="255"/>
      <c r="BE46" s="255"/>
      <c r="BF46" s="255"/>
      <c r="BG46" s="255"/>
      <c r="BH46" s="255"/>
      <c r="BI46" s="255"/>
      <c r="BJ46" s="255"/>
      <c r="BK46" s="255"/>
      <c r="BL46" s="255"/>
      <c r="BM46" s="255"/>
      <c r="BN46" s="255"/>
      <c r="BO46" s="255"/>
      <c r="BP46" s="255"/>
      <c r="BQ46" s="255"/>
      <c r="BR46" s="255"/>
      <c r="BS46" s="255"/>
      <c r="BT46" s="255"/>
      <c r="BU46" s="255"/>
      <c r="BV46" s="255"/>
      <c r="BW46" s="255"/>
      <c r="BX46" s="255"/>
      <c r="BY46" s="255"/>
      <c r="BZ46" s="255"/>
      <c r="CA46" s="255"/>
      <c r="CB46" s="255"/>
      <c r="CC46" s="255"/>
      <c r="CD46" s="255"/>
      <c r="CE46" s="255"/>
      <c r="CF46" s="255"/>
      <c r="CG46" s="255"/>
      <c r="CH46" s="255"/>
      <c r="CI46" s="255"/>
      <c r="CJ46" s="255"/>
      <c r="CK46" s="255"/>
      <c r="CL46" s="255"/>
      <c r="CM46" s="255"/>
      <c r="CN46" s="255"/>
      <c r="CO46" s="255"/>
      <c r="CP46" s="255"/>
      <c r="CQ46" s="255"/>
      <c r="CR46" s="255"/>
      <c r="CS46" s="255"/>
      <c r="CT46" s="255"/>
      <c r="CU46" s="255"/>
      <c r="CV46" s="255"/>
      <c r="CW46" s="255"/>
      <c r="CX46" s="255"/>
      <c r="CY46" s="255"/>
      <c r="CZ46" s="255"/>
      <c r="DA46" s="255"/>
      <c r="DB46" s="255"/>
      <c r="DC46" s="255"/>
      <c r="DD46" s="255"/>
      <c r="DE46" s="255"/>
      <c r="DF46" s="255"/>
      <c r="DG46" s="255"/>
      <c r="DH46" s="255"/>
      <c r="DI46" s="255"/>
      <c r="DJ46" s="255"/>
      <c r="DK46" s="255"/>
      <c r="DL46" s="255"/>
      <c r="DM46" s="255"/>
      <c r="DN46" s="255"/>
      <c r="DO46" s="255"/>
      <c r="DP46" s="255"/>
      <c r="DQ46" s="255"/>
      <c r="DR46" s="255"/>
      <c r="DS46" s="255"/>
      <c r="DT46" s="255"/>
      <c r="DU46" s="255"/>
      <c r="DV46" s="255"/>
      <c r="DW46" s="255"/>
      <c r="DX46" s="255"/>
      <c r="DY46" s="255"/>
      <c r="DZ46" s="255"/>
      <c r="EA46" s="255"/>
      <c r="EB46" s="255"/>
      <c r="EC46" s="255"/>
      <c r="ED46" s="255"/>
      <c r="EE46" s="255"/>
      <c r="EF46" s="255"/>
      <c r="EG46" s="255"/>
      <c r="EH46" s="255"/>
      <c r="EI46" s="255"/>
      <c r="EJ46" s="255"/>
      <c r="EK46" s="255"/>
      <c r="EL46" s="255"/>
      <c r="EM46" s="255"/>
      <c r="EN46" s="255"/>
      <c r="EO46" s="255"/>
      <c r="EP46" s="255"/>
      <c r="EQ46" s="255"/>
      <c r="ER46" s="255"/>
      <c r="ES46" s="255"/>
      <c r="ET46" s="255"/>
      <c r="EU46" s="255"/>
      <c r="EV46" s="255"/>
      <c r="EW46" s="255"/>
      <c r="EX46" s="255"/>
      <c r="EY46" s="255"/>
      <c r="EZ46" s="255"/>
      <c r="FA46" s="255"/>
      <c r="FB46" s="255"/>
      <c r="FC46" s="255"/>
      <c r="FD46" s="255"/>
      <c r="FE46" s="255"/>
      <c r="FF46" s="255"/>
      <c r="FG46" s="255"/>
      <c r="FH46" s="255"/>
      <c r="FI46" s="255"/>
      <c r="FJ46" s="255"/>
      <c r="FK46" s="255"/>
      <c r="FL46" s="255"/>
      <c r="FM46" s="255"/>
      <c r="FN46" s="255"/>
      <c r="FO46" s="255"/>
      <c r="FP46" s="255"/>
      <c r="FQ46" s="255"/>
      <c r="FR46" s="255"/>
      <c r="FS46" s="255"/>
      <c r="FT46" s="255"/>
      <c r="FU46" s="255"/>
      <c r="FV46" s="255"/>
      <c r="FW46" s="255"/>
      <c r="FX46" s="255"/>
      <c r="FY46" s="255"/>
      <c r="FZ46" s="255"/>
      <c r="GA46" s="255"/>
      <c r="GB46" s="255"/>
      <c r="GC46" s="255"/>
      <c r="GD46" s="255"/>
      <c r="GE46" s="255"/>
      <c r="GF46" s="255"/>
      <c r="GG46" s="255"/>
      <c r="GH46" s="255"/>
      <c r="GI46" s="255"/>
      <c r="GJ46" s="255"/>
      <c r="GK46" s="255"/>
      <c r="GL46" s="255"/>
      <c r="GM46" s="255"/>
      <c r="GN46" s="255"/>
      <c r="GO46" s="255"/>
      <c r="GP46" s="255"/>
      <c r="GQ46" s="255"/>
      <c r="GR46" s="255"/>
      <c r="GS46" s="255"/>
      <c r="GT46" s="255"/>
      <c r="GU46" s="255"/>
      <c r="GV46" s="255"/>
      <c r="GW46" s="255"/>
      <c r="GX46" s="255"/>
      <c r="GY46" s="255"/>
      <c r="GZ46" s="255"/>
      <c r="HA46" s="255"/>
      <c r="HB46" s="255"/>
      <c r="HC46" s="255"/>
      <c r="HD46" s="255"/>
      <c r="HE46" s="255"/>
      <c r="HF46" s="255"/>
      <c r="HG46" s="255"/>
      <c r="HH46" s="255"/>
      <c r="HI46" s="255"/>
      <c r="HJ46" s="255"/>
      <c r="HK46" s="255"/>
      <c r="HL46" s="255"/>
      <c r="HM46" s="255"/>
      <c r="HN46" s="255"/>
      <c r="HO46" s="255"/>
      <c r="HP46" s="255"/>
      <c r="HQ46" s="255"/>
      <c r="HR46" s="255"/>
      <c r="HS46" s="255"/>
      <c r="HT46" s="255"/>
      <c r="HU46" s="255"/>
      <c r="HV46" s="255"/>
      <c r="HW46" s="255"/>
      <c r="HX46" s="255"/>
      <c r="HY46" s="255"/>
      <c r="HZ46" s="255"/>
      <c r="IA46" s="255"/>
      <c r="IB46" s="255"/>
      <c r="IC46" s="255"/>
      <c r="ID46" s="255"/>
      <c r="IE46" s="255"/>
      <c r="IF46" s="255"/>
      <c r="IG46" s="255"/>
      <c r="IH46" s="255"/>
      <c r="II46" s="255"/>
      <c r="IJ46" s="255"/>
      <c r="IK46" s="255"/>
      <c r="IL46" s="255"/>
      <c r="IM46" s="255"/>
      <c r="IN46" s="255"/>
      <c r="IO46" s="255"/>
      <c r="IP46" s="255"/>
      <c r="IQ46" s="255"/>
      <c r="IR46" s="255"/>
      <c r="IS46" s="255"/>
      <c r="IT46" s="255"/>
      <c r="IU46" s="255"/>
      <c r="IV46" s="255"/>
      <c r="IW46" s="255"/>
      <c r="IX46" s="255"/>
      <c r="IY46" s="255"/>
      <c r="IZ46" s="255"/>
      <c r="JA46" s="255"/>
      <c r="JB46" s="255"/>
      <c r="JC46" s="255"/>
      <c r="JD46" s="255"/>
      <c r="JE46" s="255"/>
      <c r="JF46" s="255"/>
      <c r="JG46" s="255"/>
      <c r="JH46" s="255"/>
      <c r="JI46" s="255"/>
      <c r="JJ46" s="255"/>
      <c r="JK46" s="255"/>
      <c r="JL46" s="255"/>
      <c r="JM46" s="255"/>
      <c r="JN46" s="255"/>
      <c r="JO46" s="255"/>
      <c r="JP46" s="255"/>
      <c r="JQ46" s="255"/>
      <c r="JR46" s="255"/>
      <c r="JS46" s="255"/>
      <c r="JT46" s="255"/>
      <c r="JU46" s="255"/>
      <c r="JV46" s="255"/>
      <c r="JW46" s="255"/>
      <c r="JX46" s="255"/>
      <c r="JY46" s="255"/>
      <c r="JZ46" s="255"/>
      <c r="KA46" s="255"/>
      <c r="KB46" s="255"/>
      <c r="KC46" s="255"/>
      <c r="KD46" s="255"/>
      <c r="KE46" s="255"/>
      <c r="KF46" s="255"/>
      <c r="KG46" s="255"/>
      <c r="KH46" s="255"/>
      <c r="KI46" s="255"/>
      <c r="KJ46" s="255"/>
      <c r="KK46" s="255"/>
      <c r="KL46" s="255"/>
      <c r="KM46" s="255"/>
      <c r="KN46" s="255"/>
      <c r="KO46" s="255"/>
      <c r="KP46" s="255"/>
      <c r="KQ46" s="255"/>
      <c r="KR46" s="255"/>
      <c r="KS46" s="255"/>
      <c r="KT46" s="255"/>
      <c r="KU46" s="255"/>
      <c r="KV46" s="255"/>
      <c r="KW46" s="255"/>
      <c r="KX46" s="255"/>
      <c r="KY46" s="255"/>
      <c r="KZ46" s="255"/>
      <c r="LA46" s="255"/>
      <c r="LB46" s="255"/>
      <c r="LC46" s="255"/>
      <c r="LD46" s="255"/>
      <c r="LE46" s="255"/>
      <c r="LF46" s="255"/>
      <c r="LG46" s="255"/>
      <c r="LH46" s="255"/>
      <c r="LI46" s="255"/>
      <c r="LJ46" s="255"/>
      <c r="LK46" s="255"/>
      <c r="LL46" s="255"/>
      <c r="LM46" s="255"/>
      <c r="LN46" s="255"/>
      <c r="LO46" s="255"/>
      <c r="LP46" s="255"/>
      <c r="LQ46" s="255"/>
      <c r="LR46" s="255"/>
      <c r="LS46" s="255"/>
      <c r="LT46" s="255"/>
      <c r="LU46" s="255"/>
      <c r="LV46" s="255"/>
      <c r="LW46" s="255"/>
      <c r="LX46" s="255"/>
      <c r="LY46" s="255"/>
      <c r="LZ46" s="255"/>
      <c r="MA46" s="255"/>
      <c r="MB46" s="255"/>
      <c r="MC46" s="255"/>
      <c r="MD46" s="255"/>
      <c r="ME46" s="255"/>
      <c r="MF46" s="255"/>
      <c r="MG46" s="255"/>
      <c r="MH46" s="255"/>
      <c r="MI46" s="255"/>
      <c r="MJ46" s="255"/>
      <c r="MK46" s="255"/>
      <c r="ML46" s="255"/>
      <c r="MM46" s="255"/>
      <c r="MN46" s="255"/>
      <c r="MO46" s="255"/>
      <c r="MP46" s="255"/>
      <c r="MQ46" s="255"/>
      <c r="MR46" s="255"/>
      <c r="MS46" s="255"/>
      <c r="MT46" s="255"/>
      <c r="MU46" s="255"/>
      <c r="MV46" s="255"/>
      <c r="MW46" s="255"/>
      <c r="MX46" s="255"/>
      <c r="MY46" s="255"/>
      <c r="MZ46" s="255"/>
      <c r="NA46" s="255"/>
      <c r="NB46" s="255"/>
      <c r="NC46" s="255"/>
      <c r="ND46" s="255"/>
      <c r="NE46" s="255"/>
      <c r="NF46" s="255"/>
      <c r="NG46" s="255"/>
      <c r="NH46" s="255"/>
      <c r="NI46" s="255"/>
      <c r="NJ46" s="255"/>
      <c r="NK46" s="255"/>
      <c r="NL46" s="255"/>
      <c r="NM46" s="255"/>
      <c r="NN46" s="255"/>
      <c r="NO46" s="255"/>
      <c r="NP46" s="255"/>
      <c r="NQ46" s="255"/>
      <c r="NR46" s="255"/>
      <c r="NS46" s="255"/>
      <c r="NT46" s="255"/>
      <c r="NU46" s="255"/>
      <c r="NV46" s="255"/>
      <c r="NW46" s="255"/>
      <c r="NX46" s="255"/>
      <c r="NY46" s="255"/>
      <c r="NZ46" s="255"/>
      <c r="OA46" s="255"/>
      <c r="OB46" s="255"/>
      <c r="OC46" s="255"/>
      <c r="OD46" s="255"/>
      <c r="OE46" s="255"/>
      <c r="OF46" s="255"/>
      <c r="OG46" s="255"/>
      <c r="OH46" s="255"/>
      <c r="OI46" s="255"/>
      <c r="OJ46" s="255"/>
      <c r="OK46" s="255"/>
      <c r="OL46" s="255"/>
      <c r="OM46" s="255"/>
      <c r="ON46" s="255"/>
      <c r="OO46" s="255"/>
      <c r="OP46" s="255"/>
      <c r="OQ46" s="255"/>
      <c r="OR46" s="255"/>
      <c r="OS46" s="255"/>
      <c r="OT46" s="255"/>
      <c r="OU46" s="255"/>
      <c r="OV46" s="255"/>
      <c r="OW46" s="255"/>
      <c r="OX46" s="255"/>
      <c r="OY46" s="255"/>
      <c r="OZ46" s="255"/>
      <c r="PA46" s="255"/>
      <c r="PB46" s="255"/>
      <c r="PC46" s="255"/>
      <c r="PD46" s="255"/>
      <c r="PE46" s="255"/>
      <c r="PF46" s="255"/>
      <c r="PG46" s="255"/>
      <c r="PH46" s="255"/>
      <c r="PI46" s="255"/>
      <c r="PJ46" s="255"/>
      <c r="PK46" s="255"/>
      <c r="PL46" s="255"/>
      <c r="PM46" s="255"/>
      <c r="PN46" s="255"/>
      <c r="PO46" s="255"/>
      <c r="PP46" s="255"/>
      <c r="PQ46" s="255"/>
      <c r="PR46" s="255"/>
      <c r="PS46" s="255"/>
      <c r="PT46" s="255"/>
      <c r="PU46" s="255"/>
      <c r="PV46" s="255"/>
      <c r="PW46" s="255"/>
      <c r="PX46" s="255"/>
      <c r="PY46" s="255"/>
      <c r="PZ46" s="255"/>
      <c r="QA46" s="255"/>
      <c r="QB46" s="255"/>
      <c r="QC46" s="255"/>
      <c r="QD46" s="255"/>
      <c r="QE46" s="255"/>
      <c r="QF46" s="255"/>
      <c r="QG46" s="255"/>
      <c r="QH46" s="255"/>
      <c r="QI46" s="255"/>
      <c r="QJ46" s="255"/>
      <c r="QK46" s="255"/>
      <c r="QL46" s="255"/>
      <c r="QM46" s="255"/>
      <c r="QN46" s="255"/>
      <c r="QO46" s="255"/>
      <c r="QP46" s="255"/>
      <c r="QQ46" s="255"/>
      <c r="QR46" s="255"/>
      <c r="QS46" s="255"/>
      <c r="QT46" s="255"/>
      <c r="QU46" s="255"/>
      <c r="QV46" s="255"/>
      <c r="QW46" s="255"/>
      <c r="QX46" s="255"/>
      <c r="QY46" s="255"/>
      <c r="QZ46" s="255"/>
      <c r="RA46" s="255"/>
      <c r="RB46" s="255"/>
      <c r="RC46" s="255"/>
      <c r="RD46" s="255"/>
      <c r="RE46" s="255"/>
      <c r="RF46" s="255"/>
      <c r="RG46" s="255"/>
      <c r="RH46" s="255"/>
      <c r="RI46" s="255"/>
      <c r="RJ46" s="255"/>
      <c r="RK46" s="255"/>
      <c r="RL46" s="255"/>
      <c r="RM46" s="255"/>
      <c r="RN46" s="255"/>
      <c r="RO46" s="255"/>
      <c r="RP46" s="255"/>
      <c r="RQ46" s="255"/>
      <c r="RR46" s="255"/>
      <c r="RS46" s="255"/>
      <c r="RT46" s="255"/>
      <c r="RU46" s="255"/>
      <c r="RV46" s="255"/>
      <c r="RW46" s="255"/>
      <c r="RX46" s="255"/>
      <c r="RY46" s="255"/>
      <c r="RZ46" s="255"/>
      <c r="SA46" s="255"/>
      <c r="SB46" s="255"/>
      <c r="SC46" s="255"/>
      <c r="SD46" s="255"/>
      <c r="SE46" s="255"/>
      <c r="SF46" s="255"/>
      <c r="SG46" s="255"/>
      <c r="SH46" s="255"/>
      <c r="SI46" s="255"/>
      <c r="SJ46" s="255"/>
      <c r="SK46" s="255"/>
      <c r="SL46" s="255"/>
      <c r="SM46" s="255"/>
      <c r="SN46" s="255"/>
      <c r="SO46" s="255"/>
      <c r="SP46" s="255"/>
      <c r="SQ46" s="255"/>
      <c r="SR46" s="255"/>
      <c r="SS46" s="255"/>
      <c r="ST46" s="255"/>
      <c r="SU46" s="255"/>
      <c r="SV46" s="255"/>
      <c r="SW46" s="255"/>
      <c r="SX46" s="255"/>
      <c r="SY46" s="255"/>
      <c r="SZ46" s="255"/>
      <c r="TA46" s="255"/>
      <c r="TB46" s="255"/>
      <c r="TC46" s="255"/>
      <c r="TD46" s="255"/>
      <c r="TE46" s="255"/>
      <c r="TF46" s="255"/>
      <c r="TG46" s="255"/>
      <c r="TH46" s="255"/>
      <c r="TI46" s="255"/>
      <c r="TJ46" s="255"/>
      <c r="TK46" s="255"/>
      <c r="TL46" s="255"/>
      <c r="TM46" s="255"/>
      <c r="TN46" s="255"/>
      <c r="TO46" s="255"/>
      <c r="TP46" s="255"/>
      <c r="TQ46" s="255"/>
      <c r="TR46" s="255"/>
      <c r="TS46" s="255"/>
      <c r="TT46" s="255"/>
      <c r="TU46" s="255"/>
      <c r="TV46" s="255"/>
      <c r="TW46" s="255"/>
      <c r="TX46" s="255"/>
      <c r="TY46" s="255"/>
      <c r="TZ46" s="255"/>
      <c r="UA46" s="255"/>
      <c r="UB46" s="255"/>
      <c r="UC46" s="255"/>
      <c r="UD46" s="255"/>
      <c r="UE46" s="255"/>
      <c r="UF46" s="255"/>
      <c r="UG46" s="255"/>
      <c r="UH46" s="255"/>
      <c r="UI46" s="255"/>
      <c r="UJ46" s="255"/>
      <c r="UK46" s="255"/>
      <c r="UL46" s="255"/>
      <c r="UM46" s="255"/>
      <c r="UN46" s="255"/>
      <c r="UO46" s="255"/>
      <c r="UP46" s="255"/>
      <c r="UQ46" s="255"/>
      <c r="UR46" s="255"/>
      <c r="US46" s="255"/>
      <c r="UT46" s="255"/>
      <c r="UU46" s="255"/>
      <c r="UV46" s="255"/>
      <c r="UW46" s="255"/>
      <c r="UX46" s="255"/>
      <c r="UY46" s="255"/>
      <c r="UZ46" s="255"/>
      <c r="VA46" s="255"/>
      <c r="VB46" s="255"/>
      <c r="VC46" s="255"/>
      <c r="VD46" s="255"/>
      <c r="VE46" s="255"/>
      <c r="VF46" s="255"/>
      <c r="VG46" s="255"/>
      <c r="VH46" s="255"/>
      <c r="VI46" s="255"/>
      <c r="VJ46" s="255"/>
      <c r="VK46" s="255"/>
      <c r="VL46" s="255"/>
      <c r="VM46" s="255"/>
      <c r="VN46" s="255"/>
      <c r="VO46" s="255"/>
      <c r="VP46" s="255"/>
      <c r="VQ46" s="255"/>
      <c r="VR46" s="255"/>
      <c r="VS46" s="255"/>
      <c r="VT46" s="255"/>
      <c r="VU46" s="255"/>
      <c r="VV46" s="255"/>
      <c r="VW46" s="255"/>
      <c r="VX46" s="255"/>
      <c r="VY46" s="255"/>
      <c r="VZ46" s="255"/>
      <c r="WA46" s="255"/>
      <c r="WB46" s="255"/>
      <c r="WC46" s="255"/>
      <c r="WD46" s="255"/>
      <c r="WE46" s="255"/>
      <c r="WF46" s="255"/>
      <c r="WG46" s="255"/>
      <c r="WH46" s="255"/>
      <c r="WI46" s="255"/>
      <c r="WJ46" s="255"/>
      <c r="WK46" s="255"/>
      <c r="WL46" s="255"/>
      <c r="WM46" s="255"/>
      <c r="WN46" s="255"/>
      <c r="WO46" s="255"/>
      <c r="WP46" s="255"/>
      <c r="WQ46" s="255"/>
      <c r="WR46" s="255"/>
      <c r="WS46" s="255"/>
      <c r="WT46" s="255"/>
      <c r="WU46" s="255"/>
      <c r="WV46" s="255"/>
      <c r="WW46" s="255"/>
      <c r="WX46" s="255"/>
      <c r="WY46" s="255"/>
      <c r="WZ46" s="255"/>
      <c r="XA46" s="255"/>
      <c r="XB46" s="255"/>
      <c r="XC46" s="255"/>
      <c r="XD46" s="255"/>
      <c r="XE46" s="255"/>
      <c r="XF46" s="255"/>
      <c r="XG46" s="255"/>
      <c r="XH46" s="255"/>
      <c r="XI46" s="255"/>
      <c r="XJ46" s="255"/>
      <c r="XK46" s="255"/>
      <c r="XL46" s="255"/>
      <c r="XM46" s="255"/>
      <c r="XN46" s="255"/>
      <c r="XO46" s="255"/>
      <c r="XP46" s="255"/>
      <c r="XQ46" s="255"/>
      <c r="XR46" s="255"/>
      <c r="XS46" s="255"/>
      <c r="XT46" s="255"/>
      <c r="XU46" s="255"/>
      <c r="XV46" s="255"/>
      <c r="XW46" s="255"/>
      <c r="XX46" s="255"/>
      <c r="XY46" s="255"/>
      <c r="XZ46" s="255"/>
      <c r="YA46" s="255"/>
      <c r="YB46" s="255"/>
      <c r="YC46" s="255"/>
      <c r="YD46" s="255"/>
      <c r="YE46" s="255"/>
      <c r="YF46" s="255"/>
      <c r="YG46" s="255"/>
      <c r="YH46" s="255"/>
      <c r="YI46" s="255"/>
      <c r="YJ46" s="255"/>
      <c r="YK46" s="255"/>
      <c r="YL46" s="255"/>
      <c r="YM46" s="255"/>
      <c r="YN46" s="255"/>
      <c r="YO46" s="255"/>
      <c r="YP46" s="255"/>
      <c r="YQ46" s="255"/>
      <c r="YR46" s="255"/>
      <c r="YS46" s="255"/>
      <c r="YT46" s="255"/>
      <c r="YU46" s="255"/>
      <c r="YV46" s="255"/>
      <c r="YW46" s="255"/>
      <c r="YX46" s="255"/>
      <c r="YY46" s="255"/>
      <c r="YZ46" s="255"/>
      <c r="ZA46" s="255"/>
      <c r="ZB46" s="255"/>
      <c r="ZC46" s="255"/>
      <c r="ZD46" s="255"/>
      <c r="ZE46" s="255"/>
      <c r="ZF46" s="255"/>
      <c r="ZG46" s="255"/>
      <c r="ZH46" s="255"/>
      <c r="ZI46" s="255"/>
      <c r="ZJ46" s="255"/>
      <c r="ZK46" s="255"/>
      <c r="ZL46" s="255"/>
      <c r="ZM46" s="255"/>
      <c r="ZN46" s="255"/>
      <c r="ZO46" s="255"/>
      <c r="ZP46" s="255"/>
      <c r="ZQ46" s="255"/>
      <c r="ZR46" s="255"/>
      <c r="ZS46" s="255"/>
      <c r="ZT46" s="255"/>
      <c r="ZU46" s="255"/>
      <c r="ZV46" s="255"/>
      <c r="ZW46" s="255"/>
      <c r="ZX46" s="255"/>
      <c r="ZY46" s="255"/>
      <c r="ZZ46" s="255"/>
      <c r="AAA46" s="255"/>
      <c r="AAB46" s="255"/>
      <c r="AAC46" s="255"/>
      <c r="AAD46" s="255"/>
      <c r="AAE46" s="255"/>
      <c r="AAF46" s="255"/>
      <c r="AAG46" s="255"/>
      <c r="AAH46" s="255"/>
      <c r="AAI46" s="255"/>
      <c r="AAJ46" s="255"/>
      <c r="AAK46" s="255"/>
      <c r="AAL46" s="255"/>
      <c r="AAM46" s="255"/>
      <c r="AAN46" s="255"/>
      <c r="AAO46" s="255"/>
      <c r="AAP46" s="255"/>
      <c r="AAQ46" s="255"/>
      <c r="AAR46" s="255"/>
      <c r="AAS46" s="255"/>
      <c r="AAT46" s="255"/>
      <c r="AAU46" s="255"/>
      <c r="AAV46" s="255"/>
      <c r="AAW46" s="255"/>
      <c r="AAX46" s="255"/>
      <c r="AAY46" s="255"/>
      <c r="AAZ46" s="255"/>
      <c r="ABA46" s="255"/>
      <c r="ABB46" s="255"/>
      <c r="ABC46" s="255"/>
      <c r="ABD46" s="255"/>
      <c r="ABE46" s="255"/>
      <c r="ABF46" s="255"/>
      <c r="ABG46" s="255"/>
      <c r="ABH46" s="255"/>
      <c r="ABI46" s="255"/>
      <c r="ABJ46" s="255"/>
      <c r="ABK46" s="255"/>
      <c r="ABL46" s="255"/>
      <c r="ABM46" s="255"/>
      <c r="ABN46" s="255"/>
      <c r="ABO46" s="255"/>
      <c r="ABP46" s="255"/>
      <c r="ABQ46" s="255"/>
      <c r="ABR46" s="255"/>
      <c r="ABS46" s="255"/>
      <c r="ABT46" s="255"/>
      <c r="ABU46" s="255"/>
      <c r="ABV46" s="255"/>
      <c r="ABW46" s="255"/>
      <c r="ABX46" s="255"/>
      <c r="ABY46" s="255"/>
      <c r="ABZ46" s="255"/>
      <c r="ACA46" s="255"/>
      <c r="ACB46" s="255"/>
      <c r="ACC46" s="255"/>
      <c r="ACD46" s="255"/>
      <c r="ACE46" s="255"/>
      <c r="ACF46" s="255"/>
      <c r="ACG46" s="255"/>
      <c r="ACH46" s="255"/>
      <c r="ACI46" s="255"/>
      <c r="ACJ46" s="255"/>
      <c r="ACK46" s="255"/>
      <c r="ACL46" s="255"/>
      <c r="ACM46" s="255"/>
      <c r="ACN46" s="255"/>
      <c r="ACO46" s="255"/>
      <c r="ACP46" s="255"/>
      <c r="ACQ46" s="255"/>
      <c r="ACR46" s="255"/>
      <c r="ACS46" s="255"/>
      <c r="ACT46" s="255"/>
      <c r="ACU46" s="255"/>
      <c r="ACV46" s="255"/>
      <c r="ACW46" s="255"/>
      <c r="ACX46" s="255"/>
      <c r="ACY46" s="255"/>
      <c r="ACZ46" s="255"/>
      <c r="ADA46" s="255"/>
      <c r="ADB46" s="255"/>
      <c r="ADC46" s="255"/>
      <c r="ADD46" s="255"/>
      <c r="ADE46" s="255"/>
      <c r="ADF46" s="255"/>
      <c r="ADG46" s="255"/>
      <c r="ADH46" s="255"/>
      <c r="ADI46" s="255"/>
      <c r="ADJ46" s="255"/>
      <c r="ADK46" s="255"/>
      <c r="ADL46" s="255"/>
      <c r="ADM46" s="255"/>
      <c r="ADN46" s="255"/>
      <c r="ADO46" s="255"/>
      <c r="ADP46" s="255"/>
      <c r="ADQ46" s="255"/>
      <c r="ADR46" s="255"/>
      <c r="ADS46" s="255"/>
      <c r="ADT46" s="255"/>
      <c r="ADU46" s="255"/>
      <c r="ADV46" s="255"/>
      <c r="ADW46" s="255"/>
      <c r="ADX46" s="255"/>
      <c r="ADY46" s="255"/>
      <c r="ADZ46" s="255"/>
      <c r="AEA46" s="255"/>
      <c r="AEB46" s="255"/>
      <c r="AEC46" s="255"/>
      <c r="AED46" s="255"/>
      <c r="AEE46" s="255"/>
      <c r="AEF46" s="255"/>
      <c r="AEG46" s="255"/>
      <c r="AEH46" s="255"/>
      <c r="AEI46" s="255"/>
      <c r="AEJ46" s="255"/>
      <c r="AEK46" s="255"/>
      <c r="AEL46" s="255"/>
      <c r="AEM46" s="255"/>
      <c r="AEN46" s="255"/>
      <c r="AEO46" s="255"/>
      <c r="AEP46" s="255"/>
      <c r="AEQ46" s="255"/>
      <c r="AER46" s="255"/>
      <c r="AES46" s="255"/>
      <c r="AET46" s="255"/>
      <c r="AEU46" s="255"/>
      <c r="AEV46" s="255"/>
      <c r="AEW46" s="255"/>
      <c r="AEX46" s="255"/>
      <c r="AEY46" s="255"/>
      <c r="AEZ46" s="255"/>
      <c r="AFA46" s="255"/>
      <c r="AFB46" s="255"/>
      <c r="AFC46" s="255"/>
      <c r="AFD46" s="255"/>
      <c r="AFE46" s="255"/>
      <c r="AFF46" s="255"/>
      <c r="AFG46" s="255"/>
      <c r="AFH46" s="255"/>
      <c r="AFI46" s="255"/>
      <c r="AFJ46" s="255"/>
      <c r="AFK46" s="255"/>
      <c r="AFL46" s="255"/>
      <c r="AFM46" s="255"/>
      <c r="AFN46" s="255"/>
      <c r="AFO46" s="255"/>
      <c r="AFP46" s="255"/>
      <c r="AFQ46" s="255"/>
      <c r="AFR46" s="255"/>
      <c r="AFS46" s="255"/>
      <c r="AFT46" s="255"/>
      <c r="AFU46" s="255"/>
      <c r="AFV46" s="255"/>
      <c r="AFW46" s="255"/>
      <c r="AFX46" s="255"/>
      <c r="AFY46" s="255"/>
      <c r="AFZ46" s="255"/>
      <c r="AGA46" s="255"/>
      <c r="AGB46" s="255"/>
      <c r="AGC46" s="255"/>
      <c r="AGD46" s="255"/>
      <c r="AGE46" s="255"/>
      <c r="AGF46" s="255"/>
      <c r="AGG46" s="255"/>
      <c r="AGH46" s="255"/>
      <c r="AGI46" s="255"/>
      <c r="AGJ46" s="255"/>
      <c r="AGK46" s="255"/>
      <c r="AGL46" s="255"/>
      <c r="AGM46" s="255"/>
      <c r="AGN46" s="255"/>
      <c r="AGO46" s="255"/>
      <c r="AGP46" s="255"/>
      <c r="AGQ46" s="255"/>
      <c r="AGR46" s="255"/>
      <c r="AGS46" s="255"/>
      <c r="AGT46" s="255"/>
      <c r="AGU46" s="255"/>
      <c r="AGV46" s="255"/>
      <c r="AGW46" s="255"/>
      <c r="AGX46" s="255"/>
      <c r="AGY46" s="255"/>
      <c r="AGZ46" s="255"/>
      <c r="AHA46" s="255"/>
      <c r="AHB46" s="255"/>
      <c r="AHC46" s="255"/>
      <c r="AHD46" s="255"/>
      <c r="AHE46" s="255"/>
      <c r="AHF46" s="255"/>
      <c r="AHG46" s="255"/>
      <c r="AHH46" s="255"/>
      <c r="AHI46" s="255"/>
      <c r="AHJ46" s="255"/>
      <c r="AHK46" s="255"/>
      <c r="AHL46" s="255"/>
      <c r="AHM46" s="255"/>
      <c r="AHN46" s="255"/>
      <c r="AHO46" s="255"/>
      <c r="AHP46" s="255"/>
      <c r="AHQ46" s="255"/>
      <c r="AHR46" s="255"/>
      <c r="AHS46" s="255"/>
      <c r="AHT46" s="255"/>
      <c r="AHU46" s="255"/>
      <c r="AHV46" s="255"/>
      <c r="AHW46" s="255"/>
      <c r="AHX46" s="255"/>
      <c r="AHY46" s="255"/>
      <c r="AHZ46" s="255"/>
      <c r="AIA46" s="255"/>
      <c r="AIB46" s="255"/>
      <c r="AIC46" s="255"/>
      <c r="AID46" s="255"/>
      <c r="AIE46" s="255"/>
      <c r="AIF46" s="255"/>
      <c r="AIG46" s="255"/>
      <c r="AIH46" s="255"/>
      <c r="AII46" s="255"/>
      <c r="AIJ46" s="255"/>
      <c r="AIK46" s="255"/>
      <c r="AIL46" s="255"/>
      <c r="AIM46" s="255"/>
      <c r="AIN46" s="255"/>
      <c r="AIO46" s="255"/>
      <c r="AIP46" s="255"/>
      <c r="AIQ46" s="255"/>
      <c r="AIR46" s="255"/>
      <c r="AIS46" s="255"/>
      <c r="AIT46" s="255"/>
      <c r="AIU46" s="255"/>
      <c r="AIV46" s="255"/>
      <c r="AIW46" s="255"/>
      <c r="AIX46" s="255"/>
      <c r="AIY46" s="255"/>
      <c r="AIZ46" s="255"/>
      <c r="AJA46" s="255"/>
      <c r="AJB46" s="255"/>
      <c r="AJC46" s="255"/>
      <c r="AJD46" s="255"/>
      <c r="AJE46" s="255"/>
      <c r="AJF46" s="255"/>
      <c r="AJG46" s="255"/>
      <c r="AJH46" s="255"/>
      <c r="AJI46" s="255"/>
      <c r="AJJ46" s="255"/>
      <c r="AJK46" s="255"/>
      <c r="AJL46" s="255"/>
      <c r="AJM46" s="255"/>
      <c r="AJN46" s="255"/>
      <c r="AJO46" s="255"/>
      <c r="AJP46" s="255"/>
      <c r="AJQ46" s="255"/>
      <c r="AJR46" s="255"/>
      <c r="AJS46" s="255"/>
      <c r="AJT46" s="255"/>
      <c r="AJU46" s="255"/>
      <c r="AJV46" s="255"/>
      <c r="AJW46" s="255"/>
      <c r="AJX46" s="255"/>
      <c r="AJY46" s="255"/>
      <c r="AJZ46" s="255"/>
      <c r="AKA46" s="255"/>
      <c r="AKB46" s="255"/>
      <c r="AKC46" s="255"/>
      <c r="AKD46" s="255"/>
      <c r="AKE46" s="255"/>
      <c r="AKF46" s="255"/>
      <c r="AKG46" s="255"/>
      <c r="AKH46" s="255"/>
      <c r="AKI46" s="255"/>
      <c r="AKJ46" s="255"/>
      <c r="AKK46" s="255"/>
      <c r="AKL46" s="255"/>
      <c r="AKM46" s="255"/>
      <c r="AKN46" s="255"/>
      <c r="AKO46" s="255"/>
      <c r="AKP46" s="255"/>
      <c r="AKQ46" s="255"/>
      <c r="AKR46" s="255"/>
      <c r="AKS46" s="255"/>
      <c r="AKT46" s="255"/>
      <c r="AKU46" s="255"/>
      <c r="AKV46" s="255"/>
      <c r="AKW46" s="255"/>
      <c r="AKX46" s="255"/>
      <c r="AKY46" s="255"/>
      <c r="AKZ46" s="255"/>
      <c r="ALA46" s="255"/>
      <c r="ALB46" s="255"/>
      <c r="ALC46" s="255"/>
      <c r="ALD46" s="255"/>
      <c r="ALE46" s="255"/>
      <c r="ALF46" s="255"/>
      <c r="ALG46" s="255"/>
      <c r="ALH46" s="255"/>
      <c r="ALI46" s="255"/>
      <c r="ALJ46" s="255"/>
      <c r="ALK46" s="255"/>
      <c r="ALL46" s="42"/>
      <c r="ALM46" s="42"/>
      <c r="ALN46" s="42"/>
      <c r="ALO46" s="42"/>
      <c r="ALP46" s="42"/>
      <c r="ALQ46" s="42"/>
      <c r="ALR46" s="42"/>
      <c r="ALS46" s="42"/>
      <c r="ALT46" s="42"/>
    </row>
    <row r="47" spans="1:1008" s="112" customFormat="1" ht="24" customHeight="1">
      <c r="A47" s="680" t="s">
        <v>6927</v>
      </c>
      <c r="B47" s="680"/>
      <c r="C47" s="680"/>
      <c r="D47" s="680"/>
      <c r="E47" s="680"/>
      <c r="F47" s="680"/>
      <c r="G47" s="680"/>
      <c r="H47" s="680"/>
      <c r="I47" s="680"/>
      <c r="J47" s="281">
        <f>SUM(J37:J46)</f>
        <v>10228.722903402728</v>
      </c>
      <c r="K47" s="255"/>
      <c r="L47" s="255"/>
      <c r="M47" s="255"/>
      <c r="N47" s="255"/>
      <c r="O47" s="255"/>
      <c r="P47" s="223"/>
    </row>
    <row r="48" spans="1:1008">
      <c r="A48" s="251"/>
      <c r="B48" s="290">
        <v>169</v>
      </c>
      <c r="C48" s="273" t="s">
        <v>605</v>
      </c>
      <c r="D48" s="274"/>
      <c r="E48" s="276"/>
      <c r="F48" s="276"/>
      <c r="G48" s="276"/>
      <c r="H48" s="276"/>
      <c r="I48" s="280"/>
      <c r="J48" s="280"/>
      <c r="K48" s="255"/>
      <c r="L48" s="255"/>
      <c r="M48" s="255"/>
      <c r="N48" s="255"/>
      <c r="O48" s="255"/>
    </row>
    <row r="49" spans="1:16" ht="24">
      <c r="A49" s="251" t="s">
        <v>7</v>
      </c>
      <c r="B49" s="328">
        <v>92865</v>
      </c>
      <c r="C49" s="329" t="str">
        <f>(IF($A49="SINAPI",INDEX(SINAPI_NOV2020_NDES!$A$7:$H$6703,MATCH($B49,SINAPI_NOV2020_NDES!$A$7:$A$6703,0),2),IF($A49="GOINFRA",INDEX(#REF!,MATCH($B49,#REF!,0),2),(INDEX(COMPOS!$A$4:$G$390,MATCH($B49,COMPOS!$A$4:A$390,0),2)))))</f>
        <v>CAIXA OCTOGONAL 4" X 4", METÁLICA, INSTALADA EM LAJE - FORNECIMENTO E INSTALAÇÃO. AF_12/2015</v>
      </c>
      <c r="D49" s="274" t="str">
        <f>(IF($A49="SINAPI",INDEX(SINAPI_NOV2020_NDES!$A$7:$H$6790,MATCH($B49,SINAPI_NOV2020_NDES!$A$7:$A$6790,0),3),(INDEX(COMPOS!$A$4:$G$5000,MATCH($B49,COMPOS!$A$4:$A$5000,0),3))))</f>
        <v>UN</v>
      </c>
      <c r="E49" s="276">
        <v>4</v>
      </c>
      <c r="F49" s="279">
        <f>(IF($A49="SINAPI",INDEX(SINAPI_NOV2020_NDES!$A$7:$H$6703,MATCH($B49,SINAPI_NOV2020_NDES!$A$7:$A$6703,0),5),(INDEX(COMPOS!$A$4:$G$801,MATCH($B49,COMPOS!$A$4:A$801,0),4))))</f>
        <v>4.25</v>
      </c>
      <c r="G49" s="280">
        <f>(IF($A49="SINAPI",INDEX(SINAPI_NOV2020_NDES!$A$7:$H$6703,MATCH($B49,SINAPI_NOV2020_NDES!$A$7:$A$6703,0),6),(INDEX(COMPOS!$A$4:$G$801,MATCH($B49,COMPOS!$A$4:A$801,0),5))))</f>
        <v>4.13</v>
      </c>
      <c r="H49" s="280">
        <f>(IF($A49="SINAPI",INDEX(SINAPI_NOV2020_NDES!$A$7:$H$6703,MATCH($B49,SINAPI_NOV2020_NDES!$A$7:$A$6703,0),7),(INDEX(COMPOS!$A$4:$G$801,MATCH($B49,COMPOS!$A$4:A$801,0),6))))</f>
        <v>0</v>
      </c>
      <c r="I49" s="279">
        <f t="shared" ref="I49" si="16">SUM(F49:H49)</f>
        <v>8.379999999999999</v>
      </c>
      <c r="J49" s="276">
        <f t="shared" ref="J49" si="17">+I49*E49</f>
        <v>33.519999999999996</v>
      </c>
      <c r="K49" s="255"/>
      <c r="L49" s="255"/>
      <c r="M49" s="255"/>
      <c r="N49" s="255"/>
      <c r="O49" s="257"/>
    </row>
    <row r="50" spans="1:16" ht="24">
      <c r="A50" s="251" t="s">
        <v>7</v>
      </c>
      <c r="B50" s="328">
        <v>92868</v>
      </c>
      <c r="C50" s="329" t="str">
        <f>(IF($A50="SINAPI",INDEX(SINAPI_NOV2020_NDES!$A$7:$H$6703,MATCH($B50,SINAPI_NOV2020_NDES!$A$7:$A$6703,0),2),IF($A50="GOINFRA",INDEX(#REF!,MATCH($B50,#REF!,0),2),(INDEX(COMPOS!$A$4:$G$390,MATCH($B50,COMPOS!$A$4:A$390,0),2)))))</f>
        <v>CAIXA RETANGULAR 4" X 2" MÉDIA (1,30 M DO PISO), METÁLICA, INSTALADA EM PAREDE - FORNECIMENTO E INSTALAÇÃO. AF_12/2015</v>
      </c>
      <c r="D50" s="274" t="str">
        <f>(IF($A50="SINAPI",INDEX(SINAPI_NOV2020_NDES!$A$7:$H$6790,MATCH($B50,SINAPI_NOV2020_NDES!$A$7:$A$6790,0),3),(INDEX(COMPOS!$A$4:$G$5000,MATCH($B50,COMPOS!$A$4:$A$5000,0),3))))</f>
        <v>UN</v>
      </c>
      <c r="E50" s="276">
        <v>7</v>
      </c>
      <c r="F50" s="279">
        <f>(IF($A50="SINAPI",INDEX(SINAPI_NOV2020_NDES!$A$7:$H$6703,MATCH($B50,SINAPI_NOV2020_NDES!$A$7:$A$6703,0),5),(INDEX(COMPOS!$A$4:$G$801,MATCH($B50,COMPOS!$A$4:A$801,0),4))))</f>
        <v>7.39</v>
      </c>
      <c r="G50" s="280">
        <f>(IF($A50="SINAPI",INDEX(SINAPI_NOV2020_NDES!$A$7:$H$6703,MATCH($B50,SINAPI_NOV2020_NDES!$A$7:$A$6703,0),6),(INDEX(COMPOS!$A$4:$G$801,MATCH($B50,COMPOS!$A$4:A$801,0),5))))</f>
        <v>3.93</v>
      </c>
      <c r="H50" s="280">
        <f>(IF($A50="SINAPI",INDEX(SINAPI_NOV2020_NDES!$A$7:$H$6703,MATCH($B50,SINAPI_NOV2020_NDES!$A$7:$A$6703,0),7),(INDEX(COMPOS!$A$4:$G$801,MATCH($B50,COMPOS!$A$4:A$801,0),6))))</f>
        <v>0</v>
      </c>
      <c r="I50" s="279">
        <f t="shared" ref="I50:I60" si="18">SUM(F50:H50)</f>
        <v>11.32</v>
      </c>
      <c r="J50" s="276">
        <f t="shared" ref="J50:J60" si="19">+I50*E50</f>
        <v>79.240000000000009</v>
      </c>
      <c r="K50" s="255"/>
      <c r="L50" s="255"/>
      <c r="M50" s="255"/>
      <c r="N50" s="255"/>
      <c r="O50" s="257"/>
    </row>
    <row r="51" spans="1:16" ht="24">
      <c r="A51" s="251" t="s">
        <v>7</v>
      </c>
      <c r="B51" s="328">
        <v>93657</v>
      </c>
      <c r="C51" s="329" t="str">
        <f>(IF($A51="SINAPI",INDEX(SINAPI_NOV2020_NDES!$A$7:$H$6703,MATCH($B51,SINAPI_NOV2020_NDES!$A$7:$A$6703,0),2),IF($A51="GOINFRA",INDEX(#REF!,MATCH($B51,#REF!,0),2),(INDEX(COMPOS!$A$4:$G$390,MATCH($B51,COMPOS!$A$4:A$390,0),2)))))</f>
        <v>DISJUNTOR MONOPOLAR TIPO DIN, CORRENTE NOMINAL DE 32A - FORNECIMENTO E INSTALAÇÃO. AF_10/2020</v>
      </c>
      <c r="D51" s="274" t="str">
        <f>(IF($A51="SINAPI",INDEX(SINAPI_NOV2020_NDES!$A$7:$H$6790,MATCH($B51,SINAPI_NOV2020_NDES!$A$7:$A$6790,0),3),(INDEX(COMPOS!$A$4:$G$5000,MATCH($B51,COMPOS!$A$4:$A$5000,0),3))))</f>
        <v>UN</v>
      </c>
      <c r="E51" s="276">
        <v>4</v>
      </c>
      <c r="F51" s="279">
        <f>(IF($A51="SINAPI",INDEX(SINAPI_NOV2020_NDES!$A$7:$H$6703,MATCH($B51,SINAPI_NOV2020_NDES!$A$7:$A$6703,0),5),(INDEX(COMPOS!$A$4:$G$801,MATCH($B51,COMPOS!$A$4:A$801,0),4))))</f>
        <v>2.67</v>
      </c>
      <c r="G51" s="280">
        <f>(IF($A51="SINAPI",INDEX(SINAPI_NOV2020_NDES!$A$7:$H$6703,MATCH($B51,SINAPI_NOV2020_NDES!$A$7:$A$6703,0),6),(INDEX(COMPOS!$A$4:$G$801,MATCH($B51,COMPOS!$A$4:A$801,0),5))))</f>
        <v>10.130000000000001</v>
      </c>
      <c r="H51" s="280">
        <f>(IF($A51="SINAPI",INDEX(SINAPI_NOV2020_NDES!$A$7:$H$6703,MATCH($B51,SINAPI_NOV2020_NDES!$A$7:$A$6703,0),7),(INDEX(COMPOS!$A$4:$G$801,MATCH($B51,COMPOS!$A$4:A$801,0),6))))</f>
        <v>0</v>
      </c>
      <c r="I51" s="279">
        <f t="shared" si="18"/>
        <v>12.8</v>
      </c>
      <c r="J51" s="276">
        <f t="shared" si="19"/>
        <v>51.2</v>
      </c>
      <c r="K51" s="255"/>
      <c r="L51" s="255"/>
      <c r="M51" s="255"/>
      <c r="N51" s="255"/>
      <c r="O51" s="257"/>
    </row>
    <row r="52" spans="1:16" ht="24">
      <c r="A52" s="251" t="s">
        <v>7</v>
      </c>
      <c r="B52" s="328">
        <v>91926</v>
      </c>
      <c r="C52" s="329" t="str">
        <f>(IF($A52="SINAPI",INDEX(SINAPI_NOV2020_NDES!$A$7:$H$6703,MATCH($B52,SINAPI_NOV2020_NDES!$A$7:$A$6703,0),2),IF($A52="GOINFRA",INDEX(#REF!,MATCH($B52,#REF!,0),2),(INDEX(COMPOS!$A$4:$G$390,MATCH($B52,COMPOS!$A$4:A$390,0),2)))))</f>
        <v>CABO DE COBRE FLEXÍVEL ISOLADO, 2,5 MM², ANTI-CHAMA 450/750 V, PARA CIRCUITOS TERMINAIS - FORNECIMENTO E INSTALAÇÃO. AF_12/2015</v>
      </c>
      <c r="D52" s="274" t="str">
        <f>(IF($A52="SINAPI",INDEX(SINAPI_NOV2020_NDES!$A$7:$H$6790,MATCH($B52,SINAPI_NOV2020_NDES!$A$7:$A$6790,0),3),(INDEX(COMPOS!$A$4:$G$5000,MATCH($B52,COMPOS!$A$4:$A$5000,0),3))))</f>
        <v>M</v>
      </c>
      <c r="E52" s="276">
        <v>63</v>
      </c>
      <c r="F52" s="279">
        <f>(IF($A52="SINAPI",INDEX(SINAPI_NOV2020_NDES!$A$7:$H$6703,MATCH($B52,SINAPI_NOV2020_NDES!$A$7:$A$6703,0),5),(INDEX(COMPOS!$A$4:$G$801,MATCH($B52,COMPOS!$A$4:A$801,0),4))))</f>
        <v>0.88</v>
      </c>
      <c r="G52" s="280">
        <f>(IF($A52="SINAPI",INDEX(SINAPI_NOV2020_NDES!$A$7:$H$6703,MATCH($B52,SINAPI_NOV2020_NDES!$A$7:$A$6703,0),6),(INDEX(COMPOS!$A$4:$G$801,MATCH($B52,COMPOS!$A$4:A$801,0),5))))</f>
        <v>1.9</v>
      </c>
      <c r="H52" s="280">
        <f>(IF($A52="SINAPI",INDEX(SINAPI_NOV2020_NDES!$A$7:$H$6703,MATCH($B52,SINAPI_NOV2020_NDES!$A$7:$A$6703,0),7),(INDEX(COMPOS!$A$4:$G$801,MATCH($B52,COMPOS!$A$4:A$801,0),6))))</f>
        <v>0</v>
      </c>
      <c r="I52" s="279">
        <f t="shared" si="18"/>
        <v>2.78</v>
      </c>
      <c r="J52" s="276">
        <f t="shared" si="19"/>
        <v>175.14</v>
      </c>
      <c r="K52" s="255"/>
      <c r="L52" s="255"/>
      <c r="M52" s="255"/>
      <c r="N52" s="255"/>
      <c r="O52" s="257"/>
    </row>
    <row r="53" spans="1:16" ht="24">
      <c r="A53" s="251" t="s">
        <v>7</v>
      </c>
      <c r="B53" s="328">
        <v>91928</v>
      </c>
      <c r="C53" s="329" t="str">
        <f>(IF($A53="SINAPI",INDEX(SINAPI_NOV2020_NDES!$A$7:$H$6703,MATCH($B53,SINAPI_NOV2020_NDES!$A$7:$A$6703,0),2),IF($A53="GOINFRA",INDEX(#REF!,MATCH($B53,#REF!,0),2),(INDEX(COMPOS!$A$4:$G$390,MATCH($B53,COMPOS!$A$4:A$390,0),2)))))</f>
        <v>CABO DE COBRE FLEXÍVEL ISOLADO, 4 MM², ANTI-CHAMA 450/750 V, PARA CIRCUITOS TERMINAIS - FORNECIMENTO E INSTALAÇÃO. AF_12/2015</v>
      </c>
      <c r="D53" s="274" t="str">
        <f>(IF($A53="SINAPI",INDEX(SINAPI_NOV2020_NDES!$A$7:$H$6790,MATCH($B53,SINAPI_NOV2020_NDES!$A$7:$A$6790,0),3),(INDEX(COMPOS!$A$4:$G$5000,MATCH($B53,COMPOS!$A$4:$A$5000,0),3))))</f>
        <v>M</v>
      </c>
      <c r="E53" s="276">
        <v>36</v>
      </c>
      <c r="F53" s="279">
        <f>(IF($A53="SINAPI",INDEX(SINAPI_NOV2020_NDES!$A$7:$H$6703,MATCH($B53,SINAPI_NOV2020_NDES!$A$7:$A$6703,0),5),(INDEX(COMPOS!$A$4:$G$801,MATCH($B53,COMPOS!$A$4:A$801,0),4))))</f>
        <v>1.17</v>
      </c>
      <c r="G53" s="280">
        <f>(IF($A53="SINAPI",INDEX(SINAPI_NOV2020_NDES!$A$7:$H$6703,MATCH($B53,SINAPI_NOV2020_NDES!$A$7:$A$6703,0),6),(INDEX(COMPOS!$A$4:$G$801,MATCH($B53,COMPOS!$A$4:A$801,0),5))))</f>
        <v>3.25</v>
      </c>
      <c r="H53" s="280">
        <f>(IF($A53="SINAPI",INDEX(SINAPI_NOV2020_NDES!$A$7:$H$6703,MATCH($B53,SINAPI_NOV2020_NDES!$A$7:$A$6703,0),7),(INDEX(COMPOS!$A$4:$G$801,MATCH($B53,COMPOS!$A$4:A$801,0),6))))</f>
        <v>0</v>
      </c>
      <c r="I53" s="279">
        <f t="shared" si="18"/>
        <v>4.42</v>
      </c>
      <c r="J53" s="276">
        <f t="shared" si="19"/>
        <v>159.12</v>
      </c>
      <c r="K53" s="255"/>
      <c r="L53" s="255"/>
      <c r="M53" s="255"/>
      <c r="N53" s="255"/>
      <c r="O53" s="257"/>
    </row>
    <row r="54" spans="1:16">
      <c r="A54" s="251" t="s">
        <v>6307</v>
      </c>
      <c r="B54" s="328">
        <v>722</v>
      </c>
      <c r="C54" s="329" t="str">
        <f>(IF($A54="SINAPI",INDEX(SINAPI_NOV2020_NDES!$A$7:$H$6703,MATCH($B54,SINAPI_NOV2020_NDES!$A$7:$A$6703,0),2),IF($A54="GOINFRA",INDEX(#REF!,MATCH($B54,#REF!,0),2),(INDEX(COMPOS!$A$4:$G$390,MATCH($B54,COMPOS!$A$4:A$390,0),2)))))</f>
        <v>FITA ISOLANTE, ROLO DE 20,00 M</v>
      </c>
      <c r="D54" s="274" t="str">
        <f>(IF($A54="SINAPI",INDEX(SINAPI_NOV2020_NDES!$A$7:$H$6790,MATCH($B54,SINAPI_NOV2020_NDES!$A$7:$A$6790,0),3),(INDEX(COMPOS!$A$4:$G$5000,MATCH($B54,COMPOS!$A$4:$A$5000,0),3))))</f>
        <v>UN</v>
      </c>
      <c r="E54" s="276">
        <v>1</v>
      </c>
      <c r="F54" s="279">
        <f>(IF($A54="SINAPI",INDEX(SINAPI_NOV2020_NDES!$A$7:$H$6703,MATCH($B54,SINAPI_NOV2020_NDES!$A$7:$A$6703,0),5),(INDEX(COMPOS!$A$4:$G$801,MATCH($B54,COMPOS!$A$4:A$801,0),4))))</f>
        <v>15.452</v>
      </c>
      <c r="G54" s="280">
        <f>(IF($A54="SINAPI",INDEX(SINAPI_NOV2020_NDES!$A$7:$H$6703,MATCH($B54,SINAPI_NOV2020_NDES!$A$7:$A$6703,0),6),(INDEX(COMPOS!$A$4:$G$801,MATCH($B54,COMPOS!$A$4:A$801,0),5))))</f>
        <v>10</v>
      </c>
      <c r="H54" s="280">
        <f>(IF($A54="SINAPI",INDEX(SINAPI_NOV2020_NDES!$A$7:$H$6703,MATCH($B54,SINAPI_NOV2020_NDES!$A$7:$A$6703,0),7),(INDEX(COMPOS!$A$4:$G$801,MATCH($B54,COMPOS!$A$4:A$801,0),6))))</f>
        <v>0</v>
      </c>
      <c r="I54" s="279">
        <f t="shared" si="18"/>
        <v>25.451999999999998</v>
      </c>
      <c r="J54" s="276">
        <f t="shared" si="19"/>
        <v>25.451999999999998</v>
      </c>
      <c r="K54" s="255"/>
      <c r="L54" s="255"/>
      <c r="M54" s="255"/>
      <c r="N54" s="255"/>
      <c r="O54" s="257"/>
    </row>
    <row r="55" spans="1:16" ht="24">
      <c r="A55" s="251" t="s">
        <v>7</v>
      </c>
      <c r="B55" s="328">
        <v>91953</v>
      </c>
      <c r="C55" s="329" t="str">
        <f>(IF($A55="SINAPI",INDEX(SINAPI_NOV2020_NDES!$A$7:$H$6703,MATCH($B55,SINAPI_NOV2020_NDES!$A$7:$A$6703,0),2),IF($A55="GOINFRA",INDEX(#REF!,MATCH($B55,#REF!,0),2),(INDEX(COMPOS!$A$4:$G$390,MATCH($B55,COMPOS!$A$4:A$390,0),2)))))</f>
        <v>INTERRUPTOR SIMPLES (1 MÓDULO), 10A/250V, INCLUINDO SUPORTE E PLACA - FORNECIMENTO E INSTALAÇÃO. AF_12/2015</v>
      </c>
      <c r="D55" s="274" t="str">
        <f>(IF($A55="SINAPI",INDEX(SINAPI_NOV2020_NDES!$A$7:$H$6790,MATCH($B55,SINAPI_NOV2020_NDES!$A$7:$A$6790,0),3),(INDEX(COMPOS!$A$4:$G$5000,MATCH($B55,COMPOS!$A$4:$A$5000,0),3))))</f>
        <v>UN</v>
      </c>
      <c r="E55" s="276">
        <v>2</v>
      </c>
      <c r="F55" s="279">
        <f>(IF($A55="SINAPI",INDEX(SINAPI_NOV2020_NDES!$A$7:$H$6703,MATCH($B55,SINAPI_NOV2020_NDES!$A$7:$A$6703,0),5),(INDEX(COMPOS!$A$4:$G$801,MATCH($B55,COMPOS!$A$4:A$801,0),4))))</f>
        <v>8.7899999999999991</v>
      </c>
      <c r="G55" s="280">
        <f>(IF($A55="SINAPI",INDEX(SINAPI_NOV2020_NDES!$A$7:$H$6703,MATCH($B55,SINAPI_NOV2020_NDES!$A$7:$A$6703,0),6),(INDEX(COMPOS!$A$4:$G$801,MATCH($B55,COMPOS!$A$4:A$801,0),5))))</f>
        <v>9.4499999999999993</v>
      </c>
      <c r="H55" s="280">
        <f>(IF($A55="SINAPI",INDEX(SINAPI_NOV2020_NDES!$A$7:$H$6703,MATCH($B55,SINAPI_NOV2020_NDES!$A$7:$A$6703,0),7),(INDEX(COMPOS!$A$4:$G$801,MATCH($B55,COMPOS!$A$4:A$801,0),6))))</f>
        <v>0</v>
      </c>
      <c r="I55" s="279">
        <f t="shared" si="18"/>
        <v>18.239999999999998</v>
      </c>
      <c r="J55" s="276">
        <f t="shared" si="19"/>
        <v>36.479999999999997</v>
      </c>
      <c r="K55" s="255"/>
      <c r="L55" s="255"/>
      <c r="M55" s="255"/>
      <c r="N55" s="255"/>
      <c r="O55" s="257"/>
    </row>
    <row r="56" spans="1:16" ht="36">
      <c r="A56" s="251" t="s">
        <v>7</v>
      </c>
      <c r="B56" s="328">
        <v>101875</v>
      </c>
      <c r="C56" s="329" t="str">
        <f>(IF($A56="SINAPI",INDEX(SINAPI_NOV2020_NDES!$A$7:$H$6703,MATCH($B56,SINAPI_NOV2020_NDES!$A$7:$A$6703,0),2),IF($A56="GOINFRA",INDEX(#REF!,MATCH($B56,#REF!,0),2),(INDEX(COMPOS!$A$4:$G$390,MATCH($B56,COMPOS!$A$4:A$390,0),2)))))</f>
        <v>QUADRO DE DISTRIBUIÇÃO DE ENERGIA EM CHAPA DE AÇO GALVANIZADO, DE EMBUTIR, COM BARRAMENTO TRIFÁSICO, PARA 12 DISJUNTORES DIN 100A - FORNECIMENTO E INSTALAÇÃO. AF_10/2020</v>
      </c>
      <c r="D56" s="274" t="str">
        <f>(IF($A56="SINAPI",INDEX(SINAPI_NOV2020_NDES!$A$7:$H$6790,MATCH($B56,SINAPI_NOV2020_NDES!$A$7:$A$6790,0),3),(INDEX(COMPOS!$A$4:$G$5000,MATCH($B56,COMPOS!$A$4:$A$5000,0),3))))</f>
        <v>UN</v>
      </c>
      <c r="E56" s="276">
        <v>1</v>
      </c>
      <c r="F56" s="279">
        <f>(IF($A56="SINAPI",INDEX(SINAPI_NOV2020_NDES!$A$7:$H$6703,MATCH($B56,SINAPI_NOV2020_NDES!$A$7:$A$6703,0),5),(INDEX(COMPOS!$A$4:$G$801,MATCH($B56,COMPOS!$A$4:A$801,0),4))))</f>
        <v>15.54</v>
      </c>
      <c r="G56" s="280">
        <f>(IF($A56="SINAPI",INDEX(SINAPI_NOV2020_NDES!$A$7:$H$6703,MATCH($B56,SINAPI_NOV2020_NDES!$A$7:$A$6703,0),6),(INDEX(COMPOS!$A$4:$G$801,MATCH($B56,COMPOS!$A$4:A$801,0),5))))</f>
        <v>315.70999999999998</v>
      </c>
      <c r="H56" s="280">
        <f>(IF($A56="SINAPI",INDEX(SINAPI_NOV2020_NDES!$A$7:$H$6703,MATCH($B56,SINAPI_NOV2020_NDES!$A$7:$A$6703,0),7),(INDEX(COMPOS!$A$4:$G$801,MATCH($B56,COMPOS!$A$4:A$801,0),6))))</f>
        <v>0</v>
      </c>
      <c r="I56" s="279">
        <f t="shared" si="18"/>
        <v>331.25</v>
      </c>
      <c r="J56" s="276">
        <f t="shared" si="19"/>
        <v>331.25</v>
      </c>
      <c r="K56" s="255"/>
      <c r="L56" s="255"/>
      <c r="M56" s="255"/>
      <c r="N56" s="255"/>
      <c r="O56" s="257"/>
    </row>
    <row r="57" spans="1:16">
      <c r="A57" s="251" t="s">
        <v>6307</v>
      </c>
      <c r="B57" s="328">
        <v>315</v>
      </c>
      <c r="C57" s="329" t="str">
        <f>(IF($A57="SINAPI",INDEX(SINAPI_NOV2020_NDES!$A$7:$H$6703,MATCH($B57,SINAPI_NOV2020_NDES!$A$7:$A$6703,0),2),IF($A57="GOINFRA",INDEX(#REF!,MATCH($B57,#REF!,0),2),(INDEX(COMPOS!$A$4:$G$390,MATCH($B57,COMPOS!$A$4:A$390,0),2)))))</f>
        <v>LUMINÁRIA HERMÉTICA IP-65, PARA 02 LÂMPADAS</v>
      </c>
      <c r="D57" s="274" t="str">
        <f>(IF($A57="SINAPI",INDEX(SINAPI_NOV2020_NDES!$A$7:$H$6790,MATCH($B57,SINAPI_NOV2020_NDES!$A$7:$A$6790,0),3),(INDEX(COMPOS!$A$4:$G$5000,MATCH($B57,COMPOS!$A$4:$A$5000,0),3))))</f>
        <v>UN</v>
      </c>
      <c r="E57" s="276">
        <v>4</v>
      </c>
      <c r="F57" s="279">
        <f>(IF($A57="SINAPI",INDEX(SINAPI_NOV2020_NDES!$A$7:$H$6703,MATCH($B57,SINAPI_NOV2020_NDES!$A$7:$A$6703,0),5),(INDEX(COMPOS!$A$4:$G$801,MATCH($B57,COMPOS!$A$4:A$801,0),4))))</f>
        <v>25.132678000000002</v>
      </c>
      <c r="G57" s="280">
        <f>(IF($A57="SINAPI",INDEX(SINAPI_NOV2020_NDES!$A$7:$H$6703,MATCH($B57,SINAPI_NOV2020_NDES!$A$7:$A$6703,0),6),(INDEX(COMPOS!$A$4:$G$801,MATCH($B57,COMPOS!$A$4:A$801,0),5))))</f>
        <v>107.03</v>
      </c>
      <c r="H57" s="280">
        <f>(IF($A57="SINAPI",INDEX(SINAPI_NOV2020_NDES!$A$7:$H$6703,MATCH($B57,SINAPI_NOV2020_NDES!$A$7:$A$6703,0),7),(INDEX(COMPOS!$A$4:$G$801,MATCH($B57,COMPOS!$A$4:A$801,0),6))))</f>
        <v>0</v>
      </c>
      <c r="I57" s="279">
        <f t="shared" si="18"/>
        <v>132.162678</v>
      </c>
      <c r="J57" s="276">
        <f t="shared" si="19"/>
        <v>528.650712</v>
      </c>
      <c r="K57" s="255"/>
      <c r="L57" s="255"/>
      <c r="M57" s="255"/>
      <c r="N57" s="255"/>
      <c r="O57" s="257"/>
    </row>
    <row r="58" spans="1:16" ht="24">
      <c r="A58" s="251" t="s">
        <v>7</v>
      </c>
      <c r="B58" s="328">
        <v>97592</v>
      </c>
      <c r="C58" s="329" t="str">
        <f>(IF($A58="SINAPI",INDEX(SINAPI_NOV2020_NDES!$A$7:$H$6703,MATCH($B58,SINAPI_NOV2020_NDES!$A$7:$A$6703,0),2),IF($A58="GOINFRA",INDEX(#REF!,MATCH($B58,#REF!,0),2),(INDEX(COMPOS!$A$4:$G$390,MATCH($B58,COMPOS!$A$4:A$390,0),2)))))</f>
        <v>LUMINÁRIA TIPO PLAFON, DE SOBREPOR, COM 1 LÂMPADA LED DE 12/13 W, SEM REATOR - FORNECIMENTO E INSTALAÇÃO. AF_02/2020</v>
      </c>
      <c r="D58" s="274" t="str">
        <f>(IF($A58="SINAPI",INDEX(SINAPI_NOV2020_NDES!$A$7:$H$6790,MATCH($B58,SINAPI_NOV2020_NDES!$A$7:$A$6790,0),3),(INDEX(COMPOS!$A$4:$G$5000,MATCH($B58,COMPOS!$A$4:$A$5000,0),3))))</f>
        <v>UN</v>
      </c>
      <c r="E58" s="276">
        <v>1</v>
      </c>
      <c r="F58" s="279">
        <f>(IF($A58="SINAPI",INDEX(SINAPI_NOV2020_NDES!$A$7:$H$6703,MATCH($B58,SINAPI_NOV2020_NDES!$A$7:$A$6703,0),5),(INDEX(COMPOS!$A$4:$G$801,MATCH($B58,COMPOS!$A$4:A$801,0),4))))</f>
        <v>11.98</v>
      </c>
      <c r="G58" s="280">
        <f>(IF($A58="SINAPI",INDEX(SINAPI_NOV2020_NDES!$A$7:$H$6703,MATCH($B58,SINAPI_NOV2020_NDES!$A$7:$A$6703,0),6),(INDEX(COMPOS!$A$4:$G$801,MATCH($B58,COMPOS!$A$4:A$801,0),5))))</f>
        <v>23.99</v>
      </c>
      <c r="H58" s="280">
        <f>(IF($A58="SINAPI",INDEX(SINAPI_NOV2020_NDES!$A$7:$H$6703,MATCH($B58,SINAPI_NOV2020_NDES!$A$7:$A$6703,0),7),(INDEX(COMPOS!$A$4:$G$801,MATCH($B58,COMPOS!$A$4:A$801,0),6))))</f>
        <v>0</v>
      </c>
      <c r="I58" s="279">
        <f t="shared" si="18"/>
        <v>35.97</v>
      </c>
      <c r="J58" s="276">
        <f t="shared" si="19"/>
        <v>35.97</v>
      </c>
      <c r="K58" s="255"/>
      <c r="L58" s="255"/>
      <c r="M58" s="255"/>
      <c r="N58" s="255"/>
      <c r="O58" s="257"/>
    </row>
    <row r="59" spans="1:16" ht="24">
      <c r="A59" s="251" t="s">
        <v>7</v>
      </c>
      <c r="B59" s="328">
        <v>100903</v>
      </c>
      <c r="C59" s="329" t="str">
        <f>(IF($A59="SINAPI",INDEX(SINAPI_NOV2020_NDES!$A$7:$H$6703,MATCH($B59,SINAPI_NOV2020_NDES!$A$7:$A$6703,0),2),IF($A59="GOINFRA",INDEX(#REF!,MATCH($B59,#REF!,0),2),(INDEX(COMPOS!$A$4:$G$390,MATCH($B59,COMPOS!$A$4:A$390,0),2)))))</f>
        <v>LÂMPADA TUBULAR LED DE 18/20 W, BASE G13 - FORNECIMENTO E INSTALAÇÃO. AF_02/2020_P</v>
      </c>
      <c r="D59" s="274" t="str">
        <f>(IF($A59="SINAPI",INDEX(SINAPI_NOV2020_NDES!$A$7:$H$6790,MATCH($B59,SINAPI_NOV2020_NDES!$A$7:$A$6790,0),3),(INDEX(COMPOS!$A$4:$G$5000,MATCH($B59,COMPOS!$A$4:$A$5000,0),3))))</f>
        <v>UN</v>
      </c>
      <c r="E59" s="276">
        <v>8</v>
      </c>
      <c r="F59" s="279">
        <f>(IF($A59="SINAPI",INDEX(SINAPI_NOV2020_NDES!$A$7:$H$6703,MATCH($B59,SINAPI_NOV2020_NDES!$A$7:$A$6703,0),5),(INDEX(COMPOS!$A$4:$G$801,MATCH($B59,COMPOS!$A$4:A$801,0),4))))</f>
        <v>5.54</v>
      </c>
      <c r="G59" s="280">
        <f>(IF($A59="SINAPI",INDEX(SINAPI_NOV2020_NDES!$A$7:$H$6703,MATCH($B59,SINAPI_NOV2020_NDES!$A$7:$A$6703,0),6),(INDEX(COMPOS!$A$4:$G$801,MATCH($B59,COMPOS!$A$4:A$801,0),5))))</f>
        <v>23.44</v>
      </c>
      <c r="H59" s="280">
        <f>(IF($A59="SINAPI",INDEX(SINAPI_NOV2020_NDES!$A$7:$H$6703,MATCH($B59,SINAPI_NOV2020_NDES!$A$7:$A$6703,0),7),(INDEX(COMPOS!$A$4:$G$801,MATCH($B59,COMPOS!$A$4:A$801,0),6))))</f>
        <v>0</v>
      </c>
      <c r="I59" s="279">
        <f t="shared" si="18"/>
        <v>28.98</v>
      </c>
      <c r="J59" s="276">
        <f t="shared" si="19"/>
        <v>231.84</v>
      </c>
      <c r="K59" s="255"/>
      <c r="L59" s="255"/>
      <c r="M59" s="255"/>
      <c r="N59" s="255"/>
      <c r="O59" s="257"/>
    </row>
    <row r="60" spans="1:16">
      <c r="A60" s="251" t="s">
        <v>7</v>
      </c>
      <c r="B60" s="328">
        <v>98307</v>
      </c>
      <c r="C60" s="329" t="str">
        <f>(IF($A60="SINAPI",INDEX(SINAPI_NOV2020_NDES!$A$7:$H$6703,MATCH($B60,SINAPI_NOV2020_NDES!$A$7:$A$6703,0),2),IF($A60="GOINFRA",INDEX(#REF!,MATCH($B60,#REF!,0),2),(INDEX(COMPOS!$A$4:$G$390,MATCH($B60,COMPOS!$A$4:A$390,0),2)))))</f>
        <v>TOMADA DE REDE RJ45 - FORNECIMENTO E INSTALAÇÃO. AF_11/2019</v>
      </c>
      <c r="D60" s="274" t="str">
        <f>(IF($A60="SINAPI",INDEX(SINAPI_NOV2020_NDES!$A$7:$H$6790,MATCH($B60,SINAPI_NOV2020_NDES!$A$7:$A$6790,0),3),(INDEX(COMPOS!$A$4:$G$5000,MATCH($B60,COMPOS!$A$4:$A$5000,0),3))))</f>
        <v>UN</v>
      </c>
      <c r="E60" s="276">
        <v>1</v>
      </c>
      <c r="F60" s="279">
        <f>(IF($A60="SINAPI",INDEX(SINAPI_NOV2020_NDES!$A$7:$H$6703,MATCH($B60,SINAPI_NOV2020_NDES!$A$7:$A$6703,0),5),(INDEX(COMPOS!$A$4:$G$801,MATCH($B60,COMPOS!$A$4:A$801,0),4))))</f>
        <v>6.07</v>
      </c>
      <c r="G60" s="280">
        <f>(IF($A60="SINAPI",INDEX(SINAPI_NOV2020_NDES!$A$7:$H$6703,MATCH($B60,SINAPI_NOV2020_NDES!$A$7:$A$6703,0),6),(INDEX(COMPOS!$A$4:$G$801,MATCH($B60,COMPOS!$A$4:A$801,0),5))))</f>
        <v>23.59</v>
      </c>
      <c r="H60" s="280">
        <f>(IF($A60="SINAPI",INDEX(SINAPI_NOV2020_NDES!$A$7:$H$6703,MATCH($B60,SINAPI_NOV2020_NDES!$A$7:$A$6703,0),7),(INDEX(COMPOS!$A$4:$G$801,MATCH($B60,COMPOS!$A$4:A$801,0),6))))</f>
        <v>0</v>
      </c>
      <c r="I60" s="279">
        <f t="shared" si="18"/>
        <v>29.66</v>
      </c>
      <c r="J60" s="276">
        <f t="shared" si="19"/>
        <v>29.66</v>
      </c>
      <c r="K60" s="255"/>
      <c r="L60" s="255"/>
      <c r="M60" s="255"/>
      <c r="N60" s="255"/>
      <c r="O60" s="257"/>
    </row>
    <row r="61" spans="1:16" s="88" customFormat="1" ht="24" customHeight="1">
      <c r="A61" s="680" t="s">
        <v>6927</v>
      </c>
      <c r="B61" s="680"/>
      <c r="C61" s="680"/>
      <c r="D61" s="680"/>
      <c r="E61" s="680"/>
      <c r="F61" s="680"/>
      <c r="G61" s="680"/>
      <c r="H61" s="680"/>
      <c r="I61" s="680"/>
      <c r="J61" s="281">
        <f>SUM(J49:J60)</f>
        <v>1717.5227120000002</v>
      </c>
      <c r="K61" s="255"/>
      <c r="L61" s="255"/>
      <c r="M61" s="255"/>
      <c r="N61" s="255"/>
      <c r="O61" s="255"/>
      <c r="P61" s="223"/>
    </row>
    <row r="62" spans="1:16">
      <c r="A62" s="251"/>
      <c r="B62" s="328">
        <v>170</v>
      </c>
      <c r="C62" s="331" t="s">
        <v>604</v>
      </c>
      <c r="D62" s="274"/>
      <c r="E62" s="276"/>
      <c r="F62" s="276"/>
      <c r="G62" s="276"/>
      <c r="H62" s="276"/>
      <c r="I62" s="276"/>
      <c r="J62" s="276"/>
      <c r="K62" s="255"/>
      <c r="L62" s="255"/>
      <c r="M62" s="255"/>
      <c r="N62" s="255"/>
      <c r="O62" s="255"/>
    </row>
    <row r="63" spans="1:16" ht="24">
      <c r="A63" s="251" t="s">
        <v>7</v>
      </c>
      <c r="B63" s="328">
        <v>95469</v>
      </c>
      <c r="C63" s="329" t="str">
        <f>(IF($A63="SINAPI",INDEX(SINAPI_NOV2020_NDES!$A$7:$H$6703,MATCH($B63,SINAPI_NOV2020_NDES!$A$7:$A$6703,0),2),IF($A63="GOINFRA",INDEX(#REF!,MATCH($B63,#REF!,0),2),(INDEX(COMPOS!$A$4:$G$390,MATCH($B63,COMPOS!$A$4:A$390,0),2)))))</f>
        <v>VASO SANITARIO SIFONADO CONVENCIONAL COM  LOUÇA BRANCA - FORNECIMENTO E INSTALAÇÃO. AF_01/2020</v>
      </c>
      <c r="D63" s="274" t="str">
        <f>(IF($A63="SINAPI",INDEX(SINAPI_NOV2020_NDES!$A$7:$H$6790,MATCH($B63,SINAPI_NOV2020_NDES!$A$7:$A$6790,0),3),(INDEX(COMPOS!$A$4:$G$5000,MATCH($B63,COMPOS!$A$4:$A$5000,0),3))))</f>
        <v>UN</v>
      </c>
      <c r="E63" s="276">
        <v>1</v>
      </c>
      <c r="F63" s="279">
        <f>(IF($A63="SINAPI",INDEX(SINAPI_NOV2020_NDES!$A$7:$H$6703,MATCH($B63,SINAPI_NOV2020_NDES!$A$7:$A$6703,0),5),(INDEX(COMPOS!$A$4:$G$801,MATCH($B63,COMPOS!$A$4:A$801,0),4))))</f>
        <v>12.19</v>
      </c>
      <c r="G63" s="280">
        <f>(IF($A63="SINAPI",INDEX(SINAPI_NOV2020_NDES!$A$7:$H$6703,MATCH($B63,SINAPI_NOV2020_NDES!$A$7:$A$6703,0),6),(INDEX(COMPOS!$A$4:$G$801,MATCH($B63,COMPOS!$A$4:A$801,0),5))))</f>
        <v>155.57</v>
      </c>
      <c r="H63" s="280">
        <f>(IF($A63="SINAPI",INDEX(SINAPI_NOV2020_NDES!$A$7:$H$6703,MATCH($B63,SINAPI_NOV2020_NDES!$A$7:$A$6703,0),7),(INDEX(COMPOS!$A$4:$G$801,MATCH($B63,COMPOS!$A$4:A$801,0),6))))</f>
        <v>0</v>
      </c>
      <c r="I63" s="279">
        <f t="shared" ref="I63" si="20">SUM(F63:H63)</f>
        <v>167.76</v>
      </c>
      <c r="J63" s="276">
        <f t="shared" ref="J63" si="21">+I63*E63</f>
        <v>167.76</v>
      </c>
      <c r="K63" s="255"/>
      <c r="L63" s="255"/>
      <c r="M63" s="255"/>
      <c r="N63" s="255"/>
      <c r="O63" s="257"/>
    </row>
    <row r="64" spans="1:16" ht="24">
      <c r="A64" s="251" t="s">
        <v>7</v>
      </c>
      <c r="B64" s="328">
        <v>100849</v>
      </c>
      <c r="C64" s="329" t="str">
        <f>(IF($A64="SINAPI",INDEX(SINAPI_NOV2020_NDES!$A$7:$H$6703,MATCH($B64,SINAPI_NOV2020_NDES!$A$7:$A$6703,0),2),IF($A64="GOINFRA",INDEX(#REF!,MATCH($B64,#REF!,0),2),(INDEX(COMPOS!$A$4:$G$390,MATCH($B64,COMPOS!$A$4:A$390,0),2)))))</f>
        <v>ASSENTO SANITÁRIO CONVENCIONAL - FORNECIMENTO E INSTALACAO. AF_01/2020</v>
      </c>
      <c r="D64" s="274" t="str">
        <f>(IF($A64="SINAPI",INDEX(SINAPI_NOV2020_NDES!$A$7:$H$6790,MATCH($B64,SINAPI_NOV2020_NDES!$A$7:$A$6790,0),3),(INDEX(COMPOS!$A$4:$G$5000,MATCH($B64,COMPOS!$A$4:$A$5000,0),3))))</f>
        <v>UN</v>
      </c>
      <c r="E64" s="276">
        <v>1</v>
      </c>
      <c r="F64" s="279">
        <f>(IF($A64="SINAPI",INDEX(SINAPI_NOV2020_NDES!$A$7:$H$6703,MATCH($B64,SINAPI_NOV2020_NDES!$A$7:$A$6703,0),5),(INDEX(COMPOS!$A$4:$G$801,MATCH($B64,COMPOS!$A$4:A$801,0),4))))</f>
        <v>3.12</v>
      </c>
      <c r="G64" s="280">
        <f>(IF($A64="SINAPI",INDEX(SINAPI_NOV2020_NDES!$A$7:$H$6703,MATCH($B64,SINAPI_NOV2020_NDES!$A$7:$A$6703,0),6),(INDEX(COMPOS!$A$4:$G$801,MATCH($B64,COMPOS!$A$4:A$801,0),5))))</f>
        <v>25.86</v>
      </c>
      <c r="H64" s="280">
        <f>(IF($A64="SINAPI",INDEX(SINAPI_NOV2020_NDES!$A$7:$H$6703,MATCH($B64,SINAPI_NOV2020_NDES!$A$7:$A$6703,0),7),(INDEX(COMPOS!$A$4:$G$801,MATCH($B64,COMPOS!$A$4:A$801,0),6))))</f>
        <v>0</v>
      </c>
      <c r="I64" s="279">
        <f t="shared" ref="I64:I102" si="22">SUM(F64:H64)</f>
        <v>28.98</v>
      </c>
      <c r="J64" s="276">
        <f t="shared" ref="J64:J102" si="23">+I64*E64</f>
        <v>28.98</v>
      </c>
      <c r="K64" s="255"/>
      <c r="L64" s="255"/>
      <c r="M64" s="255"/>
      <c r="N64" s="255"/>
      <c r="O64" s="257"/>
    </row>
    <row r="65" spans="1:15" ht="24">
      <c r="A65" s="251" t="s">
        <v>6307</v>
      </c>
      <c r="B65" s="328">
        <v>334</v>
      </c>
      <c r="C65" s="329" t="str">
        <f>(IF($A65="SINAPI",INDEX(SINAPI_NOV2020_NDES!$A$7:$H$6703,MATCH($B65,SINAPI_NOV2020_NDES!$A$7:$A$6703,0),2),IF($A65="GOINFRA",INDEX(#REF!,MATCH($B65,#REF!,0),2),(INDEX(COMPOS!$A$4:$G$3900,MATCH($B65,COMPOS!$A$4:A$3900,0),2)))))</f>
        <v>VÁLVULA DE DESCARGA DUPLO ACIONAMENTO COM ACABAMENTO ANTI-VANDALISMO</v>
      </c>
      <c r="D65" s="274" t="str">
        <f>(IF($A65="SINAPI",INDEX(SINAPI_NOV2020_NDES!$A$7:$H$6790,MATCH($B65,SINAPI_NOV2020_NDES!$A$7:$A$6790,0),3),(INDEX(COMPOS!$A$4:$G$5000,MATCH($B65,COMPOS!$A$4:$A$5000,0),3))))</f>
        <v>UN</v>
      </c>
      <c r="E65" s="276">
        <v>1</v>
      </c>
      <c r="F65" s="279">
        <f>(IF($A65="SINAPI",INDEX(SINAPI_NOV2020_NDES!$A$7:$H$6703,MATCH($B65,SINAPI_NOV2020_NDES!$A$7:$A$6703,0),5),(INDEX(COMPOS!$A$4:$G$801,MATCH($B65,COMPOS!$A$4:A$801,0),4))))</f>
        <v>60.95232</v>
      </c>
      <c r="G65" s="280">
        <f>(IF($A65="SINAPI",INDEX(SINAPI_NOV2020_NDES!$A$7:$H$6703,MATCH($B65,SINAPI_NOV2020_NDES!$A$7:$A$6703,0),6),(INDEX(COMPOS!$A$4:$G$801,MATCH($B65,COMPOS!$A$4:A$801,0),5))))</f>
        <v>188.76320000000001</v>
      </c>
      <c r="H65" s="280">
        <f>(IF($A65="SINAPI",INDEX(SINAPI_NOV2020_NDES!$A$7:$H$6703,MATCH($B65,SINAPI_NOV2020_NDES!$A$7:$A$6703,0),7),(INDEX(COMPOS!$A$4:$G$801,MATCH($B65,COMPOS!$A$4:A$801,0),6))))</f>
        <v>0</v>
      </c>
      <c r="I65" s="279">
        <f t="shared" si="22"/>
        <v>249.71552000000003</v>
      </c>
      <c r="J65" s="276">
        <f t="shared" si="23"/>
        <v>249.71552000000003</v>
      </c>
      <c r="K65" s="255"/>
      <c r="L65" s="255"/>
      <c r="M65" s="255"/>
      <c r="N65" s="255"/>
      <c r="O65" s="257"/>
    </row>
    <row r="66" spans="1:15">
      <c r="A66" s="251" t="s">
        <v>6307</v>
      </c>
      <c r="B66" s="328">
        <v>617</v>
      </c>
      <c r="C66" s="329" t="str">
        <f>(IF($A66="SINAPI",INDEX(SINAPI_NOV2020_NDES!$A$7:$H$6703,MATCH($B66,SINAPI_NOV2020_NDES!$A$7:$A$6703,0),2),IF($A66="GOINFRA",INDEX(#REF!,MATCH($B66,#REF!,0),2),(INDEX(COMPOS!$A$4:$G$3900,MATCH($B66,COMPOS!$A$4:A$3900,0),2)))))</f>
        <v>MEIA SABONETEIRA EM LOUÇA DE EMBUTIR</v>
      </c>
      <c r="D66" s="274" t="str">
        <f>(IF($A66="SINAPI",INDEX(SINAPI_NOV2020_NDES!$A$7:$H$6790,MATCH($B66,SINAPI_NOV2020_NDES!$A$7:$A$6790,0),3),(INDEX(COMPOS!$A$4:$G$5000,MATCH($B66,COMPOS!$A$4:$A$5000,0),3))))</f>
        <v>UN</v>
      </c>
      <c r="E66" s="276">
        <v>1</v>
      </c>
      <c r="F66" s="279">
        <f>(IF($A66="SINAPI",INDEX(SINAPI_NOV2020_NDES!$A$7:$H$6703,MATCH($B66,SINAPI_NOV2020_NDES!$A$7:$A$6703,0),5),(INDEX(COMPOS!$A$4:$G$801,MATCH($B66,COMPOS!$A$4:A$801,0),4))))</f>
        <v>18.405000000000001</v>
      </c>
      <c r="G66" s="280">
        <f>(IF($A66="SINAPI",INDEX(SINAPI_NOV2020_NDES!$A$7:$H$6703,MATCH($B66,SINAPI_NOV2020_NDES!$A$7:$A$6703,0),6),(INDEX(COMPOS!$A$4:$G$801,MATCH($B66,COMPOS!$A$4:A$801,0),5))))</f>
        <v>21.501000000000001</v>
      </c>
      <c r="H66" s="280">
        <f>(IF($A66="SINAPI",INDEX(SINAPI_NOV2020_NDES!$A$7:$H$6703,MATCH($B66,SINAPI_NOV2020_NDES!$A$7:$A$6703,0),7),(INDEX(COMPOS!$A$4:$G$801,MATCH($B66,COMPOS!$A$4:A$801,0),6))))</f>
        <v>0</v>
      </c>
      <c r="I66" s="279">
        <f t="shared" si="22"/>
        <v>39.906000000000006</v>
      </c>
      <c r="J66" s="276">
        <f t="shared" si="23"/>
        <v>39.906000000000006</v>
      </c>
      <c r="K66" s="255"/>
      <c r="L66" s="255"/>
      <c r="M66" s="255"/>
      <c r="N66" s="255"/>
      <c r="O66" s="257"/>
    </row>
    <row r="67" spans="1:15">
      <c r="A67" s="251" t="s">
        <v>6307</v>
      </c>
      <c r="B67" s="328">
        <v>324</v>
      </c>
      <c r="C67" s="329" t="str">
        <f>(IF($A67="SINAPI",INDEX(SINAPI_NOV2020_NDES!$A$7:$H$6703,MATCH($B67,SINAPI_NOV2020_NDES!$A$7:$A$6703,0),2),IF($A67="GOINFRA",INDEX(#REF!,MATCH($B67,#REF!,0),2),(INDEX(COMPOS!$A$4:$G$3900,MATCH($B67,COMPOS!$A$4:A$3900,0),2)))))</f>
        <v>TUBO DE LIGAÇÃO PVC CROMADO 1.1/2'' – ESPUDE (ENTRADA)</v>
      </c>
      <c r="D67" s="274" t="str">
        <f>(IF($A67="SINAPI",INDEX(SINAPI_NOV2020_NDES!$A$7:$H$6790,MATCH($B67,SINAPI_NOV2020_NDES!$A$7:$A$6790,0),3),(INDEX(COMPOS!$A$4:$G$5000,MATCH($B67,COMPOS!$A$4:$A$5000,0),3))))</f>
        <v>UN</v>
      </c>
      <c r="E67" s="276">
        <v>1</v>
      </c>
      <c r="F67" s="279">
        <f>(IF($A67="SINAPI",INDEX(SINAPI_NOV2020_NDES!$A$7:$H$6703,MATCH($B67,SINAPI_NOV2020_NDES!$A$7:$A$6703,0),5),(INDEX(COMPOS!$A$4:$G$801,MATCH($B67,COMPOS!$A$4:A$801,0),4))))</f>
        <v>5.2416</v>
      </c>
      <c r="G67" s="280">
        <f>(IF($A67="SINAPI",INDEX(SINAPI_NOV2020_NDES!$A$7:$H$6703,MATCH($B67,SINAPI_NOV2020_NDES!$A$7:$A$6703,0),6),(INDEX(COMPOS!$A$4:$G$801,MATCH($B67,COMPOS!$A$4:A$801,0),5))))</f>
        <v>5.89</v>
      </c>
      <c r="H67" s="280">
        <f>(IF($A67="SINAPI",INDEX(SINAPI_NOV2020_NDES!$A$7:$H$6703,MATCH($B67,SINAPI_NOV2020_NDES!$A$7:$A$6703,0),7),(INDEX(COMPOS!$A$4:$G$801,MATCH($B67,COMPOS!$A$4:A$801,0),6))))</f>
        <v>0</v>
      </c>
      <c r="I67" s="279">
        <f t="shared" si="22"/>
        <v>11.131599999999999</v>
      </c>
      <c r="J67" s="276">
        <f t="shared" si="23"/>
        <v>11.131599999999999</v>
      </c>
      <c r="K67" s="255"/>
      <c r="L67" s="255"/>
      <c r="M67" s="255"/>
      <c r="N67" s="255"/>
      <c r="O67" s="257"/>
    </row>
    <row r="68" spans="1:15" ht="24">
      <c r="A68" s="251" t="s">
        <v>7</v>
      </c>
      <c r="B68" s="328">
        <v>95543</v>
      </c>
      <c r="C68" s="329" t="str">
        <f>(IF($A68="SINAPI",INDEX(SINAPI_NOV2020_NDES!$A$7:$H$6703,MATCH($B68,SINAPI_NOV2020_NDES!$A$7:$A$6703,0),2),IF($A68="GOINFRA",INDEX(#REF!,MATCH($B68,#REF!,0),2),(INDEX(COMPOS!$A$4:$G$3900,MATCH($B68,COMPOS!$A$4:A$3900,0),2)))))</f>
        <v>PORTA TOALHA BANHO EM METAL CROMADO, TIPO BARRA, INCLUSO FIXAÇÃO. AF_01/2020</v>
      </c>
      <c r="D68" s="274" t="str">
        <f>(IF($A68="SINAPI",INDEX(SINAPI_NOV2020_NDES!$A$7:$H$6790,MATCH($B68,SINAPI_NOV2020_NDES!$A$7:$A$6790,0),3),(INDEX(COMPOS!$A$4:$G$5000,MATCH($B68,COMPOS!$A$4:$A$5000,0),3))))</f>
        <v>UN</v>
      </c>
      <c r="E68" s="276">
        <v>1</v>
      </c>
      <c r="F68" s="279">
        <f>(IF($A68="SINAPI",INDEX(SINAPI_NOV2020_NDES!$A$7:$H$6703,MATCH($B68,SINAPI_NOV2020_NDES!$A$7:$A$6703,0),5),(INDEX(COMPOS!$A$4:$G$801,MATCH($B68,COMPOS!$A$4:A$801,0),4))))</f>
        <v>12.91</v>
      </c>
      <c r="G68" s="280">
        <f>(IF($A68="SINAPI",INDEX(SINAPI_NOV2020_NDES!$A$7:$H$6703,MATCH($B68,SINAPI_NOV2020_NDES!$A$7:$A$6703,0),6),(INDEX(COMPOS!$A$4:$G$801,MATCH($B68,COMPOS!$A$4:A$801,0),5))))</f>
        <v>27.84</v>
      </c>
      <c r="H68" s="280">
        <f>(IF($A68="SINAPI",INDEX(SINAPI_NOV2020_NDES!$A$7:$H$6703,MATCH($B68,SINAPI_NOV2020_NDES!$A$7:$A$6703,0),7),(INDEX(COMPOS!$A$4:$G$801,MATCH($B68,COMPOS!$A$4:A$801,0),6))))</f>
        <v>0</v>
      </c>
      <c r="I68" s="279">
        <f t="shared" si="22"/>
        <v>40.75</v>
      </c>
      <c r="J68" s="276">
        <f t="shared" si="23"/>
        <v>40.75</v>
      </c>
      <c r="K68" s="255"/>
      <c r="L68" s="255"/>
      <c r="M68" s="255"/>
      <c r="N68" s="255"/>
      <c r="O68" s="257"/>
    </row>
    <row r="69" spans="1:15" ht="24">
      <c r="A69" s="251" t="s">
        <v>7</v>
      </c>
      <c r="B69" s="328">
        <v>86906</v>
      </c>
      <c r="C69" s="329" t="str">
        <f>(IF($A69="SINAPI",INDEX(SINAPI_NOV2020_NDES!$A$7:$H$6703,MATCH($B69,SINAPI_NOV2020_NDES!$A$7:$A$6703,0),2),IF($A69="GOINFRA",INDEX(#REF!,MATCH($B69,#REF!,0),2),(INDEX(COMPOS!$A$4:$G$3900,MATCH($B69,COMPOS!$A$4:A$3900,0),2)))))</f>
        <v>TORNEIRA CROMADA DE MESA, 1/2 OU 3/4, PARA LAVATÓRIO, PADRÃO POPULAR - FORNECIMENTO E INSTALAÇÃO. AF_01/2020</v>
      </c>
      <c r="D69" s="274" t="str">
        <f>(IF($A69="SINAPI",INDEX(SINAPI_NOV2020_NDES!$A$7:$H$6790,MATCH($B69,SINAPI_NOV2020_NDES!$A$7:$A$6790,0),3),(INDEX(COMPOS!$A$4:$G$5000,MATCH($B69,COMPOS!$A$4:$A$5000,0),3))))</f>
        <v>UN</v>
      </c>
      <c r="E69" s="276">
        <v>1</v>
      </c>
      <c r="F69" s="279">
        <f>(IF($A69="SINAPI",INDEX(SINAPI_NOV2020_NDES!$A$7:$H$6703,MATCH($B69,SINAPI_NOV2020_NDES!$A$7:$A$6703,0),5),(INDEX(COMPOS!$A$4:$G$801,MATCH($B69,COMPOS!$A$4:A$801,0),4))))</f>
        <v>1.94</v>
      </c>
      <c r="G69" s="280">
        <f>(IF($A69="SINAPI",INDEX(SINAPI_NOV2020_NDES!$A$7:$H$6703,MATCH($B69,SINAPI_NOV2020_NDES!$A$7:$A$6703,0),6),(INDEX(COMPOS!$A$4:$G$801,MATCH($B69,COMPOS!$A$4:A$801,0),5))))</f>
        <v>41.22</v>
      </c>
      <c r="H69" s="280">
        <f>(IF($A69="SINAPI",INDEX(SINAPI_NOV2020_NDES!$A$7:$H$6703,MATCH($B69,SINAPI_NOV2020_NDES!$A$7:$A$6703,0),7),(INDEX(COMPOS!$A$4:$G$801,MATCH($B69,COMPOS!$A$4:A$801,0),6))))</f>
        <v>0</v>
      </c>
      <c r="I69" s="279">
        <f t="shared" si="22"/>
        <v>43.16</v>
      </c>
      <c r="J69" s="276">
        <f t="shared" si="23"/>
        <v>43.16</v>
      </c>
      <c r="K69" s="255"/>
      <c r="L69" s="255"/>
      <c r="M69" s="255"/>
      <c r="N69" s="255"/>
      <c r="O69" s="257"/>
    </row>
    <row r="70" spans="1:15" ht="24">
      <c r="A70" s="251" t="s">
        <v>7</v>
      </c>
      <c r="B70" s="328">
        <v>86883</v>
      </c>
      <c r="C70" s="329" t="str">
        <f>(IF($A70="SINAPI",INDEX(SINAPI_NOV2020_NDES!$A$7:$H$6703,MATCH($B70,SINAPI_NOV2020_NDES!$A$7:$A$6703,0),2),IF($A70="GOINFRA",INDEX(#REF!,MATCH($B70,#REF!,0),2),(INDEX(COMPOS!$A$4:$G$3900,MATCH($B70,COMPOS!$A$4:A$3900,0),2)))))</f>
        <v>SIFÃO DO TIPO FLEXÍVEL EM PVC 1  X 1.1/2  - FORNECIMENTO E INSTALAÇÃO. AF_01/2020</v>
      </c>
      <c r="D70" s="274" t="str">
        <f>(IF($A70="SINAPI",INDEX(SINAPI_NOV2020_NDES!$A$7:$H$6790,MATCH($B70,SINAPI_NOV2020_NDES!$A$7:$A$6790,0),3),(INDEX(COMPOS!$A$4:$G$5000,MATCH($B70,COMPOS!$A$4:$A$5000,0),3))))</f>
        <v>UN</v>
      </c>
      <c r="E70" s="276">
        <v>1</v>
      </c>
      <c r="F70" s="279">
        <f>(IF($A70="SINAPI",INDEX(SINAPI_NOV2020_NDES!$A$7:$H$6703,MATCH($B70,SINAPI_NOV2020_NDES!$A$7:$A$6703,0),5),(INDEX(COMPOS!$A$4:$G$801,MATCH($B70,COMPOS!$A$4:A$801,0),4))))</f>
        <v>1.71</v>
      </c>
      <c r="G70" s="280">
        <f>(IF($A70="SINAPI",INDEX(SINAPI_NOV2020_NDES!$A$7:$H$6703,MATCH($B70,SINAPI_NOV2020_NDES!$A$7:$A$6703,0),6),(INDEX(COMPOS!$A$4:$G$801,MATCH($B70,COMPOS!$A$4:A$801,0),5))))</f>
        <v>7.6</v>
      </c>
      <c r="H70" s="280">
        <f>(IF($A70="SINAPI",INDEX(SINAPI_NOV2020_NDES!$A$7:$H$6703,MATCH($B70,SINAPI_NOV2020_NDES!$A$7:$A$6703,0),7),(INDEX(COMPOS!$A$4:$G$801,MATCH($B70,COMPOS!$A$4:A$801,0),6))))</f>
        <v>0</v>
      </c>
      <c r="I70" s="279">
        <f t="shared" si="22"/>
        <v>9.3099999999999987</v>
      </c>
      <c r="J70" s="276">
        <f t="shared" si="23"/>
        <v>9.3099999999999987</v>
      </c>
      <c r="K70" s="255"/>
      <c r="L70" s="255"/>
      <c r="M70" s="255"/>
      <c r="N70" s="255"/>
      <c r="O70" s="257"/>
    </row>
    <row r="71" spans="1:15" ht="24">
      <c r="A71" s="251" t="s">
        <v>7</v>
      </c>
      <c r="B71" s="328">
        <v>86877</v>
      </c>
      <c r="C71" s="329" t="str">
        <f>(IF($A71="SINAPI",INDEX(SINAPI_NOV2020_NDES!$A$7:$H$6703,MATCH($B71,SINAPI_NOV2020_NDES!$A$7:$A$6703,0),2),IF($A71="GOINFRA",INDEX(#REF!,MATCH($B71,#REF!,0),2),(INDEX(COMPOS!$A$4:$G$3900,MATCH($B71,COMPOS!$A$4:A$3900,0),2)))))</f>
        <v>VÁLVULA EM METAL CROMADO 1.1/2 X 1.1/2 PARA TANQUE OU LAVATÓRIO, COM OU SEM LADRÃO - FORNECIMENTO E INSTALAÇÃO. AF_01/2020</v>
      </c>
      <c r="D71" s="274" t="str">
        <f>(IF($A71="SINAPI",INDEX(SINAPI_NOV2020_NDES!$A$7:$H$6790,MATCH($B71,SINAPI_NOV2020_NDES!$A$7:$A$6790,0),3),(INDEX(COMPOS!$A$4:$G$5000,MATCH($B71,COMPOS!$A$4:$A$5000,0),3))))</f>
        <v>UN</v>
      </c>
      <c r="E71" s="276">
        <v>1</v>
      </c>
      <c r="F71" s="279">
        <f>(IF($A71="SINAPI",INDEX(SINAPI_NOV2020_NDES!$A$7:$H$6703,MATCH($B71,SINAPI_NOV2020_NDES!$A$7:$A$6703,0),5),(INDEX(COMPOS!$A$4:$G$801,MATCH($B71,COMPOS!$A$4:A$801,0),4))))</f>
        <v>3.54</v>
      </c>
      <c r="G71" s="280">
        <f>(IF($A71="SINAPI",INDEX(SINAPI_NOV2020_NDES!$A$7:$H$6703,MATCH($B71,SINAPI_NOV2020_NDES!$A$7:$A$6703,0),6),(INDEX(COMPOS!$A$4:$G$801,MATCH($B71,COMPOS!$A$4:A$801,0),5))))</f>
        <v>19.5</v>
      </c>
      <c r="H71" s="280">
        <f>(IF($A71="SINAPI",INDEX(SINAPI_NOV2020_NDES!$A$7:$H$6703,MATCH($B71,SINAPI_NOV2020_NDES!$A$7:$A$6703,0),7),(INDEX(COMPOS!$A$4:$G$801,MATCH($B71,COMPOS!$A$4:A$801,0),6))))</f>
        <v>0</v>
      </c>
      <c r="I71" s="279">
        <f t="shared" si="22"/>
        <v>23.04</v>
      </c>
      <c r="J71" s="276">
        <f t="shared" si="23"/>
        <v>23.04</v>
      </c>
      <c r="K71" s="255"/>
      <c r="L71" s="255"/>
      <c r="M71" s="255"/>
      <c r="N71" s="255"/>
      <c r="O71" s="257"/>
    </row>
    <row r="72" spans="1:15" ht="24">
      <c r="A72" s="251" t="s">
        <v>7</v>
      </c>
      <c r="B72" s="328">
        <v>86885</v>
      </c>
      <c r="C72" s="329" t="str">
        <f>(IF($A72="SINAPI",INDEX(SINAPI_NOV2020_NDES!$A$7:$H$6703,MATCH($B72,SINAPI_NOV2020_NDES!$A$7:$A$6703,0),2),IF($A72="GOINFRA",INDEX(#REF!,MATCH($B72,#REF!,0),2),(INDEX(COMPOS!$A$4:$G$3900,MATCH($B72,COMPOS!$A$4:A$3900,0),2)))))</f>
        <v>ENGATE FLEXÍVEL EM PLÁSTICO BRANCO, 1/2 X 40CM - FORNECIMENTO E INSTALAÇÃO. AF_01/2020</v>
      </c>
      <c r="D72" s="274" t="str">
        <f>(IF($A72="SINAPI",INDEX(SINAPI_NOV2020_NDES!$A$7:$H$6790,MATCH($B72,SINAPI_NOV2020_NDES!$A$7:$A$6790,0),3),(INDEX(COMPOS!$A$4:$G$5000,MATCH($B72,COMPOS!$A$4:$A$5000,0),3))))</f>
        <v>UN</v>
      </c>
      <c r="E72" s="276">
        <v>1</v>
      </c>
      <c r="F72" s="279">
        <f>(IF($A72="SINAPI",INDEX(SINAPI_NOV2020_NDES!$A$7:$H$6703,MATCH($B72,SINAPI_NOV2020_NDES!$A$7:$A$6703,0),5),(INDEX(COMPOS!$A$4:$G$801,MATCH($B72,COMPOS!$A$4:A$801,0),4))))</f>
        <v>3.12</v>
      </c>
      <c r="G72" s="280">
        <f>(IF($A72="SINAPI",INDEX(SINAPI_NOV2020_NDES!$A$7:$H$6703,MATCH($B72,SINAPI_NOV2020_NDES!$A$7:$A$6703,0),6),(INDEX(COMPOS!$A$4:$G$801,MATCH($B72,COMPOS!$A$4:A$801,0),5))))</f>
        <v>6.03</v>
      </c>
      <c r="H72" s="280">
        <f>(IF($A72="SINAPI",INDEX(SINAPI_NOV2020_NDES!$A$7:$H$6703,MATCH($B72,SINAPI_NOV2020_NDES!$A$7:$A$6703,0),7),(INDEX(COMPOS!$A$4:$G$801,MATCH($B72,COMPOS!$A$4:A$801,0),6))))</f>
        <v>0</v>
      </c>
      <c r="I72" s="279">
        <f t="shared" si="22"/>
        <v>9.15</v>
      </c>
      <c r="J72" s="276">
        <f t="shared" si="23"/>
        <v>9.15</v>
      </c>
      <c r="K72" s="255"/>
      <c r="L72" s="255"/>
      <c r="M72" s="255"/>
      <c r="N72" s="255"/>
      <c r="O72" s="257"/>
    </row>
    <row r="73" spans="1:15" ht="24">
      <c r="A73" s="251" t="s">
        <v>7</v>
      </c>
      <c r="B73" s="328">
        <v>86901</v>
      </c>
      <c r="C73" s="329" t="str">
        <f>(IF($A73="SINAPI",INDEX(SINAPI_NOV2020_NDES!$A$7:$H$6703,MATCH($B73,SINAPI_NOV2020_NDES!$A$7:$A$6703,0),2),IF($A73="GOINFRA",INDEX(#REF!,MATCH($B73,#REF!,0),2),(INDEX(COMPOS!$A$4:$G$3900,MATCH($B73,COMPOS!$A$4:A$3900,0),2)))))</f>
        <v>CUBA DE EMBUTIR OVAL EM LOUÇA BRANCA, 35 X 50CM OU EQUIVALENTE - FORNECIMENTO E INSTALAÇÃO. AF_01/2020</v>
      </c>
      <c r="D73" s="274" t="str">
        <f>(IF($A73="SINAPI",INDEX(SINAPI_NOV2020_NDES!$A$7:$H$6790,MATCH($B73,SINAPI_NOV2020_NDES!$A$7:$A$6790,0),3),(INDEX(COMPOS!$A$4:$G$5000,MATCH($B73,COMPOS!$A$4:$A$5000,0),3))))</f>
        <v>UN</v>
      </c>
      <c r="E73" s="276">
        <v>1</v>
      </c>
      <c r="F73" s="279">
        <f>(IF($A73="SINAPI",INDEX(SINAPI_NOV2020_NDES!$A$7:$H$6703,MATCH($B73,SINAPI_NOV2020_NDES!$A$7:$A$6703,0),5),(INDEX(COMPOS!$A$4:$G$801,MATCH($B73,COMPOS!$A$4:A$801,0),4))))</f>
        <v>16.93</v>
      </c>
      <c r="G73" s="280">
        <f>(IF($A73="SINAPI",INDEX(SINAPI_NOV2020_NDES!$A$7:$H$6703,MATCH($B73,SINAPI_NOV2020_NDES!$A$7:$A$6703,0),6),(INDEX(COMPOS!$A$4:$G$801,MATCH($B73,COMPOS!$A$4:A$801,0),5))))</f>
        <v>98.56</v>
      </c>
      <c r="H73" s="280">
        <f>(IF($A73="SINAPI",INDEX(SINAPI_NOV2020_NDES!$A$7:$H$6703,MATCH($B73,SINAPI_NOV2020_NDES!$A$7:$A$6703,0),7),(INDEX(COMPOS!$A$4:$G$801,MATCH($B73,COMPOS!$A$4:A$801,0),6))))</f>
        <v>0</v>
      </c>
      <c r="I73" s="279">
        <f t="shared" si="22"/>
        <v>115.49000000000001</v>
      </c>
      <c r="J73" s="276">
        <f t="shared" si="23"/>
        <v>115.49000000000001</v>
      </c>
      <c r="K73" s="255"/>
      <c r="L73" s="255"/>
      <c r="M73" s="255"/>
      <c r="N73" s="255"/>
      <c r="O73" s="257"/>
    </row>
    <row r="74" spans="1:15">
      <c r="A74" s="251" t="s">
        <v>6307</v>
      </c>
      <c r="B74" s="328">
        <v>786</v>
      </c>
      <c r="C74" s="329" t="str">
        <f>(IF($A74="SINAPI",INDEX(SINAPI_NOV2020_NDES!$A$7:$H$6703,MATCH($B74,SINAPI_NOV2020_NDES!$A$7:$A$6703,0),2),IF($A74="GOINFRA",INDEX(#REF!,MATCH($B74,#REF!,0),2),(INDEX(COMPOS!$A$4:$G$3900,MATCH($B74,COMPOS!$A$4:A$3900,0),2)))))</f>
        <v>PORTA PAPEL HIGIÊNICO EM LOUÇA - EMBUTIR</v>
      </c>
      <c r="D74" s="274" t="str">
        <f>(IF($A74="SINAPI",INDEX(SINAPI_NOV2020_NDES!$A$7:$H$6790,MATCH($B74,SINAPI_NOV2020_NDES!$A$7:$A$6790,0),3),(INDEX(COMPOS!$A$4:$G$5000,MATCH($B74,COMPOS!$A$4:$A$5000,0),3))))</f>
        <v>UN</v>
      </c>
      <c r="E74" s="276">
        <v>1</v>
      </c>
      <c r="F74" s="279">
        <f>(IF($A74="SINAPI",INDEX(SINAPI_NOV2020_NDES!$A$7:$H$6703,MATCH($B74,SINAPI_NOV2020_NDES!$A$7:$A$6703,0),5),(INDEX(COMPOS!$A$4:$G$801,MATCH($B74,COMPOS!$A$4:A$801,0),4))))</f>
        <v>18.365000000000002</v>
      </c>
      <c r="G74" s="280">
        <f>(IF($A74="SINAPI",INDEX(SINAPI_NOV2020_NDES!$A$7:$H$6703,MATCH($B74,SINAPI_NOV2020_NDES!$A$7:$A$6703,0),6),(INDEX(COMPOS!$A$4:$G$801,MATCH($B74,COMPOS!$A$4:A$801,0),5))))</f>
        <v>22.925999999999998</v>
      </c>
      <c r="H74" s="280">
        <f>(IF($A74="SINAPI",INDEX(SINAPI_NOV2020_NDES!$A$7:$H$6703,MATCH($B74,SINAPI_NOV2020_NDES!$A$7:$A$6703,0),7),(INDEX(COMPOS!$A$4:$G$801,MATCH($B74,COMPOS!$A$4:A$801,0),6))))</f>
        <v>0</v>
      </c>
      <c r="I74" s="279">
        <f t="shared" si="22"/>
        <v>41.290999999999997</v>
      </c>
      <c r="J74" s="276">
        <f t="shared" si="23"/>
        <v>41.290999999999997</v>
      </c>
      <c r="K74" s="255"/>
      <c r="L74" s="255"/>
      <c r="M74" s="255"/>
      <c r="N74" s="255"/>
      <c r="O74" s="257"/>
    </row>
    <row r="75" spans="1:15">
      <c r="A75" s="251" t="s">
        <v>6307</v>
      </c>
      <c r="B75" s="328">
        <v>617</v>
      </c>
      <c r="C75" s="329" t="str">
        <f>(IF($A75="SINAPI",INDEX(SINAPI_NOV2020_NDES!$A$7:$H$6703,MATCH($B75,SINAPI_NOV2020_NDES!$A$7:$A$6703,0),2),IF($A75="GOINFRA",INDEX(#REF!,MATCH($B75,#REF!,0),2),(INDEX(COMPOS!$A$4:$G$3900,MATCH($B75,COMPOS!$A$4:A$3900,0),2)))))</f>
        <v>MEIA SABONETEIRA EM LOUÇA DE EMBUTIR</v>
      </c>
      <c r="D75" s="274" t="str">
        <f>(IF($A75="SINAPI",INDEX(SINAPI_NOV2020_NDES!$A$7:$H$6790,MATCH($B75,SINAPI_NOV2020_NDES!$A$7:$A$6790,0),3),(INDEX(COMPOS!$A$4:$G$5000,MATCH($B75,COMPOS!$A$4:$A$5000,0),3))))</f>
        <v>UN</v>
      </c>
      <c r="E75" s="276">
        <v>1</v>
      </c>
      <c r="F75" s="279">
        <f>(IF($A75="SINAPI",INDEX(SINAPI_NOV2020_NDES!$A$7:$H$6703,MATCH($B75,SINAPI_NOV2020_NDES!$A$7:$A$6703,0),5),(INDEX(COMPOS!$A$4:$G$801,MATCH($B75,COMPOS!$A$4:A$801,0),4))))</f>
        <v>18.405000000000001</v>
      </c>
      <c r="G75" s="280">
        <f>(IF($A75="SINAPI",INDEX(SINAPI_NOV2020_NDES!$A$7:$H$6703,MATCH($B75,SINAPI_NOV2020_NDES!$A$7:$A$6703,0),6),(INDEX(COMPOS!$A$4:$G$801,MATCH($B75,COMPOS!$A$4:A$801,0),5))))</f>
        <v>21.501000000000001</v>
      </c>
      <c r="H75" s="280">
        <f>(IF($A75="SINAPI",INDEX(SINAPI_NOV2020_NDES!$A$7:$H$6703,MATCH($B75,SINAPI_NOV2020_NDES!$A$7:$A$6703,0),7),(INDEX(COMPOS!$A$4:$G$801,MATCH($B75,COMPOS!$A$4:A$801,0),6))))</f>
        <v>0</v>
      </c>
      <c r="I75" s="279">
        <f t="shared" si="22"/>
        <v>39.906000000000006</v>
      </c>
      <c r="J75" s="276">
        <f t="shared" si="23"/>
        <v>39.906000000000006</v>
      </c>
      <c r="K75" s="255"/>
      <c r="L75" s="255"/>
      <c r="M75" s="255"/>
      <c r="N75" s="255"/>
      <c r="O75" s="257"/>
    </row>
    <row r="76" spans="1:15" ht="36">
      <c r="A76" s="251" t="s">
        <v>7</v>
      </c>
      <c r="B76" s="328">
        <v>89986</v>
      </c>
      <c r="C76" s="329" t="str">
        <f>(IF($A76="SINAPI",INDEX(SINAPI_NOV2020_NDES!$A$7:$H$6703,MATCH($B76,SINAPI_NOV2020_NDES!$A$7:$A$6703,0),2),IF($A76="GOINFRA",INDEX(#REF!,MATCH($B76,#REF!,0),2),(INDEX(COMPOS!$A$4:$G$3900,MATCH($B76,COMPOS!$A$4:A$3900,0),2)))))</f>
        <v>REGISTRO DE GAVETA BRUTO, LATÃO, ROSCÁVEL, 1/2", COM ACABAMENTO E CANOPLA CROMADOS. FORNECIDO E INSTALADO EM RAMAL DE ÁGUA. AF_12/2014</v>
      </c>
      <c r="D76" s="274" t="str">
        <f>(IF($A76="SINAPI",INDEX(SINAPI_NOV2020_NDES!$A$7:$H$6790,MATCH($B76,SINAPI_NOV2020_NDES!$A$7:$A$6790,0),3),(INDEX(COMPOS!$A$4:$G$5000,MATCH($B76,COMPOS!$A$4:$A$5000,0),3))))</f>
        <v>UN</v>
      </c>
      <c r="E76" s="276">
        <v>1</v>
      </c>
      <c r="F76" s="279">
        <f>(IF($A76="SINAPI",INDEX(SINAPI_NOV2020_NDES!$A$7:$H$6703,MATCH($B76,SINAPI_NOV2020_NDES!$A$7:$A$6703,0),5),(INDEX(COMPOS!$A$4:$G$801,MATCH($B76,COMPOS!$A$4:A$801,0),4))))</f>
        <v>7.9</v>
      </c>
      <c r="G76" s="280">
        <f>(IF($A76="SINAPI",INDEX(SINAPI_NOV2020_NDES!$A$7:$H$6703,MATCH($B76,SINAPI_NOV2020_NDES!$A$7:$A$6703,0),6),(INDEX(COMPOS!$A$4:$G$801,MATCH($B76,COMPOS!$A$4:A$801,0),5))))</f>
        <v>45.48</v>
      </c>
      <c r="H76" s="280">
        <f>(IF($A76="SINAPI",INDEX(SINAPI_NOV2020_NDES!$A$7:$H$6703,MATCH($B76,SINAPI_NOV2020_NDES!$A$7:$A$6703,0),7),(INDEX(COMPOS!$A$4:$G$801,MATCH($B76,COMPOS!$A$4:A$801,0),6))))</f>
        <v>0</v>
      </c>
      <c r="I76" s="279">
        <f t="shared" si="22"/>
        <v>53.379999999999995</v>
      </c>
      <c r="J76" s="276">
        <f t="shared" si="23"/>
        <v>53.379999999999995</v>
      </c>
      <c r="K76" s="255"/>
      <c r="L76" s="255"/>
      <c r="M76" s="255"/>
      <c r="N76" s="255"/>
      <c r="O76" s="257"/>
    </row>
    <row r="77" spans="1:15" ht="24">
      <c r="A77" s="251" t="s">
        <v>7</v>
      </c>
      <c r="B77" s="328">
        <v>89356</v>
      </c>
      <c r="C77" s="329" t="str">
        <f>(IF($A77="SINAPI",INDEX(SINAPI_NOV2020_NDES!$A$7:$H$6703,MATCH($B77,SINAPI_NOV2020_NDES!$A$7:$A$6703,0),2),IF($A77="GOINFRA",INDEX(#REF!,MATCH($B77,#REF!,0),2),(INDEX(COMPOS!$A$4:$G$3900,MATCH($B77,COMPOS!$A$4:A$3900,0),2)))))</f>
        <v>TUBO, PVC, SOLDÁVEL, DN 25MM, INSTALADO EM RAMAL OU SUB-RAMAL DE ÁGUA - FORNECIMENTO E INSTALAÇÃO. AF_12/2014</v>
      </c>
      <c r="D77" s="274" t="str">
        <f>(IF($A77="SINAPI",INDEX(SINAPI_NOV2020_NDES!$A$7:$H$6790,MATCH($B77,SINAPI_NOV2020_NDES!$A$7:$A$6790,0),3),(INDEX(COMPOS!$A$4:$G$5000,MATCH($B77,COMPOS!$A$4:$A$5000,0),3))))</f>
        <v>M</v>
      </c>
      <c r="E77" s="276">
        <v>6</v>
      </c>
      <c r="F77" s="279">
        <f>(IF($A77="SINAPI",INDEX(SINAPI_NOV2020_NDES!$A$7:$H$6703,MATCH($B77,SINAPI_NOV2020_NDES!$A$7:$A$6703,0),5),(INDEX(COMPOS!$A$4:$G$801,MATCH($B77,COMPOS!$A$4:A$801,0),4))))</f>
        <v>10.78</v>
      </c>
      <c r="G77" s="280">
        <f>(IF($A77="SINAPI",INDEX(SINAPI_NOV2020_NDES!$A$7:$H$6703,MATCH($B77,SINAPI_NOV2020_NDES!$A$7:$A$6703,0),6),(INDEX(COMPOS!$A$4:$G$801,MATCH($B77,COMPOS!$A$4:A$801,0),5))))</f>
        <v>6.42</v>
      </c>
      <c r="H77" s="280">
        <f>(IF($A77="SINAPI",INDEX(SINAPI_NOV2020_NDES!$A$7:$H$6703,MATCH($B77,SINAPI_NOV2020_NDES!$A$7:$A$6703,0),7),(INDEX(COMPOS!$A$4:$G$801,MATCH($B77,COMPOS!$A$4:A$801,0),6))))</f>
        <v>0</v>
      </c>
      <c r="I77" s="279">
        <f t="shared" si="22"/>
        <v>17.2</v>
      </c>
      <c r="J77" s="276">
        <f t="shared" si="23"/>
        <v>103.19999999999999</v>
      </c>
      <c r="K77" s="255"/>
      <c r="L77" s="255"/>
      <c r="M77" s="255"/>
      <c r="N77" s="255"/>
      <c r="O77" s="257"/>
    </row>
    <row r="78" spans="1:15" ht="24">
      <c r="A78" s="251" t="s">
        <v>7</v>
      </c>
      <c r="B78" s="328">
        <v>89447</v>
      </c>
      <c r="C78" s="329" t="str">
        <f>(IF($A78="SINAPI",INDEX(SINAPI_NOV2020_NDES!$A$7:$H$6703,MATCH($B78,SINAPI_NOV2020_NDES!$A$7:$A$6703,0),2),IF($A78="GOINFRA",INDEX(#REF!,MATCH($B78,#REF!,0),2),(INDEX(COMPOS!$A$4:$G$3900,MATCH($B78,COMPOS!$A$4:A$3900,0),2)))))</f>
        <v>TUBO, PVC, SOLDÁVEL, DN 32MM, INSTALADO EM PRUMADA DE ÁGUA - FORNECIMENTO E INSTALAÇÃO. AF_12/2014</v>
      </c>
      <c r="D78" s="274" t="str">
        <f>(IF($A78="SINAPI",INDEX(SINAPI_NOV2020_NDES!$A$7:$H$6790,MATCH($B78,SINAPI_NOV2020_NDES!$A$7:$A$6790,0),3),(INDEX(COMPOS!$A$4:$G$5000,MATCH($B78,COMPOS!$A$4:$A$5000,0),3))))</f>
        <v>M</v>
      </c>
      <c r="E78" s="276">
        <v>6</v>
      </c>
      <c r="F78" s="279">
        <f>(IF($A78="SINAPI",INDEX(SINAPI_NOV2020_NDES!$A$7:$H$6703,MATCH($B78,SINAPI_NOV2020_NDES!$A$7:$A$6703,0),5),(INDEX(COMPOS!$A$4:$G$801,MATCH($B78,COMPOS!$A$4:A$801,0),4))))</f>
        <v>0.56000000000000005</v>
      </c>
      <c r="G78" s="280">
        <f>(IF($A78="SINAPI",INDEX(SINAPI_NOV2020_NDES!$A$7:$H$6703,MATCH($B78,SINAPI_NOV2020_NDES!$A$7:$A$6703,0),6),(INDEX(COMPOS!$A$4:$G$801,MATCH($B78,COMPOS!$A$4:A$801,0),5))))</f>
        <v>7.37</v>
      </c>
      <c r="H78" s="280">
        <f>(IF($A78="SINAPI",INDEX(SINAPI_NOV2020_NDES!$A$7:$H$6703,MATCH($B78,SINAPI_NOV2020_NDES!$A$7:$A$6703,0),7),(INDEX(COMPOS!$A$4:$G$801,MATCH($B78,COMPOS!$A$4:A$801,0),6))))</f>
        <v>0</v>
      </c>
      <c r="I78" s="279">
        <f t="shared" si="22"/>
        <v>7.93</v>
      </c>
      <c r="J78" s="276">
        <f t="shared" si="23"/>
        <v>47.58</v>
      </c>
      <c r="K78" s="255"/>
      <c r="L78" s="255"/>
      <c r="M78" s="255"/>
      <c r="N78" s="255"/>
      <c r="O78" s="257"/>
    </row>
    <row r="79" spans="1:15" ht="24">
      <c r="A79" s="251" t="s">
        <v>7</v>
      </c>
      <c r="B79" s="328">
        <v>89449</v>
      </c>
      <c r="C79" s="329" t="str">
        <f>(IF($A79="SINAPI",INDEX(SINAPI_NOV2020_NDES!$A$7:$H$6703,MATCH($B79,SINAPI_NOV2020_NDES!$A$7:$A$6703,0),2),IF($A79="GOINFRA",INDEX(#REF!,MATCH($B79,#REF!,0),2),(INDEX(COMPOS!$A$4:$G$3900,MATCH($B79,COMPOS!$A$4:A$3900,0),2)))))</f>
        <v>TUBO, PVC, SOLDÁVEL, DN 50MM, INSTALADO EM PRUMADA DE ÁGUA - FORNECIMENTO E INSTALAÇÃO. AF_12/2014</v>
      </c>
      <c r="D79" s="274" t="str">
        <f>(IF($A79="SINAPI",INDEX(SINAPI_NOV2020_NDES!$A$7:$H$6790,MATCH($B79,SINAPI_NOV2020_NDES!$A$7:$A$6790,0),3),(INDEX(COMPOS!$A$4:$G$5000,MATCH($B79,COMPOS!$A$4:$A$5000,0),3))))</f>
        <v>M</v>
      </c>
      <c r="E79" s="276">
        <v>32</v>
      </c>
      <c r="F79" s="279">
        <f>(IF($A79="SINAPI",INDEX(SINAPI_NOV2020_NDES!$A$7:$H$6703,MATCH($B79,SINAPI_NOV2020_NDES!$A$7:$A$6703,0),5),(INDEX(COMPOS!$A$4:$G$801,MATCH($B79,COMPOS!$A$4:A$801,0),4))))</f>
        <v>0.82</v>
      </c>
      <c r="G79" s="280">
        <f>(IF($A79="SINAPI",INDEX(SINAPI_NOV2020_NDES!$A$7:$H$6703,MATCH($B79,SINAPI_NOV2020_NDES!$A$7:$A$6703,0),6),(INDEX(COMPOS!$A$4:$G$801,MATCH($B79,COMPOS!$A$4:A$801,0),5))))</f>
        <v>12.26</v>
      </c>
      <c r="H79" s="280">
        <f>(IF($A79="SINAPI",INDEX(SINAPI_NOV2020_NDES!$A$7:$H$6703,MATCH($B79,SINAPI_NOV2020_NDES!$A$7:$A$6703,0),7),(INDEX(COMPOS!$A$4:$G$801,MATCH($B79,COMPOS!$A$4:A$801,0),6))))</f>
        <v>0</v>
      </c>
      <c r="I79" s="279">
        <f t="shared" si="22"/>
        <v>13.08</v>
      </c>
      <c r="J79" s="276">
        <f t="shared" si="23"/>
        <v>418.56</v>
      </c>
      <c r="K79" s="255"/>
      <c r="L79" s="255"/>
      <c r="M79" s="255"/>
      <c r="N79" s="255"/>
      <c r="O79" s="257"/>
    </row>
    <row r="80" spans="1:15" ht="24">
      <c r="A80" s="251" t="s">
        <v>7</v>
      </c>
      <c r="B80" s="328">
        <v>89501</v>
      </c>
      <c r="C80" s="329" t="str">
        <f>(IF($A80="SINAPI",INDEX(SINAPI_NOV2020_NDES!$A$7:$H$6703,MATCH($B80,SINAPI_NOV2020_NDES!$A$7:$A$6703,0),2),IF($A80="GOINFRA",INDEX(#REF!,MATCH($B80,#REF!,0),2),(INDEX(COMPOS!$A$4:$G$3900,MATCH($B80,COMPOS!$A$4:A$3900,0),2)))))</f>
        <v>JOELHO 90 GRAUS, PVC, SOLDÁVEL, DN 50MM, INSTALADO EM PRUMADA DE ÁGUA - FORNECIMENTO E INSTALAÇÃO. AF_12/2014</v>
      </c>
      <c r="D80" s="274" t="str">
        <f>(IF($A80="SINAPI",INDEX(SINAPI_NOV2020_NDES!$A$7:$H$6790,MATCH($B80,SINAPI_NOV2020_NDES!$A$7:$A$6790,0),3),(INDEX(COMPOS!$A$4:$G$5000,MATCH($B80,COMPOS!$A$4:$A$5000,0),3))))</f>
        <v>UN</v>
      </c>
      <c r="E80" s="276">
        <v>3</v>
      </c>
      <c r="F80" s="279">
        <f>(IF($A80="SINAPI",INDEX(SINAPI_NOV2020_NDES!$A$7:$H$6703,MATCH($B80,SINAPI_NOV2020_NDES!$A$7:$A$6703,0),5),(INDEX(COMPOS!$A$4:$G$801,MATCH($B80,COMPOS!$A$4:A$801,0),4))))</f>
        <v>3.16</v>
      </c>
      <c r="G80" s="280">
        <f>(IF($A80="SINAPI",INDEX(SINAPI_NOV2020_NDES!$A$7:$H$6703,MATCH($B80,SINAPI_NOV2020_NDES!$A$7:$A$6703,0),6),(INDEX(COMPOS!$A$4:$G$801,MATCH($B80,COMPOS!$A$4:A$801,0),5))))</f>
        <v>7.73</v>
      </c>
      <c r="H80" s="280">
        <f>(IF($A80="SINAPI",INDEX(SINAPI_NOV2020_NDES!$A$7:$H$6703,MATCH($B80,SINAPI_NOV2020_NDES!$A$7:$A$6703,0),7),(INDEX(COMPOS!$A$4:$G$801,MATCH($B80,COMPOS!$A$4:A$801,0),6))))</f>
        <v>0</v>
      </c>
      <c r="I80" s="279">
        <f t="shared" si="22"/>
        <v>10.89</v>
      </c>
      <c r="J80" s="276">
        <f t="shared" si="23"/>
        <v>32.67</v>
      </c>
      <c r="K80" s="255"/>
      <c r="L80" s="255"/>
      <c r="M80" s="255"/>
      <c r="N80" s="255"/>
      <c r="O80" s="257"/>
    </row>
    <row r="81" spans="1:15" ht="36">
      <c r="A81" s="251" t="s">
        <v>7</v>
      </c>
      <c r="B81" s="328">
        <v>89366</v>
      </c>
      <c r="C81" s="329" t="str">
        <f>(IF($A81="SINAPI",INDEX(SINAPI_NOV2020_NDES!$A$7:$H$6703,MATCH($B81,SINAPI_NOV2020_NDES!$A$7:$A$6703,0),2),IF($A81="GOINFRA",INDEX(#REF!,MATCH($B81,#REF!,0),2),(INDEX(COMPOS!$A$4:$G$3900,MATCH($B81,COMPOS!$A$4:A$3900,0),2)))))</f>
        <v>JOELHO 90 GRAUS COM BUCHA DE LATÃO, PVC, SOLDÁVEL, DN 25MM, X 3/4 INSTALADO EM RAMAL OU SUB-RAMAL DE ÁGUA - FORNECIMENTO E INSTALAÇÃO. AF_12/2014</v>
      </c>
      <c r="D81" s="274" t="str">
        <f>(IF($A81="SINAPI",INDEX(SINAPI_NOV2020_NDES!$A$7:$H$6790,MATCH($B81,SINAPI_NOV2020_NDES!$A$7:$A$6790,0),3),(INDEX(COMPOS!$A$4:$G$5000,MATCH($B81,COMPOS!$A$4:$A$5000,0),3))))</f>
        <v>UN</v>
      </c>
      <c r="E81" s="276">
        <v>1</v>
      </c>
      <c r="F81" s="279">
        <f>(IF($A81="SINAPI",INDEX(SINAPI_NOV2020_NDES!$A$7:$H$6703,MATCH($B81,SINAPI_NOV2020_NDES!$A$7:$A$6703,0),5),(INDEX(COMPOS!$A$4:$G$801,MATCH($B81,COMPOS!$A$4:A$801,0),4))))</f>
        <v>4.38</v>
      </c>
      <c r="G81" s="280">
        <f>(IF($A81="SINAPI",INDEX(SINAPI_NOV2020_NDES!$A$7:$H$6703,MATCH($B81,SINAPI_NOV2020_NDES!$A$7:$A$6703,0),6),(INDEX(COMPOS!$A$4:$G$801,MATCH($B81,COMPOS!$A$4:A$801,0),5))))</f>
        <v>8.0399999999999991</v>
      </c>
      <c r="H81" s="280">
        <f>(IF($A81="SINAPI",INDEX(SINAPI_NOV2020_NDES!$A$7:$H$6703,MATCH($B81,SINAPI_NOV2020_NDES!$A$7:$A$6703,0),7),(INDEX(COMPOS!$A$4:$G$801,MATCH($B81,COMPOS!$A$4:A$801,0),6))))</f>
        <v>0</v>
      </c>
      <c r="I81" s="279">
        <f t="shared" si="22"/>
        <v>12.419999999999998</v>
      </c>
      <c r="J81" s="276">
        <f t="shared" si="23"/>
        <v>12.419999999999998</v>
      </c>
      <c r="K81" s="255"/>
      <c r="L81" s="255"/>
      <c r="M81" s="255"/>
      <c r="N81" s="255"/>
      <c r="O81" s="257"/>
    </row>
    <row r="82" spans="1:15" ht="24">
      <c r="A82" s="251" t="s">
        <v>7</v>
      </c>
      <c r="B82" s="328">
        <v>89449</v>
      </c>
      <c r="C82" s="329" t="str">
        <f>(IF($A82="SINAPI",INDEX(SINAPI_NOV2020_NDES!$A$7:$H$6703,MATCH($B82,SINAPI_NOV2020_NDES!$A$7:$A$6703,0),2),IF($A82="GOINFRA",INDEX(#REF!,MATCH($B82,#REF!,0),2),(INDEX(COMPOS!$A$4:$G$3900,MATCH($B82,COMPOS!$A$4:A$3900,0),2)))))</f>
        <v>TUBO, PVC, SOLDÁVEL, DN 50MM, INSTALADO EM PRUMADA DE ÁGUA - FORNECIMENTO E INSTALAÇÃO. AF_12/2014</v>
      </c>
      <c r="D82" s="274" t="str">
        <f>(IF($A82="SINAPI",INDEX(SINAPI_NOV2020_NDES!$A$7:$H$6790,MATCH($B82,SINAPI_NOV2020_NDES!$A$7:$A$6790,0),3),(INDEX(COMPOS!$A$4:$G$5000,MATCH($B82,COMPOS!$A$4:$A$5000,0),3))))</f>
        <v>M</v>
      </c>
      <c r="E82" s="276">
        <v>3</v>
      </c>
      <c r="F82" s="279">
        <f>(IF($A82="SINAPI",INDEX(SINAPI_NOV2020_NDES!$A$7:$H$6703,MATCH($B82,SINAPI_NOV2020_NDES!$A$7:$A$6703,0),5),(INDEX(COMPOS!$A$4:$G$801,MATCH($B82,COMPOS!$A$4:A$801,0),4))))</f>
        <v>0.82</v>
      </c>
      <c r="G82" s="280">
        <f>(IF($A82="SINAPI",INDEX(SINAPI_NOV2020_NDES!$A$7:$H$6703,MATCH($B82,SINAPI_NOV2020_NDES!$A$7:$A$6703,0),6),(INDEX(COMPOS!$A$4:$G$801,MATCH($B82,COMPOS!$A$4:A$801,0),5))))</f>
        <v>12.26</v>
      </c>
      <c r="H82" s="280">
        <f>(IF($A82="SINAPI",INDEX(SINAPI_NOV2020_NDES!$A$7:$H$6703,MATCH($B82,SINAPI_NOV2020_NDES!$A$7:$A$6703,0),7),(INDEX(COMPOS!$A$4:$G$801,MATCH($B82,COMPOS!$A$4:A$801,0),6))))</f>
        <v>0</v>
      </c>
      <c r="I82" s="279">
        <f t="shared" si="22"/>
        <v>13.08</v>
      </c>
      <c r="J82" s="276">
        <f t="shared" si="23"/>
        <v>39.24</v>
      </c>
      <c r="K82" s="255"/>
      <c r="L82" s="255"/>
      <c r="M82" s="255"/>
      <c r="N82" s="255"/>
      <c r="O82" s="257"/>
    </row>
    <row r="83" spans="1:15" ht="24">
      <c r="A83" s="251" t="s">
        <v>7</v>
      </c>
      <c r="B83" s="328">
        <v>89627</v>
      </c>
      <c r="C83" s="329" t="str">
        <f>(IF($A83="SINAPI",INDEX(SINAPI_NOV2020_NDES!$A$7:$H$6703,MATCH($B83,SINAPI_NOV2020_NDES!$A$7:$A$6703,0),2),IF($A83="GOINFRA",INDEX(#REF!,MATCH($B83,#REF!,0),2),(INDEX(COMPOS!$A$4:$G$3900,MATCH($B83,COMPOS!$A$4:A$3900,0),2)))))</f>
        <v>TÊ DE REDUÇÃO, PVC, SOLDÁVEL, DN 50MM X 25MM, INSTALADO EM PRUMADA DE ÁGUA - FORNECIMENTO E INSTALAÇÃO. AF_12/2014</v>
      </c>
      <c r="D83" s="274" t="str">
        <f>(IF($A83="SINAPI",INDEX(SINAPI_NOV2020_NDES!$A$7:$H$6790,MATCH($B83,SINAPI_NOV2020_NDES!$A$7:$A$6790,0),3),(INDEX(COMPOS!$A$4:$G$5000,MATCH($B83,COMPOS!$A$4:$A$5000,0),3))))</f>
        <v>UN</v>
      </c>
      <c r="E83" s="276">
        <v>1</v>
      </c>
      <c r="F83" s="279">
        <f>(IF($A83="SINAPI",INDEX(SINAPI_NOV2020_NDES!$A$7:$H$6703,MATCH($B83,SINAPI_NOV2020_NDES!$A$7:$A$6703,0),5),(INDEX(COMPOS!$A$4:$G$801,MATCH($B83,COMPOS!$A$4:A$801,0),4))))</f>
        <v>4.2</v>
      </c>
      <c r="G83" s="280">
        <f>(IF($A83="SINAPI",INDEX(SINAPI_NOV2020_NDES!$A$7:$H$6703,MATCH($B83,SINAPI_NOV2020_NDES!$A$7:$A$6703,0),6),(INDEX(COMPOS!$A$4:$G$801,MATCH($B83,COMPOS!$A$4:A$801,0),5))))</f>
        <v>11.83</v>
      </c>
      <c r="H83" s="280">
        <f>(IF($A83="SINAPI",INDEX(SINAPI_NOV2020_NDES!$A$7:$H$6703,MATCH($B83,SINAPI_NOV2020_NDES!$A$7:$A$6703,0),7),(INDEX(COMPOS!$A$4:$G$801,MATCH($B83,COMPOS!$A$4:A$801,0),6))))</f>
        <v>0</v>
      </c>
      <c r="I83" s="279">
        <f t="shared" si="22"/>
        <v>16.03</v>
      </c>
      <c r="J83" s="276">
        <f t="shared" si="23"/>
        <v>16.03</v>
      </c>
      <c r="K83" s="255"/>
      <c r="L83" s="255"/>
      <c r="M83" s="255"/>
      <c r="N83" s="255"/>
      <c r="O83" s="257"/>
    </row>
    <row r="84" spans="1:15" ht="36">
      <c r="A84" s="251" t="s">
        <v>7</v>
      </c>
      <c r="B84" s="328">
        <v>89396</v>
      </c>
      <c r="C84" s="329" t="str">
        <f>(IF($A84="SINAPI",INDEX(SINAPI_NOV2020_NDES!$A$7:$H$6703,MATCH($B84,SINAPI_NOV2020_NDES!$A$7:$A$6703,0),2),IF($A84="GOINFRA",INDEX(#REF!,MATCH($B84,#REF!,0),2),(INDEX(COMPOS!$A$4:$G$3900,MATCH($B84,COMPOS!$A$4:A$3900,0),2)))))</f>
        <v>TÊ COM BUCHA DE LATÃO NA BOLSA CENTRAL, PVC, SOLDÁVEL, DN 25MM X 1/2, INSTALADO EM RAMAL OU SUB-RAMAL DE ÁGUA - FORNECIMENTO E INSTALAÇÃO. AF_12/2014</v>
      </c>
      <c r="D84" s="274" t="str">
        <f>(IF($A84="SINAPI",INDEX(SINAPI_NOV2020_NDES!$A$7:$H$6790,MATCH($B84,SINAPI_NOV2020_NDES!$A$7:$A$6790,0),3),(INDEX(COMPOS!$A$4:$G$5000,MATCH($B84,COMPOS!$A$4:$A$5000,0),3))))</f>
        <v>UN</v>
      </c>
      <c r="E84" s="276">
        <v>1</v>
      </c>
      <c r="F84" s="279">
        <f>(IF($A84="SINAPI",INDEX(SINAPI_NOV2020_NDES!$A$7:$H$6703,MATCH($B84,SINAPI_NOV2020_NDES!$A$7:$A$6703,0),5),(INDEX(COMPOS!$A$4:$G$801,MATCH($B84,COMPOS!$A$4:A$801,0),4))))</f>
        <v>5.84</v>
      </c>
      <c r="G84" s="280">
        <f>(IF($A84="SINAPI",INDEX(SINAPI_NOV2020_NDES!$A$7:$H$6703,MATCH($B84,SINAPI_NOV2020_NDES!$A$7:$A$6703,0),6),(INDEX(COMPOS!$A$4:$G$801,MATCH($B84,COMPOS!$A$4:A$801,0),5))))</f>
        <v>10.210000000000001</v>
      </c>
      <c r="H84" s="280">
        <f>(IF($A84="SINAPI",INDEX(SINAPI_NOV2020_NDES!$A$7:$H$6703,MATCH($B84,SINAPI_NOV2020_NDES!$A$7:$A$6703,0),7),(INDEX(COMPOS!$A$4:$G$801,MATCH($B84,COMPOS!$A$4:A$801,0),6))))</f>
        <v>0</v>
      </c>
      <c r="I84" s="279">
        <f t="shared" si="22"/>
        <v>16.05</v>
      </c>
      <c r="J84" s="276">
        <f t="shared" si="23"/>
        <v>16.05</v>
      </c>
      <c r="K84" s="255"/>
      <c r="L84" s="255"/>
      <c r="M84" s="255"/>
      <c r="N84" s="255"/>
      <c r="O84" s="257"/>
    </row>
    <row r="85" spans="1:15">
      <c r="A85" s="251" t="s">
        <v>6307</v>
      </c>
      <c r="B85" s="328">
        <v>328</v>
      </c>
      <c r="C85" s="329" t="str">
        <f>(IF($A85="SINAPI",INDEX(SINAPI_NOV2020_NDES!$A$7:$H$6703,MATCH($B85,SINAPI_NOV2020_NDES!$A$7:$A$6703,0),2),IF($A85="GOINFRA",INDEX(#REF!,MATCH($B85,#REF!,0),2),(INDEX(COMPOS!$A$4:$G$3900,MATCH($B85,COMPOS!$A$4:A$3900,0),2)))))</f>
        <v>CAIXA SIFONADA 150 X 150 X 50MM</v>
      </c>
      <c r="D85" s="274" t="str">
        <f>(IF($A85="SINAPI",INDEX(SINAPI_NOV2020_NDES!$A$7:$H$6790,MATCH($B85,SINAPI_NOV2020_NDES!$A$7:$A$6790,0),3),(INDEX(COMPOS!$A$4:$G$5000,MATCH($B85,COMPOS!$A$4:$A$5000,0),3))))</f>
        <v>UN</v>
      </c>
      <c r="E85" s="276">
        <v>1</v>
      </c>
      <c r="F85" s="279">
        <f>(IF($A85="SINAPI",INDEX(SINAPI_NOV2020_NDES!$A$7:$H$6703,MATCH($B85,SINAPI_NOV2020_NDES!$A$7:$A$6703,0),5),(INDEX(COMPOS!$A$4:$G$801,MATCH($B85,COMPOS!$A$4:A$801,0),4))))</f>
        <v>8.2368000000000006</v>
      </c>
      <c r="G85" s="280">
        <f>(IF($A85="SINAPI",INDEX(SINAPI_NOV2020_NDES!$A$7:$H$6703,MATCH($B85,SINAPI_NOV2020_NDES!$A$7:$A$6703,0),6),(INDEX(COMPOS!$A$4:$G$801,MATCH($B85,COMPOS!$A$4:A$801,0),5))))</f>
        <v>27.16</v>
      </c>
      <c r="H85" s="280">
        <f>(IF($A85="SINAPI",INDEX(SINAPI_NOV2020_NDES!$A$7:$H$6703,MATCH($B85,SINAPI_NOV2020_NDES!$A$7:$A$6703,0),7),(INDEX(COMPOS!$A$4:$G$801,MATCH($B85,COMPOS!$A$4:A$801,0),6))))</f>
        <v>0</v>
      </c>
      <c r="I85" s="279">
        <f t="shared" si="22"/>
        <v>35.396799999999999</v>
      </c>
      <c r="J85" s="276">
        <f t="shared" si="23"/>
        <v>35.396799999999999</v>
      </c>
      <c r="K85" s="255"/>
      <c r="L85" s="255"/>
      <c r="M85" s="255"/>
      <c r="N85" s="255"/>
      <c r="O85" s="257"/>
    </row>
    <row r="86" spans="1:15">
      <c r="A86" s="251" t="s">
        <v>6307</v>
      </c>
      <c r="B86" s="328">
        <v>378</v>
      </c>
      <c r="C86" s="329" t="str">
        <f>(IF($A86="SINAPI",INDEX(SINAPI_NOV2020_NDES!$A$7:$H$6703,MATCH($B86,SINAPI_NOV2020_NDES!$A$7:$A$6703,0),2),IF($A86="GOINFRA",INDEX(#REF!,MATCH($B86,#REF!,0),2),(INDEX(COMPOS!$A$4:$G$3900,MATCH($B86,COMPOS!$A$4:A$3900,0),2)))))</f>
        <v>GRELHA QUADRADA EM INOX SIMPLES, DIAM. 150MM</v>
      </c>
      <c r="D86" s="274" t="str">
        <f>(IF($A86="SINAPI",INDEX(SINAPI_NOV2020_NDES!$A$7:$H$6790,MATCH($B86,SINAPI_NOV2020_NDES!$A$7:$A$6790,0),3),(INDEX(COMPOS!$A$4:$G$5000,MATCH($B86,COMPOS!$A$4:$A$5000,0),3))))</f>
        <v>UN</v>
      </c>
      <c r="E86" s="276">
        <v>1</v>
      </c>
      <c r="F86" s="279">
        <f>(IF($A86="SINAPI",INDEX(SINAPI_NOV2020_NDES!$A$7:$H$6703,MATCH($B86,SINAPI_NOV2020_NDES!$A$7:$A$6703,0),5),(INDEX(COMPOS!$A$4:$G$801,MATCH($B86,COMPOS!$A$4:A$801,0),4))))</f>
        <v>2.9952000000000001</v>
      </c>
      <c r="G86" s="280">
        <f>(IF($A86="SINAPI",INDEX(SINAPI_NOV2020_NDES!$A$7:$H$6703,MATCH($B86,SINAPI_NOV2020_NDES!$A$7:$A$6703,0),6),(INDEX(COMPOS!$A$4:$G$801,MATCH($B86,COMPOS!$A$4:A$801,0),5))))</f>
        <v>23.76</v>
      </c>
      <c r="H86" s="280">
        <f>(IF($A86="SINAPI",INDEX(SINAPI_NOV2020_NDES!$A$7:$H$6703,MATCH($B86,SINAPI_NOV2020_NDES!$A$7:$A$6703,0),7),(INDEX(COMPOS!$A$4:$G$801,MATCH($B86,COMPOS!$A$4:A$801,0),6))))</f>
        <v>0</v>
      </c>
      <c r="I86" s="279">
        <f t="shared" si="22"/>
        <v>26.755200000000002</v>
      </c>
      <c r="J86" s="276">
        <f t="shared" si="23"/>
        <v>26.755200000000002</v>
      </c>
      <c r="K86" s="255"/>
      <c r="L86" s="255"/>
      <c r="M86" s="255"/>
      <c r="N86" s="255"/>
      <c r="O86" s="257"/>
    </row>
    <row r="87" spans="1:15">
      <c r="A87" s="251" t="s">
        <v>6307</v>
      </c>
      <c r="B87" s="328">
        <v>379</v>
      </c>
      <c r="C87" s="329" t="str">
        <f>(IF($A87="SINAPI",INDEX(SINAPI_NOV2020_NDES!$A$7:$H$6703,MATCH($B87,SINAPI_NOV2020_NDES!$A$7:$A$6703,0),2),IF($A87="GOINFRA",INDEX(#REF!,MATCH($B87,#REF!,0),2),(INDEX(COMPOS!$A$4:$G$3900,MATCH($B87,COMPOS!$A$4:A$3900,0),2)))))</f>
        <v>PORTA GRELHA QUADRADA PVC CROMADO, DIAM. 150MM</v>
      </c>
      <c r="D87" s="274" t="str">
        <f>(IF($A87="SINAPI",INDEX(SINAPI_NOV2020_NDES!$A$7:$H$6790,MATCH($B87,SINAPI_NOV2020_NDES!$A$7:$A$6790,0),3),(INDEX(COMPOS!$A$4:$G$5000,MATCH($B87,COMPOS!$A$4:$A$5000,0),3))))</f>
        <v>UN</v>
      </c>
      <c r="E87" s="276">
        <v>1</v>
      </c>
      <c r="F87" s="279">
        <f>(IF($A87="SINAPI",INDEX(SINAPI_NOV2020_NDES!$A$7:$H$6703,MATCH($B87,SINAPI_NOV2020_NDES!$A$7:$A$6703,0),5),(INDEX(COMPOS!$A$4:$G$801,MATCH($B87,COMPOS!$A$4:A$801,0),4))))</f>
        <v>3.7440000000000002</v>
      </c>
      <c r="G87" s="280">
        <f>(IF($A87="SINAPI",INDEX(SINAPI_NOV2020_NDES!$A$7:$H$6703,MATCH($B87,SINAPI_NOV2020_NDES!$A$7:$A$6703,0),6),(INDEX(COMPOS!$A$4:$G$801,MATCH($B87,COMPOS!$A$4:A$801,0),5))))</f>
        <v>6.36</v>
      </c>
      <c r="H87" s="280">
        <f>(IF($A87="SINAPI",INDEX(SINAPI_NOV2020_NDES!$A$7:$H$6703,MATCH($B87,SINAPI_NOV2020_NDES!$A$7:$A$6703,0),7),(INDEX(COMPOS!$A$4:$G$801,MATCH($B87,COMPOS!$A$4:A$801,0),6))))</f>
        <v>0</v>
      </c>
      <c r="I87" s="279">
        <f t="shared" si="22"/>
        <v>10.104000000000001</v>
      </c>
      <c r="J87" s="276">
        <f t="shared" si="23"/>
        <v>10.104000000000001</v>
      </c>
      <c r="K87" s="255"/>
      <c r="L87" s="255"/>
      <c r="M87" s="255"/>
      <c r="N87" s="255"/>
      <c r="O87" s="257"/>
    </row>
    <row r="88" spans="1:15">
      <c r="A88" s="251" t="s">
        <v>6307</v>
      </c>
      <c r="B88" s="328">
        <v>805</v>
      </c>
      <c r="C88" s="329" t="str">
        <f>(IF($A88="SINAPI",INDEX(SINAPI_NOV2020_NDES!$A$7:$H$6703,MATCH($B88,SINAPI_NOV2020_NDES!$A$7:$A$6703,0),2),IF($A88="GOINFRA",INDEX(#REF!,MATCH($B88,#REF!,0),2),(INDEX(COMPOS!$A$4:$G$3900,MATCH($B88,COMPOS!$A$4:A$3900,0),2)))))</f>
        <v>PROLONGAMENTO PARA CAIXA SIFONADA 150MM</v>
      </c>
      <c r="D88" s="274" t="str">
        <f>(IF($A88="SINAPI",INDEX(SINAPI_NOV2020_NDES!$A$7:$H$6790,MATCH($B88,SINAPI_NOV2020_NDES!$A$7:$A$6790,0),3),(INDEX(COMPOS!$A$4:$G$5000,MATCH($B88,COMPOS!$A$4:$A$5000,0),3))))</f>
        <v>M</v>
      </c>
      <c r="E88" s="276">
        <v>0.3</v>
      </c>
      <c r="F88" s="279">
        <f>(IF($A88="SINAPI",INDEX(SINAPI_NOV2020_NDES!$A$7:$H$6703,MATCH($B88,SINAPI_NOV2020_NDES!$A$7:$A$6703,0),5),(INDEX(COMPOS!$A$4:$G$801,MATCH($B88,COMPOS!$A$4:A$801,0),4))))</f>
        <v>20.9664</v>
      </c>
      <c r="G88" s="280">
        <f>(IF($A88="SINAPI",INDEX(SINAPI_NOV2020_NDES!$A$7:$H$6703,MATCH($B88,SINAPI_NOV2020_NDES!$A$7:$A$6703,0),6),(INDEX(COMPOS!$A$4:$G$801,MATCH($B88,COMPOS!$A$4:A$801,0),5))))</f>
        <v>25.623699999999999</v>
      </c>
      <c r="H88" s="280">
        <f>(IF($A88="SINAPI",INDEX(SINAPI_NOV2020_NDES!$A$7:$H$6703,MATCH($B88,SINAPI_NOV2020_NDES!$A$7:$A$6703,0),7),(INDEX(COMPOS!$A$4:$G$801,MATCH($B88,COMPOS!$A$4:A$801,0),6))))</f>
        <v>0</v>
      </c>
      <c r="I88" s="279">
        <f t="shared" si="22"/>
        <v>46.5901</v>
      </c>
      <c r="J88" s="276">
        <f t="shared" si="23"/>
        <v>13.977029999999999</v>
      </c>
      <c r="K88" s="255"/>
      <c r="L88" s="255"/>
      <c r="M88" s="255"/>
      <c r="N88" s="255"/>
      <c r="O88" s="257"/>
    </row>
    <row r="89" spans="1:15" ht="36">
      <c r="A89" s="251" t="s">
        <v>7</v>
      </c>
      <c r="B89" s="328">
        <v>97902</v>
      </c>
      <c r="C89" s="329" t="str">
        <f>(IF($A89="SINAPI",INDEX(SINAPI_NOV2020_NDES!$A$7:$H$6703,MATCH($B89,SINAPI_NOV2020_NDES!$A$7:$A$6703,0),2),IF($A89="GOINFRA",INDEX(#REF!,MATCH($B89,#REF!,0),2),(INDEX(COMPOS!$A$4:$G$3900,MATCH($B89,COMPOS!$A$4:A$3900,0),2)))))</f>
        <v>CAIXA ENTERRADA HIDRÁULICA RETANGULAR EM ALVENARIA COM TIJOLOS CERÂMICOS MACIÇOS, DIMENSÕES INTERNAS: 0,6X0,6X0,6 M PARA REDE DE ESGOTO. AF_05/2018</v>
      </c>
      <c r="D89" s="274" t="str">
        <f>(IF($A89="SINAPI",INDEX(SINAPI_NOV2020_NDES!$A$7:$H$6790,MATCH($B89,SINAPI_NOV2020_NDES!$A$7:$A$6790,0),3),(INDEX(COMPOS!$A$4:$G$5000,MATCH($B89,COMPOS!$A$4:$A$5000,0),3))))</f>
        <v>UN</v>
      </c>
      <c r="E89" s="276">
        <v>1</v>
      </c>
      <c r="F89" s="279">
        <f>(IF($A89="SINAPI",INDEX(SINAPI_NOV2020_NDES!$A$7:$H$6703,MATCH($B89,SINAPI_NOV2020_NDES!$A$7:$A$6703,0),5),(INDEX(COMPOS!$A$4:$G$801,MATCH($B89,COMPOS!$A$4:A$801,0),4))))</f>
        <v>228.59</v>
      </c>
      <c r="G89" s="280">
        <f>(IF($A89="SINAPI",INDEX(SINAPI_NOV2020_NDES!$A$7:$H$6703,MATCH($B89,SINAPI_NOV2020_NDES!$A$7:$A$6703,0),6),(INDEX(COMPOS!$A$4:$G$801,MATCH($B89,COMPOS!$A$4:A$801,0),5))))</f>
        <v>270.14</v>
      </c>
      <c r="H89" s="280">
        <f>(IF($A89="SINAPI",INDEX(SINAPI_NOV2020_NDES!$A$7:$H$6703,MATCH($B89,SINAPI_NOV2020_NDES!$A$7:$A$6703,0),7),(INDEX(COMPOS!$A$4:$G$801,MATCH($B89,COMPOS!$A$4:A$801,0),6))))</f>
        <v>1.44</v>
      </c>
      <c r="I89" s="279">
        <f t="shared" si="22"/>
        <v>500.17</v>
      </c>
      <c r="J89" s="276">
        <f t="shared" si="23"/>
        <v>500.17</v>
      </c>
      <c r="K89" s="255"/>
      <c r="L89" s="255"/>
      <c r="M89" s="255"/>
      <c r="N89" s="255"/>
      <c r="O89" s="257"/>
    </row>
    <row r="90" spans="1:15">
      <c r="A90" s="251" t="s">
        <v>7</v>
      </c>
      <c r="B90" s="328">
        <v>6171</v>
      </c>
      <c r="C90" s="329" t="str">
        <f>(IF($A90="SINAPI",INDEX(SINAPI_NOV2020_NDES!$A$7:$H$6703,MATCH($B90,SINAPI_NOV2020_NDES!$A$7:$A$6703,0),2),IF($A90="GOINFRA",INDEX(#REF!,MATCH($B90,#REF!,0),2),(INDEX(COMPOS!$A$4:$G$3900,MATCH($B90,COMPOS!$A$4:A$3900,0),2)))))</f>
        <v>TAMPA DE CONCRETO ARMADO 60X60X5CM PARA CAIXA</v>
      </c>
      <c r="D90" s="274" t="str">
        <f>(IF($A90="SINAPI",INDEX(SINAPI_NOV2020_NDES!$A$7:$H$6790,MATCH($B90,SINAPI_NOV2020_NDES!$A$7:$A$6790,0),3),(INDEX(COMPOS!$A$4:$G$5000,MATCH($B90,COMPOS!$A$4:$A$5000,0),3))))</f>
        <v>UN</v>
      </c>
      <c r="E90" s="276">
        <v>0.4195000000000001</v>
      </c>
      <c r="F90" s="279">
        <f>(IF($A90="SINAPI",INDEX(SINAPI_NOV2020_NDES!$A$7:$H$6703,MATCH($B90,SINAPI_NOV2020_NDES!$A$7:$A$6703,0),5),(INDEX(COMPOS!$A$4:$G$801,MATCH($B90,COMPOS!$A$4:A$801,0),4))))</f>
        <v>5.51</v>
      </c>
      <c r="G90" s="280">
        <f>(IF($A90="SINAPI",INDEX(SINAPI_NOV2020_NDES!$A$7:$H$6703,MATCH($B90,SINAPI_NOV2020_NDES!$A$7:$A$6703,0),6),(INDEX(COMPOS!$A$4:$G$801,MATCH($B90,COMPOS!$A$4:A$801,0),5))))</f>
        <v>21.21</v>
      </c>
      <c r="H90" s="280">
        <f>(IF($A90="SINAPI",INDEX(SINAPI_NOV2020_NDES!$A$7:$H$6703,MATCH($B90,SINAPI_NOV2020_NDES!$A$7:$A$6703,0),7),(INDEX(COMPOS!$A$4:$G$801,MATCH($B90,COMPOS!$A$4:A$801,0),6))))</f>
        <v>0</v>
      </c>
      <c r="I90" s="279">
        <f t="shared" si="22"/>
        <v>26.72</v>
      </c>
      <c r="J90" s="276">
        <f t="shared" si="23"/>
        <v>11.209040000000002</v>
      </c>
      <c r="K90" s="255"/>
      <c r="L90" s="255"/>
      <c r="M90" s="255"/>
      <c r="N90" s="255"/>
      <c r="O90" s="257"/>
    </row>
    <row r="91" spans="1:15">
      <c r="A91" s="251" t="s">
        <v>6307</v>
      </c>
      <c r="B91" s="328">
        <v>807</v>
      </c>
      <c r="C91" s="329" t="str">
        <f>(IF($A91="SINAPI",INDEX(SINAPI_NOV2020_NDES!$A$7:$H$6703,MATCH($B91,SINAPI_NOV2020_NDES!$A$7:$A$6703,0),2),IF($A91="GOINFRA",INDEX(#REF!,MATCH($B91,#REF!,0),2),(INDEX(COMPOS!$A$4:$G$3900,MATCH($B91,COMPOS!$A$4:A$3900,0),2)))))</f>
        <v>TAMPA PARA CAIXA PASSAGEM FERRO FUNDIDO T-33 - TRÁFEGO LEVE</v>
      </c>
      <c r="D91" s="274" t="str">
        <f>(IF($A91="SINAPI",INDEX(SINAPI_NOV2020_NDES!$A$7:$H$6790,MATCH($B91,SINAPI_NOV2020_NDES!$A$7:$A$6790,0),3),(INDEX(COMPOS!$A$4:$G$5000,MATCH($B91,COMPOS!$A$4:$A$5000,0),3))))</f>
        <v>UN</v>
      </c>
      <c r="E91" s="276">
        <v>1</v>
      </c>
      <c r="F91" s="279">
        <f>(IF($A91="SINAPI",INDEX(SINAPI_NOV2020_NDES!$A$7:$H$6703,MATCH($B91,SINAPI_NOV2020_NDES!$A$7:$A$6703,0),5),(INDEX(COMPOS!$A$4:$G$801,MATCH($B91,COMPOS!$A$4:A$801,0),4))))</f>
        <v>25.453381999999998</v>
      </c>
      <c r="G91" s="280">
        <f>(IF($A91="SINAPI",INDEX(SINAPI_NOV2020_NDES!$A$7:$H$6703,MATCH($B91,SINAPI_NOV2020_NDES!$A$7:$A$6703,0),6),(INDEX(COMPOS!$A$4:$G$801,MATCH($B91,COMPOS!$A$4:A$801,0),5))))</f>
        <v>112.21861692561984</v>
      </c>
      <c r="H91" s="280">
        <f>(IF($A91="SINAPI",INDEX(SINAPI_NOV2020_NDES!$A$7:$H$6703,MATCH($B91,SINAPI_NOV2020_NDES!$A$7:$A$6703,0),7),(INDEX(COMPOS!$A$4:$G$801,MATCH($B91,COMPOS!$A$4:A$801,0),6))))</f>
        <v>0</v>
      </c>
      <c r="I91" s="279">
        <f t="shared" si="22"/>
        <v>137.67199892561985</v>
      </c>
      <c r="J91" s="276">
        <f t="shared" si="23"/>
        <v>137.67199892561985</v>
      </c>
      <c r="K91" s="255"/>
      <c r="L91" s="255"/>
      <c r="M91" s="255"/>
      <c r="N91" s="255"/>
      <c r="O91" s="257"/>
    </row>
    <row r="92" spans="1:15">
      <c r="A92" s="251" t="s">
        <v>6307</v>
      </c>
      <c r="B92" s="328">
        <v>336</v>
      </c>
      <c r="C92" s="329" t="str">
        <f>(IF($A92="SINAPI",INDEX(SINAPI_NOV2020_NDES!$A$7:$H$6703,MATCH($B92,SINAPI_NOV2020_NDES!$A$7:$A$6703,0),2),IF($A92="GOINFRA",INDEX(#REF!,MATCH($B92,#REF!,0),2),(INDEX(COMPOS!$A$4:$G$3900,MATCH($B92,COMPOS!$A$4:A$3900,0),2)))))</f>
        <v>TERMINAL DE VENTILAÇÃO DIAM. 50MM</v>
      </c>
      <c r="D92" s="274" t="str">
        <f>(IF($A92="SINAPI",INDEX(SINAPI_NOV2020_NDES!$A$7:$H$6790,MATCH($B92,SINAPI_NOV2020_NDES!$A$7:$A$6790,0),3),(INDEX(COMPOS!$A$4:$G$5000,MATCH($B92,COMPOS!$A$4:$A$5000,0),3))))</f>
        <v>UN</v>
      </c>
      <c r="E92" s="276">
        <v>1</v>
      </c>
      <c r="F92" s="279">
        <f>(IF($A92="SINAPI",INDEX(SINAPI_NOV2020_NDES!$A$7:$H$6703,MATCH($B92,SINAPI_NOV2020_NDES!$A$7:$A$6703,0),5),(INDEX(COMPOS!$A$4:$G$801,MATCH($B92,COMPOS!$A$4:A$801,0),4))))</f>
        <v>2.6208</v>
      </c>
      <c r="G92" s="280">
        <f>(IF($A92="SINAPI",INDEX(SINAPI_NOV2020_NDES!$A$7:$H$6703,MATCH($B92,SINAPI_NOV2020_NDES!$A$7:$A$6703,0),6),(INDEX(COMPOS!$A$4:$G$801,MATCH($B92,COMPOS!$A$4:A$801,0),5))))</f>
        <v>4.6500000000000004</v>
      </c>
      <c r="H92" s="280">
        <f>(IF($A92="SINAPI",INDEX(SINAPI_NOV2020_NDES!$A$7:$H$6703,MATCH($B92,SINAPI_NOV2020_NDES!$A$7:$A$6703,0),7),(INDEX(COMPOS!$A$4:$G$801,MATCH($B92,COMPOS!$A$4:A$801,0),6))))</f>
        <v>0</v>
      </c>
      <c r="I92" s="279">
        <f t="shared" si="22"/>
        <v>7.2708000000000004</v>
      </c>
      <c r="J92" s="276">
        <f t="shared" si="23"/>
        <v>7.2708000000000004</v>
      </c>
      <c r="K92" s="255"/>
      <c r="L92" s="255"/>
      <c r="M92" s="255"/>
      <c r="N92" s="255"/>
      <c r="O92" s="257"/>
    </row>
    <row r="93" spans="1:15" ht="36">
      <c r="A93" s="251" t="s">
        <v>7</v>
      </c>
      <c r="B93" s="328">
        <v>89737</v>
      </c>
      <c r="C93" s="329" t="str">
        <f>(IF($A93="SINAPI",INDEX(SINAPI_NOV2020_NDES!$A$7:$H$6703,MATCH($B93,SINAPI_NOV2020_NDES!$A$7:$A$6703,0),2),IF($A93="GOINFRA",INDEX(#REF!,MATCH($B93,#REF!,0),2),(INDEX(COMPOS!$A$4:$G$3900,MATCH($B93,COMPOS!$A$4:A$3900,0),2)))))</f>
        <v>JOELHO 90 GRAUS, PVC, SERIE NORMAL, ESGOTO PREDIAL, DN 75 MM, JUNTA ELÁSTICA, FORNECIDO E INSTALADO EM RAMAL DE DESCARGA OU RAMAL DE ESGOTO SANITÁRIO. AF_12/2014</v>
      </c>
      <c r="D93" s="274" t="str">
        <f>(IF($A93="SINAPI",INDEX(SINAPI_NOV2020_NDES!$A$7:$H$6790,MATCH($B93,SINAPI_NOV2020_NDES!$A$7:$A$6790,0),3),(INDEX(COMPOS!$A$4:$G$5000,MATCH($B93,COMPOS!$A$4:$A$5000,0),3))))</f>
        <v>UN</v>
      </c>
      <c r="E93" s="276">
        <v>1</v>
      </c>
      <c r="F93" s="279">
        <f>(IF($A93="SINAPI",INDEX(SINAPI_NOV2020_NDES!$A$7:$H$6703,MATCH($B93,SINAPI_NOV2020_NDES!$A$7:$A$6703,0),5),(INDEX(COMPOS!$A$4:$G$801,MATCH($B93,COMPOS!$A$4:A$801,0),4))))</f>
        <v>5.54</v>
      </c>
      <c r="G93" s="280">
        <f>(IF($A93="SINAPI",INDEX(SINAPI_NOV2020_NDES!$A$7:$H$6703,MATCH($B93,SINAPI_NOV2020_NDES!$A$7:$A$6703,0),6),(INDEX(COMPOS!$A$4:$G$801,MATCH($B93,COMPOS!$A$4:A$801,0),5))))</f>
        <v>9.01</v>
      </c>
      <c r="H93" s="280">
        <f>(IF($A93="SINAPI",INDEX(SINAPI_NOV2020_NDES!$A$7:$H$6703,MATCH($B93,SINAPI_NOV2020_NDES!$A$7:$A$6703,0),7),(INDEX(COMPOS!$A$4:$G$801,MATCH($B93,COMPOS!$A$4:A$801,0),6))))</f>
        <v>0</v>
      </c>
      <c r="I93" s="279">
        <f t="shared" si="22"/>
        <v>14.55</v>
      </c>
      <c r="J93" s="276">
        <f t="shared" si="23"/>
        <v>14.55</v>
      </c>
      <c r="K93" s="255"/>
      <c r="L93" s="255"/>
      <c r="M93" s="255"/>
      <c r="N93" s="255"/>
      <c r="O93" s="257"/>
    </row>
    <row r="94" spans="1:15" ht="36">
      <c r="A94" s="251" t="s">
        <v>7</v>
      </c>
      <c r="B94" s="328">
        <v>89731</v>
      </c>
      <c r="C94" s="329" t="str">
        <f>(IF($A94="SINAPI",INDEX(SINAPI_NOV2020_NDES!$A$7:$H$6703,MATCH($B94,SINAPI_NOV2020_NDES!$A$7:$A$6703,0),2),IF($A94="GOINFRA",INDEX(#REF!,MATCH($B94,#REF!,0),2),(INDEX(COMPOS!$A$4:$G$3900,MATCH($B94,COMPOS!$A$4:A$3900,0),2)))))</f>
        <v>JOELHO 90 GRAUS, PVC, SERIE NORMAL, ESGOTO PREDIAL, DN 50 MM, JUNTA ELÁSTICA, FORNECIDO E INSTALADO EM RAMAL DE DESCARGA OU RAMAL DE ESGOTO SANITÁRIO. AF_12/2014</v>
      </c>
      <c r="D94" s="274" t="str">
        <f>(IF($A94="SINAPI",INDEX(SINAPI_NOV2020_NDES!$A$7:$H$6790,MATCH($B94,SINAPI_NOV2020_NDES!$A$7:$A$6790,0),3),(INDEX(COMPOS!$A$4:$G$5000,MATCH($B94,COMPOS!$A$4:$A$5000,0),3))))</f>
        <v>UN</v>
      </c>
      <c r="E94" s="276">
        <v>2</v>
      </c>
      <c r="F94" s="279">
        <f>(IF($A94="SINAPI",INDEX(SINAPI_NOV2020_NDES!$A$7:$H$6703,MATCH($B94,SINAPI_NOV2020_NDES!$A$7:$A$6703,0),5),(INDEX(COMPOS!$A$4:$G$801,MATCH($B94,COMPOS!$A$4:A$801,0),4))))</f>
        <v>3.79</v>
      </c>
      <c r="G94" s="280">
        <f>(IF($A94="SINAPI",INDEX(SINAPI_NOV2020_NDES!$A$7:$H$6703,MATCH($B94,SINAPI_NOV2020_NDES!$A$7:$A$6703,0),6),(INDEX(COMPOS!$A$4:$G$801,MATCH($B94,COMPOS!$A$4:A$801,0),5))))</f>
        <v>4.87</v>
      </c>
      <c r="H94" s="280">
        <f>(IF($A94="SINAPI",INDEX(SINAPI_NOV2020_NDES!$A$7:$H$6703,MATCH($B94,SINAPI_NOV2020_NDES!$A$7:$A$6703,0),7),(INDEX(COMPOS!$A$4:$G$801,MATCH($B94,COMPOS!$A$4:A$801,0),6))))</f>
        <v>0</v>
      </c>
      <c r="I94" s="279">
        <f t="shared" si="22"/>
        <v>8.66</v>
      </c>
      <c r="J94" s="276">
        <f t="shared" si="23"/>
        <v>17.32</v>
      </c>
      <c r="K94" s="255"/>
      <c r="L94" s="255"/>
      <c r="M94" s="255"/>
      <c r="N94" s="255"/>
      <c r="O94" s="257"/>
    </row>
    <row r="95" spans="1:15" ht="36">
      <c r="A95" s="251" t="s">
        <v>7</v>
      </c>
      <c r="B95" s="328">
        <v>89744</v>
      </c>
      <c r="C95" s="329" t="str">
        <f>(IF($A95="SINAPI",INDEX(SINAPI_NOV2020_NDES!$A$7:$H$6703,MATCH($B95,SINAPI_NOV2020_NDES!$A$7:$A$6703,0),2),IF($A95="GOINFRA",INDEX(#REF!,MATCH($B95,#REF!,0),2),(INDEX(COMPOS!$A$4:$G$3900,MATCH($B95,COMPOS!$A$4:A$3900,0),2)))))</f>
        <v>JOELHO 90 GRAUS, PVC, SERIE NORMAL, ESGOTO PREDIAL, DN 100 MM, JUNTA ELÁSTICA, FORNECIDO E INSTALADO EM RAMAL DE DESCARGA OU RAMAL DE ESGOTO SANITÁRIO. AF_12/2014</v>
      </c>
      <c r="D95" s="274" t="str">
        <f>(IF($A95="SINAPI",INDEX(SINAPI_NOV2020_NDES!$A$7:$H$6790,MATCH($B95,SINAPI_NOV2020_NDES!$A$7:$A$6790,0),3),(INDEX(COMPOS!$A$4:$G$5000,MATCH($B95,COMPOS!$A$4:$A$5000,0),3))))</f>
        <v>UN</v>
      </c>
      <c r="E95" s="276">
        <v>1</v>
      </c>
      <c r="F95" s="279">
        <f>(IF($A95="SINAPI",INDEX(SINAPI_NOV2020_NDES!$A$7:$H$6703,MATCH($B95,SINAPI_NOV2020_NDES!$A$7:$A$6703,0),5),(INDEX(COMPOS!$A$4:$G$801,MATCH($B95,COMPOS!$A$4:A$801,0),4))))</f>
        <v>7.29</v>
      </c>
      <c r="G95" s="280">
        <f>(IF($A95="SINAPI",INDEX(SINAPI_NOV2020_NDES!$A$7:$H$6703,MATCH($B95,SINAPI_NOV2020_NDES!$A$7:$A$6703,0),6),(INDEX(COMPOS!$A$4:$G$801,MATCH($B95,COMPOS!$A$4:A$801,0),5))))</f>
        <v>11.68</v>
      </c>
      <c r="H95" s="280">
        <f>(IF($A95="SINAPI",INDEX(SINAPI_NOV2020_NDES!$A$7:$H$6703,MATCH($B95,SINAPI_NOV2020_NDES!$A$7:$A$6703,0),7),(INDEX(COMPOS!$A$4:$G$801,MATCH($B95,COMPOS!$A$4:A$801,0),6))))</f>
        <v>0</v>
      </c>
      <c r="I95" s="279">
        <f t="shared" si="22"/>
        <v>18.97</v>
      </c>
      <c r="J95" s="276">
        <f t="shared" si="23"/>
        <v>18.97</v>
      </c>
      <c r="K95" s="255"/>
      <c r="L95" s="255"/>
      <c r="M95" s="255"/>
      <c r="N95" s="255"/>
      <c r="O95" s="257"/>
    </row>
    <row r="96" spans="1:15" ht="36">
      <c r="A96" s="251" t="s">
        <v>7</v>
      </c>
      <c r="B96" s="328">
        <v>89724</v>
      </c>
      <c r="C96" s="329" t="str">
        <f>(IF($A96="SINAPI",INDEX(SINAPI_NOV2020_NDES!$A$7:$H$6703,MATCH($B96,SINAPI_NOV2020_NDES!$A$7:$A$6703,0),2),IF($A96="GOINFRA",INDEX(#REF!,MATCH($B96,#REF!,0),2),(INDEX(COMPOS!$A$4:$G$3900,MATCH($B96,COMPOS!$A$4:A$3900,0),2)))))</f>
        <v>JOELHO 90 GRAUS, PVC, SERIE NORMAL, ESGOTO PREDIAL, DN 40 MM, JUNTA SOLDÁVEL, FORNECIDO E INSTALADO EM RAMAL DE DESCARGA OU RAMAL DE ESGOTO SANITÁRIO. AF_12/2014</v>
      </c>
      <c r="D96" s="274" t="str">
        <f>(IF($A96="SINAPI",INDEX(SINAPI_NOV2020_NDES!$A$7:$H$6790,MATCH($B96,SINAPI_NOV2020_NDES!$A$7:$A$6790,0),3),(INDEX(COMPOS!$A$4:$G$5000,MATCH($B96,COMPOS!$A$4:$A$5000,0),3))))</f>
        <v>UN</v>
      </c>
      <c r="E96" s="276">
        <v>1</v>
      </c>
      <c r="F96" s="279">
        <f>(IF($A96="SINAPI",INDEX(SINAPI_NOV2020_NDES!$A$7:$H$6703,MATCH($B96,SINAPI_NOV2020_NDES!$A$7:$A$6703,0),5),(INDEX(COMPOS!$A$4:$G$801,MATCH($B96,COMPOS!$A$4:A$801,0),4))))</f>
        <v>2.92</v>
      </c>
      <c r="G96" s="280">
        <f>(IF($A96="SINAPI",INDEX(SINAPI_NOV2020_NDES!$A$7:$H$6703,MATCH($B96,SINAPI_NOV2020_NDES!$A$7:$A$6703,0),6),(INDEX(COMPOS!$A$4:$G$801,MATCH($B96,COMPOS!$A$4:A$801,0),5))))</f>
        <v>4.72</v>
      </c>
      <c r="H96" s="280">
        <f>(IF($A96="SINAPI",INDEX(SINAPI_NOV2020_NDES!$A$7:$H$6703,MATCH($B96,SINAPI_NOV2020_NDES!$A$7:$A$6703,0),7),(INDEX(COMPOS!$A$4:$G$801,MATCH($B96,COMPOS!$A$4:A$801,0),6))))</f>
        <v>0</v>
      </c>
      <c r="I96" s="279">
        <f t="shared" si="22"/>
        <v>7.64</v>
      </c>
      <c r="J96" s="276">
        <f t="shared" si="23"/>
        <v>7.64</v>
      </c>
      <c r="K96" s="255"/>
      <c r="L96" s="255"/>
      <c r="M96" s="255"/>
      <c r="N96" s="255"/>
      <c r="O96" s="257"/>
    </row>
    <row r="97" spans="1:16" ht="24">
      <c r="A97" s="251" t="s">
        <v>7</v>
      </c>
      <c r="B97" s="328">
        <v>89798</v>
      </c>
      <c r="C97" s="329" t="str">
        <f>(IF($A97="SINAPI",INDEX(SINAPI_NOV2020_NDES!$A$7:$H$6703,MATCH($B97,SINAPI_NOV2020_NDES!$A$7:$A$6703,0),2),IF($A97="GOINFRA",INDEX(#REF!,MATCH($B97,#REF!,0),2),(INDEX(COMPOS!$A$4:$G$3900,MATCH($B97,COMPOS!$A$4:A$3900,0),2)))))</f>
        <v>TUBO PVC, SERIE NORMAL, ESGOTO PREDIAL, DN 50 MM, FORNECIDO E INSTALADO EM PRUMADA DE ESGOTO SANITÁRIO OU VENTILAÇÃO. AF_12/2014</v>
      </c>
      <c r="D97" s="274" t="str">
        <f>(IF($A97="SINAPI",INDEX(SINAPI_NOV2020_NDES!$A$7:$H$6790,MATCH($B97,SINAPI_NOV2020_NDES!$A$7:$A$6790,0),3),(INDEX(COMPOS!$A$4:$G$5000,MATCH($B97,COMPOS!$A$4:$A$5000,0),3))))</f>
        <v>M</v>
      </c>
      <c r="E97" s="276">
        <v>12</v>
      </c>
      <c r="F97" s="279">
        <f>(IF($A97="SINAPI",INDEX(SINAPI_NOV2020_NDES!$A$7:$H$6703,MATCH($B97,SINAPI_NOV2020_NDES!$A$7:$A$6703,0),5),(INDEX(COMPOS!$A$4:$G$801,MATCH($B97,COMPOS!$A$4:A$801,0),4))))</f>
        <v>1.44</v>
      </c>
      <c r="G97" s="280">
        <f>(IF($A97="SINAPI",INDEX(SINAPI_NOV2020_NDES!$A$7:$H$6703,MATCH($B97,SINAPI_NOV2020_NDES!$A$7:$A$6703,0),6),(INDEX(COMPOS!$A$4:$G$801,MATCH($B97,COMPOS!$A$4:A$801,0),5))))</f>
        <v>7.3</v>
      </c>
      <c r="H97" s="280">
        <f>(IF($A97="SINAPI",INDEX(SINAPI_NOV2020_NDES!$A$7:$H$6703,MATCH($B97,SINAPI_NOV2020_NDES!$A$7:$A$6703,0),7),(INDEX(COMPOS!$A$4:$G$801,MATCH($B97,COMPOS!$A$4:A$801,0),6))))</f>
        <v>0</v>
      </c>
      <c r="I97" s="279">
        <f t="shared" si="22"/>
        <v>8.74</v>
      </c>
      <c r="J97" s="276">
        <f t="shared" si="23"/>
        <v>104.88</v>
      </c>
      <c r="K97" s="255"/>
      <c r="L97" s="255"/>
      <c r="M97" s="255"/>
      <c r="N97" s="255"/>
      <c r="O97" s="257"/>
    </row>
    <row r="98" spans="1:16" ht="24">
      <c r="A98" s="251" t="s">
        <v>7</v>
      </c>
      <c r="B98" s="328">
        <v>89800</v>
      </c>
      <c r="C98" s="329" t="str">
        <f>(IF($A98="SINAPI",INDEX(SINAPI_NOV2020_NDES!$A$7:$H$6703,MATCH($B98,SINAPI_NOV2020_NDES!$A$7:$A$6703,0),2),IF($A98="GOINFRA",INDEX(#REF!,MATCH($B98,#REF!,0),2),(INDEX(COMPOS!$A$4:$G$3900,MATCH($B98,COMPOS!$A$4:A$3900,0),2)))))</f>
        <v>TUBO PVC, SERIE NORMAL, ESGOTO PREDIAL, DN 100 MM, FORNECIDO E INSTALADO EM PRUMADA DE ESGOTO SANITÁRIO OU VENTILAÇÃO. AF_12/2014</v>
      </c>
      <c r="D98" s="274" t="str">
        <f>(IF($A98="SINAPI",INDEX(SINAPI_NOV2020_NDES!$A$7:$H$6790,MATCH($B98,SINAPI_NOV2020_NDES!$A$7:$A$6790,0),3),(INDEX(COMPOS!$A$4:$G$5000,MATCH($B98,COMPOS!$A$4:$A$5000,0),3))))</f>
        <v>M</v>
      </c>
      <c r="E98" s="276">
        <v>32</v>
      </c>
      <c r="F98" s="279">
        <f>(IF($A98="SINAPI",INDEX(SINAPI_NOV2020_NDES!$A$7:$H$6703,MATCH($B98,SINAPI_NOV2020_NDES!$A$7:$A$6703,0),5),(INDEX(COMPOS!$A$4:$G$801,MATCH($B98,COMPOS!$A$4:A$801,0),4))))</f>
        <v>4.67</v>
      </c>
      <c r="G98" s="280">
        <f>(IF($A98="SINAPI",INDEX(SINAPI_NOV2020_NDES!$A$7:$H$6703,MATCH($B98,SINAPI_NOV2020_NDES!$A$7:$A$6703,0),6),(INDEX(COMPOS!$A$4:$G$801,MATCH($B98,COMPOS!$A$4:A$801,0),5))))</f>
        <v>13.52</v>
      </c>
      <c r="H98" s="280">
        <f>(IF($A98="SINAPI",INDEX(SINAPI_NOV2020_NDES!$A$7:$H$6703,MATCH($B98,SINAPI_NOV2020_NDES!$A$7:$A$6703,0),7),(INDEX(COMPOS!$A$4:$G$801,MATCH($B98,COMPOS!$A$4:A$801,0),6))))</f>
        <v>0</v>
      </c>
      <c r="I98" s="279">
        <f t="shared" si="22"/>
        <v>18.189999999999998</v>
      </c>
      <c r="J98" s="276">
        <f t="shared" si="23"/>
        <v>582.07999999999993</v>
      </c>
      <c r="K98" s="255"/>
      <c r="L98" s="255"/>
      <c r="M98" s="255"/>
      <c r="N98" s="255"/>
      <c r="O98" s="257"/>
    </row>
    <row r="99" spans="1:16" ht="24">
      <c r="A99" s="251" t="s">
        <v>7</v>
      </c>
      <c r="B99" s="328">
        <v>89799</v>
      </c>
      <c r="C99" s="329" t="str">
        <f>(IF($A99="SINAPI",INDEX(SINAPI_NOV2020_NDES!$A$7:$H$6703,MATCH($B99,SINAPI_NOV2020_NDES!$A$7:$A$6703,0),2),IF($A99="GOINFRA",INDEX(#REF!,MATCH($B99,#REF!,0),2),(INDEX(COMPOS!$A$4:$G$3900,MATCH($B99,COMPOS!$A$4:A$3900,0),2)))))</f>
        <v>TUBO PVC, SERIE NORMAL, ESGOTO PREDIAL, DN 75 MM, FORNECIDO E INSTALADO EM PRUMADA DE ESGOTO SANITÁRIO OU VENTILAÇÃO. AF_12/2014</v>
      </c>
      <c r="D99" s="274" t="str">
        <f>(IF($A99="SINAPI",INDEX(SINAPI_NOV2020_NDES!$A$7:$H$6790,MATCH($B99,SINAPI_NOV2020_NDES!$A$7:$A$6790,0),3),(INDEX(COMPOS!$A$4:$G$5000,MATCH($B99,COMPOS!$A$4:$A$5000,0),3))))</f>
        <v>M</v>
      </c>
      <c r="E99" s="276">
        <v>8</v>
      </c>
      <c r="F99" s="279">
        <f>(IF($A99="SINAPI",INDEX(SINAPI_NOV2020_NDES!$A$7:$H$6703,MATCH($B99,SINAPI_NOV2020_NDES!$A$7:$A$6703,0),5),(INDEX(COMPOS!$A$4:$G$801,MATCH($B99,COMPOS!$A$4:A$801,0),4))))</f>
        <v>3.2</v>
      </c>
      <c r="G99" s="280">
        <f>(IF($A99="SINAPI",INDEX(SINAPI_NOV2020_NDES!$A$7:$H$6703,MATCH($B99,SINAPI_NOV2020_NDES!$A$7:$A$6703,0),6),(INDEX(COMPOS!$A$4:$G$801,MATCH($B99,COMPOS!$A$4:A$801,0),5))))</f>
        <v>11.32</v>
      </c>
      <c r="H99" s="280">
        <f>(IF($A99="SINAPI",INDEX(SINAPI_NOV2020_NDES!$A$7:$H$6703,MATCH($B99,SINAPI_NOV2020_NDES!$A$7:$A$6703,0),7),(INDEX(COMPOS!$A$4:$G$801,MATCH($B99,COMPOS!$A$4:A$801,0),6))))</f>
        <v>0</v>
      </c>
      <c r="I99" s="279">
        <f t="shared" si="22"/>
        <v>14.52</v>
      </c>
      <c r="J99" s="276">
        <f t="shared" si="23"/>
        <v>116.16</v>
      </c>
      <c r="K99" s="255"/>
      <c r="L99" s="255"/>
      <c r="M99" s="255"/>
      <c r="N99" s="255"/>
      <c r="O99" s="257"/>
    </row>
    <row r="100" spans="1:16" ht="36">
      <c r="A100" s="251" t="s">
        <v>7</v>
      </c>
      <c r="B100" s="328">
        <v>97902</v>
      </c>
      <c r="C100" s="329" t="str">
        <f>(IF($A100="SINAPI",INDEX(SINAPI_NOV2020_NDES!$A$7:$H$6703,MATCH($B100,SINAPI_NOV2020_NDES!$A$7:$A$6703,0),2),IF($A100="GOINFRA",INDEX(#REF!,MATCH($B100,#REF!,0),2),(INDEX(COMPOS!$A$4:$G$3900,MATCH($B100,COMPOS!$A$4:A$3900,0),2)))))</f>
        <v>CAIXA ENTERRADA HIDRÁULICA RETANGULAR EM ALVENARIA COM TIJOLOS CERÂMICOS MACIÇOS, DIMENSÕES INTERNAS: 0,6X0,6X0,6 M PARA REDE DE ESGOTO. AF_05/2018</v>
      </c>
      <c r="D100" s="274" t="str">
        <f>(IF($A100="SINAPI",INDEX(SINAPI_NOV2020_NDES!$A$7:$H$6790,MATCH($B100,SINAPI_NOV2020_NDES!$A$7:$A$6790,0),3),(INDEX(COMPOS!$A$4:$G$5000,MATCH($B100,COMPOS!$A$4:$A$5000,0),3))))</f>
        <v>UN</v>
      </c>
      <c r="E100" s="276">
        <v>1</v>
      </c>
      <c r="F100" s="279">
        <f>(IF($A100="SINAPI",INDEX(SINAPI_NOV2020_NDES!$A$7:$H$6703,MATCH($B100,SINAPI_NOV2020_NDES!$A$7:$A$6703,0),5),(INDEX(COMPOS!$A$4:$G$801,MATCH($B100,COMPOS!$A$4:A$801,0),4))))</f>
        <v>228.59</v>
      </c>
      <c r="G100" s="280">
        <f>(IF($A100="SINAPI",INDEX(SINAPI_NOV2020_NDES!$A$7:$H$6703,MATCH($B100,SINAPI_NOV2020_NDES!$A$7:$A$6703,0),6),(INDEX(COMPOS!$A$4:$G$801,MATCH($B100,COMPOS!$A$4:A$801,0),5))))</f>
        <v>270.14</v>
      </c>
      <c r="H100" s="280">
        <f>(IF($A100="SINAPI",INDEX(SINAPI_NOV2020_NDES!$A$7:$H$6703,MATCH($B100,SINAPI_NOV2020_NDES!$A$7:$A$6703,0),7),(INDEX(COMPOS!$A$4:$G$801,MATCH($B100,COMPOS!$A$4:A$801,0),6))))</f>
        <v>1.44</v>
      </c>
      <c r="I100" s="279">
        <f t="shared" si="22"/>
        <v>500.17</v>
      </c>
      <c r="J100" s="276">
        <f t="shared" si="23"/>
        <v>500.17</v>
      </c>
      <c r="K100" s="255"/>
      <c r="L100" s="255"/>
      <c r="M100" s="255"/>
      <c r="N100" s="255"/>
      <c r="O100" s="257"/>
    </row>
    <row r="101" spans="1:16">
      <c r="A101" s="251" t="s">
        <v>7</v>
      </c>
      <c r="B101" s="328">
        <v>6171</v>
      </c>
      <c r="C101" s="329" t="str">
        <f>(IF($A101="SINAPI",INDEX(SINAPI_NOV2020_NDES!$A$7:$H$6703,MATCH($B101,SINAPI_NOV2020_NDES!$A$7:$A$6703,0),2),IF($A101="GOINFRA",INDEX(#REF!,MATCH($B101,#REF!,0),2),(INDEX(COMPOS!$A$4:$G$3900,MATCH($B101,COMPOS!$A$4:A$3900,0),2)))))</f>
        <v>TAMPA DE CONCRETO ARMADO 60X60X5CM PARA CAIXA</v>
      </c>
      <c r="D101" s="274" t="str">
        <f>(IF($A101="SINAPI",INDEX(SINAPI_NOV2020_NDES!$A$7:$H$6790,MATCH($B101,SINAPI_NOV2020_NDES!$A$7:$A$6790,0),3),(INDEX(COMPOS!$A$4:$G$5000,MATCH($B101,COMPOS!$A$4:$A$5000,0),3))))</f>
        <v>UN</v>
      </c>
      <c r="E101" s="276">
        <v>0.48000000000000009</v>
      </c>
      <c r="F101" s="279">
        <f>(IF($A101="SINAPI",INDEX(SINAPI_NOV2020_NDES!$A$7:$H$6703,MATCH($B101,SINAPI_NOV2020_NDES!$A$7:$A$6703,0),5),(INDEX(COMPOS!$A$4:$G$801,MATCH($B101,COMPOS!$A$4:A$801,0),4))))</f>
        <v>5.51</v>
      </c>
      <c r="G101" s="280">
        <f>(IF($A101="SINAPI",INDEX(SINAPI_NOV2020_NDES!$A$7:$H$6703,MATCH($B101,SINAPI_NOV2020_NDES!$A$7:$A$6703,0),6),(INDEX(COMPOS!$A$4:$G$801,MATCH($B101,COMPOS!$A$4:A$801,0),5))))</f>
        <v>21.21</v>
      </c>
      <c r="H101" s="280">
        <f>(IF($A101="SINAPI",INDEX(SINAPI_NOV2020_NDES!$A$7:$H$6703,MATCH($B101,SINAPI_NOV2020_NDES!$A$7:$A$6703,0),7),(INDEX(COMPOS!$A$4:$G$801,MATCH($B101,COMPOS!$A$4:A$801,0),6))))</f>
        <v>0</v>
      </c>
      <c r="I101" s="279">
        <f t="shared" si="22"/>
        <v>26.72</v>
      </c>
      <c r="J101" s="276">
        <f t="shared" si="23"/>
        <v>12.825600000000001</v>
      </c>
      <c r="K101" s="255"/>
      <c r="L101" s="255"/>
      <c r="M101" s="255"/>
      <c r="N101" s="255"/>
      <c r="O101" s="257"/>
    </row>
    <row r="102" spans="1:16" ht="24">
      <c r="A102" s="251" t="s">
        <v>6307</v>
      </c>
      <c r="B102" s="328">
        <v>811</v>
      </c>
      <c r="C102" s="329" t="str">
        <f>(IF($A102="SINAPI",INDEX(SINAPI_NOV2020_NDES!$A$7:$H$6703,MATCH($B102,SINAPI_NOV2020_NDES!$A$7:$A$6703,0),2),IF($A102="GOINFRA",INDEX(#REF!,MATCH($B102,#REF!,0),2),(INDEX(COMPOS!$A$4:$G$3900,MATCH($B102,COMPOS!$A$4:A$3900,0),2)))))</f>
        <v>GRELHA PADRÃO GOINFRA DE FERRO CHATO COM BERÇO (ESPAÇAMENTO ENTRE FACES = 1,5CM - NBR 9050 ACESSIBILIDADE)</v>
      </c>
      <c r="D102" s="274" t="str">
        <f>(IF($A102="SINAPI",INDEX(SINAPI_NOV2020_NDES!$A$7:$H$6790,MATCH($B102,SINAPI_NOV2020_NDES!$A$7:$A$6790,0),3),(INDEX(COMPOS!$A$4:$G$5000,MATCH($B102,COMPOS!$A$4:$A$5000,0),3))))</f>
        <v>M2</v>
      </c>
      <c r="E102" s="276">
        <v>0.16000000000000003</v>
      </c>
      <c r="F102" s="279">
        <f>(IF($A102="SINAPI",INDEX(SINAPI_NOV2020_NDES!$A$7:$H$6703,MATCH($B102,SINAPI_NOV2020_NDES!$A$7:$A$6703,0),5),(INDEX(COMPOS!$A$4:$G$801,MATCH($B102,COMPOS!$A$4:A$801,0),4))))</f>
        <v>69.36</v>
      </c>
      <c r="G102" s="280">
        <f>(IF($A102="SINAPI",INDEX(SINAPI_NOV2020_NDES!$A$7:$H$6703,MATCH($B102,SINAPI_NOV2020_NDES!$A$7:$A$6703,0),6),(INDEX(COMPOS!$A$4:$G$801,MATCH($B102,COMPOS!$A$4:A$801,0),5))))</f>
        <v>355.98395200000004</v>
      </c>
      <c r="H102" s="280">
        <f>(IF($A102="SINAPI",INDEX(SINAPI_NOV2020_NDES!$A$7:$H$6703,MATCH($B102,SINAPI_NOV2020_NDES!$A$7:$A$6703,0),7),(INDEX(COMPOS!$A$4:$G$801,MATCH($B102,COMPOS!$A$4:A$801,0),6))))</f>
        <v>0</v>
      </c>
      <c r="I102" s="279">
        <f t="shared" si="22"/>
        <v>425.34395200000006</v>
      </c>
      <c r="J102" s="276">
        <f t="shared" si="23"/>
        <v>68.055032320000024</v>
      </c>
      <c r="K102" s="255"/>
      <c r="L102" s="255"/>
      <c r="M102" s="255"/>
      <c r="N102" s="255"/>
      <c r="O102" s="257"/>
    </row>
    <row r="103" spans="1:16" s="88" customFormat="1" ht="24" customHeight="1">
      <c r="A103" s="680" t="s">
        <v>6927</v>
      </c>
      <c r="B103" s="680"/>
      <c r="C103" s="680"/>
      <c r="D103" s="680"/>
      <c r="E103" s="680"/>
      <c r="F103" s="680"/>
      <c r="G103" s="680"/>
      <c r="H103" s="680"/>
      <c r="I103" s="680"/>
      <c r="J103" s="281">
        <f>SUM(J63:J102)</f>
        <v>3743.9256212456198</v>
      </c>
      <c r="K103" s="255"/>
      <c r="L103" s="255"/>
      <c r="M103" s="255"/>
      <c r="N103" s="255"/>
      <c r="O103" s="255"/>
      <c r="P103" s="223"/>
    </row>
    <row r="104" spans="1:16">
      <c r="A104" s="251"/>
      <c r="B104" s="328">
        <v>172</v>
      </c>
      <c r="C104" s="331" t="s">
        <v>602</v>
      </c>
      <c r="D104" s="332"/>
      <c r="E104" s="276"/>
      <c r="F104" s="276"/>
      <c r="G104" s="276"/>
      <c r="H104" s="276"/>
      <c r="I104" s="276"/>
      <c r="J104" s="276"/>
      <c r="K104" s="255"/>
      <c r="L104" s="255"/>
      <c r="M104" s="255"/>
      <c r="N104" s="255"/>
      <c r="O104" s="255"/>
    </row>
    <row r="105" spans="1:16" ht="48">
      <c r="A105" s="251" t="s">
        <v>7</v>
      </c>
      <c r="B105" s="328">
        <v>87503</v>
      </c>
      <c r="C105" s="329" t="str">
        <f>(IF($A105="SINAPI",INDEX(SINAPI_NOV2020_NDES!$A$7:$H$6703,MATCH($B105,SINAPI_NOV2020_NDES!$A$7:$A$6703,0),2),IF($A105="GOINFRA",INDEX(#REF!,MATCH($B105,#REF!,0),2),(INDEX(COMPOS!$A$4:$G$390,MATCH($B105,COMPOS!$A$4:A$390,0),2)))))</f>
        <v>ALVENARIA DE VEDAÇÃO DE BLOCOS CERÂMICOS FURADOS NA HORIZONTAL DE 9X19X19CM (ESPESSURA 9CM) DE PAREDES COM ÁREA LÍQUIDA MAIOR OU IGUAL A 6M² SEM VÃOS E ARGAMASSA DE ASSENTAMENTO COM PREPARO EM BETONEIRA. AF_06/2014</v>
      </c>
      <c r="D105" s="274" t="str">
        <f>(IF($A105="SINAPI",INDEX(SINAPI_NOV2020_NDES!$A$7:$H$6790,MATCH($B105,SINAPI_NOV2020_NDES!$A$7:$A$6790,0),3),(INDEX(COMPOS!$A$4:$G$5000,MATCH($B105,COMPOS!$A$4:$A$5000,0),3))))</f>
        <v>M2</v>
      </c>
      <c r="E105" s="276">
        <v>36.9</v>
      </c>
      <c r="F105" s="279">
        <f>(IF($A105="SINAPI",INDEX(SINAPI_NOV2020_NDES!$A$7:$H$6703,MATCH($B105,SINAPI_NOV2020_NDES!$A$7:$A$6703,0),5),(INDEX(COMPOS!$A$4:$G$801,MATCH($B105,COMPOS!$A$4:A$801,0),4))))</f>
        <v>31.67</v>
      </c>
      <c r="G105" s="280">
        <f>(IF($A105="SINAPI",INDEX(SINAPI_NOV2020_NDES!$A$7:$H$6703,MATCH($B105,SINAPI_NOV2020_NDES!$A$7:$A$6703,0),6),(INDEX(COMPOS!$A$4:$G$801,MATCH($B105,COMPOS!$A$4:A$801,0),5))))</f>
        <v>32.130000000000003</v>
      </c>
      <c r="H105" s="280">
        <f>(IF($A105="SINAPI",INDEX(SINAPI_NOV2020_NDES!$A$7:$H$6703,MATCH($B105,SINAPI_NOV2020_NDES!$A$7:$A$6703,0),7),(INDEX(COMPOS!$A$4:$G$801,MATCH($B105,COMPOS!$A$4:A$801,0),6))))</f>
        <v>0</v>
      </c>
      <c r="I105" s="279">
        <f t="shared" ref="I105" si="24">SUM(F105:H105)</f>
        <v>63.800000000000004</v>
      </c>
      <c r="J105" s="276">
        <f t="shared" ref="J105" si="25">+I105*E105</f>
        <v>2354.2200000000003</v>
      </c>
      <c r="K105" s="255"/>
      <c r="L105" s="255"/>
      <c r="M105" s="255"/>
      <c r="N105" s="255"/>
      <c r="O105" s="257"/>
    </row>
    <row r="106" spans="1:16" s="88" customFormat="1" ht="24" customHeight="1">
      <c r="A106" s="680" t="s">
        <v>6927</v>
      </c>
      <c r="B106" s="680"/>
      <c r="C106" s="680"/>
      <c r="D106" s="680"/>
      <c r="E106" s="680"/>
      <c r="F106" s="680"/>
      <c r="G106" s="680"/>
      <c r="H106" s="680"/>
      <c r="I106" s="680"/>
      <c r="J106" s="281">
        <f>SUM(J105)</f>
        <v>2354.2200000000003</v>
      </c>
      <c r="K106" s="255"/>
      <c r="L106" s="255"/>
      <c r="M106" s="255"/>
      <c r="N106" s="255"/>
      <c r="O106" s="255"/>
      <c r="P106" s="223"/>
    </row>
    <row r="107" spans="1:16">
      <c r="A107" s="251"/>
      <c r="B107" s="328">
        <v>174</v>
      </c>
      <c r="C107" s="331" t="s">
        <v>601</v>
      </c>
      <c r="D107" s="274"/>
      <c r="E107" s="276"/>
      <c r="F107" s="276"/>
      <c r="G107" s="276"/>
      <c r="H107" s="276"/>
      <c r="I107" s="276"/>
      <c r="J107" s="276"/>
      <c r="K107" s="255"/>
      <c r="L107" s="255"/>
      <c r="M107" s="255"/>
      <c r="N107" s="255"/>
      <c r="O107" s="255"/>
    </row>
    <row r="108" spans="1:16" ht="27" customHeight="1">
      <c r="A108" s="251" t="s">
        <v>7</v>
      </c>
      <c r="B108" s="328">
        <v>98562</v>
      </c>
      <c r="C108" s="329" t="str">
        <f>(IF($A108="SINAPI",INDEX(SINAPI_NOV2020_NDES!$A$7:$H$6703,MATCH($B108,SINAPI_NOV2020_NDES!$A$7:$A$6703,0),2),IF($A108="GOINFRA",INDEX(#REF!,MATCH($B108,#REF!,0),2),(INDEX(COMPOS!$A$4:$G$390,MATCH($B108,COMPOS!$A$4:A$390,0),2)))))</f>
        <v>IMPERMEABILIZAÇÃO DE FLOREIRA OU VIGA BALDRAME COM ARGAMASSA DE CIMENTO E AREIA, COM ADITIVO IMPERMEABILIZANTE, E = 2 CM. AF_06/2018</v>
      </c>
      <c r="D108" s="274" t="str">
        <f>(IF($A108="SINAPI",INDEX(SINAPI_NOV2020_NDES!$A$7:$H$6790,MATCH($B108,SINAPI_NOV2020_NDES!$A$7:$A$6790,0),3),(INDEX(COMPOS!$A$4:$G$5000,MATCH($B108,COMPOS!$A$4:$A$5000,0),3))))</f>
        <v>M2</v>
      </c>
      <c r="E108" s="276">
        <v>6.64</v>
      </c>
      <c r="F108" s="279">
        <f>(IF($A108="SINAPI",INDEX(SINAPI_NOV2020_NDES!$A$7:$H$6703,MATCH($B108,SINAPI_NOV2020_NDES!$A$7:$A$6703,0),5),(INDEX(COMPOS!$A$4:$G$801,MATCH($B108,COMPOS!$A$4:A$801,0),4))))</f>
        <v>16.37</v>
      </c>
      <c r="G108" s="280">
        <f>(IF($A108="SINAPI",INDEX(SINAPI_NOV2020_NDES!$A$7:$H$6703,MATCH($B108,SINAPI_NOV2020_NDES!$A$7:$A$6703,0),6),(INDEX(COMPOS!$A$4:$G$801,MATCH($B108,COMPOS!$A$4:A$801,0),5))))</f>
        <v>18.010000000000002</v>
      </c>
      <c r="H108" s="280">
        <f>(IF($A108="SINAPI",INDEX(SINAPI_NOV2020_NDES!$A$7:$H$6703,MATCH($B108,SINAPI_NOV2020_NDES!$A$7:$A$6703,0),7),(INDEX(COMPOS!$A$4:$G$801,MATCH($B108,COMPOS!$A$4:A$801,0),6))))</f>
        <v>0.02</v>
      </c>
      <c r="I108" s="279">
        <f t="shared" ref="I108" si="26">SUM(F108:H108)</f>
        <v>34.400000000000006</v>
      </c>
      <c r="J108" s="276">
        <f t="shared" ref="J108" si="27">+I108*E108</f>
        <v>228.41600000000003</v>
      </c>
      <c r="K108" s="255"/>
      <c r="L108" s="255"/>
      <c r="M108" s="255"/>
      <c r="N108" s="255"/>
      <c r="O108" s="257"/>
    </row>
    <row r="109" spans="1:16">
      <c r="A109" s="251" t="s">
        <v>6307</v>
      </c>
      <c r="B109" s="328">
        <v>338</v>
      </c>
      <c r="C109" s="329" t="str">
        <f>(IF($A109="SINAPI",INDEX(SINAPI_NOV2020_NDES!$A$7:$H$6703,MATCH($B109,SINAPI_NOV2020_NDES!$A$7:$A$6703,0),2),IF($A109="GOINFRA",INDEX(#REF!,MATCH($B109,#REF!,0),2),(INDEX(COMPOS!$A$4:$G$390,MATCH($B109,COMPOS!$A$4:A$390,0),2)))))</f>
        <v>REGULARIZAÇÃO (1:3), ESP. 2CM</v>
      </c>
      <c r="D109" s="274" t="str">
        <f>(IF($A109="SINAPI",INDEX(SINAPI_NOV2020_NDES!$A$7:$H$6790,MATCH($B109,SINAPI_NOV2020_NDES!$A$7:$A$6790,0),3),(INDEX(COMPOS!$A$4:$G$5000,MATCH($B109,COMPOS!$A$4:$A$5000,0),3))))</f>
        <v>M2</v>
      </c>
      <c r="E109" s="276">
        <v>13.31</v>
      </c>
      <c r="F109" s="279">
        <f>(IF($A109="SINAPI",INDEX(SINAPI_NOV2020_NDES!$A$7:$H$6703,MATCH($B109,SINAPI_NOV2020_NDES!$A$7:$A$6703,0),5),(INDEX(COMPOS!$A$4:$G$801,MATCH($B109,COMPOS!$A$4:A$801,0),4))))</f>
        <v>11.511982</v>
      </c>
      <c r="G109" s="280">
        <f>(IF($A109="SINAPI",INDEX(SINAPI_NOV2020_NDES!$A$7:$H$6703,MATCH($B109,SINAPI_NOV2020_NDES!$A$7:$A$6703,0),6),(INDEX(COMPOS!$A$4:$G$801,MATCH($B109,COMPOS!$A$4:A$801,0),5))))</f>
        <v>8.7818570000000005</v>
      </c>
      <c r="H109" s="280">
        <f>(IF($A109="SINAPI",INDEX(SINAPI_NOV2020_NDES!$A$7:$H$6703,MATCH($B109,SINAPI_NOV2020_NDES!$A$7:$A$6703,0),7),(INDEX(COMPOS!$A$4:$G$801,MATCH($B109,COMPOS!$A$4:A$801,0),6))))</f>
        <v>0</v>
      </c>
      <c r="I109" s="279">
        <f t="shared" ref="I109:I110" si="28">SUM(F109:H109)</f>
        <v>20.293838999999998</v>
      </c>
      <c r="J109" s="276">
        <f t="shared" ref="J109:J110" si="29">+I109*E109</f>
        <v>270.11099709000001</v>
      </c>
      <c r="K109" s="255"/>
      <c r="L109" s="255"/>
      <c r="M109" s="255"/>
      <c r="N109" s="255"/>
      <c r="O109" s="257"/>
    </row>
    <row r="110" spans="1:16">
      <c r="A110" s="251" t="s">
        <v>6307</v>
      </c>
      <c r="B110" s="328">
        <v>339</v>
      </c>
      <c r="C110" s="329" t="str">
        <f>(IF($A110="SINAPI",INDEX(SINAPI_NOV2020_NDES!$A$7:$H$6703,MATCH($B110,SINAPI_NOV2020_NDES!$A$7:$A$6703,0),2),IF($A110="GOINFRA",INDEX(#REF!,MATCH($B110,#REF!,0),2),(INDEX(COMPOS!$A$4:$G$390,MATCH($B110,COMPOS!$A$4:A$390,0),2)))))</f>
        <v>MANTA AUTO-PROTEGIDA ALUMÍNIO TIPO III-B</v>
      </c>
      <c r="D110" s="274" t="str">
        <f>(IF($A110="SINAPI",INDEX(SINAPI_NOV2020_NDES!$A$7:$H$6790,MATCH($B110,SINAPI_NOV2020_NDES!$A$7:$A$6790,0),3),(INDEX(COMPOS!$A$4:$G$5000,MATCH($B110,COMPOS!$A$4:$A$5000,0),3))))</f>
        <v>M2</v>
      </c>
      <c r="E110" s="276">
        <v>13.31</v>
      </c>
      <c r="F110" s="279">
        <f>(IF($A110="SINAPI",INDEX(SINAPI_NOV2020_NDES!$A$7:$H$6703,MATCH($B110,SINAPI_NOV2020_NDES!$A$7:$A$6703,0),5),(INDEX(COMPOS!$A$4:$G$801,MATCH($B110,COMPOS!$A$4:A$801,0),4))))</f>
        <v>24.752519999999997</v>
      </c>
      <c r="G110" s="280">
        <f>(IF($A110="SINAPI",INDEX(SINAPI_NOV2020_NDES!$A$7:$H$6703,MATCH($B110,SINAPI_NOV2020_NDES!$A$7:$A$6703,0),6),(INDEX(COMPOS!$A$4:$G$801,MATCH($B110,COMPOS!$A$4:A$801,0),5))))</f>
        <v>47.200200000000002</v>
      </c>
      <c r="H110" s="280">
        <f>(IF($A110="SINAPI",INDEX(SINAPI_NOV2020_NDES!$A$7:$H$6703,MATCH($B110,SINAPI_NOV2020_NDES!$A$7:$A$6703,0),7),(INDEX(COMPOS!$A$4:$G$801,MATCH($B110,COMPOS!$A$4:A$801,0),6))))</f>
        <v>0</v>
      </c>
      <c r="I110" s="279">
        <f t="shared" si="28"/>
        <v>71.952719999999999</v>
      </c>
      <c r="J110" s="276">
        <f t="shared" si="29"/>
        <v>957.69070320000003</v>
      </c>
      <c r="K110" s="255"/>
      <c r="L110" s="255"/>
      <c r="M110" s="255"/>
      <c r="N110" s="255"/>
      <c r="O110" s="257"/>
    </row>
    <row r="111" spans="1:16" s="88" customFormat="1" ht="24" customHeight="1">
      <c r="A111" s="680" t="s">
        <v>6927</v>
      </c>
      <c r="B111" s="680"/>
      <c r="C111" s="680"/>
      <c r="D111" s="680"/>
      <c r="E111" s="680"/>
      <c r="F111" s="680"/>
      <c r="G111" s="680"/>
      <c r="H111" s="680"/>
      <c r="I111" s="680"/>
      <c r="J111" s="281">
        <f>SUM(J108:J110)</f>
        <v>1456.21770029</v>
      </c>
      <c r="K111" s="255"/>
      <c r="L111" s="255"/>
      <c r="M111" s="255"/>
      <c r="N111" s="255"/>
      <c r="O111" s="255"/>
      <c r="P111" s="223"/>
    </row>
    <row r="112" spans="1:16">
      <c r="A112" s="251"/>
      <c r="B112" s="328">
        <v>176</v>
      </c>
      <c r="C112" s="331" t="s">
        <v>599</v>
      </c>
      <c r="D112" s="274"/>
      <c r="E112" s="276"/>
      <c r="F112" s="276"/>
      <c r="G112" s="276"/>
      <c r="H112" s="276"/>
      <c r="I112" s="276"/>
      <c r="J112" s="276"/>
      <c r="K112" s="255"/>
      <c r="L112" s="255"/>
      <c r="M112" s="255"/>
      <c r="N112" s="255"/>
      <c r="O112" s="255"/>
    </row>
    <row r="113" spans="1:16" ht="36">
      <c r="A113" s="251" t="s">
        <v>7</v>
      </c>
      <c r="B113" s="328">
        <v>92580</v>
      </c>
      <c r="C113" s="329" t="str">
        <f>(IF($A113="SINAPI",INDEX(SINAPI_NOV2020_NDES!$A$7:$H$6703,MATCH($B113,SINAPI_NOV2020_NDES!$A$7:$A$6703,0),2),IF($A113="GOINFRA",INDEX(#REF!,MATCH($B113,#REF!,0),2),(INDEX(COMPOS!$A$4:$G$390,MATCH($B113,COMPOS!$A$4:A$390,0),2)))))</f>
        <v>TRAMA DE AÇO COMPOSTA POR TERÇAS PARA TELHADOS DE ATÉ 2 ÁGUAS PARA TELHA ONDULADA DE FIBROCIMENTO, METÁLICA, PLÁSTICA OU TERMOACÚSTICA, INCLUSO TRANSPORTE VERTICAL. AF_07/2019</v>
      </c>
      <c r="D113" s="274" t="str">
        <f>(IF($A113="SINAPI",INDEX(SINAPI_NOV2020_NDES!$A$7:$H$6790,MATCH($B113,SINAPI_NOV2020_NDES!$A$7:$A$6790,0),3),(INDEX(COMPOS!$A$4:$G$5000,MATCH($B113,COMPOS!$A$4:$A$5000,0),3))))</f>
        <v>M2</v>
      </c>
      <c r="E113" s="276">
        <v>6.38</v>
      </c>
      <c r="F113" s="279">
        <f>(IF($A113="SINAPI",INDEX(SINAPI_NOV2020_NDES!$A$7:$H$6703,MATCH($B113,SINAPI_NOV2020_NDES!$A$7:$A$6703,0),5),(INDEX(COMPOS!$A$4:$G$801,MATCH($B113,COMPOS!$A$4:A$801,0),4))))</f>
        <v>6.23</v>
      </c>
      <c r="G113" s="280">
        <f>(IF($A113="SINAPI",INDEX(SINAPI_NOV2020_NDES!$A$7:$H$6703,MATCH($B113,SINAPI_NOV2020_NDES!$A$7:$A$6703,0),6),(INDEX(COMPOS!$A$4:$G$801,MATCH($B113,COMPOS!$A$4:A$801,0),5))))</f>
        <v>28.67</v>
      </c>
      <c r="H113" s="280">
        <f>(IF($A113="SINAPI",INDEX(SINAPI_NOV2020_NDES!$A$7:$H$6703,MATCH($B113,SINAPI_NOV2020_NDES!$A$7:$A$6703,0),7),(INDEX(COMPOS!$A$4:$G$801,MATCH($B113,COMPOS!$A$4:A$801,0),6))))</f>
        <v>0</v>
      </c>
      <c r="I113" s="279">
        <f t="shared" ref="I113" si="30">SUM(F113:H113)</f>
        <v>34.900000000000006</v>
      </c>
      <c r="J113" s="276">
        <f t="shared" ref="J113" si="31">+I113*E113</f>
        <v>222.66200000000003</v>
      </c>
      <c r="K113" s="255"/>
      <c r="L113" s="255"/>
      <c r="M113" s="255"/>
      <c r="N113" s="255"/>
      <c r="O113" s="257"/>
    </row>
    <row r="114" spans="1:16" s="88" customFormat="1" ht="24" customHeight="1">
      <c r="A114" s="680" t="s">
        <v>6927</v>
      </c>
      <c r="B114" s="680"/>
      <c r="C114" s="680"/>
      <c r="D114" s="680"/>
      <c r="E114" s="680"/>
      <c r="F114" s="680"/>
      <c r="G114" s="680"/>
      <c r="H114" s="680"/>
      <c r="I114" s="680"/>
      <c r="J114" s="281">
        <f>SUM(J113)</f>
        <v>222.66200000000003</v>
      </c>
      <c r="K114" s="255"/>
      <c r="L114" s="255"/>
      <c r="M114" s="255"/>
      <c r="N114" s="255"/>
      <c r="O114" s="255"/>
      <c r="P114" s="223"/>
    </row>
    <row r="115" spans="1:16">
      <c r="A115" s="251"/>
      <c r="B115" s="328">
        <v>178</v>
      </c>
      <c r="C115" s="331" t="s">
        <v>597</v>
      </c>
      <c r="D115" s="274"/>
      <c r="E115" s="276"/>
      <c r="F115" s="276"/>
      <c r="G115" s="276"/>
      <c r="H115" s="276"/>
      <c r="I115" s="276"/>
      <c r="J115" s="276"/>
      <c r="K115" s="255"/>
      <c r="L115" s="255"/>
      <c r="M115" s="255"/>
      <c r="N115" s="255"/>
      <c r="O115" s="255"/>
    </row>
    <row r="116" spans="1:16" ht="36">
      <c r="A116" s="251" t="s">
        <v>7</v>
      </c>
      <c r="B116" s="328">
        <v>94210</v>
      </c>
      <c r="C116" s="329" t="str">
        <f>(IF($A116="SINAPI",INDEX(SINAPI_NOV2020_NDES!$A$7:$H$6703,MATCH($B116,SINAPI_NOV2020_NDES!$A$7:$A$6703,0),2),IF($A116="GOINFRA",INDEX(#REF!,MATCH($B116,#REF!,0),2),(INDEX(COMPOS!$A$4:$G$390,MATCH($B116,COMPOS!$A$4:A$390,0),2)))))</f>
        <v>TELHAMENTO COM TELHA ONDULADA DE FIBROCIMENTO E = 6 MM, COM RECOBRIMENTO LATERAL DE 1 1/4 DE ONDA PARA TELHADO COM INCLINAÇÃO MÁXIMA DE 10°, COM ATÉ 2 ÁGUAS, INCLUSO IÇAMENTO. AF_07/2019</v>
      </c>
      <c r="D116" s="274" t="str">
        <f>(IF($A116="SINAPI",INDEX(SINAPI_NOV2020_NDES!$A$7:$H$6790,MATCH($B116,SINAPI_NOV2020_NDES!$A$7:$A$6790,0),3),(INDEX(COMPOS!$A$4:$G$5000,MATCH($B116,COMPOS!$A$4:$A$5000,0),3))))</f>
        <v>M2</v>
      </c>
      <c r="E116" s="276">
        <v>16.8</v>
      </c>
      <c r="F116" s="279">
        <f>(IF($A116="SINAPI",INDEX(SINAPI_NOV2020_NDES!$A$7:$H$6703,MATCH($B116,SINAPI_NOV2020_NDES!$A$7:$A$6703,0),5),(INDEX(COMPOS!$A$4:$G$801,MATCH($B116,COMPOS!$A$4:A$801,0),4))))</f>
        <v>4.32</v>
      </c>
      <c r="G116" s="280">
        <f>(IF($A116="SINAPI",INDEX(SINAPI_NOV2020_NDES!$A$7:$H$6703,MATCH($B116,SINAPI_NOV2020_NDES!$A$7:$A$6703,0),6),(INDEX(COMPOS!$A$4:$G$801,MATCH($B116,COMPOS!$A$4:A$801,0),5))))</f>
        <v>37.479999999999997</v>
      </c>
      <c r="H116" s="280">
        <f>(IF($A116="SINAPI",INDEX(SINAPI_NOV2020_NDES!$A$7:$H$6703,MATCH($B116,SINAPI_NOV2020_NDES!$A$7:$A$6703,0),7),(INDEX(COMPOS!$A$4:$G$801,MATCH($B116,COMPOS!$A$4:A$801,0),6))))</f>
        <v>0</v>
      </c>
      <c r="I116" s="279">
        <f t="shared" ref="I116" si="32">SUM(F116:H116)</f>
        <v>41.8</v>
      </c>
      <c r="J116" s="276">
        <f t="shared" ref="J116" si="33">+I116*E116</f>
        <v>702.24</v>
      </c>
      <c r="K116" s="255"/>
      <c r="L116" s="255"/>
      <c r="M116" s="255"/>
      <c r="N116" s="255"/>
      <c r="O116" s="257"/>
    </row>
    <row r="117" spans="1:16">
      <c r="A117" s="251" t="s">
        <v>6307</v>
      </c>
      <c r="B117" s="328">
        <v>342</v>
      </c>
      <c r="C117" s="329" t="str">
        <f>(IF($A117="SINAPI",INDEX(SINAPI_NOV2020_NDES!$A$7:$H$6703,MATCH($B117,SINAPI_NOV2020_NDES!$A$7:$A$6703,0),2),IF($A117="GOINFRA",INDEX(#REF!,MATCH($B117,#REF!,0),2),(INDEX(COMPOS!$A$4:$G$390,MATCH($B117,COMPOS!$A$4:A$390,0),2)))))</f>
        <v>CALHA DE CHAPA GALVANIZADA Nº 26, 60CM</v>
      </c>
      <c r="D117" s="274" t="str">
        <f>(IF($A117="SINAPI",INDEX(SINAPI_NOV2020_NDES!$A$7:$H$6790,MATCH($B117,SINAPI_NOV2020_NDES!$A$7:$A$6790,0),3),(INDEX(COMPOS!$A$4:$G$5000,MATCH($B117,COMPOS!$A$4:$A$5000,0),3))))</f>
        <v>M</v>
      </c>
      <c r="E117" s="276">
        <v>6.5</v>
      </c>
      <c r="F117" s="276">
        <f>(IF($A117="SINAPI",INDEX(SINAPI_NOV2020_NDES!$A$7:$H$6703,MATCH($B117,SINAPI_NOV2020_NDES!$A$7:$A$6703,0),5),(INDEX(COMPOS!$A$4:$G$801,MATCH($B117,COMPOS!$A$4:A$801,0),4))))</f>
        <v>39.185000000000002</v>
      </c>
      <c r="G117" s="276">
        <f>(IF($A117="SINAPI",INDEX(SINAPI_NOV2020_NDES!$A$7:$H$6703,MATCH($B117,SINAPI_NOV2020_NDES!$A$7:$A$6703,0),6),(INDEX(COMPOS!$A$4:$G$801,MATCH($B117,COMPOS!$A$4:A$801,0),5))))</f>
        <v>20.28</v>
      </c>
      <c r="H117" s="276">
        <f>(IF($A117="SINAPI",INDEX(SINAPI_NOV2020_NDES!$A$7:$H$6703,MATCH($B117,SINAPI_NOV2020_NDES!$A$7:$A$6703,0),7),(INDEX(COMPOS!$A$4:$G$801,MATCH($B117,COMPOS!$A$4:A$801,0),6))))</f>
        <v>0</v>
      </c>
      <c r="I117" s="276">
        <f>SUM(F117:H117)</f>
        <v>59.465000000000003</v>
      </c>
      <c r="J117" s="276">
        <f>+I117*E117</f>
        <v>386.52250000000004</v>
      </c>
      <c r="K117" s="255"/>
      <c r="L117" s="255"/>
      <c r="M117" s="255"/>
      <c r="N117" s="255"/>
      <c r="O117" s="257"/>
    </row>
    <row r="118" spans="1:16">
      <c r="A118" s="251" t="s">
        <v>6307</v>
      </c>
      <c r="B118" s="328">
        <v>343</v>
      </c>
      <c r="C118" s="329" t="str">
        <f>(IF($A118="SINAPI",INDEX(SINAPI_NOV2020_NDES!$A$7:$H$6703,MATCH($B118,SINAPI_NOV2020_NDES!$A$7:$A$6703,0),2),IF($A118="GOINFRA",INDEX(#REF!,MATCH($B118,#REF!,0),2),(INDEX(COMPOS!$A$4:$G$390,MATCH($B118,COMPOS!$A$4:A$390,0),2)))))</f>
        <v>RUFO DE CHAPA GALVANIZADA</v>
      </c>
      <c r="D118" s="274" t="str">
        <f>(IF($A118="SINAPI",INDEX(SINAPI_NOV2020_NDES!$A$7:$H$6790,MATCH($B118,SINAPI_NOV2020_NDES!$A$7:$A$6790,0),3),(INDEX(COMPOS!$A$4:$G$5000,MATCH($B118,COMPOS!$A$4:$A$5000,0),3))))</f>
        <v>M</v>
      </c>
      <c r="E118" s="276">
        <v>23.3</v>
      </c>
      <c r="F118" s="276">
        <f>(IF($A118="SINAPI",INDEX(SINAPI_NOV2020_NDES!$A$7:$H$6703,MATCH($B118,SINAPI_NOV2020_NDES!$A$7:$A$6703,0),5),(INDEX(COMPOS!$A$4:$G$801,MATCH($B118,COMPOS!$A$4:A$801,0),4))))</f>
        <v>18.405000000000001</v>
      </c>
      <c r="G118" s="276">
        <f>(IF($A118="SINAPI",INDEX(SINAPI_NOV2020_NDES!$A$7:$H$6703,MATCH($B118,SINAPI_NOV2020_NDES!$A$7:$A$6703,0),6),(INDEX(COMPOS!$A$4:$G$801,MATCH($B118,COMPOS!$A$4:A$801,0),5))))</f>
        <v>15.034979999999999</v>
      </c>
      <c r="H118" s="276">
        <f>(IF($A118="SINAPI",INDEX(SINAPI_NOV2020_NDES!$A$7:$H$6703,MATCH($B118,SINAPI_NOV2020_NDES!$A$7:$A$6703,0),7),(INDEX(COMPOS!$A$4:$G$801,MATCH($B118,COMPOS!$A$4:A$801,0),6))))</f>
        <v>0</v>
      </c>
      <c r="I118" s="276">
        <f>SUM(F118:H118)</f>
        <v>33.439979999999998</v>
      </c>
      <c r="J118" s="276">
        <f>+I118*E118</f>
        <v>779.15153399999997</v>
      </c>
      <c r="K118" s="255"/>
      <c r="L118" s="255"/>
      <c r="M118" s="255"/>
      <c r="N118" s="255"/>
      <c r="O118" s="257"/>
    </row>
    <row r="119" spans="1:16" s="88" customFormat="1" ht="24" customHeight="1">
      <c r="A119" s="680" t="s">
        <v>6927</v>
      </c>
      <c r="B119" s="680"/>
      <c r="C119" s="680"/>
      <c r="D119" s="680"/>
      <c r="E119" s="680"/>
      <c r="F119" s="680"/>
      <c r="G119" s="680"/>
      <c r="H119" s="680"/>
      <c r="I119" s="680"/>
      <c r="J119" s="281">
        <f>SUM(J116:J118)</f>
        <v>1867.9140339999999</v>
      </c>
      <c r="K119" s="255"/>
      <c r="L119" s="255"/>
      <c r="M119" s="255"/>
      <c r="N119" s="255"/>
      <c r="O119" s="255"/>
      <c r="P119" s="223"/>
    </row>
    <row r="120" spans="1:16">
      <c r="A120" s="251"/>
      <c r="B120" s="328">
        <v>180</v>
      </c>
      <c r="C120" s="331" t="s">
        <v>595</v>
      </c>
      <c r="D120" s="274"/>
      <c r="E120" s="276"/>
      <c r="F120" s="276"/>
      <c r="G120" s="276"/>
      <c r="H120" s="276"/>
      <c r="I120" s="276"/>
      <c r="J120" s="276"/>
      <c r="K120" s="255"/>
      <c r="L120" s="255"/>
      <c r="M120" s="255"/>
      <c r="N120" s="255"/>
      <c r="O120" s="255"/>
    </row>
    <row r="121" spans="1:16" ht="24">
      <c r="A121" s="251" t="s">
        <v>7</v>
      </c>
      <c r="B121" s="328">
        <v>91341</v>
      </c>
      <c r="C121" s="329" t="str">
        <f>(IF($A121="SINAPI",INDEX(SINAPI_NOV2020_NDES!$A$7:$H$6703,MATCH($B121,SINAPI_NOV2020_NDES!$A$7:$A$6703,0),2),IF($A121="GOINFRA",INDEX(#REF!,MATCH($B121,#REF!,0),2),(INDEX(COMPOS!$A$4:$G$390,MATCH($B121,COMPOS!$A$4:A$390,0),3)))))</f>
        <v>PORTA EM ALUMÍNIO DE ABRIR TIPO VENEZIANA COM GUARNIÇÃO, FIXAÇÃO COM PARAFUSOS - FORNECIMENTO E INSTALAÇÃO. AF_12/2019</v>
      </c>
      <c r="D121" s="274" t="str">
        <f>(IF($A121="SINAPI",INDEX(SINAPI_NOV2020_NDES!$A$7:$H$6790,MATCH($B121,SINAPI_NOV2020_NDES!$A$7:$A$6790,0),3),(INDEX(COMPOS!$A$4:$G$5000,MATCH($B121,COMPOS!$A$4:$A$5000,0),3))))</f>
        <v>M2</v>
      </c>
      <c r="E121" s="276">
        <v>4.83</v>
      </c>
      <c r="F121" s="279">
        <f>(IF($A121="SINAPI",INDEX(SINAPI_NOV2020_NDES!$A$7:$H$6703,MATCH($B121,SINAPI_NOV2020_NDES!$A$7:$A$6703,0),5),(INDEX(COMPOS!$A$4:$G$801,MATCH($B121,COMPOS!$A$4:A$801,0),4))))</f>
        <v>8.56</v>
      </c>
      <c r="G121" s="280">
        <f>(IF($A121="SINAPI",INDEX(SINAPI_NOV2020_NDES!$A$7:$H$6703,MATCH($B121,SINAPI_NOV2020_NDES!$A$7:$A$6703,0),6),(INDEX(COMPOS!$A$4:$G$801,MATCH($B121,COMPOS!$A$4:A$801,0),5))))</f>
        <v>463.33</v>
      </c>
      <c r="H121" s="280">
        <f>(IF($A121="SINAPI",INDEX(SINAPI_NOV2020_NDES!$A$7:$H$6703,MATCH($B121,SINAPI_NOV2020_NDES!$A$7:$A$6703,0),7),(INDEX(COMPOS!$A$4:$G$801,MATCH($B121,COMPOS!$A$4:A$801,0),6))))</f>
        <v>0</v>
      </c>
      <c r="I121" s="279">
        <f t="shared" ref="I121" si="34">SUM(F121:H121)</f>
        <v>471.89</v>
      </c>
      <c r="J121" s="276">
        <f t="shared" ref="J121" si="35">+I121*E121</f>
        <v>2279.2287000000001</v>
      </c>
      <c r="K121" s="255"/>
      <c r="L121" s="255"/>
      <c r="M121" s="255"/>
      <c r="N121" s="255"/>
      <c r="O121" s="257"/>
    </row>
    <row r="122" spans="1:16" ht="36">
      <c r="A122" s="251" t="s">
        <v>7</v>
      </c>
      <c r="B122" s="328">
        <v>94569</v>
      </c>
      <c r="C122" s="329" t="str">
        <f>(IF($A122="SINAPI",INDEX(SINAPI_NOV2020_NDES!$A$7:$H$6703,MATCH($B122,SINAPI_NOV2020_NDES!$A$7:$A$6703,0),2),IF($A122="GOINFRA",INDEX(#REF!,MATCH($B122,#REF!,0),2),(INDEX(COMPOS!$A$4:$G$390,MATCH($B122,COMPOS!$A$4:A$390,0),3)))))</f>
        <v>JANELA DE ALUMÍNIO TIPO MAXIM-AR, COM VIDROS, BATENTE E FERRAGENS. EXCLUSIVE ALIZAR, ACABAMENTO E CONTRAMARCO. FORNECIMENTO E INSTALAÇÃO. AF_12/2019</v>
      </c>
      <c r="D122" s="274" t="str">
        <f>(IF($A122="SINAPI",INDEX(SINAPI_NOV2020_NDES!$A$7:$H$6790,MATCH($B122,SINAPI_NOV2020_NDES!$A$7:$A$6790,0),3),(INDEX(COMPOS!$A$4:$G$5000,MATCH($B122,COMPOS!$A$4:$A$5000,0),3))))</f>
        <v>M2</v>
      </c>
      <c r="E122" s="276">
        <v>10.18</v>
      </c>
      <c r="F122" s="276">
        <f>(IF($A122="SINAPI",INDEX(SINAPI_NOV2020_NDES!$A$7:$H$6703,MATCH($B122,SINAPI_NOV2020_NDES!$A$7:$A$6703,0),5),(INDEX(COMPOS!$A$4:$G$801,MATCH($B122,COMPOS!$A$4:A$801,0),4))))</f>
        <v>38.270000000000003</v>
      </c>
      <c r="G122" s="276">
        <f>(IF($A122="SINAPI",INDEX(SINAPI_NOV2020_NDES!$A$7:$H$6703,MATCH($B122,SINAPI_NOV2020_NDES!$A$7:$A$6703,0),6),(INDEX(COMPOS!$A$4:$G$801,MATCH($B122,COMPOS!$A$4:A$801,0),5))))</f>
        <v>268.27999999999997</v>
      </c>
      <c r="H122" s="276">
        <f>(IF($A122="SINAPI",INDEX(SINAPI_NOV2020_NDES!$A$7:$H$6703,MATCH($B122,SINAPI_NOV2020_NDES!$A$7:$A$6703,0),7),(INDEX(COMPOS!$A$4:$G$801,MATCH($B122,COMPOS!$A$4:A$801,0),6))))</f>
        <v>0</v>
      </c>
      <c r="I122" s="276">
        <f>SUM(F122:H122)</f>
        <v>306.54999999999995</v>
      </c>
      <c r="J122" s="276">
        <f>+I122*E122</f>
        <v>3120.6789999999996</v>
      </c>
      <c r="K122" s="255"/>
      <c r="L122" s="255"/>
      <c r="M122" s="255"/>
      <c r="N122" s="255"/>
      <c r="O122" s="257"/>
    </row>
    <row r="123" spans="1:16" s="88" customFormat="1" ht="24" customHeight="1">
      <c r="A123" s="680" t="s">
        <v>6927</v>
      </c>
      <c r="B123" s="680"/>
      <c r="C123" s="680"/>
      <c r="D123" s="680"/>
      <c r="E123" s="680"/>
      <c r="F123" s="680"/>
      <c r="G123" s="680"/>
      <c r="H123" s="680"/>
      <c r="I123" s="680"/>
      <c r="J123" s="281">
        <f>SUM(J121:J122)</f>
        <v>5399.9076999999997</v>
      </c>
      <c r="K123" s="255"/>
      <c r="L123" s="255"/>
      <c r="M123" s="255"/>
      <c r="N123" s="255"/>
      <c r="O123" s="255"/>
      <c r="P123" s="223"/>
    </row>
    <row r="124" spans="1:16">
      <c r="A124" s="251"/>
      <c r="B124" s="328">
        <v>181</v>
      </c>
      <c r="C124" s="331" t="s">
        <v>594</v>
      </c>
      <c r="D124" s="274"/>
      <c r="E124" s="276"/>
      <c r="F124" s="276"/>
      <c r="G124" s="276"/>
      <c r="H124" s="276"/>
      <c r="I124" s="276"/>
      <c r="J124" s="276"/>
      <c r="K124" s="255"/>
      <c r="L124" s="255"/>
      <c r="M124" s="255"/>
      <c r="N124" s="255"/>
      <c r="O124" s="255"/>
    </row>
    <row r="125" spans="1:16">
      <c r="A125" s="251" t="s">
        <v>7</v>
      </c>
      <c r="B125" s="302">
        <v>72117</v>
      </c>
      <c r="C125" s="329" t="str">
        <f>(IF($A125="SINAPI",INDEX(SINAPI_NOV2020_NDES!$A$7:$H$6703,MATCH($B125,SINAPI_NOV2020_NDES!$A$7:$A$6703,0),2),IF($A125="GOINFRA",INDEX(#REF!,MATCH($B125,#REF!,0),2),(INDEX(COMPOS!$A$4:$G$390,MATCH($B125,COMPOS!$A$4:A$390,0),3)))))</f>
        <v>VIDRO LISO COMUM TRANSPARENTE, ESPESSURA 4MM</v>
      </c>
      <c r="D125" s="274" t="str">
        <f>(IF($A125="SINAPI",INDEX(SINAPI_NOV2020_NDES!$A$7:$H$6790,MATCH($B125,SINAPI_NOV2020_NDES!$A$7:$A$6790,0),3),(INDEX(COMPOS!$A$4:$G$5000,MATCH($B125,COMPOS!$A$4:$A$5000,0),3))))</f>
        <v>M2</v>
      </c>
      <c r="E125" s="276">
        <v>10.18</v>
      </c>
      <c r="F125" s="276">
        <f>(IF($A125="SINAPI",INDEX(SINAPI_NOV2020_NDES!$A$7:$H$6703,MATCH($B125,SINAPI_NOV2020_NDES!$A$7:$A$6703,0),5),(INDEX(COMPOS!$A$4:$G$801,MATCH($B125,COMPOS!$A$4:A$801,0),4))))</f>
        <v>11.8</v>
      </c>
      <c r="G125" s="276">
        <f>(IF($A125="SINAPI",INDEX(SINAPI_NOV2020_NDES!$A$7:$H$6703,MATCH($B125,SINAPI_NOV2020_NDES!$A$7:$A$6703,0),6),(INDEX(COMPOS!$A$4:$G$801,MATCH($B125,COMPOS!$A$4:A$801,0),5))))</f>
        <v>171.51</v>
      </c>
      <c r="H125" s="276">
        <f>(IF($A125="SINAPI",INDEX(SINAPI_NOV2020_NDES!$A$7:$H$6703,MATCH($B125,SINAPI_NOV2020_NDES!$A$7:$A$6703,0),7),(INDEX(COMPOS!$A$4:$G$801,MATCH($B125,COMPOS!$A$4:A$801,0),6))))</f>
        <v>0</v>
      </c>
      <c r="I125" s="276">
        <f>SUM(F125:H125)</f>
        <v>183.31</v>
      </c>
      <c r="J125" s="276">
        <f>+I125*E125</f>
        <v>1866.0958000000001</v>
      </c>
      <c r="K125" s="255"/>
      <c r="L125" s="255"/>
      <c r="M125" s="255"/>
      <c r="N125" s="255"/>
      <c r="O125" s="257"/>
    </row>
    <row r="126" spans="1:16" s="88" customFormat="1" ht="24" customHeight="1">
      <c r="A126" s="680" t="s">
        <v>6927</v>
      </c>
      <c r="B126" s="680"/>
      <c r="C126" s="680"/>
      <c r="D126" s="680"/>
      <c r="E126" s="680"/>
      <c r="F126" s="680"/>
      <c r="G126" s="680"/>
      <c r="H126" s="680"/>
      <c r="I126" s="680"/>
      <c r="J126" s="281">
        <f>SUM(J125)</f>
        <v>1866.0958000000001</v>
      </c>
      <c r="K126" s="255"/>
      <c r="L126" s="255"/>
      <c r="M126" s="255"/>
      <c r="N126" s="255"/>
      <c r="O126" s="255"/>
      <c r="P126" s="223"/>
    </row>
    <row r="127" spans="1:16">
      <c r="A127" s="251"/>
      <c r="B127" s="328">
        <v>182</v>
      </c>
      <c r="C127" s="331" t="s">
        <v>593</v>
      </c>
      <c r="D127" s="274"/>
      <c r="E127" s="276"/>
      <c r="F127" s="276"/>
      <c r="G127" s="276"/>
      <c r="H127" s="276"/>
      <c r="I127" s="276"/>
      <c r="J127" s="276"/>
      <c r="K127" s="255"/>
      <c r="L127" s="255"/>
      <c r="M127" s="255"/>
      <c r="N127" s="255"/>
      <c r="O127" s="255"/>
    </row>
    <row r="128" spans="1:16" ht="36">
      <c r="A128" s="251" t="s">
        <v>7</v>
      </c>
      <c r="B128" s="328">
        <v>87879</v>
      </c>
      <c r="C128" s="329" t="str">
        <f>(IF($A128="SINAPI",INDEX(SINAPI_NOV2020_NDES!$A$7:$H$6703,MATCH($B128,SINAPI_NOV2020_NDES!$A$7:$A$6703,0),2),IF($A128="GOINFRA",INDEX(#REF!,MATCH($B128,#REF!,0),2),(INDEX(COMPOS!$A$4:$G$390,MATCH($B128,COMPOS!$A$4:A$390,0),3)))))</f>
        <v>CHAPISCO APLICADO EM ALVENARIAS E ESTRUTURAS DE CONCRETO INTERNAS, COM COLHER DE PEDREIRO.  ARGAMASSA TRAÇO 1:3 COM PREPARO EM BETONEIRA 400L. AF_06/2014</v>
      </c>
      <c r="D128" s="274" t="str">
        <f>(IF($A128="SINAPI",INDEX(SINAPI_NOV2020_NDES!$A$7:$H$6790,MATCH($B128,SINAPI_NOV2020_NDES!$A$7:$A$6790,0),3),(INDEX(COMPOS!$A$4:$G$5000,MATCH($B128,COMPOS!$A$4:$A$5000,0),3))))</f>
        <v>M2</v>
      </c>
      <c r="E128" s="276">
        <v>25.09</v>
      </c>
      <c r="F128" s="279">
        <f>(IF($A128="SINAPI",INDEX(SINAPI_NOV2020_NDES!$A$7:$H$6703,MATCH($B128,SINAPI_NOV2020_NDES!$A$7:$A$6703,0),5),(INDEX(COMPOS!$A$4:$G$801,MATCH($B128,COMPOS!$A$4:A$801,0),4))))</f>
        <v>1.67</v>
      </c>
      <c r="G128" s="280">
        <f>(IF($A128="SINAPI",INDEX(SINAPI_NOV2020_NDES!$A$7:$H$6703,MATCH($B128,SINAPI_NOV2020_NDES!$A$7:$A$6703,0),6),(INDEX(COMPOS!$A$4:$G$801,MATCH($B128,COMPOS!$A$4:A$801,0),5))))</f>
        <v>1.74</v>
      </c>
      <c r="H128" s="280">
        <f>(IF($A128="SINAPI",INDEX(SINAPI_NOV2020_NDES!$A$7:$H$6703,MATCH($B128,SINAPI_NOV2020_NDES!$A$7:$A$6703,0),7),(INDEX(COMPOS!$A$4:$G$801,MATCH($B128,COMPOS!$A$4:A$801,0),6))))</f>
        <v>0</v>
      </c>
      <c r="I128" s="279">
        <f t="shared" ref="I128" si="36">SUM(F128:H128)</f>
        <v>3.41</v>
      </c>
      <c r="J128" s="276">
        <f t="shared" ref="J128" si="37">+I128*E128</f>
        <v>85.556899999999999</v>
      </c>
      <c r="K128" s="255"/>
      <c r="L128" s="255"/>
      <c r="M128" s="255"/>
      <c r="N128" s="255"/>
      <c r="O128" s="257"/>
    </row>
    <row r="129" spans="1:1008" ht="36">
      <c r="A129" s="251" t="s">
        <v>7</v>
      </c>
      <c r="B129" s="328">
        <v>87894</v>
      </c>
      <c r="C129" s="329" t="str">
        <f>(IF($A129="SINAPI",INDEX(SINAPI_NOV2020_NDES!$A$7:$H$6703,MATCH($B129,SINAPI_NOV2020_NDES!$A$7:$A$6703,0),2),IF($A129="GOINFRA",INDEX(#REF!,MATCH($B129,#REF!,0),2),(INDEX(COMPOS!$A$4:$G$390,MATCH($B129,COMPOS!$A$4:A$390,0),3)))))</f>
        <v>CHAPISCO APLICADO EM ALVENARIA (SEM PRESENÇA DE VÃOS) E ESTRUTURAS DE CONCRETO DE FACHADA, COM COLHER DE PEDREIRO.  ARGAMASSA TRAÇO 1:3 COM PREPARO EM BETONEIRA 400L. AF_06/2014</v>
      </c>
      <c r="D129" s="274" t="str">
        <f>(IF($A129="SINAPI",INDEX(SINAPI_NOV2020_NDES!$A$7:$H$6790,MATCH($B129,SINAPI_NOV2020_NDES!$A$7:$A$6790,0),3),(INDEX(COMPOS!$A$4:$G$5000,MATCH($B129,COMPOS!$A$4:$A$5000,0),3))))</f>
        <v>M2</v>
      </c>
      <c r="E129" s="276">
        <v>40.36</v>
      </c>
      <c r="F129" s="279">
        <f>(IF($A129="SINAPI",INDEX(SINAPI_NOV2020_NDES!$A$7:$H$6703,MATCH($B129,SINAPI_NOV2020_NDES!$A$7:$A$6703,0),5),(INDEX(COMPOS!$A$4:$G$801,MATCH($B129,COMPOS!$A$4:A$801,0),4))))</f>
        <v>3.2</v>
      </c>
      <c r="G129" s="280">
        <f>(IF($A129="SINAPI",INDEX(SINAPI_NOV2020_NDES!$A$7:$H$6703,MATCH($B129,SINAPI_NOV2020_NDES!$A$7:$A$6703,0),6),(INDEX(COMPOS!$A$4:$G$801,MATCH($B129,COMPOS!$A$4:A$801,0),5))))</f>
        <v>2.2200000000000002</v>
      </c>
      <c r="H129" s="280">
        <f>(IF($A129="SINAPI",INDEX(SINAPI_NOV2020_NDES!$A$7:$H$6703,MATCH($B129,SINAPI_NOV2020_NDES!$A$7:$A$6703,0),7),(INDEX(COMPOS!$A$4:$G$801,MATCH($B129,COMPOS!$A$4:A$801,0),6))))</f>
        <v>0</v>
      </c>
      <c r="I129" s="279">
        <f t="shared" ref="I129:I134" si="38">SUM(F129:H129)</f>
        <v>5.42</v>
      </c>
      <c r="J129" s="276">
        <f t="shared" ref="J129:J134" si="39">+I129*E129</f>
        <v>218.75119999999998</v>
      </c>
      <c r="K129" s="255"/>
      <c r="L129" s="255"/>
      <c r="M129" s="255"/>
      <c r="N129" s="255"/>
      <c r="O129" s="257"/>
    </row>
    <row r="130" spans="1:1008" ht="48">
      <c r="A130" s="251" t="s">
        <v>7</v>
      </c>
      <c r="B130" s="328">
        <v>87529</v>
      </c>
      <c r="C130" s="329" t="str">
        <f>(IF($A130="SINAPI",INDEX(SINAPI_NOV2020_NDES!$A$7:$H$6703,MATCH($B130,SINAPI_NOV2020_NDES!$A$7:$A$6703,0),2),IF($A130="GOINFRA",INDEX(#REF!,MATCH($B130,#REF!,0),2),(INDEX(COMPOS!$A$4:$G$390,MATCH($B130,COMPOS!$A$4:A$390,0),3)))))</f>
        <v>MASSA ÚNICA, PARA RECEBIMENTO DE PINTURA, EM ARGAMASSA TRAÇO 1:2:8, PREPARO MECÂNICO COM BETONEIRA 400L, APLICADA MANUALMENTE EM FACES INTERNAS DE PAREDES, ESPESSURA DE 20MM, COM EXECUÇÃO DE TALISCAS. AF_06/2014</v>
      </c>
      <c r="D130" s="274" t="str">
        <f>(IF($A130="SINAPI",INDEX(SINAPI_NOV2020_NDES!$A$7:$H$6790,MATCH($B130,SINAPI_NOV2020_NDES!$A$7:$A$6790,0),3),(INDEX(COMPOS!$A$4:$G$5000,MATCH($B130,COMPOS!$A$4:$A$5000,0),3))))</f>
        <v>M2</v>
      </c>
      <c r="E130" s="276">
        <v>16.29</v>
      </c>
      <c r="F130" s="279">
        <f>(IF($A130="SINAPI",INDEX(SINAPI_NOV2020_NDES!$A$7:$H$6703,MATCH($B130,SINAPI_NOV2020_NDES!$A$7:$A$6703,0),5),(INDEX(COMPOS!$A$4:$G$801,MATCH($B130,COMPOS!$A$4:A$801,0),4))))</f>
        <v>13.35</v>
      </c>
      <c r="G130" s="280">
        <f>(IF($A130="SINAPI",INDEX(SINAPI_NOV2020_NDES!$A$7:$H$6703,MATCH($B130,SINAPI_NOV2020_NDES!$A$7:$A$6703,0),6),(INDEX(COMPOS!$A$4:$G$801,MATCH($B130,COMPOS!$A$4:A$801,0),5))))</f>
        <v>17.5</v>
      </c>
      <c r="H130" s="280">
        <f>(IF($A130="SINAPI",INDEX(SINAPI_NOV2020_NDES!$A$7:$H$6703,MATCH($B130,SINAPI_NOV2020_NDES!$A$7:$A$6703,0),7),(INDEX(COMPOS!$A$4:$G$801,MATCH($B130,COMPOS!$A$4:A$801,0),6))))</f>
        <v>0.03</v>
      </c>
      <c r="I130" s="279">
        <f t="shared" si="38"/>
        <v>30.880000000000003</v>
      </c>
      <c r="J130" s="276">
        <f t="shared" si="39"/>
        <v>503.03520000000003</v>
      </c>
      <c r="K130" s="255"/>
      <c r="L130" s="255"/>
      <c r="M130" s="255"/>
      <c r="N130" s="255"/>
      <c r="O130" s="257"/>
    </row>
    <row r="131" spans="1:1008" ht="36">
      <c r="A131" s="251" t="s">
        <v>7</v>
      </c>
      <c r="B131" s="328">
        <v>87792</v>
      </c>
      <c r="C131" s="329" t="str">
        <f>(IF($A131="SINAPI",INDEX(SINAPI_NOV2020_NDES!$A$7:$H$6703,MATCH($B131,SINAPI_NOV2020_NDES!$A$7:$A$6703,0),2),IF($A131="GOINFRA",INDEX(#REF!,MATCH($B131,#REF!,0),2),(INDEX(COMPOS!$A$4:$G$390,MATCH($B131,COMPOS!$A$4:A$390,0),3)))))</f>
        <v>EMBOÇO OU MASSA ÚNICA EM ARGAMASSA TRAÇO 1:2:8, PREPARO MECÂNICO COM BETONEIRA 400 L, APLICADA MANUALMENTE EM PANOS CEGOS DE FACHADA (SEM PRESENÇA DE VÃOS), ESPESSURA DE 25 MM. AF_06/2014</v>
      </c>
      <c r="D131" s="274" t="str">
        <f>(IF($A131="SINAPI",INDEX(SINAPI_NOV2020_NDES!$A$7:$H$6790,MATCH($B131,SINAPI_NOV2020_NDES!$A$7:$A$6790,0),3),(INDEX(COMPOS!$A$4:$G$5000,MATCH($B131,COMPOS!$A$4:$A$5000,0),3))))</f>
        <v>M2</v>
      </c>
      <c r="E131" s="276">
        <v>40.36</v>
      </c>
      <c r="F131" s="279">
        <f>(IF($A131="SINAPI",INDEX(SINAPI_NOV2020_NDES!$A$7:$H$6703,MATCH($B131,SINAPI_NOV2020_NDES!$A$7:$A$6703,0),5),(INDEX(COMPOS!$A$4:$G$801,MATCH($B131,COMPOS!$A$4:A$801,0),4))))</f>
        <v>13.83</v>
      </c>
      <c r="G131" s="280">
        <f>(IF($A131="SINAPI",INDEX(SINAPI_NOV2020_NDES!$A$7:$H$6703,MATCH($B131,SINAPI_NOV2020_NDES!$A$7:$A$6703,0),6),(INDEX(COMPOS!$A$4:$G$801,MATCH($B131,COMPOS!$A$4:A$801,0),5))))</f>
        <v>16.88</v>
      </c>
      <c r="H131" s="280">
        <f>(IF($A131="SINAPI",INDEX(SINAPI_NOV2020_NDES!$A$7:$H$6703,MATCH($B131,SINAPI_NOV2020_NDES!$A$7:$A$6703,0),7),(INDEX(COMPOS!$A$4:$G$801,MATCH($B131,COMPOS!$A$4:A$801,0),6))))</f>
        <v>0.02</v>
      </c>
      <c r="I131" s="279">
        <f t="shared" si="38"/>
        <v>30.73</v>
      </c>
      <c r="J131" s="276">
        <f t="shared" si="39"/>
        <v>1240.2628</v>
      </c>
      <c r="K131" s="255"/>
      <c r="L131" s="255"/>
      <c r="M131" s="255"/>
      <c r="N131" s="255"/>
      <c r="O131" s="257"/>
    </row>
    <row r="132" spans="1:1008" ht="48">
      <c r="A132" s="251" t="s">
        <v>7</v>
      </c>
      <c r="B132" s="328">
        <v>87531</v>
      </c>
      <c r="C132" s="329" t="str">
        <f>(IF($A132="SINAPI",INDEX(SINAPI_NOV2020_NDES!$A$7:$H$6703,MATCH($B132,SINAPI_NOV2020_NDES!$A$7:$A$6703,0),2),IF($A132="GOINFRA",INDEX(#REF!,MATCH($B132,#REF!,0),2),(INDEX(COMPOS!$A$4:$G$390,MATCH($B132,COMPOS!$A$4:A$390,0),3)))))</f>
        <v>EMBOÇO, PARA RECEBIMENTO DE CERÂMICA, EM ARGAMASSA TRAÇO 1:2:8, PREPARO MECÂNICO COM BETONEIRA 400L, APLICADO MANUALMENTE EM FACES INTERNAS DE PAREDES, PARA AMBIENTE COM ÁREA ENTRE 5M2 E 10M2, ESPESSURA DE 20MM, COM EXECUÇÃO DE TALISCAS. AF_06/2014</v>
      </c>
      <c r="D132" s="274" t="str">
        <f>(IF($A132="SINAPI",INDEX(SINAPI_NOV2020_NDES!$A$7:$H$6790,MATCH($B132,SINAPI_NOV2020_NDES!$A$7:$A$6790,0),3),(INDEX(COMPOS!$A$4:$G$5000,MATCH($B132,COMPOS!$A$4:$A$5000,0),3))))</f>
        <v>M2</v>
      </c>
      <c r="E132" s="276">
        <v>8.8000000000000007</v>
      </c>
      <c r="F132" s="279">
        <f>(IF($A132="SINAPI",INDEX(SINAPI_NOV2020_NDES!$A$7:$H$6703,MATCH($B132,SINAPI_NOV2020_NDES!$A$7:$A$6703,0),5),(INDEX(COMPOS!$A$4:$G$801,MATCH($B132,COMPOS!$A$4:A$801,0),4))))</f>
        <v>12.55</v>
      </c>
      <c r="G132" s="280">
        <f>(IF($A132="SINAPI",INDEX(SINAPI_NOV2020_NDES!$A$7:$H$6703,MATCH($B132,SINAPI_NOV2020_NDES!$A$7:$A$6703,0),6),(INDEX(COMPOS!$A$4:$G$801,MATCH($B132,COMPOS!$A$4:A$801,0),5))))</f>
        <v>17.239999999999998</v>
      </c>
      <c r="H132" s="280">
        <f>(IF($A132="SINAPI",INDEX(SINAPI_NOV2020_NDES!$A$7:$H$6703,MATCH($B132,SINAPI_NOV2020_NDES!$A$7:$A$6703,0),7),(INDEX(COMPOS!$A$4:$G$801,MATCH($B132,COMPOS!$A$4:A$801,0),6))))</f>
        <v>0.03</v>
      </c>
      <c r="I132" s="279">
        <f t="shared" si="38"/>
        <v>29.82</v>
      </c>
      <c r="J132" s="276">
        <f t="shared" si="39"/>
        <v>262.416</v>
      </c>
      <c r="K132" s="255"/>
      <c r="L132" s="255"/>
      <c r="M132" s="255"/>
      <c r="N132" s="255"/>
      <c r="O132" s="257"/>
    </row>
    <row r="133" spans="1:1008" ht="36">
      <c r="A133" s="251" t="s">
        <v>7</v>
      </c>
      <c r="B133" s="328">
        <v>87242</v>
      </c>
      <c r="C133" s="329" t="str">
        <f>(IF($A133="SINAPI",INDEX(SINAPI_NOV2020_NDES!$A$7:$H$6703,MATCH($B133,SINAPI_NOV2020_NDES!$A$7:$A$6703,0),2),IF($A133="GOINFRA",INDEX(#REF!,MATCH($B133,#REF!,0),2),(INDEX(COMPOS!$A$4:$G$390,MATCH($B133,COMPOS!$A$4:A$390,0),3)))))</f>
        <v>REVESTIMENTO CERÂMICO PARA PAREDES EXTERNAS EM PASTILHAS DE PORCELANA 5 X 5 CM (PLACAS DE 30 X 30 CM), ALINHADAS A PRUMO, APLICADO EM PANOS COM VÃOS. AF_06/2014</v>
      </c>
      <c r="D133" s="274" t="str">
        <f>(IF($A133="SINAPI",INDEX(SINAPI_NOV2020_NDES!$A$7:$H$6790,MATCH($B133,SINAPI_NOV2020_NDES!$A$7:$A$6790,0),3),(INDEX(COMPOS!$A$4:$G$5000,MATCH($B133,COMPOS!$A$4:$A$5000,0),3))))</f>
        <v>M2</v>
      </c>
      <c r="E133" s="276">
        <v>25.85</v>
      </c>
      <c r="F133" s="279">
        <f>(IF($A133="SINAPI",INDEX(SINAPI_NOV2020_NDES!$A$7:$H$6703,MATCH($B133,SINAPI_NOV2020_NDES!$A$7:$A$6703,0),5),(INDEX(COMPOS!$A$4:$G$801,MATCH($B133,COMPOS!$A$4:A$801,0),4))))</f>
        <v>28.88</v>
      </c>
      <c r="G133" s="280">
        <f>(IF($A133="SINAPI",INDEX(SINAPI_NOV2020_NDES!$A$7:$H$6703,MATCH($B133,SINAPI_NOV2020_NDES!$A$7:$A$6703,0),6),(INDEX(COMPOS!$A$4:$G$801,MATCH($B133,COMPOS!$A$4:A$801,0),5))))</f>
        <v>145.18</v>
      </c>
      <c r="H133" s="280">
        <f>(IF($A133="SINAPI",INDEX(SINAPI_NOV2020_NDES!$A$7:$H$6703,MATCH($B133,SINAPI_NOV2020_NDES!$A$7:$A$6703,0),7),(INDEX(COMPOS!$A$4:$G$801,MATCH($B133,COMPOS!$A$4:A$801,0),6))))</f>
        <v>0</v>
      </c>
      <c r="I133" s="279">
        <f t="shared" si="38"/>
        <v>174.06</v>
      </c>
      <c r="J133" s="276">
        <f t="shared" si="39"/>
        <v>4499.451</v>
      </c>
      <c r="K133" s="255"/>
      <c r="L133" s="255"/>
      <c r="M133" s="255"/>
      <c r="N133" s="255"/>
      <c r="O133" s="257"/>
    </row>
    <row r="134" spans="1:1008" ht="36">
      <c r="A134" s="251" t="s">
        <v>7</v>
      </c>
      <c r="B134" s="328">
        <v>87267</v>
      </c>
      <c r="C134" s="329" t="str">
        <f>(IF($A134="SINAPI",INDEX(SINAPI_NOV2020_NDES!$A$7:$H$6703,MATCH($B134,SINAPI_NOV2020_NDES!$A$7:$A$6703,0),2),IF($A134="GOINFRA",INDEX(#REF!,MATCH($B134,#REF!,0),2),(INDEX(COMPOS!$A$4:$G$390,MATCH($B134,COMPOS!$A$4:A$390,0),3)))))</f>
        <v>REVESTIMENTO CERÂMICO PARA PAREDES INTERNAS COM PLACAS TIPO ESMALTADA EXTRA DE DIMENSÕES 20X20 CM APLICADAS EM AMBIENTES DE ÁREA MAIOR QUE 5 M² A MEIA ALTURA DAS PAREDES. AF_06/2014</v>
      </c>
      <c r="D134" s="274" t="str">
        <f>(IF($A134="SINAPI",INDEX(SINAPI_NOV2020_NDES!$A$7:$H$6790,MATCH($B134,SINAPI_NOV2020_NDES!$A$7:$A$6790,0),3),(INDEX(COMPOS!$A$4:$G$5000,MATCH($B134,COMPOS!$A$4:$A$5000,0),3))))</f>
        <v>M2</v>
      </c>
      <c r="E134" s="276">
        <v>8.8000000000000007</v>
      </c>
      <c r="F134" s="279">
        <f>(IF($A134="SINAPI",INDEX(SINAPI_NOV2020_NDES!$A$7:$H$6703,MATCH($B134,SINAPI_NOV2020_NDES!$A$7:$A$6703,0),5),(INDEX(COMPOS!$A$4:$G$801,MATCH($B134,COMPOS!$A$4:A$801,0),4))))</f>
        <v>15.86</v>
      </c>
      <c r="G134" s="280">
        <f>(IF($A134="SINAPI",INDEX(SINAPI_NOV2020_NDES!$A$7:$H$6703,MATCH($B134,SINAPI_NOV2020_NDES!$A$7:$A$6703,0),6),(INDEX(COMPOS!$A$4:$G$801,MATCH($B134,COMPOS!$A$4:A$801,0),5))))</f>
        <v>27.49</v>
      </c>
      <c r="H134" s="280">
        <f>(IF($A134="SINAPI",INDEX(SINAPI_NOV2020_NDES!$A$7:$H$6703,MATCH($B134,SINAPI_NOV2020_NDES!$A$7:$A$6703,0),7),(INDEX(COMPOS!$A$4:$G$801,MATCH($B134,COMPOS!$A$4:A$801,0),6))))</f>
        <v>0</v>
      </c>
      <c r="I134" s="279">
        <f t="shared" si="38"/>
        <v>43.349999999999994</v>
      </c>
      <c r="J134" s="276">
        <f t="shared" si="39"/>
        <v>381.47999999999996</v>
      </c>
      <c r="K134" s="255"/>
      <c r="L134" s="255"/>
      <c r="M134" s="255"/>
      <c r="N134" s="255"/>
      <c r="O134" s="257"/>
    </row>
    <row r="135" spans="1:1008" s="88" customFormat="1" ht="24" customHeight="1">
      <c r="A135" s="680" t="s">
        <v>6927</v>
      </c>
      <c r="B135" s="680"/>
      <c r="C135" s="680"/>
      <c r="D135" s="680"/>
      <c r="E135" s="680"/>
      <c r="F135" s="680"/>
      <c r="G135" s="680"/>
      <c r="H135" s="680"/>
      <c r="I135" s="680"/>
      <c r="J135" s="281">
        <f>SUM(J128:J134)</f>
        <v>7190.9530999999997</v>
      </c>
      <c r="K135" s="255"/>
      <c r="L135" s="255"/>
      <c r="M135" s="255"/>
      <c r="N135" s="255"/>
      <c r="O135" s="255"/>
      <c r="P135" s="223"/>
    </row>
    <row r="136" spans="1:1008">
      <c r="A136" s="251"/>
      <c r="B136" s="328">
        <v>183</v>
      </c>
      <c r="C136" s="331" t="s">
        <v>592</v>
      </c>
      <c r="D136" s="274"/>
      <c r="E136" s="276"/>
      <c r="F136" s="276"/>
      <c r="G136" s="276"/>
      <c r="H136" s="276"/>
      <c r="I136" s="276"/>
      <c r="J136" s="276"/>
      <c r="K136" s="255"/>
      <c r="L136" s="255"/>
      <c r="M136" s="255"/>
      <c r="N136" s="255"/>
      <c r="O136" s="255"/>
    </row>
    <row r="137" spans="1:1008" ht="36">
      <c r="A137" s="251" t="s">
        <v>7</v>
      </c>
      <c r="B137" s="328">
        <v>87882</v>
      </c>
      <c r="C137" s="329" t="str">
        <f>(IF($A137="SINAPI",INDEX(SINAPI_NOV2020_NDES!$A$7:$H$6703,MATCH($B137,SINAPI_NOV2020_NDES!$A$7:$A$6703,0),2),IF($A137="GOINFRA",INDEX(#REF!,MATCH($B137,#REF!,0),2),(INDEX(COMPOS!$A$4:$G$390,MATCH($B137,COMPOS!$A$4:A$390,0),3)))))</f>
        <v>CHAPISCO APLICADO NO TETO, COM ROLO PARA TEXTURA ACRÍLICA. ARGAMASSA TRAÇO 1:4 E EMULSÃO POLIMÉRICA (ADESIVO) COM PREPARO EM BETONEIRA 400L. AF_06/2014</v>
      </c>
      <c r="D137" s="274" t="str">
        <f>(IF($A137="SINAPI",INDEX(SINAPI_NOV2020_NDES!$A$7:$H$6790,MATCH($B137,SINAPI_NOV2020_NDES!$A$7:$A$6790,0),3),(INDEX(COMPOS!$A$4:$G$5000,MATCH($B137,COMPOS!$A$4:$A$5000,0),3))))</f>
        <v>M2</v>
      </c>
      <c r="E137" s="276">
        <v>18.23</v>
      </c>
      <c r="F137" s="279">
        <f>(IF($A137="SINAPI",INDEX(SINAPI_NOV2020_NDES!$A$7:$H$6703,MATCH($B137,SINAPI_NOV2020_NDES!$A$7:$A$6703,0),5),(INDEX(COMPOS!$A$4:$G$801,MATCH($B137,COMPOS!$A$4:A$801,0),4))))</f>
        <v>0.82</v>
      </c>
      <c r="G137" s="280">
        <f>(IF($A137="SINAPI",INDEX(SINAPI_NOV2020_NDES!$A$7:$H$6703,MATCH($B137,SINAPI_NOV2020_NDES!$A$7:$A$6703,0),6),(INDEX(COMPOS!$A$4:$G$801,MATCH($B137,COMPOS!$A$4:A$801,0),5))))</f>
        <v>3.11</v>
      </c>
      <c r="H137" s="280">
        <f>(IF($A137="SINAPI",INDEX(SINAPI_NOV2020_NDES!$A$7:$H$6703,MATCH($B137,SINAPI_NOV2020_NDES!$A$7:$A$6703,0),7),(INDEX(COMPOS!$A$4:$G$801,MATCH($B137,COMPOS!$A$4:A$801,0),6))))</f>
        <v>0</v>
      </c>
      <c r="I137" s="279">
        <f t="shared" ref="I137" si="40">SUM(F137:H137)</f>
        <v>3.9299999999999997</v>
      </c>
      <c r="J137" s="276">
        <f t="shared" ref="J137" si="41">+I137*E137</f>
        <v>71.643900000000002</v>
      </c>
      <c r="K137" s="255"/>
      <c r="L137" s="255"/>
      <c r="M137" s="255"/>
      <c r="N137" s="255"/>
      <c r="O137" s="257"/>
    </row>
    <row r="138" spans="1:1008" ht="36">
      <c r="A138" s="251" t="s">
        <v>7</v>
      </c>
      <c r="B138" s="328">
        <v>90406</v>
      </c>
      <c r="C138" s="329" t="str">
        <f>(IF($A138="SINAPI",INDEX(SINAPI_NOV2020_NDES!$A$7:$H$6703,MATCH($B138,SINAPI_NOV2020_NDES!$A$7:$A$6703,0),2),IF($A138="GOINFRA",INDEX(#REF!,MATCH($B138,#REF!,0),2),(INDEX(COMPOS!$A$4:$G$390,MATCH($B138,COMPOS!$A$4:A$390,0),3)))))</f>
        <v>MASSA ÚNICA, PARA RECEBIMENTO DE PINTURA, EM ARGAMASSA TRAÇO 1:2:8, PREPARO MECÂNICO COM BETONEIRA 400L, APLICADA MANUALMENTE EM TETO, ESPESSURA DE 20MM, COM EXECUÇÃO DE TALISCAS. AF_03/2015</v>
      </c>
      <c r="D138" s="274" t="str">
        <f>(IF($A138="SINAPI",INDEX(SINAPI_NOV2020_NDES!$A$7:$H$6790,MATCH($B138,SINAPI_NOV2020_NDES!$A$7:$A$6790,0),3),(INDEX(COMPOS!$A$4:$G$5000,MATCH($B138,COMPOS!$A$4:$A$5000,0),3))))</f>
        <v>M2</v>
      </c>
      <c r="E138" s="276">
        <v>18.23</v>
      </c>
      <c r="F138" s="279">
        <f>(IF($A138="SINAPI",INDEX(SINAPI_NOV2020_NDES!$A$7:$H$6703,MATCH($B138,SINAPI_NOV2020_NDES!$A$7:$A$6703,0),5),(INDEX(COMPOS!$A$4:$G$801,MATCH($B138,COMPOS!$A$4:A$801,0),4))))</f>
        <v>20.13</v>
      </c>
      <c r="G138" s="280">
        <f>(IF($A138="SINAPI",INDEX(SINAPI_NOV2020_NDES!$A$7:$H$6703,MATCH($B138,SINAPI_NOV2020_NDES!$A$7:$A$6703,0),6),(INDEX(COMPOS!$A$4:$G$801,MATCH($B138,COMPOS!$A$4:A$801,0),5))))</f>
        <v>19.45</v>
      </c>
      <c r="H138" s="280">
        <f>(IF($A138="SINAPI",INDEX(SINAPI_NOV2020_NDES!$A$7:$H$6703,MATCH($B138,SINAPI_NOV2020_NDES!$A$7:$A$6703,0),7),(INDEX(COMPOS!$A$4:$G$801,MATCH($B138,COMPOS!$A$4:A$801,0),6))))</f>
        <v>0.03</v>
      </c>
      <c r="I138" s="279">
        <f t="shared" ref="I138" si="42">SUM(F138:H138)</f>
        <v>39.61</v>
      </c>
      <c r="J138" s="276">
        <f t="shared" ref="J138" si="43">+I138*E138</f>
        <v>722.09029999999996</v>
      </c>
      <c r="K138" s="255"/>
      <c r="L138" s="255"/>
      <c r="M138" s="255"/>
      <c r="N138" s="255"/>
      <c r="O138" s="257"/>
    </row>
    <row r="139" spans="1:1008" s="88" customFormat="1" ht="24" customHeight="1">
      <c r="A139" s="680" t="s">
        <v>6927</v>
      </c>
      <c r="B139" s="680"/>
      <c r="C139" s="680"/>
      <c r="D139" s="680"/>
      <c r="E139" s="680"/>
      <c r="F139" s="680"/>
      <c r="G139" s="680"/>
      <c r="H139" s="680"/>
      <c r="I139" s="680"/>
      <c r="J139" s="281">
        <f>SUM(J137:J138)</f>
        <v>793.73419999999999</v>
      </c>
      <c r="K139" s="255"/>
      <c r="L139" s="255"/>
      <c r="M139" s="255"/>
      <c r="N139" s="255"/>
      <c r="O139" s="255"/>
      <c r="P139" s="223"/>
    </row>
    <row r="140" spans="1:1008">
      <c r="A140" s="251"/>
      <c r="B140" s="328">
        <v>184</v>
      </c>
      <c r="C140" s="331" t="s">
        <v>591</v>
      </c>
      <c r="D140" s="274"/>
      <c r="E140" s="276"/>
      <c r="F140" s="276"/>
      <c r="G140" s="276"/>
      <c r="H140" s="276"/>
      <c r="I140" s="276"/>
      <c r="J140" s="276"/>
      <c r="K140" s="255"/>
      <c r="L140" s="255"/>
      <c r="M140" s="255"/>
      <c r="N140" s="255"/>
      <c r="O140" s="255"/>
    </row>
    <row r="141" spans="1:1008" s="191" customFormat="1" ht="24">
      <c r="A141" s="251" t="s">
        <v>7</v>
      </c>
      <c r="B141" s="328">
        <v>95241</v>
      </c>
      <c r="C141" s="329" t="str">
        <f>(IF($A141="SINAPI",INDEX(SINAPI_NOV2020_NDES!$A$7:$H$6703,MATCH($B141,SINAPI_NOV2020_NDES!$A$7:$A$6703,0),2),IF($A141="GOINFRA",INDEX(#REF!,MATCH($B141,#REF!,0),2),(INDEX(COMPOS!$A$4:$G$390,MATCH($B141,COMPOS!$A$4:A$390,0),2)))))</f>
        <v>LASTRO DE CONCRETO MAGRO, APLICADO EM PISOS OU RADIERS, ESPESSURA DE 5 CM. AF_07/2016</v>
      </c>
      <c r="D141" s="274" t="str">
        <f>(IF($A141="SINAPI",INDEX(SINAPI_NOV2020_NDES!$A$7:$H$6790,MATCH($B141,SINAPI_NOV2020_NDES!$A$7:$A$6790,0),3),(INDEX(COMPOS!$A$4:$G$5000,MATCH($B141,COMPOS!$A$4:$A$5000,0),3))))</f>
        <v>M2</v>
      </c>
      <c r="E141" s="276">
        <v>11.18</v>
      </c>
      <c r="F141" s="279">
        <f>(IF($A141="SINAPI",INDEX(SINAPI_NOV2020_NDES!$A$7:$H$6703,MATCH($B141,SINAPI_NOV2020_NDES!$A$7:$A$6703,0),5),(INDEX(COMPOS!$A$4:$G$801,MATCH($B141,COMPOS!$A$4:A$801,0),4))))</f>
        <v>8.26</v>
      </c>
      <c r="G141" s="280">
        <f>(IF($A141="SINAPI",INDEX(SINAPI_NOV2020_NDES!$A$7:$H$6703,MATCH($B141,SINAPI_NOV2020_NDES!$A$7:$A$6703,0),6),(INDEX(COMPOS!$A$4:$G$801,MATCH($B141,COMPOS!$A$4:A$801,0),5))))</f>
        <v>16.48</v>
      </c>
      <c r="H141" s="280">
        <f>(IF($A141="SINAPI",INDEX(SINAPI_NOV2020_NDES!$A$7:$H$6703,MATCH($B141,SINAPI_NOV2020_NDES!$A$7:$A$6703,0),7),(INDEX(COMPOS!$A$4:$G$801,MATCH($B141,COMPOS!$A$4:A$801,0),6))))</f>
        <v>0.09</v>
      </c>
      <c r="I141" s="279">
        <f t="shared" ref="I141" si="44">SUM(F141:H141)</f>
        <v>24.830000000000002</v>
      </c>
      <c r="J141" s="276">
        <f t="shared" ref="J141" si="45">+I141*E141</f>
        <v>277.5994</v>
      </c>
      <c r="K141" s="255"/>
      <c r="L141" s="255"/>
      <c r="M141" s="255"/>
      <c r="N141" s="255"/>
      <c r="O141" s="257"/>
      <c r="P141" s="223"/>
      <c r="Q141" s="255"/>
      <c r="R141" s="255"/>
      <c r="S141" s="255"/>
      <c r="T141" s="255"/>
      <c r="U141" s="255"/>
      <c r="V141" s="255"/>
      <c r="W141" s="255"/>
      <c r="X141" s="255"/>
      <c r="Y141" s="255"/>
      <c r="Z141" s="255"/>
      <c r="AA141" s="255"/>
      <c r="AB141" s="255"/>
      <c r="AC141" s="255"/>
      <c r="AD141" s="255"/>
      <c r="AE141" s="255"/>
      <c r="AF141" s="255"/>
      <c r="AG141" s="255"/>
      <c r="AH141" s="255"/>
      <c r="AI141" s="255"/>
      <c r="AJ141" s="255"/>
      <c r="AK141" s="255"/>
      <c r="AL141" s="255"/>
      <c r="AM141" s="255"/>
      <c r="AN141" s="255"/>
      <c r="AO141" s="255"/>
      <c r="AP141" s="255"/>
      <c r="AQ141" s="255"/>
      <c r="AR141" s="255"/>
      <c r="AS141" s="255"/>
      <c r="AT141" s="255"/>
      <c r="AU141" s="255"/>
      <c r="AV141" s="255"/>
      <c r="AW141" s="255"/>
      <c r="AX141" s="255"/>
      <c r="AY141" s="255"/>
      <c r="AZ141" s="255"/>
      <c r="BA141" s="255"/>
      <c r="BB141" s="255"/>
      <c r="BC141" s="255"/>
      <c r="BD141" s="255"/>
      <c r="BE141" s="255"/>
      <c r="BF141" s="255"/>
      <c r="BG141" s="255"/>
      <c r="BH141" s="255"/>
      <c r="BI141" s="255"/>
      <c r="BJ141" s="255"/>
      <c r="BK141" s="255"/>
      <c r="BL141" s="255"/>
      <c r="BM141" s="255"/>
      <c r="BN141" s="255"/>
      <c r="BO141" s="255"/>
      <c r="BP141" s="255"/>
      <c r="BQ141" s="255"/>
      <c r="BR141" s="255"/>
      <c r="BS141" s="255"/>
      <c r="BT141" s="255"/>
      <c r="BU141" s="255"/>
      <c r="BV141" s="255"/>
      <c r="BW141" s="255"/>
      <c r="BX141" s="255"/>
      <c r="BY141" s="255"/>
      <c r="BZ141" s="255"/>
      <c r="CA141" s="255"/>
      <c r="CB141" s="255"/>
      <c r="CC141" s="255"/>
      <c r="CD141" s="255"/>
      <c r="CE141" s="255"/>
      <c r="CF141" s="255"/>
      <c r="CG141" s="255"/>
      <c r="CH141" s="255"/>
      <c r="CI141" s="255"/>
      <c r="CJ141" s="255"/>
      <c r="CK141" s="255"/>
      <c r="CL141" s="255"/>
      <c r="CM141" s="255"/>
      <c r="CN141" s="255"/>
      <c r="CO141" s="255"/>
      <c r="CP141" s="255"/>
      <c r="CQ141" s="255"/>
      <c r="CR141" s="255"/>
      <c r="CS141" s="255"/>
      <c r="CT141" s="255"/>
      <c r="CU141" s="255"/>
      <c r="CV141" s="255"/>
      <c r="CW141" s="255"/>
      <c r="CX141" s="255"/>
      <c r="CY141" s="255"/>
      <c r="CZ141" s="255"/>
      <c r="DA141" s="255"/>
      <c r="DB141" s="255"/>
      <c r="DC141" s="255"/>
      <c r="DD141" s="255"/>
      <c r="DE141" s="255"/>
      <c r="DF141" s="255"/>
      <c r="DG141" s="255"/>
      <c r="DH141" s="255"/>
      <c r="DI141" s="255"/>
      <c r="DJ141" s="255"/>
      <c r="DK141" s="255"/>
      <c r="DL141" s="255"/>
      <c r="DM141" s="255"/>
      <c r="DN141" s="255"/>
      <c r="DO141" s="255"/>
      <c r="DP141" s="255"/>
      <c r="DQ141" s="255"/>
      <c r="DR141" s="255"/>
      <c r="DS141" s="255"/>
      <c r="DT141" s="255"/>
      <c r="DU141" s="255"/>
      <c r="DV141" s="255"/>
      <c r="DW141" s="255"/>
      <c r="DX141" s="255"/>
      <c r="DY141" s="255"/>
      <c r="DZ141" s="255"/>
      <c r="EA141" s="255"/>
      <c r="EB141" s="255"/>
      <c r="EC141" s="255"/>
      <c r="ED141" s="255"/>
      <c r="EE141" s="255"/>
      <c r="EF141" s="255"/>
      <c r="EG141" s="255"/>
      <c r="EH141" s="255"/>
      <c r="EI141" s="255"/>
      <c r="EJ141" s="255"/>
      <c r="EK141" s="255"/>
      <c r="EL141" s="255"/>
      <c r="EM141" s="255"/>
      <c r="EN141" s="255"/>
      <c r="EO141" s="255"/>
      <c r="EP141" s="255"/>
      <c r="EQ141" s="255"/>
      <c r="ER141" s="255"/>
      <c r="ES141" s="255"/>
      <c r="ET141" s="255"/>
      <c r="EU141" s="255"/>
      <c r="EV141" s="255"/>
      <c r="EW141" s="255"/>
      <c r="EX141" s="255"/>
      <c r="EY141" s="255"/>
      <c r="EZ141" s="255"/>
      <c r="FA141" s="255"/>
      <c r="FB141" s="255"/>
      <c r="FC141" s="255"/>
      <c r="FD141" s="255"/>
      <c r="FE141" s="255"/>
      <c r="FF141" s="255"/>
      <c r="FG141" s="255"/>
      <c r="FH141" s="255"/>
      <c r="FI141" s="255"/>
      <c r="FJ141" s="255"/>
      <c r="FK141" s="255"/>
      <c r="FL141" s="255"/>
      <c r="FM141" s="255"/>
      <c r="FN141" s="255"/>
      <c r="FO141" s="255"/>
      <c r="FP141" s="255"/>
      <c r="FQ141" s="255"/>
      <c r="FR141" s="255"/>
      <c r="FS141" s="255"/>
      <c r="FT141" s="255"/>
      <c r="FU141" s="255"/>
      <c r="FV141" s="255"/>
      <c r="FW141" s="255"/>
      <c r="FX141" s="255"/>
      <c r="FY141" s="255"/>
      <c r="FZ141" s="255"/>
      <c r="GA141" s="255"/>
      <c r="GB141" s="255"/>
      <c r="GC141" s="255"/>
      <c r="GD141" s="255"/>
      <c r="GE141" s="255"/>
      <c r="GF141" s="255"/>
      <c r="GG141" s="255"/>
      <c r="GH141" s="255"/>
      <c r="GI141" s="255"/>
      <c r="GJ141" s="255"/>
      <c r="GK141" s="255"/>
      <c r="GL141" s="255"/>
      <c r="GM141" s="255"/>
      <c r="GN141" s="255"/>
      <c r="GO141" s="255"/>
      <c r="GP141" s="255"/>
      <c r="GQ141" s="255"/>
      <c r="GR141" s="255"/>
      <c r="GS141" s="255"/>
      <c r="GT141" s="255"/>
      <c r="GU141" s="255"/>
      <c r="GV141" s="255"/>
      <c r="GW141" s="255"/>
      <c r="GX141" s="255"/>
      <c r="GY141" s="255"/>
      <c r="GZ141" s="255"/>
      <c r="HA141" s="255"/>
      <c r="HB141" s="255"/>
      <c r="HC141" s="255"/>
      <c r="HD141" s="255"/>
      <c r="HE141" s="255"/>
      <c r="HF141" s="255"/>
      <c r="HG141" s="255"/>
      <c r="HH141" s="255"/>
      <c r="HI141" s="255"/>
      <c r="HJ141" s="255"/>
      <c r="HK141" s="255"/>
      <c r="HL141" s="255"/>
      <c r="HM141" s="255"/>
      <c r="HN141" s="255"/>
      <c r="HO141" s="255"/>
      <c r="HP141" s="255"/>
      <c r="HQ141" s="255"/>
      <c r="HR141" s="255"/>
      <c r="HS141" s="255"/>
      <c r="HT141" s="255"/>
      <c r="HU141" s="255"/>
      <c r="HV141" s="255"/>
      <c r="HW141" s="255"/>
      <c r="HX141" s="255"/>
      <c r="HY141" s="255"/>
      <c r="HZ141" s="255"/>
      <c r="IA141" s="255"/>
      <c r="IB141" s="255"/>
      <c r="IC141" s="255"/>
      <c r="ID141" s="255"/>
      <c r="IE141" s="255"/>
      <c r="IF141" s="255"/>
      <c r="IG141" s="255"/>
      <c r="IH141" s="255"/>
      <c r="II141" s="255"/>
      <c r="IJ141" s="255"/>
      <c r="IK141" s="255"/>
      <c r="IL141" s="255"/>
      <c r="IM141" s="255"/>
      <c r="IN141" s="255"/>
      <c r="IO141" s="255"/>
      <c r="IP141" s="255"/>
      <c r="IQ141" s="255"/>
      <c r="IR141" s="255"/>
      <c r="IS141" s="255"/>
      <c r="IT141" s="255"/>
      <c r="IU141" s="255"/>
      <c r="IV141" s="255"/>
      <c r="IW141" s="255"/>
      <c r="IX141" s="255"/>
      <c r="IY141" s="255"/>
      <c r="IZ141" s="255"/>
      <c r="JA141" s="255"/>
      <c r="JB141" s="255"/>
      <c r="JC141" s="255"/>
      <c r="JD141" s="255"/>
      <c r="JE141" s="255"/>
      <c r="JF141" s="255"/>
      <c r="JG141" s="255"/>
      <c r="JH141" s="255"/>
      <c r="JI141" s="255"/>
      <c r="JJ141" s="255"/>
      <c r="JK141" s="255"/>
      <c r="JL141" s="255"/>
      <c r="JM141" s="255"/>
      <c r="JN141" s="255"/>
      <c r="JO141" s="255"/>
      <c r="JP141" s="255"/>
      <c r="JQ141" s="255"/>
      <c r="JR141" s="255"/>
      <c r="JS141" s="255"/>
      <c r="JT141" s="255"/>
      <c r="JU141" s="255"/>
      <c r="JV141" s="255"/>
      <c r="JW141" s="255"/>
      <c r="JX141" s="255"/>
      <c r="JY141" s="255"/>
      <c r="JZ141" s="255"/>
      <c r="KA141" s="255"/>
      <c r="KB141" s="255"/>
      <c r="KC141" s="255"/>
      <c r="KD141" s="255"/>
      <c r="KE141" s="255"/>
      <c r="KF141" s="255"/>
      <c r="KG141" s="255"/>
      <c r="KH141" s="255"/>
      <c r="KI141" s="255"/>
      <c r="KJ141" s="255"/>
      <c r="KK141" s="255"/>
      <c r="KL141" s="255"/>
      <c r="KM141" s="255"/>
      <c r="KN141" s="255"/>
      <c r="KO141" s="255"/>
      <c r="KP141" s="255"/>
      <c r="KQ141" s="255"/>
      <c r="KR141" s="255"/>
      <c r="KS141" s="255"/>
      <c r="KT141" s="255"/>
      <c r="KU141" s="255"/>
      <c r="KV141" s="255"/>
      <c r="KW141" s="255"/>
      <c r="KX141" s="255"/>
      <c r="KY141" s="255"/>
      <c r="KZ141" s="255"/>
      <c r="LA141" s="255"/>
      <c r="LB141" s="255"/>
      <c r="LC141" s="255"/>
      <c r="LD141" s="255"/>
      <c r="LE141" s="255"/>
      <c r="LF141" s="255"/>
      <c r="LG141" s="255"/>
      <c r="LH141" s="255"/>
      <c r="LI141" s="255"/>
      <c r="LJ141" s="255"/>
      <c r="LK141" s="255"/>
      <c r="LL141" s="255"/>
      <c r="LM141" s="255"/>
      <c r="LN141" s="255"/>
      <c r="LO141" s="255"/>
      <c r="LP141" s="255"/>
      <c r="LQ141" s="255"/>
      <c r="LR141" s="255"/>
      <c r="LS141" s="255"/>
      <c r="LT141" s="255"/>
      <c r="LU141" s="255"/>
      <c r="LV141" s="255"/>
      <c r="LW141" s="255"/>
      <c r="LX141" s="255"/>
      <c r="LY141" s="255"/>
      <c r="LZ141" s="255"/>
      <c r="MA141" s="255"/>
      <c r="MB141" s="255"/>
      <c r="MC141" s="255"/>
      <c r="MD141" s="255"/>
      <c r="ME141" s="255"/>
      <c r="MF141" s="255"/>
      <c r="MG141" s="255"/>
      <c r="MH141" s="255"/>
      <c r="MI141" s="255"/>
      <c r="MJ141" s="255"/>
      <c r="MK141" s="255"/>
      <c r="ML141" s="255"/>
      <c r="MM141" s="255"/>
      <c r="MN141" s="255"/>
      <c r="MO141" s="255"/>
      <c r="MP141" s="255"/>
      <c r="MQ141" s="255"/>
      <c r="MR141" s="255"/>
      <c r="MS141" s="255"/>
      <c r="MT141" s="255"/>
      <c r="MU141" s="255"/>
      <c r="MV141" s="255"/>
      <c r="MW141" s="255"/>
      <c r="MX141" s="255"/>
      <c r="MY141" s="255"/>
      <c r="MZ141" s="255"/>
      <c r="NA141" s="255"/>
      <c r="NB141" s="255"/>
      <c r="NC141" s="255"/>
      <c r="ND141" s="255"/>
      <c r="NE141" s="255"/>
      <c r="NF141" s="255"/>
      <c r="NG141" s="255"/>
      <c r="NH141" s="255"/>
      <c r="NI141" s="255"/>
      <c r="NJ141" s="255"/>
      <c r="NK141" s="255"/>
      <c r="NL141" s="255"/>
      <c r="NM141" s="255"/>
      <c r="NN141" s="255"/>
      <c r="NO141" s="255"/>
      <c r="NP141" s="255"/>
      <c r="NQ141" s="255"/>
      <c r="NR141" s="255"/>
      <c r="NS141" s="255"/>
      <c r="NT141" s="255"/>
      <c r="NU141" s="255"/>
      <c r="NV141" s="255"/>
      <c r="NW141" s="255"/>
      <c r="NX141" s="255"/>
      <c r="NY141" s="255"/>
      <c r="NZ141" s="255"/>
      <c r="OA141" s="255"/>
      <c r="OB141" s="255"/>
      <c r="OC141" s="255"/>
      <c r="OD141" s="255"/>
      <c r="OE141" s="255"/>
      <c r="OF141" s="255"/>
      <c r="OG141" s="255"/>
      <c r="OH141" s="255"/>
      <c r="OI141" s="255"/>
      <c r="OJ141" s="255"/>
      <c r="OK141" s="255"/>
      <c r="OL141" s="255"/>
      <c r="OM141" s="255"/>
      <c r="ON141" s="255"/>
      <c r="OO141" s="255"/>
      <c r="OP141" s="255"/>
      <c r="OQ141" s="255"/>
      <c r="OR141" s="255"/>
      <c r="OS141" s="255"/>
      <c r="OT141" s="255"/>
      <c r="OU141" s="255"/>
      <c r="OV141" s="255"/>
      <c r="OW141" s="255"/>
      <c r="OX141" s="255"/>
      <c r="OY141" s="255"/>
      <c r="OZ141" s="255"/>
      <c r="PA141" s="255"/>
      <c r="PB141" s="255"/>
      <c r="PC141" s="255"/>
      <c r="PD141" s="255"/>
      <c r="PE141" s="255"/>
      <c r="PF141" s="255"/>
      <c r="PG141" s="255"/>
      <c r="PH141" s="255"/>
      <c r="PI141" s="255"/>
      <c r="PJ141" s="255"/>
      <c r="PK141" s="255"/>
      <c r="PL141" s="255"/>
      <c r="PM141" s="255"/>
      <c r="PN141" s="255"/>
      <c r="PO141" s="255"/>
      <c r="PP141" s="255"/>
      <c r="PQ141" s="255"/>
      <c r="PR141" s="255"/>
      <c r="PS141" s="255"/>
      <c r="PT141" s="255"/>
      <c r="PU141" s="255"/>
      <c r="PV141" s="255"/>
      <c r="PW141" s="255"/>
      <c r="PX141" s="255"/>
      <c r="PY141" s="255"/>
      <c r="PZ141" s="255"/>
      <c r="QA141" s="255"/>
      <c r="QB141" s="255"/>
      <c r="QC141" s="255"/>
      <c r="QD141" s="255"/>
      <c r="QE141" s="255"/>
      <c r="QF141" s="255"/>
      <c r="QG141" s="255"/>
      <c r="QH141" s="255"/>
      <c r="QI141" s="255"/>
      <c r="QJ141" s="255"/>
      <c r="QK141" s="255"/>
      <c r="QL141" s="255"/>
      <c r="QM141" s="255"/>
      <c r="QN141" s="255"/>
      <c r="QO141" s="255"/>
      <c r="QP141" s="255"/>
      <c r="QQ141" s="255"/>
      <c r="QR141" s="255"/>
      <c r="QS141" s="255"/>
      <c r="QT141" s="255"/>
      <c r="QU141" s="255"/>
      <c r="QV141" s="255"/>
      <c r="QW141" s="255"/>
      <c r="QX141" s="255"/>
      <c r="QY141" s="255"/>
      <c r="QZ141" s="255"/>
      <c r="RA141" s="255"/>
      <c r="RB141" s="255"/>
      <c r="RC141" s="255"/>
      <c r="RD141" s="255"/>
      <c r="RE141" s="255"/>
      <c r="RF141" s="255"/>
      <c r="RG141" s="255"/>
      <c r="RH141" s="255"/>
      <c r="RI141" s="255"/>
      <c r="RJ141" s="255"/>
      <c r="RK141" s="255"/>
      <c r="RL141" s="255"/>
      <c r="RM141" s="255"/>
      <c r="RN141" s="255"/>
      <c r="RO141" s="255"/>
      <c r="RP141" s="255"/>
      <c r="RQ141" s="255"/>
      <c r="RR141" s="255"/>
      <c r="RS141" s="255"/>
      <c r="RT141" s="255"/>
      <c r="RU141" s="255"/>
      <c r="RV141" s="255"/>
      <c r="RW141" s="255"/>
      <c r="RX141" s="255"/>
      <c r="RY141" s="255"/>
      <c r="RZ141" s="255"/>
      <c r="SA141" s="255"/>
      <c r="SB141" s="255"/>
      <c r="SC141" s="255"/>
      <c r="SD141" s="255"/>
      <c r="SE141" s="255"/>
      <c r="SF141" s="255"/>
      <c r="SG141" s="255"/>
      <c r="SH141" s="255"/>
      <c r="SI141" s="255"/>
      <c r="SJ141" s="255"/>
      <c r="SK141" s="255"/>
      <c r="SL141" s="255"/>
      <c r="SM141" s="255"/>
      <c r="SN141" s="255"/>
      <c r="SO141" s="255"/>
      <c r="SP141" s="255"/>
      <c r="SQ141" s="255"/>
      <c r="SR141" s="255"/>
      <c r="SS141" s="255"/>
      <c r="ST141" s="255"/>
      <c r="SU141" s="255"/>
      <c r="SV141" s="255"/>
      <c r="SW141" s="255"/>
      <c r="SX141" s="255"/>
      <c r="SY141" s="255"/>
      <c r="SZ141" s="255"/>
      <c r="TA141" s="255"/>
      <c r="TB141" s="255"/>
      <c r="TC141" s="255"/>
      <c r="TD141" s="255"/>
      <c r="TE141" s="255"/>
      <c r="TF141" s="255"/>
      <c r="TG141" s="255"/>
      <c r="TH141" s="255"/>
      <c r="TI141" s="255"/>
      <c r="TJ141" s="255"/>
      <c r="TK141" s="255"/>
      <c r="TL141" s="255"/>
      <c r="TM141" s="255"/>
      <c r="TN141" s="255"/>
      <c r="TO141" s="255"/>
      <c r="TP141" s="255"/>
      <c r="TQ141" s="255"/>
      <c r="TR141" s="255"/>
      <c r="TS141" s="255"/>
      <c r="TT141" s="255"/>
      <c r="TU141" s="255"/>
      <c r="TV141" s="255"/>
      <c r="TW141" s="255"/>
      <c r="TX141" s="255"/>
      <c r="TY141" s="255"/>
      <c r="TZ141" s="255"/>
      <c r="UA141" s="255"/>
      <c r="UB141" s="255"/>
      <c r="UC141" s="255"/>
      <c r="UD141" s="255"/>
      <c r="UE141" s="255"/>
      <c r="UF141" s="255"/>
      <c r="UG141" s="255"/>
      <c r="UH141" s="255"/>
      <c r="UI141" s="255"/>
      <c r="UJ141" s="255"/>
      <c r="UK141" s="255"/>
      <c r="UL141" s="255"/>
      <c r="UM141" s="255"/>
      <c r="UN141" s="255"/>
      <c r="UO141" s="255"/>
      <c r="UP141" s="255"/>
      <c r="UQ141" s="255"/>
      <c r="UR141" s="255"/>
      <c r="US141" s="255"/>
      <c r="UT141" s="255"/>
      <c r="UU141" s="255"/>
      <c r="UV141" s="255"/>
      <c r="UW141" s="255"/>
      <c r="UX141" s="255"/>
      <c r="UY141" s="255"/>
      <c r="UZ141" s="255"/>
      <c r="VA141" s="255"/>
      <c r="VB141" s="255"/>
      <c r="VC141" s="255"/>
      <c r="VD141" s="255"/>
      <c r="VE141" s="255"/>
      <c r="VF141" s="255"/>
      <c r="VG141" s="255"/>
      <c r="VH141" s="255"/>
      <c r="VI141" s="255"/>
      <c r="VJ141" s="255"/>
      <c r="VK141" s="255"/>
      <c r="VL141" s="255"/>
      <c r="VM141" s="255"/>
      <c r="VN141" s="255"/>
      <c r="VO141" s="255"/>
      <c r="VP141" s="255"/>
      <c r="VQ141" s="255"/>
      <c r="VR141" s="255"/>
      <c r="VS141" s="255"/>
      <c r="VT141" s="255"/>
      <c r="VU141" s="255"/>
      <c r="VV141" s="255"/>
      <c r="VW141" s="255"/>
      <c r="VX141" s="255"/>
      <c r="VY141" s="255"/>
      <c r="VZ141" s="255"/>
      <c r="WA141" s="255"/>
      <c r="WB141" s="255"/>
      <c r="WC141" s="255"/>
      <c r="WD141" s="255"/>
      <c r="WE141" s="255"/>
      <c r="WF141" s="255"/>
      <c r="WG141" s="255"/>
      <c r="WH141" s="255"/>
      <c r="WI141" s="255"/>
      <c r="WJ141" s="255"/>
      <c r="WK141" s="255"/>
      <c r="WL141" s="255"/>
      <c r="WM141" s="255"/>
      <c r="WN141" s="255"/>
      <c r="WO141" s="255"/>
      <c r="WP141" s="255"/>
      <c r="WQ141" s="255"/>
      <c r="WR141" s="255"/>
      <c r="WS141" s="255"/>
      <c r="WT141" s="255"/>
      <c r="WU141" s="255"/>
      <c r="WV141" s="255"/>
      <c r="WW141" s="255"/>
      <c r="WX141" s="255"/>
      <c r="WY141" s="255"/>
      <c r="WZ141" s="255"/>
      <c r="XA141" s="255"/>
      <c r="XB141" s="255"/>
      <c r="XC141" s="255"/>
      <c r="XD141" s="255"/>
      <c r="XE141" s="255"/>
      <c r="XF141" s="255"/>
      <c r="XG141" s="255"/>
      <c r="XH141" s="255"/>
      <c r="XI141" s="255"/>
      <c r="XJ141" s="255"/>
      <c r="XK141" s="255"/>
      <c r="XL141" s="255"/>
      <c r="XM141" s="255"/>
      <c r="XN141" s="255"/>
      <c r="XO141" s="255"/>
      <c r="XP141" s="255"/>
      <c r="XQ141" s="255"/>
      <c r="XR141" s="255"/>
      <c r="XS141" s="255"/>
      <c r="XT141" s="255"/>
      <c r="XU141" s="255"/>
      <c r="XV141" s="255"/>
      <c r="XW141" s="255"/>
      <c r="XX141" s="255"/>
      <c r="XY141" s="255"/>
      <c r="XZ141" s="255"/>
      <c r="YA141" s="255"/>
      <c r="YB141" s="255"/>
      <c r="YC141" s="255"/>
      <c r="YD141" s="255"/>
      <c r="YE141" s="255"/>
      <c r="YF141" s="255"/>
      <c r="YG141" s="255"/>
      <c r="YH141" s="255"/>
      <c r="YI141" s="255"/>
      <c r="YJ141" s="255"/>
      <c r="YK141" s="255"/>
      <c r="YL141" s="255"/>
      <c r="YM141" s="255"/>
      <c r="YN141" s="255"/>
      <c r="YO141" s="255"/>
      <c r="YP141" s="255"/>
      <c r="YQ141" s="255"/>
      <c r="YR141" s="255"/>
      <c r="YS141" s="255"/>
      <c r="YT141" s="255"/>
      <c r="YU141" s="255"/>
      <c r="YV141" s="255"/>
      <c r="YW141" s="255"/>
      <c r="YX141" s="255"/>
      <c r="YY141" s="255"/>
      <c r="YZ141" s="255"/>
      <c r="ZA141" s="255"/>
      <c r="ZB141" s="255"/>
      <c r="ZC141" s="255"/>
      <c r="ZD141" s="255"/>
      <c r="ZE141" s="255"/>
      <c r="ZF141" s="255"/>
      <c r="ZG141" s="255"/>
      <c r="ZH141" s="255"/>
      <c r="ZI141" s="255"/>
      <c r="ZJ141" s="255"/>
      <c r="ZK141" s="255"/>
      <c r="ZL141" s="255"/>
      <c r="ZM141" s="255"/>
      <c r="ZN141" s="255"/>
      <c r="ZO141" s="255"/>
      <c r="ZP141" s="255"/>
      <c r="ZQ141" s="255"/>
      <c r="ZR141" s="255"/>
      <c r="ZS141" s="255"/>
      <c r="ZT141" s="255"/>
      <c r="ZU141" s="255"/>
      <c r="ZV141" s="255"/>
      <c r="ZW141" s="255"/>
      <c r="ZX141" s="255"/>
      <c r="ZY141" s="255"/>
      <c r="ZZ141" s="255"/>
      <c r="AAA141" s="255"/>
      <c r="AAB141" s="255"/>
      <c r="AAC141" s="255"/>
      <c r="AAD141" s="255"/>
      <c r="AAE141" s="255"/>
      <c r="AAF141" s="255"/>
      <c r="AAG141" s="255"/>
      <c r="AAH141" s="255"/>
      <c r="AAI141" s="255"/>
      <c r="AAJ141" s="255"/>
      <c r="AAK141" s="255"/>
      <c r="AAL141" s="255"/>
      <c r="AAM141" s="255"/>
      <c r="AAN141" s="255"/>
      <c r="AAO141" s="255"/>
      <c r="AAP141" s="255"/>
      <c r="AAQ141" s="255"/>
      <c r="AAR141" s="255"/>
      <c r="AAS141" s="255"/>
      <c r="AAT141" s="255"/>
      <c r="AAU141" s="255"/>
      <c r="AAV141" s="255"/>
      <c r="AAW141" s="255"/>
      <c r="AAX141" s="255"/>
      <c r="AAY141" s="255"/>
      <c r="AAZ141" s="255"/>
      <c r="ABA141" s="255"/>
      <c r="ABB141" s="255"/>
      <c r="ABC141" s="255"/>
      <c r="ABD141" s="255"/>
      <c r="ABE141" s="255"/>
      <c r="ABF141" s="255"/>
      <c r="ABG141" s="255"/>
      <c r="ABH141" s="255"/>
      <c r="ABI141" s="255"/>
      <c r="ABJ141" s="255"/>
      <c r="ABK141" s="255"/>
      <c r="ABL141" s="255"/>
      <c r="ABM141" s="255"/>
      <c r="ABN141" s="255"/>
      <c r="ABO141" s="255"/>
      <c r="ABP141" s="255"/>
      <c r="ABQ141" s="255"/>
      <c r="ABR141" s="255"/>
      <c r="ABS141" s="255"/>
      <c r="ABT141" s="255"/>
      <c r="ABU141" s="255"/>
      <c r="ABV141" s="255"/>
      <c r="ABW141" s="255"/>
      <c r="ABX141" s="255"/>
      <c r="ABY141" s="255"/>
      <c r="ABZ141" s="255"/>
      <c r="ACA141" s="255"/>
      <c r="ACB141" s="255"/>
      <c r="ACC141" s="255"/>
      <c r="ACD141" s="255"/>
      <c r="ACE141" s="255"/>
      <c r="ACF141" s="255"/>
      <c r="ACG141" s="255"/>
      <c r="ACH141" s="255"/>
      <c r="ACI141" s="255"/>
      <c r="ACJ141" s="255"/>
      <c r="ACK141" s="255"/>
      <c r="ACL141" s="255"/>
      <c r="ACM141" s="255"/>
      <c r="ACN141" s="255"/>
      <c r="ACO141" s="255"/>
      <c r="ACP141" s="255"/>
      <c r="ACQ141" s="255"/>
      <c r="ACR141" s="255"/>
      <c r="ACS141" s="255"/>
      <c r="ACT141" s="255"/>
      <c r="ACU141" s="255"/>
      <c r="ACV141" s="255"/>
      <c r="ACW141" s="255"/>
      <c r="ACX141" s="255"/>
      <c r="ACY141" s="255"/>
      <c r="ACZ141" s="255"/>
      <c r="ADA141" s="255"/>
      <c r="ADB141" s="255"/>
      <c r="ADC141" s="255"/>
      <c r="ADD141" s="255"/>
      <c r="ADE141" s="255"/>
      <c r="ADF141" s="255"/>
      <c r="ADG141" s="255"/>
      <c r="ADH141" s="255"/>
      <c r="ADI141" s="255"/>
      <c r="ADJ141" s="255"/>
      <c r="ADK141" s="255"/>
      <c r="ADL141" s="255"/>
      <c r="ADM141" s="255"/>
      <c r="ADN141" s="255"/>
      <c r="ADO141" s="255"/>
      <c r="ADP141" s="255"/>
      <c r="ADQ141" s="255"/>
      <c r="ADR141" s="255"/>
      <c r="ADS141" s="255"/>
      <c r="ADT141" s="255"/>
      <c r="ADU141" s="255"/>
      <c r="ADV141" s="255"/>
      <c r="ADW141" s="255"/>
      <c r="ADX141" s="255"/>
      <c r="ADY141" s="255"/>
      <c r="ADZ141" s="255"/>
      <c r="AEA141" s="255"/>
      <c r="AEB141" s="255"/>
      <c r="AEC141" s="255"/>
      <c r="AED141" s="255"/>
      <c r="AEE141" s="255"/>
      <c r="AEF141" s="255"/>
      <c r="AEG141" s="255"/>
      <c r="AEH141" s="255"/>
      <c r="AEI141" s="255"/>
      <c r="AEJ141" s="255"/>
      <c r="AEK141" s="255"/>
      <c r="AEL141" s="255"/>
      <c r="AEM141" s="255"/>
      <c r="AEN141" s="255"/>
      <c r="AEO141" s="255"/>
      <c r="AEP141" s="255"/>
      <c r="AEQ141" s="255"/>
      <c r="AER141" s="255"/>
      <c r="AES141" s="255"/>
      <c r="AET141" s="255"/>
      <c r="AEU141" s="255"/>
      <c r="AEV141" s="255"/>
      <c r="AEW141" s="255"/>
      <c r="AEX141" s="255"/>
      <c r="AEY141" s="255"/>
      <c r="AEZ141" s="255"/>
      <c r="AFA141" s="255"/>
      <c r="AFB141" s="255"/>
      <c r="AFC141" s="255"/>
      <c r="AFD141" s="255"/>
      <c r="AFE141" s="255"/>
      <c r="AFF141" s="255"/>
      <c r="AFG141" s="255"/>
      <c r="AFH141" s="255"/>
      <c r="AFI141" s="255"/>
      <c r="AFJ141" s="255"/>
      <c r="AFK141" s="255"/>
      <c r="AFL141" s="255"/>
      <c r="AFM141" s="255"/>
      <c r="AFN141" s="255"/>
      <c r="AFO141" s="255"/>
      <c r="AFP141" s="255"/>
      <c r="AFQ141" s="255"/>
      <c r="AFR141" s="255"/>
      <c r="AFS141" s="255"/>
      <c r="AFT141" s="255"/>
      <c r="AFU141" s="255"/>
      <c r="AFV141" s="255"/>
      <c r="AFW141" s="255"/>
      <c r="AFX141" s="255"/>
      <c r="AFY141" s="255"/>
      <c r="AFZ141" s="255"/>
      <c r="AGA141" s="255"/>
      <c r="AGB141" s="255"/>
      <c r="AGC141" s="255"/>
      <c r="AGD141" s="255"/>
      <c r="AGE141" s="255"/>
      <c r="AGF141" s="255"/>
      <c r="AGG141" s="255"/>
      <c r="AGH141" s="255"/>
      <c r="AGI141" s="255"/>
      <c r="AGJ141" s="255"/>
      <c r="AGK141" s="255"/>
      <c r="AGL141" s="255"/>
      <c r="AGM141" s="255"/>
      <c r="AGN141" s="255"/>
      <c r="AGO141" s="255"/>
      <c r="AGP141" s="255"/>
      <c r="AGQ141" s="255"/>
      <c r="AGR141" s="255"/>
      <c r="AGS141" s="255"/>
      <c r="AGT141" s="255"/>
      <c r="AGU141" s="255"/>
      <c r="AGV141" s="255"/>
      <c r="AGW141" s="255"/>
      <c r="AGX141" s="255"/>
      <c r="AGY141" s="255"/>
      <c r="AGZ141" s="255"/>
      <c r="AHA141" s="255"/>
      <c r="AHB141" s="255"/>
      <c r="AHC141" s="255"/>
      <c r="AHD141" s="255"/>
      <c r="AHE141" s="255"/>
      <c r="AHF141" s="255"/>
      <c r="AHG141" s="255"/>
      <c r="AHH141" s="255"/>
      <c r="AHI141" s="255"/>
      <c r="AHJ141" s="255"/>
      <c r="AHK141" s="255"/>
      <c r="AHL141" s="255"/>
      <c r="AHM141" s="255"/>
      <c r="AHN141" s="255"/>
      <c r="AHO141" s="255"/>
      <c r="AHP141" s="255"/>
      <c r="AHQ141" s="255"/>
      <c r="AHR141" s="255"/>
      <c r="AHS141" s="255"/>
      <c r="AHT141" s="255"/>
      <c r="AHU141" s="255"/>
      <c r="AHV141" s="255"/>
      <c r="AHW141" s="255"/>
      <c r="AHX141" s="255"/>
      <c r="AHY141" s="255"/>
      <c r="AHZ141" s="255"/>
      <c r="AIA141" s="255"/>
      <c r="AIB141" s="255"/>
      <c r="AIC141" s="255"/>
      <c r="AID141" s="255"/>
      <c r="AIE141" s="255"/>
      <c r="AIF141" s="255"/>
      <c r="AIG141" s="255"/>
      <c r="AIH141" s="255"/>
      <c r="AII141" s="255"/>
      <c r="AIJ141" s="255"/>
      <c r="AIK141" s="255"/>
      <c r="AIL141" s="255"/>
      <c r="AIM141" s="255"/>
      <c r="AIN141" s="255"/>
      <c r="AIO141" s="255"/>
      <c r="AIP141" s="255"/>
      <c r="AIQ141" s="255"/>
      <c r="AIR141" s="255"/>
      <c r="AIS141" s="255"/>
      <c r="AIT141" s="255"/>
      <c r="AIU141" s="255"/>
      <c r="AIV141" s="255"/>
      <c r="AIW141" s="255"/>
      <c r="AIX141" s="255"/>
      <c r="AIY141" s="255"/>
      <c r="AIZ141" s="255"/>
      <c r="AJA141" s="255"/>
      <c r="AJB141" s="255"/>
      <c r="AJC141" s="255"/>
      <c r="AJD141" s="255"/>
      <c r="AJE141" s="255"/>
      <c r="AJF141" s="255"/>
      <c r="AJG141" s="255"/>
      <c r="AJH141" s="255"/>
      <c r="AJI141" s="255"/>
      <c r="AJJ141" s="255"/>
      <c r="AJK141" s="255"/>
      <c r="AJL141" s="255"/>
      <c r="AJM141" s="255"/>
      <c r="AJN141" s="255"/>
      <c r="AJO141" s="255"/>
      <c r="AJP141" s="255"/>
      <c r="AJQ141" s="255"/>
      <c r="AJR141" s="255"/>
      <c r="AJS141" s="255"/>
      <c r="AJT141" s="255"/>
      <c r="AJU141" s="255"/>
      <c r="AJV141" s="255"/>
      <c r="AJW141" s="255"/>
      <c r="AJX141" s="255"/>
      <c r="AJY141" s="255"/>
      <c r="AJZ141" s="255"/>
      <c r="AKA141" s="255"/>
      <c r="AKB141" s="255"/>
      <c r="AKC141" s="255"/>
      <c r="AKD141" s="255"/>
      <c r="AKE141" s="255"/>
      <c r="AKF141" s="255"/>
      <c r="AKG141" s="255"/>
      <c r="AKH141" s="255"/>
      <c r="AKI141" s="255"/>
      <c r="AKJ141" s="255"/>
      <c r="AKK141" s="255"/>
      <c r="AKL141" s="255"/>
      <c r="AKM141" s="255"/>
      <c r="AKN141" s="255"/>
      <c r="AKO141" s="255"/>
      <c r="AKP141" s="255"/>
      <c r="AKQ141" s="255"/>
      <c r="AKR141" s="255"/>
      <c r="AKS141" s="255"/>
      <c r="AKT141" s="255"/>
      <c r="AKU141" s="255"/>
      <c r="AKV141" s="255"/>
      <c r="AKW141" s="255"/>
      <c r="AKX141" s="255"/>
      <c r="AKY141" s="255"/>
      <c r="AKZ141" s="255"/>
      <c r="ALA141" s="255"/>
      <c r="ALB141" s="255"/>
      <c r="ALC141" s="255"/>
      <c r="ALD141" s="255"/>
      <c r="ALE141" s="255"/>
      <c r="ALF141" s="255"/>
      <c r="ALG141" s="255"/>
      <c r="ALH141" s="255"/>
      <c r="ALI141" s="255"/>
      <c r="ALJ141" s="255"/>
      <c r="ALK141" s="255"/>
      <c r="ALL141" s="42"/>
      <c r="ALM141" s="42"/>
      <c r="ALN141" s="42"/>
      <c r="ALO141" s="42"/>
      <c r="ALP141" s="42"/>
      <c r="ALQ141" s="42"/>
      <c r="ALR141" s="42"/>
      <c r="ALS141" s="42"/>
      <c r="ALT141" s="42"/>
    </row>
    <row r="142" spans="1:1008" s="191" customFormat="1" ht="24">
      <c r="A142" s="251" t="s">
        <v>6307</v>
      </c>
      <c r="B142" s="328">
        <v>348</v>
      </c>
      <c r="C142" s="329" t="str">
        <f>(IF($A142="SINAPI",INDEX(SINAPI_NOV2020_NDES!$A$7:$H$6703,MATCH($B142,SINAPI_NOV2020_NDES!$A$7:$A$6703,0),2),IF($A142="GOINFRA",INDEX(#REF!,MATCH($B142,#REF!,0),2),(INDEX(COMPOS!$A$4:$G$390,MATCH($B142,COMPOS!$A$4:A$390,0),2)))))</f>
        <v>PASSEIO DE PROTEÇÃO EM CONCRETO DESEMPENADO 5CM (1:2,5:3,5) (INCLUSO ESPELHO DE 30CM/ESCAVAÇÃO/REATERRO/APILOAMENTO/ATERRO INTERNO)</v>
      </c>
      <c r="D142" s="274" t="str">
        <f>(IF($A142="SINAPI",INDEX(SINAPI_NOV2020_NDES!$A$7:$H$6790,MATCH($B142,SINAPI_NOV2020_NDES!$A$7:$A$6790,0),3),(INDEX(COMPOS!$A$4:$G$5000,MATCH($B142,COMPOS!$A$4:$A$5000,0),3))))</f>
        <v>M2</v>
      </c>
      <c r="E142" s="276">
        <v>11.04</v>
      </c>
      <c r="F142" s="279">
        <f>(IF($A142="SINAPI",INDEX(SINAPI_NOV2020_NDES!$A$7:$H$6703,MATCH($B142,SINAPI_NOV2020_NDES!$A$7:$A$6703,0),5),(INDEX(COMPOS!$A$4:$G$801,MATCH($B142,COMPOS!$A$4:A$801,0),4))))</f>
        <v>43.421984000000002</v>
      </c>
      <c r="G142" s="280">
        <f>(IF($A142="SINAPI",INDEX(SINAPI_NOV2020_NDES!$A$7:$H$6703,MATCH($B142,SINAPI_NOV2020_NDES!$A$7:$A$6703,0),6),(INDEX(COMPOS!$A$4:$G$801,MATCH($B142,COMPOS!$A$4:A$801,0),5))))</f>
        <v>31.570292999999999</v>
      </c>
      <c r="H142" s="280">
        <f>(IF($A142="SINAPI",INDEX(SINAPI_NOV2020_NDES!$A$7:$H$6703,MATCH($B142,SINAPI_NOV2020_NDES!$A$7:$A$6703,0),7),(INDEX(COMPOS!$A$4:$G$801,MATCH($B142,COMPOS!$A$4:A$801,0),6))))</f>
        <v>0</v>
      </c>
      <c r="I142" s="279">
        <f t="shared" ref="I142:I144" si="46">SUM(F142:H142)</f>
        <v>74.992277000000001</v>
      </c>
      <c r="J142" s="276">
        <f t="shared" ref="J142:J144" si="47">+I142*E142</f>
        <v>827.91473808000001</v>
      </c>
      <c r="K142" s="255"/>
      <c r="L142" s="255"/>
      <c r="M142" s="255"/>
      <c r="N142" s="255"/>
      <c r="O142" s="257"/>
      <c r="P142" s="223"/>
      <c r="Q142" s="255"/>
      <c r="R142" s="255"/>
      <c r="S142" s="255"/>
      <c r="T142" s="255"/>
      <c r="U142" s="255"/>
      <c r="V142" s="255"/>
      <c r="W142" s="255"/>
      <c r="X142" s="255"/>
      <c r="Y142" s="255"/>
      <c r="Z142" s="255"/>
      <c r="AA142" s="255"/>
      <c r="AB142" s="255"/>
      <c r="AC142" s="255"/>
      <c r="AD142" s="255"/>
      <c r="AE142" s="255"/>
      <c r="AF142" s="255"/>
      <c r="AG142" s="255"/>
      <c r="AH142" s="255"/>
      <c r="AI142" s="255"/>
      <c r="AJ142" s="255"/>
      <c r="AK142" s="255"/>
      <c r="AL142" s="255"/>
      <c r="AM142" s="255"/>
      <c r="AN142" s="255"/>
      <c r="AO142" s="255"/>
      <c r="AP142" s="255"/>
      <c r="AQ142" s="255"/>
      <c r="AR142" s="255"/>
      <c r="AS142" s="255"/>
      <c r="AT142" s="255"/>
      <c r="AU142" s="255"/>
      <c r="AV142" s="255"/>
      <c r="AW142" s="255"/>
      <c r="AX142" s="255"/>
      <c r="AY142" s="255"/>
      <c r="AZ142" s="255"/>
      <c r="BA142" s="255"/>
      <c r="BB142" s="255"/>
      <c r="BC142" s="255"/>
      <c r="BD142" s="255"/>
      <c r="BE142" s="255"/>
      <c r="BF142" s="255"/>
      <c r="BG142" s="255"/>
      <c r="BH142" s="255"/>
      <c r="BI142" s="255"/>
      <c r="BJ142" s="255"/>
      <c r="BK142" s="255"/>
      <c r="BL142" s="255"/>
      <c r="BM142" s="255"/>
      <c r="BN142" s="255"/>
      <c r="BO142" s="255"/>
      <c r="BP142" s="255"/>
      <c r="BQ142" s="255"/>
      <c r="BR142" s="255"/>
      <c r="BS142" s="255"/>
      <c r="BT142" s="255"/>
      <c r="BU142" s="255"/>
      <c r="BV142" s="255"/>
      <c r="BW142" s="255"/>
      <c r="BX142" s="255"/>
      <c r="BY142" s="255"/>
      <c r="BZ142" s="255"/>
      <c r="CA142" s="255"/>
      <c r="CB142" s="255"/>
      <c r="CC142" s="255"/>
      <c r="CD142" s="255"/>
      <c r="CE142" s="255"/>
      <c r="CF142" s="255"/>
      <c r="CG142" s="255"/>
      <c r="CH142" s="255"/>
      <c r="CI142" s="255"/>
      <c r="CJ142" s="255"/>
      <c r="CK142" s="255"/>
      <c r="CL142" s="255"/>
      <c r="CM142" s="255"/>
      <c r="CN142" s="255"/>
      <c r="CO142" s="255"/>
      <c r="CP142" s="255"/>
      <c r="CQ142" s="255"/>
      <c r="CR142" s="255"/>
      <c r="CS142" s="255"/>
      <c r="CT142" s="255"/>
      <c r="CU142" s="255"/>
      <c r="CV142" s="255"/>
      <c r="CW142" s="255"/>
      <c r="CX142" s="255"/>
      <c r="CY142" s="255"/>
      <c r="CZ142" s="255"/>
      <c r="DA142" s="255"/>
      <c r="DB142" s="255"/>
      <c r="DC142" s="255"/>
      <c r="DD142" s="255"/>
      <c r="DE142" s="255"/>
      <c r="DF142" s="255"/>
      <c r="DG142" s="255"/>
      <c r="DH142" s="255"/>
      <c r="DI142" s="255"/>
      <c r="DJ142" s="255"/>
      <c r="DK142" s="255"/>
      <c r="DL142" s="255"/>
      <c r="DM142" s="255"/>
      <c r="DN142" s="255"/>
      <c r="DO142" s="255"/>
      <c r="DP142" s="255"/>
      <c r="DQ142" s="255"/>
      <c r="DR142" s="255"/>
      <c r="DS142" s="255"/>
      <c r="DT142" s="255"/>
      <c r="DU142" s="255"/>
      <c r="DV142" s="255"/>
      <c r="DW142" s="255"/>
      <c r="DX142" s="255"/>
      <c r="DY142" s="255"/>
      <c r="DZ142" s="255"/>
      <c r="EA142" s="255"/>
      <c r="EB142" s="255"/>
      <c r="EC142" s="255"/>
      <c r="ED142" s="255"/>
      <c r="EE142" s="255"/>
      <c r="EF142" s="255"/>
      <c r="EG142" s="255"/>
      <c r="EH142" s="255"/>
      <c r="EI142" s="255"/>
      <c r="EJ142" s="255"/>
      <c r="EK142" s="255"/>
      <c r="EL142" s="255"/>
      <c r="EM142" s="255"/>
      <c r="EN142" s="255"/>
      <c r="EO142" s="255"/>
      <c r="EP142" s="255"/>
      <c r="EQ142" s="255"/>
      <c r="ER142" s="255"/>
      <c r="ES142" s="255"/>
      <c r="ET142" s="255"/>
      <c r="EU142" s="255"/>
      <c r="EV142" s="255"/>
      <c r="EW142" s="255"/>
      <c r="EX142" s="255"/>
      <c r="EY142" s="255"/>
      <c r="EZ142" s="255"/>
      <c r="FA142" s="255"/>
      <c r="FB142" s="255"/>
      <c r="FC142" s="255"/>
      <c r="FD142" s="255"/>
      <c r="FE142" s="255"/>
      <c r="FF142" s="255"/>
      <c r="FG142" s="255"/>
      <c r="FH142" s="255"/>
      <c r="FI142" s="255"/>
      <c r="FJ142" s="255"/>
      <c r="FK142" s="255"/>
      <c r="FL142" s="255"/>
      <c r="FM142" s="255"/>
      <c r="FN142" s="255"/>
      <c r="FO142" s="255"/>
      <c r="FP142" s="255"/>
      <c r="FQ142" s="255"/>
      <c r="FR142" s="255"/>
      <c r="FS142" s="255"/>
      <c r="FT142" s="255"/>
      <c r="FU142" s="255"/>
      <c r="FV142" s="255"/>
      <c r="FW142" s="255"/>
      <c r="FX142" s="255"/>
      <c r="FY142" s="255"/>
      <c r="FZ142" s="255"/>
      <c r="GA142" s="255"/>
      <c r="GB142" s="255"/>
      <c r="GC142" s="255"/>
      <c r="GD142" s="255"/>
      <c r="GE142" s="255"/>
      <c r="GF142" s="255"/>
      <c r="GG142" s="255"/>
      <c r="GH142" s="255"/>
      <c r="GI142" s="255"/>
      <c r="GJ142" s="255"/>
      <c r="GK142" s="255"/>
      <c r="GL142" s="255"/>
      <c r="GM142" s="255"/>
      <c r="GN142" s="255"/>
      <c r="GO142" s="255"/>
      <c r="GP142" s="255"/>
      <c r="GQ142" s="255"/>
      <c r="GR142" s="255"/>
      <c r="GS142" s="255"/>
      <c r="GT142" s="255"/>
      <c r="GU142" s="255"/>
      <c r="GV142" s="255"/>
      <c r="GW142" s="255"/>
      <c r="GX142" s="255"/>
      <c r="GY142" s="255"/>
      <c r="GZ142" s="255"/>
      <c r="HA142" s="255"/>
      <c r="HB142" s="255"/>
      <c r="HC142" s="255"/>
      <c r="HD142" s="255"/>
      <c r="HE142" s="255"/>
      <c r="HF142" s="255"/>
      <c r="HG142" s="255"/>
      <c r="HH142" s="255"/>
      <c r="HI142" s="255"/>
      <c r="HJ142" s="255"/>
      <c r="HK142" s="255"/>
      <c r="HL142" s="255"/>
      <c r="HM142" s="255"/>
      <c r="HN142" s="255"/>
      <c r="HO142" s="255"/>
      <c r="HP142" s="255"/>
      <c r="HQ142" s="255"/>
      <c r="HR142" s="255"/>
      <c r="HS142" s="255"/>
      <c r="HT142" s="255"/>
      <c r="HU142" s="255"/>
      <c r="HV142" s="255"/>
      <c r="HW142" s="255"/>
      <c r="HX142" s="255"/>
      <c r="HY142" s="255"/>
      <c r="HZ142" s="255"/>
      <c r="IA142" s="255"/>
      <c r="IB142" s="255"/>
      <c r="IC142" s="255"/>
      <c r="ID142" s="255"/>
      <c r="IE142" s="255"/>
      <c r="IF142" s="255"/>
      <c r="IG142" s="255"/>
      <c r="IH142" s="255"/>
      <c r="II142" s="255"/>
      <c r="IJ142" s="255"/>
      <c r="IK142" s="255"/>
      <c r="IL142" s="255"/>
      <c r="IM142" s="255"/>
      <c r="IN142" s="255"/>
      <c r="IO142" s="255"/>
      <c r="IP142" s="255"/>
      <c r="IQ142" s="255"/>
      <c r="IR142" s="255"/>
      <c r="IS142" s="255"/>
      <c r="IT142" s="255"/>
      <c r="IU142" s="255"/>
      <c r="IV142" s="255"/>
      <c r="IW142" s="255"/>
      <c r="IX142" s="255"/>
      <c r="IY142" s="255"/>
      <c r="IZ142" s="255"/>
      <c r="JA142" s="255"/>
      <c r="JB142" s="255"/>
      <c r="JC142" s="255"/>
      <c r="JD142" s="255"/>
      <c r="JE142" s="255"/>
      <c r="JF142" s="255"/>
      <c r="JG142" s="255"/>
      <c r="JH142" s="255"/>
      <c r="JI142" s="255"/>
      <c r="JJ142" s="255"/>
      <c r="JK142" s="255"/>
      <c r="JL142" s="255"/>
      <c r="JM142" s="255"/>
      <c r="JN142" s="255"/>
      <c r="JO142" s="255"/>
      <c r="JP142" s="255"/>
      <c r="JQ142" s="255"/>
      <c r="JR142" s="255"/>
      <c r="JS142" s="255"/>
      <c r="JT142" s="255"/>
      <c r="JU142" s="255"/>
      <c r="JV142" s="255"/>
      <c r="JW142" s="255"/>
      <c r="JX142" s="255"/>
      <c r="JY142" s="255"/>
      <c r="JZ142" s="255"/>
      <c r="KA142" s="255"/>
      <c r="KB142" s="255"/>
      <c r="KC142" s="255"/>
      <c r="KD142" s="255"/>
      <c r="KE142" s="255"/>
      <c r="KF142" s="255"/>
      <c r="KG142" s="255"/>
      <c r="KH142" s="255"/>
      <c r="KI142" s="255"/>
      <c r="KJ142" s="255"/>
      <c r="KK142" s="255"/>
      <c r="KL142" s="255"/>
      <c r="KM142" s="255"/>
      <c r="KN142" s="255"/>
      <c r="KO142" s="255"/>
      <c r="KP142" s="255"/>
      <c r="KQ142" s="255"/>
      <c r="KR142" s="255"/>
      <c r="KS142" s="255"/>
      <c r="KT142" s="255"/>
      <c r="KU142" s="255"/>
      <c r="KV142" s="255"/>
      <c r="KW142" s="255"/>
      <c r="KX142" s="255"/>
      <c r="KY142" s="255"/>
      <c r="KZ142" s="255"/>
      <c r="LA142" s="255"/>
      <c r="LB142" s="255"/>
      <c r="LC142" s="255"/>
      <c r="LD142" s="255"/>
      <c r="LE142" s="255"/>
      <c r="LF142" s="255"/>
      <c r="LG142" s="255"/>
      <c r="LH142" s="255"/>
      <c r="LI142" s="255"/>
      <c r="LJ142" s="255"/>
      <c r="LK142" s="255"/>
      <c r="LL142" s="255"/>
      <c r="LM142" s="255"/>
      <c r="LN142" s="255"/>
      <c r="LO142" s="255"/>
      <c r="LP142" s="255"/>
      <c r="LQ142" s="255"/>
      <c r="LR142" s="255"/>
      <c r="LS142" s="255"/>
      <c r="LT142" s="255"/>
      <c r="LU142" s="255"/>
      <c r="LV142" s="255"/>
      <c r="LW142" s="255"/>
      <c r="LX142" s="255"/>
      <c r="LY142" s="255"/>
      <c r="LZ142" s="255"/>
      <c r="MA142" s="255"/>
      <c r="MB142" s="255"/>
      <c r="MC142" s="255"/>
      <c r="MD142" s="255"/>
      <c r="ME142" s="255"/>
      <c r="MF142" s="255"/>
      <c r="MG142" s="255"/>
      <c r="MH142" s="255"/>
      <c r="MI142" s="255"/>
      <c r="MJ142" s="255"/>
      <c r="MK142" s="255"/>
      <c r="ML142" s="255"/>
      <c r="MM142" s="255"/>
      <c r="MN142" s="255"/>
      <c r="MO142" s="255"/>
      <c r="MP142" s="255"/>
      <c r="MQ142" s="255"/>
      <c r="MR142" s="255"/>
      <c r="MS142" s="255"/>
      <c r="MT142" s="255"/>
      <c r="MU142" s="255"/>
      <c r="MV142" s="255"/>
      <c r="MW142" s="255"/>
      <c r="MX142" s="255"/>
      <c r="MY142" s="255"/>
      <c r="MZ142" s="255"/>
      <c r="NA142" s="255"/>
      <c r="NB142" s="255"/>
      <c r="NC142" s="255"/>
      <c r="ND142" s="255"/>
      <c r="NE142" s="255"/>
      <c r="NF142" s="255"/>
      <c r="NG142" s="255"/>
      <c r="NH142" s="255"/>
      <c r="NI142" s="255"/>
      <c r="NJ142" s="255"/>
      <c r="NK142" s="255"/>
      <c r="NL142" s="255"/>
      <c r="NM142" s="255"/>
      <c r="NN142" s="255"/>
      <c r="NO142" s="255"/>
      <c r="NP142" s="255"/>
      <c r="NQ142" s="255"/>
      <c r="NR142" s="255"/>
      <c r="NS142" s="255"/>
      <c r="NT142" s="255"/>
      <c r="NU142" s="255"/>
      <c r="NV142" s="255"/>
      <c r="NW142" s="255"/>
      <c r="NX142" s="255"/>
      <c r="NY142" s="255"/>
      <c r="NZ142" s="255"/>
      <c r="OA142" s="255"/>
      <c r="OB142" s="255"/>
      <c r="OC142" s="255"/>
      <c r="OD142" s="255"/>
      <c r="OE142" s="255"/>
      <c r="OF142" s="255"/>
      <c r="OG142" s="255"/>
      <c r="OH142" s="255"/>
      <c r="OI142" s="255"/>
      <c r="OJ142" s="255"/>
      <c r="OK142" s="255"/>
      <c r="OL142" s="255"/>
      <c r="OM142" s="255"/>
      <c r="ON142" s="255"/>
      <c r="OO142" s="255"/>
      <c r="OP142" s="255"/>
      <c r="OQ142" s="255"/>
      <c r="OR142" s="255"/>
      <c r="OS142" s="255"/>
      <c r="OT142" s="255"/>
      <c r="OU142" s="255"/>
      <c r="OV142" s="255"/>
      <c r="OW142" s="255"/>
      <c r="OX142" s="255"/>
      <c r="OY142" s="255"/>
      <c r="OZ142" s="255"/>
      <c r="PA142" s="255"/>
      <c r="PB142" s="255"/>
      <c r="PC142" s="255"/>
      <c r="PD142" s="255"/>
      <c r="PE142" s="255"/>
      <c r="PF142" s="255"/>
      <c r="PG142" s="255"/>
      <c r="PH142" s="255"/>
      <c r="PI142" s="255"/>
      <c r="PJ142" s="255"/>
      <c r="PK142" s="255"/>
      <c r="PL142" s="255"/>
      <c r="PM142" s="255"/>
      <c r="PN142" s="255"/>
      <c r="PO142" s="255"/>
      <c r="PP142" s="255"/>
      <c r="PQ142" s="255"/>
      <c r="PR142" s="255"/>
      <c r="PS142" s="255"/>
      <c r="PT142" s="255"/>
      <c r="PU142" s="255"/>
      <c r="PV142" s="255"/>
      <c r="PW142" s="255"/>
      <c r="PX142" s="255"/>
      <c r="PY142" s="255"/>
      <c r="PZ142" s="255"/>
      <c r="QA142" s="255"/>
      <c r="QB142" s="255"/>
      <c r="QC142" s="255"/>
      <c r="QD142" s="255"/>
      <c r="QE142" s="255"/>
      <c r="QF142" s="255"/>
      <c r="QG142" s="255"/>
      <c r="QH142" s="255"/>
      <c r="QI142" s="255"/>
      <c r="QJ142" s="255"/>
      <c r="QK142" s="255"/>
      <c r="QL142" s="255"/>
      <c r="QM142" s="255"/>
      <c r="QN142" s="255"/>
      <c r="QO142" s="255"/>
      <c r="QP142" s="255"/>
      <c r="QQ142" s="255"/>
      <c r="QR142" s="255"/>
      <c r="QS142" s="255"/>
      <c r="QT142" s="255"/>
      <c r="QU142" s="255"/>
      <c r="QV142" s="255"/>
      <c r="QW142" s="255"/>
      <c r="QX142" s="255"/>
      <c r="QY142" s="255"/>
      <c r="QZ142" s="255"/>
      <c r="RA142" s="255"/>
      <c r="RB142" s="255"/>
      <c r="RC142" s="255"/>
      <c r="RD142" s="255"/>
      <c r="RE142" s="255"/>
      <c r="RF142" s="255"/>
      <c r="RG142" s="255"/>
      <c r="RH142" s="255"/>
      <c r="RI142" s="255"/>
      <c r="RJ142" s="255"/>
      <c r="RK142" s="255"/>
      <c r="RL142" s="255"/>
      <c r="RM142" s="255"/>
      <c r="RN142" s="255"/>
      <c r="RO142" s="255"/>
      <c r="RP142" s="255"/>
      <c r="RQ142" s="255"/>
      <c r="RR142" s="255"/>
      <c r="RS142" s="255"/>
      <c r="RT142" s="255"/>
      <c r="RU142" s="255"/>
      <c r="RV142" s="255"/>
      <c r="RW142" s="255"/>
      <c r="RX142" s="255"/>
      <c r="RY142" s="255"/>
      <c r="RZ142" s="255"/>
      <c r="SA142" s="255"/>
      <c r="SB142" s="255"/>
      <c r="SC142" s="255"/>
      <c r="SD142" s="255"/>
      <c r="SE142" s="255"/>
      <c r="SF142" s="255"/>
      <c r="SG142" s="255"/>
      <c r="SH142" s="255"/>
      <c r="SI142" s="255"/>
      <c r="SJ142" s="255"/>
      <c r="SK142" s="255"/>
      <c r="SL142" s="255"/>
      <c r="SM142" s="255"/>
      <c r="SN142" s="255"/>
      <c r="SO142" s="255"/>
      <c r="SP142" s="255"/>
      <c r="SQ142" s="255"/>
      <c r="SR142" s="255"/>
      <c r="SS142" s="255"/>
      <c r="ST142" s="255"/>
      <c r="SU142" s="255"/>
      <c r="SV142" s="255"/>
      <c r="SW142" s="255"/>
      <c r="SX142" s="255"/>
      <c r="SY142" s="255"/>
      <c r="SZ142" s="255"/>
      <c r="TA142" s="255"/>
      <c r="TB142" s="255"/>
      <c r="TC142" s="255"/>
      <c r="TD142" s="255"/>
      <c r="TE142" s="255"/>
      <c r="TF142" s="255"/>
      <c r="TG142" s="255"/>
      <c r="TH142" s="255"/>
      <c r="TI142" s="255"/>
      <c r="TJ142" s="255"/>
      <c r="TK142" s="255"/>
      <c r="TL142" s="255"/>
      <c r="TM142" s="255"/>
      <c r="TN142" s="255"/>
      <c r="TO142" s="255"/>
      <c r="TP142" s="255"/>
      <c r="TQ142" s="255"/>
      <c r="TR142" s="255"/>
      <c r="TS142" s="255"/>
      <c r="TT142" s="255"/>
      <c r="TU142" s="255"/>
      <c r="TV142" s="255"/>
      <c r="TW142" s="255"/>
      <c r="TX142" s="255"/>
      <c r="TY142" s="255"/>
      <c r="TZ142" s="255"/>
      <c r="UA142" s="255"/>
      <c r="UB142" s="255"/>
      <c r="UC142" s="255"/>
      <c r="UD142" s="255"/>
      <c r="UE142" s="255"/>
      <c r="UF142" s="255"/>
      <c r="UG142" s="255"/>
      <c r="UH142" s="255"/>
      <c r="UI142" s="255"/>
      <c r="UJ142" s="255"/>
      <c r="UK142" s="255"/>
      <c r="UL142" s="255"/>
      <c r="UM142" s="255"/>
      <c r="UN142" s="255"/>
      <c r="UO142" s="255"/>
      <c r="UP142" s="255"/>
      <c r="UQ142" s="255"/>
      <c r="UR142" s="255"/>
      <c r="US142" s="255"/>
      <c r="UT142" s="255"/>
      <c r="UU142" s="255"/>
      <c r="UV142" s="255"/>
      <c r="UW142" s="255"/>
      <c r="UX142" s="255"/>
      <c r="UY142" s="255"/>
      <c r="UZ142" s="255"/>
      <c r="VA142" s="255"/>
      <c r="VB142" s="255"/>
      <c r="VC142" s="255"/>
      <c r="VD142" s="255"/>
      <c r="VE142" s="255"/>
      <c r="VF142" s="255"/>
      <c r="VG142" s="255"/>
      <c r="VH142" s="255"/>
      <c r="VI142" s="255"/>
      <c r="VJ142" s="255"/>
      <c r="VK142" s="255"/>
      <c r="VL142" s="255"/>
      <c r="VM142" s="255"/>
      <c r="VN142" s="255"/>
      <c r="VO142" s="255"/>
      <c r="VP142" s="255"/>
      <c r="VQ142" s="255"/>
      <c r="VR142" s="255"/>
      <c r="VS142" s="255"/>
      <c r="VT142" s="255"/>
      <c r="VU142" s="255"/>
      <c r="VV142" s="255"/>
      <c r="VW142" s="255"/>
      <c r="VX142" s="255"/>
      <c r="VY142" s="255"/>
      <c r="VZ142" s="255"/>
      <c r="WA142" s="255"/>
      <c r="WB142" s="255"/>
      <c r="WC142" s="255"/>
      <c r="WD142" s="255"/>
      <c r="WE142" s="255"/>
      <c r="WF142" s="255"/>
      <c r="WG142" s="255"/>
      <c r="WH142" s="255"/>
      <c r="WI142" s="255"/>
      <c r="WJ142" s="255"/>
      <c r="WK142" s="255"/>
      <c r="WL142" s="255"/>
      <c r="WM142" s="255"/>
      <c r="WN142" s="255"/>
      <c r="WO142" s="255"/>
      <c r="WP142" s="255"/>
      <c r="WQ142" s="255"/>
      <c r="WR142" s="255"/>
      <c r="WS142" s="255"/>
      <c r="WT142" s="255"/>
      <c r="WU142" s="255"/>
      <c r="WV142" s="255"/>
      <c r="WW142" s="255"/>
      <c r="WX142" s="255"/>
      <c r="WY142" s="255"/>
      <c r="WZ142" s="255"/>
      <c r="XA142" s="255"/>
      <c r="XB142" s="255"/>
      <c r="XC142" s="255"/>
      <c r="XD142" s="255"/>
      <c r="XE142" s="255"/>
      <c r="XF142" s="255"/>
      <c r="XG142" s="255"/>
      <c r="XH142" s="255"/>
      <c r="XI142" s="255"/>
      <c r="XJ142" s="255"/>
      <c r="XK142" s="255"/>
      <c r="XL142" s="255"/>
      <c r="XM142" s="255"/>
      <c r="XN142" s="255"/>
      <c r="XO142" s="255"/>
      <c r="XP142" s="255"/>
      <c r="XQ142" s="255"/>
      <c r="XR142" s="255"/>
      <c r="XS142" s="255"/>
      <c r="XT142" s="255"/>
      <c r="XU142" s="255"/>
      <c r="XV142" s="255"/>
      <c r="XW142" s="255"/>
      <c r="XX142" s="255"/>
      <c r="XY142" s="255"/>
      <c r="XZ142" s="255"/>
      <c r="YA142" s="255"/>
      <c r="YB142" s="255"/>
      <c r="YC142" s="255"/>
      <c r="YD142" s="255"/>
      <c r="YE142" s="255"/>
      <c r="YF142" s="255"/>
      <c r="YG142" s="255"/>
      <c r="YH142" s="255"/>
      <c r="YI142" s="255"/>
      <c r="YJ142" s="255"/>
      <c r="YK142" s="255"/>
      <c r="YL142" s="255"/>
      <c r="YM142" s="255"/>
      <c r="YN142" s="255"/>
      <c r="YO142" s="255"/>
      <c r="YP142" s="255"/>
      <c r="YQ142" s="255"/>
      <c r="YR142" s="255"/>
      <c r="YS142" s="255"/>
      <c r="YT142" s="255"/>
      <c r="YU142" s="255"/>
      <c r="YV142" s="255"/>
      <c r="YW142" s="255"/>
      <c r="YX142" s="255"/>
      <c r="YY142" s="255"/>
      <c r="YZ142" s="255"/>
      <c r="ZA142" s="255"/>
      <c r="ZB142" s="255"/>
      <c r="ZC142" s="255"/>
      <c r="ZD142" s="255"/>
      <c r="ZE142" s="255"/>
      <c r="ZF142" s="255"/>
      <c r="ZG142" s="255"/>
      <c r="ZH142" s="255"/>
      <c r="ZI142" s="255"/>
      <c r="ZJ142" s="255"/>
      <c r="ZK142" s="255"/>
      <c r="ZL142" s="255"/>
      <c r="ZM142" s="255"/>
      <c r="ZN142" s="255"/>
      <c r="ZO142" s="255"/>
      <c r="ZP142" s="255"/>
      <c r="ZQ142" s="255"/>
      <c r="ZR142" s="255"/>
      <c r="ZS142" s="255"/>
      <c r="ZT142" s="255"/>
      <c r="ZU142" s="255"/>
      <c r="ZV142" s="255"/>
      <c r="ZW142" s="255"/>
      <c r="ZX142" s="255"/>
      <c r="ZY142" s="255"/>
      <c r="ZZ142" s="255"/>
      <c r="AAA142" s="255"/>
      <c r="AAB142" s="255"/>
      <c r="AAC142" s="255"/>
      <c r="AAD142" s="255"/>
      <c r="AAE142" s="255"/>
      <c r="AAF142" s="255"/>
      <c r="AAG142" s="255"/>
      <c r="AAH142" s="255"/>
      <c r="AAI142" s="255"/>
      <c r="AAJ142" s="255"/>
      <c r="AAK142" s="255"/>
      <c r="AAL142" s="255"/>
      <c r="AAM142" s="255"/>
      <c r="AAN142" s="255"/>
      <c r="AAO142" s="255"/>
      <c r="AAP142" s="255"/>
      <c r="AAQ142" s="255"/>
      <c r="AAR142" s="255"/>
      <c r="AAS142" s="255"/>
      <c r="AAT142" s="255"/>
      <c r="AAU142" s="255"/>
      <c r="AAV142" s="255"/>
      <c r="AAW142" s="255"/>
      <c r="AAX142" s="255"/>
      <c r="AAY142" s="255"/>
      <c r="AAZ142" s="255"/>
      <c r="ABA142" s="255"/>
      <c r="ABB142" s="255"/>
      <c r="ABC142" s="255"/>
      <c r="ABD142" s="255"/>
      <c r="ABE142" s="255"/>
      <c r="ABF142" s="255"/>
      <c r="ABG142" s="255"/>
      <c r="ABH142" s="255"/>
      <c r="ABI142" s="255"/>
      <c r="ABJ142" s="255"/>
      <c r="ABK142" s="255"/>
      <c r="ABL142" s="255"/>
      <c r="ABM142" s="255"/>
      <c r="ABN142" s="255"/>
      <c r="ABO142" s="255"/>
      <c r="ABP142" s="255"/>
      <c r="ABQ142" s="255"/>
      <c r="ABR142" s="255"/>
      <c r="ABS142" s="255"/>
      <c r="ABT142" s="255"/>
      <c r="ABU142" s="255"/>
      <c r="ABV142" s="255"/>
      <c r="ABW142" s="255"/>
      <c r="ABX142" s="255"/>
      <c r="ABY142" s="255"/>
      <c r="ABZ142" s="255"/>
      <c r="ACA142" s="255"/>
      <c r="ACB142" s="255"/>
      <c r="ACC142" s="255"/>
      <c r="ACD142" s="255"/>
      <c r="ACE142" s="255"/>
      <c r="ACF142" s="255"/>
      <c r="ACG142" s="255"/>
      <c r="ACH142" s="255"/>
      <c r="ACI142" s="255"/>
      <c r="ACJ142" s="255"/>
      <c r="ACK142" s="255"/>
      <c r="ACL142" s="255"/>
      <c r="ACM142" s="255"/>
      <c r="ACN142" s="255"/>
      <c r="ACO142" s="255"/>
      <c r="ACP142" s="255"/>
      <c r="ACQ142" s="255"/>
      <c r="ACR142" s="255"/>
      <c r="ACS142" s="255"/>
      <c r="ACT142" s="255"/>
      <c r="ACU142" s="255"/>
      <c r="ACV142" s="255"/>
      <c r="ACW142" s="255"/>
      <c r="ACX142" s="255"/>
      <c r="ACY142" s="255"/>
      <c r="ACZ142" s="255"/>
      <c r="ADA142" s="255"/>
      <c r="ADB142" s="255"/>
      <c r="ADC142" s="255"/>
      <c r="ADD142" s="255"/>
      <c r="ADE142" s="255"/>
      <c r="ADF142" s="255"/>
      <c r="ADG142" s="255"/>
      <c r="ADH142" s="255"/>
      <c r="ADI142" s="255"/>
      <c r="ADJ142" s="255"/>
      <c r="ADK142" s="255"/>
      <c r="ADL142" s="255"/>
      <c r="ADM142" s="255"/>
      <c r="ADN142" s="255"/>
      <c r="ADO142" s="255"/>
      <c r="ADP142" s="255"/>
      <c r="ADQ142" s="255"/>
      <c r="ADR142" s="255"/>
      <c r="ADS142" s="255"/>
      <c r="ADT142" s="255"/>
      <c r="ADU142" s="255"/>
      <c r="ADV142" s="255"/>
      <c r="ADW142" s="255"/>
      <c r="ADX142" s="255"/>
      <c r="ADY142" s="255"/>
      <c r="ADZ142" s="255"/>
      <c r="AEA142" s="255"/>
      <c r="AEB142" s="255"/>
      <c r="AEC142" s="255"/>
      <c r="AED142" s="255"/>
      <c r="AEE142" s="255"/>
      <c r="AEF142" s="255"/>
      <c r="AEG142" s="255"/>
      <c r="AEH142" s="255"/>
      <c r="AEI142" s="255"/>
      <c r="AEJ142" s="255"/>
      <c r="AEK142" s="255"/>
      <c r="AEL142" s="255"/>
      <c r="AEM142" s="255"/>
      <c r="AEN142" s="255"/>
      <c r="AEO142" s="255"/>
      <c r="AEP142" s="255"/>
      <c r="AEQ142" s="255"/>
      <c r="AER142" s="255"/>
      <c r="AES142" s="255"/>
      <c r="AET142" s="255"/>
      <c r="AEU142" s="255"/>
      <c r="AEV142" s="255"/>
      <c r="AEW142" s="255"/>
      <c r="AEX142" s="255"/>
      <c r="AEY142" s="255"/>
      <c r="AEZ142" s="255"/>
      <c r="AFA142" s="255"/>
      <c r="AFB142" s="255"/>
      <c r="AFC142" s="255"/>
      <c r="AFD142" s="255"/>
      <c r="AFE142" s="255"/>
      <c r="AFF142" s="255"/>
      <c r="AFG142" s="255"/>
      <c r="AFH142" s="255"/>
      <c r="AFI142" s="255"/>
      <c r="AFJ142" s="255"/>
      <c r="AFK142" s="255"/>
      <c r="AFL142" s="255"/>
      <c r="AFM142" s="255"/>
      <c r="AFN142" s="255"/>
      <c r="AFO142" s="255"/>
      <c r="AFP142" s="255"/>
      <c r="AFQ142" s="255"/>
      <c r="AFR142" s="255"/>
      <c r="AFS142" s="255"/>
      <c r="AFT142" s="255"/>
      <c r="AFU142" s="255"/>
      <c r="AFV142" s="255"/>
      <c r="AFW142" s="255"/>
      <c r="AFX142" s="255"/>
      <c r="AFY142" s="255"/>
      <c r="AFZ142" s="255"/>
      <c r="AGA142" s="255"/>
      <c r="AGB142" s="255"/>
      <c r="AGC142" s="255"/>
      <c r="AGD142" s="255"/>
      <c r="AGE142" s="255"/>
      <c r="AGF142" s="255"/>
      <c r="AGG142" s="255"/>
      <c r="AGH142" s="255"/>
      <c r="AGI142" s="255"/>
      <c r="AGJ142" s="255"/>
      <c r="AGK142" s="255"/>
      <c r="AGL142" s="255"/>
      <c r="AGM142" s="255"/>
      <c r="AGN142" s="255"/>
      <c r="AGO142" s="255"/>
      <c r="AGP142" s="255"/>
      <c r="AGQ142" s="255"/>
      <c r="AGR142" s="255"/>
      <c r="AGS142" s="255"/>
      <c r="AGT142" s="255"/>
      <c r="AGU142" s="255"/>
      <c r="AGV142" s="255"/>
      <c r="AGW142" s="255"/>
      <c r="AGX142" s="255"/>
      <c r="AGY142" s="255"/>
      <c r="AGZ142" s="255"/>
      <c r="AHA142" s="255"/>
      <c r="AHB142" s="255"/>
      <c r="AHC142" s="255"/>
      <c r="AHD142" s="255"/>
      <c r="AHE142" s="255"/>
      <c r="AHF142" s="255"/>
      <c r="AHG142" s="255"/>
      <c r="AHH142" s="255"/>
      <c r="AHI142" s="255"/>
      <c r="AHJ142" s="255"/>
      <c r="AHK142" s="255"/>
      <c r="AHL142" s="255"/>
      <c r="AHM142" s="255"/>
      <c r="AHN142" s="255"/>
      <c r="AHO142" s="255"/>
      <c r="AHP142" s="255"/>
      <c r="AHQ142" s="255"/>
      <c r="AHR142" s="255"/>
      <c r="AHS142" s="255"/>
      <c r="AHT142" s="255"/>
      <c r="AHU142" s="255"/>
      <c r="AHV142" s="255"/>
      <c r="AHW142" s="255"/>
      <c r="AHX142" s="255"/>
      <c r="AHY142" s="255"/>
      <c r="AHZ142" s="255"/>
      <c r="AIA142" s="255"/>
      <c r="AIB142" s="255"/>
      <c r="AIC142" s="255"/>
      <c r="AID142" s="255"/>
      <c r="AIE142" s="255"/>
      <c r="AIF142" s="255"/>
      <c r="AIG142" s="255"/>
      <c r="AIH142" s="255"/>
      <c r="AII142" s="255"/>
      <c r="AIJ142" s="255"/>
      <c r="AIK142" s="255"/>
      <c r="AIL142" s="255"/>
      <c r="AIM142" s="255"/>
      <c r="AIN142" s="255"/>
      <c r="AIO142" s="255"/>
      <c r="AIP142" s="255"/>
      <c r="AIQ142" s="255"/>
      <c r="AIR142" s="255"/>
      <c r="AIS142" s="255"/>
      <c r="AIT142" s="255"/>
      <c r="AIU142" s="255"/>
      <c r="AIV142" s="255"/>
      <c r="AIW142" s="255"/>
      <c r="AIX142" s="255"/>
      <c r="AIY142" s="255"/>
      <c r="AIZ142" s="255"/>
      <c r="AJA142" s="255"/>
      <c r="AJB142" s="255"/>
      <c r="AJC142" s="255"/>
      <c r="AJD142" s="255"/>
      <c r="AJE142" s="255"/>
      <c r="AJF142" s="255"/>
      <c r="AJG142" s="255"/>
      <c r="AJH142" s="255"/>
      <c r="AJI142" s="255"/>
      <c r="AJJ142" s="255"/>
      <c r="AJK142" s="255"/>
      <c r="AJL142" s="255"/>
      <c r="AJM142" s="255"/>
      <c r="AJN142" s="255"/>
      <c r="AJO142" s="255"/>
      <c r="AJP142" s="255"/>
      <c r="AJQ142" s="255"/>
      <c r="AJR142" s="255"/>
      <c r="AJS142" s="255"/>
      <c r="AJT142" s="255"/>
      <c r="AJU142" s="255"/>
      <c r="AJV142" s="255"/>
      <c r="AJW142" s="255"/>
      <c r="AJX142" s="255"/>
      <c r="AJY142" s="255"/>
      <c r="AJZ142" s="255"/>
      <c r="AKA142" s="255"/>
      <c r="AKB142" s="255"/>
      <c r="AKC142" s="255"/>
      <c r="AKD142" s="255"/>
      <c r="AKE142" s="255"/>
      <c r="AKF142" s="255"/>
      <c r="AKG142" s="255"/>
      <c r="AKH142" s="255"/>
      <c r="AKI142" s="255"/>
      <c r="AKJ142" s="255"/>
      <c r="AKK142" s="255"/>
      <c r="AKL142" s="255"/>
      <c r="AKM142" s="255"/>
      <c r="AKN142" s="255"/>
      <c r="AKO142" s="255"/>
      <c r="AKP142" s="255"/>
      <c r="AKQ142" s="255"/>
      <c r="AKR142" s="255"/>
      <c r="AKS142" s="255"/>
      <c r="AKT142" s="255"/>
      <c r="AKU142" s="255"/>
      <c r="AKV142" s="255"/>
      <c r="AKW142" s="255"/>
      <c r="AKX142" s="255"/>
      <c r="AKY142" s="255"/>
      <c r="AKZ142" s="255"/>
      <c r="ALA142" s="255"/>
      <c r="ALB142" s="255"/>
      <c r="ALC142" s="255"/>
      <c r="ALD142" s="255"/>
      <c r="ALE142" s="255"/>
      <c r="ALF142" s="255"/>
      <c r="ALG142" s="255"/>
      <c r="ALH142" s="255"/>
      <c r="ALI142" s="255"/>
      <c r="ALJ142" s="255"/>
      <c r="ALK142" s="255"/>
      <c r="ALL142" s="42"/>
      <c r="ALM142" s="42"/>
      <c r="ALN142" s="42"/>
      <c r="ALO142" s="42"/>
      <c r="ALP142" s="42"/>
      <c r="ALQ142" s="42"/>
      <c r="ALR142" s="42"/>
      <c r="ALS142" s="42"/>
      <c r="ALT142" s="42"/>
    </row>
    <row r="143" spans="1:1008" s="191" customFormat="1" ht="36">
      <c r="A143" s="251" t="s">
        <v>7</v>
      </c>
      <c r="B143" s="328">
        <v>87247</v>
      </c>
      <c r="C143" s="329" t="str">
        <f>(IF($A143="SINAPI",INDEX(SINAPI_NOV2020_NDES!$A$7:$H$6703,MATCH($B143,SINAPI_NOV2020_NDES!$A$7:$A$6703,0),2),IF($A143="GOINFRA",INDEX(#REF!,MATCH($B143,#REF!,0),2),(INDEX(COMPOS!$A$4:$G$390,MATCH($B143,COMPOS!$A$4:A$390,0),2)))))</f>
        <v>REVESTIMENTO CERÂMICO PARA PISO COM PLACAS TIPO ESMALTADA EXTRA DE DIMENSÕES 35X35 CM APLICADA EM AMBIENTES DE ÁREA ENTRE 5 M2 E 10 M2. AF_06/2014</v>
      </c>
      <c r="D143" s="274" t="str">
        <f>(IF($A143="SINAPI",INDEX(SINAPI_NOV2020_NDES!$A$7:$H$6790,MATCH($B143,SINAPI_NOV2020_NDES!$A$7:$A$6790,0),3),(INDEX(COMPOS!$A$4:$G$5000,MATCH($B143,COMPOS!$A$4:$A$5000,0),3))))</f>
        <v>M2</v>
      </c>
      <c r="E143" s="276">
        <v>11.18</v>
      </c>
      <c r="F143" s="279">
        <f>(IF($A143="SINAPI",INDEX(SINAPI_NOV2020_NDES!$A$7:$H$6703,MATCH($B143,SINAPI_NOV2020_NDES!$A$7:$A$6703,0),5),(INDEX(COMPOS!$A$4:$G$801,MATCH($B143,COMPOS!$A$4:A$801,0),4))))</f>
        <v>9.4499999999999993</v>
      </c>
      <c r="G143" s="280">
        <f>(IF($A143="SINAPI",INDEX(SINAPI_NOV2020_NDES!$A$7:$H$6703,MATCH($B143,SINAPI_NOV2020_NDES!$A$7:$A$6703,0),6),(INDEX(COMPOS!$A$4:$G$801,MATCH($B143,COMPOS!$A$4:A$801,0),5))))</f>
        <v>24.52</v>
      </c>
      <c r="H143" s="280">
        <f>(IF($A143="SINAPI",INDEX(SINAPI_NOV2020_NDES!$A$7:$H$6703,MATCH($B143,SINAPI_NOV2020_NDES!$A$7:$A$6703,0),7),(INDEX(COMPOS!$A$4:$G$801,MATCH($B143,COMPOS!$A$4:A$801,0),6))))</f>
        <v>0</v>
      </c>
      <c r="I143" s="279">
        <f t="shared" si="46"/>
        <v>33.97</v>
      </c>
      <c r="J143" s="276">
        <f t="shared" si="47"/>
        <v>379.78459999999995</v>
      </c>
      <c r="K143" s="255"/>
      <c r="L143" s="255"/>
      <c r="M143" s="255"/>
      <c r="N143" s="255"/>
      <c r="O143" s="257"/>
      <c r="P143" s="223"/>
      <c r="Q143" s="255"/>
      <c r="R143" s="255"/>
      <c r="S143" s="255"/>
      <c r="T143" s="255"/>
      <c r="U143" s="255"/>
      <c r="V143" s="255"/>
      <c r="W143" s="255"/>
      <c r="X143" s="255"/>
      <c r="Y143" s="255"/>
      <c r="Z143" s="255"/>
      <c r="AA143" s="255"/>
      <c r="AB143" s="255"/>
      <c r="AC143" s="255"/>
      <c r="AD143" s="255"/>
      <c r="AE143" s="255"/>
      <c r="AF143" s="255"/>
      <c r="AG143" s="255"/>
      <c r="AH143" s="255"/>
      <c r="AI143" s="255"/>
      <c r="AJ143" s="255"/>
      <c r="AK143" s="255"/>
      <c r="AL143" s="255"/>
      <c r="AM143" s="255"/>
      <c r="AN143" s="255"/>
      <c r="AO143" s="255"/>
      <c r="AP143" s="255"/>
      <c r="AQ143" s="255"/>
      <c r="AR143" s="255"/>
      <c r="AS143" s="255"/>
      <c r="AT143" s="255"/>
      <c r="AU143" s="255"/>
      <c r="AV143" s="255"/>
      <c r="AW143" s="255"/>
      <c r="AX143" s="255"/>
      <c r="AY143" s="255"/>
      <c r="AZ143" s="255"/>
      <c r="BA143" s="255"/>
      <c r="BB143" s="255"/>
      <c r="BC143" s="255"/>
      <c r="BD143" s="255"/>
      <c r="BE143" s="255"/>
      <c r="BF143" s="255"/>
      <c r="BG143" s="255"/>
      <c r="BH143" s="255"/>
      <c r="BI143" s="255"/>
      <c r="BJ143" s="255"/>
      <c r="BK143" s="255"/>
      <c r="BL143" s="255"/>
      <c r="BM143" s="255"/>
      <c r="BN143" s="255"/>
      <c r="BO143" s="255"/>
      <c r="BP143" s="255"/>
      <c r="BQ143" s="255"/>
      <c r="BR143" s="255"/>
      <c r="BS143" s="255"/>
      <c r="BT143" s="255"/>
      <c r="BU143" s="255"/>
      <c r="BV143" s="255"/>
      <c r="BW143" s="255"/>
      <c r="BX143" s="255"/>
      <c r="BY143" s="255"/>
      <c r="BZ143" s="255"/>
      <c r="CA143" s="255"/>
      <c r="CB143" s="255"/>
      <c r="CC143" s="255"/>
      <c r="CD143" s="255"/>
      <c r="CE143" s="255"/>
      <c r="CF143" s="255"/>
      <c r="CG143" s="255"/>
      <c r="CH143" s="255"/>
      <c r="CI143" s="255"/>
      <c r="CJ143" s="255"/>
      <c r="CK143" s="255"/>
      <c r="CL143" s="255"/>
      <c r="CM143" s="255"/>
      <c r="CN143" s="255"/>
      <c r="CO143" s="255"/>
      <c r="CP143" s="255"/>
      <c r="CQ143" s="255"/>
      <c r="CR143" s="255"/>
      <c r="CS143" s="255"/>
      <c r="CT143" s="255"/>
      <c r="CU143" s="255"/>
      <c r="CV143" s="255"/>
      <c r="CW143" s="255"/>
      <c r="CX143" s="255"/>
      <c r="CY143" s="255"/>
      <c r="CZ143" s="255"/>
      <c r="DA143" s="255"/>
      <c r="DB143" s="255"/>
      <c r="DC143" s="255"/>
      <c r="DD143" s="255"/>
      <c r="DE143" s="255"/>
      <c r="DF143" s="255"/>
      <c r="DG143" s="255"/>
      <c r="DH143" s="255"/>
      <c r="DI143" s="255"/>
      <c r="DJ143" s="255"/>
      <c r="DK143" s="255"/>
      <c r="DL143" s="255"/>
      <c r="DM143" s="255"/>
      <c r="DN143" s="255"/>
      <c r="DO143" s="255"/>
      <c r="DP143" s="255"/>
      <c r="DQ143" s="255"/>
      <c r="DR143" s="255"/>
      <c r="DS143" s="255"/>
      <c r="DT143" s="255"/>
      <c r="DU143" s="255"/>
      <c r="DV143" s="255"/>
      <c r="DW143" s="255"/>
      <c r="DX143" s="255"/>
      <c r="DY143" s="255"/>
      <c r="DZ143" s="255"/>
      <c r="EA143" s="255"/>
      <c r="EB143" s="255"/>
      <c r="EC143" s="255"/>
      <c r="ED143" s="255"/>
      <c r="EE143" s="255"/>
      <c r="EF143" s="255"/>
      <c r="EG143" s="255"/>
      <c r="EH143" s="255"/>
      <c r="EI143" s="255"/>
      <c r="EJ143" s="255"/>
      <c r="EK143" s="255"/>
      <c r="EL143" s="255"/>
      <c r="EM143" s="255"/>
      <c r="EN143" s="255"/>
      <c r="EO143" s="255"/>
      <c r="EP143" s="255"/>
      <c r="EQ143" s="255"/>
      <c r="ER143" s="255"/>
      <c r="ES143" s="255"/>
      <c r="ET143" s="255"/>
      <c r="EU143" s="255"/>
      <c r="EV143" s="255"/>
      <c r="EW143" s="255"/>
      <c r="EX143" s="255"/>
      <c r="EY143" s="255"/>
      <c r="EZ143" s="255"/>
      <c r="FA143" s="255"/>
      <c r="FB143" s="255"/>
      <c r="FC143" s="255"/>
      <c r="FD143" s="255"/>
      <c r="FE143" s="255"/>
      <c r="FF143" s="255"/>
      <c r="FG143" s="255"/>
      <c r="FH143" s="255"/>
      <c r="FI143" s="255"/>
      <c r="FJ143" s="255"/>
      <c r="FK143" s="255"/>
      <c r="FL143" s="255"/>
      <c r="FM143" s="255"/>
      <c r="FN143" s="255"/>
      <c r="FO143" s="255"/>
      <c r="FP143" s="255"/>
      <c r="FQ143" s="255"/>
      <c r="FR143" s="255"/>
      <c r="FS143" s="255"/>
      <c r="FT143" s="255"/>
      <c r="FU143" s="255"/>
      <c r="FV143" s="255"/>
      <c r="FW143" s="255"/>
      <c r="FX143" s="255"/>
      <c r="FY143" s="255"/>
      <c r="FZ143" s="255"/>
      <c r="GA143" s="255"/>
      <c r="GB143" s="255"/>
      <c r="GC143" s="255"/>
      <c r="GD143" s="255"/>
      <c r="GE143" s="255"/>
      <c r="GF143" s="255"/>
      <c r="GG143" s="255"/>
      <c r="GH143" s="255"/>
      <c r="GI143" s="255"/>
      <c r="GJ143" s="255"/>
      <c r="GK143" s="255"/>
      <c r="GL143" s="255"/>
      <c r="GM143" s="255"/>
      <c r="GN143" s="255"/>
      <c r="GO143" s="255"/>
      <c r="GP143" s="255"/>
      <c r="GQ143" s="255"/>
      <c r="GR143" s="255"/>
      <c r="GS143" s="255"/>
      <c r="GT143" s="255"/>
      <c r="GU143" s="255"/>
      <c r="GV143" s="255"/>
      <c r="GW143" s="255"/>
      <c r="GX143" s="255"/>
      <c r="GY143" s="255"/>
      <c r="GZ143" s="255"/>
      <c r="HA143" s="255"/>
      <c r="HB143" s="255"/>
      <c r="HC143" s="255"/>
      <c r="HD143" s="255"/>
      <c r="HE143" s="255"/>
      <c r="HF143" s="255"/>
      <c r="HG143" s="255"/>
      <c r="HH143" s="255"/>
      <c r="HI143" s="255"/>
      <c r="HJ143" s="255"/>
      <c r="HK143" s="255"/>
      <c r="HL143" s="255"/>
      <c r="HM143" s="255"/>
      <c r="HN143" s="255"/>
      <c r="HO143" s="255"/>
      <c r="HP143" s="255"/>
      <c r="HQ143" s="255"/>
      <c r="HR143" s="255"/>
      <c r="HS143" s="255"/>
      <c r="HT143" s="255"/>
      <c r="HU143" s="255"/>
      <c r="HV143" s="255"/>
      <c r="HW143" s="255"/>
      <c r="HX143" s="255"/>
      <c r="HY143" s="255"/>
      <c r="HZ143" s="255"/>
      <c r="IA143" s="255"/>
      <c r="IB143" s="255"/>
      <c r="IC143" s="255"/>
      <c r="ID143" s="255"/>
      <c r="IE143" s="255"/>
      <c r="IF143" s="255"/>
      <c r="IG143" s="255"/>
      <c r="IH143" s="255"/>
      <c r="II143" s="255"/>
      <c r="IJ143" s="255"/>
      <c r="IK143" s="255"/>
      <c r="IL143" s="255"/>
      <c r="IM143" s="255"/>
      <c r="IN143" s="255"/>
      <c r="IO143" s="255"/>
      <c r="IP143" s="255"/>
      <c r="IQ143" s="255"/>
      <c r="IR143" s="255"/>
      <c r="IS143" s="255"/>
      <c r="IT143" s="255"/>
      <c r="IU143" s="255"/>
      <c r="IV143" s="255"/>
      <c r="IW143" s="255"/>
      <c r="IX143" s="255"/>
      <c r="IY143" s="255"/>
      <c r="IZ143" s="255"/>
      <c r="JA143" s="255"/>
      <c r="JB143" s="255"/>
      <c r="JC143" s="255"/>
      <c r="JD143" s="255"/>
      <c r="JE143" s="255"/>
      <c r="JF143" s="255"/>
      <c r="JG143" s="255"/>
      <c r="JH143" s="255"/>
      <c r="JI143" s="255"/>
      <c r="JJ143" s="255"/>
      <c r="JK143" s="255"/>
      <c r="JL143" s="255"/>
      <c r="JM143" s="255"/>
      <c r="JN143" s="255"/>
      <c r="JO143" s="255"/>
      <c r="JP143" s="255"/>
      <c r="JQ143" s="255"/>
      <c r="JR143" s="255"/>
      <c r="JS143" s="255"/>
      <c r="JT143" s="255"/>
      <c r="JU143" s="255"/>
      <c r="JV143" s="255"/>
      <c r="JW143" s="255"/>
      <c r="JX143" s="255"/>
      <c r="JY143" s="255"/>
      <c r="JZ143" s="255"/>
      <c r="KA143" s="255"/>
      <c r="KB143" s="255"/>
      <c r="KC143" s="255"/>
      <c r="KD143" s="255"/>
      <c r="KE143" s="255"/>
      <c r="KF143" s="255"/>
      <c r="KG143" s="255"/>
      <c r="KH143" s="255"/>
      <c r="KI143" s="255"/>
      <c r="KJ143" s="255"/>
      <c r="KK143" s="255"/>
      <c r="KL143" s="255"/>
      <c r="KM143" s="255"/>
      <c r="KN143" s="255"/>
      <c r="KO143" s="255"/>
      <c r="KP143" s="255"/>
      <c r="KQ143" s="255"/>
      <c r="KR143" s="255"/>
      <c r="KS143" s="255"/>
      <c r="KT143" s="255"/>
      <c r="KU143" s="255"/>
      <c r="KV143" s="255"/>
      <c r="KW143" s="255"/>
      <c r="KX143" s="255"/>
      <c r="KY143" s="255"/>
      <c r="KZ143" s="255"/>
      <c r="LA143" s="255"/>
      <c r="LB143" s="255"/>
      <c r="LC143" s="255"/>
      <c r="LD143" s="255"/>
      <c r="LE143" s="255"/>
      <c r="LF143" s="255"/>
      <c r="LG143" s="255"/>
      <c r="LH143" s="255"/>
      <c r="LI143" s="255"/>
      <c r="LJ143" s="255"/>
      <c r="LK143" s="255"/>
      <c r="LL143" s="255"/>
      <c r="LM143" s="255"/>
      <c r="LN143" s="255"/>
      <c r="LO143" s="255"/>
      <c r="LP143" s="255"/>
      <c r="LQ143" s="255"/>
      <c r="LR143" s="255"/>
      <c r="LS143" s="255"/>
      <c r="LT143" s="255"/>
      <c r="LU143" s="255"/>
      <c r="LV143" s="255"/>
      <c r="LW143" s="255"/>
      <c r="LX143" s="255"/>
      <c r="LY143" s="255"/>
      <c r="LZ143" s="255"/>
      <c r="MA143" s="255"/>
      <c r="MB143" s="255"/>
      <c r="MC143" s="255"/>
      <c r="MD143" s="255"/>
      <c r="ME143" s="255"/>
      <c r="MF143" s="255"/>
      <c r="MG143" s="255"/>
      <c r="MH143" s="255"/>
      <c r="MI143" s="255"/>
      <c r="MJ143" s="255"/>
      <c r="MK143" s="255"/>
      <c r="ML143" s="255"/>
      <c r="MM143" s="255"/>
      <c r="MN143" s="255"/>
      <c r="MO143" s="255"/>
      <c r="MP143" s="255"/>
      <c r="MQ143" s="255"/>
      <c r="MR143" s="255"/>
      <c r="MS143" s="255"/>
      <c r="MT143" s="255"/>
      <c r="MU143" s="255"/>
      <c r="MV143" s="255"/>
      <c r="MW143" s="255"/>
      <c r="MX143" s="255"/>
      <c r="MY143" s="255"/>
      <c r="MZ143" s="255"/>
      <c r="NA143" s="255"/>
      <c r="NB143" s="255"/>
      <c r="NC143" s="255"/>
      <c r="ND143" s="255"/>
      <c r="NE143" s="255"/>
      <c r="NF143" s="255"/>
      <c r="NG143" s="255"/>
      <c r="NH143" s="255"/>
      <c r="NI143" s="255"/>
      <c r="NJ143" s="255"/>
      <c r="NK143" s="255"/>
      <c r="NL143" s="255"/>
      <c r="NM143" s="255"/>
      <c r="NN143" s="255"/>
      <c r="NO143" s="255"/>
      <c r="NP143" s="255"/>
      <c r="NQ143" s="255"/>
      <c r="NR143" s="255"/>
      <c r="NS143" s="255"/>
      <c r="NT143" s="255"/>
      <c r="NU143" s="255"/>
      <c r="NV143" s="255"/>
      <c r="NW143" s="255"/>
      <c r="NX143" s="255"/>
      <c r="NY143" s="255"/>
      <c r="NZ143" s="255"/>
      <c r="OA143" s="255"/>
      <c r="OB143" s="255"/>
      <c r="OC143" s="255"/>
      <c r="OD143" s="255"/>
      <c r="OE143" s="255"/>
      <c r="OF143" s="255"/>
      <c r="OG143" s="255"/>
      <c r="OH143" s="255"/>
      <c r="OI143" s="255"/>
      <c r="OJ143" s="255"/>
      <c r="OK143" s="255"/>
      <c r="OL143" s="255"/>
      <c r="OM143" s="255"/>
      <c r="ON143" s="255"/>
      <c r="OO143" s="255"/>
      <c r="OP143" s="255"/>
      <c r="OQ143" s="255"/>
      <c r="OR143" s="255"/>
      <c r="OS143" s="255"/>
      <c r="OT143" s="255"/>
      <c r="OU143" s="255"/>
      <c r="OV143" s="255"/>
      <c r="OW143" s="255"/>
      <c r="OX143" s="255"/>
      <c r="OY143" s="255"/>
      <c r="OZ143" s="255"/>
      <c r="PA143" s="255"/>
      <c r="PB143" s="255"/>
      <c r="PC143" s="255"/>
      <c r="PD143" s="255"/>
      <c r="PE143" s="255"/>
      <c r="PF143" s="255"/>
      <c r="PG143" s="255"/>
      <c r="PH143" s="255"/>
      <c r="PI143" s="255"/>
      <c r="PJ143" s="255"/>
      <c r="PK143" s="255"/>
      <c r="PL143" s="255"/>
      <c r="PM143" s="255"/>
      <c r="PN143" s="255"/>
      <c r="PO143" s="255"/>
      <c r="PP143" s="255"/>
      <c r="PQ143" s="255"/>
      <c r="PR143" s="255"/>
      <c r="PS143" s="255"/>
      <c r="PT143" s="255"/>
      <c r="PU143" s="255"/>
      <c r="PV143" s="255"/>
      <c r="PW143" s="255"/>
      <c r="PX143" s="255"/>
      <c r="PY143" s="255"/>
      <c r="PZ143" s="255"/>
      <c r="QA143" s="255"/>
      <c r="QB143" s="255"/>
      <c r="QC143" s="255"/>
      <c r="QD143" s="255"/>
      <c r="QE143" s="255"/>
      <c r="QF143" s="255"/>
      <c r="QG143" s="255"/>
      <c r="QH143" s="255"/>
      <c r="QI143" s="255"/>
      <c r="QJ143" s="255"/>
      <c r="QK143" s="255"/>
      <c r="QL143" s="255"/>
      <c r="QM143" s="255"/>
      <c r="QN143" s="255"/>
      <c r="QO143" s="255"/>
      <c r="QP143" s="255"/>
      <c r="QQ143" s="255"/>
      <c r="QR143" s="255"/>
      <c r="QS143" s="255"/>
      <c r="QT143" s="255"/>
      <c r="QU143" s="255"/>
      <c r="QV143" s="255"/>
      <c r="QW143" s="255"/>
      <c r="QX143" s="255"/>
      <c r="QY143" s="255"/>
      <c r="QZ143" s="255"/>
      <c r="RA143" s="255"/>
      <c r="RB143" s="255"/>
      <c r="RC143" s="255"/>
      <c r="RD143" s="255"/>
      <c r="RE143" s="255"/>
      <c r="RF143" s="255"/>
      <c r="RG143" s="255"/>
      <c r="RH143" s="255"/>
      <c r="RI143" s="255"/>
      <c r="RJ143" s="255"/>
      <c r="RK143" s="255"/>
      <c r="RL143" s="255"/>
      <c r="RM143" s="255"/>
      <c r="RN143" s="255"/>
      <c r="RO143" s="255"/>
      <c r="RP143" s="255"/>
      <c r="RQ143" s="255"/>
      <c r="RR143" s="255"/>
      <c r="RS143" s="255"/>
      <c r="RT143" s="255"/>
      <c r="RU143" s="255"/>
      <c r="RV143" s="255"/>
      <c r="RW143" s="255"/>
      <c r="RX143" s="255"/>
      <c r="RY143" s="255"/>
      <c r="RZ143" s="255"/>
      <c r="SA143" s="255"/>
      <c r="SB143" s="255"/>
      <c r="SC143" s="255"/>
      <c r="SD143" s="255"/>
      <c r="SE143" s="255"/>
      <c r="SF143" s="255"/>
      <c r="SG143" s="255"/>
      <c r="SH143" s="255"/>
      <c r="SI143" s="255"/>
      <c r="SJ143" s="255"/>
      <c r="SK143" s="255"/>
      <c r="SL143" s="255"/>
      <c r="SM143" s="255"/>
      <c r="SN143" s="255"/>
      <c r="SO143" s="255"/>
      <c r="SP143" s="255"/>
      <c r="SQ143" s="255"/>
      <c r="SR143" s="255"/>
      <c r="SS143" s="255"/>
      <c r="ST143" s="255"/>
      <c r="SU143" s="255"/>
      <c r="SV143" s="255"/>
      <c r="SW143" s="255"/>
      <c r="SX143" s="255"/>
      <c r="SY143" s="255"/>
      <c r="SZ143" s="255"/>
      <c r="TA143" s="255"/>
      <c r="TB143" s="255"/>
      <c r="TC143" s="255"/>
      <c r="TD143" s="255"/>
      <c r="TE143" s="255"/>
      <c r="TF143" s="255"/>
      <c r="TG143" s="255"/>
      <c r="TH143" s="255"/>
      <c r="TI143" s="255"/>
      <c r="TJ143" s="255"/>
      <c r="TK143" s="255"/>
      <c r="TL143" s="255"/>
      <c r="TM143" s="255"/>
      <c r="TN143" s="255"/>
      <c r="TO143" s="255"/>
      <c r="TP143" s="255"/>
      <c r="TQ143" s="255"/>
      <c r="TR143" s="255"/>
      <c r="TS143" s="255"/>
      <c r="TT143" s="255"/>
      <c r="TU143" s="255"/>
      <c r="TV143" s="255"/>
      <c r="TW143" s="255"/>
      <c r="TX143" s="255"/>
      <c r="TY143" s="255"/>
      <c r="TZ143" s="255"/>
      <c r="UA143" s="255"/>
      <c r="UB143" s="255"/>
      <c r="UC143" s="255"/>
      <c r="UD143" s="255"/>
      <c r="UE143" s="255"/>
      <c r="UF143" s="255"/>
      <c r="UG143" s="255"/>
      <c r="UH143" s="255"/>
      <c r="UI143" s="255"/>
      <c r="UJ143" s="255"/>
      <c r="UK143" s="255"/>
      <c r="UL143" s="255"/>
      <c r="UM143" s="255"/>
      <c r="UN143" s="255"/>
      <c r="UO143" s="255"/>
      <c r="UP143" s="255"/>
      <c r="UQ143" s="255"/>
      <c r="UR143" s="255"/>
      <c r="US143" s="255"/>
      <c r="UT143" s="255"/>
      <c r="UU143" s="255"/>
      <c r="UV143" s="255"/>
      <c r="UW143" s="255"/>
      <c r="UX143" s="255"/>
      <c r="UY143" s="255"/>
      <c r="UZ143" s="255"/>
      <c r="VA143" s="255"/>
      <c r="VB143" s="255"/>
      <c r="VC143" s="255"/>
      <c r="VD143" s="255"/>
      <c r="VE143" s="255"/>
      <c r="VF143" s="255"/>
      <c r="VG143" s="255"/>
      <c r="VH143" s="255"/>
      <c r="VI143" s="255"/>
      <c r="VJ143" s="255"/>
      <c r="VK143" s="255"/>
      <c r="VL143" s="255"/>
      <c r="VM143" s="255"/>
      <c r="VN143" s="255"/>
      <c r="VO143" s="255"/>
      <c r="VP143" s="255"/>
      <c r="VQ143" s="255"/>
      <c r="VR143" s="255"/>
      <c r="VS143" s="255"/>
      <c r="VT143" s="255"/>
      <c r="VU143" s="255"/>
      <c r="VV143" s="255"/>
      <c r="VW143" s="255"/>
      <c r="VX143" s="255"/>
      <c r="VY143" s="255"/>
      <c r="VZ143" s="255"/>
      <c r="WA143" s="255"/>
      <c r="WB143" s="255"/>
      <c r="WC143" s="255"/>
      <c r="WD143" s="255"/>
      <c r="WE143" s="255"/>
      <c r="WF143" s="255"/>
      <c r="WG143" s="255"/>
      <c r="WH143" s="255"/>
      <c r="WI143" s="255"/>
      <c r="WJ143" s="255"/>
      <c r="WK143" s="255"/>
      <c r="WL143" s="255"/>
      <c r="WM143" s="255"/>
      <c r="WN143" s="255"/>
      <c r="WO143" s="255"/>
      <c r="WP143" s="255"/>
      <c r="WQ143" s="255"/>
      <c r="WR143" s="255"/>
      <c r="WS143" s="255"/>
      <c r="WT143" s="255"/>
      <c r="WU143" s="255"/>
      <c r="WV143" s="255"/>
      <c r="WW143" s="255"/>
      <c r="WX143" s="255"/>
      <c r="WY143" s="255"/>
      <c r="WZ143" s="255"/>
      <c r="XA143" s="255"/>
      <c r="XB143" s="255"/>
      <c r="XC143" s="255"/>
      <c r="XD143" s="255"/>
      <c r="XE143" s="255"/>
      <c r="XF143" s="255"/>
      <c r="XG143" s="255"/>
      <c r="XH143" s="255"/>
      <c r="XI143" s="255"/>
      <c r="XJ143" s="255"/>
      <c r="XK143" s="255"/>
      <c r="XL143" s="255"/>
      <c r="XM143" s="255"/>
      <c r="XN143" s="255"/>
      <c r="XO143" s="255"/>
      <c r="XP143" s="255"/>
      <c r="XQ143" s="255"/>
      <c r="XR143" s="255"/>
      <c r="XS143" s="255"/>
      <c r="XT143" s="255"/>
      <c r="XU143" s="255"/>
      <c r="XV143" s="255"/>
      <c r="XW143" s="255"/>
      <c r="XX143" s="255"/>
      <c r="XY143" s="255"/>
      <c r="XZ143" s="255"/>
      <c r="YA143" s="255"/>
      <c r="YB143" s="255"/>
      <c r="YC143" s="255"/>
      <c r="YD143" s="255"/>
      <c r="YE143" s="255"/>
      <c r="YF143" s="255"/>
      <c r="YG143" s="255"/>
      <c r="YH143" s="255"/>
      <c r="YI143" s="255"/>
      <c r="YJ143" s="255"/>
      <c r="YK143" s="255"/>
      <c r="YL143" s="255"/>
      <c r="YM143" s="255"/>
      <c r="YN143" s="255"/>
      <c r="YO143" s="255"/>
      <c r="YP143" s="255"/>
      <c r="YQ143" s="255"/>
      <c r="YR143" s="255"/>
      <c r="YS143" s="255"/>
      <c r="YT143" s="255"/>
      <c r="YU143" s="255"/>
      <c r="YV143" s="255"/>
      <c r="YW143" s="255"/>
      <c r="YX143" s="255"/>
      <c r="YY143" s="255"/>
      <c r="YZ143" s="255"/>
      <c r="ZA143" s="255"/>
      <c r="ZB143" s="255"/>
      <c r="ZC143" s="255"/>
      <c r="ZD143" s="255"/>
      <c r="ZE143" s="255"/>
      <c r="ZF143" s="255"/>
      <c r="ZG143" s="255"/>
      <c r="ZH143" s="255"/>
      <c r="ZI143" s="255"/>
      <c r="ZJ143" s="255"/>
      <c r="ZK143" s="255"/>
      <c r="ZL143" s="255"/>
      <c r="ZM143" s="255"/>
      <c r="ZN143" s="255"/>
      <c r="ZO143" s="255"/>
      <c r="ZP143" s="255"/>
      <c r="ZQ143" s="255"/>
      <c r="ZR143" s="255"/>
      <c r="ZS143" s="255"/>
      <c r="ZT143" s="255"/>
      <c r="ZU143" s="255"/>
      <c r="ZV143" s="255"/>
      <c r="ZW143" s="255"/>
      <c r="ZX143" s="255"/>
      <c r="ZY143" s="255"/>
      <c r="ZZ143" s="255"/>
      <c r="AAA143" s="255"/>
      <c r="AAB143" s="255"/>
      <c r="AAC143" s="255"/>
      <c r="AAD143" s="255"/>
      <c r="AAE143" s="255"/>
      <c r="AAF143" s="255"/>
      <c r="AAG143" s="255"/>
      <c r="AAH143" s="255"/>
      <c r="AAI143" s="255"/>
      <c r="AAJ143" s="255"/>
      <c r="AAK143" s="255"/>
      <c r="AAL143" s="255"/>
      <c r="AAM143" s="255"/>
      <c r="AAN143" s="255"/>
      <c r="AAO143" s="255"/>
      <c r="AAP143" s="255"/>
      <c r="AAQ143" s="255"/>
      <c r="AAR143" s="255"/>
      <c r="AAS143" s="255"/>
      <c r="AAT143" s="255"/>
      <c r="AAU143" s="255"/>
      <c r="AAV143" s="255"/>
      <c r="AAW143" s="255"/>
      <c r="AAX143" s="255"/>
      <c r="AAY143" s="255"/>
      <c r="AAZ143" s="255"/>
      <c r="ABA143" s="255"/>
      <c r="ABB143" s="255"/>
      <c r="ABC143" s="255"/>
      <c r="ABD143" s="255"/>
      <c r="ABE143" s="255"/>
      <c r="ABF143" s="255"/>
      <c r="ABG143" s="255"/>
      <c r="ABH143" s="255"/>
      <c r="ABI143" s="255"/>
      <c r="ABJ143" s="255"/>
      <c r="ABK143" s="255"/>
      <c r="ABL143" s="255"/>
      <c r="ABM143" s="255"/>
      <c r="ABN143" s="255"/>
      <c r="ABO143" s="255"/>
      <c r="ABP143" s="255"/>
      <c r="ABQ143" s="255"/>
      <c r="ABR143" s="255"/>
      <c r="ABS143" s="255"/>
      <c r="ABT143" s="255"/>
      <c r="ABU143" s="255"/>
      <c r="ABV143" s="255"/>
      <c r="ABW143" s="255"/>
      <c r="ABX143" s="255"/>
      <c r="ABY143" s="255"/>
      <c r="ABZ143" s="255"/>
      <c r="ACA143" s="255"/>
      <c r="ACB143" s="255"/>
      <c r="ACC143" s="255"/>
      <c r="ACD143" s="255"/>
      <c r="ACE143" s="255"/>
      <c r="ACF143" s="255"/>
      <c r="ACG143" s="255"/>
      <c r="ACH143" s="255"/>
      <c r="ACI143" s="255"/>
      <c r="ACJ143" s="255"/>
      <c r="ACK143" s="255"/>
      <c r="ACL143" s="255"/>
      <c r="ACM143" s="255"/>
      <c r="ACN143" s="255"/>
      <c r="ACO143" s="255"/>
      <c r="ACP143" s="255"/>
      <c r="ACQ143" s="255"/>
      <c r="ACR143" s="255"/>
      <c r="ACS143" s="255"/>
      <c r="ACT143" s="255"/>
      <c r="ACU143" s="255"/>
      <c r="ACV143" s="255"/>
      <c r="ACW143" s="255"/>
      <c r="ACX143" s="255"/>
      <c r="ACY143" s="255"/>
      <c r="ACZ143" s="255"/>
      <c r="ADA143" s="255"/>
      <c r="ADB143" s="255"/>
      <c r="ADC143" s="255"/>
      <c r="ADD143" s="255"/>
      <c r="ADE143" s="255"/>
      <c r="ADF143" s="255"/>
      <c r="ADG143" s="255"/>
      <c r="ADH143" s="255"/>
      <c r="ADI143" s="255"/>
      <c r="ADJ143" s="255"/>
      <c r="ADK143" s="255"/>
      <c r="ADL143" s="255"/>
      <c r="ADM143" s="255"/>
      <c r="ADN143" s="255"/>
      <c r="ADO143" s="255"/>
      <c r="ADP143" s="255"/>
      <c r="ADQ143" s="255"/>
      <c r="ADR143" s="255"/>
      <c r="ADS143" s="255"/>
      <c r="ADT143" s="255"/>
      <c r="ADU143" s="255"/>
      <c r="ADV143" s="255"/>
      <c r="ADW143" s="255"/>
      <c r="ADX143" s="255"/>
      <c r="ADY143" s="255"/>
      <c r="ADZ143" s="255"/>
      <c r="AEA143" s="255"/>
      <c r="AEB143" s="255"/>
      <c r="AEC143" s="255"/>
      <c r="AED143" s="255"/>
      <c r="AEE143" s="255"/>
      <c r="AEF143" s="255"/>
      <c r="AEG143" s="255"/>
      <c r="AEH143" s="255"/>
      <c r="AEI143" s="255"/>
      <c r="AEJ143" s="255"/>
      <c r="AEK143" s="255"/>
      <c r="AEL143" s="255"/>
      <c r="AEM143" s="255"/>
      <c r="AEN143" s="255"/>
      <c r="AEO143" s="255"/>
      <c r="AEP143" s="255"/>
      <c r="AEQ143" s="255"/>
      <c r="AER143" s="255"/>
      <c r="AES143" s="255"/>
      <c r="AET143" s="255"/>
      <c r="AEU143" s="255"/>
      <c r="AEV143" s="255"/>
      <c r="AEW143" s="255"/>
      <c r="AEX143" s="255"/>
      <c r="AEY143" s="255"/>
      <c r="AEZ143" s="255"/>
      <c r="AFA143" s="255"/>
      <c r="AFB143" s="255"/>
      <c r="AFC143" s="255"/>
      <c r="AFD143" s="255"/>
      <c r="AFE143" s="255"/>
      <c r="AFF143" s="255"/>
      <c r="AFG143" s="255"/>
      <c r="AFH143" s="255"/>
      <c r="AFI143" s="255"/>
      <c r="AFJ143" s="255"/>
      <c r="AFK143" s="255"/>
      <c r="AFL143" s="255"/>
      <c r="AFM143" s="255"/>
      <c r="AFN143" s="255"/>
      <c r="AFO143" s="255"/>
      <c r="AFP143" s="255"/>
      <c r="AFQ143" s="255"/>
      <c r="AFR143" s="255"/>
      <c r="AFS143" s="255"/>
      <c r="AFT143" s="255"/>
      <c r="AFU143" s="255"/>
      <c r="AFV143" s="255"/>
      <c r="AFW143" s="255"/>
      <c r="AFX143" s="255"/>
      <c r="AFY143" s="255"/>
      <c r="AFZ143" s="255"/>
      <c r="AGA143" s="255"/>
      <c r="AGB143" s="255"/>
      <c r="AGC143" s="255"/>
      <c r="AGD143" s="255"/>
      <c r="AGE143" s="255"/>
      <c r="AGF143" s="255"/>
      <c r="AGG143" s="255"/>
      <c r="AGH143" s="255"/>
      <c r="AGI143" s="255"/>
      <c r="AGJ143" s="255"/>
      <c r="AGK143" s="255"/>
      <c r="AGL143" s="255"/>
      <c r="AGM143" s="255"/>
      <c r="AGN143" s="255"/>
      <c r="AGO143" s="255"/>
      <c r="AGP143" s="255"/>
      <c r="AGQ143" s="255"/>
      <c r="AGR143" s="255"/>
      <c r="AGS143" s="255"/>
      <c r="AGT143" s="255"/>
      <c r="AGU143" s="255"/>
      <c r="AGV143" s="255"/>
      <c r="AGW143" s="255"/>
      <c r="AGX143" s="255"/>
      <c r="AGY143" s="255"/>
      <c r="AGZ143" s="255"/>
      <c r="AHA143" s="255"/>
      <c r="AHB143" s="255"/>
      <c r="AHC143" s="255"/>
      <c r="AHD143" s="255"/>
      <c r="AHE143" s="255"/>
      <c r="AHF143" s="255"/>
      <c r="AHG143" s="255"/>
      <c r="AHH143" s="255"/>
      <c r="AHI143" s="255"/>
      <c r="AHJ143" s="255"/>
      <c r="AHK143" s="255"/>
      <c r="AHL143" s="255"/>
      <c r="AHM143" s="255"/>
      <c r="AHN143" s="255"/>
      <c r="AHO143" s="255"/>
      <c r="AHP143" s="255"/>
      <c r="AHQ143" s="255"/>
      <c r="AHR143" s="255"/>
      <c r="AHS143" s="255"/>
      <c r="AHT143" s="255"/>
      <c r="AHU143" s="255"/>
      <c r="AHV143" s="255"/>
      <c r="AHW143" s="255"/>
      <c r="AHX143" s="255"/>
      <c r="AHY143" s="255"/>
      <c r="AHZ143" s="255"/>
      <c r="AIA143" s="255"/>
      <c r="AIB143" s="255"/>
      <c r="AIC143" s="255"/>
      <c r="AID143" s="255"/>
      <c r="AIE143" s="255"/>
      <c r="AIF143" s="255"/>
      <c r="AIG143" s="255"/>
      <c r="AIH143" s="255"/>
      <c r="AII143" s="255"/>
      <c r="AIJ143" s="255"/>
      <c r="AIK143" s="255"/>
      <c r="AIL143" s="255"/>
      <c r="AIM143" s="255"/>
      <c r="AIN143" s="255"/>
      <c r="AIO143" s="255"/>
      <c r="AIP143" s="255"/>
      <c r="AIQ143" s="255"/>
      <c r="AIR143" s="255"/>
      <c r="AIS143" s="255"/>
      <c r="AIT143" s="255"/>
      <c r="AIU143" s="255"/>
      <c r="AIV143" s="255"/>
      <c r="AIW143" s="255"/>
      <c r="AIX143" s="255"/>
      <c r="AIY143" s="255"/>
      <c r="AIZ143" s="255"/>
      <c r="AJA143" s="255"/>
      <c r="AJB143" s="255"/>
      <c r="AJC143" s="255"/>
      <c r="AJD143" s="255"/>
      <c r="AJE143" s="255"/>
      <c r="AJF143" s="255"/>
      <c r="AJG143" s="255"/>
      <c r="AJH143" s="255"/>
      <c r="AJI143" s="255"/>
      <c r="AJJ143" s="255"/>
      <c r="AJK143" s="255"/>
      <c r="AJL143" s="255"/>
      <c r="AJM143" s="255"/>
      <c r="AJN143" s="255"/>
      <c r="AJO143" s="255"/>
      <c r="AJP143" s="255"/>
      <c r="AJQ143" s="255"/>
      <c r="AJR143" s="255"/>
      <c r="AJS143" s="255"/>
      <c r="AJT143" s="255"/>
      <c r="AJU143" s="255"/>
      <c r="AJV143" s="255"/>
      <c r="AJW143" s="255"/>
      <c r="AJX143" s="255"/>
      <c r="AJY143" s="255"/>
      <c r="AJZ143" s="255"/>
      <c r="AKA143" s="255"/>
      <c r="AKB143" s="255"/>
      <c r="AKC143" s="255"/>
      <c r="AKD143" s="255"/>
      <c r="AKE143" s="255"/>
      <c r="AKF143" s="255"/>
      <c r="AKG143" s="255"/>
      <c r="AKH143" s="255"/>
      <c r="AKI143" s="255"/>
      <c r="AKJ143" s="255"/>
      <c r="AKK143" s="255"/>
      <c r="AKL143" s="255"/>
      <c r="AKM143" s="255"/>
      <c r="AKN143" s="255"/>
      <c r="AKO143" s="255"/>
      <c r="AKP143" s="255"/>
      <c r="AKQ143" s="255"/>
      <c r="AKR143" s="255"/>
      <c r="AKS143" s="255"/>
      <c r="AKT143" s="255"/>
      <c r="AKU143" s="255"/>
      <c r="AKV143" s="255"/>
      <c r="AKW143" s="255"/>
      <c r="AKX143" s="255"/>
      <c r="AKY143" s="255"/>
      <c r="AKZ143" s="255"/>
      <c r="ALA143" s="255"/>
      <c r="ALB143" s="255"/>
      <c r="ALC143" s="255"/>
      <c r="ALD143" s="255"/>
      <c r="ALE143" s="255"/>
      <c r="ALF143" s="255"/>
      <c r="ALG143" s="255"/>
      <c r="ALH143" s="255"/>
      <c r="ALI143" s="255"/>
      <c r="ALJ143" s="255"/>
      <c r="ALK143" s="255"/>
      <c r="ALL143" s="42"/>
      <c r="ALM143" s="42"/>
      <c r="ALN143" s="42"/>
      <c r="ALO143" s="42"/>
      <c r="ALP143" s="42"/>
      <c r="ALQ143" s="42"/>
      <c r="ALR143" s="42"/>
      <c r="ALS143" s="42"/>
      <c r="ALT143" s="42"/>
    </row>
    <row r="144" spans="1:1008" s="191" customFormat="1" ht="24">
      <c r="A144" s="251" t="s">
        <v>7</v>
      </c>
      <c r="B144" s="328">
        <v>88648</v>
      </c>
      <c r="C144" s="329" t="str">
        <f>(IF($A144="SINAPI",INDEX(SINAPI_NOV2020_NDES!$A$7:$H$6703,MATCH($B144,SINAPI_NOV2020_NDES!$A$7:$A$6703,0),2),IF($A144="GOINFRA",INDEX(#REF!,MATCH($B144,#REF!,0),2),(INDEX(COMPOS!$A$4:$G$390,MATCH($B144,COMPOS!$A$4:A$390,0),2)))))</f>
        <v>RODAPÉ CERÂMICO DE 7CM DE ALTURA COM PLACAS TIPO ESMALTADA EXTRA  DE DIMENSÕES 35X35CM. AF_06/2014</v>
      </c>
      <c r="D144" s="274" t="str">
        <f>(IF($A144="SINAPI",INDEX(SINAPI_NOV2020_NDES!$A$7:$H$6790,MATCH($B144,SINAPI_NOV2020_NDES!$A$7:$A$6790,0),3),(INDEX(COMPOS!$A$4:$G$5000,MATCH($B144,COMPOS!$A$4:$A$5000,0),3))))</f>
        <v>M</v>
      </c>
      <c r="E144" s="276">
        <v>10.8</v>
      </c>
      <c r="F144" s="279">
        <f>(IF($A144="SINAPI",INDEX(SINAPI_NOV2020_NDES!$A$7:$H$6703,MATCH($B144,SINAPI_NOV2020_NDES!$A$7:$A$6703,0),5),(INDEX(COMPOS!$A$4:$G$801,MATCH($B144,COMPOS!$A$4:A$801,0),4))))</f>
        <v>1.52</v>
      </c>
      <c r="G144" s="280">
        <f>(IF($A144="SINAPI",INDEX(SINAPI_NOV2020_NDES!$A$7:$H$6703,MATCH($B144,SINAPI_NOV2020_NDES!$A$7:$A$6703,0),6),(INDEX(COMPOS!$A$4:$G$801,MATCH($B144,COMPOS!$A$4:A$801,0),5))))</f>
        <v>3.14</v>
      </c>
      <c r="H144" s="280">
        <f>(IF($A144="SINAPI",INDEX(SINAPI_NOV2020_NDES!$A$7:$H$6703,MATCH($B144,SINAPI_NOV2020_NDES!$A$7:$A$6703,0),7),(INDEX(COMPOS!$A$4:$G$801,MATCH($B144,COMPOS!$A$4:A$801,0),6))))</f>
        <v>0</v>
      </c>
      <c r="I144" s="279">
        <f t="shared" si="46"/>
        <v>4.66</v>
      </c>
      <c r="J144" s="276">
        <f t="shared" si="47"/>
        <v>50.328000000000003</v>
      </c>
      <c r="K144" s="255"/>
      <c r="L144" s="255"/>
      <c r="M144" s="255"/>
      <c r="N144" s="255"/>
      <c r="O144" s="257"/>
      <c r="P144" s="223"/>
      <c r="Q144" s="255"/>
      <c r="R144" s="255"/>
      <c r="S144" s="255"/>
      <c r="T144" s="255"/>
      <c r="U144" s="255"/>
      <c r="V144" s="255"/>
      <c r="W144" s="255"/>
      <c r="X144" s="255"/>
      <c r="Y144" s="255"/>
      <c r="Z144" s="255"/>
      <c r="AA144" s="255"/>
      <c r="AB144" s="255"/>
      <c r="AC144" s="255"/>
      <c r="AD144" s="255"/>
      <c r="AE144" s="255"/>
      <c r="AF144" s="255"/>
      <c r="AG144" s="255"/>
      <c r="AH144" s="255"/>
      <c r="AI144" s="255"/>
      <c r="AJ144" s="255"/>
      <c r="AK144" s="255"/>
      <c r="AL144" s="255"/>
      <c r="AM144" s="255"/>
      <c r="AN144" s="255"/>
      <c r="AO144" s="255"/>
      <c r="AP144" s="255"/>
      <c r="AQ144" s="255"/>
      <c r="AR144" s="255"/>
      <c r="AS144" s="255"/>
      <c r="AT144" s="255"/>
      <c r="AU144" s="255"/>
      <c r="AV144" s="255"/>
      <c r="AW144" s="255"/>
      <c r="AX144" s="255"/>
      <c r="AY144" s="255"/>
      <c r="AZ144" s="255"/>
      <c r="BA144" s="255"/>
      <c r="BB144" s="255"/>
      <c r="BC144" s="255"/>
      <c r="BD144" s="255"/>
      <c r="BE144" s="255"/>
      <c r="BF144" s="255"/>
      <c r="BG144" s="255"/>
      <c r="BH144" s="255"/>
      <c r="BI144" s="255"/>
      <c r="BJ144" s="255"/>
      <c r="BK144" s="255"/>
      <c r="BL144" s="255"/>
      <c r="BM144" s="255"/>
      <c r="BN144" s="255"/>
      <c r="BO144" s="255"/>
      <c r="BP144" s="255"/>
      <c r="BQ144" s="255"/>
      <c r="BR144" s="255"/>
      <c r="BS144" s="255"/>
      <c r="BT144" s="255"/>
      <c r="BU144" s="255"/>
      <c r="BV144" s="255"/>
      <c r="BW144" s="255"/>
      <c r="BX144" s="255"/>
      <c r="BY144" s="255"/>
      <c r="BZ144" s="255"/>
      <c r="CA144" s="255"/>
      <c r="CB144" s="255"/>
      <c r="CC144" s="255"/>
      <c r="CD144" s="255"/>
      <c r="CE144" s="255"/>
      <c r="CF144" s="255"/>
      <c r="CG144" s="255"/>
      <c r="CH144" s="255"/>
      <c r="CI144" s="255"/>
      <c r="CJ144" s="255"/>
      <c r="CK144" s="255"/>
      <c r="CL144" s="255"/>
      <c r="CM144" s="255"/>
      <c r="CN144" s="255"/>
      <c r="CO144" s="255"/>
      <c r="CP144" s="255"/>
      <c r="CQ144" s="255"/>
      <c r="CR144" s="255"/>
      <c r="CS144" s="255"/>
      <c r="CT144" s="255"/>
      <c r="CU144" s="255"/>
      <c r="CV144" s="255"/>
      <c r="CW144" s="255"/>
      <c r="CX144" s="255"/>
      <c r="CY144" s="255"/>
      <c r="CZ144" s="255"/>
      <c r="DA144" s="255"/>
      <c r="DB144" s="255"/>
      <c r="DC144" s="255"/>
      <c r="DD144" s="255"/>
      <c r="DE144" s="255"/>
      <c r="DF144" s="255"/>
      <c r="DG144" s="255"/>
      <c r="DH144" s="255"/>
      <c r="DI144" s="255"/>
      <c r="DJ144" s="255"/>
      <c r="DK144" s="255"/>
      <c r="DL144" s="255"/>
      <c r="DM144" s="255"/>
      <c r="DN144" s="255"/>
      <c r="DO144" s="255"/>
      <c r="DP144" s="255"/>
      <c r="DQ144" s="255"/>
      <c r="DR144" s="255"/>
      <c r="DS144" s="255"/>
      <c r="DT144" s="255"/>
      <c r="DU144" s="255"/>
      <c r="DV144" s="255"/>
      <c r="DW144" s="255"/>
      <c r="DX144" s="255"/>
      <c r="DY144" s="255"/>
      <c r="DZ144" s="255"/>
      <c r="EA144" s="255"/>
      <c r="EB144" s="255"/>
      <c r="EC144" s="255"/>
      <c r="ED144" s="255"/>
      <c r="EE144" s="255"/>
      <c r="EF144" s="255"/>
      <c r="EG144" s="255"/>
      <c r="EH144" s="255"/>
      <c r="EI144" s="255"/>
      <c r="EJ144" s="255"/>
      <c r="EK144" s="255"/>
      <c r="EL144" s="255"/>
      <c r="EM144" s="255"/>
      <c r="EN144" s="255"/>
      <c r="EO144" s="255"/>
      <c r="EP144" s="255"/>
      <c r="EQ144" s="255"/>
      <c r="ER144" s="255"/>
      <c r="ES144" s="255"/>
      <c r="ET144" s="255"/>
      <c r="EU144" s="255"/>
      <c r="EV144" s="255"/>
      <c r="EW144" s="255"/>
      <c r="EX144" s="255"/>
      <c r="EY144" s="255"/>
      <c r="EZ144" s="255"/>
      <c r="FA144" s="255"/>
      <c r="FB144" s="255"/>
      <c r="FC144" s="255"/>
      <c r="FD144" s="255"/>
      <c r="FE144" s="255"/>
      <c r="FF144" s="255"/>
      <c r="FG144" s="255"/>
      <c r="FH144" s="255"/>
      <c r="FI144" s="255"/>
      <c r="FJ144" s="255"/>
      <c r="FK144" s="255"/>
      <c r="FL144" s="255"/>
      <c r="FM144" s="255"/>
      <c r="FN144" s="255"/>
      <c r="FO144" s="255"/>
      <c r="FP144" s="255"/>
      <c r="FQ144" s="255"/>
      <c r="FR144" s="255"/>
      <c r="FS144" s="255"/>
      <c r="FT144" s="255"/>
      <c r="FU144" s="255"/>
      <c r="FV144" s="255"/>
      <c r="FW144" s="255"/>
      <c r="FX144" s="255"/>
      <c r="FY144" s="255"/>
      <c r="FZ144" s="255"/>
      <c r="GA144" s="255"/>
      <c r="GB144" s="255"/>
      <c r="GC144" s="255"/>
      <c r="GD144" s="255"/>
      <c r="GE144" s="255"/>
      <c r="GF144" s="255"/>
      <c r="GG144" s="255"/>
      <c r="GH144" s="255"/>
      <c r="GI144" s="255"/>
      <c r="GJ144" s="255"/>
      <c r="GK144" s="255"/>
      <c r="GL144" s="255"/>
      <c r="GM144" s="255"/>
      <c r="GN144" s="255"/>
      <c r="GO144" s="255"/>
      <c r="GP144" s="255"/>
      <c r="GQ144" s="255"/>
      <c r="GR144" s="255"/>
      <c r="GS144" s="255"/>
      <c r="GT144" s="255"/>
      <c r="GU144" s="255"/>
      <c r="GV144" s="255"/>
      <c r="GW144" s="255"/>
      <c r="GX144" s="255"/>
      <c r="GY144" s="255"/>
      <c r="GZ144" s="255"/>
      <c r="HA144" s="255"/>
      <c r="HB144" s="255"/>
      <c r="HC144" s="255"/>
      <c r="HD144" s="255"/>
      <c r="HE144" s="255"/>
      <c r="HF144" s="255"/>
      <c r="HG144" s="255"/>
      <c r="HH144" s="255"/>
      <c r="HI144" s="255"/>
      <c r="HJ144" s="255"/>
      <c r="HK144" s="255"/>
      <c r="HL144" s="255"/>
      <c r="HM144" s="255"/>
      <c r="HN144" s="255"/>
      <c r="HO144" s="255"/>
      <c r="HP144" s="255"/>
      <c r="HQ144" s="255"/>
      <c r="HR144" s="255"/>
      <c r="HS144" s="255"/>
      <c r="HT144" s="255"/>
      <c r="HU144" s="255"/>
      <c r="HV144" s="255"/>
      <c r="HW144" s="255"/>
      <c r="HX144" s="255"/>
      <c r="HY144" s="255"/>
      <c r="HZ144" s="255"/>
      <c r="IA144" s="255"/>
      <c r="IB144" s="255"/>
      <c r="IC144" s="255"/>
      <c r="ID144" s="255"/>
      <c r="IE144" s="255"/>
      <c r="IF144" s="255"/>
      <c r="IG144" s="255"/>
      <c r="IH144" s="255"/>
      <c r="II144" s="255"/>
      <c r="IJ144" s="255"/>
      <c r="IK144" s="255"/>
      <c r="IL144" s="255"/>
      <c r="IM144" s="255"/>
      <c r="IN144" s="255"/>
      <c r="IO144" s="255"/>
      <c r="IP144" s="255"/>
      <c r="IQ144" s="255"/>
      <c r="IR144" s="255"/>
      <c r="IS144" s="255"/>
      <c r="IT144" s="255"/>
      <c r="IU144" s="255"/>
      <c r="IV144" s="255"/>
      <c r="IW144" s="255"/>
      <c r="IX144" s="255"/>
      <c r="IY144" s="255"/>
      <c r="IZ144" s="255"/>
      <c r="JA144" s="255"/>
      <c r="JB144" s="255"/>
      <c r="JC144" s="255"/>
      <c r="JD144" s="255"/>
      <c r="JE144" s="255"/>
      <c r="JF144" s="255"/>
      <c r="JG144" s="255"/>
      <c r="JH144" s="255"/>
      <c r="JI144" s="255"/>
      <c r="JJ144" s="255"/>
      <c r="JK144" s="255"/>
      <c r="JL144" s="255"/>
      <c r="JM144" s="255"/>
      <c r="JN144" s="255"/>
      <c r="JO144" s="255"/>
      <c r="JP144" s="255"/>
      <c r="JQ144" s="255"/>
      <c r="JR144" s="255"/>
      <c r="JS144" s="255"/>
      <c r="JT144" s="255"/>
      <c r="JU144" s="255"/>
      <c r="JV144" s="255"/>
      <c r="JW144" s="255"/>
      <c r="JX144" s="255"/>
      <c r="JY144" s="255"/>
      <c r="JZ144" s="255"/>
      <c r="KA144" s="255"/>
      <c r="KB144" s="255"/>
      <c r="KC144" s="255"/>
      <c r="KD144" s="255"/>
      <c r="KE144" s="255"/>
      <c r="KF144" s="255"/>
      <c r="KG144" s="255"/>
      <c r="KH144" s="255"/>
      <c r="KI144" s="255"/>
      <c r="KJ144" s="255"/>
      <c r="KK144" s="255"/>
      <c r="KL144" s="255"/>
      <c r="KM144" s="255"/>
      <c r="KN144" s="255"/>
      <c r="KO144" s="255"/>
      <c r="KP144" s="255"/>
      <c r="KQ144" s="255"/>
      <c r="KR144" s="255"/>
      <c r="KS144" s="255"/>
      <c r="KT144" s="255"/>
      <c r="KU144" s="255"/>
      <c r="KV144" s="255"/>
      <c r="KW144" s="255"/>
      <c r="KX144" s="255"/>
      <c r="KY144" s="255"/>
      <c r="KZ144" s="255"/>
      <c r="LA144" s="255"/>
      <c r="LB144" s="255"/>
      <c r="LC144" s="255"/>
      <c r="LD144" s="255"/>
      <c r="LE144" s="255"/>
      <c r="LF144" s="255"/>
      <c r="LG144" s="255"/>
      <c r="LH144" s="255"/>
      <c r="LI144" s="255"/>
      <c r="LJ144" s="255"/>
      <c r="LK144" s="255"/>
      <c r="LL144" s="255"/>
      <c r="LM144" s="255"/>
      <c r="LN144" s="255"/>
      <c r="LO144" s="255"/>
      <c r="LP144" s="255"/>
      <c r="LQ144" s="255"/>
      <c r="LR144" s="255"/>
      <c r="LS144" s="255"/>
      <c r="LT144" s="255"/>
      <c r="LU144" s="255"/>
      <c r="LV144" s="255"/>
      <c r="LW144" s="255"/>
      <c r="LX144" s="255"/>
      <c r="LY144" s="255"/>
      <c r="LZ144" s="255"/>
      <c r="MA144" s="255"/>
      <c r="MB144" s="255"/>
      <c r="MC144" s="255"/>
      <c r="MD144" s="255"/>
      <c r="ME144" s="255"/>
      <c r="MF144" s="255"/>
      <c r="MG144" s="255"/>
      <c r="MH144" s="255"/>
      <c r="MI144" s="255"/>
      <c r="MJ144" s="255"/>
      <c r="MK144" s="255"/>
      <c r="ML144" s="255"/>
      <c r="MM144" s="255"/>
      <c r="MN144" s="255"/>
      <c r="MO144" s="255"/>
      <c r="MP144" s="255"/>
      <c r="MQ144" s="255"/>
      <c r="MR144" s="255"/>
      <c r="MS144" s="255"/>
      <c r="MT144" s="255"/>
      <c r="MU144" s="255"/>
      <c r="MV144" s="255"/>
      <c r="MW144" s="255"/>
      <c r="MX144" s="255"/>
      <c r="MY144" s="255"/>
      <c r="MZ144" s="255"/>
      <c r="NA144" s="255"/>
      <c r="NB144" s="255"/>
      <c r="NC144" s="255"/>
      <c r="ND144" s="255"/>
      <c r="NE144" s="255"/>
      <c r="NF144" s="255"/>
      <c r="NG144" s="255"/>
      <c r="NH144" s="255"/>
      <c r="NI144" s="255"/>
      <c r="NJ144" s="255"/>
      <c r="NK144" s="255"/>
      <c r="NL144" s="255"/>
      <c r="NM144" s="255"/>
      <c r="NN144" s="255"/>
      <c r="NO144" s="255"/>
      <c r="NP144" s="255"/>
      <c r="NQ144" s="255"/>
      <c r="NR144" s="255"/>
      <c r="NS144" s="255"/>
      <c r="NT144" s="255"/>
      <c r="NU144" s="255"/>
      <c r="NV144" s="255"/>
      <c r="NW144" s="255"/>
      <c r="NX144" s="255"/>
      <c r="NY144" s="255"/>
      <c r="NZ144" s="255"/>
      <c r="OA144" s="255"/>
      <c r="OB144" s="255"/>
      <c r="OC144" s="255"/>
      <c r="OD144" s="255"/>
      <c r="OE144" s="255"/>
      <c r="OF144" s="255"/>
      <c r="OG144" s="255"/>
      <c r="OH144" s="255"/>
      <c r="OI144" s="255"/>
      <c r="OJ144" s="255"/>
      <c r="OK144" s="255"/>
      <c r="OL144" s="255"/>
      <c r="OM144" s="255"/>
      <c r="ON144" s="255"/>
      <c r="OO144" s="255"/>
      <c r="OP144" s="255"/>
      <c r="OQ144" s="255"/>
      <c r="OR144" s="255"/>
      <c r="OS144" s="255"/>
      <c r="OT144" s="255"/>
      <c r="OU144" s="255"/>
      <c r="OV144" s="255"/>
      <c r="OW144" s="255"/>
      <c r="OX144" s="255"/>
      <c r="OY144" s="255"/>
      <c r="OZ144" s="255"/>
      <c r="PA144" s="255"/>
      <c r="PB144" s="255"/>
      <c r="PC144" s="255"/>
      <c r="PD144" s="255"/>
      <c r="PE144" s="255"/>
      <c r="PF144" s="255"/>
      <c r="PG144" s="255"/>
      <c r="PH144" s="255"/>
      <c r="PI144" s="255"/>
      <c r="PJ144" s="255"/>
      <c r="PK144" s="255"/>
      <c r="PL144" s="255"/>
      <c r="PM144" s="255"/>
      <c r="PN144" s="255"/>
      <c r="PO144" s="255"/>
      <c r="PP144" s="255"/>
      <c r="PQ144" s="255"/>
      <c r="PR144" s="255"/>
      <c r="PS144" s="255"/>
      <c r="PT144" s="255"/>
      <c r="PU144" s="255"/>
      <c r="PV144" s="255"/>
      <c r="PW144" s="255"/>
      <c r="PX144" s="255"/>
      <c r="PY144" s="255"/>
      <c r="PZ144" s="255"/>
      <c r="QA144" s="255"/>
      <c r="QB144" s="255"/>
      <c r="QC144" s="255"/>
      <c r="QD144" s="255"/>
      <c r="QE144" s="255"/>
      <c r="QF144" s="255"/>
      <c r="QG144" s="255"/>
      <c r="QH144" s="255"/>
      <c r="QI144" s="255"/>
      <c r="QJ144" s="255"/>
      <c r="QK144" s="255"/>
      <c r="QL144" s="255"/>
      <c r="QM144" s="255"/>
      <c r="QN144" s="255"/>
      <c r="QO144" s="255"/>
      <c r="QP144" s="255"/>
      <c r="QQ144" s="255"/>
      <c r="QR144" s="255"/>
      <c r="QS144" s="255"/>
      <c r="QT144" s="255"/>
      <c r="QU144" s="255"/>
      <c r="QV144" s="255"/>
      <c r="QW144" s="255"/>
      <c r="QX144" s="255"/>
      <c r="QY144" s="255"/>
      <c r="QZ144" s="255"/>
      <c r="RA144" s="255"/>
      <c r="RB144" s="255"/>
      <c r="RC144" s="255"/>
      <c r="RD144" s="255"/>
      <c r="RE144" s="255"/>
      <c r="RF144" s="255"/>
      <c r="RG144" s="255"/>
      <c r="RH144" s="255"/>
      <c r="RI144" s="255"/>
      <c r="RJ144" s="255"/>
      <c r="RK144" s="255"/>
      <c r="RL144" s="255"/>
      <c r="RM144" s="255"/>
      <c r="RN144" s="255"/>
      <c r="RO144" s="255"/>
      <c r="RP144" s="255"/>
      <c r="RQ144" s="255"/>
      <c r="RR144" s="255"/>
      <c r="RS144" s="255"/>
      <c r="RT144" s="255"/>
      <c r="RU144" s="255"/>
      <c r="RV144" s="255"/>
      <c r="RW144" s="255"/>
      <c r="RX144" s="255"/>
      <c r="RY144" s="255"/>
      <c r="RZ144" s="255"/>
      <c r="SA144" s="255"/>
      <c r="SB144" s="255"/>
      <c r="SC144" s="255"/>
      <c r="SD144" s="255"/>
      <c r="SE144" s="255"/>
      <c r="SF144" s="255"/>
      <c r="SG144" s="255"/>
      <c r="SH144" s="255"/>
      <c r="SI144" s="255"/>
      <c r="SJ144" s="255"/>
      <c r="SK144" s="255"/>
      <c r="SL144" s="255"/>
      <c r="SM144" s="255"/>
      <c r="SN144" s="255"/>
      <c r="SO144" s="255"/>
      <c r="SP144" s="255"/>
      <c r="SQ144" s="255"/>
      <c r="SR144" s="255"/>
      <c r="SS144" s="255"/>
      <c r="ST144" s="255"/>
      <c r="SU144" s="255"/>
      <c r="SV144" s="255"/>
      <c r="SW144" s="255"/>
      <c r="SX144" s="255"/>
      <c r="SY144" s="255"/>
      <c r="SZ144" s="255"/>
      <c r="TA144" s="255"/>
      <c r="TB144" s="255"/>
      <c r="TC144" s="255"/>
      <c r="TD144" s="255"/>
      <c r="TE144" s="255"/>
      <c r="TF144" s="255"/>
      <c r="TG144" s="255"/>
      <c r="TH144" s="255"/>
      <c r="TI144" s="255"/>
      <c r="TJ144" s="255"/>
      <c r="TK144" s="255"/>
      <c r="TL144" s="255"/>
      <c r="TM144" s="255"/>
      <c r="TN144" s="255"/>
      <c r="TO144" s="255"/>
      <c r="TP144" s="255"/>
      <c r="TQ144" s="255"/>
      <c r="TR144" s="255"/>
      <c r="TS144" s="255"/>
      <c r="TT144" s="255"/>
      <c r="TU144" s="255"/>
      <c r="TV144" s="255"/>
      <c r="TW144" s="255"/>
      <c r="TX144" s="255"/>
      <c r="TY144" s="255"/>
      <c r="TZ144" s="255"/>
      <c r="UA144" s="255"/>
      <c r="UB144" s="255"/>
      <c r="UC144" s="255"/>
      <c r="UD144" s="255"/>
      <c r="UE144" s="255"/>
      <c r="UF144" s="255"/>
      <c r="UG144" s="255"/>
      <c r="UH144" s="255"/>
      <c r="UI144" s="255"/>
      <c r="UJ144" s="255"/>
      <c r="UK144" s="255"/>
      <c r="UL144" s="255"/>
      <c r="UM144" s="255"/>
      <c r="UN144" s="255"/>
      <c r="UO144" s="255"/>
      <c r="UP144" s="255"/>
      <c r="UQ144" s="255"/>
      <c r="UR144" s="255"/>
      <c r="US144" s="255"/>
      <c r="UT144" s="255"/>
      <c r="UU144" s="255"/>
      <c r="UV144" s="255"/>
      <c r="UW144" s="255"/>
      <c r="UX144" s="255"/>
      <c r="UY144" s="255"/>
      <c r="UZ144" s="255"/>
      <c r="VA144" s="255"/>
      <c r="VB144" s="255"/>
      <c r="VC144" s="255"/>
      <c r="VD144" s="255"/>
      <c r="VE144" s="255"/>
      <c r="VF144" s="255"/>
      <c r="VG144" s="255"/>
      <c r="VH144" s="255"/>
      <c r="VI144" s="255"/>
      <c r="VJ144" s="255"/>
      <c r="VK144" s="255"/>
      <c r="VL144" s="255"/>
      <c r="VM144" s="255"/>
      <c r="VN144" s="255"/>
      <c r="VO144" s="255"/>
      <c r="VP144" s="255"/>
      <c r="VQ144" s="255"/>
      <c r="VR144" s="255"/>
      <c r="VS144" s="255"/>
      <c r="VT144" s="255"/>
      <c r="VU144" s="255"/>
      <c r="VV144" s="255"/>
      <c r="VW144" s="255"/>
      <c r="VX144" s="255"/>
      <c r="VY144" s="255"/>
      <c r="VZ144" s="255"/>
      <c r="WA144" s="255"/>
      <c r="WB144" s="255"/>
      <c r="WC144" s="255"/>
      <c r="WD144" s="255"/>
      <c r="WE144" s="255"/>
      <c r="WF144" s="255"/>
      <c r="WG144" s="255"/>
      <c r="WH144" s="255"/>
      <c r="WI144" s="255"/>
      <c r="WJ144" s="255"/>
      <c r="WK144" s="255"/>
      <c r="WL144" s="255"/>
      <c r="WM144" s="255"/>
      <c r="WN144" s="255"/>
      <c r="WO144" s="255"/>
      <c r="WP144" s="255"/>
      <c r="WQ144" s="255"/>
      <c r="WR144" s="255"/>
      <c r="WS144" s="255"/>
      <c r="WT144" s="255"/>
      <c r="WU144" s="255"/>
      <c r="WV144" s="255"/>
      <c r="WW144" s="255"/>
      <c r="WX144" s="255"/>
      <c r="WY144" s="255"/>
      <c r="WZ144" s="255"/>
      <c r="XA144" s="255"/>
      <c r="XB144" s="255"/>
      <c r="XC144" s="255"/>
      <c r="XD144" s="255"/>
      <c r="XE144" s="255"/>
      <c r="XF144" s="255"/>
      <c r="XG144" s="255"/>
      <c r="XH144" s="255"/>
      <c r="XI144" s="255"/>
      <c r="XJ144" s="255"/>
      <c r="XK144" s="255"/>
      <c r="XL144" s="255"/>
      <c r="XM144" s="255"/>
      <c r="XN144" s="255"/>
      <c r="XO144" s="255"/>
      <c r="XP144" s="255"/>
      <c r="XQ144" s="255"/>
      <c r="XR144" s="255"/>
      <c r="XS144" s="255"/>
      <c r="XT144" s="255"/>
      <c r="XU144" s="255"/>
      <c r="XV144" s="255"/>
      <c r="XW144" s="255"/>
      <c r="XX144" s="255"/>
      <c r="XY144" s="255"/>
      <c r="XZ144" s="255"/>
      <c r="YA144" s="255"/>
      <c r="YB144" s="255"/>
      <c r="YC144" s="255"/>
      <c r="YD144" s="255"/>
      <c r="YE144" s="255"/>
      <c r="YF144" s="255"/>
      <c r="YG144" s="255"/>
      <c r="YH144" s="255"/>
      <c r="YI144" s="255"/>
      <c r="YJ144" s="255"/>
      <c r="YK144" s="255"/>
      <c r="YL144" s="255"/>
      <c r="YM144" s="255"/>
      <c r="YN144" s="255"/>
      <c r="YO144" s="255"/>
      <c r="YP144" s="255"/>
      <c r="YQ144" s="255"/>
      <c r="YR144" s="255"/>
      <c r="YS144" s="255"/>
      <c r="YT144" s="255"/>
      <c r="YU144" s="255"/>
      <c r="YV144" s="255"/>
      <c r="YW144" s="255"/>
      <c r="YX144" s="255"/>
      <c r="YY144" s="255"/>
      <c r="YZ144" s="255"/>
      <c r="ZA144" s="255"/>
      <c r="ZB144" s="255"/>
      <c r="ZC144" s="255"/>
      <c r="ZD144" s="255"/>
      <c r="ZE144" s="255"/>
      <c r="ZF144" s="255"/>
      <c r="ZG144" s="255"/>
      <c r="ZH144" s="255"/>
      <c r="ZI144" s="255"/>
      <c r="ZJ144" s="255"/>
      <c r="ZK144" s="255"/>
      <c r="ZL144" s="255"/>
      <c r="ZM144" s="255"/>
      <c r="ZN144" s="255"/>
      <c r="ZO144" s="255"/>
      <c r="ZP144" s="255"/>
      <c r="ZQ144" s="255"/>
      <c r="ZR144" s="255"/>
      <c r="ZS144" s="255"/>
      <c r="ZT144" s="255"/>
      <c r="ZU144" s="255"/>
      <c r="ZV144" s="255"/>
      <c r="ZW144" s="255"/>
      <c r="ZX144" s="255"/>
      <c r="ZY144" s="255"/>
      <c r="ZZ144" s="255"/>
      <c r="AAA144" s="255"/>
      <c r="AAB144" s="255"/>
      <c r="AAC144" s="255"/>
      <c r="AAD144" s="255"/>
      <c r="AAE144" s="255"/>
      <c r="AAF144" s="255"/>
      <c r="AAG144" s="255"/>
      <c r="AAH144" s="255"/>
      <c r="AAI144" s="255"/>
      <c r="AAJ144" s="255"/>
      <c r="AAK144" s="255"/>
      <c r="AAL144" s="255"/>
      <c r="AAM144" s="255"/>
      <c r="AAN144" s="255"/>
      <c r="AAO144" s="255"/>
      <c r="AAP144" s="255"/>
      <c r="AAQ144" s="255"/>
      <c r="AAR144" s="255"/>
      <c r="AAS144" s="255"/>
      <c r="AAT144" s="255"/>
      <c r="AAU144" s="255"/>
      <c r="AAV144" s="255"/>
      <c r="AAW144" s="255"/>
      <c r="AAX144" s="255"/>
      <c r="AAY144" s="255"/>
      <c r="AAZ144" s="255"/>
      <c r="ABA144" s="255"/>
      <c r="ABB144" s="255"/>
      <c r="ABC144" s="255"/>
      <c r="ABD144" s="255"/>
      <c r="ABE144" s="255"/>
      <c r="ABF144" s="255"/>
      <c r="ABG144" s="255"/>
      <c r="ABH144" s="255"/>
      <c r="ABI144" s="255"/>
      <c r="ABJ144" s="255"/>
      <c r="ABK144" s="255"/>
      <c r="ABL144" s="255"/>
      <c r="ABM144" s="255"/>
      <c r="ABN144" s="255"/>
      <c r="ABO144" s="255"/>
      <c r="ABP144" s="255"/>
      <c r="ABQ144" s="255"/>
      <c r="ABR144" s="255"/>
      <c r="ABS144" s="255"/>
      <c r="ABT144" s="255"/>
      <c r="ABU144" s="255"/>
      <c r="ABV144" s="255"/>
      <c r="ABW144" s="255"/>
      <c r="ABX144" s="255"/>
      <c r="ABY144" s="255"/>
      <c r="ABZ144" s="255"/>
      <c r="ACA144" s="255"/>
      <c r="ACB144" s="255"/>
      <c r="ACC144" s="255"/>
      <c r="ACD144" s="255"/>
      <c r="ACE144" s="255"/>
      <c r="ACF144" s="255"/>
      <c r="ACG144" s="255"/>
      <c r="ACH144" s="255"/>
      <c r="ACI144" s="255"/>
      <c r="ACJ144" s="255"/>
      <c r="ACK144" s="255"/>
      <c r="ACL144" s="255"/>
      <c r="ACM144" s="255"/>
      <c r="ACN144" s="255"/>
      <c r="ACO144" s="255"/>
      <c r="ACP144" s="255"/>
      <c r="ACQ144" s="255"/>
      <c r="ACR144" s="255"/>
      <c r="ACS144" s="255"/>
      <c r="ACT144" s="255"/>
      <c r="ACU144" s="255"/>
      <c r="ACV144" s="255"/>
      <c r="ACW144" s="255"/>
      <c r="ACX144" s="255"/>
      <c r="ACY144" s="255"/>
      <c r="ACZ144" s="255"/>
      <c r="ADA144" s="255"/>
      <c r="ADB144" s="255"/>
      <c r="ADC144" s="255"/>
      <c r="ADD144" s="255"/>
      <c r="ADE144" s="255"/>
      <c r="ADF144" s="255"/>
      <c r="ADG144" s="255"/>
      <c r="ADH144" s="255"/>
      <c r="ADI144" s="255"/>
      <c r="ADJ144" s="255"/>
      <c r="ADK144" s="255"/>
      <c r="ADL144" s="255"/>
      <c r="ADM144" s="255"/>
      <c r="ADN144" s="255"/>
      <c r="ADO144" s="255"/>
      <c r="ADP144" s="255"/>
      <c r="ADQ144" s="255"/>
      <c r="ADR144" s="255"/>
      <c r="ADS144" s="255"/>
      <c r="ADT144" s="255"/>
      <c r="ADU144" s="255"/>
      <c r="ADV144" s="255"/>
      <c r="ADW144" s="255"/>
      <c r="ADX144" s="255"/>
      <c r="ADY144" s="255"/>
      <c r="ADZ144" s="255"/>
      <c r="AEA144" s="255"/>
      <c r="AEB144" s="255"/>
      <c r="AEC144" s="255"/>
      <c r="AED144" s="255"/>
      <c r="AEE144" s="255"/>
      <c r="AEF144" s="255"/>
      <c r="AEG144" s="255"/>
      <c r="AEH144" s="255"/>
      <c r="AEI144" s="255"/>
      <c r="AEJ144" s="255"/>
      <c r="AEK144" s="255"/>
      <c r="AEL144" s="255"/>
      <c r="AEM144" s="255"/>
      <c r="AEN144" s="255"/>
      <c r="AEO144" s="255"/>
      <c r="AEP144" s="255"/>
      <c r="AEQ144" s="255"/>
      <c r="AER144" s="255"/>
      <c r="AES144" s="255"/>
      <c r="AET144" s="255"/>
      <c r="AEU144" s="255"/>
      <c r="AEV144" s="255"/>
      <c r="AEW144" s="255"/>
      <c r="AEX144" s="255"/>
      <c r="AEY144" s="255"/>
      <c r="AEZ144" s="255"/>
      <c r="AFA144" s="255"/>
      <c r="AFB144" s="255"/>
      <c r="AFC144" s="255"/>
      <c r="AFD144" s="255"/>
      <c r="AFE144" s="255"/>
      <c r="AFF144" s="255"/>
      <c r="AFG144" s="255"/>
      <c r="AFH144" s="255"/>
      <c r="AFI144" s="255"/>
      <c r="AFJ144" s="255"/>
      <c r="AFK144" s="255"/>
      <c r="AFL144" s="255"/>
      <c r="AFM144" s="255"/>
      <c r="AFN144" s="255"/>
      <c r="AFO144" s="255"/>
      <c r="AFP144" s="255"/>
      <c r="AFQ144" s="255"/>
      <c r="AFR144" s="255"/>
      <c r="AFS144" s="255"/>
      <c r="AFT144" s="255"/>
      <c r="AFU144" s="255"/>
      <c r="AFV144" s="255"/>
      <c r="AFW144" s="255"/>
      <c r="AFX144" s="255"/>
      <c r="AFY144" s="255"/>
      <c r="AFZ144" s="255"/>
      <c r="AGA144" s="255"/>
      <c r="AGB144" s="255"/>
      <c r="AGC144" s="255"/>
      <c r="AGD144" s="255"/>
      <c r="AGE144" s="255"/>
      <c r="AGF144" s="255"/>
      <c r="AGG144" s="255"/>
      <c r="AGH144" s="255"/>
      <c r="AGI144" s="255"/>
      <c r="AGJ144" s="255"/>
      <c r="AGK144" s="255"/>
      <c r="AGL144" s="255"/>
      <c r="AGM144" s="255"/>
      <c r="AGN144" s="255"/>
      <c r="AGO144" s="255"/>
      <c r="AGP144" s="255"/>
      <c r="AGQ144" s="255"/>
      <c r="AGR144" s="255"/>
      <c r="AGS144" s="255"/>
      <c r="AGT144" s="255"/>
      <c r="AGU144" s="255"/>
      <c r="AGV144" s="255"/>
      <c r="AGW144" s="255"/>
      <c r="AGX144" s="255"/>
      <c r="AGY144" s="255"/>
      <c r="AGZ144" s="255"/>
      <c r="AHA144" s="255"/>
      <c r="AHB144" s="255"/>
      <c r="AHC144" s="255"/>
      <c r="AHD144" s="255"/>
      <c r="AHE144" s="255"/>
      <c r="AHF144" s="255"/>
      <c r="AHG144" s="255"/>
      <c r="AHH144" s="255"/>
      <c r="AHI144" s="255"/>
      <c r="AHJ144" s="255"/>
      <c r="AHK144" s="255"/>
      <c r="AHL144" s="255"/>
      <c r="AHM144" s="255"/>
      <c r="AHN144" s="255"/>
      <c r="AHO144" s="255"/>
      <c r="AHP144" s="255"/>
      <c r="AHQ144" s="255"/>
      <c r="AHR144" s="255"/>
      <c r="AHS144" s="255"/>
      <c r="AHT144" s="255"/>
      <c r="AHU144" s="255"/>
      <c r="AHV144" s="255"/>
      <c r="AHW144" s="255"/>
      <c r="AHX144" s="255"/>
      <c r="AHY144" s="255"/>
      <c r="AHZ144" s="255"/>
      <c r="AIA144" s="255"/>
      <c r="AIB144" s="255"/>
      <c r="AIC144" s="255"/>
      <c r="AID144" s="255"/>
      <c r="AIE144" s="255"/>
      <c r="AIF144" s="255"/>
      <c r="AIG144" s="255"/>
      <c r="AIH144" s="255"/>
      <c r="AII144" s="255"/>
      <c r="AIJ144" s="255"/>
      <c r="AIK144" s="255"/>
      <c r="AIL144" s="255"/>
      <c r="AIM144" s="255"/>
      <c r="AIN144" s="255"/>
      <c r="AIO144" s="255"/>
      <c r="AIP144" s="255"/>
      <c r="AIQ144" s="255"/>
      <c r="AIR144" s="255"/>
      <c r="AIS144" s="255"/>
      <c r="AIT144" s="255"/>
      <c r="AIU144" s="255"/>
      <c r="AIV144" s="255"/>
      <c r="AIW144" s="255"/>
      <c r="AIX144" s="255"/>
      <c r="AIY144" s="255"/>
      <c r="AIZ144" s="255"/>
      <c r="AJA144" s="255"/>
      <c r="AJB144" s="255"/>
      <c r="AJC144" s="255"/>
      <c r="AJD144" s="255"/>
      <c r="AJE144" s="255"/>
      <c r="AJF144" s="255"/>
      <c r="AJG144" s="255"/>
      <c r="AJH144" s="255"/>
      <c r="AJI144" s="255"/>
      <c r="AJJ144" s="255"/>
      <c r="AJK144" s="255"/>
      <c r="AJL144" s="255"/>
      <c r="AJM144" s="255"/>
      <c r="AJN144" s="255"/>
      <c r="AJO144" s="255"/>
      <c r="AJP144" s="255"/>
      <c r="AJQ144" s="255"/>
      <c r="AJR144" s="255"/>
      <c r="AJS144" s="255"/>
      <c r="AJT144" s="255"/>
      <c r="AJU144" s="255"/>
      <c r="AJV144" s="255"/>
      <c r="AJW144" s="255"/>
      <c r="AJX144" s="255"/>
      <c r="AJY144" s="255"/>
      <c r="AJZ144" s="255"/>
      <c r="AKA144" s="255"/>
      <c r="AKB144" s="255"/>
      <c r="AKC144" s="255"/>
      <c r="AKD144" s="255"/>
      <c r="AKE144" s="255"/>
      <c r="AKF144" s="255"/>
      <c r="AKG144" s="255"/>
      <c r="AKH144" s="255"/>
      <c r="AKI144" s="255"/>
      <c r="AKJ144" s="255"/>
      <c r="AKK144" s="255"/>
      <c r="AKL144" s="255"/>
      <c r="AKM144" s="255"/>
      <c r="AKN144" s="255"/>
      <c r="AKO144" s="255"/>
      <c r="AKP144" s="255"/>
      <c r="AKQ144" s="255"/>
      <c r="AKR144" s="255"/>
      <c r="AKS144" s="255"/>
      <c r="AKT144" s="255"/>
      <c r="AKU144" s="255"/>
      <c r="AKV144" s="255"/>
      <c r="AKW144" s="255"/>
      <c r="AKX144" s="255"/>
      <c r="AKY144" s="255"/>
      <c r="AKZ144" s="255"/>
      <c r="ALA144" s="255"/>
      <c r="ALB144" s="255"/>
      <c r="ALC144" s="255"/>
      <c r="ALD144" s="255"/>
      <c r="ALE144" s="255"/>
      <c r="ALF144" s="255"/>
      <c r="ALG144" s="255"/>
      <c r="ALH144" s="255"/>
      <c r="ALI144" s="255"/>
      <c r="ALJ144" s="255"/>
      <c r="ALK144" s="255"/>
      <c r="ALL144" s="42"/>
      <c r="ALM144" s="42"/>
      <c r="ALN144" s="42"/>
      <c r="ALO144" s="42"/>
      <c r="ALP144" s="42"/>
      <c r="ALQ144" s="42"/>
      <c r="ALR144" s="42"/>
      <c r="ALS144" s="42"/>
      <c r="ALT144" s="42"/>
    </row>
    <row r="145" spans="1:1008" s="88" customFormat="1" ht="24" customHeight="1">
      <c r="A145" s="680" t="s">
        <v>6927</v>
      </c>
      <c r="B145" s="680"/>
      <c r="C145" s="680"/>
      <c r="D145" s="680"/>
      <c r="E145" s="680"/>
      <c r="F145" s="680"/>
      <c r="G145" s="680"/>
      <c r="H145" s="680"/>
      <c r="I145" s="680"/>
      <c r="J145" s="281">
        <f>SUM(J141:J144)</f>
        <v>1535.62673808</v>
      </c>
      <c r="K145" s="255"/>
      <c r="L145" s="255"/>
      <c r="M145" s="255"/>
      <c r="N145" s="255"/>
      <c r="O145" s="255"/>
      <c r="P145" s="223"/>
    </row>
    <row r="146" spans="1:1008">
      <c r="A146" s="251"/>
      <c r="B146" s="328">
        <v>188</v>
      </c>
      <c r="C146" s="331" t="s">
        <v>587</v>
      </c>
      <c r="D146" s="274"/>
      <c r="E146" s="276"/>
      <c r="F146" s="276"/>
      <c r="G146" s="276"/>
      <c r="H146" s="276"/>
      <c r="I146" s="276"/>
      <c r="J146" s="276"/>
      <c r="K146" s="255"/>
      <c r="L146" s="255"/>
      <c r="M146" s="255"/>
      <c r="N146" s="255"/>
      <c r="O146" s="255"/>
    </row>
    <row r="147" spans="1:1008" s="191" customFormat="1">
      <c r="A147" s="251" t="s">
        <v>7</v>
      </c>
      <c r="B147" s="328">
        <v>84645</v>
      </c>
      <c r="C147" s="301" t="str">
        <f>(IF($A147="SINAPI",INDEX(SINAPI_NOV2020_NDES!$A$7:$H$6703,MATCH($B147,SINAPI_NOV2020_NDES!$A$7:$A$6703,0),2),IF($A147="GOINFRA",INDEX(#REF!,MATCH($B147,#REF!,0),2),(INDEX(COMPOS!$A$4:$G$390,MATCH($B147,COMPOS!$A$4:A$390,0),2)))))</f>
        <v>VERNIZ SINTETICO BRILHANTE, 2 DEMAOS</v>
      </c>
      <c r="D147" s="274" t="str">
        <f>(IF($A147="SINAPI",INDEX(SINAPI_NOV2020_NDES!$A$7:$H$6790,MATCH($B147,SINAPI_NOV2020_NDES!$A$7:$A$6790,0),3),(INDEX(COMPOS!$A$4:$G$5000,MATCH($B147,COMPOS!$A$4:$A$5000,0),3))))</f>
        <v>M2</v>
      </c>
      <c r="E147" s="276">
        <v>4.2</v>
      </c>
      <c r="F147" s="279">
        <f>(IF($A147="SINAPI",INDEX(SINAPI_NOV2020_NDES!$A$7:$H$6703,MATCH($B147,SINAPI_NOV2020_NDES!$A$7:$A$6703,0),5),(INDEX(COMPOS!$A$4:$G$801,MATCH($B147,COMPOS!$A$4:A$801,0),4))))</f>
        <v>8.6300000000000008</v>
      </c>
      <c r="G147" s="280">
        <f>(IF($A147="SINAPI",INDEX(SINAPI_NOV2020_NDES!$A$7:$H$6703,MATCH($B147,SINAPI_NOV2020_NDES!$A$7:$A$6703,0),6),(INDEX(COMPOS!$A$4:$G$801,MATCH($B147,COMPOS!$A$4:A$801,0),5))))</f>
        <v>9.2899999999999991</v>
      </c>
      <c r="H147" s="280">
        <f>(IF($A147="SINAPI",INDEX(SINAPI_NOV2020_NDES!$A$7:$H$6703,MATCH($B147,SINAPI_NOV2020_NDES!$A$7:$A$6703,0),7),(INDEX(COMPOS!$A$4:$G$801,MATCH($B147,COMPOS!$A$4:A$801,0),6))))</f>
        <v>0</v>
      </c>
      <c r="I147" s="279">
        <f t="shared" ref="I147" si="48">SUM(F147:H147)</f>
        <v>17.920000000000002</v>
      </c>
      <c r="J147" s="276">
        <f t="shared" ref="J147" si="49">+I147*E147</f>
        <v>75.26400000000001</v>
      </c>
      <c r="K147" s="255"/>
      <c r="L147" s="255"/>
      <c r="M147" s="255"/>
      <c r="N147" s="255"/>
      <c r="O147" s="257"/>
      <c r="P147" s="223"/>
      <c r="Q147" s="255"/>
      <c r="R147" s="255"/>
      <c r="S147" s="255"/>
      <c r="T147" s="255"/>
      <c r="U147" s="255"/>
      <c r="V147" s="255"/>
      <c r="W147" s="255"/>
      <c r="X147" s="255"/>
      <c r="Y147" s="255"/>
      <c r="Z147" s="255"/>
      <c r="AA147" s="255"/>
      <c r="AB147" s="255"/>
      <c r="AC147" s="255"/>
      <c r="AD147" s="255"/>
      <c r="AE147" s="255"/>
      <c r="AF147" s="255"/>
      <c r="AG147" s="255"/>
      <c r="AH147" s="255"/>
      <c r="AI147" s="255"/>
      <c r="AJ147" s="255"/>
      <c r="AK147" s="255"/>
      <c r="AL147" s="255"/>
      <c r="AM147" s="255"/>
      <c r="AN147" s="255"/>
      <c r="AO147" s="255"/>
      <c r="AP147" s="255"/>
      <c r="AQ147" s="255"/>
      <c r="AR147" s="255"/>
      <c r="AS147" s="255"/>
      <c r="AT147" s="255"/>
      <c r="AU147" s="255"/>
      <c r="AV147" s="255"/>
      <c r="AW147" s="255"/>
      <c r="AX147" s="255"/>
      <c r="AY147" s="255"/>
      <c r="AZ147" s="255"/>
      <c r="BA147" s="255"/>
      <c r="BB147" s="255"/>
      <c r="BC147" s="255"/>
      <c r="BD147" s="255"/>
      <c r="BE147" s="255"/>
      <c r="BF147" s="255"/>
      <c r="BG147" s="255"/>
      <c r="BH147" s="255"/>
      <c r="BI147" s="255"/>
      <c r="BJ147" s="255"/>
      <c r="BK147" s="255"/>
      <c r="BL147" s="255"/>
      <c r="BM147" s="255"/>
      <c r="BN147" s="255"/>
      <c r="BO147" s="255"/>
      <c r="BP147" s="255"/>
      <c r="BQ147" s="255"/>
      <c r="BR147" s="255"/>
      <c r="BS147" s="255"/>
      <c r="BT147" s="255"/>
      <c r="BU147" s="255"/>
      <c r="BV147" s="255"/>
      <c r="BW147" s="255"/>
      <c r="BX147" s="255"/>
      <c r="BY147" s="255"/>
      <c r="BZ147" s="255"/>
      <c r="CA147" s="255"/>
      <c r="CB147" s="255"/>
      <c r="CC147" s="255"/>
      <c r="CD147" s="255"/>
      <c r="CE147" s="255"/>
      <c r="CF147" s="255"/>
      <c r="CG147" s="255"/>
      <c r="CH147" s="255"/>
      <c r="CI147" s="255"/>
      <c r="CJ147" s="255"/>
      <c r="CK147" s="255"/>
      <c r="CL147" s="255"/>
      <c r="CM147" s="255"/>
      <c r="CN147" s="255"/>
      <c r="CO147" s="255"/>
      <c r="CP147" s="255"/>
      <c r="CQ147" s="255"/>
      <c r="CR147" s="255"/>
      <c r="CS147" s="255"/>
      <c r="CT147" s="255"/>
      <c r="CU147" s="255"/>
      <c r="CV147" s="255"/>
      <c r="CW147" s="255"/>
      <c r="CX147" s="255"/>
      <c r="CY147" s="255"/>
      <c r="CZ147" s="255"/>
      <c r="DA147" s="255"/>
      <c r="DB147" s="255"/>
      <c r="DC147" s="255"/>
      <c r="DD147" s="255"/>
      <c r="DE147" s="255"/>
      <c r="DF147" s="255"/>
      <c r="DG147" s="255"/>
      <c r="DH147" s="255"/>
      <c r="DI147" s="255"/>
      <c r="DJ147" s="255"/>
      <c r="DK147" s="255"/>
      <c r="DL147" s="255"/>
      <c r="DM147" s="255"/>
      <c r="DN147" s="255"/>
      <c r="DO147" s="255"/>
      <c r="DP147" s="255"/>
      <c r="DQ147" s="255"/>
      <c r="DR147" s="255"/>
      <c r="DS147" s="255"/>
      <c r="DT147" s="255"/>
      <c r="DU147" s="255"/>
      <c r="DV147" s="255"/>
      <c r="DW147" s="255"/>
      <c r="DX147" s="255"/>
      <c r="DY147" s="255"/>
      <c r="DZ147" s="255"/>
      <c r="EA147" s="255"/>
      <c r="EB147" s="255"/>
      <c r="EC147" s="255"/>
      <c r="ED147" s="255"/>
      <c r="EE147" s="255"/>
      <c r="EF147" s="255"/>
      <c r="EG147" s="255"/>
      <c r="EH147" s="255"/>
      <c r="EI147" s="255"/>
      <c r="EJ147" s="255"/>
      <c r="EK147" s="255"/>
      <c r="EL147" s="255"/>
      <c r="EM147" s="255"/>
      <c r="EN147" s="255"/>
      <c r="EO147" s="255"/>
      <c r="EP147" s="255"/>
      <c r="EQ147" s="255"/>
      <c r="ER147" s="255"/>
      <c r="ES147" s="255"/>
      <c r="ET147" s="255"/>
      <c r="EU147" s="255"/>
      <c r="EV147" s="255"/>
      <c r="EW147" s="255"/>
      <c r="EX147" s="255"/>
      <c r="EY147" s="255"/>
      <c r="EZ147" s="255"/>
      <c r="FA147" s="255"/>
      <c r="FB147" s="255"/>
      <c r="FC147" s="255"/>
      <c r="FD147" s="255"/>
      <c r="FE147" s="255"/>
      <c r="FF147" s="255"/>
      <c r="FG147" s="255"/>
      <c r="FH147" s="255"/>
      <c r="FI147" s="255"/>
      <c r="FJ147" s="255"/>
      <c r="FK147" s="255"/>
      <c r="FL147" s="255"/>
      <c r="FM147" s="255"/>
      <c r="FN147" s="255"/>
      <c r="FO147" s="255"/>
      <c r="FP147" s="255"/>
      <c r="FQ147" s="255"/>
      <c r="FR147" s="255"/>
      <c r="FS147" s="255"/>
      <c r="FT147" s="255"/>
      <c r="FU147" s="255"/>
      <c r="FV147" s="255"/>
      <c r="FW147" s="255"/>
      <c r="FX147" s="255"/>
      <c r="FY147" s="255"/>
      <c r="FZ147" s="255"/>
      <c r="GA147" s="255"/>
      <c r="GB147" s="255"/>
      <c r="GC147" s="255"/>
      <c r="GD147" s="255"/>
      <c r="GE147" s="255"/>
      <c r="GF147" s="255"/>
      <c r="GG147" s="255"/>
      <c r="GH147" s="255"/>
      <c r="GI147" s="255"/>
      <c r="GJ147" s="255"/>
      <c r="GK147" s="255"/>
      <c r="GL147" s="255"/>
      <c r="GM147" s="255"/>
      <c r="GN147" s="255"/>
      <c r="GO147" s="255"/>
      <c r="GP147" s="255"/>
      <c r="GQ147" s="255"/>
      <c r="GR147" s="255"/>
      <c r="GS147" s="255"/>
      <c r="GT147" s="255"/>
      <c r="GU147" s="255"/>
      <c r="GV147" s="255"/>
      <c r="GW147" s="255"/>
      <c r="GX147" s="255"/>
      <c r="GY147" s="255"/>
      <c r="GZ147" s="255"/>
      <c r="HA147" s="255"/>
      <c r="HB147" s="255"/>
      <c r="HC147" s="255"/>
      <c r="HD147" s="255"/>
      <c r="HE147" s="255"/>
      <c r="HF147" s="255"/>
      <c r="HG147" s="255"/>
      <c r="HH147" s="255"/>
      <c r="HI147" s="255"/>
      <c r="HJ147" s="255"/>
      <c r="HK147" s="255"/>
      <c r="HL147" s="255"/>
      <c r="HM147" s="255"/>
      <c r="HN147" s="255"/>
      <c r="HO147" s="255"/>
      <c r="HP147" s="255"/>
      <c r="HQ147" s="255"/>
      <c r="HR147" s="255"/>
      <c r="HS147" s="255"/>
      <c r="HT147" s="255"/>
      <c r="HU147" s="255"/>
      <c r="HV147" s="255"/>
      <c r="HW147" s="255"/>
      <c r="HX147" s="255"/>
      <c r="HY147" s="255"/>
      <c r="HZ147" s="255"/>
      <c r="IA147" s="255"/>
      <c r="IB147" s="255"/>
      <c r="IC147" s="255"/>
      <c r="ID147" s="255"/>
      <c r="IE147" s="255"/>
      <c r="IF147" s="255"/>
      <c r="IG147" s="255"/>
      <c r="IH147" s="255"/>
      <c r="II147" s="255"/>
      <c r="IJ147" s="255"/>
      <c r="IK147" s="255"/>
      <c r="IL147" s="255"/>
      <c r="IM147" s="255"/>
      <c r="IN147" s="255"/>
      <c r="IO147" s="255"/>
      <c r="IP147" s="255"/>
      <c r="IQ147" s="255"/>
      <c r="IR147" s="255"/>
      <c r="IS147" s="255"/>
      <c r="IT147" s="255"/>
      <c r="IU147" s="255"/>
      <c r="IV147" s="255"/>
      <c r="IW147" s="255"/>
      <c r="IX147" s="255"/>
      <c r="IY147" s="255"/>
      <c r="IZ147" s="255"/>
      <c r="JA147" s="255"/>
      <c r="JB147" s="255"/>
      <c r="JC147" s="255"/>
      <c r="JD147" s="255"/>
      <c r="JE147" s="255"/>
      <c r="JF147" s="255"/>
      <c r="JG147" s="255"/>
      <c r="JH147" s="255"/>
      <c r="JI147" s="255"/>
      <c r="JJ147" s="255"/>
      <c r="JK147" s="255"/>
      <c r="JL147" s="255"/>
      <c r="JM147" s="255"/>
      <c r="JN147" s="255"/>
      <c r="JO147" s="255"/>
      <c r="JP147" s="255"/>
      <c r="JQ147" s="255"/>
      <c r="JR147" s="255"/>
      <c r="JS147" s="255"/>
      <c r="JT147" s="255"/>
      <c r="JU147" s="255"/>
      <c r="JV147" s="255"/>
      <c r="JW147" s="255"/>
      <c r="JX147" s="255"/>
      <c r="JY147" s="255"/>
      <c r="JZ147" s="255"/>
      <c r="KA147" s="255"/>
      <c r="KB147" s="255"/>
      <c r="KC147" s="255"/>
      <c r="KD147" s="255"/>
      <c r="KE147" s="255"/>
      <c r="KF147" s="255"/>
      <c r="KG147" s="255"/>
      <c r="KH147" s="255"/>
      <c r="KI147" s="255"/>
      <c r="KJ147" s="255"/>
      <c r="KK147" s="255"/>
      <c r="KL147" s="255"/>
      <c r="KM147" s="255"/>
      <c r="KN147" s="255"/>
      <c r="KO147" s="255"/>
      <c r="KP147" s="255"/>
      <c r="KQ147" s="255"/>
      <c r="KR147" s="255"/>
      <c r="KS147" s="255"/>
      <c r="KT147" s="255"/>
      <c r="KU147" s="255"/>
      <c r="KV147" s="255"/>
      <c r="KW147" s="255"/>
      <c r="KX147" s="255"/>
      <c r="KY147" s="255"/>
      <c r="KZ147" s="255"/>
      <c r="LA147" s="255"/>
      <c r="LB147" s="255"/>
      <c r="LC147" s="255"/>
      <c r="LD147" s="255"/>
      <c r="LE147" s="255"/>
      <c r="LF147" s="255"/>
      <c r="LG147" s="255"/>
      <c r="LH147" s="255"/>
      <c r="LI147" s="255"/>
      <c r="LJ147" s="255"/>
      <c r="LK147" s="255"/>
      <c r="LL147" s="255"/>
      <c r="LM147" s="255"/>
      <c r="LN147" s="255"/>
      <c r="LO147" s="255"/>
      <c r="LP147" s="255"/>
      <c r="LQ147" s="255"/>
      <c r="LR147" s="255"/>
      <c r="LS147" s="255"/>
      <c r="LT147" s="255"/>
      <c r="LU147" s="255"/>
      <c r="LV147" s="255"/>
      <c r="LW147" s="255"/>
      <c r="LX147" s="255"/>
      <c r="LY147" s="255"/>
      <c r="LZ147" s="255"/>
      <c r="MA147" s="255"/>
      <c r="MB147" s="255"/>
      <c r="MC147" s="255"/>
      <c r="MD147" s="255"/>
      <c r="ME147" s="255"/>
      <c r="MF147" s="255"/>
      <c r="MG147" s="255"/>
      <c r="MH147" s="255"/>
      <c r="MI147" s="255"/>
      <c r="MJ147" s="255"/>
      <c r="MK147" s="255"/>
      <c r="ML147" s="255"/>
      <c r="MM147" s="255"/>
      <c r="MN147" s="255"/>
      <c r="MO147" s="255"/>
      <c r="MP147" s="255"/>
      <c r="MQ147" s="255"/>
      <c r="MR147" s="255"/>
      <c r="MS147" s="255"/>
      <c r="MT147" s="255"/>
      <c r="MU147" s="255"/>
      <c r="MV147" s="255"/>
      <c r="MW147" s="255"/>
      <c r="MX147" s="255"/>
      <c r="MY147" s="255"/>
      <c r="MZ147" s="255"/>
      <c r="NA147" s="255"/>
      <c r="NB147" s="255"/>
      <c r="NC147" s="255"/>
      <c r="ND147" s="255"/>
      <c r="NE147" s="255"/>
      <c r="NF147" s="255"/>
      <c r="NG147" s="255"/>
      <c r="NH147" s="255"/>
      <c r="NI147" s="255"/>
      <c r="NJ147" s="255"/>
      <c r="NK147" s="255"/>
      <c r="NL147" s="255"/>
      <c r="NM147" s="255"/>
      <c r="NN147" s="255"/>
      <c r="NO147" s="255"/>
      <c r="NP147" s="255"/>
      <c r="NQ147" s="255"/>
      <c r="NR147" s="255"/>
      <c r="NS147" s="255"/>
      <c r="NT147" s="255"/>
      <c r="NU147" s="255"/>
      <c r="NV147" s="255"/>
      <c r="NW147" s="255"/>
      <c r="NX147" s="255"/>
      <c r="NY147" s="255"/>
      <c r="NZ147" s="255"/>
      <c r="OA147" s="255"/>
      <c r="OB147" s="255"/>
      <c r="OC147" s="255"/>
      <c r="OD147" s="255"/>
      <c r="OE147" s="255"/>
      <c r="OF147" s="255"/>
      <c r="OG147" s="255"/>
      <c r="OH147" s="255"/>
      <c r="OI147" s="255"/>
      <c r="OJ147" s="255"/>
      <c r="OK147" s="255"/>
      <c r="OL147" s="255"/>
      <c r="OM147" s="255"/>
      <c r="ON147" s="255"/>
      <c r="OO147" s="255"/>
      <c r="OP147" s="255"/>
      <c r="OQ147" s="255"/>
      <c r="OR147" s="255"/>
      <c r="OS147" s="255"/>
      <c r="OT147" s="255"/>
      <c r="OU147" s="255"/>
      <c r="OV147" s="255"/>
      <c r="OW147" s="255"/>
      <c r="OX147" s="255"/>
      <c r="OY147" s="255"/>
      <c r="OZ147" s="255"/>
      <c r="PA147" s="255"/>
      <c r="PB147" s="255"/>
      <c r="PC147" s="255"/>
      <c r="PD147" s="255"/>
      <c r="PE147" s="255"/>
      <c r="PF147" s="255"/>
      <c r="PG147" s="255"/>
      <c r="PH147" s="255"/>
      <c r="PI147" s="255"/>
      <c r="PJ147" s="255"/>
      <c r="PK147" s="255"/>
      <c r="PL147" s="255"/>
      <c r="PM147" s="255"/>
      <c r="PN147" s="255"/>
      <c r="PO147" s="255"/>
      <c r="PP147" s="255"/>
      <c r="PQ147" s="255"/>
      <c r="PR147" s="255"/>
      <c r="PS147" s="255"/>
      <c r="PT147" s="255"/>
      <c r="PU147" s="255"/>
      <c r="PV147" s="255"/>
      <c r="PW147" s="255"/>
      <c r="PX147" s="255"/>
      <c r="PY147" s="255"/>
      <c r="PZ147" s="255"/>
      <c r="QA147" s="255"/>
      <c r="QB147" s="255"/>
      <c r="QC147" s="255"/>
      <c r="QD147" s="255"/>
      <c r="QE147" s="255"/>
      <c r="QF147" s="255"/>
      <c r="QG147" s="255"/>
      <c r="QH147" s="255"/>
      <c r="QI147" s="255"/>
      <c r="QJ147" s="255"/>
      <c r="QK147" s="255"/>
      <c r="QL147" s="255"/>
      <c r="QM147" s="255"/>
      <c r="QN147" s="255"/>
      <c r="QO147" s="255"/>
      <c r="QP147" s="255"/>
      <c r="QQ147" s="255"/>
      <c r="QR147" s="255"/>
      <c r="QS147" s="255"/>
      <c r="QT147" s="255"/>
      <c r="QU147" s="255"/>
      <c r="QV147" s="255"/>
      <c r="QW147" s="255"/>
      <c r="QX147" s="255"/>
      <c r="QY147" s="255"/>
      <c r="QZ147" s="255"/>
      <c r="RA147" s="255"/>
      <c r="RB147" s="255"/>
      <c r="RC147" s="255"/>
      <c r="RD147" s="255"/>
      <c r="RE147" s="255"/>
      <c r="RF147" s="255"/>
      <c r="RG147" s="255"/>
      <c r="RH147" s="255"/>
      <c r="RI147" s="255"/>
      <c r="RJ147" s="255"/>
      <c r="RK147" s="255"/>
      <c r="RL147" s="255"/>
      <c r="RM147" s="255"/>
      <c r="RN147" s="255"/>
      <c r="RO147" s="255"/>
      <c r="RP147" s="255"/>
      <c r="RQ147" s="255"/>
      <c r="RR147" s="255"/>
      <c r="RS147" s="255"/>
      <c r="RT147" s="255"/>
      <c r="RU147" s="255"/>
      <c r="RV147" s="255"/>
      <c r="RW147" s="255"/>
      <c r="RX147" s="255"/>
      <c r="RY147" s="255"/>
      <c r="RZ147" s="255"/>
      <c r="SA147" s="255"/>
      <c r="SB147" s="255"/>
      <c r="SC147" s="255"/>
      <c r="SD147" s="255"/>
      <c r="SE147" s="255"/>
      <c r="SF147" s="255"/>
      <c r="SG147" s="255"/>
      <c r="SH147" s="255"/>
      <c r="SI147" s="255"/>
      <c r="SJ147" s="255"/>
      <c r="SK147" s="255"/>
      <c r="SL147" s="255"/>
      <c r="SM147" s="255"/>
      <c r="SN147" s="255"/>
      <c r="SO147" s="255"/>
      <c r="SP147" s="255"/>
      <c r="SQ147" s="255"/>
      <c r="SR147" s="255"/>
      <c r="SS147" s="255"/>
      <c r="ST147" s="255"/>
      <c r="SU147" s="255"/>
      <c r="SV147" s="255"/>
      <c r="SW147" s="255"/>
      <c r="SX147" s="255"/>
      <c r="SY147" s="255"/>
      <c r="SZ147" s="255"/>
      <c r="TA147" s="255"/>
      <c r="TB147" s="255"/>
      <c r="TC147" s="255"/>
      <c r="TD147" s="255"/>
      <c r="TE147" s="255"/>
      <c r="TF147" s="255"/>
      <c r="TG147" s="255"/>
      <c r="TH147" s="255"/>
      <c r="TI147" s="255"/>
      <c r="TJ147" s="255"/>
      <c r="TK147" s="255"/>
      <c r="TL147" s="255"/>
      <c r="TM147" s="255"/>
      <c r="TN147" s="255"/>
      <c r="TO147" s="255"/>
      <c r="TP147" s="255"/>
      <c r="TQ147" s="255"/>
      <c r="TR147" s="255"/>
      <c r="TS147" s="255"/>
      <c r="TT147" s="255"/>
      <c r="TU147" s="255"/>
      <c r="TV147" s="255"/>
      <c r="TW147" s="255"/>
      <c r="TX147" s="255"/>
      <c r="TY147" s="255"/>
      <c r="TZ147" s="255"/>
      <c r="UA147" s="255"/>
      <c r="UB147" s="255"/>
      <c r="UC147" s="255"/>
      <c r="UD147" s="255"/>
      <c r="UE147" s="255"/>
      <c r="UF147" s="255"/>
      <c r="UG147" s="255"/>
      <c r="UH147" s="255"/>
      <c r="UI147" s="255"/>
      <c r="UJ147" s="255"/>
      <c r="UK147" s="255"/>
      <c r="UL147" s="255"/>
      <c r="UM147" s="255"/>
      <c r="UN147" s="255"/>
      <c r="UO147" s="255"/>
      <c r="UP147" s="255"/>
      <c r="UQ147" s="255"/>
      <c r="UR147" s="255"/>
      <c r="US147" s="255"/>
      <c r="UT147" s="255"/>
      <c r="UU147" s="255"/>
      <c r="UV147" s="255"/>
      <c r="UW147" s="255"/>
      <c r="UX147" s="255"/>
      <c r="UY147" s="255"/>
      <c r="UZ147" s="255"/>
      <c r="VA147" s="255"/>
      <c r="VB147" s="255"/>
      <c r="VC147" s="255"/>
      <c r="VD147" s="255"/>
      <c r="VE147" s="255"/>
      <c r="VF147" s="255"/>
      <c r="VG147" s="255"/>
      <c r="VH147" s="255"/>
      <c r="VI147" s="255"/>
      <c r="VJ147" s="255"/>
      <c r="VK147" s="255"/>
      <c r="VL147" s="255"/>
      <c r="VM147" s="255"/>
      <c r="VN147" s="255"/>
      <c r="VO147" s="255"/>
      <c r="VP147" s="255"/>
      <c r="VQ147" s="255"/>
      <c r="VR147" s="255"/>
      <c r="VS147" s="255"/>
      <c r="VT147" s="255"/>
      <c r="VU147" s="255"/>
      <c r="VV147" s="255"/>
      <c r="VW147" s="255"/>
      <c r="VX147" s="255"/>
      <c r="VY147" s="255"/>
      <c r="VZ147" s="255"/>
      <c r="WA147" s="255"/>
      <c r="WB147" s="255"/>
      <c r="WC147" s="255"/>
      <c r="WD147" s="255"/>
      <c r="WE147" s="255"/>
      <c r="WF147" s="255"/>
      <c r="WG147" s="255"/>
      <c r="WH147" s="255"/>
      <c r="WI147" s="255"/>
      <c r="WJ147" s="255"/>
      <c r="WK147" s="255"/>
      <c r="WL147" s="255"/>
      <c r="WM147" s="255"/>
      <c r="WN147" s="255"/>
      <c r="WO147" s="255"/>
      <c r="WP147" s="255"/>
      <c r="WQ147" s="255"/>
      <c r="WR147" s="255"/>
      <c r="WS147" s="255"/>
      <c r="WT147" s="255"/>
      <c r="WU147" s="255"/>
      <c r="WV147" s="255"/>
      <c r="WW147" s="255"/>
      <c r="WX147" s="255"/>
      <c r="WY147" s="255"/>
      <c r="WZ147" s="255"/>
      <c r="XA147" s="255"/>
      <c r="XB147" s="255"/>
      <c r="XC147" s="255"/>
      <c r="XD147" s="255"/>
      <c r="XE147" s="255"/>
      <c r="XF147" s="255"/>
      <c r="XG147" s="255"/>
      <c r="XH147" s="255"/>
      <c r="XI147" s="255"/>
      <c r="XJ147" s="255"/>
      <c r="XK147" s="255"/>
      <c r="XL147" s="255"/>
      <c r="XM147" s="255"/>
      <c r="XN147" s="255"/>
      <c r="XO147" s="255"/>
      <c r="XP147" s="255"/>
      <c r="XQ147" s="255"/>
      <c r="XR147" s="255"/>
      <c r="XS147" s="255"/>
      <c r="XT147" s="255"/>
      <c r="XU147" s="255"/>
      <c r="XV147" s="255"/>
      <c r="XW147" s="255"/>
      <c r="XX147" s="255"/>
      <c r="XY147" s="255"/>
      <c r="XZ147" s="255"/>
      <c r="YA147" s="255"/>
      <c r="YB147" s="255"/>
      <c r="YC147" s="255"/>
      <c r="YD147" s="255"/>
      <c r="YE147" s="255"/>
      <c r="YF147" s="255"/>
      <c r="YG147" s="255"/>
      <c r="YH147" s="255"/>
      <c r="YI147" s="255"/>
      <c r="YJ147" s="255"/>
      <c r="YK147" s="255"/>
      <c r="YL147" s="255"/>
      <c r="YM147" s="255"/>
      <c r="YN147" s="255"/>
      <c r="YO147" s="255"/>
      <c r="YP147" s="255"/>
      <c r="YQ147" s="255"/>
      <c r="YR147" s="255"/>
      <c r="YS147" s="255"/>
      <c r="YT147" s="255"/>
      <c r="YU147" s="255"/>
      <c r="YV147" s="255"/>
      <c r="YW147" s="255"/>
      <c r="YX147" s="255"/>
      <c r="YY147" s="255"/>
      <c r="YZ147" s="255"/>
      <c r="ZA147" s="255"/>
      <c r="ZB147" s="255"/>
      <c r="ZC147" s="255"/>
      <c r="ZD147" s="255"/>
      <c r="ZE147" s="255"/>
      <c r="ZF147" s="255"/>
      <c r="ZG147" s="255"/>
      <c r="ZH147" s="255"/>
      <c r="ZI147" s="255"/>
      <c r="ZJ147" s="255"/>
      <c r="ZK147" s="255"/>
      <c r="ZL147" s="255"/>
      <c r="ZM147" s="255"/>
      <c r="ZN147" s="255"/>
      <c r="ZO147" s="255"/>
      <c r="ZP147" s="255"/>
      <c r="ZQ147" s="255"/>
      <c r="ZR147" s="255"/>
      <c r="ZS147" s="255"/>
      <c r="ZT147" s="255"/>
      <c r="ZU147" s="255"/>
      <c r="ZV147" s="255"/>
      <c r="ZW147" s="255"/>
      <c r="ZX147" s="255"/>
      <c r="ZY147" s="255"/>
      <c r="ZZ147" s="255"/>
      <c r="AAA147" s="255"/>
      <c r="AAB147" s="255"/>
      <c r="AAC147" s="255"/>
      <c r="AAD147" s="255"/>
      <c r="AAE147" s="255"/>
      <c r="AAF147" s="255"/>
      <c r="AAG147" s="255"/>
      <c r="AAH147" s="255"/>
      <c r="AAI147" s="255"/>
      <c r="AAJ147" s="255"/>
      <c r="AAK147" s="255"/>
      <c r="AAL147" s="255"/>
      <c r="AAM147" s="255"/>
      <c r="AAN147" s="255"/>
      <c r="AAO147" s="255"/>
      <c r="AAP147" s="255"/>
      <c r="AAQ147" s="255"/>
      <c r="AAR147" s="255"/>
      <c r="AAS147" s="255"/>
      <c r="AAT147" s="255"/>
      <c r="AAU147" s="255"/>
      <c r="AAV147" s="255"/>
      <c r="AAW147" s="255"/>
      <c r="AAX147" s="255"/>
      <c r="AAY147" s="255"/>
      <c r="AAZ147" s="255"/>
      <c r="ABA147" s="255"/>
      <c r="ABB147" s="255"/>
      <c r="ABC147" s="255"/>
      <c r="ABD147" s="255"/>
      <c r="ABE147" s="255"/>
      <c r="ABF147" s="255"/>
      <c r="ABG147" s="255"/>
      <c r="ABH147" s="255"/>
      <c r="ABI147" s="255"/>
      <c r="ABJ147" s="255"/>
      <c r="ABK147" s="255"/>
      <c r="ABL147" s="255"/>
      <c r="ABM147" s="255"/>
      <c r="ABN147" s="255"/>
      <c r="ABO147" s="255"/>
      <c r="ABP147" s="255"/>
      <c r="ABQ147" s="255"/>
      <c r="ABR147" s="255"/>
      <c r="ABS147" s="255"/>
      <c r="ABT147" s="255"/>
      <c r="ABU147" s="255"/>
      <c r="ABV147" s="255"/>
      <c r="ABW147" s="255"/>
      <c r="ABX147" s="255"/>
      <c r="ABY147" s="255"/>
      <c r="ABZ147" s="255"/>
      <c r="ACA147" s="255"/>
      <c r="ACB147" s="255"/>
      <c r="ACC147" s="255"/>
      <c r="ACD147" s="255"/>
      <c r="ACE147" s="255"/>
      <c r="ACF147" s="255"/>
      <c r="ACG147" s="255"/>
      <c r="ACH147" s="255"/>
      <c r="ACI147" s="255"/>
      <c r="ACJ147" s="255"/>
      <c r="ACK147" s="255"/>
      <c r="ACL147" s="255"/>
      <c r="ACM147" s="255"/>
      <c r="ACN147" s="255"/>
      <c r="ACO147" s="255"/>
      <c r="ACP147" s="255"/>
      <c r="ACQ147" s="255"/>
      <c r="ACR147" s="255"/>
      <c r="ACS147" s="255"/>
      <c r="ACT147" s="255"/>
      <c r="ACU147" s="255"/>
      <c r="ACV147" s="255"/>
      <c r="ACW147" s="255"/>
      <c r="ACX147" s="255"/>
      <c r="ACY147" s="255"/>
      <c r="ACZ147" s="255"/>
      <c r="ADA147" s="255"/>
      <c r="ADB147" s="255"/>
      <c r="ADC147" s="255"/>
      <c r="ADD147" s="255"/>
      <c r="ADE147" s="255"/>
      <c r="ADF147" s="255"/>
      <c r="ADG147" s="255"/>
      <c r="ADH147" s="255"/>
      <c r="ADI147" s="255"/>
      <c r="ADJ147" s="255"/>
      <c r="ADK147" s="255"/>
      <c r="ADL147" s="255"/>
      <c r="ADM147" s="255"/>
      <c r="ADN147" s="255"/>
      <c r="ADO147" s="255"/>
      <c r="ADP147" s="255"/>
      <c r="ADQ147" s="255"/>
      <c r="ADR147" s="255"/>
      <c r="ADS147" s="255"/>
      <c r="ADT147" s="255"/>
      <c r="ADU147" s="255"/>
      <c r="ADV147" s="255"/>
      <c r="ADW147" s="255"/>
      <c r="ADX147" s="255"/>
      <c r="ADY147" s="255"/>
      <c r="ADZ147" s="255"/>
      <c r="AEA147" s="255"/>
      <c r="AEB147" s="255"/>
      <c r="AEC147" s="255"/>
      <c r="AED147" s="255"/>
      <c r="AEE147" s="255"/>
      <c r="AEF147" s="255"/>
      <c r="AEG147" s="255"/>
      <c r="AEH147" s="255"/>
      <c r="AEI147" s="255"/>
      <c r="AEJ147" s="255"/>
      <c r="AEK147" s="255"/>
      <c r="AEL147" s="255"/>
      <c r="AEM147" s="255"/>
      <c r="AEN147" s="255"/>
      <c r="AEO147" s="255"/>
      <c r="AEP147" s="255"/>
      <c r="AEQ147" s="255"/>
      <c r="AER147" s="255"/>
      <c r="AES147" s="255"/>
      <c r="AET147" s="255"/>
      <c r="AEU147" s="255"/>
      <c r="AEV147" s="255"/>
      <c r="AEW147" s="255"/>
      <c r="AEX147" s="255"/>
      <c r="AEY147" s="255"/>
      <c r="AEZ147" s="255"/>
      <c r="AFA147" s="255"/>
      <c r="AFB147" s="255"/>
      <c r="AFC147" s="255"/>
      <c r="AFD147" s="255"/>
      <c r="AFE147" s="255"/>
      <c r="AFF147" s="255"/>
      <c r="AFG147" s="255"/>
      <c r="AFH147" s="255"/>
      <c r="AFI147" s="255"/>
      <c r="AFJ147" s="255"/>
      <c r="AFK147" s="255"/>
      <c r="AFL147" s="255"/>
      <c r="AFM147" s="255"/>
      <c r="AFN147" s="255"/>
      <c r="AFO147" s="255"/>
      <c r="AFP147" s="255"/>
      <c r="AFQ147" s="255"/>
      <c r="AFR147" s="255"/>
      <c r="AFS147" s="255"/>
      <c r="AFT147" s="255"/>
      <c r="AFU147" s="255"/>
      <c r="AFV147" s="255"/>
      <c r="AFW147" s="255"/>
      <c r="AFX147" s="255"/>
      <c r="AFY147" s="255"/>
      <c r="AFZ147" s="255"/>
      <c r="AGA147" s="255"/>
      <c r="AGB147" s="255"/>
      <c r="AGC147" s="255"/>
      <c r="AGD147" s="255"/>
      <c r="AGE147" s="255"/>
      <c r="AGF147" s="255"/>
      <c r="AGG147" s="255"/>
      <c r="AGH147" s="255"/>
      <c r="AGI147" s="255"/>
      <c r="AGJ147" s="255"/>
      <c r="AGK147" s="255"/>
      <c r="AGL147" s="255"/>
      <c r="AGM147" s="255"/>
      <c r="AGN147" s="255"/>
      <c r="AGO147" s="255"/>
      <c r="AGP147" s="255"/>
      <c r="AGQ147" s="255"/>
      <c r="AGR147" s="255"/>
      <c r="AGS147" s="255"/>
      <c r="AGT147" s="255"/>
      <c r="AGU147" s="255"/>
      <c r="AGV147" s="255"/>
      <c r="AGW147" s="255"/>
      <c r="AGX147" s="255"/>
      <c r="AGY147" s="255"/>
      <c r="AGZ147" s="255"/>
      <c r="AHA147" s="255"/>
      <c r="AHB147" s="255"/>
      <c r="AHC147" s="255"/>
      <c r="AHD147" s="255"/>
      <c r="AHE147" s="255"/>
      <c r="AHF147" s="255"/>
      <c r="AHG147" s="255"/>
      <c r="AHH147" s="255"/>
      <c r="AHI147" s="255"/>
      <c r="AHJ147" s="255"/>
      <c r="AHK147" s="255"/>
      <c r="AHL147" s="255"/>
      <c r="AHM147" s="255"/>
      <c r="AHN147" s="255"/>
      <c r="AHO147" s="255"/>
      <c r="AHP147" s="255"/>
      <c r="AHQ147" s="255"/>
      <c r="AHR147" s="255"/>
      <c r="AHS147" s="255"/>
      <c r="AHT147" s="255"/>
      <c r="AHU147" s="255"/>
      <c r="AHV147" s="255"/>
      <c r="AHW147" s="255"/>
      <c r="AHX147" s="255"/>
      <c r="AHY147" s="255"/>
      <c r="AHZ147" s="255"/>
      <c r="AIA147" s="255"/>
      <c r="AIB147" s="255"/>
      <c r="AIC147" s="255"/>
      <c r="AID147" s="255"/>
      <c r="AIE147" s="255"/>
      <c r="AIF147" s="255"/>
      <c r="AIG147" s="255"/>
      <c r="AIH147" s="255"/>
      <c r="AII147" s="255"/>
      <c r="AIJ147" s="255"/>
      <c r="AIK147" s="255"/>
      <c r="AIL147" s="255"/>
      <c r="AIM147" s="255"/>
      <c r="AIN147" s="255"/>
      <c r="AIO147" s="255"/>
      <c r="AIP147" s="255"/>
      <c r="AIQ147" s="255"/>
      <c r="AIR147" s="255"/>
      <c r="AIS147" s="255"/>
      <c r="AIT147" s="255"/>
      <c r="AIU147" s="255"/>
      <c r="AIV147" s="255"/>
      <c r="AIW147" s="255"/>
      <c r="AIX147" s="255"/>
      <c r="AIY147" s="255"/>
      <c r="AIZ147" s="255"/>
      <c r="AJA147" s="255"/>
      <c r="AJB147" s="255"/>
      <c r="AJC147" s="255"/>
      <c r="AJD147" s="255"/>
      <c r="AJE147" s="255"/>
      <c r="AJF147" s="255"/>
      <c r="AJG147" s="255"/>
      <c r="AJH147" s="255"/>
      <c r="AJI147" s="255"/>
      <c r="AJJ147" s="255"/>
      <c r="AJK147" s="255"/>
      <c r="AJL147" s="255"/>
      <c r="AJM147" s="255"/>
      <c r="AJN147" s="255"/>
      <c r="AJO147" s="255"/>
      <c r="AJP147" s="255"/>
      <c r="AJQ147" s="255"/>
      <c r="AJR147" s="255"/>
      <c r="AJS147" s="255"/>
      <c r="AJT147" s="255"/>
      <c r="AJU147" s="255"/>
      <c r="AJV147" s="255"/>
      <c r="AJW147" s="255"/>
      <c r="AJX147" s="255"/>
      <c r="AJY147" s="255"/>
      <c r="AJZ147" s="255"/>
      <c r="AKA147" s="255"/>
      <c r="AKB147" s="255"/>
      <c r="AKC147" s="255"/>
      <c r="AKD147" s="255"/>
      <c r="AKE147" s="255"/>
      <c r="AKF147" s="255"/>
      <c r="AKG147" s="255"/>
      <c r="AKH147" s="255"/>
      <c r="AKI147" s="255"/>
      <c r="AKJ147" s="255"/>
      <c r="AKK147" s="255"/>
      <c r="AKL147" s="255"/>
      <c r="AKM147" s="255"/>
      <c r="AKN147" s="255"/>
      <c r="AKO147" s="255"/>
      <c r="AKP147" s="255"/>
      <c r="AKQ147" s="255"/>
      <c r="AKR147" s="255"/>
      <c r="AKS147" s="255"/>
      <c r="AKT147" s="255"/>
      <c r="AKU147" s="255"/>
      <c r="AKV147" s="255"/>
      <c r="AKW147" s="255"/>
      <c r="AKX147" s="255"/>
      <c r="AKY147" s="255"/>
      <c r="AKZ147" s="255"/>
      <c r="ALA147" s="255"/>
      <c r="ALB147" s="255"/>
      <c r="ALC147" s="255"/>
      <c r="ALD147" s="255"/>
      <c r="ALE147" s="255"/>
      <c r="ALF147" s="255"/>
      <c r="ALG147" s="255"/>
      <c r="ALH147" s="255"/>
      <c r="ALI147" s="255"/>
      <c r="ALJ147" s="255"/>
      <c r="ALK147" s="255"/>
      <c r="ALL147" s="42"/>
      <c r="ALM147" s="42"/>
      <c r="ALN147" s="42"/>
      <c r="ALO147" s="42"/>
      <c r="ALP147" s="42"/>
      <c r="ALQ147" s="42"/>
      <c r="ALR147" s="42"/>
      <c r="ALS147" s="42"/>
      <c r="ALT147" s="42"/>
    </row>
    <row r="148" spans="1:1008" s="191" customFormat="1">
      <c r="A148" s="251" t="s">
        <v>7</v>
      </c>
      <c r="B148" s="328">
        <v>88482</v>
      </c>
      <c r="C148" s="301" t="str">
        <f>(IF($A148="SINAPI",INDEX(SINAPI_NOV2020_NDES!$A$7:$H$6703,MATCH($B148,SINAPI_NOV2020_NDES!$A$7:$A$6703,0),2),IF($A148="GOINFRA",INDEX(#REF!,MATCH($B148,#REF!,0),2),(INDEX(COMPOS!$A$4:$G$390,MATCH($B148,COMPOS!$A$4:A$390,0),2)))))</f>
        <v>APLICAÇÃO DE FUNDO SELADOR LÁTEX PVA EM TETO, UMA DEMÃO. AF_06/2014</v>
      </c>
      <c r="D148" s="274" t="str">
        <f>(IF($A148="SINAPI",INDEX(SINAPI_NOV2020_NDES!$A$7:$H$6790,MATCH($B148,SINAPI_NOV2020_NDES!$A$7:$A$6790,0),3),(INDEX(COMPOS!$A$4:$G$5000,MATCH($B148,COMPOS!$A$4:$A$5000,0),3))))</f>
        <v>M2</v>
      </c>
      <c r="E148" s="276">
        <v>18.23</v>
      </c>
      <c r="F148" s="279">
        <f>(IF($A148="SINAPI",INDEX(SINAPI_NOV2020_NDES!$A$7:$H$6703,MATCH($B148,SINAPI_NOV2020_NDES!$A$7:$A$6703,0),5),(INDEX(COMPOS!$A$4:$G$801,MATCH($B148,COMPOS!$A$4:A$801,0),4))))</f>
        <v>0.74</v>
      </c>
      <c r="G148" s="280">
        <f>(IF($A148="SINAPI",INDEX(SINAPI_NOV2020_NDES!$A$7:$H$6703,MATCH($B148,SINAPI_NOV2020_NDES!$A$7:$A$6703,0),6),(INDEX(COMPOS!$A$4:$G$801,MATCH($B148,COMPOS!$A$4:A$801,0),5))))</f>
        <v>2.44</v>
      </c>
      <c r="H148" s="280">
        <f>(IF($A148="SINAPI",INDEX(SINAPI_NOV2020_NDES!$A$7:$H$6703,MATCH($B148,SINAPI_NOV2020_NDES!$A$7:$A$6703,0),7),(INDEX(COMPOS!$A$4:$G$801,MATCH($B148,COMPOS!$A$4:A$801,0),6))))</f>
        <v>0</v>
      </c>
      <c r="I148" s="279">
        <f t="shared" ref="I148:I157" si="50">SUM(F148:H148)</f>
        <v>3.1799999999999997</v>
      </c>
      <c r="J148" s="276">
        <f t="shared" ref="J148:J157" si="51">+I148*E148</f>
        <v>57.971399999999996</v>
      </c>
      <c r="K148" s="255"/>
      <c r="L148" s="255"/>
      <c r="M148" s="255"/>
      <c r="N148" s="255"/>
      <c r="O148" s="257"/>
      <c r="P148" s="223"/>
      <c r="Q148" s="255"/>
      <c r="R148" s="255"/>
      <c r="S148" s="255"/>
      <c r="T148" s="255"/>
      <c r="U148" s="255"/>
      <c r="V148" s="255"/>
      <c r="W148" s="255"/>
      <c r="X148" s="255"/>
      <c r="Y148" s="255"/>
      <c r="Z148" s="255"/>
      <c r="AA148" s="255"/>
      <c r="AB148" s="255"/>
      <c r="AC148" s="255"/>
      <c r="AD148" s="255"/>
      <c r="AE148" s="255"/>
      <c r="AF148" s="255"/>
      <c r="AG148" s="255"/>
      <c r="AH148" s="255"/>
      <c r="AI148" s="255"/>
      <c r="AJ148" s="255"/>
      <c r="AK148" s="255"/>
      <c r="AL148" s="255"/>
      <c r="AM148" s="255"/>
      <c r="AN148" s="255"/>
      <c r="AO148" s="255"/>
      <c r="AP148" s="255"/>
      <c r="AQ148" s="255"/>
      <c r="AR148" s="255"/>
      <c r="AS148" s="255"/>
      <c r="AT148" s="255"/>
      <c r="AU148" s="255"/>
      <c r="AV148" s="255"/>
      <c r="AW148" s="255"/>
      <c r="AX148" s="255"/>
      <c r="AY148" s="255"/>
      <c r="AZ148" s="255"/>
      <c r="BA148" s="255"/>
      <c r="BB148" s="255"/>
      <c r="BC148" s="255"/>
      <c r="BD148" s="255"/>
      <c r="BE148" s="255"/>
      <c r="BF148" s="255"/>
      <c r="BG148" s="255"/>
      <c r="BH148" s="255"/>
      <c r="BI148" s="255"/>
      <c r="BJ148" s="255"/>
      <c r="BK148" s="255"/>
      <c r="BL148" s="255"/>
      <c r="BM148" s="255"/>
      <c r="BN148" s="255"/>
      <c r="BO148" s="255"/>
      <c r="BP148" s="255"/>
      <c r="BQ148" s="255"/>
      <c r="BR148" s="255"/>
      <c r="BS148" s="255"/>
      <c r="BT148" s="255"/>
      <c r="BU148" s="255"/>
      <c r="BV148" s="255"/>
      <c r="BW148" s="255"/>
      <c r="BX148" s="255"/>
      <c r="BY148" s="255"/>
      <c r="BZ148" s="255"/>
      <c r="CA148" s="255"/>
      <c r="CB148" s="255"/>
      <c r="CC148" s="255"/>
      <c r="CD148" s="255"/>
      <c r="CE148" s="255"/>
      <c r="CF148" s="255"/>
      <c r="CG148" s="255"/>
      <c r="CH148" s="255"/>
      <c r="CI148" s="255"/>
      <c r="CJ148" s="255"/>
      <c r="CK148" s="255"/>
      <c r="CL148" s="255"/>
      <c r="CM148" s="255"/>
      <c r="CN148" s="255"/>
      <c r="CO148" s="255"/>
      <c r="CP148" s="255"/>
      <c r="CQ148" s="255"/>
      <c r="CR148" s="255"/>
      <c r="CS148" s="255"/>
      <c r="CT148" s="255"/>
      <c r="CU148" s="255"/>
      <c r="CV148" s="255"/>
      <c r="CW148" s="255"/>
      <c r="CX148" s="255"/>
      <c r="CY148" s="255"/>
      <c r="CZ148" s="255"/>
      <c r="DA148" s="255"/>
      <c r="DB148" s="255"/>
      <c r="DC148" s="255"/>
      <c r="DD148" s="255"/>
      <c r="DE148" s="255"/>
      <c r="DF148" s="255"/>
      <c r="DG148" s="255"/>
      <c r="DH148" s="255"/>
      <c r="DI148" s="255"/>
      <c r="DJ148" s="255"/>
      <c r="DK148" s="255"/>
      <c r="DL148" s="255"/>
      <c r="DM148" s="255"/>
      <c r="DN148" s="255"/>
      <c r="DO148" s="255"/>
      <c r="DP148" s="255"/>
      <c r="DQ148" s="255"/>
      <c r="DR148" s="255"/>
      <c r="DS148" s="255"/>
      <c r="DT148" s="255"/>
      <c r="DU148" s="255"/>
      <c r="DV148" s="255"/>
      <c r="DW148" s="255"/>
      <c r="DX148" s="255"/>
      <c r="DY148" s="255"/>
      <c r="DZ148" s="255"/>
      <c r="EA148" s="255"/>
      <c r="EB148" s="255"/>
      <c r="EC148" s="255"/>
      <c r="ED148" s="255"/>
      <c r="EE148" s="255"/>
      <c r="EF148" s="255"/>
      <c r="EG148" s="255"/>
      <c r="EH148" s="255"/>
      <c r="EI148" s="255"/>
      <c r="EJ148" s="255"/>
      <c r="EK148" s="255"/>
      <c r="EL148" s="255"/>
      <c r="EM148" s="255"/>
      <c r="EN148" s="255"/>
      <c r="EO148" s="255"/>
      <c r="EP148" s="255"/>
      <c r="EQ148" s="255"/>
      <c r="ER148" s="255"/>
      <c r="ES148" s="255"/>
      <c r="ET148" s="255"/>
      <c r="EU148" s="255"/>
      <c r="EV148" s="255"/>
      <c r="EW148" s="255"/>
      <c r="EX148" s="255"/>
      <c r="EY148" s="255"/>
      <c r="EZ148" s="255"/>
      <c r="FA148" s="255"/>
      <c r="FB148" s="255"/>
      <c r="FC148" s="255"/>
      <c r="FD148" s="255"/>
      <c r="FE148" s="255"/>
      <c r="FF148" s="255"/>
      <c r="FG148" s="255"/>
      <c r="FH148" s="255"/>
      <c r="FI148" s="255"/>
      <c r="FJ148" s="255"/>
      <c r="FK148" s="255"/>
      <c r="FL148" s="255"/>
      <c r="FM148" s="255"/>
      <c r="FN148" s="255"/>
      <c r="FO148" s="255"/>
      <c r="FP148" s="255"/>
      <c r="FQ148" s="255"/>
      <c r="FR148" s="255"/>
      <c r="FS148" s="255"/>
      <c r="FT148" s="255"/>
      <c r="FU148" s="255"/>
      <c r="FV148" s="255"/>
      <c r="FW148" s="255"/>
      <c r="FX148" s="255"/>
      <c r="FY148" s="255"/>
      <c r="FZ148" s="255"/>
      <c r="GA148" s="255"/>
      <c r="GB148" s="255"/>
      <c r="GC148" s="255"/>
      <c r="GD148" s="255"/>
      <c r="GE148" s="255"/>
      <c r="GF148" s="255"/>
      <c r="GG148" s="255"/>
      <c r="GH148" s="255"/>
      <c r="GI148" s="255"/>
      <c r="GJ148" s="255"/>
      <c r="GK148" s="255"/>
      <c r="GL148" s="255"/>
      <c r="GM148" s="255"/>
      <c r="GN148" s="255"/>
      <c r="GO148" s="255"/>
      <c r="GP148" s="255"/>
      <c r="GQ148" s="255"/>
      <c r="GR148" s="255"/>
      <c r="GS148" s="255"/>
      <c r="GT148" s="255"/>
      <c r="GU148" s="255"/>
      <c r="GV148" s="255"/>
      <c r="GW148" s="255"/>
      <c r="GX148" s="255"/>
      <c r="GY148" s="255"/>
      <c r="GZ148" s="255"/>
      <c r="HA148" s="255"/>
      <c r="HB148" s="255"/>
      <c r="HC148" s="255"/>
      <c r="HD148" s="255"/>
      <c r="HE148" s="255"/>
      <c r="HF148" s="255"/>
      <c r="HG148" s="255"/>
      <c r="HH148" s="255"/>
      <c r="HI148" s="255"/>
      <c r="HJ148" s="255"/>
      <c r="HK148" s="255"/>
      <c r="HL148" s="255"/>
      <c r="HM148" s="255"/>
      <c r="HN148" s="255"/>
      <c r="HO148" s="255"/>
      <c r="HP148" s="255"/>
      <c r="HQ148" s="255"/>
      <c r="HR148" s="255"/>
      <c r="HS148" s="255"/>
      <c r="HT148" s="255"/>
      <c r="HU148" s="255"/>
      <c r="HV148" s="255"/>
      <c r="HW148" s="255"/>
      <c r="HX148" s="255"/>
      <c r="HY148" s="255"/>
      <c r="HZ148" s="255"/>
      <c r="IA148" s="255"/>
      <c r="IB148" s="255"/>
      <c r="IC148" s="255"/>
      <c r="ID148" s="255"/>
      <c r="IE148" s="255"/>
      <c r="IF148" s="255"/>
      <c r="IG148" s="255"/>
      <c r="IH148" s="255"/>
      <c r="II148" s="255"/>
      <c r="IJ148" s="255"/>
      <c r="IK148" s="255"/>
      <c r="IL148" s="255"/>
      <c r="IM148" s="255"/>
      <c r="IN148" s="255"/>
      <c r="IO148" s="255"/>
      <c r="IP148" s="255"/>
      <c r="IQ148" s="255"/>
      <c r="IR148" s="255"/>
      <c r="IS148" s="255"/>
      <c r="IT148" s="255"/>
      <c r="IU148" s="255"/>
      <c r="IV148" s="255"/>
      <c r="IW148" s="255"/>
      <c r="IX148" s="255"/>
      <c r="IY148" s="255"/>
      <c r="IZ148" s="255"/>
      <c r="JA148" s="255"/>
      <c r="JB148" s="255"/>
      <c r="JC148" s="255"/>
      <c r="JD148" s="255"/>
      <c r="JE148" s="255"/>
      <c r="JF148" s="255"/>
      <c r="JG148" s="255"/>
      <c r="JH148" s="255"/>
      <c r="JI148" s="255"/>
      <c r="JJ148" s="255"/>
      <c r="JK148" s="255"/>
      <c r="JL148" s="255"/>
      <c r="JM148" s="255"/>
      <c r="JN148" s="255"/>
      <c r="JO148" s="255"/>
      <c r="JP148" s="255"/>
      <c r="JQ148" s="255"/>
      <c r="JR148" s="255"/>
      <c r="JS148" s="255"/>
      <c r="JT148" s="255"/>
      <c r="JU148" s="255"/>
      <c r="JV148" s="255"/>
      <c r="JW148" s="255"/>
      <c r="JX148" s="255"/>
      <c r="JY148" s="255"/>
      <c r="JZ148" s="255"/>
      <c r="KA148" s="255"/>
      <c r="KB148" s="255"/>
      <c r="KC148" s="255"/>
      <c r="KD148" s="255"/>
      <c r="KE148" s="255"/>
      <c r="KF148" s="255"/>
      <c r="KG148" s="255"/>
      <c r="KH148" s="255"/>
      <c r="KI148" s="255"/>
      <c r="KJ148" s="255"/>
      <c r="KK148" s="255"/>
      <c r="KL148" s="255"/>
      <c r="KM148" s="255"/>
      <c r="KN148" s="255"/>
      <c r="KO148" s="255"/>
      <c r="KP148" s="255"/>
      <c r="KQ148" s="255"/>
      <c r="KR148" s="255"/>
      <c r="KS148" s="255"/>
      <c r="KT148" s="255"/>
      <c r="KU148" s="255"/>
      <c r="KV148" s="255"/>
      <c r="KW148" s="255"/>
      <c r="KX148" s="255"/>
      <c r="KY148" s="255"/>
      <c r="KZ148" s="255"/>
      <c r="LA148" s="255"/>
      <c r="LB148" s="255"/>
      <c r="LC148" s="255"/>
      <c r="LD148" s="255"/>
      <c r="LE148" s="255"/>
      <c r="LF148" s="255"/>
      <c r="LG148" s="255"/>
      <c r="LH148" s="255"/>
      <c r="LI148" s="255"/>
      <c r="LJ148" s="255"/>
      <c r="LK148" s="255"/>
      <c r="LL148" s="255"/>
      <c r="LM148" s="255"/>
      <c r="LN148" s="255"/>
      <c r="LO148" s="255"/>
      <c r="LP148" s="255"/>
      <c r="LQ148" s="255"/>
      <c r="LR148" s="255"/>
      <c r="LS148" s="255"/>
      <c r="LT148" s="255"/>
      <c r="LU148" s="255"/>
      <c r="LV148" s="255"/>
      <c r="LW148" s="255"/>
      <c r="LX148" s="255"/>
      <c r="LY148" s="255"/>
      <c r="LZ148" s="255"/>
      <c r="MA148" s="255"/>
      <c r="MB148" s="255"/>
      <c r="MC148" s="255"/>
      <c r="MD148" s="255"/>
      <c r="ME148" s="255"/>
      <c r="MF148" s="255"/>
      <c r="MG148" s="255"/>
      <c r="MH148" s="255"/>
      <c r="MI148" s="255"/>
      <c r="MJ148" s="255"/>
      <c r="MK148" s="255"/>
      <c r="ML148" s="255"/>
      <c r="MM148" s="255"/>
      <c r="MN148" s="255"/>
      <c r="MO148" s="255"/>
      <c r="MP148" s="255"/>
      <c r="MQ148" s="255"/>
      <c r="MR148" s="255"/>
      <c r="MS148" s="255"/>
      <c r="MT148" s="255"/>
      <c r="MU148" s="255"/>
      <c r="MV148" s="255"/>
      <c r="MW148" s="255"/>
      <c r="MX148" s="255"/>
      <c r="MY148" s="255"/>
      <c r="MZ148" s="255"/>
      <c r="NA148" s="255"/>
      <c r="NB148" s="255"/>
      <c r="NC148" s="255"/>
      <c r="ND148" s="255"/>
      <c r="NE148" s="255"/>
      <c r="NF148" s="255"/>
      <c r="NG148" s="255"/>
      <c r="NH148" s="255"/>
      <c r="NI148" s="255"/>
      <c r="NJ148" s="255"/>
      <c r="NK148" s="255"/>
      <c r="NL148" s="255"/>
      <c r="NM148" s="255"/>
      <c r="NN148" s="255"/>
      <c r="NO148" s="255"/>
      <c r="NP148" s="255"/>
      <c r="NQ148" s="255"/>
      <c r="NR148" s="255"/>
      <c r="NS148" s="255"/>
      <c r="NT148" s="255"/>
      <c r="NU148" s="255"/>
      <c r="NV148" s="255"/>
      <c r="NW148" s="255"/>
      <c r="NX148" s="255"/>
      <c r="NY148" s="255"/>
      <c r="NZ148" s="255"/>
      <c r="OA148" s="255"/>
      <c r="OB148" s="255"/>
      <c r="OC148" s="255"/>
      <c r="OD148" s="255"/>
      <c r="OE148" s="255"/>
      <c r="OF148" s="255"/>
      <c r="OG148" s="255"/>
      <c r="OH148" s="255"/>
      <c r="OI148" s="255"/>
      <c r="OJ148" s="255"/>
      <c r="OK148" s="255"/>
      <c r="OL148" s="255"/>
      <c r="OM148" s="255"/>
      <c r="ON148" s="255"/>
      <c r="OO148" s="255"/>
      <c r="OP148" s="255"/>
      <c r="OQ148" s="255"/>
      <c r="OR148" s="255"/>
      <c r="OS148" s="255"/>
      <c r="OT148" s="255"/>
      <c r="OU148" s="255"/>
      <c r="OV148" s="255"/>
      <c r="OW148" s="255"/>
      <c r="OX148" s="255"/>
      <c r="OY148" s="255"/>
      <c r="OZ148" s="255"/>
      <c r="PA148" s="255"/>
      <c r="PB148" s="255"/>
      <c r="PC148" s="255"/>
      <c r="PD148" s="255"/>
      <c r="PE148" s="255"/>
      <c r="PF148" s="255"/>
      <c r="PG148" s="255"/>
      <c r="PH148" s="255"/>
      <c r="PI148" s="255"/>
      <c r="PJ148" s="255"/>
      <c r="PK148" s="255"/>
      <c r="PL148" s="255"/>
      <c r="PM148" s="255"/>
      <c r="PN148" s="255"/>
      <c r="PO148" s="255"/>
      <c r="PP148" s="255"/>
      <c r="PQ148" s="255"/>
      <c r="PR148" s="255"/>
      <c r="PS148" s="255"/>
      <c r="PT148" s="255"/>
      <c r="PU148" s="255"/>
      <c r="PV148" s="255"/>
      <c r="PW148" s="255"/>
      <c r="PX148" s="255"/>
      <c r="PY148" s="255"/>
      <c r="PZ148" s="255"/>
      <c r="QA148" s="255"/>
      <c r="QB148" s="255"/>
      <c r="QC148" s="255"/>
      <c r="QD148" s="255"/>
      <c r="QE148" s="255"/>
      <c r="QF148" s="255"/>
      <c r="QG148" s="255"/>
      <c r="QH148" s="255"/>
      <c r="QI148" s="255"/>
      <c r="QJ148" s="255"/>
      <c r="QK148" s="255"/>
      <c r="QL148" s="255"/>
      <c r="QM148" s="255"/>
      <c r="QN148" s="255"/>
      <c r="QO148" s="255"/>
      <c r="QP148" s="255"/>
      <c r="QQ148" s="255"/>
      <c r="QR148" s="255"/>
      <c r="QS148" s="255"/>
      <c r="QT148" s="255"/>
      <c r="QU148" s="255"/>
      <c r="QV148" s="255"/>
      <c r="QW148" s="255"/>
      <c r="QX148" s="255"/>
      <c r="QY148" s="255"/>
      <c r="QZ148" s="255"/>
      <c r="RA148" s="255"/>
      <c r="RB148" s="255"/>
      <c r="RC148" s="255"/>
      <c r="RD148" s="255"/>
      <c r="RE148" s="255"/>
      <c r="RF148" s="255"/>
      <c r="RG148" s="255"/>
      <c r="RH148" s="255"/>
      <c r="RI148" s="255"/>
      <c r="RJ148" s="255"/>
      <c r="RK148" s="255"/>
      <c r="RL148" s="255"/>
      <c r="RM148" s="255"/>
      <c r="RN148" s="255"/>
      <c r="RO148" s="255"/>
      <c r="RP148" s="255"/>
      <c r="RQ148" s="255"/>
      <c r="RR148" s="255"/>
      <c r="RS148" s="255"/>
      <c r="RT148" s="255"/>
      <c r="RU148" s="255"/>
      <c r="RV148" s="255"/>
      <c r="RW148" s="255"/>
      <c r="RX148" s="255"/>
      <c r="RY148" s="255"/>
      <c r="RZ148" s="255"/>
      <c r="SA148" s="255"/>
      <c r="SB148" s="255"/>
      <c r="SC148" s="255"/>
      <c r="SD148" s="255"/>
      <c r="SE148" s="255"/>
      <c r="SF148" s="255"/>
      <c r="SG148" s="255"/>
      <c r="SH148" s="255"/>
      <c r="SI148" s="255"/>
      <c r="SJ148" s="255"/>
      <c r="SK148" s="255"/>
      <c r="SL148" s="255"/>
      <c r="SM148" s="255"/>
      <c r="SN148" s="255"/>
      <c r="SO148" s="255"/>
      <c r="SP148" s="255"/>
      <c r="SQ148" s="255"/>
      <c r="SR148" s="255"/>
      <c r="SS148" s="255"/>
      <c r="ST148" s="255"/>
      <c r="SU148" s="255"/>
      <c r="SV148" s="255"/>
      <c r="SW148" s="255"/>
      <c r="SX148" s="255"/>
      <c r="SY148" s="255"/>
      <c r="SZ148" s="255"/>
      <c r="TA148" s="255"/>
      <c r="TB148" s="255"/>
      <c r="TC148" s="255"/>
      <c r="TD148" s="255"/>
      <c r="TE148" s="255"/>
      <c r="TF148" s="255"/>
      <c r="TG148" s="255"/>
      <c r="TH148" s="255"/>
      <c r="TI148" s="255"/>
      <c r="TJ148" s="255"/>
      <c r="TK148" s="255"/>
      <c r="TL148" s="255"/>
      <c r="TM148" s="255"/>
      <c r="TN148" s="255"/>
      <c r="TO148" s="255"/>
      <c r="TP148" s="255"/>
      <c r="TQ148" s="255"/>
      <c r="TR148" s="255"/>
      <c r="TS148" s="255"/>
      <c r="TT148" s="255"/>
      <c r="TU148" s="255"/>
      <c r="TV148" s="255"/>
      <c r="TW148" s="255"/>
      <c r="TX148" s="255"/>
      <c r="TY148" s="255"/>
      <c r="TZ148" s="255"/>
      <c r="UA148" s="255"/>
      <c r="UB148" s="255"/>
      <c r="UC148" s="255"/>
      <c r="UD148" s="255"/>
      <c r="UE148" s="255"/>
      <c r="UF148" s="255"/>
      <c r="UG148" s="255"/>
      <c r="UH148" s="255"/>
      <c r="UI148" s="255"/>
      <c r="UJ148" s="255"/>
      <c r="UK148" s="255"/>
      <c r="UL148" s="255"/>
      <c r="UM148" s="255"/>
      <c r="UN148" s="255"/>
      <c r="UO148" s="255"/>
      <c r="UP148" s="255"/>
      <c r="UQ148" s="255"/>
      <c r="UR148" s="255"/>
      <c r="US148" s="255"/>
      <c r="UT148" s="255"/>
      <c r="UU148" s="255"/>
      <c r="UV148" s="255"/>
      <c r="UW148" s="255"/>
      <c r="UX148" s="255"/>
      <c r="UY148" s="255"/>
      <c r="UZ148" s="255"/>
      <c r="VA148" s="255"/>
      <c r="VB148" s="255"/>
      <c r="VC148" s="255"/>
      <c r="VD148" s="255"/>
      <c r="VE148" s="255"/>
      <c r="VF148" s="255"/>
      <c r="VG148" s="255"/>
      <c r="VH148" s="255"/>
      <c r="VI148" s="255"/>
      <c r="VJ148" s="255"/>
      <c r="VK148" s="255"/>
      <c r="VL148" s="255"/>
      <c r="VM148" s="255"/>
      <c r="VN148" s="255"/>
      <c r="VO148" s="255"/>
      <c r="VP148" s="255"/>
      <c r="VQ148" s="255"/>
      <c r="VR148" s="255"/>
      <c r="VS148" s="255"/>
      <c r="VT148" s="255"/>
      <c r="VU148" s="255"/>
      <c r="VV148" s="255"/>
      <c r="VW148" s="255"/>
      <c r="VX148" s="255"/>
      <c r="VY148" s="255"/>
      <c r="VZ148" s="255"/>
      <c r="WA148" s="255"/>
      <c r="WB148" s="255"/>
      <c r="WC148" s="255"/>
      <c r="WD148" s="255"/>
      <c r="WE148" s="255"/>
      <c r="WF148" s="255"/>
      <c r="WG148" s="255"/>
      <c r="WH148" s="255"/>
      <c r="WI148" s="255"/>
      <c r="WJ148" s="255"/>
      <c r="WK148" s="255"/>
      <c r="WL148" s="255"/>
      <c r="WM148" s="255"/>
      <c r="WN148" s="255"/>
      <c r="WO148" s="255"/>
      <c r="WP148" s="255"/>
      <c r="WQ148" s="255"/>
      <c r="WR148" s="255"/>
      <c r="WS148" s="255"/>
      <c r="WT148" s="255"/>
      <c r="WU148" s="255"/>
      <c r="WV148" s="255"/>
      <c r="WW148" s="255"/>
      <c r="WX148" s="255"/>
      <c r="WY148" s="255"/>
      <c r="WZ148" s="255"/>
      <c r="XA148" s="255"/>
      <c r="XB148" s="255"/>
      <c r="XC148" s="255"/>
      <c r="XD148" s="255"/>
      <c r="XE148" s="255"/>
      <c r="XF148" s="255"/>
      <c r="XG148" s="255"/>
      <c r="XH148" s="255"/>
      <c r="XI148" s="255"/>
      <c r="XJ148" s="255"/>
      <c r="XK148" s="255"/>
      <c r="XL148" s="255"/>
      <c r="XM148" s="255"/>
      <c r="XN148" s="255"/>
      <c r="XO148" s="255"/>
      <c r="XP148" s="255"/>
      <c r="XQ148" s="255"/>
      <c r="XR148" s="255"/>
      <c r="XS148" s="255"/>
      <c r="XT148" s="255"/>
      <c r="XU148" s="255"/>
      <c r="XV148" s="255"/>
      <c r="XW148" s="255"/>
      <c r="XX148" s="255"/>
      <c r="XY148" s="255"/>
      <c r="XZ148" s="255"/>
      <c r="YA148" s="255"/>
      <c r="YB148" s="255"/>
      <c r="YC148" s="255"/>
      <c r="YD148" s="255"/>
      <c r="YE148" s="255"/>
      <c r="YF148" s="255"/>
      <c r="YG148" s="255"/>
      <c r="YH148" s="255"/>
      <c r="YI148" s="255"/>
      <c r="YJ148" s="255"/>
      <c r="YK148" s="255"/>
      <c r="YL148" s="255"/>
      <c r="YM148" s="255"/>
      <c r="YN148" s="255"/>
      <c r="YO148" s="255"/>
      <c r="YP148" s="255"/>
      <c r="YQ148" s="255"/>
      <c r="YR148" s="255"/>
      <c r="YS148" s="255"/>
      <c r="YT148" s="255"/>
      <c r="YU148" s="255"/>
      <c r="YV148" s="255"/>
      <c r="YW148" s="255"/>
      <c r="YX148" s="255"/>
      <c r="YY148" s="255"/>
      <c r="YZ148" s="255"/>
      <c r="ZA148" s="255"/>
      <c r="ZB148" s="255"/>
      <c r="ZC148" s="255"/>
      <c r="ZD148" s="255"/>
      <c r="ZE148" s="255"/>
      <c r="ZF148" s="255"/>
      <c r="ZG148" s="255"/>
      <c r="ZH148" s="255"/>
      <c r="ZI148" s="255"/>
      <c r="ZJ148" s="255"/>
      <c r="ZK148" s="255"/>
      <c r="ZL148" s="255"/>
      <c r="ZM148" s="255"/>
      <c r="ZN148" s="255"/>
      <c r="ZO148" s="255"/>
      <c r="ZP148" s="255"/>
      <c r="ZQ148" s="255"/>
      <c r="ZR148" s="255"/>
      <c r="ZS148" s="255"/>
      <c r="ZT148" s="255"/>
      <c r="ZU148" s="255"/>
      <c r="ZV148" s="255"/>
      <c r="ZW148" s="255"/>
      <c r="ZX148" s="255"/>
      <c r="ZY148" s="255"/>
      <c r="ZZ148" s="255"/>
      <c r="AAA148" s="255"/>
      <c r="AAB148" s="255"/>
      <c r="AAC148" s="255"/>
      <c r="AAD148" s="255"/>
      <c r="AAE148" s="255"/>
      <c r="AAF148" s="255"/>
      <c r="AAG148" s="255"/>
      <c r="AAH148" s="255"/>
      <c r="AAI148" s="255"/>
      <c r="AAJ148" s="255"/>
      <c r="AAK148" s="255"/>
      <c r="AAL148" s="255"/>
      <c r="AAM148" s="255"/>
      <c r="AAN148" s="255"/>
      <c r="AAO148" s="255"/>
      <c r="AAP148" s="255"/>
      <c r="AAQ148" s="255"/>
      <c r="AAR148" s="255"/>
      <c r="AAS148" s="255"/>
      <c r="AAT148" s="255"/>
      <c r="AAU148" s="255"/>
      <c r="AAV148" s="255"/>
      <c r="AAW148" s="255"/>
      <c r="AAX148" s="255"/>
      <c r="AAY148" s="255"/>
      <c r="AAZ148" s="255"/>
      <c r="ABA148" s="255"/>
      <c r="ABB148" s="255"/>
      <c r="ABC148" s="255"/>
      <c r="ABD148" s="255"/>
      <c r="ABE148" s="255"/>
      <c r="ABF148" s="255"/>
      <c r="ABG148" s="255"/>
      <c r="ABH148" s="255"/>
      <c r="ABI148" s="255"/>
      <c r="ABJ148" s="255"/>
      <c r="ABK148" s="255"/>
      <c r="ABL148" s="255"/>
      <c r="ABM148" s="255"/>
      <c r="ABN148" s="255"/>
      <c r="ABO148" s="255"/>
      <c r="ABP148" s="255"/>
      <c r="ABQ148" s="255"/>
      <c r="ABR148" s="255"/>
      <c r="ABS148" s="255"/>
      <c r="ABT148" s="255"/>
      <c r="ABU148" s="255"/>
      <c r="ABV148" s="255"/>
      <c r="ABW148" s="255"/>
      <c r="ABX148" s="255"/>
      <c r="ABY148" s="255"/>
      <c r="ABZ148" s="255"/>
      <c r="ACA148" s="255"/>
      <c r="ACB148" s="255"/>
      <c r="ACC148" s="255"/>
      <c r="ACD148" s="255"/>
      <c r="ACE148" s="255"/>
      <c r="ACF148" s="255"/>
      <c r="ACG148" s="255"/>
      <c r="ACH148" s="255"/>
      <c r="ACI148" s="255"/>
      <c r="ACJ148" s="255"/>
      <c r="ACK148" s="255"/>
      <c r="ACL148" s="255"/>
      <c r="ACM148" s="255"/>
      <c r="ACN148" s="255"/>
      <c r="ACO148" s="255"/>
      <c r="ACP148" s="255"/>
      <c r="ACQ148" s="255"/>
      <c r="ACR148" s="255"/>
      <c r="ACS148" s="255"/>
      <c r="ACT148" s="255"/>
      <c r="ACU148" s="255"/>
      <c r="ACV148" s="255"/>
      <c r="ACW148" s="255"/>
      <c r="ACX148" s="255"/>
      <c r="ACY148" s="255"/>
      <c r="ACZ148" s="255"/>
      <c r="ADA148" s="255"/>
      <c r="ADB148" s="255"/>
      <c r="ADC148" s="255"/>
      <c r="ADD148" s="255"/>
      <c r="ADE148" s="255"/>
      <c r="ADF148" s="255"/>
      <c r="ADG148" s="255"/>
      <c r="ADH148" s="255"/>
      <c r="ADI148" s="255"/>
      <c r="ADJ148" s="255"/>
      <c r="ADK148" s="255"/>
      <c r="ADL148" s="255"/>
      <c r="ADM148" s="255"/>
      <c r="ADN148" s="255"/>
      <c r="ADO148" s="255"/>
      <c r="ADP148" s="255"/>
      <c r="ADQ148" s="255"/>
      <c r="ADR148" s="255"/>
      <c r="ADS148" s="255"/>
      <c r="ADT148" s="255"/>
      <c r="ADU148" s="255"/>
      <c r="ADV148" s="255"/>
      <c r="ADW148" s="255"/>
      <c r="ADX148" s="255"/>
      <c r="ADY148" s="255"/>
      <c r="ADZ148" s="255"/>
      <c r="AEA148" s="255"/>
      <c r="AEB148" s="255"/>
      <c r="AEC148" s="255"/>
      <c r="AED148" s="255"/>
      <c r="AEE148" s="255"/>
      <c r="AEF148" s="255"/>
      <c r="AEG148" s="255"/>
      <c r="AEH148" s="255"/>
      <c r="AEI148" s="255"/>
      <c r="AEJ148" s="255"/>
      <c r="AEK148" s="255"/>
      <c r="AEL148" s="255"/>
      <c r="AEM148" s="255"/>
      <c r="AEN148" s="255"/>
      <c r="AEO148" s="255"/>
      <c r="AEP148" s="255"/>
      <c r="AEQ148" s="255"/>
      <c r="AER148" s="255"/>
      <c r="AES148" s="255"/>
      <c r="AET148" s="255"/>
      <c r="AEU148" s="255"/>
      <c r="AEV148" s="255"/>
      <c r="AEW148" s="255"/>
      <c r="AEX148" s="255"/>
      <c r="AEY148" s="255"/>
      <c r="AEZ148" s="255"/>
      <c r="AFA148" s="255"/>
      <c r="AFB148" s="255"/>
      <c r="AFC148" s="255"/>
      <c r="AFD148" s="255"/>
      <c r="AFE148" s="255"/>
      <c r="AFF148" s="255"/>
      <c r="AFG148" s="255"/>
      <c r="AFH148" s="255"/>
      <c r="AFI148" s="255"/>
      <c r="AFJ148" s="255"/>
      <c r="AFK148" s="255"/>
      <c r="AFL148" s="255"/>
      <c r="AFM148" s="255"/>
      <c r="AFN148" s="255"/>
      <c r="AFO148" s="255"/>
      <c r="AFP148" s="255"/>
      <c r="AFQ148" s="255"/>
      <c r="AFR148" s="255"/>
      <c r="AFS148" s="255"/>
      <c r="AFT148" s="255"/>
      <c r="AFU148" s="255"/>
      <c r="AFV148" s="255"/>
      <c r="AFW148" s="255"/>
      <c r="AFX148" s="255"/>
      <c r="AFY148" s="255"/>
      <c r="AFZ148" s="255"/>
      <c r="AGA148" s="255"/>
      <c r="AGB148" s="255"/>
      <c r="AGC148" s="255"/>
      <c r="AGD148" s="255"/>
      <c r="AGE148" s="255"/>
      <c r="AGF148" s="255"/>
      <c r="AGG148" s="255"/>
      <c r="AGH148" s="255"/>
      <c r="AGI148" s="255"/>
      <c r="AGJ148" s="255"/>
      <c r="AGK148" s="255"/>
      <c r="AGL148" s="255"/>
      <c r="AGM148" s="255"/>
      <c r="AGN148" s="255"/>
      <c r="AGO148" s="255"/>
      <c r="AGP148" s="255"/>
      <c r="AGQ148" s="255"/>
      <c r="AGR148" s="255"/>
      <c r="AGS148" s="255"/>
      <c r="AGT148" s="255"/>
      <c r="AGU148" s="255"/>
      <c r="AGV148" s="255"/>
      <c r="AGW148" s="255"/>
      <c r="AGX148" s="255"/>
      <c r="AGY148" s="255"/>
      <c r="AGZ148" s="255"/>
      <c r="AHA148" s="255"/>
      <c r="AHB148" s="255"/>
      <c r="AHC148" s="255"/>
      <c r="AHD148" s="255"/>
      <c r="AHE148" s="255"/>
      <c r="AHF148" s="255"/>
      <c r="AHG148" s="255"/>
      <c r="AHH148" s="255"/>
      <c r="AHI148" s="255"/>
      <c r="AHJ148" s="255"/>
      <c r="AHK148" s="255"/>
      <c r="AHL148" s="255"/>
      <c r="AHM148" s="255"/>
      <c r="AHN148" s="255"/>
      <c r="AHO148" s="255"/>
      <c r="AHP148" s="255"/>
      <c r="AHQ148" s="255"/>
      <c r="AHR148" s="255"/>
      <c r="AHS148" s="255"/>
      <c r="AHT148" s="255"/>
      <c r="AHU148" s="255"/>
      <c r="AHV148" s="255"/>
      <c r="AHW148" s="255"/>
      <c r="AHX148" s="255"/>
      <c r="AHY148" s="255"/>
      <c r="AHZ148" s="255"/>
      <c r="AIA148" s="255"/>
      <c r="AIB148" s="255"/>
      <c r="AIC148" s="255"/>
      <c r="AID148" s="255"/>
      <c r="AIE148" s="255"/>
      <c r="AIF148" s="255"/>
      <c r="AIG148" s="255"/>
      <c r="AIH148" s="255"/>
      <c r="AII148" s="255"/>
      <c r="AIJ148" s="255"/>
      <c r="AIK148" s="255"/>
      <c r="AIL148" s="255"/>
      <c r="AIM148" s="255"/>
      <c r="AIN148" s="255"/>
      <c r="AIO148" s="255"/>
      <c r="AIP148" s="255"/>
      <c r="AIQ148" s="255"/>
      <c r="AIR148" s="255"/>
      <c r="AIS148" s="255"/>
      <c r="AIT148" s="255"/>
      <c r="AIU148" s="255"/>
      <c r="AIV148" s="255"/>
      <c r="AIW148" s="255"/>
      <c r="AIX148" s="255"/>
      <c r="AIY148" s="255"/>
      <c r="AIZ148" s="255"/>
      <c r="AJA148" s="255"/>
      <c r="AJB148" s="255"/>
      <c r="AJC148" s="255"/>
      <c r="AJD148" s="255"/>
      <c r="AJE148" s="255"/>
      <c r="AJF148" s="255"/>
      <c r="AJG148" s="255"/>
      <c r="AJH148" s="255"/>
      <c r="AJI148" s="255"/>
      <c r="AJJ148" s="255"/>
      <c r="AJK148" s="255"/>
      <c r="AJL148" s="255"/>
      <c r="AJM148" s="255"/>
      <c r="AJN148" s="255"/>
      <c r="AJO148" s="255"/>
      <c r="AJP148" s="255"/>
      <c r="AJQ148" s="255"/>
      <c r="AJR148" s="255"/>
      <c r="AJS148" s="255"/>
      <c r="AJT148" s="255"/>
      <c r="AJU148" s="255"/>
      <c r="AJV148" s="255"/>
      <c r="AJW148" s="255"/>
      <c r="AJX148" s="255"/>
      <c r="AJY148" s="255"/>
      <c r="AJZ148" s="255"/>
      <c r="AKA148" s="255"/>
      <c r="AKB148" s="255"/>
      <c r="AKC148" s="255"/>
      <c r="AKD148" s="255"/>
      <c r="AKE148" s="255"/>
      <c r="AKF148" s="255"/>
      <c r="AKG148" s="255"/>
      <c r="AKH148" s="255"/>
      <c r="AKI148" s="255"/>
      <c r="AKJ148" s="255"/>
      <c r="AKK148" s="255"/>
      <c r="AKL148" s="255"/>
      <c r="AKM148" s="255"/>
      <c r="AKN148" s="255"/>
      <c r="AKO148" s="255"/>
      <c r="AKP148" s="255"/>
      <c r="AKQ148" s="255"/>
      <c r="AKR148" s="255"/>
      <c r="AKS148" s="255"/>
      <c r="AKT148" s="255"/>
      <c r="AKU148" s="255"/>
      <c r="AKV148" s="255"/>
      <c r="AKW148" s="255"/>
      <c r="AKX148" s="255"/>
      <c r="AKY148" s="255"/>
      <c r="AKZ148" s="255"/>
      <c r="ALA148" s="255"/>
      <c r="ALB148" s="255"/>
      <c r="ALC148" s="255"/>
      <c r="ALD148" s="255"/>
      <c r="ALE148" s="255"/>
      <c r="ALF148" s="255"/>
      <c r="ALG148" s="255"/>
      <c r="ALH148" s="255"/>
      <c r="ALI148" s="255"/>
      <c r="ALJ148" s="255"/>
      <c r="ALK148" s="255"/>
      <c r="ALL148" s="42"/>
      <c r="ALM148" s="42"/>
      <c r="ALN148" s="42"/>
      <c r="ALO148" s="42"/>
      <c r="ALP148" s="42"/>
      <c r="ALQ148" s="42"/>
      <c r="ALR148" s="42"/>
      <c r="ALS148" s="42"/>
      <c r="ALT148" s="42"/>
    </row>
    <row r="149" spans="1:1008" s="191" customFormat="1">
      <c r="A149" s="251" t="s">
        <v>7</v>
      </c>
      <c r="B149" s="328">
        <v>88496</v>
      </c>
      <c r="C149" s="301" t="str">
        <f>(IF($A149="SINAPI",INDEX(SINAPI_NOV2020_NDES!$A$7:$H$6703,MATCH($B149,SINAPI_NOV2020_NDES!$A$7:$A$6703,0),2),IF($A149="GOINFRA",INDEX(#REF!,MATCH($B149,#REF!,0),2),(INDEX(COMPOS!$A$4:$G$390,MATCH($B149,COMPOS!$A$4:A$390,0),2)))))</f>
        <v>APLICAÇÃO E LIXAMENTO DE MASSA LÁTEX EM TETO, DUAS DEMÃOS. AF_06/2014</v>
      </c>
      <c r="D149" s="274" t="str">
        <f>(IF($A149="SINAPI",INDEX(SINAPI_NOV2020_NDES!$A$7:$H$6790,MATCH($B149,SINAPI_NOV2020_NDES!$A$7:$A$6790,0),3),(INDEX(COMPOS!$A$4:$G$5000,MATCH($B149,COMPOS!$A$4:$A$5000,0),3))))</f>
        <v>M2</v>
      </c>
      <c r="E149" s="276">
        <v>18.23</v>
      </c>
      <c r="F149" s="279">
        <f>(IF($A149="SINAPI",INDEX(SINAPI_NOV2020_NDES!$A$7:$H$6703,MATCH($B149,SINAPI_NOV2020_NDES!$A$7:$A$6703,0),5),(INDEX(COMPOS!$A$4:$G$801,MATCH($B149,COMPOS!$A$4:A$801,0),4))))</f>
        <v>14.1</v>
      </c>
      <c r="G149" s="280">
        <f>(IF($A149="SINAPI",INDEX(SINAPI_NOV2020_NDES!$A$7:$H$6703,MATCH($B149,SINAPI_NOV2020_NDES!$A$7:$A$6703,0),6),(INDEX(COMPOS!$A$4:$G$801,MATCH($B149,COMPOS!$A$4:A$801,0),5))))</f>
        <v>7.4</v>
      </c>
      <c r="H149" s="280">
        <f>(IF($A149="SINAPI",INDEX(SINAPI_NOV2020_NDES!$A$7:$H$6703,MATCH($B149,SINAPI_NOV2020_NDES!$A$7:$A$6703,0),7),(INDEX(COMPOS!$A$4:$G$801,MATCH($B149,COMPOS!$A$4:A$801,0),6))))</f>
        <v>0</v>
      </c>
      <c r="I149" s="279">
        <f t="shared" si="50"/>
        <v>21.5</v>
      </c>
      <c r="J149" s="276">
        <f t="shared" si="51"/>
        <v>391.94499999999999</v>
      </c>
      <c r="K149" s="255"/>
      <c r="L149" s="255"/>
      <c r="M149" s="255"/>
      <c r="N149" s="255"/>
      <c r="O149" s="257"/>
      <c r="P149" s="223"/>
      <c r="Q149" s="255"/>
      <c r="R149" s="255"/>
      <c r="S149" s="255"/>
      <c r="T149" s="255"/>
      <c r="U149" s="255"/>
      <c r="V149" s="255"/>
      <c r="W149" s="255"/>
      <c r="X149" s="255"/>
      <c r="Y149" s="255"/>
      <c r="Z149" s="255"/>
      <c r="AA149" s="255"/>
      <c r="AB149" s="255"/>
      <c r="AC149" s="255"/>
      <c r="AD149" s="255"/>
      <c r="AE149" s="255"/>
      <c r="AF149" s="255"/>
      <c r="AG149" s="255"/>
      <c r="AH149" s="255"/>
      <c r="AI149" s="255"/>
      <c r="AJ149" s="255"/>
      <c r="AK149" s="255"/>
      <c r="AL149" s="255"/>
      <c r="AM149" s="255"/>
      <c r="AN149" s="255"/>
      <c r="AO149" s="255"/>
      <c r="AP149" s="255"/>
      <c r="AQ149" s="255"/>
      <c r="AR149" s="255"/>
      <c r="AS149" s="255"/>
      <c r="AT149" s="255"/>
      <c r="AU149" s="255"/>
      <c r="AV149" s="255"/>
      <c r="AW149" s="255"/>
      <c r="AX149" s="255"/>
      <c r="AY149" s="255"/>
      <c r="AZ149" s="255"/>
      <c r="BA149" s="255"/>
      <c r="BB149" s="255"/>
      <c r="BC149" s="255"/>
      <c r="BD149" s="255"/>
      <c r="BE149" s="255"/>
      <c r="BF149" s="255"/>
      <c r="BG149" s="255"/>
      <c r="BH149" s="255"/>
      <c r="BI149" s="255"/>
      <c r="BJ149" s="255"/>
      <c r="BK149" s="255"/>
      <c r="BL149" s="255"/>
      <c r="BM149" s="255"/>
      <c r="BN149" s="255"/>
      <c r="BO149" s="255"/>
      <c r="BP149" s="255"/>
      <c r="BQ149" s="255"/>
      <c r="BR149" s="255"/>
      <c r="BS149" s="255"/>
      <c r="BT149" s="255"/>
      <c r="BU149" s="255"/>
      <c r="BV149" s="255"/>
      <c r="BW149" s="255"/>
      <c r="BX149" s="255"/>
      <c r="BY149" s="255"/>
      <c r="BZ149" s="255"/>
      <c r="CA149" s="255"/>
      <c r="CB149" s="255"/>
      <c r="CC149" s="255"/>
      <c r="CD149" s="255"/>
      <c r="CE149" s="255"/>
      <c r="CF149" s="255"/>
      <c r="CG149" s="255"/>
      <c r="CH149" s="255"/>
      <c r="CI149" s="255"/>
      <c r="CJ149" s="255"/>
      <c r="CK149" s="255"/>
      <c r="CL149" s="255"/>
      <c r="CM149" s="255"/>
      <c r="CN149" s="255"/>
      <c r="CO149" s="255"/>
      <c r="CP149" s="255"/>
      <c r="CQ149" s="255"/>
      <c r="CR149" s="255"/>
      <c r="CS149" s="255"/>
      <c r="CT149" s="255"/>
      <c r="CU149" s="255"/>
      <c r="CV149" s="255"/>
      <c r="CW149" s="255"/>
      <c r="CX149" s="255"/>
      <c r="CY149" s="255"/>
      <c r="CZ149" s="255"/>
      <c r="DA149" s="255"/>
      <c r="DB149" s="255"/>
      <c r="DC149" s="255"/>
      <c r="DD149" s="255"/>
      <c r="DE149" s="255"/>
      <c r="DF149" s="255"/>
      <c r="DG149" s="255"/>
      <c r="DH149" s="255"/>
      <c r="DI149" s="255"/>
      <c r="DJ149" s="255"/>
      <c r="DK149" s="255"/>
      <c r="DL149" s="255"/>
      <c r="DM149" s="255"/>
      <c r="DN149" s="255"/>
      <c r="DO149" s="255"/>
      <c r="DP149" s="255"/>
      <c r="DQ149" s="255"/>
      <c r="DR149" s="255"/>
      <c r="DS149" s="255"/>
      <c r="DT149" s="255"/>
      <c r="DU149" s="255"/>
      <c r="DV149" s="255"/>
      <c r="DW149" s="255"/>
      <c r="DX149" s="255"/>
      <c r="DY149" s="255"/>
      <c r="DZ149" s="255"/>
      <c r="EA149" s="255"/>
      <c r="EB149" s="255"/>
      <c r="EC149" s="255"/>
      <c r="ED149" s="255"/>
      <c r="EE149" s="255"/>
      <c r="EF149" s="255"/>
      <c r="EG149" s="255"/>
      <c r="EH149" s="255"/>
      <c r="EI149" s="255"/>
      <c r="EJ149" s="255"/>
      <c r="EK149" s="255"/>
      <c r="EL149" s="255"/>
      <c r="EM149" s="255"/>
      <c r="EN149" s="255"/>
      <c r="EO149" s="255"/>
      <c r="EP149" s="255"/>
      <c r="EQ149" s="255"/>
      <c r="ER149" s="255"/>
      <c r="ES149" s="255"/>
      <c r="ET149" s="255"/>
      <c r="EU149" s="255"/>
      <c r="EV149" s="255"/>
      <c r="EW149" s="255"/>
      <c r="EX149" s="255"/>
      <c r="EY149" s="255"/>
      <c r="EZ149" s="255"/>
      <c r="FA149" s="255"/>
      <c r="FB149" s="255"/>
      <c r="FC149" s="255"/>
      <c r="FD149" s="255"/>
      <c r="FE149" s="255"/>
      <c r="FF149" s="255"/>
      <c r="FG149" s="255"/>
      <c r="FH149" s="255"/>
      <c r="FI149" s="255"/>
      <c r="FJ149" s="255"/>
      <c r="FK149" s="255"/>
      <c r="FL149" s="255"/>
      <c r="FM149" s="255"/>
      <c r="FN149" s="255"/>
      <c r="FO149" s="255"/>
      <c r="FP149" s="255"/>
      <c r="FQ149" s="255"/>
      <c r="FR149" s="255"/>
      <c r="FS149" s="255"/>
      <c r="FT149" s="255"/>
      <c r="FU149" s="255"/>
      <c r="FV149" s="255"/>
      <c r="FW149" s="255"/>
      <c r="FX149" s="255"/>
      <c r="FY149" s="255"/>
      <c r="FZ149" s="255"/>
      <c r="GA149" s="255"/>
      <c r="GB149" s="255"/>
      <c r="GC149" s="255"/>
      <c r="GD149" s="255"/>
      <c r="GE149" s="255"/>
      <c r="GF149" s="255"/>
      <c r="GG149" s="255"/>
      <c r="GH149" s="255"/>
      <c r="GI149" s="255"/>
      <c r="GJ149" s="255"/>
      <c r="GK149" s="255"/>
      <c r="GL149" s="255"/>
      <c r="GM149" s="255"/>
      <c r="GN149" s="255"/>
      <c r="GO149" s="255"/>
      <c r="GP149" s="255"/>
      <c r="GQ149" s="255"/>
      <c r="GR149" s="255"/>
      <c r="GS149" s="255"/>
      <c r="GT149" s="255"/>
      <c r="GU149" s="255"/>
      <c r="GV149" s="255"/>
      <c r="GW149" s="255"/>
      <c r="GX149" s="255"/>
      <c r="GY149" s="255"/>
      <c r="GZ149" s="255"/>
      <c r="HA149" s="255"/>
      <c r="HB149" s="255"/>
      <c r="HC149" s="255"/>
      <c r="HD149" s="255"/>
      <c r="HE149" s="255"/>
      <c r="HF149" s="255"/>
      <c r="HG149" s="255"/>
      <c r="HH149" s="255"/>
      <c r="HI149" s="255"/>
      <c r="HJ149" s="255"/>
      <c r="HK149" s="255"/>
      <c r="HL149" s="255"/>
      <c r="HM149" s="255"/>
      <c r="HN149" s="255"/>
      <c r="HO149" s="255"/>
      <c r="HP149" s="255"/>
      <c r="HQ149" s="255"/>
      <c r="HR149" s="255"/>
      <c r="HS149" s="255"/>
      <c r="HT149" s="255"/>
      <c r="HU149" s="255"/>
      <c r="HV149" s="255"/>
      <c r="HW149" s="255"/>
      <c r="HX149" s="255"/>
      <c r="HY149" s="255"/>
      <c r="HZ149" s="255"/>
      <c r="IA149" s="255"/>
      <c r="IB149" s="255"/>
      <c r="IC149" s="255"/>
      <c r="ID149" s="255"/>
      <c r="IE149" s="255"/>
      <c r="IF149" s="255"/>
      <c r="IG149" s="255"/>
      <c r="IH149" s="255"/>
      <c r="II149" s="255"/>
      <c r="IJ149" s="255"/>
      <c r="IK149" s="255"/>
      <c r="IL149" s="255"/>
      <c r="IM149" s="255"/>
      <c r="IN149" s="255"/>
      <c r="IO149" s="255"/>
      <c r="IP149" s="255"/>
      <c r="IQ149" s="255"/>
      <c r="IR149" s="255"/>
      <c r="IS149" s="255"/>
      <c r="IT149" s="255"/>
      <c r="IU149" s="255"/>
      <c r="IV149" s="255"/>
      <c r="IW149" s="255"/>
      <c r="IX149" s="255"/>
      <c r="IY149" s="255"/>
      <c r="IZ149" s="255"/>
      <c r="JA149" s="255"/>
      <c r="JB149" s="255"/>
      <c r="JC149" s="255"/>
      <c r="JD149" s="255"/>
      <c r="JE149" s="255"/>
      <c r="JF149" s="255"/>
      <c r="JG149" s="255"/>
      <c r="JH149" s="255"/>
      <c r="JI149" s="255"/>
      <c r="JJ149" s="255"/>
      <c r="JK149" s="255"/>
      <c r="JL149" s="255"/>
      <c r="JM149" s="255"/>
      <c r="JN149" s="255"/>
      <c r="JO149" s="255"/>
      <c r="JP149" s="255"/>
      <c r="JQ149" s="255"/>
      <c r="JR149" s="255"/>
      <c r="JS149" s="255"/>
      <c r="JT149" s="255"/>
      <c r="JU149" s="255"/>
      <c r="JV149" s="255"/>
      <c r="JW149" s="255"/>
      <c r="JX149" s="255"/>
      <c r="JY149" s="255"/>
      <c r="JZ149" s="255"/>
      <c r="KA149" s="255"/>
      <c r="KB149" s="255"/>
      <c r="KC149" s="255"/>
      <c r="KD149" s="255"/>
      <c r="KE149" s="255"/>
      <c r="KF149" s="255"/>
      <c r="KG149" s="255"/>
      <c r="KH149" s="255"/>
      <c r="KI149" s="255"/>
      <c r="KJ149" s="255"/>
      <c r="KK149" s="255"/>
      <c r="KL149" s="255"/>
      <c r="KM149" s="255"/>
      <c r="KN149" s="255"/>
      <c r="KO149" s="255"/>
      <c r="KP149" s="255"/>
      <c r="KQ149" s="255"/>
      <c r="KR149" s="255"/>
      <c r="KS149" s="255"/>
      <c r="KT149" s="255"/>
      <c r="KU149" s="255"/>
      <c r="KV149" s="255"/>
      <c r="KW149" s="255"/>
      <c r="KX149" s="255"/>
      <c r="KY149" s="255"/>
      <c r="KZ149" s="255"/>
      <c r="LA149" s="255"/>
      <c r="LB149" s="255"/>
      <c r="LC149" s="255"/>
      <c r="LD149" s="255"/>
      <c r="LE149" s="255"/>
      <c r="LF149" s="255"/>
      <c r="LG149" s="255"/>
      <c r="LH149" s="255"/>
      <c r="LI149" s="255"/>
      <c r="LJ149" s="255"/>
      <c r="LK149" s="255"/>
      <c r="LL149" s="255"/>
      <c r="LM149" s="255"/>
      <c r="LN149" s="255"/>
      <c r="LO149" s="255"/>
      <c r="LP149" s="255"/>
      <c r="LQ149" s="255"/>
      <c r="LR149" s="255"/>
      <c r="LS149" s="255"/>
      <c r="LT149" s="255"/>
      <c r="LU149" s="255"/>
      <c r="LV149" s="255"/>
      <c r="LW149" s="255"/>
      <c r="LX149" s="255"/>
      <c r="LY149" s="255"/>
      <c r="LZ149" s="255"/>
      <c r="MA149" s="255"/>
      <c r="MB149" s="255"/>
      <c r="MC149" s="255"/>
      <c r="MD149" s="255"/>
      <c r="ME149" s="255"/>
      <c r="MF149" s="255"/>
      <c r="MG149" s="255"/>
      <c r="MH149" s="255"/>
      <c r="MI149" s="255"/>
      <c r="MJ149" s="255"/>
      <c r="MK149" s="255"/>
      <c r="ML149" s="255"/>
      <c r="MM149" s="255"/>
      <c r="MN149" s="255"/>
      <c r="MO149" s="255"/>
      <c r="MP149" s="255"/>
      <c r="MQ149" s="255"/>
      <c r="MR149" s="255"/>
      <c r="MS149" s="255"/>
      <c r="MT149" s="255"/>
      <c r="MU149" s="255"/>
      <c r="MV149" s="255"/>
      <c r="MW149" s="255"/>
      <c r="MX149" s="255"/>
      <c r="MY149" s="255"/>
      <c r="MZ149" s="255"/>
      <c r="NA149" s="255"/>
      <c r="NB149" s="255"/>
      <c r="NC149" s="255"/>
      <c r="ND149" s="255"/>
      <c r="NE149" s="255"/>
      <c r="NF149" s="255"/>
      <c r="NG149" s="255"/>
      <c r="NH149" s="255"/>
      <c r="NI149" s="255"/>
      <c r="NJ149" s="255"/>
      <c r="NK149" s="255"/>
      <c r="NL149" s="255"/>
      <c r="NM149" s="255"/>
      <c r="NN149" s="255"/>
      <c r="NO149" s="255"/>
      <c r="NP149" s="255"/>
      <c r="NQ149" s="255"/>
      <c r="NR149" s="255"/>
      <c r="NS149" s="255"/>
      <c r="NT149" s="255"/>
      <c r="NU149" s="255"/>
      <c r="NV149" s="255"/>
      <c r="NW149" s="255"/>
      <c r="NX149" s="255"/>
      <c r="NY149" s="255"/>
      <c r="NZ149" s="255"/>
      <c r="OA149" s="255"/>
      <c r="OB149" s="255"/>
      <c r="OC149" s="255"/>
      <c r="OD149" s="255"/>
      <c r="OE149" s="255"/>
      <c r="OF149" s="255"/>
      <c r="OG149" s="255"/>
      <c r="OH149" s="255"/>
      <c r="OI149" s="255"/>
      <c r="OJ149" s="255"/>
      <c r="OK149" s="255"/>
      <c r="OL149" s="255"/>
      <c r="OM149" s="255"/>
      <c r="ON149" s="255"/>
      <c r="OO149" s="255"/>
      <c r="OP149" s="255"/>
      <c r="OQ149" s="255"/>
      <c r="OR149" s="255"/>
      <c r="OS149" s="255"/>
      <c r="OT149" s="255"/>
      <c r="OU149" s="255"/>
      <c r="OV149" s="255"/>
      <c r="OW149" s="255"/>
      <c r="OX149" s="255"/>
      <c r="OY149" s="255"/>
      <c r="OZ149" s="255"/>
      <c r="PA149" s="255"/>
      <c r="PB149" s="255"/>
      <c r="PC149" s="255"/>
      <c r="PD149" s="255"/>
      <c r="PE149" s="255"/>
      <c r="PF149" s="255"/>
      <c r="PG149" s="255"/>
      <c r="PH149" s="255"/>
      <c r="PI149" s="255"/>
      <c r="PJ149" s="255"/>
      <c r="PK149" s="255"/>
      <c r="PL149" s="255"/>
      <c r="PM149" s="255"/>
      <c r="PN149" s="255"/>
      <c r="PO149" s="255"/>
      <c r="PP149" s="255"/>
      <c r="PQ149" s="255"/>
      <c r="PR149" s="255"/>
      <c r="PS149" s="255"/>
      <c r="PT149" s="255"/>
      <c r="PU149" s="255"/>
      <c r="PV149" s="255"/>
      <c r="PW149" s="255"/>
      <c r="PX149" s="255"/>
      <c r="PY149" s="255"/>
      <c r="PZ149" s="255"/>
      <c r="QA149" s="255"/>
      <c r="QB149" s="255"/>
      <c r="QC149" s="255"/>
      <c r="QD149" s="255"/>
      <c r="QE149" s="255"/>
      <c r="QF149" s="255"/>
      <c r="QG149" s="255"/>
      <c r="QH149" s="255"/>
      <c r="QI149" s="255"/>
      <c r="QJ149" s="255"/>
      <c r="QK149" s="255"/>
      <c r="QL149" s="255"/>
      <c r="QM149" s="255"/>
      <c r="QN149" s="255"/>
      <c r="QO149" s="255"/>
      <c r="QP149" s="255"/>
      <c r="QQ149" s="255"/>
      <c r="QR149" s="255"/>
      <c r="QS149" s="255"/>
      <c r="QT149" s="255"/>
      <c r="QU149" s="255"/>
      <c r="QV149" s="255"/>
      <c r="QW149" s="255"/>
      <c r="QX149" s="255"/>
      <c r="QY149" s="255"/>
      <c r="QZ149" s="255"/>
      <c r="RA149" s="255"/>
      <c r="RB149" s="255"/>
      <c r="RC149" s="255"/>
      <c r="RD149" s="255"/>
      <c r="RE149" s="255"/>
      <c r="RF149" s="255"/>
      <c r="RG149" s="255"/>
      <c r="RH149" s="255"/>
      <c r="RI149" s="255"/>
      <c r="RJ149" s="255"/>
      <c r="RK149" s="255"/>
      <c r="RL149" s="255"/>
      <c r="RM149" s="255"/>
      <c r="RN149" s="255"/>
      <c r="RO149" s="255"/>
      <c r="RP149" s="255"/>
      <c r="RQ149" s="255"/>
      <c r="RR149" s="255"/>
      <c r="RS149" s="255"/>
      <c r="RT149" s="255"/>
      <c r="RU149" s="255"/>
      <c r="RV149" s="255"/>
      <c r="RW149" s="255"/>
      <c r="RX149" s="255"/>
      <c r="RY149" s="255"/>
      <c r="RZ149" s="255"/>
      <c r="SA149" s="255"/>
      <c r="SB149" s="255"/>
      <c r="SC149" s="255"/>
      <c r="SD149" s="255"/>
      <c r="SE149" s="255"/>
      <c r="SF149" s="255"/>
      <c r="SG149" s="255"/>
      <c r="SH149" s="255"/>
      <c r="SI149" s="255"/>
      <c r="SJ149" s="255"/>
      <c r="SK149" s="255"/>
      <c r="SL149" s="255"/>
      <c r="SM149" s="255"/>
      <c r="SN149" s="255"/>
      <c r="SO149" s="255"/>
      <c r="SP149" s="255"/>
      <c r="SQ149" s="255"/>
      <c r="SR149" s="255"/>
      <c r="SS149" s="255"/>
      <c r="ST149" s="255"/>
      <c r="SU149" s="255"/>
      <c r="SV149" s="255"/>
      <c r="SW149" s="255"/>
      <c r="SX149" s="255"/>
      <c r="SY149" s="255"/>
      <c r="SZ149" s="255"/>
      <c r="TA149" s="255"/>
      <c r="TB149" s="255"/>
      <c r="TC149" s="255"/>
      <c r="TD149" s="255"/>
      <c r="TE149" s="255"/>
      <c r="TF149" s="255"/>
      <c r="TG149" s="255"/>
      <c r="TH149" s="255"/>
      <c r="TI149" s="255"/>
      <c r="TJ149" s="255"/>
      <c r="TK149" s="255"/>
      <c r="TL149" s="255"/>
      <c r="TM149" s="255"/>
      <c r="TN149" s="255"/>
      <c r="TO149" s="255"/>
      <c r="TP149" s="255"/>
      <c r="TQ149" s="255"/>
      <c r="TR149" s="255"/>
      <c r="TS149" s="255"/>
      <c r="TT149" s="255"/>
      <c r="TU149" s="255"/>
      <c r="TV149" s="255"/>
      <c r="TW149" s="255"/>
      <c r="TX149" s="255"/>
      <c r="TY149" s="255"/>
      <c r="TZ149" s="255"/>
      <c r="UA149" s="255"/>
      <c r="UB149" s="255"/>
      <c r="UC149" s="255"/>
      <c r="UD149" s="255"/>
      <c r="UE149" s="255"/>
      <c r="UF149" s="255"/>
      <c r="UG149" s="255"/>
      <c r="UH149" s="255"/>
      <c r="UI149" s="255"/>
      <c r="UJ149" s="255"/>
      <c r="UK149" s="255"/>
      <c r="UL149" s="255"/>
      <c r="UM149" s="255"/>
      <c r="UN149" s="255"/>
      <c r="UO149" s="255"/>
      <c r="UP149" s="255"/>
      <c r="UQ149" s="255"/>
      <c r="UR149" s="255"/>
      <c r="US149" s="255"/>
      <c r="UT149" s="255"/>
      <c r="UU149" s="255"/>
      <c r="UV149" s="255"/>
      <c r="UW149" s="255"/>
      <c r="UX149" s="255"/>
      <c r="UY149" s="255"/>
      <c r="UZ149" s="255"/>
      <c r="VA149" s="255"/>
      <c r="VB149" s="255"/>
      <c r="VC149" s="255"/>
      <c r="VD149" s="255"/>
      <c r="VE149" s="255"/>
      <c r="VF149" s="255"/>
      <c r="VG149" s="255"/>
      <c r="VH149" s="255"/>
      <c r="VI149" s="255"/>
      <c r="VJ149" s="255"/>
      <c r="VK149" s="255"/>
      <c r="VL149" s="255"/>
      <c r="VM149" s="255"/>
      <c r="VN149" s="255"/>
      <c r="VO149" s="255"/>
      <c r="VP149" s="255"/>
      <c r="VQ149" s="255"/>
      <c r="VR149" s="255"/>
      <c r="VS149" s="255"/>
      <c r="VT149" s="255"/>
      <c r="VU149" s="255"/>
      <c r="VV149" s="255"/>
      <c r="VW149" s="255"/>
      <c r="VX149" s="255"/>
      <c r="VY149" s="255"/>
      <c r="VZ149" s="255"/>
      <c r="WA149" s="255"/>
      <c r="WB149" s="255"/>
      <c r="WC149" s="255"/>
      <c r="WD149" s="255"/>
      <c r="WE149" s="255"/>
      <c r="WF149" s="255"/>
      <c r="WG149" s="255"/>
      <c r="WH149" s="255"/>
      <c r="WI149" s="255"/>
      <c r="WJ149" s="255"/>
      <c r="WK149" s="255"/>
      <c r="WL149" s="255"/>
      <c r="WM149" s="255"/>
      <c r="WN149" s="255"/>
      <c r="WO149" s="255"/>
      <c r="WP149" s="255"/>
      <c r="WQ149" s="255"/>
      <c r="WR149" s="255"/>
      <c r="WS149" s="255"/>
      <c r="WT149" s="255"/>
      <c r="WU149" s="255"/>
      <c r="WV149" s="255"/>
      <c r="WW149" s="255"/>
      <c r="WX149" s="255"/>
      <c r="WY149" s="255"/>
      <c r="WZ149" s="255"/>
      <c r="XA149" s="255"/>
      <c r="XB149" s="255"/>
      <c r="XC149" s="255"/>
      <c r="XD149" s="255"/>
      <c r="XE149" s="255"/>
      <c r="XF149" s="255"/>
      <c r="XG149" s="255"/>
      <c r="XH149" s="255"/>
      <c r="XI149" s="255"/>
      <c r="XJ149" s="255"/>
      <c r="XK149" s="255"/>
      <c r="XL149" s="255"/>
      <c r="XM149" s="255"/>
      <c r="XN149" s="255"/>
      <c r="XO149" s="255"/>
      <c r="XP149" s="255"/>
      <c r="XQ149" s="255"/>
      <c r="XR149" s="255"/>
      <c r="XS149" s="255"/>
      <c r="XT149" s="255"/>
      <c r="XU149" s="255"/>
      <c r="XV149" s="255"/>
      <c r="XW149" s="255"/>
      <c r="XX149" s="255"/>
      <c r="XY149" s="255"/>
      <c r="XZ149" s="255"/>
      <c r="YA149" s="255"/>
      <c r="YB149" s="255"/>
      <c r="YC149" s="255"/>
      <c r="YD149" s="255"/>
      <c r="YE149" s="255"/>
      <c r="YF149" s="255"/>
      <c r="YG149" s="255"/>
      <c r="YH149" s="255"/>
      <c r="YI149" s="255"/>
      <c r="YJ149" s="255"/>
      <c r="YK149" s="255"/>
      <c r="YL149" s="255"/>
      <c r="YM149" s="255"/>
      <c r="YN149" s="255"/>
      <c r="YO149" s="255"/>
      <c r="YP149" s="255"/>
      <c r="YQ149" s="255"/>
      <c r="YR149" s="255"/>
      <c r="YS149" s="255"/>
      <c r="YT149" s="255"/>
      <c r="YU149" s="255"/>
      <c r="YV149" s="255"/>
      <c r="YW149" s="255"/>
      <c r="YX149" s="255"/>
      <c r="YY149" s="255"/>
      <c r="YZ149" s="255"/>
      <c r="ZA149" s="255"/>
      <c r="ZB149" s="255"/>
      <c r="ZC149" s="255"/>
      <c r="ZD149" s="255"/>
      <c r="ZE149" s="255"/>
      <c r="ZF149" s="255"/>
      <c r="ZG149" s="255"/>
      <c r="ZH149" s="255"/>
      <c r="ZI149" s="255"/>
      <c r="ZJ149" s="255"/>
      <c r="ZK149" s="255"/>
      <c r="ZL149" s="255"/>
      <c r="ZM149" s="255"/>
      <c r="ZN149" s="255"/>
      <c r="ZO149" s="255"/>
      <c r="ZP149" s="255"/>
      <c r="ZQ149" s="255"/>
      <c r="ZR149" s="255"/>
      <c r="ZS149" s="255"/>
      <c r="ZT149" s="255"/>
      <c r="ZU149" s="255"/>
      <c r="ZV149" s="255"/>
      <c r="ZW149" s="255"/>
      <c r="ZX149" s="255"/>
      <c r="ZY149" s="255"/>
      <c r="ZZ149" s="255"/>
      <c r="AAA149" s="255"/>
      <c r="AAB149" s="255"/>
      <c r="AAC149" s="255"/>
      <c r="AAD149" s="255"/>
      <c r="AAE149" s="255"/>
      <c r="AAF149" s="255"/>
      <c r="AAG149" s="255"/>
      <c r="AAH149" s="255"/>
      <c r="AAI149" s="255"/>
      <c r="AAJ149" s="255"/>
      <c r="AAK149" s="255"/>
      <c r="AAL149" s="255"/>
      <c r="AAM149" s="255"/>
      <c r="AAN149" s="255"/>
      <c r="AAO149" s="255"/>
      <c r="AAP149" s="255"/>
      <c r="AAQ149" s="255"/>
      <c r="AAR149" s="255"/>
      <c r="AAS149" s="255"/>
      <c r="AAT149" s="255"/>
      <c r="AAU149" s="255"/>
      <c r="AAV149" s="255"/>
      <c r="AAW149" s="255"/>
      <c r="AAX149" s="255"/>
      <c r="AAY149" s="255"/>
      <c r="AAZ149" s="255"/>
      <c r="ABA149" s="255"/>
      <c r="ABB149" s="255"/>
      <c r="ABC149" s="255"/>
      <c r="ABD149" s="255"/>
      <c r="ABE149" s="255"/>
      <c r="ABF149" s="255"/>
      <c r="ABG149" s="255"/>
      <c r="ABH149" s="255"/>
      <c r="ABI149" s="255"/>
      <c r="ABJ149" s="255"/>
      <c r="ABK149" s="255"/>
      <c r="ABL149" s="255"/>
      <c r="ABM149" s="255"/>
      <c r="ABN149" s="255"/>
      <c r="ABO149" s="255"/>
      <c r="ABP149" s="255"/>
      <c r="ABQ149" s="255"/>
      <c r="ABR149" s="255"/>
      <c r="ABS149" s="255"/>
      <c r="ABT149" s="255"/>
      <c r="ABU149" s="255"/>
      <c r="ABV149" s="255"/>
      <c r="ABW149" s="255"/>
      <c r="ABX149" s="255"/>
      <c r="ABY149" s="255"/>
      <c r="ABZ149" s="255"/>
      <c r="ACA149" s="255"/>
      <c r="ACB149" s="255"/>
      <c r="ACC149" s="255"/>
      <c r="ACD149" s="255"/>
      <c r="ACE149" s="255"/>
      <c r="ACF149" s="255"/>
      <c r="ACG149" s="255"/>
      <c r="ACH149" s="255"/>
      <c r="ACI149" s="255"/>
      <c r="ACJ149" s="255"/>
      <c r="ACK149" s="255"/>
      <c r="ACL149" s="255"/>
      <c r="ACM149" s="255"/>
      <c r="ACN149" s="255"/>
      <c r="ACO149" s="255"/>
      <c r="ACP149" s="255"/>
      <c r="ACQ149" s="255"/>
      <c r="ACR149" s="255"/>
      <c r="ACS149" s="255"/>
      <c r="ACT149" s="255"/>
      <c r="ACU149" s="255"/>
      <c r="ACV149" s="255"/>
      <c r="ACW149" s="255"/>
      <c r="ACX149" s="255"/>
      <c r="ACY149" s="255"/>
      <c r="ACZ149" s="255"/>
      <c r="ADA149" s="255"/>
      <c r="ADB149" s="255"/>
      <c r="ADC149" s="255"/>
      <c r="ADD149" s="255"/>
      <c r="ADE149" s="255"/>
      <c r="ADF149" s="255"/>
      <c r="ADG149" s="255"/>
      <c r="ADH149" s="255"/>
      <c r="ADI149" s="255"/>
      <c r="ADJ149" s="255"/>
      <c r="ADK149" s="255"/>
      <c r="ADL149" s="255"/>
      <c r="ADM149" s="255"/>
      <c r="ADN149" s="255"/>
      <c r="ADO149" s="255"/>
      <c r="ADP149" s="255"/>
      <c r="ADQ149" s="255"/>
      <c r="ADR149" s="255"/>
      <c r="ADS149" s="255"/>
      <c r="ADT149" s="255"/>
      <c r="ADU149" s="255"/>
      <c r="ADV149" s="255"/>
      <c r="ADW149" s="255"/>
      <c r="ADX149" s="255"/>
      <c r="ADY149" s="255"/>
      <c r="ADZ149" s="255"/>
      <c r="AEA149" s="255"/>
      <c r="AEB149" s="255"/>
      <c r="AEC149" s="255"/>
      <c r="AED149" s="255"/>
      <c r="AEE149" s="255"/>
      <c r="AEF149" s="255"/>
      <c r="AEG149" s="255"/>
      <c r="AEH149" s="255"/>
      <c r="AEI149" s="255"/>
      <c r="AEJ149" s="255"/>
      <c r="AEK149" s="255"/>
      <c r="AEL149" s="255"/>
      <c r="AEM149" s="255"/>
      <c r="AEN149" s="255"/>
      <c r="AEO149" s="255"/>
      <c r="AEP149" s="255"/>
      <c r="AEQ149" s="255"/>
      <c r="AER149" s="255"/>
      <c r="AES149" s="255"/>
      <c r="AET149" s="255"/>
      <c r="AEU149" s="255"/>
      <c r="AEV149" s="255"/>
      <c r="AEW149" s="255"/>
      <c r="AEX149" s="255"/>
      <c r="AEY149" s="255"/>
      <c r="AEZ149" s="255"/>
      <c r="AFA149" s="255"/>
      <c r="AFB149" s="255"/>
      <c r="AFC149" s="255"/>
      <c r="AFD149" s="255"/>
      <c r="AFE149" s="255"/>
      <c r="AFF149" s="255"/>
      <c r="AFG149" s="255"/>
      <c r="AFH149" s="255"/>
      <c r="AFI149" s="255"/>
      <c r="AFJ149" s="255"/>
      <c r="AFK149" s="255"/>
      <c r="AFL149" s="255"/>
      <c r="AFM149" s="255"/>
      <c r="AFN149" s="255"/>
      <c r="AFO149" s="255"/>
      <c r="AFP149" s="255"/>
      <c r="AFQ149" s="255"/>
      <c r="AFR149" s="255"/>
      <c r="AFS149" s="255"/>
      <c r="AFT149" s="255"/>
      <c r="AFU149" s="255"/>
      <c r="AFV149" s="255"/>
      <c r="AFW149" s="255"/>
      <c r="AFX149" s="255"/>
      <c r="AFY149" s="255"/>
      <c r="AFZ149" s="255"/>
      <c r="AGA149" s="255"/>
      <c r="AGB149" s="255"/>
      <c r="AGC149" s="255"/>
      <c r="AGD149" s="255"/>
      <c r="AGE149" s="255"/>
      <c r="AGF149" s="255"/>
      <c r="AGG149" s="255"/>
      <c r="AGH149" s="255"/>
      <c r="AGI149" s="255"/>
      <c r="AGJ149" s="255"/>
      <c r="AGK149" s="255"/>
      <c r="AGL149" s="255"/>
      <c r="AGM149" s="255"/>
      <c r="AGN149" s="255"/>
      <c r="AGO149" s="255"/>
      <c r="AGP149" s="255"/>
      <c r="AGQ149" s="255"/>
      <c r="AGR149" s="255"/>
      <c r="AGS149" s="255"/>
      <c r="AGT149" s="255"/>
      <c r="AGU149" s="255"/>
      <c r="AGV149" s="255"/>
      <c r="AGW149" s="255"/>
      <c r="AGX149" s="255"/>
      <c r="AGY149" s="255"/>
      <c r="AGZ149" s="255"/>
      <c r="AHA149" s="255"/>
      <c r="AHB149" s="255"/>
      <c r="AHC149" s="255"/>
      <c r="AHD149" s="255"/>
      <c r="AHE149" s="255"/>
      <c r="AHF149" s="255"/>
      <c r="AHG149" s="255"/>
      <c r="AHH149" s="255"/>
      <c r="AHI149" s="255"/>
      <c r="AHJ149" s="255"/>
      <c r="AHK149" s="255"/>
      <c r="AHL149" s="255"/>
      <c r="AHM149" s="255"/>
      <c r="AHN149" s="255"/>
      <c r="AHO149" s="255"/>
      <c r="AHP149" s="255"/>
      <c r="AHQ149" s="255"/>
      <c r="AHR149" s="255"/>
      <c r="AHS149" s="255"/>
      <c r="AHT149" s="255"/>
      <c r="AHU149" s="255"/>
      <c r="AHV149" s="255"/>
      <c r="AHW149" s="255"/>
      <c r="AHX149" s="255"/>
      <c r="AHY149" s="255"/>
      <c r="AHZ149" s="255"/>
      <c r="AIA149" s="255"/>
      <c r="AIB149" s="255"/>
      <c r="AIC149" s="255"/>
      <c r="AID149" s="255"/>
      <c r="AIE149" s="255"/>
      <c r="AIF149" s="255"/>
      <c r="AIG149" s="255"/>
      <c r="AIH149" s="255"/>
      <c r="AII149" s="255"/>
      <c r="AIJ149" s="255"/>
      <c r="AIK149" s="255"/>
      <c r="AIL149" s="255"/>
      <c r="AIM149" s="255"/>
      <c r="AIN149" s="255"/>
      <c r="AIO149" s="255"/>
      <c r="AIP149" s="255"/>
      <c r="AIQ149" s="255"/>
      <c r="AIR149" s="255"/>
      <c r="AIS149" s="255"/>
      <c r="AIT149" s="255"/>
      <c r="AIU149" s="255"/>
      <c r="AIV149" s="255"/>
      <c r="AIW149" s="255"/>
      <c r="AIX149" s="255"/>
      <c r="AIY149" s="255"/>
      <c r="AIZ149" s="255"/>
      <c r="AJA149" s="255"/>
      <c r="AJB149" s="255"/>
      <c r="AJC149" s="255"/>
      <c r="AJD149" s="255"/>
      <c r="AJE149" s="255"/>
      <c r="AJF149" s="255"/>
      <c r="AJG149" s="255"/>
      <c r="AJH149" s="255"/>
      <c r="AJI149" s="255"/>
      <c r="AJJ149" s="255"/>
      <c r="AJK149" s="255"/>
      <c r="AJL149" s="255"/>
      <c r="AJM149" s="255"/>
      <c r="AJN149" s="255"/>
      <c r="AJO149" s="255"/>
      <c r="AJP149" s="255"/>
      <c r="AJQ149" s="255"/>
      <c r="AJR149" s="255"/>
      <c r="AJS149" s="255"/>
      <c r="AJT149" s="255"/>
      <c r="AJU149" s="255"/>
      <c r="AJV149" s="255"/>
      <c r="AJW149" s="255"/>
      <c r="AJX149" s="255"/>
      <c r="AJY149" s="255"/>
      <c r="AJZ149" s="255"/>
      <c r="AKA149" s="255"/>
      <c r="AKB149" s="255"/>
      <c r="AKC149" s="255"/>
      <c r="AKD149" s="255"/>
      <c r="AKE149" s="255"/>
      <c r="AKF149" s="255"/>
      <c r="AKG149" s="255"/>
      <c r="AKH149" s="255"/>
      <c r="AKI149" s="255"/>
      <c r="AKJ149" s="255"/>
      <c r="AKK149" s="255"/>
      <c r="AKL149" s="255"/>
      <c r="AKM149" s="255"/>
      <c r="AKN149" s="255"/>
      <c r="AKO149" s="255"/>
      <c r="AKP149" s="255"/>
      <c r="AKQ149" s="255"/>
      <c r="AKR149" s="255"/>
      <c r="AKS149" s="255"/>
      <c r="AKT149" s="255"/>
      <c r="AKU149" s="255"/>
      <c r="AKV149" s="255"/>
      <c r="AKW149" s="255"/>
      <c r="AKX149" s="255"/>
      <c r="AKY149" s="255"/>
      <c r="AKZ149" s="255"/>
      <c r="ALA149" s="255"/>
      <c r="ALB149" s="255"/>
      <c r="ALC149" s="255"/>
      <c r="ALD149" s="255"/>
      <c r="ALE149" s="255"/>
      <c r="ALF149" s="255"/>
      <c r="ALG149" s="255"/>
      <c r="ALH149" s="255"/>
      <c r="ALI149" s="255"/>
      <c r="ALJ149" s="255"/>
      <c r="ALK149" s="255"/>
      <c r="ALL149" s="42"/>
      <c r="ALM149" s="42"/>
      <c r="ALN149" s="42"/>
      <c r="ALO149" s="42"/>
      <c r="ALP149" s="42"/>
      <c r="ALQ149" s="42"/>
      <c r="ALR149" s="42"/>
      <c r="ALS149" s="42"/>
      <c r="ALT149" s="42"/>
    </row>
    <row r="150" spans="1:1008" s="191" customFormat="1" ht="24">
      <c r="A150" s="251" t="s">
        <v>7</v>
      </c>
      <c r="B150" s="328">
        <v>88486</v>
      </c>
      <c r="C150" s="301" t="str">
        <f>(IF($A150="SINAPI",INDEX(SINAPI_NOV2020_NDES!$A$7:$H$6703,MATCH($B150,SINAPI_NOV2020_NDES!$A$7:$A$6703,0),2),IF($A150="GOINFRA",INDEX(#REF!,MATCH($B150,#REF!,0),2),(INDEX(COMPOS!$A$4:$G$390,MATCH($B150,COMPOS!$A$4:A$390,0),2)))))</f>
        <v>APLICAÇÃO MANUAL DE PINTURA COM TINTA LÁTEX PVA EM TETO, DUAS DEMÃOS. AF_06/2014</v>
      </c>
      <c r="D150" s="274" t="str">
        <f>(IF($A150="SINAPI",INDEX(SINAPI_NOV2020_NDES!$A$7:$H$6790,MATCH($B150,SINAPI_NOV2020_NDES!$A$7:$A$6790,0),3),(INDEX(COMPOS!$A$4:$G$5000,MATCH($B150,COMPOS!$A$4:$A$5000,0),3))))</f>
        <v>M2</v>
      </c>
      <c r="E150" s="276">
        <v>18.23</v>
      </c>
      <c r="F150" s="279">
        <f>(IF($A150="SINAPI",INDEX(SINAPI_NOV2020_NDES!$A$7:$H$6703,MATCH($B150,SINAPI_NOV2020_NDES!$A$7:$A$6703,0),5),(INDEX(COMPOS!$A$4:$G$801,MATCH($B150,COMPOS!$A$4:A$801,0),4))))</f>
        <v>3.54</v>
      </c>
      <c r="G150" s="280">
        <f>(IF($A150="SINAPI",INDEX(SINAPI_NOV2020_NDES!$A$7:$H$6703,MATCH($B150,SINAPI_NOV2020_NDES!$A$7:$A$6703,0),6),(INDEX(COMPOS!$A$4:$G$801,MATCH($B150,COMPOS!$A$4:A$801,0),5))))</f>
        <v>7.47</v>
      </c>
      <c r="H150" s="280">
        <f>(IF($A150="SINAPI",INDEX(SINAPI_NOV2020_NDES!$A$7:$H$6703,MATCH($B150,SINAPI_NOV2020_NDES!$A$7:$A$6703,0),7),(INDEX(COMPOS!$A$4:$G$801,MATCH($B150,COMPOS!$A$4:A$801,0),6))))</f>
        <v>0</v>
      </c>
      <c r="I150" s="279">
        <f t="shared" si="50"/>
        <v>11.01</v>
      </c>
      <c r="J150" s="276">
        <f t="shared" si="51"/>
        <v>200.7123</v>
      </c>
      <c r="K150" s="255"/>
      <c r="L150" s="255"/>
      <c r="M150" s="255"/>
      <c r="N150" s="255"/>
      <c r="O150" s="257"/>
      <c r="P150" s="223"/>
      <c r="Q150" s="255"/>
      <c r="R150" s="255"/>
      <c r="S150" s="255"/>
      <c r="T150" s="255"/>
      <c r="U150" s="255"/>
      <c r="V150" s="255"/>
      <c r="W150" s="255"/>
      <c r="X150" s="255"/>
      <c r="Y150" s="255"/>
      <c r="Z150" s="255"/>
      <c r="AA150" s="255"/>
      <c r="AB150" s="255"/>
      <c r="AC150" s="255"/>
      <c r="AD150" s="255"/>
      <c r="AE150" s="255"/>
      <c r="AF150" s="255"/>
      <c r="AG150" s="255"/>
      <c r="AH150" s="255"/>
      <c r="AI150" s="255"/>
      <c r="AJ150" s="255"/>
      <c r="AK150" s="255"/>
      <c r="AL150" s="255"/>
      <c r="AM150" s="255"/>
      <c r="AN150" s="255"/>
      <c r="AO150" s="255"/>
      <c r="AP150" s="255"/>
      <c r="AQ150" s="255"/>
      <c r="AR150" s="255"/>
      <c r="AS150" s="255"/>
      <c r="AT150" s="255"/>
      <c r="AU150" s="255"/>
      <c r="AV150" s="255"/>
      <c r="AW150" s="255"/>
      <c r="AX150" s="255"/>
      <c r="AY150" s="255"/>
      <c r="AZ150" s="255"/>
      <c r="BA150" s="255"/>
      <c r="BB150" s="255"/>
      <c r="BC150" s="255"/>
      <c r="BD150" s="255"/>
      <c r="BE150" s="255"/>
      <c r="BF150" s="255"/>
      <c r="BG150" s="255"/>
      <c r="BH150" s="255"/>
      <c r="BI150" s="255"/>
      <c r="BJ150" s="255"/>
      <c r="BK150" s="255"/>
      <c r="BL150" s="255"/>
      <c r="BM150" s="255"/>
      <c r="BN150" s="255"/>
      <c r="BO150" s="255"/>
      <c r="BP150" s="255"/>
      <c r="BQ150" s="255"/>
      <c r="BR150" s="255"/>
      <c r="BS150" s="255"/>
      <c r="BT150" s="255"/>
      <c r="BU150" s="255"/>
      <c r="BV150" s="255"/>
      <c r="BW150" s="255"/>
      <c r="BX150" s="255"/>
      <c r="BY150" s="255"/>
      <c r="BZ150" s="255"/>
      <c r="CA150" s="255"/>
      <c r="CB150" s="255"/>
      <c r="CC150" s="255"/>
      <c r="CD150" s="255"/>
      <c r="CE150" s="255"/>
      <c r="CF150" s="255"/>
      <c r="CG150" s="255"/>
      <c r="CH150" s="255"/>
      <c r="CI150" s="255"/>
      <c r="CJ150" s="255"/>
      <c r="CK150" s="255"/>
      <c r="CL150" s="255"/>
      <c r="CM150" s="255"/>
      <c r="CN150" s="255"/>
      <c r="CO150" s="255"/>
      <c r="CP150" s="255"/>
      <c r="CQ150" s="255"/>
      <c r="CR150" s="255"/>
      <c r="CS150" s="255"/>
      <c r="CT150" s="255"/>
      <c r="CU150" s="255"/>
      <c r="CV150" s="255"/>
      <c r="CW150" s="255"/>
      <c r="CX150" s="255"/>
      <c r="CY150" s="255"/>
      <c r="CZ150" s="255"/>
      <c r="DA150" s="255"/>
      <c r="DB150" s="255"/>
      <c r="DC150" s="255"/>
      <c r="DD150" s="255"/>
      <c r="DE150" s="255"/>
      <c r="DF150" s="255"/>
      <c r="DG150" s="255"/>
      <c r="DH150" s="255"/>
      <c r="DI150" s="255"/>
      <c r="DJ150" s="255"/>
      <c r="DK150" s="255"/>
      <c r="DL150" s="255"/>
      <c r="DM150" s="255"/>
      <c r="DN150" s="255"/>
      <c r="DO150" s="255"/>
      <c r="DP150" s="255"/>
      <c r="DQ150" s="255"/>
      <c r="DR150" s="255"/>
      <c r="DS150" s="255"/>
      <c r="DT150" s="255"/>
      <c r="DU150" s="255"/>
      <c r="DV150" s="255"/>
      <c r="DW150" s="255"/>
      <c r="DX150" s="255"/>
      <c r="DY150" s="255"/>
      <c r="DZ150" s="255"/>
      <c r="EA150" s="255"/>
      <c r="EB150" s="255"/>
      <c r="EC150" s="255"/>
      <c r="ED150" s="255"/>
      <c r="EE150" s="255"/>
      <c r="EF150" s="255"/>
      <c r="EG150" s="255"/>
      <c r="EH150" s="255"/>
      <c r="EI150" s="255"/>
      <c r="EJ150" s="255"/>
      <c r="EK150" s="255"/>
      <c r="EL150" s="255"/>
      <c r="EM150" s="255"/>
      <c r="EN150" s="255"/>
      <c r="EO150" s="255"/>
      <c r="EP150" s="255"/>
      <c r="EQ150" s="255"/>
      <c r="ER150" s="255"/>
      <c r="ES150" s="255"/>
      <c r="ET150" s="255"/>
      <c r="EU150" s="255"/>
      <c r="EV150" s="255"/>
      <c r="EW150" s="255"/>
      <c r="EX150" s="255"/>
      <c r="EY150" s="255"/>
      <c r="EZ150" s="255"/>
      <c r="FA150" s="255"/>
      <c r="FB150" s="255"/>
      <c r="FC150" s="255"/>
      <c r="FD150" s="255"/>
      <c r="FE150" s="255"/>
      <c r="FF150" s="255"/>
      <c r="FG150" s="255"/>
      <c r="FH150" s="255"/>
      <c r="FI150" s="255"/>
      <c r="FJ150" s="255"/>
      <c r="FK150" s="255"/>
      <c r="FL150" s="255"/>
      <c r="FM150" s="255"/>
      <c r="FN150" s="255"/>
      <c r="FO150" s="255"/>
      <c r="FP150" s="255"/>
      <c r="FQ150" s="255"/>
      <c r="FR150" s="255"/>
      <c r="FS150" s="255"/>
      <c r="FT150" s="255"/>
      <c r="FU150" s="255"/>
      <c r="FV150" s="255"/>
      <c r="FW150" s="255"/>
      <c r="FX150" s="255"/>
      <c r="FY150" s="255"/>
      <c r="FZ150" s="255"/>
      <c r="GA150" s="255"/>
      <c r="GB150" s="255"/>
      <c r="GC150" s="255"/>
      <c r="GD150" s="255"/>
      <c r="GE150" s="255"/>
      <c r="GF150" s="255"/>
      <c r="GG150" s="255"/>
      <c r="GH150" s="255"/>
      <c r="GI150" s="255"/>
      <c r="GJ150" s="255"/>
      <c r="GK150" s="255"/>
      <c r="GL150" s="255"/>
      <c r="GM150" s="255"/>
      <c r="GN150" s="255"/>
      <c r="GO150" s="255"/>
      <c r="GP150" s="255"/>
      <c r="GQ150" s="255"/>
      <c r="GR150" s="255"/>
      <c r="GS150" s="255"/>
      <c r="GT150" s="255"/>
      <c r="GU150" s="255"/>
      <c r="GV150" s="255"/>
      <c r="GW150" s="255"/>
      <c r="GX150" s="255"/>
      <c r="GY150" s="255"/>
      <c r="GZ150" s="255"/>
      <c r="HA150" s="255"/>
      <c r="HB150" s="255"/>
      <c r="HC150" s="255"/>
      <c r="HD150" s="255"/>
      <c r="HE150" s="255"/>
      <c r="HF150" s="255"/>
      <c r="HG150" s="255"/>
      <c r="HH150" s="255"/>
      <c r="HI150" s="255"/>
      <c r="HJ150" s="255"/>
      <c r="HK150" s="255"/>
      <c r="HL150" s="255"/>
      <c r="HM150" s="255"/>
      <c r="HN150" s="255"/>
      <c r="HO150" s="255"/>
      <c r="HP150" s="255"/>
      <c r="HQ150" s="255"/>
      <c r="HR150" s="255"/>
      <c r="HS150" s="255"/>
      <c r="HT150" s="255"/>
      <c r="HU150" s="255"/>
      <c r="HV150" s="255"/>
      <c r="HW150" s="255"/>
      <c r="HX150" s="255"/>
      <c r="HY150" s="255"/>
      <c r="HZ150" s="255"/>
      <c r="IA150" s="255"/>
      <c r="IB150" s="255"/>
      <c r="IC150" s="255"/>
      <c r="ID150" s="255"/>
      <c r="IE150" s="255"/>
      <c r="IF150" s="255"/>
      <c r="IG150" s="255"/>
      <c r="IH150" s="255"/>
      <c r="II150" s="255"/>
      <c r="IJ150" s="255"/>
      <c r="IK150" s="255"/>
      <c r="IL150" s="255"/>
      <c r="IM150" s="255"/>
      <c r="IN150" s="255"/>
      <c r="IO150" s="255"/>
      <c r="IP150" s="255"/>
      <c r="IQ150" s="255"/>
      <c r="IR150" s="255"/>
      <c r="IS150" s="255"/>
      <c r="IT150" s="255"/>
      <c r="IU150" s="255"/>
      <c r="IV150" s="255"/>
      <c r="IW150" s="255"/>
      <c r="IX150" s="255"/>
      <c r="IY150" s="255"/>
      <c r="IZ150" s="255"/>
      <c r="JA150" s="255"/>
      <c r="JB150" s="255"/>
      <c r="JC150" s="255"/>
      <c r="JD150" s="255"/>
      <c r="JE150" s="255"/>
      <c r="JF150" s="255"/>
      <c r="JG150" s="255"/>
      <c r="JH150" s="255"/>
      <c r="JI150" s="255"/>
      <c r="JJ150" s="255"/>
      <c r="JK150" s="255"/>
      <c r="JL150" s="255"/>
      <c r="JM150" s="255"/>
      <c r="JN150" s="255"/>
      <c r="JO150" s="255"/>
      <c r="JP150" s="255"/>
      <c r="JQ150" s="255"/>
      <c r="JR150" s="255"/>
      <c r="JS150" s="255"/>
      <c r="JT150" s="255"/>
      <c r="JU150" s="255"/>
      <c r="JV150" s="255"/>
      <c r="JW150" s="255"/>
      <c r="JX150" s="255"/>
      <c r="JY150" s="255"/>
      <c r="JZ150" s="255"/>
      <c r="KA150" s="255"/>
      <c r="KB150" s="255"/>
      <c r="KC150" s="255"/>
      <c r="KD150" s="255"/>
      <c r="KE150" s="255"/>
      <c r="KF150" s="255"/>
      <c r="KG150" s="255"/>
      <c r="KH150" s="255"/>
      <c r="KI150" s="255"/>
      <c r="KJ150" s="255"/>
      <c r="KK150" s="255"/>
      <c r="KL150" s="255"/>
      <c r="KM150" s="255"/>
      <c r="KN150" s="255"/>
      <c r="KO150" s="255"/>
      <c r="KP150" s="255"/>
      <c r="KQ150" s="255"/>
      <c r="KR150" s="255"/>
      <c r="KS150" s="255"/>
      <c r="KT150" s="255"/>
      <c r="KU150" s="255"/>
      <c r="KV150" s="255"/>
      <c r="KW150" s="255"/>
      <c r="KX150" s="255"/>
      <c r="KY150" s="255"/>
      <c r="KZ150" s="255"/>
      <c r="LA150" s="255"/>
      <c r="LB150" s="255"/>
      <c r="LC150" s="255"/>
      <c r="LD150" s="255"/>
      <c r="LE150" s="255"/>
      <c r="LF150" s="255"/>
      <c r="LG150" s="255"/>
      <c r="LH150" s="255"/>
      <c r="LI150" s="255"/>
      <c r="LJ150" s="255"/>
      <c r="LK150" s="255"/>
      <c r="LL150" s="255"/>
      <c r="LM150" s="255"/>
      <c r="LN150" s="255"/>
      <c r="LO150" s="255"/>
      <c r="LP150" s="255"/>
      <c r="LQ150" s="255"/>
      <c r="LR150" s="255"/>
      <c r="LS150" s="255"/>
      <c r="LT150" s="255"/>
      <c r="LU150" s="255"/>
      <c r="LV150" s="255"/>
      <c r="LW150" s="255"/>
      <c r="LX150" s="255"/>
      <c r="LY150" s="255"/>
      <c r="LZ150" s="255"/>
      <c r="MA150" s="255"/>
      <c r="MB150" s="255"/>
      <c r="MC150" s="255"/>
      <c r="MD150" s="255"/>
      <c r="ME150" s="255"/>
      <c r="MF150" s="255"/>
      <c r="MG150" s="255"/>
      <c r="MH150" s="255"/>
      <c r="MI150" s="255"/>
      <c r="MJ150" s="255"/>
      <c r="MK150" s="255"/>
      <c r="ML150" s="255"/>
      <c r="MM150" s="255"/>
      <c r="MN150" s="255"/>
      <c r="MO150" s="255"/>
      <c r="MP150" s="255"/>
      <c r="MQ150" s="255"/>
      <c r="MR150" s="255"/>
      <c r="MS150" s="255"/>
      <c r="MT150" s="255"/>
      <c r="MU150" s="255"/>
      <c r="MV150" s="255"/>
      <c r="MW150" s="255"/>
      <c r="MX150" s="255"/>
      <c r="MY150" s="255"/>
      <c r="MZ150" s="255"/>
      <c r="NA150" s="255"/>
      <c r="NB150" s="255"/>
      <c r="NC150" s="255"/>
      <c r="ND150" s="255"/>
      <c r="NE150" s="255"/>
      <c r="NF150" s="255"/>
      <c r="NG150" s="255"/>
      <c r="NH150" s="255"/>
      <c r="NI150" s="255"/>
      <c r="NJ150" s="255"/>
      <c r="NK150" s="255"/>
      <c r="NL150" s="255"/>
      <c r="NM150" s="255"/>
      <c r="NN150" s="255"/>
      <c r="NO150" s="255"/>
      <c r="NP150" s="255"/>
      <c r="NQ150" s="255"/>
      <c r="NR150" s="255"/>
      <c r="NS150" s="255"/>
      <c r="NT150" s="255"/>
      <c r="NU150" s="255"/>
      <c r="NV150" s="255"/>
      <c r="NW150" s="255"/>
      <c r="NX150" s="255"/>
      <c r="NY150" s="255"/>
      <c r="NZ150" s="255"/>
      <c r="OA150" s="255"/>
      <c r="OB150" s="255"/>
      <c r="OC150" s="255"/>
      <c r="OD150" s="255"/>
      <c r="OE150" s="255"/>
      <c r="OF150" s="255"/>
      <c r="OG150" s="255"/>
      <c r="OH150" s="255"/>
      <c r="OI150" s="255"/>
      <c r="OJ150" s="255"/>
      <c r="OK150" s="255"/>
      <c r="OL150" s="255"/>
      <c r="OM150" s="255"/>
      <c r="ON150" s="255"/>
      <c r="OO150" s="255"/>
      <c r="OP150" s="255"/>
      <c r="OQ150" s="255"/>
      <c r="OR150" s="255"/>
      <c r="OS150" s="255"/>
      <c r="OT150" s="255"/>
      <c r="OU150" s="255"/>
      <c r="OV150" s="255"/>
      <c r="OW150" s="255"/>
      <c r="OX150" s="255"/>
      <c r="OY150" s="255"/>
      <c r="OZ150" s="255"/>
      <c r="PA150" s="255"/>
      <c r="PB150" s="255"/>
      <c r="PC150" s="255"/>
      <c r="PD150" s="255"/>
      <c r="PE150" s="255"/>
      <c r="PF150" s="255"/>
      <c r="PG150" s="255"/>
      <c r="PH150" s="255"/>
      <c r="PI150" s="255"/>
      <c r="PJ150" s="255"/>
      <c r="PK150" s="255"/>
      <c r="PL150" s="255"/>
      <c r="PM150" s="255"/>
      <c r="PN150" s="255"/>
      <c r="PO150" s="255"/>
      <c r="PP150" s="255"/>
      <c r="PQ150" s="255"/>
      <c r="PR150" s="255"/>
      <c r="PS150" s="255"/>
      <c r="PT150" s="255"/>
      <c r="PU150" s="255"/>
      <c r="PV150" s="255"/>
      <c r="PW150" s="255"/>
      <c r="PX150" s="255"/>
      <c r="PY150" s="255"/>
      <c r="PZ150" s="255"/>
      <c r="QA150" s="255"/>
      <c r="QB150" s="255"/>
      <c r="QC150" s="255"/>
      <c r="QD150" s="255"/>
      <c r="QE150" s="255"/>
      <c r="QF150" s="255"/>
      <c r="QG150" s="255"/>
      <c r="QH150" s="255"/>
      <c r="QI150" s="255"/>
      <c r="QJ150" s="255"/>
      <c r="QK150" s="255"/>
      <c r="QL150" s="255"/>
      <c r="QM150" s="255"/>
      <c r="QN150" s="255"/>
      <c r="QO150" s="255"/>
      <c r="QP150" s="255"/>
      <c r="QQ150" s="255"/>
      <c r="QR150" s="255"/>
      <c r="QS150" s="255"/>
      <c r="QT150" s="255"/>
      <c r="QU150" s="255"/>
      <c r="QV150" s="255"/>
      <c r="QW150" s="255"/>
      <c r="QX150" s="255"/>
      <c r="QY150" s="255"/>
      <c r="QZ150" s="255"/>
      <c r="RA150" s="255"/>
      <c r="RB150" s="255"/>
      <c r="RC150" s="255"/>
      <c r="RD150" s="255"/>
      <c r="RE150" s="255"/>
      <c r="RF150" s="255"/>
      <c r="RG150" s="255"/>
      <c r="RH150" s="255"/>
      <c r="RI150" s="255"/>
      <c r="RJ150" s="255"/>
      <c r="RK150" s="255"/>
      <c r="RL150" s="255"/>
      <c r="RM150" s="255"/>
      <c r="RN150" s="255"/>
      <c r="RO150" s="255"/>
      <c r="RP150" s="255"/>
      <c r="RQ150" s="255"/>
      <c r="RR150" s="255"/>
      <c r="RS150" s="255"/>
      <c r="RT150" s="255"/>
      <c r="RU150" s="255"/>
      <c r="RV150" s="255"/>
      <c r="RW150" s="255"/>
      <c r="RX150" s="255"/>
      <c r="RY150" s="255"/>
      <c r="RZ150" s="255"/>
      <c r="SA150" s="255"/>
      <c r="SB150" s="255"/>
      <c r="SC150" s="255"/>
      <c r="SD150" s="255"/>
      <c r="SE150" s="255"/>
      <c r="SF150" s="255"/>
      <c r="SG150" s="255"/>
      <c r="SH150" s="255"/>
      <c r="SI150" s="255"/>
      <c r="SJ150" s="255"/>
      <c r="SK150" s="255"/>
      <c r="SL150" s="255"/>
      <c r="SM150" s="255"/>
      <c r="SN150" s="255"/>
      <c r="SO150" s="255"/>
      <c r="SP150" s="255"/>
      <c r="SQ150" s="255"/>
      <c r="SR150" s="255"/>
      <c r="SS150" s="255"/>
      <c r="ST150" s="255"/>
      <c r="SU150" s="255"/>
      <c r="SV150" s="255"/>
      <c r="SW150" s="255"/>
      <c r="SX150" s="255"/>
      <c r="SY150" s="255"/>
      <c r="SZ150" s="255"/>
      <c r="TA150" s="255"/>
      <c r="TB150" s="255"/>
      <c r="TC150" s="255"/>
      <c r="TD150" s="255"/>
      <c r="TE150" s="255"/>
      <c r="TF150" s="255"/>
      <c r="TG150" s="255"/>
      <c r="TH150" s="255"/>
      <c r="TI150" s="255"/>
      <c r="TJ150" s="255"/>
      <c r="TK150" s="255"/>
      <c r="TL150" s="255"/>
      <c r="TM150" s="255"/>
      <c r="TN150" s="255"/>
      <c r="TO150" s="255"/>
      <c r="TP150" s="255"/>
      <c r="TQ150" s="255"/>
      <c r="TR150" s="255"/>
      <c r="TS150" s="255"/>
      <c r="TT150" s="255"/>
      <c r="TU150" s="255"/>
      <c r="TV150" s="255"/>
      <c r="TW150" s="255"/>
      <c r="TX150" s="255"/>
      <c r="TY150" s="255"/>
      <c r="TZ150" s="255"/>
      <c r="UA150" s="255"/>
      <c r="UB150" s="255"/>
      <c r="UC150" s="255"/>
      <c r="UD150" s="255"/>
      <c r="UE150" s="255"/>
      <c r="UF150" s="255"/>
      <c r="UG150" s="255"/>
      <c r="UH150" s="255"/>
      <c r="UI150" s="255"/>
      <c r="UJ150" s="255"/>
      <c r="UK150" s="255"/>
      <c r="UL150" s="255"/>
      <c r="UM150" s="255"/>
      <c r="UN150" s="255"/>
      <c r="UO150" s="255"/>
      <c r="UP150" s="255"/>
      <c r="UQ150" s="255"/>
      <c r="UR150" s="255"/>
      <c r="US150" s="255"/>
      <c r="UT150" s="255"/>
      <c r="UU150" s="255"/>
      <c r="UV150" s="255"/>
      <c r="UW150" s="255"/>
      <c r="UX150" s="255"/>
      <c r="UY150" s="255"/>
      <c r="UZ150" s="255"/>
      <c r="VA150" s="255"/>
      <c r="VB150" s="255"/>
      <c r="VC150" s="255"/>
      <c r="VD150" s="255"/>
      <c r="VE150" s="255"/>
      <c r="VF150" s="255"/>
      <c r="VG150" s="255"/>
      <c r="VH150" s="255"/>
      <c r="VI150" s="255"/>
      <c r="VJ150" s="255"/>
      <c r="VK150" s="255"/>
      <c r="VL150" s="255"/>
      <c r="VM150" s="255"/>
      <c r="VN150" s="255"/>
      <c r="VO150" s="255"/>
      <c r="VP150" s="255"/>
      <c r="VQ150" s="255"/>
      <c r="VR150" s="255"/>
      <c r="VS150" s="255"/>
      <c r="VT150" s="255"/>
      <c r="VU150" s="255"/>
      <c r="VV150" s="255"/>
      <c r="VW150" s="255"/>
      <c r="VX150" s="255"/>
      <c r="VY150" s="255"/>
      <c r="VZ150" s="255"/>
      <c r="WA150" s="255"/>
      <c r="WB150" s="255"/>
      <c r="WC150" s="255"/>
      <c r="WD150" s="255"/>
      <c r="WE150" s="255"/>
      <c r="WF150" s="255"/>
      <c r="WG150" s="255"/>
      <c r="WH150" s="255"/>
      <c r="WI150" s="255"/>
      <c r="WJ150" s="255"/>
      <c r="WK150" s="255"/>
      <c r="WL150" s="255"/>
      <c r="WM150" s="255"/>
      <c r="WN150" s="255"/>
      <c r="WO150" s="255"/>
      <c r="WP150" s="255"/>
      <c r="WQ150" s="255"/>
      <c r="WR150" s="255"/>
      <c r="WS150" s="255"/>
      <c r="WT150" s="255"/>
      <c r="WU150" s="255"/>
      <c r="WV150" s="255"/>
      <c r="WW150" s="255"/>
      <c r="WX150" s="255"/>
      <c r="WY150" s="255"/>
      <c r="WZ150" s="255"/>
      <c r="XA150" s="255"/>
      <c r="XB150" s="255"/>
      <c r="XC150" s="255"/>
      <c r="XD150" s="255"/>
      <c r="XE150" s="255"/>
      <c r="XF150" s="255"/>
      <c r="XG150" s="255"/>
      <c r="XH150" s="255"/>
      <c r="XI150" s="255"/>
      <c r="XJ150" s="255"/>
      <c r="XK150" s="255"/>
      <c r="XL150" s="255"/>
      <c r="XM150" s="255"/>
      <c r="XN150" s="255"/>
      <c r="XO150" s="255"/>
      <c r="XP150" s="255"/>
      <c r="XQ150" s="255"/>
      <c r="XR150" s="255"/>
      <c r="XS150" s="255"/>
      <c r="XT150" s="255"/>
      <c r="XU150" s="255"/>
      <c r="XV150" s="255"/>
      <c r="XW150" s="255"/>
      <c r="XX150" s="255"/>
      <c r="XY150" s="255"/>
      <c r="XZ150" s="255"/>
      <c r="YA150" s="255"/>
      <c r="YB150" s="255"/>
      <c r="YC150" s="255"/>
      <c r="YD150" s="255"/>
      <c r="YE150" s="255"/>
      <c r="YF150" s="255"/>
      <c r="YG150" s="255"/>
      <c r="YH150" s="255"/>
      <c r="YI150" s="255"/>
      <c r="YJ150" s="255"/>
      <c r="YK150" s="255"/>
      <c r="YL150" s="255"/>
      <c r="YM150" s="255"/>
      <c r="YN150" s="255"/>
      <c r="YO150" s="255"/>
      <c r="YP150" s="255"/>
      <c r="YQ150" s="255"/>
      <c r="YR150" s="255"/>
      <c r="YS150" s="255"/>
      <c r="YT150" s="255"/>
      <c r="YU150" s="255"/>
      <c r="YV150" s="255"/>
      <c r="YW150" s="255"/>
      <c r="YX150" s="255"/>
      <c r="YY150" s="255"/>
      <c r="YZ150" s="255"/>
      <c r="ZA150" s="255"/>
      <c r="ZB150" s="255"/>
      <c r="ZC150" s="255"/>
      <c r="ZD150" s="255"/>
      <c r="ZE150" s="255"/>
      <c r="ZF150" s="255"/>
      <c r="ZG150" s="255"/>
      <c r="ZH150" s="255"/>
      <c r="ZI150" s="255"/>
      <c r="ZJ150" s="255"/>
      <c r="ZK150" s="255"/>
      <c r="ZL150" s="255"/>
      <c r="ZM150" s="255"/>
      <c r="ZN150" s="255"/>
      <c r="ZO150" s="255"/>
      <c r="ZP150" s="255"/>
      <c r="ZQ150" s="255"/>
      <c r="ZR150" s="255"/>
      <c r="ZS150" s="255"/>
      <c r="ZT150" s="255"/>
      <c r="ZU150" s="255"/>
      <c r="ZV150" s="255"/>
      <c r="ZW150" s="255"/>
      <c r="ZX150" s="255"/>
      <c r="ZY150" s="255"/>
      <c r="ZZ150" s="255"/>
      <c r="AAA150" s="255"/>
      <c r="AAB150" s="255"/>
      <c r="AAC150" s="255"/>
      <c r="AAD150" s="255"/>
      <c r="AAE150" s="255"/>
      <c r="AAF150" s="255"/>
      <c r="AAG150" s="255"/>
      <c r="AAH150" s="255"/>
      <c r="AAI150" s="255"/>
      <c r="AAJ150" s="255"/>
      <c r="AAK150" s="255"/>
      <c r="AAL150" s="255"/>
      <c r="AAM150" s="255"/>
      <c r="AAN150" s="255"/>
      <c r="AAO150" s="255"/>
      <c r="AAP150" s="255"/>
      <c r="AAQ150" s="255"/>
      <c r="AAR150" s="255"/>
      <c r="AAS150" s="255"/>
      <c r="AAT150" s="255"/>
      <c r="AAU150" s="255"/>
      <c r="AAV150" s="255"/>
      <c r="AAW150" s="255"/>
      <c r="AAX150" s="255"/>
      <c r="AAY150" s="255"/>
      <c r="AAZ150" s="255"/>
      <c r="ABA150" s="255"/>
      <c r="ABB150" s="255"/>
      <c r="ABC150" s="255"/>
      <c r="ABD150" s="255"/>
      <c r="ABE150" s="255"/>
      <c r="ABF150" s="255"/>
      <c r="ABG150" s="255"/>
      <c r="ABH150" s="255"/>
      <c r="ABI150" s="255"/>
      <c r="ABJ150" s="255"/>
      <c r="ABK150" s="255"/>
      <c r="ABL150" s="255"/>
      <c r="ABM150" s="255"/>
      <c r="ABN150" s="255"/>
      <c r="ABO150" s="255"/>
      <c r="ABP150" s="255"/>
      <c r="ABQ150" s="255"/>
      <c r="ABR150" s="255"/>
      <c r="ABS150" s="255"/>
      <c r="ABT150" s="255"/>
      <c r="ABU150" s="255"/>
      <c r="ABV150" s="255"/>
      <c r="ABW150" s="255"/>
      <c r="ABX150" s="255"/>
      <c r="ABY150" s="255"/>
      <c r="ABZ150" s="255"/>
      <c r="ACA150" s="255"/>
      <c r="ACB150" s="255"/>
      <c r="ACC150" s="255"/>
      <c r="ACD150" s="255"/>
      <c r="ACE150" s="255"/>
      <c r="ACF150" s="255"/>
      <c r="ACG150" s="255"/>
      <c r="ACH150" s="255"/>
      <c r="ACI150" s="255"/>
      <c r="ACJ150" s="255"/>
      <c r="ACK150" s="255"/>
      <c r="ACL150" s="255"/>
      <c r="ACM150" s="255"/>
      <c r="ACN150" s="255"/>
      <c r="ACO150" s="255"/>
      <c r="ACP150" s="255"/>
      <c r="ACQ150" s="255"/>
      <c r="ACR150" s="255"/>
      <c r="ACS150" s="255"/>
      <c r="ACT150" s="255"/>
      <c r="ACU150" s="255"/>
      <c r="ACV150" s="255"/>
      <c r="ACW150" s="255"/>
      <c r="ACX150" s="255"/>
      <c r="ACY150" s="255"/>
      <c r="ACZ150" s="255"/>
      <c r="ADA150" s="255"/>
      <c r="ADB150" s="255"/>
      <c r="ADC150" s="255"/>
      <c r="ADD150" s="255"/>
      <c r="ADE150" s="255"/>
      <c r="ADF150" s="255"/>
      <c r="ADG150" s="255"/>
      <c r="ADH150" s="255"/>
      <c r="ADI150" s="255"/>
      <c r="ADJ150" s="255"/>
      <c r="ADK150" s="255"/>
      <c r="ADL150" s="255"/>
      <c r="ADM150" s="255"/>
      <c r="ADN150" s="255"/>
      <c r="ADO150" s="255"/>
      <c r="ADP150" s="255"/>
      <c r="ADQ150" s="255"/>
      <c r="ADR150" s="255"/>
      <c r="ADS150" s="255"/>
      <c r="ADT150" s="255"/>
      <c r="ADU150" s="255"/>
      <c r="ADV150" s="255"/>
      <c r="ADW150" s="255"/>
      <c r="ADX150" s="255"/>
      <c r="ADY150" s="255"/>
      <c r="ADZ150" s="255"/>
      <c r="AEA150" s="255"/>
      <c r="AEB150" s="255"/>
      <c r="AEC150" s="255"/>
      <c r="AED150" s="255"/>
      <c r="AEE150" s="255"/>
      <c r="AEF150" s="255"/>
      <c r="AEG150" s="255"/>
      <c r="AEH150" s="255"/>
      <c r="AEI150" s="255"/>
      <c r="AEJ150" s="255"/>
      <c r="AEK150" s="255"/>
      <c r="AEL150" s="255"/>
      <c r="AEM150" s="255"/>
      <c r="AEN150" s="255"/>
      <c r="AEO150" s="255"/>
      <c r="AEP150" s="255"/>
      <c r="AEQ150" s="255"/>
      <c r="AER150" s="255"/>
      <c r="AES150" s="255"/>
      <c r="AET150" s="255"/>
      <c r="AEU150" s="255"/>
      <c r="AEV150" s="255"/>
      <c r="AEW150" s="255"/>
      <c r="AEX150" s="255"/>
      <c r="AEY150" s="255"/>
      <c r="AEZ150" s="255"/>
      <c r="AFA150" s="255"/>
      <c r="AFB150" s="255"/>
      <c r="AFC150" s="255"/>
      <c r="AFD150" s="255"/>
      <c r="AFE150" s="255"/>
      <c r="AFF150" s="255"/>
      <c r="AFG150" s="255"/>
      <c r="AFH150" s="255"/>
      <c r="AFI150" s="255"/>
      <c r="AFJ150" s="255"/>
      <c r="AFK150" s="255"/>
      <c r="AFL150" s="255"/>
      <c r="AFM150" s="255"/>
      <c r="AFN150" s="255"/>
      <c r="AFO150" s="255"/>
      <c r="AFP150" s="255"/>
      <c r="AFQ150" s="255"/>
      <c r="AFR150" s="255"/>
      <c r="AFS150" s="255"/>
      <c r="AFT150" s="255"/>
      <c r="AFU150" s="255"/>
      <c r="AFV150" s="255"/>
      <c r="AFW150" s="255"/>
      <c r="AFX150" s="255"/>
      <c r="AFY150" s="255"/>
      <c r="AFZ150" s="255"/>
      <c r="AGA150" s="255"/>
      <c r="AGB150" s="255"/>
      <c r="AGC150" s="255"/>
      <c r="AGD150" s="255"/>
      <c r="AGE150" s="255"/>
      <c r="AGF150" s="255"/>
      <c r="AGG150" s="255"/>
      <c r="AGH150" s="255"/>
      <c r="AGI150" s="255"/>
      <c r="AGJ150" s="255"/>
      <c r="AGK150" s="255"/>
      <c r="AGL150" s="255"/>
      <c r="AGM150" s="255"/>
      <c r="AGN150" s="255"/>
      <c r="AGO150" s="255"/>
      <c r="AGP150" s="255"/>
      <c r="AGQ150" s="255"/>
      <c r="AGR150" s="255"/>
      <c r="AGS150" s="255"/>
      <c r="AGT150" s="255"/>
      <c r="AGU150" s="255"/>
      <c r="AGV150" s="255"/>
      <c r="AGW150" s="255"/>
      <c r="AGX150" s="255"/>
      <c r="AGY150" s="255"/>
      <c r="AGZ150" s="255"/>
      <c r="AHA150" s="255"/>
      <c r="AHB150" s="255"/>
      <c r="AHC150" s="255"/>
      <c r="AHD150" s="255"/>
      <c r="AHE150" s="255"/>
      <c r="AHF150" s="255"/>
      <c r="AHG150" s="255"/>
      <c r="AHH150" s="255"/>
      <c r="AHI150" s="255"/>
      <c r="AHJ150" s="255"/>
      <c r="AHK150" s="255"/>
      <c r="AHL150" s="255"/>
      <c r="AHM150" s="255"/>
      <c r="AHN150" s="255"/>
      <c r="AHO150" s="255"/>
      <c r="AHP150" s="255"/>
      <c r="AHQ150" s="255"/>
      <c r="AHR150" s="255"/>
      <c r="AHS150" s="255"/>
      <c r="AHT150" s="255"/>
      <c r="AHU150" s="255"/>
      <c r="AHV150" s="255"/>
      <c r="AHW150" s="255"/>
      <c r="AHX150" s="255"/>
      <c r="AHY150" s="255"/>
      <c r="AHZ150" s="255"/>
      <c r="AIA150" s="255"/>
      <c r="AIB150" s="255"/>
      <c r="AIC150" s="255"/>
      <c r="AID150" s="255"/>
      <c r="AIE150" s="255"/>
      <c r="AIF150" s="255"/>
      <c r="AIG150" s="255"/>
      <c r="AIH150" s="255"/>
      <c r="AII150" s="255"/>
      <c r="AIJ150" s="255"/>
      <c r="AIK150" s="255"/>
      <c r="AIL150" s="255"/>
      <c r="AIM150" s="255"/>
      <c r="AIN150" s="255"/>
      <c r="AIO150" s="255"/>
      <c r="AIP150" s="255"/>
      <c r="AIQ150" s="255"/>
      <c r="AIR150" s="255"/>
      <c r="AIS150" s="255"/>
      <c r="AIT150" s="255"/>
      <c r="AIU150" s="255"/>
      <c r="AIV150" s="255"/>
      <c r="AIW150" s="255"/>
      <c r="AIX150" s="255"/>
      <c r="AIY150" s="255"/>
      <c r="AIZ150" s="255"/>
      <c r="AJA150" s="255"/>
      <c r="AJB150" s="255"/>
      <c r="AJC150" s="255"/>
      <c r="AJD150" s="255"/>
      <c r="AJE150" s="255"/>
      <c r="AJF150" s="255"/>
      <c r="AJG150" s="255"/>
      <c r="AJH150" s="255"/>
      <c r="AJI150" s="255"/>
      <c r="AJJ150" s="255"/>
      <c r="AJK150" s="255"/>
      <c r="AJL150" s="255"/>
      <c r="AJM150" s="255"/>
      <c r="AJN150" s="255"/>
      <c r="AJO150" s="255"/>
      <c r="AJP150" s="255"/>
      <c r="AJQ150" s="255"/>
      <c r="AJR150" s="255"/>
      <c r="AJS150" s="255"/>
      <c r="AJT150" s="255"/>
      <c r="AJU150" s="255"/>
      <c r="AJV150" s="255"/>
      <c r="AJW150" s="255"/>
      <c r="AJX150" s="255"/>
      <c r="AJY150" s="255"/>
      <c r="AJZ150" s="255"/>
      <c r="AKA150" s="255"/>
      <c r="AKB150" s="255"/>
      <c r="AKC150" s="255"/>
      <c r="AKD150" s="255"/>
      <c r="AKE150" s="255"/>
      <c r="AKF150" s="255"/>
      <c r="AKG150" s="255"/>
      <c r="AKH150" s="255"/>
      <c r="AKI150" s="255"/>
      <c r="AKJ150" s="255"/>
      <c r="AKK150" s="255"/>
      <c r="AKL150" s="255"/>
      <c r="AKM150" s="255"/>
      <c r="AKN150" s="255"/>
      <c r="AKO150" s="255"/>
      <c r="AKP150" s="255"/>
      <c r="AKQ150" s="255"/>
      <c r="AKR150" s="255"/>
      <c r="AKS150" s="255"/>
      <c r="AKT150" s="255"/>
      <c r="AKU150" s="255"/>
      <c r="AKV150" s="255"/>
      <c r="AKW150" s="255"/>
      <c r="AKX150" s="255"/>
      <c r="AKY150" s="255"/>
      <c r="AKZ150" s="255"/>
      <c r="ALA150" s="255"/>
      <c r="ALB150" s="255"/>
      <c r="ALC150" s="255"/>
      <c r="ALD150" s="255"/>
      <c r="ALE150" s="255"/>
      <c r="ALF150" s="255"/>
      <c r="ALG150" s="255"/>
      <c r="ALH150" s="255"/>
      <c r="ALI150" s="255"/>
      <c r="ALJ150" s="255"/>
      <c r="ALK150" s="255"/>
      <c r="ALL150" s="42"/>
      <c r="ALM150" s="42"/>
      <c r="ALN150" s="42"/>
      <c r="ALO150" s="42"/>
      <c r="ALP150" s="42"/>
      <c r="ALQ150" s="42"/>
      <c r="ALR150" s="42"/>
      <c r="ALS150" s="42"/>
      <c r="ALT150" s="42"/>
    </row>
    <row r="151" spans="1:1008" s="191" customFormat="1" ht="24">
      <c r="A151" s="251" t="s">
        <v>7</v>
      </c>
      <c r="B151" s="328">
        <v>88485</v>
      </c>
      <c r="C151" s="301" t="str">
        <f>(IF($A151="SINAPI",INDEX(SINAPI_NOV2020_NDES!$A$7:$H$6703,MATCH($B151,SINAPI_NOV2020_NDES!$A$7:$A$6703,0),2),IF($A151="GOINFRA",INDEX(#REF!,MATCH($B151,#REF!,0),2),(INDEX(COMPOS!$A$4:$G$390,MATCH($B151,COMPOS!$A$4:A$390,0),2)))))</f>
        <v>APLICAÇÃO DE FUNDO SELADOR ACRÍLICO EM PAREDES, UMA DEMÃO. AF_06/2014</v>
      </c>
      <c r="D151" s="274" t="str">
        <f>(IF($A151="SINAPI",INDEX(SINAPI_NOV2020_NDES!$A$7:$H$6790,MATCH($B151,SINAPI_NOV2020_NDES!$A$7:$A$6790,0),3),(INDEX(COMPOS!$A$4:$G$5000,MATCH($B151,COMPOS!$A$4:$A$5000,0),3))))</f>
        <v>M2</v>
      </c>
      <c r="E151" s="276">
        <v>18.47</v>
      </c>
      <c r="F151" s="279">
        <f>(IF($A151="SINAPI",INDEX(SINAPI_NOV2020_NDES!$A$7:$H$6703,MATCH($B151,SINAPI_NOV2020_NDES!$A$7:$A$6703,0),5),(INDEX(COMPOS!$A$4:$G$801,MATCH($B151,COMPOS!$A$4:A$801,0),4))))</f>
        <v>0.81</v>
      </c>
      <c r="G151" s="280">
        <f>(IF($A151="SINAPI",INDEX(SINAPI_NOV2020_NDES!$A$7:$H$6703,MATCH($B151,SINAPI_NOV2020_NDES!$A$7:$A$6703,0),6),(INDEX(COMPOS!$A$4:$G$801,MATCH($B151,COMPOS!$A$4:A$801,0),5))))</f>
        <v>1.43</v>
      </c>
      <c r="H151" s="280">
        <f>(IF($A151="SINAPI",INDEX(SINAPI_NOV2020_NDES!$A$7:$H$6703,MATCH($B151,SINAPI_NOV2020_NDES!$A$7:$A$6703,0),7),(INDEX(COMPOS!$A$4:$G$801,MATCH($B151,COMPOS!$A$4:A$801,0),6))))</f>
        <v>0</v>
      </c>
      <c r="I151" s="279">
        <f t="shared" si="50"/>
        <v>2.2400000000000002</v>
      </c>
      <c r="J151" s="276">
        <f t="shared" si="51"/>
        <v>41.372799999999998</v>
      </c>
      <c r="K151" s="255"/>
      <c r="L151" s="255"/>
      <c r="M151" s="255"/>
      <c r="N151" s="255"/>
      <c r="O151" s="257"/>
      <c r="P151" s="223"/>
      <c r="Q151" s="255"/>
      <c r="R151" s="255"/>
      <c r="S151" s="255"/>
      <c r="T151" s="255"/>
      <c r="U151" s="255"/>
      <c r="V151" s="255"/>
      <c r="W151" s="255"/>
      <c r="X151" s="255"/>
      <c r="Y151" s="255"/>
      <c r="Z151" s="255"/>
      <c r="AA151" s="255"/>
      <c r="AB151" s="255"/>
      <c r="AC151" s="255"/>
      <c r="AD151" s="255"/>
      <c r="AE151" s="255"/>
      <c r="AF151" s="255"/>
      <c r="AG151" s="255"/>
      <c r="AH151" s="255"/>
      <c r="AI151" s="255"/>
      <c r="AJ151" s="255"/>
      <c r="AK151" s="255"/>
      <c r="AL151" s="255"/>
      <c r="AM151" s="255"/>
      <c r="AN151" s="255"/>
      <c r="AO151" s="255"/>
      <c r="AP151" s="255"/>
      <c r="AQ151" s="255"/>
      <c r="AR151" s="255"/>
      <c r="AS151" s="255"/>
      <c r="AT151" s="255"/>
      <c r="AU151" s="255"/>
      <c r="AV151" s="255"/>
      <c r="AW151" s="255"/>
      <c r="AX151" s="255"/>
      <c r="AY151" s="255"/>
      <c r="AZ151" s="255"/>
      <c r="BA151" s="255"/>
      <c r="BB151" s="255"/>
      <c r="BC151" s="255"/>
      <c r="BD151" s="255"/>
      <c r="BE151" s="255"/>
      <c r="BF151" s="255"/>
      <c r="BG151" s="255"/>
      <c r="BH151" s="255"/>
      <c r="BI151" s="255"/>
      <c r="BJ151" s="255"/>
      <c r="BK151" s="255"/>
      <c r="BL151" s="255"/>
      <c r="BM151" s="255"/>
      <c r="BN151" s="255"/>
      <c r="BO151" s="255"/>
      <c r="BP151" s="255"/>
      <c r="BQ151" s="255"/>
      <c r="BR151" s="255"/>
      <c r="BS151" s="255"/>
      <c r="BT151" s="255"/>
      <c r="BU151" s="255"/>
      <c r="BV151" s="255"/>
      <c r="BW151" s="255"/>
      <c r="BX151" s="255"/>
      <c r="BY151" s="255"/>
      <c r="BZ151" s="255"/>
      <c r="CA151" s="255"/>
      <c r="CB151" s="255"/>
      <c r="CC151" s="255"/>
      <c r="CD151" s="255"/>
      <c r="CE151" s="255"/>
      <c r="CF151" s="255"/>
      <c r="CG151" s="255"/>
      <c r="CH151" s="255"/>
      <c r="CI151" s="255"/>
      <c r="CJ151" s="255"/>
      <c r="CK151" s="255"/>
      <c r="CL151" s="255"/>
      <c r="CM151" s="255"/>
      <c r="CN151" s="255"/>
      <c r="CO151" s="255"/>
      <c r="CP151" s="255"/>
      <c r="CQ151" s="255"/>
      <c r="CR151" s="255"/>
      <c r="CS151" s="255"/>
      <c r="CT151" s="255"/>
      <c r="CU151" s="255"/>
      <c r="CV151" s="255"/>
      <c r="CW151" s="255"/>
      <c r="CX151" s="255"/>
      <c r="CY151" s="255"/>
      <c r="CZ151" s="255"/>
      <c r="DA151" s="255"/>
      <c r="DB151" s="255"/>
      <c r="DC151" s="255"/>
      <c r="DD151" s="255"/>
      <c r="DE151" s="255"/>
      <c r="DF151" s="255"/>
      <c r="DG151" s="255"/>
      <c r="DH151" s="255"/>
      <c r="DI151" s="255"/>
      <c r="DJ151" s="255"/>
      <c r="DK151" s="255"/>
      <c r="DL151" s="255"/>
      <c r="DM151" s="255"/>
      <c r="DN151" s="255"/>
      <c r="DO151" s="255"/>
      <c r="DP151" s="255"/>
      <c r="DQ151" s="255"/>
      <c r="DR151" s="255"/>
      <c r="DS151" s="255"/>
      <c r="DT151" s="255"/>
      <c r="DU151" s="255"/>
      <c r="DV151" s="255"/>
      <c r="DW151" s="255"/>
      <c r="DX151" s="255"/>
      <c r="DY151" s="255"/>
      <c r="DZ151" s="255"/>
      <c r="EA151" s="255"/>
      <c r="EB151" s="255"/>
      <c r="EC151" s="255"/>
      <c r="ED151" s="255"/>
      <c r="EE151" s="255"/>
      <c r="EF151" s="255"/>
      <c r="EG151" s="255"/>
      <c r="EH151" s="255"/>
      <c r="EI151" s="255"/>
      <c r="EJ151" s="255"/>
      <c r="EK151" s="255"/>
      <c r="EL151" s="255"/>
      <c r="EM151" s="255"/>
      <c r="EN151" s="255"/>
      <c r="EO151" s="255"/>
      <c r="EP151" s="255"/>
      <c r="EQ151" s="255"/>
      <c r="ER151" s="255"/>
      <c r="ES151" s="255"/>
      <c r="ET151" s="255"/>
      <c r="EU151" s="255"/>
      <c r="EV151" s="255"/>
      <c r="EW151" s="255"/>
      <c r="EX151" s="255"/>
      <c r="EY151" s="255"/>
      <c r="EZ151" s="255"/>
      <c r="FA151" s="255"/>
      <c r="FB151" s="255"/>
      <c r="FC151" s="255"/>
      <c r="FD151" s="255"/>
      <c r="FE151" s="255"/>
      <c r="FF151" s="255"/>
      <c r="FG151" s="255"/>
      <c r="FH151" s="255"/>
      <c r="FI151" s="255"/>
      <c r="FJ151" s="255"/>
      <c r="FK151" s="255"/>
      <c r="FL151" s="255"/>
      <c r="FM151" s="255"/>
      <c r="FN151" s="255"/>
      <c r="FO151" s="255"/>
      <c r="FP151" s="255"/>
      <c r="FQ151" s="255"/>
      <c r="FR151" s="255"/>
      <c r="FS151" s="255"/>
      <c r="FT151" s="255"/>
      <c r="FU151" s="255"/>
      <c r="FV151" s="255"/>
      <c r="FW151" s="255"/>
      <c r="FX151" s="255"/>
      <c r="FY151" s="255"/>
      <c r="FZ151" s="255"/>
      <c r="GA151" s="255"/>
      <c r="GB151" s="255"/>
      <c r="GC151" s="255"/>
      <c r="GD151" s="255"/>
      <c r="GE151" s="255"/>
      <c r="GF151" s="255"/>
      <c r="GG151" s="255"/>
      <c r="GH151" s="255"/>
      <c r="GI151" s="255"/>
      <c r="GJ151" s="255"/>
      <c r="GK151" s="255"/>
      <c r="GL151" s="255"/>
      <c r="GM151" s="255"/>
      <c r="GN151" s="255"/>
      <c r="GO151" s="255"/>
      <c r="GP151" s="255"/>
      <c r="GQ151" s="255"/>
      <c r="GR151" s="255"/>
      <c r="GS151" s="255"/>
      <c r="GT151" s="255"/>
      <c r="GU151" s="255"/>
      <c r="GV151" s="255"/>
      <c r="GW151" s="255"/>
      <c r="GX151" s="255"/>
      <c r="GY151" s="255"/>
      <c r="GZ151" s="255"/>
      <c r="HA151" s="255"/>
      <c r="HB151" s="255"/>
      <c r="HC151" s="255"/>
      <c r="HD151" s="255"/>
      <c r="HE151" s="255"/>
      <c r="HF151" s="255"/>
      <c r="HG151" s="255"/>
      <c r="HH151" s="255"/>
      <c r="HI151" s="255"/>
      <c r="HJ151" s="255"/>
      <c r="HK151" s="255"/>
      <c r="HL151" s="255"/>
      <c r="HM151" s="255"/>
      <c r="HN151" s="255"/>
      <c r="HO151" s="255"/>
      <c r="HP151" s="255"/>
      <c r="HQ151" s="255"/>
      <c r="HR151" s="255"/>
      <c r="HS151" s="255"/>
      <c r="HT151" s="255"/>
      <c r="HU151" s="255"/>
      <c r="HV151" s="255"/>
      <c r="HW151" s="255"/>
      <c r="HX151" s="255"/>
      <c r="HY151" s="255"/>
      <c r="HZ151" s="255"/>
      <c r="IA151" s="255"/>
      <c r="IB151" s="255"/>
      <c r="IC151" s="255"/>
      <c r="ID151" s="255"/>
      <c r="IE151" s="255"/>
      <c r="IF151" s="255"/>
      <c r="IG151" s="255"/>
      <c r="IH151" s="255"/>
      <c r="II151" s="255"/>
      <c r="IJ151" s="255"/>
      <c r="IK151" s="255"/>
      <c r="IL151" s="255"/>
      <c r="IM151" s="255"/>
      <c r="IN151" s="255"/>
      <c r="IO151" s="255"/>
      <c r="IP151" s="255"/>
      <c r="IQ151" s="255"/>
      <c r="IR151" s="255"/>
      <c r="IS151" s="255"/>
      <c r="IT151" s="255"/>
      <c r="IU151" s="255"/>
      <c r="IV151" s="255"/>
      <c r="IW151" s="255"/>
      <c r="IX151" s="255"/>
      <c r="IY151" s="255"/>
      <c r="IZ151" s="255"/>
      <c r="JA151" s="255"/>
      <c r="JB151" s="255"/>
      <c r="JC151" s="255"/>
      <c r="JD151" s="255"/>
      <c r="JE151" s="255"/>
      <c r="JF151" s="255"/>
      <c r="JG151" s="255"/>
      <c r="JH151" s="255"/>
      <c r="JI151" s="255"/>
      <c r="JJ151" s="255"/>
      <c r="JK151" s="255"/>
      <c r="JL151" s="255"/>
      <c r="JM151" s="255"/>
      <c r="JN151" s="255"/>
      <c r="JO151" s="255"/>
      <c r="JP151" s="255"/>
      <c r="JQ151" s="255"/>
      <c r="JR151" s="255"/>
      <c r="JS151" s="255"/>
      <c r="JT151" s="255"/>
      <c r="JU151" s="255"/>
      <c r="JV151" s="255"/>
      <c r="JW151" s="255"/>
      <c r="JX151" s="255"/>
      <c r="JY151" s="255"/>
      <c r="JZ151" s="255"/>
      <c r="KA151" s="255"/>
      <c r="KB151" s="255"/>
      <c r="KC151" s="255"/>
      <c r="KD151" s="255"/>
      <c r="KE151" s="255"/>
      <c r="KF151" s="255"/>
      <c r="KG151" s="255"/>
      <c r="KH151" s="255"/>
      <c r="KI151" s="255"/>
      <c r="KJ151" s="255"/>
      <c r="KK151" s="255"/>
      <c r="KL151" s="255"/>
      <c r="KM151" s="255"/>
      <c r="KN151" s="255"/>
      <c r="KO151" s="255"/>
      <c r="KP151" s="255"/>
      <c r="KQ151" s="255"/>
      <c r="KR151" s="255"/>
      <c r="KS151" s="255"/>
      <c r="KT151" s="255"/>
      <c r="KU151" s="255"/>
      <c r="KV151" s="255"/>
      <c r="KW151" s="255"/>
      <c r="KX151" s="255"/>
      <c r="KY151" s="255"/>
      <c r="KZ151" s="255"/>
      <c r="LA151" s="255"/>
      <c r="LB151" s="255"/>
      <c r="LC151" s="255"/>
      <c r="LD151" s="255"/>
      <c r="LE151" s="255"/>
      <c r="LF151" s="255"/>
      <c r="LG151" s="255"/>
      <c r="LH151" s="255"/>
      <c r="LI151" s="255"/>
      <c r="LJ151" s="255"/>
      <c r="LK151" s="255"/>
      <c r="LL151" s="255"/>
      <c r="LM151" s="255"/>
      <c r="LN151" s="255"/>
      <c r="LO151" s="255"/>
      <c r="LP151" s="255"/>
      <c r="LQ151" s="255"/>
      <c r="LR151" s="255"/>
      <c r="LS151" s="255"/>
      <c r="LT151" s="255"/>
      <c r="LU151" s="255"/>
      <c r="LV151" s="255"/>
      <c r="LW151" s="255"/>
      <c r="LX151" s="255"/>
      <c r="LY151" s="255"/>
      <c r="LZ151" s="255"/>
      <c r="MA151" s="255"/>
      <c r="MB151" s="255"/>
      <c r="MC151" s="255"/>
      <c r="MD151" s="255"/>
      <c r="ME151" s="255"/>
      <c r="MF151" s="255"/>
      <c r="MG151" s="255"/>
      <c r="MH151" s="255"/>
      <c r="MI151" s="255"/>
      <c r="MJ151" s="255"/>
      <c r="MK151" s="255"/>
      <c r="ML151" s="255"/>
      <c r="MM151" s="255"/>
      <c r="MN151" s="255"/>
      <c r="MO151" s="255"/>
      <c r="MP151" s="255"/>
      <c r="MQ151" s="255"/>
      <c r="MR151" s="255"/>
      <c r="MS151" s="255"/>
      <c r="MT151" s="255"/>
      <c r="MU151" s="255"/>
      <c r="MV151" s="255"/>
      <c r="MW151" s="255"/>
      <c r="MX151" s="255"/>
      <c r="MY151" s="255"/>
      <c r="MZ151" s="255"/>
      <c r="NA151" s="255"/>
      <c r="NB151" s="255"/>
      <c r="NC151" s="255"/>
      <c r="ND151" s="255"/>
      <c r="NE151" s="255"/>
      <c r="NF151" s="255"/>
      <c r="NG151" s="255"/>
      <c r="NH151" s="255"/>
      <c r="NI151" s="255"/>
      <c r="NJ151" s="255"/>
      <c r="NK151" s="255"/>
      <c r="NL151" s="255"/>
      <c r="NM151" s="255"/>
      <c r="NN151" s="255"/>
      <c r="NO151" s="255"/>
      <c r="NP151" s="255"/>
      <c r="NQ151" s="255"/>
      <c r="NR151" s="255"/>
      <c r="NS151" s="255"/>
      <c r="NT151" s="255"/>
      <c r="NU151" s="255"/>
      <c r="NV151" s="255"/>
      <c r="NW151" s="255"/>
      <c r="NX151" s="255"/>
      <c r="NY151" s="255"/>
      <c r="NZ151" s="255"/>
      <c r="OA151" s="255"/>
      <c r="OB151" s="255"/>
      <c r="OC151" s="255"/>
      <c r="OD151" s="255"/>
      <c r="OE151" s="255"/>
      <c r="OF151" s="255"/>
      <c r="OG151" s="255"/>
      <c r="OH151" s="255"/>
      <c r="OI151" s="255"/>
      <c r="OJ151" s="255"/>
      <c r="OK151" s="255"/>
      <c r="OL151" s="255"/>
      <c r="OM151" s="255"/>
      <c r="ON151" s="255"/>
      <c r="OO151" s="255"/>
      <c r="OP151" s="255"/>
      <c r="OQ151" s="255"/>
      <c r="OR151" s="255"/>
      <c r="OS151" s="255"/>
      <c r="OT151" s="255"/>
      <c r="OU151" s="255"/>
      <c r="OV151" s="255"/>
      <c r="OW151" s="255"/>
      <c r="OX151" s="255"/>
      <c r="OY151" s="255"/>
      <c r="OZ151" s="255"/>
      <c r="PA151" s="255"/>
      <c r="PB151" s="255"/>
      <c r="PC151" s="255"/>
      <c r="PD151" s="255"/>
      <c r="PE151" s="255"/>
      <c r="PF151" s="255"/>
      <c r="PG151" s="255"/>
      <c r="PH151" s="255"/>
      <c r="PI151" s="255"/>
      <c r="PJ151" s="255"/>
      <c r="PK151" s="255"/>
      <c r="PL151" s="255"/>
      <c r="PM151" s="255"/>
      <c r="PN151" s="255"/>
      <c r="PO151" s="255"/>
      <c r="PP151" s="255"/>
      <c r="PQ151" s="255"/>
      <c r="PR151" s="255"/>
      <c r="PS151" s="255"/>
      <c r="PT151" s="255"/>
      <c r="PU151" s="255"/>
      <c r="PV151" s="255"/>
      <c r="PW151" s="255"/>
      <c r="PX151" s="255"/>
      <c r="PY151" s="255"/>
      <c r="PZ151" s="255"/>
      <c r="QA151" s="255"/>
      <c r="QB151" s="255"/>
      <c r="QC151" s="255"/>
      <c r="QD151" s="255"/>
      <c r="QE151" s="255"/>
      <c r="QF151" s="255"/>
      <c r="QG151" s="255"/>
      <c r="QH151" s="255"/>
      <c r="QI151" s="255"/>
      <c r="QJ151" s="255"/>
      <c r="QK151" s="255"/>
      <c r="QL151" s="255"/>
      <c r="QM151" s="255"/>
      <c r="QN151" s="255"/>
      <c r="QO151" s="255"/>
      <c r="QP151" s="255"/>
      <c r="QQ151" s="255"/>
      <c r="QR151" s="255"/>
      <c r="QS151" s="255"/>
      <c r="QT151" s="255"/>
      <c r="QU151" s="255"/>
      <c r="QV151" s="255"/>
      <c r="QW151" s="255"/>
      <c r="QX151" s="255"/>
      <c r="QY151" s="255"/>
      <c r="QZ151" s="255"/>
      <c r="RA151" s="255"/>
      <c r="RB151" s="255"/>
      <c r="RC151" s="255"/>
      <c r="RD151" s="255"/>
      <c r="RE151" s="255"/>
      <c r="RF151" s="255"/>
      <c r="RG151" s="255"/>
      <c r="RH151" s="255"/>
      <c r="RI151" s="255"/>
      <c r="RJ151" s="255"/>
      <c r="RK151" s="255"/>
      <c r="RL151" s="255"/>
      <c r="RM151" s="255"/>
      <c r="RN151" s="255"/>
      <c r="RO151" s="255"/>
      <c r="RP151" s="255"/>
      <c r="RQ151" s="255"/>
      <c r="RR151" s="255"/>
      <c r="RS151" s="255"/>
      <c r="RT151" s="255"/>
      <c r="RU151" s="255"/>
      <c r="RV151" s="255"/>
      <c r="RW151" s="255"/>
      <c r="RX151" s="255"/>
      <c r="RY151" s="255"/>
      <c r="RZ151" s="255"/>
      <c r="SA151" s="255"/>
      <c r="SB151" s="255"/>
      <c r="SC151" s="255"/>
      <c r="SD151" s="255"/>
      <c r="SE151" s="255"/>
      <c r="SF151" s="255"/>
      <c r="SG151" s="255"/>
      <c r="SH151" s="255"/>
      <c r="SI151" s="255"/>
      <c r="SJ151" s="255"/>
      <c r="SK151" s="255"/>
      <c r="SL151" s="255"/>
      <c r="SM151" s="255"/>
      <c r="SN151" s="255"/>
      <c r="SO151" s="255"/>
      <c r="SP151" s="255"/>
      <c r="SQ151" s="255"/>
      <c r="SR151" s="255"/>
      <c r="SS151" s="255"/>
      <c r="ST151" s="255"/>
      <c r="SU151" s="255"/>
      <c r="SV151" s="255"/>
      <c r="SW151" s="255"/>
      <c r="SX151" s="255"/>
      <c r="SY151" s="255"/>
      <c r="SZ151" s="255"/>
      <c r="TA151" s="255"/>
      <c r="TB151" s="255"/>
      <c r="TC151" s="255"/>
      <c r="TD151" s="255"/>
      <c r="TE151" s="255"/>
      <c r="TF151" s="255"/>
      <c r="TG151" s="255"/>
      <c r="TH151" s="255"/>
      <c r="TI151" s="255"/>
      <c r="TJ151" s="255"/>
      <c r="TK151" s="255"/>
      <c r="TL151" s="255"/>
      <c r="TM151" s="255"/>
      <c r="TN151" s="255"/>
      <c r="TO151" s="255"/>
      <c r="TP151" s="255"/>
      <c r="TQ151" s="255"/>
      <c r="TR151" s="255"/>
      <c r="TS151" s="255"/>
      <c r="TT151" s="255"/>
      <c r="TU151" s="255"/>
      <c r="TV151" s="255"/>
      <c r="TW151" s="255"/>
      <c r="TX151" s="255"/>
      <c r="TY151" s="255"/>
      <c r="TZ151" s="255"/>
      <c r="UA151" s="255"/>
      <c r="UB151" s="255"/>
      <c r="UC151" s="255"/>
      <c r="UD151" s="255"/>
      <c r="UE151" s="255"/>
      <c r="UF151" s="255"/>
      <c r="UG151" s="255"/>
      <c r="UH151" s="255"/>
      <c r="UI151" s="255"/>
      <c r="UJ151" s="255"/>
      <c r="UK151" s="255"/>
      <c r="UL151" s="255"/>
      <c r="UM151" s="255"/>
      <c r="UN151" s="255"/>
      <c r="UO151" s="255"/>
      <c r="UP151" s="255"/>
      <c r="UQ151" s="255"/>
      <c r="UR151" s="255"/>
      <c r="US151" s="255"/>
      <c r="UT151" s="255"/>
      <c r="UU151" s="255"/>
      <c r="UV151" s="255"/>
      <c r="UW151" s="255"/>
      <c r="UX151" s="255"/>
      <c r="UY151" s="255"/>
      <c r="UZ151" s="255"/>
      <c r="VA151" s="255"/>
      <c r="VB151" s="255"/>
      <c r="VC151" s="255"/>
      <c r="VD151" s="255"/>
      <c r="VE151" s="255"/>
      <c r="VF151" s="255"/>
      <c r="VG151" s="255"/>
      <c r="VH151" s="255"/>
      <c r="VI151" s="255"/>
      <c r="VJ151" s="255"/>
      <c r="VK151" s="255"/>
      <c r="VL151" s="255"/>
      <c r="VM151" s="255"/>
      <c r="VN151" s="255"/>
      <c r="VO151" s="255"/>
      <c r="VP151" s="255"/>
      <c r="VQ151" s="255"/>
      <c r="VR151" s="255"/>
      <c r="VS151" s="255"/>
      <c r="VT151" s="255"/>
      <c r="VU151" s="255"/>
      <c r="VV151" s="255"/>
      <c r="VW151" s="255"/>
      <c r="VX151" s="255"/>
      <c r="VY151" s="255"/>
      <c r="VZ151" s="255"/>
      <c r="WA151" s="255"/>
      <c r="WB151" s="255"/>
      <c r="WC151" s="255"/>
      <c r="WD151" s="255"/>
      <c r="WE151" s="255"/>
      <c r="WF151" s="255"/>
      <c r="WG151" s="255"/>
      <c r="WH151" s="255"/>
      <c r="WI151" s="255"/>
      <c r="WJ151" s="255"/>
      <c r="WK151" s="255"/>
      <c r="WL151" s="255"/>
      <c r="WM151" s="255"/>
      <c r="WN151" s="255"/>
      <c r="WO151" s="255"/>
      <c r="WP151" s="255"/>
      <c r="WQ151" s="255"/>
      <c r="WR151" s="255"/>
      <c r="WS151" s="255"/>
      <c r="WT151" s="255"/>
      <c r="WU151" s="255"/>
      <c r="WV151" s="255"/>
      <c r="WW151" s="255"/>
      <c r="WX151" s="255"/>
      <c r="WY151" s="255"/>
      <c r="WZ151" s="255"/>
      <c r="XA151" s="255"/>
      <c r="XB151" s="255"/>
      <c r="XC151" s="255"/>
      <c r="XD151" s="255"/>
      <c r="XE151" s="255"/>
      <c r="XF151" s="255"/>
      <c r="XG151" s="255"/>
      <c r="XH151" s="255"/>
      <c r="XI151" s="255"/>
      <c r="XJ151" s="255"/>
      <c r="XK151" s="255"/>
      <c r="XL151" s="255"/>
      <c r="XM151" s="255"/>
      <c r="XN151" s="255"/>
      <c r="XO151" s="255"/>
      <c r="XP151" s="255"/>
      <c r="XQ151" s="255"/>
      <c r="XR151" s="255"/>
      <c r="XS151" s="255"/>
      <c r="XT151" s="255"/>
      <c r="XU151" s="255"/>
      <c r="XV151" s="255"/>
      <c r="XW151" s="255"/>
      <c r="XX151" s="255"/>
      <c r="XY151" s="255"/>
      <c r="XZ151" s="255"/>
      <c r="YA151" s="255"/>
      <c r="YB151" s="255"/>
      <c r="YC151" s="255"/>
      <c r="YD151" s="255"/>
      <c r="YE151" s="255"/>
      <c r="YF151" s="255"/>
      <c r="YG151" s="255"/>
      <c r="YH151" s="255"/>
      <c r="YI151" s="255"/>
      <c r="YJ151" s="255"/>
      <c r="YK151" s="255"/>
      <c r="YL151" s="255"/>
      <c r="YM151" s="255"/>
      <c r="YN151" s="255"/>
      <c r="YO151" s="255"/>
      <c r="YP151" s="255"/>
      <c r="YQ151" s="255"/>
      <c r="YR151" s="255"/>
      <c r="YS151" s="255"/>
      <c r="YT151" s="255"/>
      <c r="YU151" s="255"/>
      <c r="YV151" s="255"/>
      <c r="YW151" s="255"/>
      <c r="YX151" s="255"/>
      <c r="YY151" s="255"/>
      <c r="YZ151" s="255"/>
      <c r="ZA151" s="255"/>
      <c r="ZB151" s="255"/>
      <c r="ZC151" s="255"/>
      <c r="ZD151" s="255"/>
      <c r="ZE151" s="255"/>
      <c r="ZF151" s="255"/>
      <c r="ZG151" s="255"/>
      <c r="ZH151" s="255"/>
      <c r="ZI151" s="255"/>
      <c r="ZJ151" s="255"/>
      <c r="ZK151" s="255"/>
      <c r="ZL151" s="255"/>
      <c r="ZM151" s="255"/>
      <c r="ZN151" s="255"/>
      <c r="ZO151" s="255"/>
      <c r="ZP151" s="255"/>
      <c r="ZQ151" s="255"/>
      <c r="ZR151" s="255"/>
      <c r="ZS151" s="255"/>
      <c r="ZT151" s="255"/>
      <c r="ZU151" s="255"/>
      <c r="ZV151" s="255"/>
      <c r="ZW151" s="255"/>
      <c r="ZX151" s="255"/>
      <c r="ZY151" s="255"/>
      <c r="ZZ151" s="255"/>
      <c r="AAA151" s="255"/>
      <c r="AAB151" s="255"/>
      <c r="AAC151" s="255"/>
      <c r="AAD151" s="255"/>
      <c r="AAE151" s="255"/>
      <c r="AAF151" s="255"/>
      <c r="AAG151" s="255"/>
      <c r="AAH151" s="255"/>
      <c r="AAI151" s="255"/>
      <c r="AAJ151" s="255"/>
      <c r="AAK151" s="255"/>
      <c r="AAL151" s="255"/>
      <c r="AAM151" s="255"/>
      <c r="AAN151" s="255"/>
      <c r="AAO151" s="255"/>
      <c r="AAP151" s="255"/>
      <c r="AAQ151" s="255"/>
      <c r="AAR151" s="255"/>
      <c r="AAS151" s="255"/>
      <c r="AAT151" s="255"/>
      <c r="AAU151" s="255"/>
      <c r="AAV151" s="255"/>
      <c r="AAW151" s="255"/>
      <c r="AAX151" s="255"/>
      <c r="AAY151" s="255"/>
      <c r="AAZ151" s="255"/>
      <c r="ABA151" s="255"/>
      <c r="ABB151" s="255"/>
      <c r="ABC151" s="255"/>
      <c r="ABD151" s="255"/>
      <c r="ABE151" s="255"/>
      <c r="ABF151" s="255"/>
      <c r="ABG151" s="255"/>
      <c r="ABH151" s="255"/>
      <c r="ABI151" s="255"/>
      <c r="ABJ151" s="255"/>
      <c r="ABK151" s="255"/>
      <c r="ABL151" s="255"/>
      <c r="ABM151" s="255"/>
      <c r="ABN151" s="255"/>
      <c r="ABO151" s="255"/>
      <c r="ABP151" s="255"/>
      <c r="ABQ151" s="255"/>
      <c r="ABR151" s="255"/>
      <c r="ABS151" s="255"/>
      <c r="ABT151" s="255"/>
      <c r="ABU151" s="255"/>
      <c r="ABV151" s="255"/>
      <c r="ABW151" s="255"/>
      <c r="ABX151" s="255"/>
      <c r="ABY151" s="255"/>
      <c r="ABZ151" s="255"/>
      <c r="ACA151" s="255"/>
      <c r="ACB151" s="255"/>
      <c r="ACC151" s="255"/>
      <c r="ACD151" s="255"/>
      <c r="ACE151" s="255"/>
      <c r="ACF151" s="255"/>
      <c r="ACG151" s="255"/>
      <c r="ACH151" s="255"/>
      <c r="ACI151" s="255"/>
      <c r="ACJ151" s="255"/>
      <c r="ACK151" s="255"/>
      <c r="ACL151" s="255"/>
      <c r="ACM151" s="255"/>
      <c r="ACN151" s="255"/>
      <c r="ACO151" s="255"/>
      <c r="ACP151" s="255"/>
      <c r="ACQ151" s="255"/>
      <c r="ACR151" s="255"/>
      <c r="ACS151" s="255"/>
      <c r="ACT151" s="255"/>
      <c r="ACU151" s="255"/>
      <c r="ACV151" s="255"/>
      <c r="ACW151" s="255"/>
      <c r="ACX151" s="255"/>
      <c r="ACY151" s="255"/>
      <c r="ACZ151" s="255"/>
      <c r="ADA151" s="255"/>
      <c r="ADB151" s="255"/>
      <c r="ADC151" s="255"/>
      <c r="ADD151" s="255"/>
      <c r="ADE151" s="255"/>
      <c r="ADF151" s="255"/>
      <c r="ADG151" s="255"/>
      <c r="ADH151" s="255"/>
      <c r="ADI151" s="255"/>
      <c r="ADJ151" s="255"/>
      <c r="ADK151" s="255"/>
      <c r="ADL151" s="255"/>
      <c r="ADM151" s="255"/>
      <c r="ADN151" s="255"/>
      <c r="ADO151" s="255"/>
      <c r="ADP151" s="255"/>
      <c r="ADQ151" s="255"/>
      <c r="ADR151" s="255"/>
      <c r="ADS151" s="255"/>
      <c r="ADT151" s="255"/>
      <c r="ADU151" s="255"/>
      <c r="ADV151" s="255"/>
      <c r="ADW151" s="255"/>
      <c r="ADX151" s="255"/>
      <c r="ADY151" s="255"/>
      <c r="ADZ151" s="255"/>
      <c r="AEA151" s="255"/>
      <c r="AEB151" s="255"/>
      <c r="AEC151" s="255"/>
      <c r="AED151" s="255"/>
      <c r="AEE151" s="255"/>
      <c r="AEF151" s="255"/>
      <c r="AEG151" s="255"/>
      <c r="AEH151" s="255"/>
      <c r="AEI151" s="255"/>
      <c r="AEJ151" s="255"/>
      <c r="AEK151" s="255"/>
      <c r="AEL151" s="255"/>
      <c r="AEM151" s="255"/>
      <c r="AEN151" s="255"/>
      <c r="AEO151" s="255"/>
      <c r="AEP151" s="255"/>
      <c r="AEQ151" s="255"/>
      <c r="AER151" s="255"/>
      <c r="AES151" s="255"/>
      <c r="AET151" s="255"/>
      <c r="AEU151" s="255"/>
      <c r="AEV151" s="255"/>
      <c r="AEW151" s="255"/>
      <c r="AEX151" s="255"/>
      <c r="AEY151" s="255"/>
      <c r="AEZ151" s="255"/>
      <c r="AFA151" s="255"/>
      <c r="AFB151" s="255"/>
      <c r="AFC151" s="255"/>
      <c r="AFD151" s="255"/>
      <c r="AFE151" s="255"/>
      <c r="AFF151" s="255"/>
      <c r="AFG151" s="255"/>
      <c r="AFH151" s="255"/>
      <c r="AFI151" s="255"/>
      <c r="AFJ151" s="255"/>
      <c r="AFK151" s="255"/>
      <c r="AFL151" s="255"/>
      <c r="AFM151" s="255"/>
      <c r="AFN151" s="255"/>
      <c r="AFO151" s="255"/>
      <c r="AFP151" s="255"/>
      <c r="AFQ151" s="255"/>
      <c r="AFR151" s="255"/>
      <c r="AFS151" s="255"/>
      <c r="AFT151" s="255"/>
      <c r="AFU151" s="255"/>
      <c r="AFV151" s="255"/>
      <c r="AFW151" s="255"/>
      <c r="AFX151" s="255"/>
      <c r="AFY151" s="255"/>
      <c r="AFZ151" s="255"/>
      <c r="AGA151" s="255"/>
      <c r="AGB151" s="255"/>
      <c r="AGC151" s="255"/>
      <c r="AGD151" s="255"/>
      <c r="AGE151" s="255"/>
      <c r="AGF151" s="255"/>
      <c r="AGG151" s="255"/>
      <c r="AGH151" s="255"/>
      <c r="AGI151" s="255"/>
      <c r="AGJ151" s="255"/>
      <c r="AGK151" s="255"/>
      <c r="AGL151" s="255"/>
      <c r="AGM151" s="255"/>
      <c r="AGN151" s="255"/>
      <c r="AGO151" s="255"/>
      <c r="AGP151" s="255"/>
      <c r="AGQ151" s="255"/>
      <c r="AGR151" s="255"/>
      <c r="AGS151" s="255"/>
      <c r="AGT151" s="255"/>
      <c r="AGU151" s="255"/>
      <c r="AGV151" s="255"/>
      <c r="AGW151" s="255"/>
      <c r="AGX151" s="255"/>
      <c r="AGY151" s="255"/>
      <c r="AGZ151" s="255"/>
      <c r="AHA151" s="255"/>
      <c r="AHB151" s="255"/>
      <c r="AHC151" s="255"/>
      <c r="AHD151" s="255"/>
      <c r="AHE151" s="255"/>
      <c r="AHF151" s="255"/>
      <c r="AHG151" s="255"/>
      <c r="AHH151" s="255"/>
      <c r="AHI151" s="255"/>
      <c r="AHJ151" s="255"/>
      <c r="AHK151" s="255"/>
      <c r="AHL151" s="255"/>
      <c r="AHM151" s="255"/>
      <c r="AHN151" s="255"/>
      <c r="AHO151" s="255"/>
      <c r="AHP151" s="255"/>
      <c r="AHQ151" s="255"/>
      <c r="AHR151" s="255"/>
      <c r="AHS151" s="255"/>
      <c r="AHT151" s="255"/>
      <c r="AHU151" s="255"/>
      <c r="AHV151" s="255"/>
      <c r="AHW151" s="255"/>
      <c r="AHX151" s="255"/>
      <c r="AHY151" s="255"/>
      <c r="AHZ151" s="255"/>
      <c r="AIA151" s="255"/>
      <c r="AIB151" s="255"/>
      <c r="AIC151" s="255"/>
      <c r="AID151" s="255"/>
      <c r="AIE151" s="255"/>
      <c r="AIF151" s="255"/>
      <c r="AIG151" s="255"/>
      <c r="AIH151" s="255"/>
      <c r="AII151" s="255"/>
      <c r="AIJ151" s="255"/>
      <c r="AIK151" s="255"/>
      <c r="AIL151" s="255"/>
      <c r="AIM151" s="255"/>
      <c r="AIN151" s="255"/>
      <c r="AIO151" s="255"/>
      <c r="AIP151" s="255"/>
      <c r="AIQ151" s="255"/>
      <c r="AIR151" s="255"/>
      <c r="AIS151" s="255"/>
      <c r="AIT151" s="255"/>
      <c r="AIU151" s="255"/>
      <c r="AIV151" s="255"/>
      <c r="AIW151" s="255"/>
      <c r="AIX151" s="255"/>
      <c r="AIY151" s="255"/>
      <c r="AIZ151" s="255"/>
      <c r="AJA151" s="255"/>
      <c r="AJB151" s="255"/>
      <c r="AJC151" s="255"/>
      <c r="AJD151" s="255"/>
      <c r="AJE151" s="255"/>
      <c r="AJF151" s="255"/>
      <c r="AJG151" s="255"/>
      <c r="AJH151" s="255"/>
      <c r="AJI151" s="255"/>
      <c r="AJJ151" s="255"/>
      <c r="AJK151" s="255"/>
      <c r="AJL151" s="255"/>
      <c r="AJM151" s="255"/>
      <c r="AJN151" s="255"/>
      <c r="AJO151" s="255"/>
      <c r="AJP151" s="255"/>
      <c r="AJQ151" s="255"/>
      <c r="AJR151" s="255"/>
      <c r="AJS151" s="255"/>
      <c r="AJT151" s="255"/>
      <c r="AJU151" s="255"/>
      <c r="AJV151" s="255"/>
      <c r="AJW151" s="255"/>
      <c r="AJX151" s="255"/>
      <c r="AJY151" s="255"/>
      <c r="AJZ151" s="255"/>
      <c r="AKA151" s="255"/>
      <c r="AKB151" s="255"/>
      <c r="AKC151" s="255"/>
      <c r="AKD151" s="255"/>
      <c r="AKE151" s="255"/>
      <c r="AKF151" s="255"/>
      <c r="AKG151" s="255"/>
      <c r="AKH151" s="255"/>
      <c r="AKI151" s="255"/>
      <c r="AKJ151" s="255"/>
      <c r="AKK151" s="255"/>
      <c r="AKL151" s="255"/>
      <c r="AKM151" s="255"/>
      <c r="AKN151" s="255"/>
      <c r="AKO151" s="255"/>
      <c r="AKP151" s="255"/>
      <c r="AKQ151" s="255"/>
      <c r="AKR151" s="255"/>
      <c r="AKS151" s="255"/>
      <c r="AKT151" s="255"/>
      <c r="AKU151" s="255"/>
      <c r="AKV151" s="255"/>
      <c r="AKW151" s="255"/>
      <c r="AKX151" s="255"/>
      <c r="AKY151" s="255"/>
      <c r="AKZ151" s="255"/>
      <c r="ALA151" s="255"/>
      <c r="ALB151" s="255"/>
      <c r="ALC151" s="255"/>
      <c r="ALD151" s="255"/>
      <c r="ALE151" s="255"/>
      <c r="ALF151" s="255"/>
      <c r="ALG151" s="255"/>
      <c r="ALH151" s="255"/>
      <c r="ALI151" s="255"/>
      <c r="ALJ151" s="255"/>
      <c r="ALK151" s="255"/>
      <c r="ALL151" s="42"/>
      <c r="ALM151" s="42"/>
      <c r="ALN151" s="42"/>
      <c r="ALO151" s="42"/>
      <c r="ALP151" s="42"/>
      <c r="ALQ151" s="42"/>
      <c r="ALR151" s="42"/>
      <c r="ALS151" s="42"/>
      <c r="ALT151" s="42"/>
    </row>
    <row r="152" spans="1:1008" s="191" customFormat="1" ht="24">
      <c r="A152" s="251" t="s">
        <v>7</v>
      </c>
      <c r="B152" s="328">
        <v>88497</v>
      </c>
      <c r="C152" s="301" t="str">
        <f>(IF($A152="SINAPI",INDEX(SINAPI_NOV2020_NDES!$A$7:$H$6703,MATCH($B152,SINAPI_NOV2020_NDES!$A$7:$A$6703,0),2),IF($A152="GOINFRA",INDEX(#REF!,MATCH($B152,#REF!,0),2),(INDEX(COMPOS!$A$4:$G$390,MATCH($B152,COMPOS!$A$4:A$390,0),2)))))</f>
        <v>APLICAÇÃO E LIXAMENTO DE MASSA LÁTEX EM PAREDES, DUAS DEMÃOS. AF_06/2014</v>
      </c>
      <c r="D152" s="274" t="str">
        <f>(IF($A152="SINAPI",INDEX(SINAPI_NOV2020_NDES!$A$7:$H$6790,MATCH($B152,SINAPI_NOV2020_NDES!$A$7:$A$6790,0),3),(INDEX(COMPOS!$A$4:$G$5000,MATCH($B152,COMPOS!$A$4:$A$5000,0),3))))</f>
        <v>M2</v>
      </c>
      <c r="E152" s="276">
        <v>18.47</v>
      </c>
      <c r="F152" s="279">
        <f>(IF($A152="SINAPI",INDEX(SINAPI_NOV2020_NDES!$A$7:$H$6703,MATCH($B152,SINAPI_NOV2020_NDES!$A$7:$A$6703,0),5),(INDEX(COMPOS!$A$4:$G$801,MATCH($B152,COMPOS!$A$4:A$801,0),4))))</f>
        <v>6.56</v>
      </c>
      <c r="G152" s="280">
        <f>(IF($A152="SINAPI",INDEX(SINAPI_NOV2020_NDES!$A$7:$H$6703,MATCH($B152,SINAPI_NOV2020_NDES!$A$7:$A$6703,0),6),(INDEX(COMPOS!$A$4:$G$801,MATCH($B152,COMPOS!$A$4:A$801,0),5))))</f>
        <v>4.76</v>
      </c>
      <c r="H152" s="280">
        <f>(IF($A152="SINAPI",INDEX(SINAPI_NOV2020_NDES!$A$7:$H$6703,MATCH($B152,SINAPI_NOV2020_NDES!$A$7:$A$6703,0),7),(INDEX(COMPOS!$A$4:$G$801,MATCH($B152,COMPOS!$A$4:A$801,0),6))))</f>
        <v>0</v>
      </c>
      <c r="I152" s="279">
        <f t="shared" si="50"/>
        <v>11.32</v>
      </c>
      <c r="J152" s="276">
        <f t="shared" si="51"/>
        <v>209.0804</v>
      </c>
      <c r="K152" s="255"/>
      <c r="L152" s="255"/>
      <c r="M152" s="255"/>
      <c r="N152" s="255"/>
      <c r="O152" s="257"/>
      <c r="P152" s="223"/>
      <c r="Q152" s="255"/>
      <c r="R152" s="255"/>
      <c r="S152" s="255"/>
      <c r="T152" s="255"/>
      <c r="U152" s="255"/>
      <c r="V152" s="255"/>
      <c r="W152" s="255"/>
      <c r="X152" s="255"/>
      <c r="Y152" s="255"/>
      <c r="Z152" s="255"/>
      <c r="AA152" s="255"/>
      <c r="AB152" s="255"/>
      <c r="AC152" s="255"/>
      <c r="AD152" s="255"/>
      <c r="AE152" s="255"/>
      <c r="AF152" s="255"/>
      <c r="AG152" s="255"/>
      <c r="AH152" s="255"/>
      <c r="AI152" s="255"/>
      <c r="AJ152" s="255"/>
      <c r="AK152" s="255"/>
      <c r="AL152" s="255"/>
      <c r="AM152" s="255"/>
      <c r="AN152" s="255"/>
      <c r="AO152" s="255"/>
      <c r="AP152" s="255"/>
      <c r="AQ152" s="255"/>
      <c r="AR152" s="255"/>
      <c r="AS152" s="255"/>
      <c r="AT152" s="255"/>
      <c r="AU152" s="255"/>
      <c r="AV152" s="255"/>
      <c r="AW152" s="255"/>
      <c r="AX152" s="255"/>
      <c r="AY152" s="255"/>
      <c r="AZ152" s="255"/>
      <c r="BA152" s="255"/>
      <c r="BB152" s="255"/>
      <c r="BC152" s="255"/>
      <c r="BD152" s="255"/>
      <c r="BE152" s="255"/>
      <c r="BF152" s="255"/>
      <c r="BG152" s="255"/>
      <c r="BH152" s="255"/>
      <c r="BI152" s="255"/>
      <c r="BJ152" s="255"/>
      <c r="BK152" s="255"/>
      <c r="BL152" s="255"/>
      <c r="BM152" s="255"/>
      <c r="BN152" s="255"/>
      <c r="BO152" s="255"/>
      <c r="BP152" s="255"/>
      <c r="BQ152" s="255"/>
      <c r="BR152" s="255"/>
      <c r="BS152" s="255"/>
      <c r="BT152" s="255"/>
      <c r="BU152" s="255"/>
      <c r="BV152" s="255"/>
      <c r="BW152" s="255"/>
      <c r="BX152" s="255"/>
      <c r="BY152" s="255"/>
      <c r="BZ152" s="255"/>
      <c r="CA152" s="255"/>
      <c r="CB152" s="255"/>
      <c r="CC152" s="255"/>
      <c r="CD152" s="255"/>
      <c r="CE152" s="255"/>
      <c r="CF152" s="255"/>
      <c r="CG152" s="255"/>
      <c r="CH152" s="255"/>
      <c r="CI152" s="255"/>
      <c r="CJ152" s="255"/>
      <c r="CK152" s="255"/>
      <c r="CL152" s="255"/>
      <c r="CM152" s="255"/>
      <c r="CN152" s="255"/>
      <c r="CO152" s="255"/>
      <c r="CP152" s="255"/>
      <c r="CQ152" s="255"/>
      <c r="CR152" s="255"/>
      <c r="CS152" s="255"/>
      <c r="CT152" s="255"/>
      <c r="CU152" s="255"/>
      <c r="CV152" s="255"/>
      <c r="CW152" s="255"/>
      <c r="CX152" s="255"/>
      <c r="CY152" s="255"/>
      <c r="CZ152" s="255"/>
      <c r="DA152" s="255"/>
      <c r="DB152" s="255"/>
      <c r="DC152" s="255"/>
      <c r="DD152" s="255"/>
      <c r="DE152" s="255"/>
      <c r="DF152" s="255"/>
      <c r="DG152" s="255"/>
      <c r="DH152" s="255"/>
      <c r="DI152" s="255"/>
      <c r="DJ152" s="255"/>
      <c r="DK152" s="255"/>
      <c r="DL152" s="255"/>
      <c r="DM152" s="255"/>
      <c r="DN152" s="255"/>
      <c r="DO152" s="255"/>
      <c r="DP152" s="255"/>
      <c r="DQ152" s="255"/>
      <c r="DR152" s="255"/>
      <c r="DS152" s="255"/>
      <c r="DT152" s="255"/>
      <c r="DU152" s="255"/>
      <c r="DV152" s="255"/>
      <c r="DW152" s="255"/>
      <c r="DX152" s="255"/>
      <c r="DY152" s="255"/>
      <c r="DZ152" s="255"/>
      <c r="EA152" s="255"/>
      <c r="EB152" s="255"/>
      <c r="EC152" s="255"/>
      <c r="ED152" s="255"/>
      <c r="EE152" s="255"/>
      <c r="EF152" s="255"/>
      <c r="EG152" s="255"/>
      <c r="EH152" s="255"/>
      <c r="EI152" s="255"/>
      <c r="EJ152" s="255"/>
      <c r="EK152" s="255"/>
      <c r="EL152" s="255"/>
      <c r="EM152" s="255"/>
      <c r="EN152" s="255"/>
      <c r="EO152" s="255"/>
      <c r="EP152" s="255"/>
      <c r="EQ152" s="255"/>
      <c r="ER152" s="255"/>
      <c r="ES152" s="255"/>
      <c r="ET152" s="255"/>
      <c r="EU152" s="255"/>
      <c r="EV152" s="255"/>
      <c r="EW152" s="255"/>
      <c r="EX152" s="255"/>
      <c r="EY152" s="255"/>
      <c r="EZ152" s="255"/>
      <c r="FA152" s="255"/>
      <c r="FB152" s="255"/>
      <c r="FC152" s="255"/>
      <c r="FD152" s="255"/>
      <c r="FE152" s="255"/>
      <c r="FF152" s="255"/>
      <c r="FG152" s="255"/>
      <c r="FH152" s="255"/>
      <c r="FI152" s="255"/>
      <c r="FJ152" s="255"/>
      <c r="FK152" s="255"/>
      <c r="FL152" s="255"/>
      <c r="FM152" s="255"/>
      <c r="FN152" s="255"/>
      <c r="FO152" s="255"/>
      <c r="FP152" s="255"/>
      <c r="FQ152" s="255"/>
      <c r="FR152" s="255"/>
      <c r="FS152" s="255"/>
      <c r="FT152" s="255"/>
      <c r="FU152" s="255"/>
      <c r="FV152" s="255"/>
      <c r="FW152" s="255"/>
      <c r="FX152" s="255"/>
      <c r="FY152" s="255"/>
      <c r="FZ152" s="255"/>
      <c r="GA152" s="255"/>
      <c r="GB152" s="255"/>
      <c r="GC152" s="255"/>
      <c r="GD152" s="255"/>
      <c r="GE152" s="255"/>
      <c r="GF152" s="255"/>
      <c r="GG152" s="255"/>
      <c r="GH152" s="255"/>
      <c r="GI152" s="255"/>
      <c r="GJ152" s="255"/>
      <c r="GK152" s="255"/>
      <c r="GL152" s="255"/>
      <c r="GM152" s="255"/>
      <c r="GN152" s="255"/>
      <c r="GO152" s="255"/>
      <c r="GP152" s="255"/>
      <c r="GQ152" s="255"/>
      <c r="GR152" s="255"/>
      <c r="GS152" s="255"/>
      <c r="GT152" s="255"/>
      <c r="GU152" s="255"/>
      <c r="GV152" s="255"/>
      <c r="GW152" s="255"/>
      <c r="GX152" s="255"/>
      <c r="GY152" s="255"/>
      <c r="GZ152" s="255"/>
      <c r="HA152" s="255"/>
      <c r="HB152" s="255"/>
      <c r="HC152" s="255"/>
      <c r="HD152" s="255"/>
      <c r="HE152" s="255"/>
      <c r="HF152" s="255"/>
      <c r="HG152" s="255"/>
      <c r="HH152" s="255"/>
      <c r="HI152" s="255"/>
      <c r="HJ152" s="255"/>
      <c r="HK152" s="255"/>
      <c r="HL152" s="255"/>
      <c r="HM152" s="255"/>
      <c r="HN152" s="255"/>
      <c r="HO152" s="255"/>
      <c r="HP152" s="255"/>
      <c r="HQ152" s="255"/>
      <c r="HR152" s="255"/>
      <c r="HS152" s="255"/>
      <c r="HT152" s="255"/>
      <c r="HU152" s="255"/>
      <c r="HV152" s="255"/>
      <c r="HW152" s="255"/>
      <c r="HX152" s="255"/>
      <c r="HY152" s="255"/>
      <c r="HZ152" s="255"/>
      <c r="IA152" s="255"/>
      <c r="IB152" s="255"/>
      <c r="IC152" s="255"/>
      <c r="ID152" s="255"/>
      <c r="IE152" s="255"/>
      <c r="IF152" s="255"/>
      <c r="IG152" s="255"/>
      <c r="IH152" s="255"/>
      <c r="II152" s="255"/>
      <c r="IJ152" s="255"/>
      <c r="IK152" s="255"/>
      <c r="IL152" s="255"/>
      <c r="IM152" s="255"/>
      <c r="IN152" s="255"/>
      <c r="IO152" s="255"/>
      <c r="IP152" s="255"/>
      <c r="IQ152" s="255"/>
      <c r="IR152" s="255"/>
      <c r="IS152" s="255"/>
      <c r="IT152" s="255"/>
      <c r="IU152" s="255"/>
      <c r="IV152" s="255"/>
      <c r="IW152" s="255"/>
      <c r="IX152" s="255"/>
      <c r="IY152" s="255"/>
      <c r="IZ152" s="255"/>
      <c r="JA152" s="255"/>
      <c r="JB152" s="255"/>
      <c r="JC152" s="255"/>
      <c r="JD152" s="255"/>
      <c r="JE152" s="255"/>
      <c r="JF152" s="255"/>
      <c r="JG152" s="255"/>
      <c r="JH152" s="255"/>
      <c r="JI152" s="255"/>
      <c r="JJ152" s="255"/>
      <c r="JK152" s="255"/>
      <c r="JL152" s="255"/>
      <c r="JM152" s="255"/>
      <c r="JN152" s="255"/>
      <c r="JO152" s="255"/>
      <c r="JP152" s="255"/>
      <c r="JQ152" s="255"/>
      <c r="JR152" s="255"/>
      <c r="JS152" s="255"/>
      <c r="JT152" s="255"/>
      <c r="JU152" s="255"/>
      <c r="JV152" s="255"/>
      <c r="JW152" s="255"/>
      <c r="JX152" s="255"/>
      <c r="JY152" s="255"/>
      <c r="JZ152" s="255"/>
      <c r="KA152" s="255"/>
      <c r="KB152" s="255"/>
      <c r="KC152" s="255"/>
      <c r="KD152" s="255"/>
      <c r="KE152" s="255"/>
      <c r="KF152" s="255"/>
      <c r="KG152" s="255"/>
      <c r="KH152" s="255"/>
      <c r="KI152" s="255"/>
      <c r="KJ152" s="255"/>
      <c r="KK152" s="255"/>
      <c r="KL152" s="255"/>
      <c r="KM152" s="255"/>
      <c r="KN152" s="255"/>
      <c r="KO152" s="255"/>
      <c r="KP152" s="255"/>
      <c r="KQ152" s="255"/>
      <c r="KR152" s="255"/>
      <c r="KS152" s="255"/>
      <c r="KT152" s="255"/>
      <c r="KU152" s="255"/>
      <c r="KV152" s="255"/>
      <c r="KW152" s="255"/>
      <c r="KX152" s="255"/>
      <c r="KY152" s="255"/>
      <c r="KZ152" s="255"/>
      <c r="LA152" s="255"/>
      <c r="LB152" s="255"/>
      <c r="LC152" s="255"/>
      <c r="LD152" s="255"/>
      <c r="LE152" s="255"/>
      <c r="LF152" s="255"/>
      <c r="LG152" s="255"/>
      <c r="LH152" s="255"/>
      <c r="LI152" s="255"/>
      <c r="LJ152" s="255"/>
      <c r="LK152" s="255"/>
      <c r="LL152" s="255"/>
      <c r="LM152" s="255"/>
      <c r="LN152" s="255"/>
      <c r="LO152" s="255"/>
      <c r="LP152" s="255"/>
      <c r="LQ152" s="255"/>
      <c r="LR152" s="255"/>
      <c r="LS152" s="255"/>
      <c r="LT152" s="255"/>
      <c r="LU152" s="255"/>
      <c r="LV152" s="255"/>
      <c r="LW152" s="255"/>
      <c r="LX152" s="255"/>
      <c r="LY152" s="255"/>
      <c r="LZ152" s="255"/>
      <c r="MA152" s="255"/>
      <c r="MB152" s="255"/>
      <c r="MC152" s="255"/>
      <c r="MD152" s="255"/>
      <c r="ME152" s="255"/>
      <c r="MF152" s="255"/>
      <c r="MG152" s="255"/>
      <c r="MH152" s="255"/>
      <c r="MI152" s="255"/>
      <c r="MJ152" s="255"/>
      <c r="MK152" s="255"/>
      <c r="ML152" s="255"/>
      <c r="MM152" s="255"/>
      <c r="MN152" s="255"/>
      <c r="MO152" s="255"/>
      <c r="MP152" s="255"/>
      <c r="MQ152" s="255"/>
      <c r="MR152" s="255"/>
      <c r="MS152" s="255"/>
      <c r="MT152" s="255"/>
      <c r="MU152" s="255"/>
      <c r="MV152" s="255"/>
      <c r="MW152" s="255"/>
      <c r="MX152" s="255"/>
      <c r="MY152" s="255"/>
      <c r="MZ152" s="255"/>
      <c r="NA152" s="255"/>
      <c r="NB152" s="255"/>
      <c r="NC152" s="255"/>
      <c r="ND152" s="255"/>
      <c r="NE152" s="255"/>
      <c r="NF152" s="255"/>
      <c r="NG152" s="255"/>
      <c r="NH152" s="255"/>
      <c r="NI152" s="255"/>
      <c r="NJ152" s="255"/>
      <c r="NK152" s="255"/>
      <c r="NL152" s="255"/>
      <c r="NM152" s="255"/>
      <c r="NN152" s="255"/>
      <c r="NO152" s="255"/>
      <c r="NP152" s="255"/>
      <c r="NQ152" s="255"/>
      <c r="NR152" s="255"/>
      <c r="NS152" s="255"/>
      <c r="NT152" s="255"/>
      <c r="NU152" s="255"/>
      <c r="NV152" s="255"/>
      <c r="NW152" s="255"/>
      <c r="NX152" s="255"/>
      <c r="NY152" s="255"/>
      <c r="NZ152" s="255"/>
      <c r="OA152" s="255"/>
      <c r="OB152" s="255"/>
      <c r="OC152" s="255"/>
      <c r="OD152" s="255"/>
      <c r="OE152" s="255"/>
      <c r="OF152" s="255"/>
      <c r="OG152" s="255"/>
      <c r="OH152" s="255"/>
      <c r="OI152" s="255"/>
      <c r="OJ152" s="255"/>
      <c r="OK152" s="255"/>
      <c r="OL152" s="255"/>
      <c r="OM152" s="255"/>
      <c r="ON152" s="255"/>
      <c r="OO152" s="255"/>
      <c r="OP152" s="255"/>
      <c r="OQ152" s="255"/>
      <c r="OR152" s="255"/>
      <c r="OS152" s="255"/>
      <c r="OT152" s="255"/>
      <c r="OU152" s="255"/>
      <c r="OV152" s="255"/>
      <c r="OW152" s="255"/>
      <c r="OX152" s="255"/>
      <c r="OY152" s="255"/>
      <c r="OZ152" s="255"/>
      <c r="PA152" s="255"/>
      <c r="PB152" s="255"/>
      <c r="PC152" s="255"/>
      <c r="PD152" s="255"/>
      <c r="PE152" s="255"/>
      <c r="PF152" s="255"/>
      <c r="PG152" s="255"/>
      <c r="PH152" s="255"/>
      <c r="PI152" s="255"/>
      <c r="PJ152" s="255"/>
      <c r="PK152" s="255"/>
      <c r="PL152" s="255"/>
      <c r="PM152" s="255"/>
      <c r="PN152" s="255"/>
      <c r="PO152" s="255"/>
      <c r="PP152" s="255"/>
      <c r="PQ152" s="255"/>
      <c r="PR152" s="255"/>
      <c r="PS152" s="255"/>
      <c r="PT152" s="255"/>
      <c r="PU152" s="255"/>
      <c r="PV152" s="255"/>
      <c r="PW152" s="255"/>
      <c r="PX152" s="255"/>
      <c r="PY152" s="255"/>
      <c r="PZ152" s="255"/>
      <c r="QA152" s="255"/>
      <c r="QB152" s="255"/>
      <c r="QC152" s="255"/>
      <c r="QD152" s="255"/>
      <c r="QE152" s="255"/>
      <c r="QF152" s="255"/>
      <c r="QG152" s="255"/>
      <c r="QH152" s="255"/>
      <c r="QI152" s="255"/>
      <c r="QJ152" s="255"/>
      <c r="QK152" s="255"/>
      <c r="QL152" s="255"/>
      <c r="QM152" s="255"/>
      <c r="QN152" s="255"/>
      <c r="QO152" s="255"/>
      <c r="QP152" s="255"/>
      <c r="QQ152" s="255"/>
      <c r="QR152" s="255"/>
      <c r="QS152" s="255"/>
      <c r="QT152" s="255"/>
      <c r="QU152" s="255"/>
      <c r="QV152" s="255"/>
      <c r="QW152" s="255"/>
      <c r="QX152" s="255"/>
      <c r="QY152" s="255"/>
      <c r="QZ152" s="255"/>
      <c r="RA152" s="255"/>
      <c r="RB152" s="255"/>
      <c r="RC152" s="255"/>
      <c r="RD152" s="255"/>
      <c r="RE152" s="255"/>
      <c r="RF152" s="255"/>
      <c r="RG152" s="255"/>
      <c r="RH152" s="255"/>
      <c r="RI152" s="255"/>
      <c r="RJ152" s="255"/>
      <c r="RK152" s="255"/>
      <c r="RL152" s="255"/>
      <c r="RM152" s="255"/>
      <c r="RN152" s="255"/>
      <c r="RO152" s="255"/>
      <c r="RP152" s="255"/>
      <c r="RQ152" s="255"/>
      <c r="RR152" s="255"/>
      <c r="RS152" s="255"/>
      <c r="RT152" s="255"/>
      <c r="RU152" s="255"/>
      <c r="RV152" s="255"/>
      <c r="RW152" s="255"/>
      <c r="RX152" s="255"/>
      <c r="RY152" s="255"/>
      <c r="RZ152" s="255"/>
      <c r="SA152" s="255"/>
      <c r="SB152" s="255"/>
      <c r="SC152" s="255"/>
      <c r="SD152" s="255"/>
      <c r="SE152" s="255"/>
      <c r="SF152" s="255"/>
      <c r="SG152" s="255"/>
      <c r="SH152" s="255"/>
      <c r="SI152" s="255"/>
      <c r="SJ152" s="255"/>
      <c r="SK152" s="255"/>
      <c r="SL152" s="255"/>
      <c r="SM152" s="255"/>
      <c r="SN152" s="255"/>
      <c r="SO152" s="255"/>
      <c r="SP152" s="255"/>
      <c r="SQ152" s="255"/>
      <c r="SR152" s="255"/>
      <c r="SS152" s="255"/>
      <c r="ST152" s="255"/>
      <c r="SU152" s="255"/>
      <c r="SV152" s="255"/>
      <c r="SW152" s="255"/>
      <c r="SX152" s="255"/>
      <c r="SY152" s="255"/>
      <c r="SZ152" s="255"/>
      <c r="TA152" s="255"/>
      <c r="TB152" s="255"/>
      <c r="TC152" s="255"/>
      <c r="TD152" s="255"/>
      <c r="TE152" s="255"/>
      <c r="TF152" s="255"/>
      <c r="TG152" s="255"/>
      <c r="TH152" s="255"/>
      <c r="TI152" s="255"/>
      <c r="TJ152" s="255"/>
      <c r="TK152" s="255"/>
      <c r="TL152" s="255"/>
      <c r="TM152" s="255"/>
      <c r="TN152" s="255"/>
      <c r="TO152" s="255"/>
      <c r="TP152" s="255"/>
      <c r="TQ152" s="255"/>
      <c r="TR152" s="255"/>
      <c r="TS152" s="255"/>
      <c r="TT152" s="255"/>
      <c r="TU152" s="255"/>
      <c r="TV152" s="255"/>
      <c r="TW152" s="255"/>
      <c r="TX152" s="255"/>
      <c r="TY152" s="255"/>
      <c r="TZ152" s="255"/>
      <c r="UA152" s="255"/>
      <c r="UB152" s="255"/>
      <c r="UC152" s="255"/>
      <c r="UD152" s="255"/>
      <c r="UE152" s="255"/>
      <c r="UF152" s="255"/>
      <c r="UG152" s="255"/>
      <c r="UH152" s="255"/>
      <c r="UI152" s="255"/>
      <c r="UJ152" s="255"/>
      <c r="UK152" s="255"/>
      <c r="UL152" s="255"/>
      <c r="UM152" s="255"/>
      <c r="UN152" s="255"/>
      <c r="UO152" s="255"/>
      <c r="UP152" s="255"/>
      <c r="UQ152" s="255"/>
      <c r="UR152" s="255"/>
      <c r="US152" s="255"/>
      <c r="UT152" s="255"/>
      <c r="UU152" s="255"/>
      <c r="UV152" s="255"/>
      <c r="UW152" s="255"/>
      <c r="UX152" s="255"/>
      <c r="UY152" s="255"/>
      <c r="UZ152" s="255"/>
      <c r="VA152" s="255"/>
      <c r="VB152" s="255"/>
      <c r="VC152" s="255"/>
      <c r="VD152" s="255"/>
      <c r="VE152" s="255"/>
      <c r="VF152" s="255"/>
      <c r="VG152" s="255"/>
      <c r="VH152" s="255"/>
      <c r="VI152" s="255"/>
      <c r="VJ152" s="255"/>
      <c r="VK152" s="255"/>
      <c r="VL152" s="255"/>
      <c r="VM152" s="255"/>
      <c r="VN152" s="255"/>
      <c r="VO152" s="255"/>
      <c r="VP152" s="255"/>
      <c r="VQ152" s="255"/>
      <c r="VR152" s="255"/>
      <c r="VS152" s="255"/>
      <c r="VT152" s="255"/>
      <c r="VU152" s="255"/>
      <c r="VV152" s="255"/>
      <c r="VW152" s="255"/>
      <c r="VX152" s="255"/>
      <c r="VY152" s="255"/>
      <c r="VZ152" s="255"/>
      <c r="WA152" s="255"/>
      <c r="WB152" s="255"/>
      <c r="WC152" s="255"/>
      <c r="WD152" s="255"/>
      <c r="WE152" s="255"/>
      <c r="WF152" s="255"/>
      <c r="WG152" s="255"/>
      <c r="WH152" s="255"/>
      <c r="WI152" s="255"/>
      <c r="WJ152" s="255"/>
      <c r="WK152" s="255"/>
      <c r="WL152" s="255"/>
      <c r="WM152" s="255"/>
      <c r="WN152" s="255"/>
      <c r="WO152" s="255"/>
      <c r="WP152" s="255"/>
      <c r="WQ152" s="255"/>
      <c r="WR152" s="255"/>
      <c r="WS152" s="255"/>
      <c r="WT152" s="255"/>
      <c r="WU152" s="255"/>
      <c r="WV152" s="255"/>
      <c r="WW152" s="255"/>
      <c r="WX152" s="255"/>
      <c r="WY152" s="255"/>
      <c r="WZ152" s="255"/>
      <c r="XA152" s="255"/>
      <c r="XB152" s="255"/>
      <c r="XC152" s="255"/>
      <c r="XD152" s="255"/>
      <c r="XE152" s="255"/>
      <c r="XF152" s="255"/>
      <c r="XG152" s="255"/>
      <c r="XH152" s="255"/>
      <c r="XI152" s="255"/>
      <c r="XJ152" s="255"/>
      <c r="XK152" s="255"/>
      <c r="XL152" s="255"/>
      <c r="XM152" s="255"/>
      <c r="XN152" s="255"/>
      <c r="XO152" s="255"/>
      <c r="XP152" s="255"/>
      <c r="XQ152" s="255"/>
      <c r="XR152" s="255"/>
      <c r="XS152" s="255"/>
      <c r="XT152" s="255"/>
      <c r="XU152" s="255"/>
      <c r="XV152" s="255"/>
      <c r="XW152" s="255"/>
      <c r="XX152" s="255"/>
      <c r="XY152" s="255"/>
      <c r="XZ152" s="255"/>
      <c r="YA152" s="255"/>
      <c r="YB152" s="255"/>
      <c r="YC152" s="255"/>
      <c r="YD152" s="255"/>
      <c r="YE152" s="255"/>
      <c r="YF152" s="255"/>
      <c r="YG152" s="255"/>
      <c r="YH152" s="255"/>
      <c r="YI152" s="255"/>
      <c r="YJ152" s="255"/>
      <c r="YK152" s="255"/>
      <c r="YL152" s="255"/>
      <c r="YM152" s="255"/>
      <c r="YN152" s="255"/>
      <c r="YO152" s="255"/>
      <c r="YP152" s="255"/>
      <c r="YQ152" s="255"/>
      <c r="YR152" s="255"/>
      <c r="YS152" s="255"/>
      <c r="YT152" s="255"/>
      <c r="YU152" s="255"/>
      <c r="YV152" s="255"/>
      <c r="YW152" s="255"/>
      <c r="YX152" s="255"/>
      <c r="YY152" s="255"/>
      <c r="YZ152" s="255"/>
      <c r="ZA152" s="255"/>
      <c r="ZB152" s="255"/>
      <c r="ZC152" s="255"/>
      <c r="ZD152" s="255"/>
      <c r="ZE152" s="255"/>
      <c r="ZF152" s="255"/>
      <c r="ZG152" s="255"/>
      <c r="ZH152" s="255"/>
      <c r="ZI152" s="255"/>
      <c r="ZJ152" s="255"/>
      <c r="ZK152" s="255"/>
      <c r="ZL152" s="255"/>
      <c r="ZM152" s="255"/>
      <c r="ZN152" s="255"/>
      <c r="ZO152" s="255"/>
      <c r="ZP152" s="255"/>
      <c r="ZQ152" s="255"/>
      <c r="ZR152" s="255"/>
      <c r="ZS152" s="255"/>
      <c r="ZT152" s="255"/>
      <c r="ZU152" s="255"/>
      <c r="ZV152" s="255"/>
      <c r="ZW152" s="255"/>
      <c r="ZX152" s="255"/>
      <c r="ZY152" s="255"/>
      <c r="ZZ152" s="255"/>
      <c r="AAA152" s="255"/>
      <c r="AAB152" s="255"/>
      <c r="AAC152" s="255"/>
      <c r="AAD152" s="255"/>
      <c r="AAE152" s="255"/>
      <c r="AAF152" s="255"/>
      <c r="AAG152" s="255"/>
      <c r="AAH152" s="255"/>
      <c r="AAI152" s="255"/>
      <c r="AAJ152" s="255"/>
      <c r="AAK152" s="255"/>
      <c r="AAL152" s="255"/>
      <c r="AAM152" s="255"/>
      <c r="AAN152" s="255"/>
      <c r="AAO152" s="255"/>
      <c r="AAP152" s="255"/>
      <c r="AAQ152" s="255"/>
      <c r="AAR152" s="255"/>
      <c r="AAS152" s="255"/>
      <c r="AAT152" s="255"/>
      <c r="AAU152" s="255"/>
      <c r="AAV152" s="255"/>
      <c r="AAW152" s="255"/>
      <c r="AAX152" s="255"/>
      <c r="AAY152" s="255"/>
      <c r="AAZ152" s="255"/>
      <c r="ABA152" s="255"/>
      <c r="ABB152" s="255"/>
      <c r="ABC152" s="255"/>
      <c r="ABD152" s="255"/>
      <c r="ABE152" s="255"/>
      <c r="ABF152" s="255"/>
      <c r="ABG152" s="255"/>
      <c r="ABH152" s="255"/>
      <c r="ABI152" s="255"/>
      <c r="ABJ152" s="255"/>
      <c r="ABK152" s="255"/>
      <c r="ABL152" s="255"/>
      <c r="ABM152" s="255"/>
      <c r="ABN152" s="255"/>
      <c r="ABO152" s="255"/>
      <c r="ABP152" s="255"/>
      <c r="ABQ152" s="255"/>
      <c r="ABR152" s="255"/>
      <c r="ABS152" s="255"/>
      <c r="ABT152" s="255"/>
      <c r="ABU152" s="255"/>
      <c r="ABV152" s="255"/>
      <c r="ABW152" s="255"/>
      <c r="ABX152" s="255"/>
      <c r="ABY152" s="255"/>
      <c r="ABZ152" s="255"/>
      <c r="ACA152" s="255"/>
      <c r="ACB152" s="255"/>
      <c r="ACC152" s="255"/>
      <c r="ACD152" s="255"/>
      <c r="ACE152" s="255"/>
      <c r="ACF152" s="255"/>
      <c r="ACG152" s="255"/>
      <c r="ACH152" s="255"/>
      <c r="ACI152" s="255"/>
      <c r="ACJ152" s="255"/>
      <c r="ACK152" s="255"/>
      <c r="ACL152" s="255"/>
      <c r="ACM152" s="255"/>
      <c r="ACN152" s="255"/>
      <c r="ACO152" s="255"/>
      <c r="ACP152" s="255"/>
      <c r="ACQ152" s="255"/>
      <c r="ACR152" s="255"/>
      <c r="ACS152" s="255"/>
      <c r="ACT152" s="255"/>
      <c r="ACU152" s="255"/>
      <c r="ACV152" s="255"/>
      <c r="ACW152" s="255"/>
      <c r="ACX152" s="255"/>
      <c r="ACY152" s="255"/>
      <c r="ACZ152" s="255"/>
      <c r="ADA152" s="255"/>
      <c r="ADB152" s="255"/>
      <c r="ADC152" s="255"/>
      <c r="ADD152" s="255"/>
      <c r="ADE152" s="255"/>
      <c r="ADF152" s="255"/>
      <c r="ADG152" s="255"/>
      <c r="ADH152" s="255"/>
      <c r="ADI152" s="255"/>
      <c r="ADJ152" s="255"/>
      <c r="ADK152" s="255"/>
      <c r="ADL152" s="255"/>
      <c r="ADM152" s="255"/>
      <c r="ADN152" s="255"/>
      <c r="ADO152" s="255"/>
      <c r="ADP152" s="255"/>
      <c r="ADQ152" s="255"/>
      <c r="ADR152" s="255"/>
      <c r="ADS152" s="255"/>
      <c r="ADT152" s="255"/>
      <c r="ADU152" s="255"/>
      <c r="ADV152" s="255"/>
      <c r="ADW152" s="255"/>
      <c r="ADX152" s="255"/>
      <c r="ADY152" s="255"/>
      <c r="ADZ152" s="255"/>
      <c r="AEA152" s="255"/>
      <c r="AEB152" s="255"/>
      <c r="AEC152" s="255"/>
      <c r="AED152" s="255"/>
      <c r="AEE152" s="255"/>
      <c r="AEF152" s="255"/>
      <c r="AEG152" s="255"/>
      <c r="AEH152" s="255"/>
      <c r="AEI152" s="255"/>
      <c r="AEJ152" s="255"/>
      <c r="AEK152" s="255"/>
      <c r="AEL152" s="255"/>
      <c r="AEM152" s="255"/>
      <c r="AEN152" s="255"/>
      <c r="AEO152" s="255"/>
      <c r="AEP152" s="255"/>
      <c r="AEQ152" s="255"/>
      <c r="AER152" s="255"/>
      <c r="AES152" s="255"/>
      <c r="AET152" s="255"/>
      <c r="AEU152" s="255"/>
      <c r="AEV152" s="255"/>
      <c r="AEW152" s="255"/>
      <c r="AEX152" s="255"/>
      <c r="AEY152" s="255"/>
      <c r="AEZ152" s="255"/>
      <c r="AFA152" s="255"/>
      <c r="AFB152" s="255"/>
      <c r="AFC152" s="255"/>
      <c r="AFD152" s="255"/>
      <c r="AFE152" s="255"/>
      <c r="AFF152" s="255"/>
      <c r="AFG152" s="255"/>
      <c r="AFH152" s="255"/>
      <c r="AFI152" s="255"/>
      <c r="AFJ152" s="255"/>
      <c r="AFK152" s="255"/>
      <c r="AFL152" s="255"/>
      <c r="AFM152" s="255"/>
      <c r="AFN152" s="255"/>
      <c r="AFO152" s="255"/>
      <c r="AFP152" s="255"/>
      <c r="AFQ152" s="255"/>
      <c r="AFR152" s="255"/>
      <c r="AFS152" s="255"/>
      <c r="AFT152" s="255"/>
      <c r="AFU152" s="255"/>
      <c r="AFV152" s="255"/>
      <c r="AFW152" s="255"/>
      <c r="AFX152" s="255"/>
      <c r="AFY152" s="255"/>
      <c r="AFZ152" s="255"/>
      <c r="AGA152" s="255"/>
      <c r="AGB152" s="255"/>
      <c r="AGC152" s="255"/>
      <c r="AGD152" s="255"/>
      <c r="AGE152" s="255"/>
      <c r="AGF152" s="255"/>
      <c r="AGG152" s="255"/>
      <c r="AGH152" s="255"/>
      <c r="AGI152" s="255"/>
      <c r="AGJ152" s="255"/>
      <c r="AGK152" s="255"/>
      <c r="AGL152" s="255"/>
      <c r="AGM152" s="255"/>
      <c r="AGN152" s="255"/>
      <c r="AGO152" s="255"/>
      <c r="AGP152" s="255"/>
      <c r="AGQ152" s="255"/>
      <c r="AGR152" s="255"/>
      <c r="AGS152" s="255"/>
      <c r="AGT152" s="255"/>
      <c r="AGU152" s="255"/>
      <c r="AGV152" s="255"/>
      <c r="AGW152" s="255"/>
      <c r="AGX152" s="255"/>
      <c r="AGY152" s="255"/>
      <c r="AGZ152" s="255"/>
      <c r="AHA152" s="255"/>
      <c r="AHB152" s="255"/>
      <c r="AHC152" s="255"/>
      <c r="AHD152" s="255"/>
      <c r="AHE152" s="255"/>
      <c r="AHF152" s="255"/>
      <c r="AHG152" s="255"/>
      <c r="AHH152" s="255"/>
      <c r="AHI152" s="255"/>
      <c r="AHJ152" s="255"/>
      <c r="AHK152" s="255"/>
      <c r="AHL152" s="255"/>
      <c r="AHM152" s="255"/>
      <c r="AHN152" s="255"/>
      <c r="AHO152" s="255"/>
      <c r="AHP152" s="255"/>
      <c r="AHQ152" s="255"/>
      <c r="AHR152" s="255"/>
      <c r="AHS152" s="255"/>
      <c r="AHT152" s="255"/>
      <c r="AHU152" s="255"/>
      <c r="AHV152" s="255"/>
      <c r="AHW152" s="255"/>
      <c r="AHX152" s="255"/>
      <c r="AHY152" s="255"/>
      <c r="AHZ152" s="255"/>
      <c r="AIA152" s="255"/>
      <c r="AIB152" s="255"/>
      <c r="AIC152" s="255"/>
      <c r="AID152" s="255"/>
      <c r="AIE152" s="255"/>
      <c r="AIF152" s="255"/>
      <c r="AIG152" s="255"/>
      <c r="AIH152" s="255"/>
      <c r="AII152" s="255"/>
      <c r="AIJ152" s="255"/>
      <c r="AIK152" s="255"/>
      <c r="AIL152" s="255"/>
      <c r="AIM152" s="255"/>
      <c r="AIN152" s="255"/>
      <c r="AIO152" s="255"/>
      <c r="AIP152" s="255"/>
      <c r="AIQ152" s="255"/>
      <c r="AIR152" s="255"/>
      <c r="AIS152" s="255"/>
      <c r="AIT152" s="255"/>
      <c r="AIU152" s="255"/>
      <c r="AIV152" s="255"/>
      <c r="AIW152" s="255"/>
      <c r="AIX152" s="255"/>
      <c r="AIY152" s="255"/>
      <c r="AIZ152" s="255"/>
      <c r="AJA152" s="255"/>
      <c r="AJB152" s="255"/>
      <c r="AJC152" s="255"/>
      <c r="AJD152" s="255"/>
      <c r="AJE152" s="255"/>
      <c r="AJF152" s="255"/>
      <c r="AJG152" s="255"/>
      <c r="AJH152" s="255"/>
      <c r="AJI152" s="255"/>
      <c r="AJJ152" s="255"/>
      <c r="AJK152" s="255"/>
      <c r="AJL152" s="255"/>
      <c r="AJM152" s="255"/>
      <c r="AJN152" s="255"/>
      <c r="AJO152" s="255"/>
      <c r="AJP152" s="255"/>
      <c r="AJQ152" s="255"/>
      <c r="AJR152" s="255"/>
      <c r="AJS152" s="255"/>
      <c r="AJT152" s="255"/>
      <c r="AJU152" s="255"/>
      <c r="AJV152" s="255"/>
      <c r="AJW152" s="255"/>
      <c r="AJX152" s="255"/>
      <c r="AJY152" s="255"/>
      <c r="AJZ152" s="255"/>
      <c r="AKA152" s="255"/>
      <c r="AKB152" s="255"/>
      <c r="AKC152" s="255"/>
      <c r="AKD152" s="255"/>
      <c r="AKE152" s="255"/>
      <c r="AKF152" s="255"/>
      <c r="AKG152" s="255"/>
      <c r="AKH152" s="255"/>
      <c r="AKI152" s="255"/>
      <c r="AKJ152" s="255"/>
      <c r="AKK152" s="255"/>
      <c r="AKL152" s="255"/>
      <c r="AKM152" s="255"/>
      <c r="AKN152" s="255"/>
      <c r="AKO152" s="255"/>
      <c r="AKP152" s="255"/>
      <c r="AKQ152" s="255"/>
      <c r="AKR152" s="255"/>
      <c r="AKS152" s="255"/>
      <c r="AKT152" s="255"/>
      <c r="AKU152" s="255"/>
      <c r="AKV152" s="255"/>
      <c r="AKW152" s="255"/>
      <c r="AKX152" s="255"/>
      <c r="AKY152" s="255"/>
      <c r="AKZ152" s="255"/>
      <c r="ALA152" s="255"/>
      <c r="ALB152" s="255"/>
      <c r="ALC152" s="255"/>
      <c r="ALD152" s="255"/>
      <c r="ALE152" s="255"/>
      <c r="ALF152" s="255"/>
      <c r="ALG152" s="255"/>
      <c r="ALH152" s="255"/>
      <c r="ALI152" s="255"/>
      <c r="ALJ152" s="255"/>
      <c r="ALK152" s="255"/>
      <c r="ALL152" s="42"/>
      <c r="ALM152" s="42"/>
      <c r="ALN152" s="42"/>
      <c r="ALO152" s="42"/>
      <c r="ALP152" s="42"/>
      <c r="ALQ152" s="42"/>
      <c r="ALR152" s="42"/>
      <c r="ALS152" s="42"/>
      <c r="ALT152" s="42"/>
    </row>
    <row r="153" spans="1:1008" s="191" customFormat="1" ht="24">
      <c r="A153" s="251" t="s">
        <v>7</v>
      </c>
      <c r="B153" s="328">
        <v>88489</v>
      </c>
      <c r="C153" s="301" t="str">
        <f>(IF($A153="SINAPI",INDEX(SINAPI_NOV2020_NDES!$A$7:$H$6703,MATCH($B153,SINAPI_NOV2020_NDES!$A$7:$A$6703,0),2),IF($A153="GOINFRA",INDEX(#REF!,MATCH($B153,#REF!,0),2),(INDEX(COMPOS!$A$4:$G$390,MATCH($B153,COMPOS!$A$4:A$390,0),2)))))</f>
        <v>APLICAÇÃO MANUAL DE PINTURA COM TINTA LÁTEX ACRÍLICA EM PAREDES, DUAS DEMÃOS. AF_06/2014</v>
      </c>
      <c r="D153" s="274" t="str">
        <f>(IF($A153="SINAPI",INDEX(SINAPI_NOV2020_NDES!$A$7:$H$6790,MATCH($B153,SINAPI_NOV2020_NDES!$A$7:$A$6790,0),3),(INDEX(COMPOS!$A$4:$G$5000,MATCH($B153,COMPOS!$A$4:$A$5000,0),3))))</f>
        <v>M2</v>
      </c>
      <c r="E153" s="276">
        <v>18.47</v>
      </c>
      <c r="F153" s="279">
        <f>(IF($A153="SINAPI",INDEX(SINAPI_NOV2020_NDES!$A$7:$H$6703,MATCH($B153,SINAPI_NOV2020_NDES!$A$7:$A$6703,0),5),(INDEX(COMPOS!$A$4:$G$801,MATCH($B153,COMPOS!$A$4:A$801,0),4))))</f>
        <v>3.93</v>
      </c>
      <c r="G153" s="280">
        <f>(IF($A153="SINAPI",INDEX(SINAPI_NOV2020_NDES!$A$7:$H$6703,MATCH($B153,SINAPI_NOV2020_NDES!$A$7:$A$6703,0),6),(INDEX(COMPOS!$A$4:$G$801,MATCH($B153,COMPOS!$A$4:A$801,0),5))))</f>
        <v>8.56</v>
      </c>
      <c r="H153" s="280">
        <f>(IF($A153="SINAPI",INDEX(SINAPI_NOV2020_NDES!$A$7:$H$6703,MATCH($B153,SINAPI_NOV2020_NDES!$A$7:$A$6703,0),7),(INDEX(COMPOS!$A$4:$G$801,MATCH($B153,COMPOS!$A$4:A$801,0),6))))</f>
        <v>0</v>
      </c>
      <c r="I153" s="279">
        <f t="shared" si="50"/>
        <v>12.49</v>
      </c>
      <c r="J153" s="276">
        <f t="shared" si="51"/>
        <v>230.69029999999998</v>
      </c>
      <c r="K153" s="255"/>
      <c r="L153" s="255"/>
      <c r="M153" s="255"/>
      <c r="N153" s="255"/>
      <c r="O153" s="257"/>
      <c r="P153" s="223"/>
      <c r="Q153" s="255"/>
      <c r="R153" s="255"/>
      <c r="S153" s="255"/>
      <c r="T153" s="255"/>
      <c r="U153" s="255"/>
      <c r="V153" s="255"/>
      <c r="W153" s="255"/>
      <c r="X153" s="255"/>
      <c r="Y153" s="255"/>
      <c r="Z153" s="255"/>
      <c r="AA153" s="255"/>
      <c r="AB153" s="255"/>
      <c r="AC153" s="255"/>
      <c r="AD153" s="255"/>
      <c r="AE153" s="255"/>
      <c r="AF153" s="255"/>
      <c r="AG153" s="255"/>
      <c r="AH153" s="255"/>
      <c r="AI153" s="255"/>
      <c r="AJ153" s="255"/>
      <c r="AK153" s="255"/>
      <c r="AL153" s="255"/>
      <c r="AM153" s="255"/>
      <c r="AN153" s="255"/>
      <c r="AO153" s="255"/>
      <c r="AP153" s="255"/>
      <c r="AQ153" s="255"/>
      <c r="AR153" s="255"/>
      <c r="AS153" s="255"/>
      <c r="AT153" s="255"/>
      <c r="AU153" s="255"/>
      <c r="AV153" s="255"/>
      <c r="AW153" s="255"/>
      <c r="AX153" s="255"/>
      <c r="AY153" s="255"/>
      <c r="AZ153" s="255"/>
      <c r="BA153" s="255"/>
      <c r="BB153" s="255"/>
      <c r="BC153" s="255"/>
      <c r="BD153" s="255"/>
      <c r="BE153" s="255"/>
      <c r="BF153" s="255"/>
      <c r="BG153" s="255"/>
      <c r="BH153" s="255"/>
      <c r="BI153" s="255"/>
      <c r="BJ153" s="255"/>
      <c r="BK153" s="255"/>
      <c r="BL153" s="255"/>
      <c r="BM153" s="255"/>
      <c r="BN153" s="255"/>
      <c r="BO153" s="255"/>
      <c r="BP153" s="255"/>
      <c r="BQ153" s="255"/>
      <c r="BR153" s="255"/>
      <c r="BS153" s="255"/>
      <c r="BT153" s="255"/>
      <c r="BU153" s="255"/>
      <c r="BV153" s="255"/>
      <c r="BW153" s="255"/>
      <c r="BX153" s="255"/>
      <c r="BY153" s="255"/>
      <c r="BZ153" s="255"/>
      <c r="CA153" s="255"/>
      <c r="CB153" s="255"/>
      <c r="CC153" s="255"/>
      <c r="CD153" s="255"/>
      <c r="CE153" s="255"/>
      <c r="CF153" s="255"/>
      <c r="CG153" s="255"/>
      <c r="CH153" s="255"/>
      <c r="CI153" s="255"/>
      <c r="CJ153" s="255"/>
      <c r="CK153" s="255"/>
      <c r="CL153" s="255"/>
      <c r="CM153" s="255"/>
      <c r="CN153" s="255"/>
      <c r="CO153" s="255"/>
      <c r="CP153" s="255"/>
      <c r="CQ153" s="255"/>
      <c r="CR153" s="255"/>
      <c r="CS153" s="255"/>
      <c r="CT153" s="255"/>
      <c r="CU153" s="255"/>
      <c r="CV153" s="255"/>
      <c r="CW153" s="255"/>
      <c r="CX153" s="255"/>
      <c r="CY153" s="255"/>
      <c r="CZ153" s="255"/>
      <c r="DA153" s="255"/>
      <c r="DB153" s="255"/>
      <c r="DC153" s="255"/>
      <c r="DD153" s="255"/>
      <c r="DE153" s="255"/>
      <c r="DF153" s="255"/>
      <c r="DG153" s="255"/>
      <c r="DH153" s="255"/>
      <c r="DI153" s="255"/>
      <c r="DJ153" s="255"/>
      <c r="DK153" s="255"/>
      <c r="DL153" s="255"/>
      <c r="DM153" s="255"/>
      <c r="DN153" s="255"/>
      <c r="DO153" s="255"/>
      <c r="DP153" s="255"/>
      <c r="DQ153" s="255"/>
      <c r="DR153" s="255"/>
      <c r="DS153" s="255"/>
      <c r="DT153" s="255"/>
      <c r="DU153" s="255"/>
      <c r="DV153" s="255"/>
      <c r="DW153" s="255"/>
      <c r="DX153" s="255"/>
      <c r="DY153" s="255"/>
      <c r="DZ153" s="255"/>
      <c r="EA153" s="255"/>
      <c r="EB153" s="255"/>
      <c r="EC153" s="255"/>
      <c r="ED153" s="255"/>
      <c r="EE153" s="255"/>
      <c r="EF153" s="255"/>
      <c r="EG153" s="255"/>
      <c r="EH153" s="255"/>
      <c r="EI153" s="255"/>
      <c r="EJ153" s="255"/>
      <c r="EK153" s="255"/>
      <c r="EL153" s="255"/>
      <c r="EM153" s="255"/>
      <c r="EN153" s="255"/>
      <c r="EO153" s="255"/>
      <c r="EP153" s="255"/>
      <c r="EQ153" s="255"/>
      <c r="ER153" s="255"/>
      <c r="ES153" s="255"/>
      <c r="ET153" s="255"/>
      <c r="EU153" s="255"/>
      <c r="EV153" s="255"/>
      <c r="EW153" s="255"/>
      <c r="EX153" s="255"/>
      <c r="EY153" s="255"/>
      <c r="EZ153" s="255"/>
      <c r="FA153" s="255"/>
      <c r="FB153" s="255"/>
      <c r="FC153" s="255"/>
      <c r="FD153" s="255"/>
      <c r="FE153" s="255"/>
      <c r="FF153" s="255"/>
      <c r="FG153" s="255"/>
      <c r="FH153" s="255"/>
      <c r="FI153" s="255"/>
      <c r="FJ153" s="255"/>
      <c r="FK153" s="255"/>
      <c r="FL153" s="255"/>
      <c r="FM153" s="255"/>
      <c r="FN153" s="255"/>
      <c r="FO153" s="255"/>
      <c r="FP153" s="255"/>
      <c r="FQ153" s="255"/>
      <c r="FR153" s="255"/>
      <c r="FS153" s="255"/>
      <c r="FT153" s="255"/>
      <c r="FU153" s="255"/>
      <c r="FV153" s="255"/>
      <c r="FW153" s="255"/>
      <c r="FX153" s="255"/>
      <c r="FY153" s="255"/>
      <c r="FZ153" s="255"/>
      <c r="GA153" s="255"/>
      <c r="GB153" s="255"/>
      <c r="GC153" s="255"/>
      <c r="GD153" s="255"/>
      <c r="GE153" s="255"/>
      <c r="GF153" s="255"/>
      <c r="GG153" s="255"/>
      <c r="GH153" s="255"/>
      <c r="GI153" s="255"/>
      <c r="GJ153" s="255"/>
      <c r="GK153" s="255"/>
      <c r="GL153" s="255"/>
      <c r="GM153" s="255"/>
      <c r="GN153" s="255"/>
      <c r="GO153" s="255"/>
      <c r="GP153" s="255"/>
      <c r="GQ153" s="255"/>
      <c r="GR153" s="255"/>
      <c r="GS153" s="255"/>
      <c r="GT153" s="255"/>
      <c r="GU153" s="255"/>
      <c r="GV153" s="255"/>
      <c r="GW153" s="255"/>
      <c r="GX153" s="255"/>
      <c r="GY153" s="255"/>
      <c r="GZ153" s="255"/>
      <c r="HA153" s="255"/>
      <c r="HB153" s="255"/>
      <c r="HC153" s="255"/>
      <c r="HD153" s="255"/>
      <c r="HE153" s="255"/>
      <c r="HF153" s="255"/>
      <c r="HG153" s="255"/>
      <c r="HH153" s="255"/>
      <c r="HI153" s="255"/>
      <c r="HJ153" s="255"/>
      <c r="HK153" s="255"/>
      <c r="HL153" s="255"/>
      <c r="HM153" s="255"/>
      <c r="HN153" s="255"/>
      <c r="HO153" s="255"/>
      <c r="HP153" s="255"/>
      <c r="HQ153" s="255"/>
      <c r="HR153" s="255"/>
      <c r="HS153" s="255"/>
      <c r="HT153" s="255"/>
      <c r="HU153" s="255"/>
      <c r="HV153" s="255"/>
      <c r="HW153" s="255"/>
      <c r="HX153" s="255"/>
      <c r="HY153" s="255"/>
      <c r="HZ153" s="255"/>
      <c r="IA153" s="255"/>
      <c r="IB153" s="255"/>
      <c r="IC153" s="255"/>
      <c r="ID153" s="255"/>
      <c r="IE153" s="255"/>
      <c r="IF153" s="255"/>
      <c r="IG153" s="255"/>
      <c r="IH153" s="255"/>
      <c r="II153" s="255"/>
      <c r="IJ153" s="255"/>
      <c r="IK153" s="255"/>
      <c r="IL153" s="255"/>
      <c r="IM153" s="255"/>
      <c r="IN153" s="255"/>
      <c r="IO153" s="255"/>
      <c r="IP153" s="255"/>
      <c r="IQ153" s="255"/>
      <c r="IR153" s="255"/>
      <c r="IS153" s="255"/>
      <c r="IT153" s="255"/>
      <c r="IU153" s="255"/>
      <c r="IV153" s="255"/>
      <c r="IW153" s="255"/>
      <c r="IX153" s="255"/>
      <c r="IY153" s="255"/>
      <c r="IZ153" s="255"/>
      <c r="JA153" s="255"/>
      <c r="JB153" s="255"/>
      <c r="JC153" s="255"/>
      <c r="JD153" s="255"/>
      <c r="JE153" s="255"/>
      <c r="JF153" s="255"/>
      <c r="JG153" s="255"/>
      <c r="JH153" s="255"/>
      <c r="JI153" s="255"/>
      <c r="JJ153" s="255"/>
      <c r="JK153" s="255"/>
      <c r="JL153" s="255"/>
      <c r="JM153" s="255"/>
      <c r="JN153" s="255"/>
      <c r="JO153" s="255"/>
      <c r="JP153" s="255"/>
      <c r="JQ153" s="255"/>
      <c r="JR153" s="255"/>
      <c r="JS153" s="255"/>
      <c r="JT153" s="255"/>
      <c r="JU153" s="255"/>
      <c r="JV153" s="255"/>
      <c r="JW153" s="255"/>
      <c r="JX153" s="255"/>
      <c r="JY153" s="255"/>
      <c r="JZ153" s="255"/>
      <c r="KA153" s="255"/>
      <c r="KB153" s="255"/>
      <c r="KC153" s="255"/>
      <c r="KD153" s="255"/>
      <c r="KE153" s="255"/>
      <c r="KF153" s="255"/>
      <c r="KG153" s="255"/>
      <c r="KH153" s="255"/>
      <c r="KI153" s="255"/>
      <c r="KJ153" s="255"/>
      <c r="KK153" s="255"/>
      <c r="KL153" s="255"/>
      <c r="KM153" s="255"/>
      <c r="KN153" s="255"/>
      <c r="KO153" s="255"/>
      <c r="KP153" s="255"/>
      <c r="KQ153" s="255"/>
      <c r="KR153" s="255"/>
      <c r="KS153" s="255"/>
      <c r="KT153" s="255"/>
      <c r="KU153" s="255"/>
      <c r="KV153" s="255"/>
      <c r="KW153" s="255"/>
      <c r="KX153" s="255"/>
      <c r="KY153" s="255"/>
      <c r="KZ153" s="255"/>
      <c r="LA153" s="255"/>
      <c r="LB153" s="255"/>
      <c r="LC153" s="255"/>
      <c r="LD153" s="255"/>
      <c r="LE153" s="255"/>
      <c r="LF153" s="255"/>
      <c r="LG153" s="255"/>
      <c r="LH153" s="255"/>
      <c r="LI153" s="255"/>
      <c r="LJ153" s="255"/>
      <c r="LK153" s="255"/>
      <c r="LL153" s="255"/>
      <c r="LM153" s="255"/>
      <c r="LN153" s="255"/>
      <c r="LO153" s="255"/>
      <c r="LP153" s="255"/>
      <c r="LQ153" s="255"/>
      <c r="LR153" s="255"/>
      <c r="LS153" s="255"/>
      <c r="LT153" s="255"/>
      <c r="LU153" s="255"/>
      <c r="LV153" s="255"/>
      <c r="LW153" s="255"/>
      <c r="LX153" s="255"/>
      <c r="LY153" s="255"/>
      <c r="LZ153" s="255"/>
      <c r="MA153" s="255"/>
      <c r="MB153" s="255"/>
      <c r="MC153" s="255"/>
      <c r="MD153" s="255"/>
      <c r="ME153" s="255"/>
      <c r="MF153" s="255"/>
      <c r="MG153" s="255"/>
      <c r="MH153" s="255"/>
      <c r="MI153" s="255"/>
      <c r="MJ153" s="255"/>
      <c r="MK153" s="255"/>
      <c r="ML153" s="255"/>
      <c r="MM153" s="255"/>
      <c r="MN153" s="255"/>
      <c r="MO153" s="255"/>
      <c r="MP153" s="255"/>
      <c r="MQ153" s="255"/>
      <c r="MR153" s="255"/>
      <c r="MS153" s="255"/>
      <c r="MT153" s="255"/>
      <c r="MU153" s="255"/>
      <c r="MV153" s="255"/>
      <c r="MW153" s="255"/>
      <c r="MX153" s="255"/>
      <c r="MY153" s="255"/>
      <c r="MZ153" s="255"/>
      <c r="NA153" s="255"/>
      <c r="NB153" s="255"/>
      <c r="NC153" s="255"/>
      <c r="ND153" s="255"/>
      <c r="NE153" s="255"/>
      <c r="NF153" s="255"/>
      <c r="NG153" s="255"/>
      <c r="NH153" s="255"/>
      <c r="NI153" s="255"/>
      <c r="NJ153" s="255"/>
      <c r="NK153" s="255"/>
      <c r="NL153" s="255"/>
      <c r="NM153" s="255"/>
      <c r="NN153" s="255"/>
      <c r="NO153" s="255"/>
      <c r="NP153" s="255"/>
      <c r="NQ153" s="255"/>
      <c r="NR153" s="255"/>
      <c r="NS153" s="255"/>
      <c r="NT153" s="255"/>
      <c r="NU153" s="255"/>
      <c r="NV153" s="255"/>
      <c r="NW153" s="255"/>
      <c r="NX153" s="255"/>
      <c r="NY153" s="255"/>
      <c r="NZ153" s="255"/>
      <c r="OA153" s="255"/>
      <c r="OB153" s="255"/>
      <c r="OC153" s="255"/>
      <c r="OD153" s="255"/>
      <c r="OE153" s="255"/>
      <c r="OF153" s="255"/>
      <c r="OG153" s="255"/>
      <c r="OH153" s="255"/>
      <c r="OI153" s="255"/>
      <c r="OJ153" s="255"/>
      <c r="OK153" s="255"/>
      <c r="OL153" s="255"/>
      <c r="OM153" s="255"/>
      <c r="ON153" s="255"/>
      <c r="OO153" s="255"/>
      <c r="OP153" s="255"/>
      <c r="OQ153" s="255"/>
      <c r="OR153" s="255"/>
      <c r="OS153" s="255"/>
      <c r="OT153" s="255"/>
      <c r="OU153" s="255"/>
      <c r="OV153" s="255"/>
      <c r="OW153" s="255"/>
      <c r="OX153" s="255"/>
      <c r="OY153" s="255"/>
      <c r="OZ153" s="255"/>
      <c r="PA153" s="255"/>
      <c r="PB153" s="255"/>
      <c r="PC153" s="255"/>
      <c r="PD153" s="255"/>
      <c r="PE153" s="255"/>
      <c r="PF153" s="255"/>
      <c r="PG153" s="255"/>
      <c r="PH153" s="255"/>
      <c r="PI153" s="255"/>
      <c r="PJ153" s="255"/>
      <c r="PK153" s="255"/>
      <c r="PL153" s="255"/>
      <c r="PM153" s="255"/>
      <c r="PN153" s="255"/>
      <c r="PO153" s="255"/>
      <c r="PP153" s="255"/>
      <c r="PQ153" s="255"/>
      <c r="PR153" s="255"/>
      <c r="PS153" s="255"/>
      <c r="PT153" s="255"/>
      <c r="PU153" s="255"/>
      <c r="PV153" s="255"/>
      <c r="PW153" s="255"/>
      <c r="PX153" s="255"/>
      <c r="PY153" s="255"/>
      <c r="PZ153" s="255"/>
      <c r="QA153" s="255"/>
      <c r="QB153" s="255"/>
      <c r="QC153" s="255"/>
      <c r="QD153" s="255"/>
      <c r="QE153" s="255"/>
      <c r="QF153" s="255"/>
      <c r="QG153" s="255"/>
      <c r="QH153" s="255"/>
      <c r="QI153" s="255"/>
      <c r="QJ153" s="255"/>
      <c r="QK153" s="255"/>
      <c r="QL153" s="255"/>
      <c r="QM153" s="255"/>
      <c r="QN153" s="255"/>
      <c r="QO153" s="255"/>
      <c r="QP153" s="255"/>
      <c r="QQ153" s="255"/>
      <c r="QR153" s="255"/>
      <c r="QS153" s="255"/>
      <c r="QT153" s="255"/>
      <c r="QU153" s="255"/>
      <c r="QV153" s="255"/>
      <c r="QW153" s="255"/>
      <c r="QX153" s="255"/>
      <c r="QY153" s="255"/>
      <c r="QZ153" s="255"/>
      <c r="RA153" s="255"/>
      <c r="RB153" s="255"/>
      <c r="RC153" s="255"/>
      <c r="RD153" s="255"/>
      <c r="RE153" s="255"/>
      <c r="RF153" s="255"/>
      <c r="RG153" s="255"/>
      <c r="RH153" s="255"/>
      <c r="RI153" s="255"/>
      <c r="RJ153" s="255"/>
      <c r="RK153" s="255"/>
      <c r="RL153" s="255"/>
      <c r="RM153" s="255"/>
      <c r="RN153" s="255"/>
      <c r="RO153" s="255"/>
      <c r="RP153" s="255"/>
      <c r="RQ153" s="255"/>
      <c r="RR153" s="255"/>
      <c r="RS153" s="255"/>
      <c r="RT153" s="255"/>
      <c r="RU153" s="255"/>
      <c r="RV153" s="255"/>
      <c r="RW153" s="255"/>
      <c r="RX153" s="255"/>
      <c r="RY153" s="255"/>
      <c r="RZ153" s="255"/>
      <c r="SA153" s="255"/>
      <c r="SB153" s="255"/>
      <c r="SC153" s="255"/>
      <c r="SD153" s="255"/>
      <c r="SE153" s="255"/>
      <c r="SF153" s="255"/>
      <c r="SG153" s="255"/>
      <c r="SH153" s="255"/>
      <c r="SI153" s="255"/>
      <c r="SJ153" s="255"/>
      <c r="SK153" s="255"/>
      <c r="SL153" s="255"/>
      <c r="SM153" s="255"/>
      <c r="SN153" s="255"/>
      <c r="SO153" s="255"/>
      <c r="SP153" s="255"/>
      <c r="SQ153" s="255"/>
      <c r="SR153" s="255"/>
      <c r="SS153" s="255"/>
      <c r="ST153" s="255"/>
      <c r="SU153" s="255"/>
      <c r="SV153" s="255"/>
      <c r="SW153" s="255"/>
      <c r="SX153" s="255"/>
      <c r="SY153" s="255"/>
      <c r="SZ153" s="255"/>
      <c r="TA153" s="255"/>
      <c r="TB153" s="255"/>
      <c r="TC153" s="255"/>
      <c r="TD153" s="255"/>
      <c r="TE153" s="255"/>
      <c r="TF153" s="255"/>
      <c r="TG153" s="255"/>
      <c r="TH153" s="255"/>
      <c r="TI153" s="255"/>
      <c r="TJ153" s="255"/>
      <c r="TK153" s="255"/>
      <c r="TL153" s="255"/>
      <c r="TM153" s="255"/>
      <c r="TN153" s="255"/>
      <c r="TO153" s="255"/>
      <c r="TP153" s="255"/>
      <c r="TQ153" s="255"/>
      <c r="TR153" s="255"/>
      <c r="TS153" s="255"/>
      <c r="TT153" s="255"/>
      <c r="TU153" s="255"/>
      <c r="TV153" s="255"/>
      <c r="TW153" s="255"/>
      <c r="TX153" s="255"/>
      <c r="TY153" s="255"/>
      <c r="TZ153" s="255"/>
      <c r="UA153" s="255"/>
      <c r="UB153" s="255"/>
      <c r="UC153" s="255"/>
      <c r="UD153" s="255"/>
      <c r="UE153" s="255"/>
      <c r="UF153" s="255"/>
      <c r="UG153" s="255"/>
      <c r="UH153" s="255"/>
      <c r="UI153" s="255"/>
      <c r="UJ153" s="255"/>
      <c r="UK153" s="255"/>
      <c r="UL153" s="255"/>
      <c r="UM153" s="255"/>
      <c r="UN153" s="255"/>
      <c r="UO153" s="255"/>
      <c r="UP153" s="255"/>
      <c r="UQ153" s="255"/>
      <c r="UR153" s="255"/>
      <c r="US153" s="255"/>
      <c r="UT153" s="255"/>
      <c r="UU153" s="255"/>
      <c r="UV153" s="255"/>
      <c r="UW153" s="255"/>
      <c r="UX153" s="255"/>
      <c r="UY153" s="255"/>
      <c r="UZ153" s="255"/>
      <c r="VA153" s="255"/>
      <c r="VB153" s="255"/>
      <c r="VC153" s="255"/>
      <c r="VD153" s="255"/>
      <c r="VE153" s="255"/>
      <c r="VF153" s="255"/>
      <c r="VG153" s="255"/>
      <c r="VH153" s="255"/>
      <c r="VI153" s="255"/>
      <c r="VJ153" s="255"/>
      <c r="VK153" s="255"/>
      <c r="VL153" s="255"/>
      <c r="VM153" s="255"/>
      <c r="VN153" s="255"/>
      <c r="VO153" s="255"/>
      <c r="VP153" s="255"/>
      <c r="VQ153" s="255"/>
      <c r="VR153" s="255"/>
      <c r="VS153" s="255"/>
      <c r="VT153" s="255"/>
      <c r="VU153" s="255"/>
      <c r="VV153" s="255"/>
      <c r="VW153" s="255"/>
      <c r="VX153" s="255"/>
      <c r="VY153" s="255"/>
      <c r="VZ153" s="255"/>
      <c r="WA153" s="255"/>
      <c r="WB153" s="255"/>
      <c r="WC153" s="255"/>
      <c r="WD153" s="255"/>
      <c r="WE153" s="255"/>
      <c r="WF153" s="255"/>
      <c r="WG153" s="255"/>
      <c r="WH153" s="255"/>
      <c r="WI153" s="255"/>
      <c r="WJ153" s="255"/>
      <c r="WK153" s="255"/>
      <c r="WL153" s="255"/>
      <c r="WM153" s="255"/>
      <c r="WN153" s="255"/>
      <c r="WO153" s="255"/>
      <c r="WP153" s="255"/>
      <c r="WQ153" s="255"/>
      <c r="WR153" s="255"/>
      <c r="WS153" s="255"/>
      <c r="WT153" s="255"/>
      <c r="WU153" s="255"/>
      <c r="WV153" s="255"/>
      <c r="WW153" s="255"/>
      <c r="WX153" s="255"/>
      <c r="WY153" s="255"/>
      <c r="WZ153" s="255"/>
      <c r="XA153" s="255"/>
      <c r="XB153" s="255"/>
      <c r="XC153" s="255"/>
      <c r="XD153" s="255"/>
      <c r="XE153" s="255"/>
      <c r="XF153" s="255"/>
      <c r="XG153" s="255"/>
      <c r="XH153" s="255"/>
      <c r="XI153" s="255"/>
      <c r="XJ153" s="255"/>
      <c r="XK153" s="255"/>
      <c r="XL153" s="255"/>
      <c r="XM153" s="255"/>
      <c r="XN153" s="255"/>
      <c r="XO153" s="255"/>
      <c r="XP153" s="255"/>
      <c r="XQ153" s="255"/>
      <c r="XR153" s="255"/>
      <c r="XS153" s="255"/>
      <c r="XT153" s="255"/>
      <c r="XU153" s="255"/>
      <c r="XV153" s="255"/>
      <c r="XW153" s="255"/>
      <c r="XX153" s="255"/>
      <c r="XY153" s="255"/>
      <c r="XZ153" s="255"/>
      <c r="YA153" s="255"/>
      <c r="YB153" s="255"/>
      <c r="YC153" s="255"/>
      <c r="YD153" s="255"/>
      <c r="YE153" s="255"/>
      <c r="YF153" s="255"/>
      <c r="YG153" s="255"/>
      <c r="YH153" s="255"/>
      <c r="YI153" s="255"/>
      <c r="YJ153" s="255"/>
      <c r="YK153" s="255"/>
      <c r="YL153" s="255"/>
      <c r="YM153" s="255"/>
      <c r="YN153" s="255"/>
      <c r="YO153" s="255"/>
      <c r="YP153" s="255"/>
      <c r="YQ153" s="255"/>
      <c r="YR153" s="255"/>
      <c r="YS153" s="255"/>
      <c r="YT153" s="255"/>
      <c r="YU153" s="255"/>
      <c r="YV153" s="255"/>
      <c r="YW153" s="255"/>
      <c r="YX153" s="255"/>
      <c r="YY153" s="255"/>
      <c r="YZ153" s="255"/>
      <c r="ZA153" s="255"/>
      <c r="ZB153" s="255"/>
      <c r="ZC153" s="255"/>
      <c r="ZD153" s="255"/>
      <c r="ZE153" s="255"/>
      <c r="ZF153" s="255"/>
      <c r="ZG153" s="255"/>
      <c r="ZH153" s="255"/>
      <c r="ZI153" s="255"/>
      <c r="ZJ153" s="255"/>
      <c r="ZK153" s="255"/>
      <c r="ZL153" s="255"/>
      <c r="ZM153" s="255"/>
      <c r="ZN153" s="255"/>
      <c r="ZO153" s="255"/>
      <c r="ZP153" s="255"/>
      <c r="ZQ153" s="255"/>
      <c r="ZR153" s="255"/>
      <c r="ZS153" s="255"/>
      <c r="ZT153" s="255"/>
      <c r="ZU153" s="255"/>
      <c r="ZV153" s="255"/>
      <c r="ZW153" s="255"/>
      <c r="ZX153" s="255"/>
      <c r="ZY153" s="255"/>
      <c r="ZZ153" s="255"/>
      <c r="AAA153" s="255"/>
      <c r="AAB153" s="255"/>
      <c r="AAC153" s="255"/>
      <c r="AAD153" s="255"/>
      <c r="AAE153" s="255"/>
      <c r="AAF153" s="255"/>
      <c r="AAG153" s="255"/>
      <c r="AAH153" s="255"/>
      <c r="AAI153" s="255"/>
      <c r="AAJ153" s="255"/>
      <c r="AAK153" s="255"/>
      <c r="AAL153" s="255"/>
      <c r="AAM153" s="255"/>
      <c r="AAN153" s="255"/>
      <c r="AAO153" s="255"/>
      <c r="AAP153" s="255"/>
      <c r="AAQ153" s="255"/>
      <c r="AAR153" s="255"/>
      <c r="AAS153" s="255"/>
      <c r="AAT153" s="255"/>
      <c r="AAU153" s="255"/>
      <c r="AAV153" s="255"/>
      <c r="AAW153" s="255"/>
      <c r="AAX153" s="255"/>
      <c r="AAY153" s="255"/>
      <c r="AAZ153" s="255"/>
      <c r="ABA153" s="255"/>
      <c r="ABB153" s="255"/>
      <c r="ABC153" s="255"/>
      <c r="ABD153" s="255"/>
      <c r="ABE153" s="255"/>
      <c r="ABF153" s="255"/>
      <c r="ABG153" s="255"/>
      <c r="ABH153" s="255"/>
      <c r="ABI153" s="255"/>
      <c r="ABJ153" s="255"/>
      <c r="ABK153" s="255"/>
      <c r="ABL153" s="255"/>
      <c r="ABM153" s="255"/>
      <c r="ABN153" s="255"/>
      <c r="ABO153" s="255"/>
      <c r="ABP153" s="255"/>
      <c r="ABQ153" s="255"/>
      <c r="ABR153" s="255"/>
      <c r="ABS153" s="255"/>
      <c r="ABT153" s="255"/>
      <c r="ABU153" s="255"/>
      <c r="ABV153" s="255"/>
      <c r="ABW153" s="255"/>
      <c r="ABX153" s="255"/>
      <c r="ABY153" s="255"/>
      <c r="ABZ153" s="255"/>
      <c r="ACA153" s="255"/>
      <c r="ACB153" s="255"/>
      <c r="ACC153" s="255"/>
      <c r="ACD153" s="255"/>
      <c r="ACE153" s="255"/>
      <c r="ACF153" s="255"/>
      <c r="ACG153" s="255"/>
      <c r="ACH153" s="255"/>
      <c r="ACI153" s="255"/>
      <c r="ACJ153" s="255"/>
      <c r="ACK153" s="255"/>
      <c r="ACL153" s="255"/>
      <c r="ACM153" s="255"/>
      <c r="ACN153" s="255"/>
      <c r="ACO153" s="255"/>
      <c r="ACP153" s="255"/>
      <c r="ACQ153" s="255"/>
      <c r="ACR153" s="255"/>
      <c r="ACS153" s="255"/>
      <c r="ACT153" s="255"/>
      <c r="ACU153" s="255"/>
      <c r="ACV153" s="255"/>
      <c r="ACW153" s="255"/>
      <c r="ACX153" s="255"/>
      <c r="ACY153" s="255"/>
      <c r="ACZ153" s="255"/>
      <c r="ADA153" s="255"/>
      <c r="ADB153" s="255"/>
      <c r="ADC153" s="255"/>
      <c r="ADD153" s="255"/>
      <c r="ADE153" s="255"/>
      <c r="ADF153" s="255"/>
      <c r="ADG153" s="255"/>
      <c r="ADH153" s="255"/>
      <c r="ADI153" s="255"/>
      <c r="ADJ153" s="255"/>
      <c r="ADK153" s="255"/>
      <c r="ADL153" s="255"/>
      <c r="ADM153" s="255"/>
      <c r="ADN153" s="255"/>
      <c r="ADO153" s="255"/>
      <c r="ADP153" s="255"/>
      <c r="ADQ153" s="255"/>
      <c r="ADR153" s="255"/>
      <c r="ADS153" s="255"/>
      <c r="ADT153" s="255"/>
      <c r="ADU153" s="255"/>
      <c r="ADV153" s="255"/>
      <c r="ADW153" s="255"/>
      <c r="ADX153" s="255"/>
      <c r="ADY153" s="255"/>
      <c r="ADZ153" s="255"/>
      <c r="AEA153" s="255"/>
      <c r="AEB153" s="255"/>
      <c r="AEC153" s="255"/>
      <c r="AED153" s="255"/>
      <c r="AEE153" s="255"/>
      <c r="AEF153" s="255"/>
      <c r="AEG153" s="255"/>
      <c r="AEH153" s="255"/>
      <c r="AEI153" s="255"/>
      <c r="AEJ153" s="255"/>
      <c r="AEK153" s="255"/>
      <c r="AEL153" s="255"/>
      <c r="AEM153" s="255"/>
      <c r="AEN153" s="255"/>
      <c r="AEO153" s="255"/>
      <c r="AEP153" s="255"/>
      <c r="AEQ153" s="255"/>
      <c r="AER153" s="255"/>
      <c r="AES153" s="255"/>
      <c r="AET153" s="255"/>
      <c r="AEU153" s="255"/>
      <c r="AEV153" s="255"/>
      <c r="AEW153" s="255"/>
      <c r="AEX153" s="255"/>
      <c r="AEY153" s="255"/>
      <c r="AEZ153" s="255"/>
      <c r="AFA153" s="255"/>
      <c r="AFB153" s="255"/>
      <c r="AFC153" s="255"/>
      <c r="AFD153" s="255"/>
      <c r="AFE153" s="255"/>
      <c r="AFF153" s="255"/>
      <c r="AFG153" s="255"/>
      <c r="AFH153" s="255"/>
      <c r="AFI153" s="255"/>
      <c r="AFJ153" s="255"/>
      <c r="AFK153" s="255"/>
      <c r="AFL153" s="255"/>
      <c r="AFM153" s="255"/>
      <c r="AFN153" s="255"/>
      <c r="AFO153" s="255"/>
      <c r="AFP153" s="255"/>
      <c r="AFQ153" s="255"/>
      <c r="AFR153" s="255"/>
      <c r="AFS153" s="255"/>
      <c r="AFT153" s="255"/>
      <c r="AFU153" s="255"/>
      <c r="AFV153" s="255"/>
      <c r="AFW153" s="255"/>
      <c r="AFX153" s="255"/>
      <c r="AFY153" s="255"/>
      <c r="AFZ153" s="255"/>
      <c r="AGA153" s="255"/>
      <c r="AGB153" s="255"/>
      <c r="AGC153" s="255"/>
      <c r="AGD153" s="255"/>
      <c r="AGE153" s="255"/>
      <c r="AGF153" s="255"/>
      <c r="AGG153" s="255"/>
      <c r="AGH153" s="255"/>
      <c r="AGI153" s="255"/>
      <c r="AGJ153" s="255"/>
      <c r="AGK153" s="255"/>
      <c r="AGL153" s="255"/>
      <c r="AGM153" s="255"/>
      <c r="AGN153" s="255"/>
      <c r="AGO153" s="255"/>
      <c r="AGP153" s="255"/>
      <c r="AGQ153" s="255"/>
      <c r="AGR153" s="255"/>
      <c r="AGS153" s="255"/>
      <c r="AGT153" s="255"/>
      <c r="AGU153" s="255"/>
      <c r="AGV153" s="255"/>
      <c r="AGW153" s="255"/>
      <c r="AGX153" s="255"/>
      <c r="AGY153" s="255"/>
      <c r="AGZ153" s="255"/>
      <c r="AHA153" s="255"/>
      <c r="AHB153" s="255"/>
      <c r="AHC153" s="255"/>
      <c r="AHD153" s="255"/>
      <c r="AHE153" s="255"/>
      <c r="AHF153" s="255"/>
      <c r="AHG153" s="255"/>
      <c r="AHH153" s="255"/>
      <c r="AHI153" s="255"/>
      <c r="AHJ153" s="255"/>
      <c r="AHK153" s="255"/>
      <c r="AHL153" s="255"/>
      <c r="AHM153" s="255"/>
      <c r="AHN153" s="255"/>
      <c r="AHO153" s="255"/>
      <c r="AHP153" s="255"/>
      <c r="AHQ153" s="255"/>
      <c r="AHR153" s="255"/>
      <c r="AHS153" s="255"/>
      <c r="AHT153" s="255"/>
      <c r="AHU153" s="255"/>
      <c r="AHV153" s="255"/>
      <c r="AHW153" s="255"/>
      <c r="AHX153" s="255"/>
      <c r="AHY153" s="255"/>
      <c r="AHZ153" s="255"/>
      <c r="AIA153" s="255"/>
      <c r="AIB153" s="255"/>
      <c r="AIC153" s="255"/>
      <c r="AID153" s="255"/>
      <c r="AIE153" s="255"/>
      <c r="AIF153" s="255"/>
      <c r="AIG153" s="255"/>
      <c r="AIH153" s="255"/>
      <c r="AII153" s="255"/>
      <c r="AIJ153" s="255"/>
      <c r="AIK153" s="255"/>
      <c r="AIL153" s="255"/>
      <c r="AIM153" s="255"/>
      <c r="AIN153" s="255"/>
      <c r="AIO153" s="255"/>
      <c r="AIP153" s="255"/>
      <c r="AIQ153" s="255"/>
      <c r="AIR153" s="255"/>
      <c r="AIS153" s="255"/>
      <c r="AIT153" s="255"/>
      <c r="AIU153" s="255"/>
      <c r="AIV153" s="255"/>
      <c r="AIW153" s="255"/>
      <c r="AIX153" s="255"/>
      <c r="AIY153" s="255"/>
      <c r="AIZ153" s="255"/>
      <c r="AJA153" s="255"/>
      <c r="AJB153" s="255"/>
      <c r="AJC153" s="255"/>
      <c r="AJD153" s="255"/>
      <c r="AJE153" s="255"/>
      <c r="AJF153" s="255"/>
      <c r="AJG153" s="255"/>
      <c r="AJH153" s="255"/>
      <c r="AJI153" s="255"/>
      <c r="AJJ153" s="255"/>
      <c r="AJK153" s="255"/>
      <c r="AJL153" s="255"/>
      <c r="AJM153" s="255"/>
      <c r="AJN153" s="255"/>
      <c r="AJO153" s="255"/>
      <c r="AJP153" s="255"/>
      <c r="AJQ153" s="255"/>
      <c r="AJR153" s="255"/>
      <c r="AJS153" s="255"/>
      <c r="AJT153" s="255"/>
      <c r="AJU153" s="255"/>
      <c r="AJV153" s="255"/>
      <c r="AJW153" s="255"/>
      <c r="AJX153" s="255"/>
      <c r="AJY153" s="255"/>
      <c r="AJZ153" s="255"/>
      <c r="AKA153" s="255"/>
      <c r="AKB153" s="255"/>
      <c r="AKC153" s="255"/>
      <c r="AKD153" s="255"/>
      <c r="AKE153" s="255"/>
      <c r="AKF153" s="255"/>
      <c r="AKG153" s="255"/>
      <c r="AKH153" s="255"/>
      <c r="AKI153" s="255"/>
      <c r="AKJ153" s="255"/>
      <c r="AKK153" s="255"/>
      <c r="AKL153" s="255"/>
      <c r="AKM153" s="255"/>
      <c r="AKN153" s="255"/>
      <c r="AKO153" s="255"/>
      <c r="AKP153" s="255"/>
      <c r="AKQ153" s="255"/>
      <c r="AKR153" s="255"/>
      <c r="AKS153" s="255"/>
      <c r="AKT153" s="255"/>
      <c r="AKU153" s="255"/>
      <c r="AKV153" s="255"/>
      <c r="AKW153" s="255"/>
      <c r="AKX153" s="255"/>
      <c r="AKY153" s="255"/>
      <c r="AKZ153" s="255"/>
      <c r="ALA153" s="255"/>
      <c r="ALB153" s="255"/>
      <c r="ALC153" s="255"/>
      <c r="ALD153" s="255"/>
      <c r="ALE153" s="255"/>
      <c r="ALF153" s="255"/>
      <c r="ALG153" s="255"/>
      <c r="ALH153" s="255"/>
      <c r="ALI153" s="255"/>
      <c r="ALJ153" s="255"/>
      <c r="ALK153" s="255"/>
      <c r="ALL153" s="42"/>
      <c r="ALM153" s="42"/>
      <c r="ALN153" s="42"/>
      <c r="ALO153" s="42"/>
      <c r="ALP153" s="42"/>
      <c r="ALQ153" s="42"/>
      <c r="ALR153" s="42"/>
      <c r="ALS153" s="42"/>
      <c r="ALT153" s="42"/>
    </row>
    <row r="154" spans="1:1008" s="191" customFormat="1" ht="24">
      <c r="A154" s="251" t="s">
        <v>7</v>
      </c>
      <c r="B154" s="328">
        <v>88415</v>
      </c>
      <c r="C154" s="301" t="str">
        <f>(IF($A154="SINAPI",INDEX(SINAPI_NOV2020_NDES!$A$7:$H$6703,MATCH($B154,SINAPI_NOV2020_NDES!$A$7:$A$6703,0),2),IF($A154="GOINFRA",INDEX(#REF!,MATCH($B154,#REF!,0),2),(INDEX(COMPOS!$A$4:$G$390,MATCH($B154,COMPOS!$A$4:A$390,0),2)))))</f>
        <v>APLICAÇÃO MANUAL DE FUNDO SELADOR ACRÍLICO EM PAREDES EXTERNAS DE CASAS. AF_06/2014</v>
      </c>
      <c r="D154" s="274" t="str">
        <f>(IF($A154="SINAPI",INDEX(SINAPI_NOV2020_NDES!$A$7:$H$6790,MATCH($B154,SINAPI_NOV2020_NDES!$A$7:$A$6790,0),3),(INDEX(COMPOS!$A$4:$G$5000,MATCH($B154,COMPOS!$A$4:$A$5000,0),3))))</f>
        <v>M2</v>
      </c>
      <c r="E154" s="276">
        <v>54.87</v>
      </c>
      <c r="F154" s="279">
        <f>(IF($A154="SINAPI",INDEX(SINAPI_NOV2020_NDES!$A$7:$H$6703,MATCH($B154,SINAPI_NOV2020_NDES!$A$7:$A$6703,0),5),(INDEX(COMPOS!$A$4:$G$801,MATCH($B154,COMPOS!$A$4:A$801,0),4))))</f>
        <v>1.07</v>
      </c>
      <c r="G154" s="280">
        <f>(IF($A154="SINAPI",INDEX(SINAPI_NOV2020_NDES!$A$7:$H$6703,MATCH($B154,SINAPI_NOV2020_NDES!$A$7:$A$6703,0),6),(INDEX(COMPOS!$A$4:$G$801,MATCH($B154,COMPOS!$A$4:A$801,0),5))))</f>
        <v>1.51</v>
      </c>
      <c r="H154" s="280">
        <f>(IF($A154="SINAPI",INDEX(SINAPI_NOV2020_NDES!$A$7:$H$6703,MATCH($B154,SINAPI_NOV2020_NDES!$A$7:$A$6703,0),7),(INDEX(COMPOS!$A$4:$G$801,MATCH($B154,COMPOS!$A$4:A$801,0),6))))</f>
        <v>0</v>
      </c>
      <c r="I154" s="279">
        <f t="shared" si="50"/>
        <v>2.58</v>
      </c>
      <c r="J154" s="276">
        <f t="shared" si="51"/>
        <v>141.56459999999998</v>
      </c>
      <c r="K154" s="255"/>
      <c r="L154" s="255"/>
      <c r="M154" s="255"/>
      <c r="N154" s="255"/>
      <c r="O154" s="257"/>
      <c r="P154" s="223"/>
      <c r="Q154" s="255"/>
      <c r="R154" s="255"/>
      <c r="S154" s="255"/>
      <c r="T154" s="255"/>
      <c r="U154" s="255"/>
      <c r="V154" s="255"/>
      <c r="W154" s="255"/>
      <c r="X154" s="255"/>
      <c r="Y154" s="255"/>
      <c r="Z154" s="255"/>
      <c r="AA154" s="255"/>
      <c r="AB154" s="255"/>
      <c r="AC154" s="255"/>
      <c r="AD154" s="255"/>
      <c r="AE154" s="255"/>
      <c r="AF154" s="255"/>
      <c r="AG154" s="255"/>
      <c r="AH154" s="255"/>
      <c r="AI154" s="255"/>
      <c r="AJ154" s="255"/>
      <c r="AK154" s="255"/>
      <c r="AL154" s="255"/>
      <c r="AM154" s="255"/>
      <c r="AN154" s="255"/>
      <c r="AO154" s="255"/>
      <c r="AP154" s="255"/>
      <c r="AQ154" s="255"/>
      <c r="AR154" s="255"/>
      <c r="AS154" s="255"/>
      <c r="AT154" s="255"/>
      <c r="AU154" s="255"/>
      <c r="AV154" s="255"/>
      <c r="AW154" s="255"/>
      <c r="AX154" s="255"/>
      <c r="AY154" s="255"/>
      <c r="AZ154" s="255"/>
      <c r="BA154" s="255"/>
      <c r="BB154" s="255"/>
      <c r="BC154" s="255"/>
      <c r="BD154" s="255"/>
      <c r="BE154" s="255"/>
      <c r="BF154" s="255"/>
      <c r="BG154" s="255"/>
      <c r="BH154" s="255"/>
      <c r="BI154" s="255"/>
      <c r="BJ154" s="255"/>
      <c r="BK154" s="255"/>
      <c r="BL154" s="255"/>
      <c r="BM154" s="255"/>
      <c r="BN154" s="255"/>
      <c r="BO154" s="255"/>
      <c r="BP154" s="255"/>
      <c r="BQ154" s="255"/>
      <c r="BR154" s="255"/>
      <c r="BS154" s="255"/>
      <c r="BT154" s="255"/>
      <c r="BU154" s="255"/>
      <c r="BV154" s="255"/>
      <c r="BW154" s="255"/>
      <c r="BX154" s="255"/>
      <c r="BY154" s="255"/>
      <c r="BZ154" s="255"/>
      <c r="CA154" s="255"/>
      <c r="CB154" s="255"/>
      <c r="CC154" s="255"/>
      <c r="CD154" s="255"/>
      <c r="CE154" s="255"/>
      <c r="CF154" s="255"/>
      <c r="CG154" s="255"/>
      <c r="CH154" s="255"/>
      <c r="CI154" s="255"/>
      <c r="CJ154" s="255"/>
      <c r="CK154" s="255"/>
      <c r="CL154" s="255"/>
      <c r="CM154" s="255"/>
      <c r="CN154" s="255"/>
      <c r="CO154" s="255"/>
      <c r="CP154" s="255"/>
      <c r="CQ154" s="255"/>
      <c r="CR154" s="255"/>
      <c r="CS154" s="255"/>
      <c r="CT154" s="255"/>
      <c r="CU154" s="255"/>
      <c r="CV154" s="255"/>
      <c r="CW154" s="255"/>
      <c r="CX154" s="255"/>
      <c r="CY154" s="255"/>
      <c r="CZ154" s="255"/>
      <c r="DA154" s="255"/>
      <c r="DB154" s="255"/>
      <c r="DC154" s="255"/>
      <c r="DD154" s="255"/>
      <c r="DE154" s="255"/>
      <c r="DF154" s="255"/>
      <c r="DG154" s="255"/>
      <c r="DH154" s="255"/>
      <c r="DI154" s="255"/>
      <c r="DJ154" s="255"/>
      <c r="DK154" s="255"/>
      <c r="DL154" s="255"/>
      <c r="DM154" s="255"/>
      <c r="DN154" s="255"/>
      <c r="DO154" s="255"/>
      <c r="DP154" s="255"/>
      <c r="DQ154" s="255"/>
      <c r="DR154" s="255"/>
      <c r="DS154" s="255"/>
      <c r="DT154" s="255"/>
      <c r="DU154" s="255"/>
      <c r="DV154" s="255"/>
      <c r="DW154" s="255"/>
      <c r="DX154" s="255"/>
      <c r="DY154" s="255"/>
      <c r="DZ154" s="255"/>
      <c r="EA154" s="255"/>
      <c r="EB154" s="255"/>
      <c r="EC154" s="255"/>
      <c r="ED154" s="255"/>
      <c r="EE154" s="255"/>
      <c r="EF154" s="255"/>
      <c r="EG154" s="255"/>
      <c r="EH154" s="255"/>
      <c r="EI154" s="255"/>
      <c r="EJ154" s="255"/>
      <c r="EK154" s="255"/>
      <c r="EL154" s="255"/>
      <c r="EM154" s="255"/>
      <c r="EN154" s="255"/>
      <c r="EO154" s="255"/>
      <c r="EP154" s="255"/>
      <c r="EQ154" s="255"/>
      <c r="ER154" s="255"/>
      <c r="ES154" s="255"/>
      <c r="ET154" s="255"/>
      <c r="EU154" s="255"/>
      <c r="EV154" s="255"/>
      <c r="EW154" s="255"/>
      <c r="EX154" s="255"/>
      <c r="EY154" s="255"/>
      <c r="EZ154" s="255"/>
      <c r="FA154" s="255"/>
      <c r="FB154" s="255"/>
      <c r="FC154" s="255"/>
      <c r="FD154" s="255"/>
      <c r="FE154" s="255"/>
      <c r="FF154" s="255"/>
      <c r="FG154" s="255"/>
      <c r="FH154" s="255"/>
      <c r="FI154" s="255"/>
      <c r="FJ154" s="255"/>
      <c r="FK154" s="255"/>
      <c r="FL154" s="255"/>
      <c r="FM154" s="255"/>
      <c r="FN154" s="255"/>
      <c r="FO154" s="255"/>
      <c r="FP154" s="255"/>
      <c r="FQ154" s="255"/>
      <c r="FR154" s="255"/>
      <c r="FS154" s="255"/>
      <c r="FT154" s="255"/>
      <c r="FU154" s="255"/>
      <c r="FV154" s="255"/>
      <c r="FW154" s="255"/>
      <c r="FX154" s="255"/>
      <c r="FY154" s="255"/>
      <c r="FZ154" s="255"/>
      <c r="GA154" s="255"/>
      <c r="GB154" s="255"/>
      <c r="GC154" s="255"/>
      <c r="GD154" s="255"/>
      <c r="GE154" s="255"/>
      <c r="GF154" s="255"/>
      <c r="GG154" s="255"/>
      <c r="GH154" s="255"/>
      <c r="GI154" s="255"/>
      <c r="GJ154" s="255"/>
      <c r="GK154" s="255"/>
      <c r="GL154" s="255"/>
      <c r="GM154" s="255"/>
      <c r="GN154" s="255"/>
      <c r="GO154" s="255"/>
      <c r="GP154" s="255"/>
      <c r="GQ154" s="255"/>
      <c r="GR154" s="255"/>
      <c r="GS154" s="255"/>
      <c r="GT154" s="255"/>
      <c r="GU154" s="255"/>
      <c r="GV154" s="255"/>
      <c r="GW154" s="255"/>
      <c r="GX154" s="255"/>
      <c r="GY154" s="255"/>
      <c r="GZ154" s="255"/>
      <c r="HA154" s="255"/>
      <c r="HB154" s="255"/>
      <c r="HC154" s="255"/>
      <c r="HD154" s="255"/>
      <c r="HE154" s="255"/>
      <c r="HF154" s="255"/>
      <c r="HG154" s="255"/>
      <c r="HH154" s="255"/>
      <c r="HI154" s="255"/>
      <c r="HJ154" s="255"/>
      <c r="HK154" s="255"/>
      <c r="HL154" s="255"/>
      <c r="HM154" s="255"/>
      <c r="HN154" s="255"/>
      <c r="HO154" s="255"/>
      <c r="HP154" s="255"/>
      <c r="HQ154" s="255"/>
      <c r="HR154" s="255"/>
      <c r="HS154" s="255"/>
      <c r="HT154" s="255"/>
      <c r="HU154" s="255"/>
      <c r="HV154" s="255"/>
      <c r="HW154" s="255"/>
      <c r="HX154" s="255"/>
      <c r="HY154" s="255"/>
      <c r="HZ154" s="255"/>
      <c r="IA154" s="255"/>
      <c r="IB154" s="255"/>
      <c r="IC154" s="255"/>
      <c r="ID154" s="255"/>
      <c r="IE154" s="255"/>
      <c r="IF154" s="255"/>
      <c r="IG154" s="255"/>
      <c r="IH154" s="255"/>
      <c r="II154" s="255"/>
      <c r="IJ154" s="255"/>
      <c r="IK154" s="255"/>
      <c r="IL154" s="255"/>
      <c r="IM154" s="255"/>
      <c r="IN154" s="255"/>
      <c r="IO154" s="255"/>
      <c r="IP154" s="255"/>
      <c r="IQ154" s="255"/>
      <c r="IR154" s="255"/>
      <c r="IS154" s="255"/>
      <c r="IT154" s="255"/>
      <c r="IU154" s="255"/>
      <c r="IV154" s="255"/>
      <c r="IW154" s="255"/>
      <c r="IX154" s="255"/>
      <c r="IY154" s="255"/>
      <c r="IZ154" s="255"/>
      <c r="JA154" s="255"/>
      <c r="JB154" s="255"/>
      <c r="JC154" s="255"/>
      <c r="JD154" s="255"/>
      <c r="JE154" s="255"/>
      <c r="JF154" s="255"/>
      <c r="JG154" s="255"/>
      <c r="JH154" s="255"/>
      <c r="JI154" s="255"/>
      <c r="JJ154" s="255"/>
      <c r="JK154" s="255"/>
      <c r="JL154" s="255"/>
      <c r="JM154" s="255"/>
      <c r="JN154" s="255"/>
      <c r="JO154" s="255"/>
      <c r="JP154" s="255"/>
      <c r="JQ154" s="255"/>
      <c r="JR154" s="255"/>
      <c r="JS154" s="255"/>
      <c r="JT154" s="255"/>
      <c r="JU154" s="255"/>
      <c r="JV154" s="255"/>
      <c r="JW154" s="255"/>
      <c r="JX154" s="255"/>
      <c r="JY154" s="255"/>
      <c r="JZ154" s="255"/>
      <c r="KA154" s="255"/>
      <c r="KB154" s="255"/>
      <c r="KC154" s="255"/>
      <c r="KD154" s="255"/>
      <c r="KE154" s="255"/>
      <c r="KF154" s="255"/>
      <c r="KG154" s="255"/>
      <c r="KH154" s="255"/>
      <c r="KI154" s="255"/>
      <c r="KJ154" s="255"/>
      <c r="KK154" s="255"/>
      <c r="KL154" s="255"/>
      <c r="KM154" s="255"/>
      <c r="KN154" s="255"/>
      <c r="KO154" s="255"/>
      <c r="KP154" s="255"/>
      <c r="KQ154" s="255"/>
      <c r="KR154" s="255"/>
      <c r="KS154" s="255"/>
      <c r="KT154" s="255"/>
      <c r="KU154" s="255"/>
      <c r="KV154" s="255"/>
      <c r="KW154" s="255"/>
      <c r="KX154" s="255"/>
      <c r="KY154" s="255"/>
      <c r="KZ154" s="255"/>
      <c r="LA154" s="255"/>
      <c r="LB154" s="255"/>
      <c r="LC154" s="255"/>
      <c r="LD154" s="255"/>
      <c r="LE154" s="255"/>
      <c r="LF154" s="255"/>
      <c r="LG154" s="255"/>
      <c r="LH154" s="255"/>
      <c r="LI154" s="255"/>
      <c r="LJ154" s="255"/>
      <c r="LK154" s="255"/>
      <c r="LL154" s="255"/>
      <c r="LM154" s="255"/>
      <c r="LN154" s="255"/>
      <c r="LO154" s="255"/>
      <c r="LP154" s="255"/>
      <c r="LQ154" s="255"/>
      <c r="LR154" s="255"/>
      <c r="LS154" s="255"/>
      <c r="LT154" s="255"/>
      <c r="LU154" s="255"/>
      <c r="LV154" s="255"/>
      <c r="LW154" s="255"/>
      <c r="LX154" s="255"/>
      <c r="LY154" s="255"/>
      <c r="LZ154" s="255"/>
      <c r="MA154" s="255"/>
      <c r="MB154" s="255"/>
      <c r="MC154" s="255"/>
      <c r="MD154" s="255"/>
      <c r="ME154" s="255"/>
      <c r="MF154" s="255"/>
      <c r="MG154" s="255"/>
      <c r="MH154" s="255"/>
      <c r="MI154" s="255"/>
      <c r="MJ154" s="255"/>
      <c r="MK154" s="255"/>
      <c r="ML154" s="255"/>
      <c r="MM154" s="255"/>
      <c r="MN154" s="255"/>
      <c r="MO154" s="255"/>
      <c r="MP154" s="255"/>
      <c r="MQ154" s="255"/>
      <c r="MR154" s="255"/>
      <c r="MS154" s="255"/>
      <c r="MT154" s="255"/>
      <c r="MU154" s="255"/>
      <c r="MV154" s="255"/>
      <c r="MW154" s="255"/>
      <c r="MX154" s="255"/>
      <c r="MY154" s="255"/>
      <c r="MZ154" s="255"/>
      <c r="NA154" s="255"/>
      <c r="NB154" s="255"/>
      <c r="NC154" s="255"/>
      <c r="ND154" s="255"/>
      <c r="NE154" s="255"/>
      <c r="NF154" s="255"/>
      <c r="NG154" s="255"/>
      <c r="NH154" s="255"/>
      <c r="NI154" s="255"/>
      <c r="NJ154" s="255"/>
      <c r="NK154" s="255"/>
      <c r="NL154" s="255"/>
      <c r="NM154" s="255"/>
      <c r="NN154" s="255"/>
      <c r="NO154" s="255"/>
      <c r="NP154" s="255"/>
      <c r="NQ154" s="255"/>
      <c r="NR154" s="255"/>
      <c r="NS154" s="255"/>
      <c r="NT154" s="255"/>
      <c r="NU154" s="255"/>
      <c r="NV154" s="255"/>
      <c r="NW154" s="255"/>
      <c r="NX154" s="255"/>
      <c r="NY154" s="255"/>
      <c r="NZ154" s="255"/>
      <c r="OA154" s="255"/>
      <c r="OB154" s="255"/>
      <c r="OC154" s="255"/>
      <c r="OD154" s="255"/>
      <c r="OE154" s="255"/>
      <c r="OF154" s="255"/>
      <c r="OG154" s="255"/>
      <c r="OH154" s="255"/>
      <c r="OI154" s="255"/>
      <c r="OJ154" s="255"/>
      <c r="OK154" s="255"/>
      <c r="OL154" s="255"/>
      <c r="OM154" s="255"/>
      <c r="ON154" s="255"/>
      <c r="OO154" s="255"/>
      <c r="OP154" s="255"/>
      <c r="OQ154" s="255"/>
      <c r="OR154" s="255"/>
      <c r="OS154" s="255"/>
      <c r="OT154" s="255"/>
      <c r="OU154" s="255"/>
      <c r="OV154" s="255"/>
      <c r="OW154" s="255"/>
      <c r="OX154" s="255"/>
      <c r="OY154" s="255"/>
      <c r="OZ154" s="255"/>
      <c r="PA154" s="255"/>
      <c r="PB154" s="255"/>
      <c r="PC154" s="255"/>
      <c r="PD154" s="255"/>
      <c r="PE154" s="255"/>
      <c r="PF154" s="255"/>
      <c r="PG154" s="255"/>
      <c r="PH154" s="255"/>
      <c r="PI154" s="255"/>
      <c r="PJ154" s="255"/>
      <c r="PK154" s="255"/>
      <c r="PL154" s="255"/>
      <c r="PM154" s="255"/>
      <c r="PN154" s="255"/>
      <c r="PO154" s="255"/>
      <c r="PP154" s="255"/>
      <c r="PQ154" s="255"/>
      <c r="PR154" s="255"/>
      <c r="PS154" s="255"/>
      <c r="PT154" s="255"/>
      <c r="PU154" s="255"/>
      <c r="PV154" s="255"/>
      <c r="PW154" s="255"/>
      <c r="PX154" s="255"/>
      <c r="PY154" s="255"/>
      <c r="PZ154" s="255"/>
      <c r="QA154" s="255"/>
      <c r="QB154" s="255"/>
      <c r="QC154" s="255"/>
      <c r="QD154" s="255"/>
      <c r="QE154" s="255"/>
      <c r="QF154" s="255"/>
      <c r="QG154" s="255"/>
      <c r="QH154" s="255"/>
      <c r="QI154" s="255"/>
      <c r="QJ154" s="255"/>
      <c r="QK154" s="255"/>
      <c r="QL154" s="255"/>
      <c r="QM154" s="255"/>
      <c r="QN154" s="255"/>
      <c r="QO154" s="255"/>
      <c r="QP154" s="255"/>
      <c r="QQ154" s="255"/>
      <c r="QR154" s="255"/>
      <c r="QS154" s="255"/>
      <c r="QT154" s="255"/>
      <c r="QU154" s="255"/>
      <c r="QV154" s="255"/>
      <c r="QW154" s="255"/>
      <c r="QX154" s="255"/>
      <c r="QY154" s="255"/>
      <c r="QZ154" s="255"/>
      <c r="RA154" s="255"/>
      <c r="RB154" s="255"/>
      <c r="RC154" s="255"/>
      <c r="RD154" s="255"/>
      <c r="RE154" s="255"/>
      <c r="RF154" s="255"/>
      <c r="RG154" s="255"/>
      <c r="RH154" s="255"/>
      <c r="RI154" s="255"/>
      <c r="RJ154" s="255"/>
      <c r="RK154" s="255"/>
      <c r="RL154" s="255"/>
      <c r="RM154" s="255"/>
      <c r="RN154" s="255"/>
      <c r="RO154" s="255"/>
      <c r="RP154" s="255"/>
      <c r="RQ154" s="255"/>
      <c r="RR154" s="255"/>
      <c r="RS154" s="255"/>
      <c r="RT154" s="255"/>
      <c r="RU154" s="255"/>
      <c r="RV154" s="255"/>
      <c r="RW154" s="255"/>
      <c r="RX154" s="255"/>
      <c r="RY154" s="255"/>
      <c r="RZ154" s="255"/>
      <c r="SA154" s="255"/>
      <c r="SB154" s="255"/>
      <c r="SC154" s="255"/>
      <c r="SD154" s="255"/>
      <c r="SE154" s="255"/>
      <c r="SF154" s="255"/>
      <c r="SG154" s="255"/>
      <c r="SH154" s="255"/>
      <c r="SI154" s="255"/>
      <c r="SJ154" s="255"/>
      <c r="SK154" s="255"/>
      <c r="SL154" s="255"/>
      <c r="SM154" s="255"/>
      <c r="SN154" s="255"/>
      <c r="SO154" s="255"/>
      <c r="SP154" s="255"/>
      <c r="SQ154" s="255"/>
      <c r="SR154" s="255"/>
      <c r="SS154" s="255"/>
      <c r="ST154" s="255"/>
      <c r="SU154" s="255"/>
      <c r="SV154" s="255"/>
      <c r="SW154" s="255"/>
      <c r="SX154" s="255"/>
      <c r="SY154" s="255"/>
      <c r="SZ154" s="255"/>
      <c r="TA154" s="255"/>
      <c r="TB154" s="255"/>
      <c r="TC154" s="255"/>
      <c r="TD154" s="255"/>
      <c r="TE154" s="255"/>
      <c r="TF154" s="255"/>
      <c r="TG154" s="255"/>
      <c r="TH154" s="255"/>
      <c r="TI154" s="255"/>
      <c r="TJ154" s="255"/>
      <c r="TK154" s="255"/>
      <c r="TL154" s="255"/>
      <c r="TM154" s="255"/>
      <c r="TN154" s="255"/>
      <c r="TO154" s="255"/>
      <c r="TP154" s="255"/>
      <c r="TQ154" s="255"/>
      <c r="TR154" s="255"/>
      <c r="TS154" s="255"/>
      <c r="TT154" s="255"/>
      <c r="TU154" s="255"/>
      <c r="TV154" s="255"/>
      <c r="TW154" s="255"/>
      <c r="TX154" s="255"/>
      <c r="TY154" s="255"/>
      <c r="TZ154" s="255"/>
      <c r="UA154" s="255"/>
      <c r="UB154" s="255"/>
      <c r="UC154" s="255"/>
      <c r="UD154" s="255"/>
      <c r="UE154" s="255"/>
      <c r="UF154" s="255"/>
      <c r="UG154" s="255"/>
      <c r="UH154" s="255"/>
      <c r="UI154" s="255"/>
      <c r="UJ154" s="255"/>
      <c r="UK154" s="255"/>
      <c r="UL154" s="255"/>
      <c r="UM154" s="255"/>
      <c r="UN154" s="255"/>
      <c r="UO154" s="255"/>
      <c r="UP154" s="255"/>
      <c r="UQ154" s="255"/>
      <c r="UR154" s="255"/>
      <c r="US154" s="255"/>
      <c r="UT154" s="255"/>
      <c r="UU154" s="255"/>
      <c r="UV154" s="255"/>
      <c r="UW154" s="255"/>
      <c r="UX154" s="255"/>
      <c r="UY154" s="255"/>
      <c r="UZ154" s="255"/>
      <c r="VA154" s="255"/>
      <c r="VB154" s="255"/>
      <c r="VC154" s="255"/>
      <c r="VD154" s="255"/>
      <c r="VE154" s="255"/>
      <c r="VF154" s="255"/>
      <c r="VG154" s="255"/>
      <c r="VH154" s="255"/>
      <c r="VI154" s="255"/>
      <c r="VJ154" s="255"/>
      <c r="VK154" s="255"/>
      <c r="VL154" s="255"/>
      <c r="VM154" s="255"/>
      <c r="VN154" s="255"/>
      <c r="VO154" s="255"/>
      <c r="VP154" s="255"/>
      <c r="VQ154" s="255"/>
      <c r="VR154" s="255"/>
      <c r="VS154" s="255"/>
      <c r="VT154" s="255"/>
      <c r="VU154" s="255"/>
      <c r="VV154" s="255"/>
      <c r="VW154" s="255"/>
      <c r="VX154" s="255"/>
      <c r="VY154" s="255"/>
      <c r="VZ154" s="255"/>
      <c r="WA154" s="255"/>
      <c r="WB154" s="255"/>
      <c r="WC154" s="255"/>
      <c r="WD154" s="255"/>
      <c r="WE154" s="255"/>
      <c r="WF154" s="255"/>
      <c r="WG154" s="255"/>
      <c r="WH154" s="255"/>
      <c r="WI154" s="255"/>
      <c r="WJ154" s="255"/>
      <c r="WK154" s="255"/>
      <c r="WL154" s="255"/>
      <c r="WM154" s="255"/>
      <c r="WN154" s="255"/>
      <c r="WO154" s="255"/>
      <c r="WP154" s="255"/>
      <c r="WQ154" s="255"/>
      <c r="WR154" s="255"/>
      <c r="WS154" s="255"/>
      <c r="WT154" s="255"/>
      <c r="WU154" s="255"/>
      <c r="WV154" s="255"/>
      <c r="WW154" s="255"/>
      <c r="WX154" s="255"/>
      <c r="WY154" s="255"/>
      <c r="WZ154" s="255"/>
      <c r="XA154" s="255"/>
      <c r="XB154" s="255"/>
      <c r="XC154" s="255"/>
      <c r="XD154" s="255"/>
      <c r="XE154" s="255"/>
      <c r="XF154" s="255"/>
      <c r="XG154" s="255"/>
      <c r="XH154" s="255"/>
      <c r="XI154" s="255"/>
      <c r="XJ154" s="255"/>
      <c r="XK154" s="255"/>
      <c r="XL154" s="255"/>
      <c r="XM154" s="255"/>
      <c r="XN154" s="255"/>
      <c r="XO154" s="255"/>
      <c r="XP154" s="255"/>
      <c r="XQ154" s="255"/>
      <c r="XR154" s="255"/>
      <c r="XS154" s="255"/>
      <c r="XT154" s="255"/>
      <c r="XU154" s="255"/>
      <c r="XV154" s="255"/>
      <c r="XW154" s="255"/>
      <c r="XX154" s="255"/>
      <c r="XY154" s="255"/>
      <c r="XZ154" s="255"/>
      <c r="YA154" s="255"/>
      <c r="YB154" s="255"/>
      <c r="YC154" s="255"/>
      <c r="YD154" s="255"/>
      <c r="YE154" s="255"/>
      <c r="YF154" s="255"/>
      <c r="YG154" s="255"/>
      <c r="YH154" s="255"/>
      <c r="YI154" s="255"/>
      <c r="YJ154" s="255"/>
      <c r="YK154" s="255"/>
      <c r="YL154" s="255"/>
      <c r="YM154" s="255"/>
      <c r="YN154" s="255"/>
      <c r="YO154" s="255"/>
      <c r="YP154" s="255"/>
      <c r="YQ154" s="255"/>
      <c r="YR154" s="255"/>
      <c r="YS154" s="255"/>
      <c r="YT154" s="255"/>
      <c r="YU154" s="255"/>
      <c r="YV154" s="255"/>
      <c r="YW154" s="255"/>
      <c r="YX154" s="255"/>
      <c r="YY154" s="255"/>
      <c r="YZ154" s="255"/>
      <c r="ZA154" s="255"/>
      <c r="ZB154" s="255"/>
      <c r="ZC154" s="255"/>
      <c r="ZD154" s="255"/>
      <c r="ZE154" s="255"/>
      <c r="ZF154" s="255"/>
      <c r="ZG154" s="255"/>
      <c r="ZH154" s="255"/>
      <c r="ZI154" s="255"/>
      <c r="ZJ154" s="255"/>
      <c r="ZK154" s="255"/>
      <c r="ZL154" s="255"/>
      <c r="ZM154" s="255"/>
      <c r="ZN154" s="255"/>
      <c r="ZO154" s="255"/>
      <c r="ZP154" s="255"/>
      <c r="ZQ154" s="255"/>
      <c r="ZR154" s="255"/>
      <c r="ZS154" s="255"/>
      <c r="ZT154" s="255"/>
      <c r="ZU154" s="255"/>
      <c r="ZV154" s="255"/>
      <c r="ZW154" s="255"/>
      <c r="ZX154" s="255"/>
      <c r="ZY154" s="255"/>
      <c r="ZZ154" s="255"/>
      <c r="AAA154" s="255"/>
      <c r="AAB154" s="255"/>
      <c r="AAC154" s="255"/>
      <c r="AAD154" s="255"/>
      <c r="AAE154" s="255"/>
      <c r="AAF154" s="255"/>
      <c r="AAG154" s="255"/>
      <c r="AAH154" s="255"/>
      <c r="AAI154" s="255"/>
      <c r="AAJ154" s="255"/>
      <c r="AAK154" s="255"/>
      <c r="AAL154" s="255"/>
      <c r="AAM154" s="255"/>
      <c r="AAN154" s="255"/>
      <c r="AAO154" s="255"/>
      <c r="AAP154" s="255"/>
      <c r="AAQ154" s="255"/>
      <c r="AAR154" s="255"/>
      <c r="AAS154" s="255"/>
      <c r="AAT154" s="255"/>
      <c r="AAU154" s="255"/>
      <c r="AAV154" s="255"/>
      <c r="AAW154" s="255"/>
      <c r="AAX154" s="255"/>
      <c r="AAY154" s="255"/>
      <c r="AAZ154" s="255"/>
      <c r="ABA154" s="255"/>
      <c r="ABB154" s="255"/>
      <c r="ABC154" s="255"/>
      <c r="ABD154" s="255"/>
      <c r="ABE154" s="255"/>
      <c r="ABF154" s="255"/>
      <c r="ABG154" s="255"/>
      <c r="ABH154" s="255"/>
      <c r="ABI154" s="255"/>
      <c r="ABJ154" s="255"/>
      <c r="ABK154" s="255"/>
      <c r="ABL154" s="255"/>
      <c r="ABM154" s="255"/>
      <c r="ABN154" s="255"/>
      <c r="ABO154" s="255"/>
      <c r="ABP154" s="255"/>
      <c r="ABQ154" s="255"/>
      <c r="ABR154" s="255"/>
      <c r="ABS154" s="255"/>
      <c r="ABT154" s="255"/>
      <c r="ABU154" s="255"/>
      <c r="ABV154" s="255"/>
      <c r="ABW154" s="255"/>
      <c r="ABX154" s="255"/>
      <c r="ABY154" s="255"/>
      <c r="ABZ154" s="255"/>
      <c r="ACA154" s="255"/>
      <c r="ACB154" s="255"/>
      <c r="ACC154" s="255"/>
      <c r="ACD154" s="255"/>
      <c r="ACE154" s="255"/>
      <c r="ACF154" s="255"/>
      <c r="ACG154" s="255"/>
      <c r="ACH154" s="255"/>
      <c r="ACI154" s="255"/>
      <c r="ACJ154" s="255"/>
      <c r="ACK154" s="255"/>
      <c r="ACL154" s="255"/>
      <c r="ACM154" s="255"/>
      <c r="ACN154" s="255"/>
      <c r="ACO154" s="255"/>
      <c r="ACP154" s="255"/>
      <c r="ACQ154" s="255"/>
      <c r="ACR154" s="255"/>
      <c r="ACS154" s="255"/>
      <c r="ACT154" s="255"/>
      <c r="ACU154" s="255"/>
      <c r="ACV154" s="255"/>
      <c r="ACW154" s="255"/>
      <c r="ACX154" s="255"/>
      <c r="ACY154" s="255"/>
      <c r="ACZ154" s="255"/>
      <c r="ADA154" s="255"/>
      <c r="ADB154" s="255"/>
      <c r="ADC154" s="255"/>
      <c r="ADD154" s="255"/>
      <c r="ADE154" s="255"/>
      <c r="ADF154" s="255"/>
      <c r="ADG154" s="255"/>
      <c r="ADH154" s="255"/>
      <c r="ADI154" s="255"/>
      <c r="ADJ154" s="255"/>
      <c r="ADK154" s="255"/>
      <c r="ADL154" s="255"/>
      <c r="ADM154" s="255"/>
      <c r="ADN154" s="255"/>
      <c r="ADO154" s="255"/>
      <c r="ADP154" s="255"/>
      <c r="ADQ154" s="255"/>
      <c r="ADR154" s="255"/>
      <c r="ADS154" s="255"/>
      <c r="ADT154" s="255"/>
      <c r="ADU154" s="255"/>
      <c r="ADV154" s="255"/>
      <c r="ADW154" s="255"/>
      <c r="ADX154" s="255"/>
      <c r="ADY154" s="255"/>
      <c r="ADZ154" s="255"/>
      <c r="AEA154" s="255"/>
      <c r="AEB154" s="255"/>
      <c r="AEC154" s="255"/>
      <c r="AED154" s="255"/>
      <c r="AEE154" s="255"/>
      <c r="AEF154" s="255"/>
      <c r="AEG154" s="255"/>
      <c r="AEH154" s="255"/>
      <c r="AEI154" s="255"/>
      <c r="AEJ154" s="255"/>
      <c r="AEK154" s="255"/>
      <c r="AEL154" s="255"/>
      <c r="AEM154" s="255"/>
      <c r="AEN154" s="255"/>
      <c r="AEO154" s="255"/>
      <c r="AEP154" s="255"/>
      <c r="AEQ154" s="255"/>
      <c r="AER154" s="255"/>
      <c r="AES154" s="255"/>
      <c r="AET154" s="255"/>
      <c r="AEU154" s="255"/>
      <c r="AEV154" s="255"/>
      <c r="AEW154" s="255"/>
      <c r="AEX154" s="255"/>
      <c r="AEY154" s="255"/>
      <c r="AEZ154" s="255"/>
      <c r="AFA154" s="255"/>
      <c r="AFB154" s="255"/>
      <c r="AFC154" s="255"/>
      <c r="AFD154" s="255"/>
      <c r="AFE154" s="255"/>
      <c r="AFF154" s="255"/>
      <c r="AFG154" s="255"/>
      <c r="AFH154" s="255"/>
      <c r="AFI154" s="255"/>
      <c r="AFJ154" s="255"/>
      <c r="AFK154" s="255"/>
      <c r="AFL154" s="255"/>
      <c r="AFM154" s="255"/>
      <c r="AFN154" s="255"/>
      <c r="AFO154" s="255"/>
      <c r="AFP154" s="255"/>
      <c r="AFQ154" s="255"/>
      <c r="AFR154" s="255"/>
      <c r="AFS154" s="255"/>
      <c r="AFT154" s="255"/>
      <c r="AFU154" s="255"/>
      <c r="AFV154" s="255"/>
      <c r="AFW154" s="255"/>
      <c r="AFX154" s="255"/>
      <c r="AFY154" s="255"/>
      <c r="AFZ154" s="255"/>
      <c r="AGA154" s="255"/>
      <c r="AGB154" s="255"/>
      <c r="AGC154" s="255"/>
      <c r="AGD154" s="255"/>
      <c r="AGE154" s="255"/>
      <c r="AGF154" s="255"/>
      <c r="AGG154" s="255"/>
      <c r="AGH154" s="255"/>
      <c r="AGI154" s="255"/>
      <c r="AGJ154" s="255"/>
      <c r="AGK154" s="255"/>
      <c r="AGL154" s="255"/>
      <c r="AGM154" s="255"/>
      <c r="AGN154" s="255"/>
      <c r="AGO154" s="255"/>
      <c r="AGP154" s="255"/>
      <c r="AGQ154" s="255"/>
      <c r="AGR154" s="255"/>
      <c r="AGS154" s="255"/>
      <c r="AGT154" s="255"/>
      <c r="AGU154" s="255"/>
      <c r="AGV154" s="255"/>
      <c r="AGW154" s="255"/>
      <c r="AGX154" s="255"/>
      <c r="AGY154" s="255"/>
      <c r="AGZ154" s="255"/>
      <c r="AHA154" s="255"/>
      <c r="AHB154" s="255"/>
      <c r="AHC154" s="255"/>
      <c r="AHD154" s="255"/>
      <c r="AHE154" s="255"/>
      <c r="AHF154" s="255"/>
      <c r="AHG154" s="255"/>
      <c r="AHH154" s="255"/>
      <c r="AHI154" s="255"/>
      <c r="AHJ154" s="255"/>
      <c r="AHK154" s="255"/>
      <c r="AHL154" s="255"/>
      <c r="AHM154" s="255"/>
      <c r="AHN154" s="255"/>
      <c r="AHO154" s="255"/>
      <c r="AHP154" s="255"/>
      <c r="AHQ154" s="255"/>
      <c r="AHR154" s="255"/>
      <c r="AHS154" s="255"/>
      <c r="AHT154" s="255"/>
      <c r="AHU154" s="255"/>
      <c r="AHV154" s="255"/>
      <c r="AHW154" s="255"/>
      <c r="AHX154" s="255"/>
      <c r="AHY154" s="255"/>
      <c r="AHZ154" s="255"/>
      <c r="AIA154" s="255"/>
      <c r="AIB154" s="255"/>
      <c r="AIC154" s="255"/>
      <c r="AID154" s="255"/>
      <c r="AIE154" s="255"/>
      <c r="AIF154" s="255"/>
      <c r="AIG154" s="255"/>
      <c r="AIH154" s="255"/>
      <c r="AII154" s="255"/>
      <c r="AIJ154" s="255"/>
      <c r="AIK154" s="255"/>
      <c r="AIL154" s="255"/>
      <c r="AIM154" s="255"/>
      <c r="AIN154" s="255"/>
      <c r="AIO154" s="255"/>
      <c r="AIP154" s="255"/>
      <c r="AIQ154" s="255"/>
      <c r="AIR154" s="255"/>
      <c r="AIS154" s="255"/>
      <c r="AIT154" s="255"/>
      <c r="AIU154" s="255"/>
      <c r="AIV154" s="255"/>
      <c r="AIW154" s="255"/>
      <c r="AIX154" s="255"/>
      <c r="AIY154" s="255"/>
      <c r="AIZ154" s="255"/>
      <c r="AJA154" s="255"/>
      <c r="AJB154" s="255"/>
      <c r="AJC154" s="255"/>
      <c r="AJD154" s="255"/>
      <c r="AJE154" s="255"/>
      <c r="AJF154" s="255"/>
      <c r="AJG154" s="255"/>
      <c r="AJH154" s="255"/>
      <c r="AJI154" s="255"/>
      <c r="AJJ154" s="255"/>
      <c r="AJK154" s="255"/>
      <c r="AJL154" s="255"/>
      <c r="AJM154" s="255"/>
      <c r="AJN154" s="255"/>
      <c r="AJO154" s="255"/>
      <c r="AJP154" s="255"/>
      <c r="AJQ154" s="255"/>
      <c r="AJR154" s="255"/>
      <c r="AJS154" s="255"/>
      <c r="AJT154" s="255"/>
      <c r="AJU154" s="255"/>
      <c r="AJV154" s="255"/>
      <c r="AJW154" s="255"/>
      <c r="AJX154" s="255"/>
      <c r="AJY154" s="255"/>
      <c r="AJZ154" s="255"/>
      <c r="AKA154" s="255"/>
      <c r="AKB154" s="255"/>
      <c r="AKC154" s="255"/>
      <c r="AKD154" s="255"/>
      <c r="AKE154" s="255"/>
      <c r="AKF154" s="255"/>
      <c r="AKG154" s="255"/>
      <c r="AKH154" s="255"/>
      <c r="AKI154" s="255"/>
      <c r="AKJ154" s="255"/>
      <c r="AKK154" s="255"/>
      <c r="AKL154" s="255"/>
      <c r="AKM154" s="255"/>
      <c r="AKN154" s="255"/>
      <c r="AKO154" s="255"/>
      <c r="AKP154" s="255"/>
      <c r="AKQ154" s="255"/>
      <c r="AKR154" s="255"/>
      <c r="AKS154" s="255"/>
      <c r="AKT154" s="255"/>
      <c r="AKU154" s="255"/>
      <c r="AKV154" s="255"/>
      <c r="AKW154" s="255"/>
      <c r="AKX154" s="255"/>
      <c r="AKY154" s="255"/>
      <c r="AKZ154" s="255"/>
      <c r="ALA154" s="255"/>
      <c r="ALB154" s="255"/>
      <c r="ALC154" s="255"/>
      <c r="ALD154" s="255"/>
      <c r="ALE154" s="255"/>
      <c r="ALF154" s="255"/>
      <c r="ALG154" s="255"/>
      <c r="ALH154" s="255"/>
      <c r="ALI154" s="255"/>
      <c r="ALJ154" s="255"/>
      <c r="ALK154" s="255"/>
      <c r="ALL154" s="42"/>
      <c r="ALM154" s="42"/>
      <c r="ALN154" s="42"/>
      <c r="ALO154" s="42"/>
      <c r="ALP154" s="42"/>
      <c r="ALQ154" s="42"/>
      <c r="ALR154" s="42"/>
      <c r="ALS154" s="42"/>
      <c r="ALT154" s="42"/>
    </row>
    <row r="155" spans="1:1008" s="191" customFormat="1" ht="24">
      <c r="A155" s="251" t="s">
        <v>7</v>
      </c>
      <c r="B155" s="328">
        <v>88423</v>
      </c>
      <c r="C155" s="301" t="str">
        <f>(IF($A155="SINAPI",INDEX(SINAPI_NOV2020_NDES!$A$7:$H$6703,MATCH($B155,SINAPI_NOV2020_NDES!$A$7:$A$6703,0),2),IF($A155="GOINFRA",INDEX(#REF!,MATCH($B155,#REF!,0),2),(INDEX(COMPOS!$A$4:$G$390,MATCH($B155,COMPOS!$A$4:A$390,0),2)))))</f>
        <v>APLICAÇÃO MANUAL DE PINTURA COM TINTA TEXTURIZADA ACRÍLICA EM PAREDES EXTERNAS DE CASAS, UMA COR. AF_06/2014</v>
      </c>
      <c r="D155" s="274" t="str">
        <f>(IF($A155="SINAPI",INDEX(SINAPI_NOV2020_NDES!$A$7:$H$6790,MATCH($B155,SINAPI_NOV2020_NDES!$A$7:$A$6790,0),3),(INDEX(COMPOS!$A$4:$G$5000,MATCH($B155,COMPOS!$A$4:$A$5000,0),3))))</f>
        <v>M2</v>
      </c>
      <c r="E155" s="276">
        <v>54.87</v>
      </c>
      <c r="F155" s="279">
        <f>(IF($A155="SINAPI",INDEX(SINAPI_NOV2020_NDES!$A$7:$H$6703,MATCH($B155,SINAPI_NOV2020_NDES!$A$7:$A$6703,0),5),(INDEX(COMPOS!$A$4:$G$801,MATCH($B155,COMPOS!$A$4:A$801,0),4))))</f>
        <v>3.45</v>
      </c>
      <c r="G155" s="280">
        <f>(IF($A155="SINAPI",INDEX(SINAPI_NOV2020_NDES!$A$7:$H$6703,MATCH($B155,SINAPI_NOV2020_NDES!$A$7:$A$6703,0),6),(INDEX(COMPOS!$A$4:$G$801,MATCH($B155,COMPOS!$A$4:A$801,0),5))))</f>
        <v>14.24</v>
      </c>
      <c r="H155" s="280">
        <f>(IF($A155="SINAPI",INDEX(SINAPI_NOV2020_NDES!$A$7:$H$6703,MATCH($B155,SINAPI_NOV2020_NDES!$A$7:$A$6703,0),7),(INDEX(COMPOS!$A$4:$G$801,MATCH($B155,COMPOS!$A$4:A$801,0),6))))</f>
        <v>0</v>
      </c>
      <c r="I155" s="279">
        <f t="shared" si="50"/>
        <v>17.690000000000001</v>
      </c>
      <c r="J155" s="276">
        <f t="shared" si="51"/>
        <v>970.65030000000002</v>
      </c>
      <c r="K155" s="255"/>
      <c r="L155" s="255"/>
      <c r="M155" s="255"/>
      <c r="N155" s="255"/>
      <c r="O155" s="257"/>
      <c r="P155" s="223"/>
      <c r="Q155" s="255"/>
      <c r="R155" s="255"/>
      <c r="S155" s="255"/>
      <c r="T155" s="255"/>
      <c r="U155" s="255"/>
      <c r="V155" s="255"/>
      <c r="W155" s="255"/>
      <c r="X155" s="255"/>
      <c r="Y155" s="255"/>
      <c r="Z155" s="255"/>
      <c r="AA155" s="255"/>
      <c r="AB155" s="255"/>
      <c r="AC155" s="255"/>
      <c r="AD155" s="255"/>
      <c r="AE155" s="255"/>
      <c r="AF155" s="255"/>
      <c r="AG155" s="255"/>
      <c r="AH155" s="255"/>
      <c r="AI155" s="255"/>
      <c r="AJ155" s="255"/>
      <c r="AK155" s="255"/>
      <c r="AL155" s="255"/>
      <c r="AM155" s="255"/>
      <c r="AN155" s="255"/>
      <c r="AO155" s="255"/>
      <c r="AP155" s="255"/>
      <c r="AQ155" s="255"/>
      <c r="AR155" s="255"/>
      <c r="AS155" s="255"/>
      <c r="AT155" s="255"/>
      <c r="AU155" s="255"/>
      <c r="AV155" s="255"/>
      <c r="AW155" s="255"/>
      <c r="AX155" s="255"/>
      <c r="AY155" s="255"/>
      <c r="AZ155" s="255"/>
      <c r="BA155" s="255"/>
      <c r="BB155" s="255"/>
      <c r="BC155" s="255"/>
      <c r="BD155" s="255"/>
      <c r="BE155" s="255"/>
      <c r="BF155" s="255"/>
      <c r="BG155" s="255"/>
      <c r="BH155" s="255"/>
      <c r="BI155" s="255"/>
      <c r="BJ155" s="255"/>
      <c r="BK155" s="255"/>
      <c r="BL155" s="255"/>
      <c r="BM155" s="255"/>
      <c r="BN155" s="255"/>
      <c r="BO155" s="255"/>
      <c r="BP155" s="255"/>
      <c r="BQ155" s="255"/>
      <c r="BR155" s="255"/>
      <c r="BS155" s="255"/>
      <c r="BT155" s="255"/>
      <c r="BU155" s="255"/>
      <c r="BV155" s="255"/>
      <c r="BW155" s="255"/>
      <c r="BX155" s="255"/>
      <c r="BY155" s="255"/>
      <c r="BZ155" s="255"/>
      <c r="CA155" s="255"/>
      <c r="CB155" s="255"/>
      <c r="CC155" s="255"/>
      <c r="CD155" s="255"/>
      <c r="CE155" s="255"/>
      <c r="CF155" s="255"/>
      <c r="CG155" s="255"/>
      <c r="CH155" s="255"/>
      <c r="CI155" s="255"/>
      <c r="CJ155" s="255"/>
      <c r="CK155" s="255"/>
      <c r="CL155" s="255"/>
      <c r="CM155" s="255"/>
      <c r="CN155" s="255"/>
      <c r="CO155" s="255"/>
      <c r="CP155" s="255"/>
      <c r="CQ155" s="255"/>
      <c r="CR155" s="255"/>
      <c r="CS155" s="255"/>
      <c r="CT155" s="255"/>
      <c r="CU155" s="255"/>
      <c r="CV155" s="255"/>
      <c r="CW155" s="255"/>
      <c r="CX155" s="255"/>
      <c r="CY155" s="255"/>
      <c r="CZ155" s="255"/>
      <c r="DA155" s="255"/>
      <c r="DB155" s="255"/>
      <c r="DC155" s="255"/>
      <c r="DD155" s="255"/>
      <c r="DE155" s="255"/>
      <c r="DF155" s="255"/>
      <c r="DG155" s="255"/>
      <c r="DH155" s="255"/>
      <c r="DI155" s="255"/>
      <c r="DJ155" s="255"/>
      <c r="DK155" s="255"/>
      <c r="DL155" s="255"/>
      <c r="DM155" s="255"/>
      <c r="DN155" s="255"/>
      <c r="DO155" s="255"/>
      <c r="DP155" s="255"/>
      <c r="DQ155" s="255"/>
      <c r="DR155" s="255"/>
      <c r="DS155" s="255"/>
      <c r="DT155" s="255"/>
      <c r="DU155" s="255"/>
      <c r="DV155" s="255"/>
      <c r="DW155" s="255"/>
      <c r="DX155" s="255"/>
      <c r="DY155" s="255"/>
      <c r="DZ155" s="255"/>
      <c r="EA155" s="255"/>
      <c r="EB155" s="255"/>
      <c r="EC155" s="255"/>
      <c r="ED155" s="255"/>
      <c r="EE155" s="255"/>
      <c r="EF155" s="255"/>
      <c r="EG155" s="255"/>
      <c r="EH155" s="255"/>
      <c r="EI155" s="255"/>
      <c r="EJ155" s="255"/>
      <c r="EK155" s="255"/>
      <c r="EL155" s="255"/>
      <c r="EM155" s="255"/>
      <c r="EN155" s="255"/>
      <c r="EO155" s="255"/>
      <c r="EP155" s="255"/>
      <c r="EQ155" s="255"/>
      <c r="ER155" s="255"/>
      <c r="ES155" s="255"/>
      <c r="ET155" s="255"/>
      <c r="EU155" s="255"/>
      <c r="EV155" s="255"/>
      <c r="EW155" s="255"/>
      <c r="EX155" s="255"/>
      <c r="EY155" s="255"/>
      <c r="EZ155" s="255"/>
      <c r="FA155" s="255"/>
      <c r="FB155" s="255"/>
      <c r="FC155" s="255"/>
      <c r="FD155" s="255"/>
      <c r="FE155" s="255"/>
      <c r="FF155" s="255"/>
      <c r="FG155" s="255"/>
      <c r="FH155" s="255"/>
      <c r="FI155" s="255"/>
      <c r="FJ155" s="255"/>
      <c r="FK155" s="255"/>
      <c r="FL155" s="255"/>
      <c r="FM155" s="255"/>
      <c r="FN155" s="255"/>
      <c r="FO155" s="255"/>
      <c r="FP155" s="255"/>
      <c r="FQ155" s="255"/>
      <c r="FR155" s="255"/>
      <c r="FS155" s="255"/>
      <c r="FT155" s="255"/>
      <c r="FU155" s="255"/>
      <c r="FV155" s="255"/>
      <c r="FW155" s="255"/>
      <c r="FX155" s="255"/>
      <c r="FY155" s="255"/>
      <c r="FZ155" s="255"/>
      <c r="GA155" s="255"/>
      <c r="GB155" s="255"/>
      <c r="GC155" s="255"/>
      <c r="GD155" s="255"/>
      <c r="GE155" s="255"/>
      <c r="GF155" s="255"/>
      <c r="GG155" s="255"/>
      <c r="GH155" s="255"/>
      <c r="GI155" s="255"/>
      <c r="GJ155" s="255"/>
      <c r="GK155" s="255"/>
      <c r="GL155" s="255"/>
      <c r="GM155" s="255"/>
      <c r="GN155" s="255"/>
      <c r="GO155" s="255"/>
      <c r="GP155" s="255"/>
      <c r="GQ155" s="255"/>
      <c r="GR155" s="255"/>
      <c r="GS155" s="255"/>
      <c r="GT155" s="255"/>
      <c r="GU155" s="255"/>
      <c r="GV155" s="255"/>
      <c r="GW155" s="255"/>
      <c r="GX155" s="255"/>
      <c r="GY155" s="255"/>
      <c r="GZ155" s="255"/>
      <c r="HA155" s="255"/>
      <c r="HB155" s="255"/>
      <c r="HC155" s="255"/>
      <c r="HD155" s="255"/>
      <c r="HE155" s="255"/>
      <c r="HF155" s="255"/>
      <c r="HG155" s="255"/>
      <c r="HH155" s="255"/>
      <c r="HI155" s="255"/>
      <c r="HJ155" s="255"/>
      <c r="HK155" s="255"/>
      <c r="HL155" s="255"/>
      <c r="HM155" s="255"/>
      <c r="HN155" s="255"/>
      <c r="HO155" s="255"/>
      <c r="HP155" s="255"/>
      <c r="HQ155" s="255"/>
      <c r="HR155" s="255"/>
      <c r="HS155" s="255"/>
      <c r="HT155" s="255"/>
      <c r="HU155" s="255"/>
      <c r="HV155" s="255"/>
      <c r="HW155" s="255"/>
      <c r="HX155" s="255"/>
      <c r="HY155" s="255"/>
      <c r="HZ155" s="255"/>
      <c r="IA155" s="255"/>
      <c r="IB155" s="255"/>
      <c r="IC155" s="255"/>
      <c r="ID155" s="255"/>
      <c r="IE155" s="255"/>
      <c r="IF155" s="255"/>
      <c r="IG155" s="255"/>
      <c r="IH155" s="255"/>
      <c r="II155" s="255"/>
      <c r="IJ155" s="255"/>
      <c r="IK155" s="255"/>
      <c r="IL155" s="255"/>
      <c r="IM155" s="255"/>
      <c r="IN155" s="255"/>
      <c r="IO155" s="255"/>
      <c r="IP155" s="255"/>
      <c r="IQ155" s="255"/>
      <c r="IR155" s="255"/>
      <c r="IS155" s="255"/>
      <c r="IT155" s="255"/>
      <c r="IU155" s="255"/>
      <c r="IV155" s="255"/>
      <c r="IW155" s="255"/>
      <c r="IX155" s="255"/>
      <c r="IY155" s="255"/>
      <c r="IZ155" s="255"/>
      <c r="JA155" s="255"/>
      <c r="JB155" s="255"/>
      <c r="JC155" s="255"/>
      <c r="JD155" s="255"/>
      <c r="JE155" s="255"/>
      <c r="JF155" s="255"/>
      <c r="JG155" s="255"/>
      <c r="JH155" s="255"/>
      <c r="JI155" s="255"/>
      <c r="JJ155" s="255"/>
      <c r="JK155" s="255"/>
      <c r="JL155" s="255"/>
      <c r="JM155" s="255"/>
      <c r="JN155" s="255"/>
      <c r="JO155" s="255"/>
      <c r="JP155" s="255"/>
      <c r="JQ155" s="255"/>
      <c r="JR155" s="255"/>
      <c r="JS155" s="255"/>
      <c r="JT155" s="255"/>
      <c r="JU155" s="255"/>
      <c r="JV155" s="255"/>
      <c r="JW155" s="255"/>
      <c r="JX155" s="255"/>
      <c r="JY155" s="255"/>
      <c r="JZ155" s="255"/>
      <c r="KA155" s="255"/>
      <c r="KB155" s="255"/>
      <c r="KC155" s="255"/>
      <c r="KD155" s="255"/>
      <c r="KE155" s="255"/>
      <c r="KF155" s="255"/>
      <c r="KG155" s="255"/>
      <c r="KH155" s="255"/>
      <c r="KI155" s="255"/>
      <c r="KJ155" s="255"/>
      <c r="KK155" s="255"/>
      <c r="KL155" s="255"/>
      <c r="KM155" s="255"/>
      <c r="KN155" s="255"/>
      <c r="KO155" s="255"/>
      <c r="KP155" s="255"/>
      <c r="KQ155" s="255"/>
      <c r="KR155" s="255"/>
      <c r="KS155" s="255"/>
      <c r="KT155" s="255"/>
      <c r="KU155" s="255"/>
      <c r="KV155" s="255"/>
      <c r="KW155" s="255"/>
      <c r="KX155" s="255"/>
      <c r="KY155" s="255"/>
      <c r="KZ155" s="255"/>
      <c r="LA155" s="255"/>
      <c r="LB155" s="255"/>
      <c r="LC155" s="255"/>
      <c r="LD155" s="255"/>
      <c r="LE155" s="255"/>
      <c r="LF155" s="255"/>
      <c r="LG155" s="255"/>
      <c r="LH155" s="255"/>
      <c r="LI155" s="255"/>
      <c r="LJ155" s="255"/>
      <c r="LK155" s="255"/>
      <c r="LL155" s="255"/>
      <c r="LM155" s="255"/>
      <c r="LN155" s="255"/>
      <c r="LO155" s="255"/>
      <c r="LP155" s="255"/>
      <c r="LQ155" s="255"/>
      <c r="LR155" s="255"/>
      <c r="LS155" s="255"/>
      <c r="LT155" s="255"/>
      <c r="LU155" s="255"/>
      <c r="LV155" s="255"/>
      <c r="LW155" s="255"/>
      <c r="LX155" s="255"/>
      <c r="LY155" s="255"/>
      <c r="LZ155" s="255"/>
      <c r="MA155" s="255"/>
      <c r="MB155" s="255"/>
      <c r="MC155" s="255"/>
      <c r="MD155" s="255"/>
      <c r="ME155" s="255"/>
      <c r="MF155" s="255"/>
      <c r="MG155" s="255"/>
      <c r="MH155" s="255"/>
      <c r="MI155" s="255"/>
      <c r="MJ155" s="255"/>
      <c r="MK155" s="255"/>
      <c r="ML155" s="255"/>
      <c r="MM155" s="255"/>
      <c r="MN155" s="255"/>
      <c r="MO155" s="255"/>
      <c r="MP155" s="255"/>
      <c r="MQ155" s="255"/>
      <c r="MR155" s="255"/>
      <c r="MS155" s="255"/>
      <c r="MT155" s="255"/>
      <c r="MU155" s="255"/>
      <c r="MV155" s="255"/>
      <c r="MW155" s="255"/>
      <c r="MX155" s="255"/>
      <c r="MY155" s="255"/>
      <c r="MZ155" s="255"/>
      <c r="NA155" s="255"/>
      <c r="NB155" s="255"/>
      <c r="NC155" s="255"/>
      <c r="ND155" s="255"/>
      <c r="NE155" s="255"/>
      <c r="NF155" s="255"/>
      <c r="NG155" s="255"/>
      <c r="NH155" s="255"/>
      <c r="NI155" s="255"/>
      <c r="NJ155" s="255"/>
      <c r="NK155" s="255"/>
      <c r="NL155" s="255"/>
      <c r="NM155" s="255"/>
      <c r="NN155" s="255"/>
      <c r="NO155" s="255"/>
      <c r="NP155" s="255"/>
      <c r="NQ155" s="255"/>
      <c r="NR155" s="255"/>
      <c r="NS155" s="255"/>
      <c r="NT155" s="255"/>
      <c r="NU155" s="255"/>
      <c r="NV155" s="255"/>
      <c r="NW155" s="255"/>
      <c r="NX155" s="255"/>
      <c r="NY155" s="255"/>
      <c r="NZ155" s="255"/>
      <c r="OA155" s="255"/>
      <c r="OB155" s="255"/>
      <c r="OC155" s="255"/>
      <c r="OD155" s="255"/>
      <c r="OE155" s="255"/>
      <c r="OF155" s="255"/>
      <c r="OG155" s="255"/>
      <c r="OH155" s="255"/>
      <c r="OI155" s="255"/>
      <c r="OJ155" s="255"/>
      <c r="OK155" s="255"/>
      <c r="OL155" s="255"/>
      <c r="OM155" s="255"/>
      <c r="ON155" s="255"/>
      <c r="OO155" s="255"/>
      <c r="OP155" s="255"/>
      <c r="OQ155" s="255"/>
      <c r="OR155" s="255"/>
      <c r="OS155" s="255"/>
      <c r="OT155" s="255"/>
      <c r="OU155" s="255"/>
      <c r="OV155" s="255"/>
      <c r="OW155" s="255"/>
      <c r="OX155" s="255"/>
      <c r="OY155" s="255"/>
      <c r="OZ155" s="255"/>
      <c r="PA155" s="255"/>
      <c r="PB155" s="255"/>
      <c r="PC155" s="255"/>
      <c r="PD155" s="255"/>
      <c r="PE155" s="255"/>
      <c r="PF155" s="255"/>
      <c r="PG155" s="255"/>
      <c r="PH155" s="255"/>
      <c r="PI155" s="255"/>
      <c r="PJ155" s="255"/>
      <c r="PK155" s="255"/>
      <c r="PL155" s="255"/>
      <c r="PM155" s="255"/>
      <c r="PN155" s="255"/>
      <c r="PO155" s="255"/>
      <c r="PP155" s="255"/>
      <c r="PQ155" s="255"/>
      <c r="PR155" s="255"/>
      <c r="PS155" s="255"/>
      <c r="PT155" s="255"/>
      <c r="PU155" s="255"/>
      <c r="PV155" s="255"/>
      <c r="PW155" s="255"/>
      <c r="PX155" s="255"/>
      <c r="PY155" s="255"/>
      <c r="PZ155" s="255"/>
      <c r="QA155" s="255"/>
      <c r="QB155" s="255"/>
      <c r="QC155" s="255"/>
      <c r="QD155" s="255"/>
      <c r="QE155" s="255"/>
      <c r="QF155" s="255"/>
      <c r="QG155" s="255"/>
      <c r="QH155" s="255"/>
      <c r="QI155" s="255"/>
      <c r="QJ155" s="255"/>
      <c r="QK155" s="255"/>
      <c r="QL155" s="255"/>
      <c r="QM155" s="255"/>
      <c r="QN155" s="255"/>
      <c r="QO155" s="255"/>
      <c r="QP155" s="255"/>
      <c r="QQ155" s="255"/>
      <c r="QR155" s="255"/>
      <c r="QS155" s="255"/>
      <c r="QT155" s="255"/>
      <c r="QU155" s="255"/>
      <c r="QV155" s="255"/>
      <c r="QW155" s="255"/>
      <c r="QX155" s="255"/>
      <c r="QY155" s="255"/>
      <c r="QZ155" s="255"/>
      <c r="RA155" s="255"/>
      <c r="RB155" s="255"/>
      <c r="RC155" s="255"/>
      <c r="RD155" s="255"/>
      <c r="RE155" s="255"/>
      <c r="RF155" s="255"/>
      <c r="RG155" s="255"/>
      <c r="RH155" s="255"/>
      <c r="RI155" s="255"/>
      <c r="RJ155" s="255"/>
      <c r="RK155" s="255"/>
      <c r="RL155" s="255"/>
      <c r="RM155" s="255"/>
      <c r="RN155" s="255"/>
      <c r="RO155" s="255"/>
      <c r="RP155" s="255"/>
      <c r="RQ155" s="255"/>
      <c r="RR155" s="255"/>
      <c r="RS155" s="255"/>
      <c r="RT155" s="255"/>
      <c r="RU155" s="255"/>
      <c r="RV155" s="255"/>
      <c r="RW155" s="255"/>
      <c r="RX155" s="255"/>
      <c r="RY155" s="255"/>
      <c r="RZ155" s="255"/>
      <c r="SA155" s="255"/>
      <c r="SB155" s="255"/>
      <c r="SC155" s="255"/>
      <c r="SD155" s="255"/>
      <c r="SE155" s="255"/>
      <c r="SF155" s="255"/>
      <c r="SG155" s="255"/>
      <c r="SH155" s="255"/>
      <c r="SI155" s="255"/>
      <c r="SJ155" s="255"/>
      <c r="SK155" s="255"/>
      <c r="SL155" s="255"/>
      <c r="SM155" s="255"/>
      <c r="SN155" s="255"/>
      <c r="SO155" s="255"/>
      <c r="SP155" s="255"/>
      <c r="SQ155" s="255"/>
      <c r="SR155" s="255"/>
      <c r="SS155" s="255"/>
      <c r="ST155" s="255"/>
      <c r="SU155" s="255"/>
      <c r="SV155" s="255"/>
      <c r="SW155" s="255"/>
      <c r="SX155" s="255"/>
      <c r="SY155" s="255"/>
      <c r="SZ155" s="255"/>
      <c r="TA155" s="255"/>
      <c r="TB155" s="255"/>
      <c r="TC155" s="255"/>
      <c r="TD155" s="255"/>
      <c r="TE155" s="255"/>
      <c r="TF155" s="255"/>
      <c r="TG155" s="255"/>
      <c r="TH155" s="255"/>
      <c r="TI155" s="255"/>
      <c r="TJ155" s="255"/>
      <c r="TK155" s="255"/>
      <c r="TL155" s="255"/>
      <c r="TM155" s="255"/>
      <c r="TN155" s="255"/>
      <c r="TO155" s="255"/>
      <c r="TP155" s="255"/>
      <c r="TQ155" s="255"/>
      <c r="TR155" s="255"/>
      <c r="TS155" s="255"/>
      <c r="TT155" s="255"/>
      <c r="TU155" s="255"/>
      <c r="TV155" s="255"/>
      <c r="TW155" s="255"/>
      <c r="TX155" s="255"/>
      <c r="TY155" s="255"/>
      <c r="TZ155" s="255"/>
      <c r="UA155" s="255"/>
      <c r="UB155" s="255"/>
      <c r="UC155" s="255"/>
      <c r="UD155" s="255"/>
      <c r="UE155" s="255"/>
      <c r="UF155" s="255"/>
      <c r="UG155" s="255"/>
      <c r="UH155" s="255"/>
      <c r="UI155" s="255"/>
      <c r="UJ155" s="255"/>
      <c r="UK155" s="255"/>
      <c r="UL155" s="255"/>
      <c r="UM155" s="255"/>
      <c r="UN155" s="255"/>
      <c r="UO155" s="255"/>
      <c r="UP155" s="255"/>
      <c r="UQ155" s="255"/>
      <c r="UR155" s="255"/>
      <c r="US155" s="255"/>
      <c r="UT155" s="255"/>
      <c r="UU155" s="255"/>
      <c r="UV155" s="255"/>
      <c r="UW155" s="255"/>
      <c r="UX155" s="255"/>
      <c r="UY155" s="255"/>
      <c r="UZ155" s="255"/>
      <c r="VA155" s="255"/>
      <c r="VB155" s="255"/>
      <c r="VC155" s="255"/>
      <c r="VD155" s="255"/>
      <c r="VE155" s="255"/>
      <c r="VF155" s="255"/>
      <c r="VG155" s="255"/>
      <c r="VH155" s="255"/>
      <c r="VI155" s="255"/>
      <c r="VJ155" s="255"/>
      <c r="VK155" s="255"/>
      <c r="VL155" s="255"/>
      <c r="VM155" s="255"/>
      <c r="VN155" s="255"/>
      <c r="VO155" s="255"/>
      <c r="VP155" s="255"/>
      <c r="VQ155" s="255"/>
      <c r="VR155" s="255"/>
      <c r="VS155" s="255"/>
      <c r="VT155" s="255"/>
      <c r="VU155" s="255"/>
      <c r="VV155" s="255"/>
      <c r="VW155" s="255"/>
      <c r="VX155" s="255"/>
      <c r="VY155" s="255"/>
      <c r="VZ155" s="255"/>
      <c r="WA155" s="255"/>
      <c r="WB155" s="255"/>
      <c r="WC155" s="255"/>
      <c r="WD155" s="255"/>
      <c r="WE155" s="255"/>
      <c r="WF155" s="255"/>
      <c r="WG155" s="255"/>
      <c r="WH155" s="255"/>
      <c r="WI155" s="255"/>
      <c r="WJ155" s="255"/>
      <c r="WK155" s="255"/>
      <c r="WL155" s="255"/>
      <c r="WM155" s="255"/>
      <c r="WN155" s="255"/>
      <c r="WO155" s="255"/>
      <c r="WP155" s="255"/>
      <c r="WQ155" s="255"/>
      <c r="WR155" s="255"/>
      <c r="WS155" s="255"/>
      <c r="WT155" s="255"/>
      <c r="WU155" s="255"/>
      <c r="WV155" s="255"/>
      <c r="WW155" s="255"/>
      <c r="WX155" s="255"/>
      <c r="WY155" s="255"/>
      <c r="WZ155" s="255"/>
      <c r="XA155" s="255"/>
      <c r="XB155" s="255"/>
      <c r="XC155" s="255"/>
      <c r="XD155" s="255"/>
      <c r="XE155" s="255"/>
      <c r="XF155" s="255"/>
      <c r="XG155" s="255"/>
      <c r="XH155" s="255"/>
      <c r="XI155" s="255"/>
      <c r="XJ155" s="255"/>
      <c r="XK155" s="255"/>
      <c r="XL155" s="255"/>
      <c r="XM155" s="255"/>
      <c r="XN155" s="255"/>
      <c r="XO155" s="255"/>
      <c r="XP155" s="255"/>
      <c r="XQ155" s="255"/>
      <c r="XR155" s="255"/>
      <c r="XS155" s="255"/>
      <c r="XT155" s="255"/>
      <c r="XU155" s="255"/>
      <c r="XV155" s="255"/>
      <c r="XW155" s="255"/>
      <c r="XX155" s="255"/>
      <c r="XY155" s="255"/>
      <c r="XZ155" s="255"/>
      <c r="YA155" s="255"/>
      <c r="YB155" s="255"/>
      <c r="YC155" s="255"/>
      <c r="YD155" s="255"/>
      <c r="YE155" s="255"/>
      <c r="YF155" s="255"/>
      <c r="YG155" s="255"/>
      <c r="YH155" s="255"/>
      <c r="YI155" s="255"/>
      <c r="YJ155" s="255"/>
      <c r="YK155" s="255"/>
      <c r="YL155" s="255"/>
      <c r="YM155" s="255"/>
      <c r="YN155" s="255"/>
      <c r="YO155" s="255"/>
      <c r="YP155" s="255"/>
      <c r="YQ155" s="255"/>
      <c r="YR155" s="255"/>
      <c r="YS155" s="255"/>
      <c r="YT155" s="255"/>
      <c r="YU155" s="255"/>
      <c r="YV155" s="255"/>
      <c r="YW155" s="255"/>
      <c r="YX155" s="255"/>
      <c r="YY155" s="255"/>
      <c r="YZ155" s="255"/>
      <c r="ZA155" s="255"/>
      <c r="ZB155" s="255"/>
      <c r="ZC155" s="255"/>
      <c r="ZD155" s="255"/>
      <c r="ZE155" s="255"/>
      <c r="ZF155" s="255"/>
      <c r="ZG155" s="255"/>
      <c r="ZH155" s="255"/>
      <c r="ZI155" s="255"/>
      <c r="ZJ155" s="255"/>
      <c r="ZK155" s="255"/>
      <c r="ZL155" s="255"/>
      <c r="ZM155" s="255"/>
      <c r="ZN155" s="255"/>
      <c r="ZO155" s="255"/>
      <c r="ZP155" s="255"/>
      <c r="ZQ155" s="255"/>
      <c r="ZR155" s="255"/>
      <c r="ZS155" s="255"/>
      <c r="ZT155" s="255"/>
      <c r="ZU155" s="255"/>
      <c r="ZV155" s="255"/>
      <c r="ZW155" s="255"/>
      <c r="ZX155" s="255"/>
      <c r="ZY155" s="255"/>
      <c r="ZZ155" s="255"/>
      <c r="AAA155" s="255"/>
      <c r="AAB155" s="255"/>
      <c r="AAC155" s="255"/>
      <c r="AAD155" s="255"/>
      <c r="AAE155" s="255"/>
      <c r="AAF155" s="255"/>
      <c r="AAG155" s="255"/>
      <c r="AAH155" s="255"/>
      <c r="AAI155" s="255"/>
      <c r="AAJ155" s="255"/>
      <c r="AAK155" s="255"/>
      <c r="AAL155" s="255"/>
      <c r="AAM155" s="255"/>
      <c r="AAN155" s="255"/>
      <c r="AAO155" s="255"/>
      <c r="AAP155" s="255"/>
      <c r="AAQ155" s="255"/>
      <c r="AAR155" s="255"/>
      <c r="AAS155" s="255"/>
      <c r="AAT155" s="255"/>
      <c r="AAU155" s="255"/>
      <c r="AAV155" s="255"/>
      <c r="AAW155" s="255"/>
      <c r="AAX155" s="255"/>
      <c r="AAY155" s="255"/>
      <c r="AAZ155" s="255"/>
      <c r="ABA155" s="255"/>
      <c r="ABB155" s="255"/>
      <c r="ABC155" s="255"/>
      <c r="ABD155" s="255"/>
      <c r="ABE155" s="255"/>
      <c r="ABF155" s="255"/>
      <c r="ABG155" s="255"/>
      <c r="ABH155" s="255"/>
      <c r="ABI155" s="255"/>
      <c r="ABJ155" s="255"/>
      <c r="ABK155" s="255"/>
      <c r="ABL155" s="255"/>
      <c r="ABM155" s="255"/>
      <c r="ABN155" s="255"/>
      <c r="ABO155" s="255"/>
      <c r="ABP155" s="255"/>
      <c r="ABQ155" s="255"/>
      <c r="ABR155" s="255"/>
      <c r="ABS155" s="255"/>
      <c r="ABT155" s="255"/>
      <c r="ABU155" s="255"/>
      <c r="ABV155" s="255"/>
      <c r="ABW155" s="255"/>
      <c r="ABX155" s="255"/>
      <c r="ABY155" s="255"/>
      <c r="ABZ155" s="255"/>
      <c r="ACA155" s="255"/>
      <c r="ACB155" s="255"/>
      <c r="ACC155" s="255"/>
      <c r="ACD155" s="255"/>
      <c r="ACE155" s="255"/>
      <c r="ACF155" s="255"/>
      <c r="ACG155" s="255"/>
      <c r="ACH155" s="255"/>
      <c r="ACI155" s="255"/>
      <c r="ACJ155" s="255"/>
      <c r="ACK155" s="255"/>
      <c r="ACL155" s="255"/>
      <c r="ACM155" s="255"/>
      <c r="ACN155" s="255"/>
      <c r="ACO155" s="255"/>
      <c r="ACP155" s="255"/>
      <c r="ACQ155" s="255"/>
      <c r="ACR155" s="255"/>
      <c r="ACS155" s="255"/>
      <c r="ACT155" s="255"/>
      <c r="ACU155" s="255"/>
      <c r="ACV155" s="255"/>
      <c r="ACW155" s="255"/>
      <c r="ACX155" s="255"/>
      <c r="ACY155" s="255"/>
      <c r="ACZ155" s="255"/>
      <c r="ADA155" s="255"/>
      <c r="ADB155" s="255"/>
      <c r="ADC155" s="255"/>
      <c r="ADD155" s="255"/>
      <c r="ADE155" s="255"/>
      <c r="ADF155" s="255"/>
      <c r="ADG155" s="255"/>
      <c r="ADH155" s="255"/>
      <c r="ADI155" s="255"/>
      <c r="ADJ155" s="255"/>
      <c r="ADK155" s="255"/>
      <c r="ADL155" s="255"/>
      <c r="ADM155" s="255"/>
      <c r="ADN155" s="255"/>
      <c r="ADO155" s="255"/>
      <c r="ADP155" s="255"/>
      <c r="ADQ155" s="255"/>
      <c r="ADR155" s="255"/>
      <c r="ADS155" s="255"/>
      <c r="ADT155" s="255"/>
      <c r="ADU155" s="255"/>
      <c r="ADV155" s="255"/>
      <c r="ADW155" s="255"/>
      <c r="ADX155" s="255"/>
      <c r="ADY155" s="255"/>
      <c r="ADZ155" s="255"/>
      <c r="AEA155" s="255"/>
      <c r="AEB155" s="255"/>
      <c r="AEC155" s="255"/>
      <c r="AED155" s="255"/>
      <c r="AEE155" s="255"/>
      <c r="AEF155" s="255"/>
      <c r="AEG155" s="255"/>
      <c r="AEH155" s="255"/>
      <c r="AEI155" s="255"/>
      <c r="AEJ155" s="255"/>
      <c r="AEK155" s="255"/>
      <c r="AEL155" s="255"/>
      <c r="AEM155" s="255"/>
      <c r="AEN155" s="255"/>
      <c r="AEO155" s="255"/>
      <c r="AEP155" s="255"/>
      <c r="AEQ155" s="255"/>
      <c r="AER155" s="255"/>
      <c r="AES155" s="255"/>
      <c r="AET155" s="255"/>
      <c r="AEU155" s="255"/>
      <c r="AEV155" s="255"/>
      <c r="AEW155" s="255"/>
      <c r="AEX155" s="255"/>
      <c r="AEY155" s="255"/>
      <c r="AEZ155" s="255"/>
      <c r="AFA155" s="255"/>
      <c r="AFB155" s="255"/>
      <c r="AFC155" s="255"/>
      <c r="AFD155" s="255"/>
      <c r="AFE155" s="255"/>
      <c r="AFF155" s="255"/>
      <c r="AFG155" s="255"/>
      <c r="AFH155" s="255"/>
      <c r="AFI155" s="255"/>
      <c r="AFJ155" s="255"/>
      <c r="AFK155" s="255"/>
      <c r="AFL155" s="255"/>
      <c r="AFM155" s="255"/>
      <c r="AFN155" s="255"/>
      <c r="AFO155" s="255"/>
      <c r="AFP155" s="255"/>
      <c r="AFQ155" s="255"/>
      <c r="AFR155" s="255"/>
      <c r="AFS155" s="255"/>
      <c r="AFT155" s="255"/>
      <c r="AFU155" s="255"/>
      <c r="AFV155" s="255"/>
      <c r="AFW155" s="255"/>
      <c r="AFX155" s="255"/>
      <c r="AFY155" s="255"/>
      <c r="AFZ155" s="255"/>
      <c r="AGA155" s="255"/>
      <c r="AGB155" s="255"/>
      <c r="AGC155" s="255"/>
      <c r="AGD155" s="255"/>
      <c r="AGE155" s="255"/>
      <c r="AGF155" s="255"/>
      <c r="AGG155" s="255"/>
      <c r="AGH155" s="255"/>
      <c r="AGI155" s="255"/>
      <c r="AGJ155" s="255"/>
      <c r="AGK155" s="255"/>
      <c r="AGL155" s="255"/>
      <c r="AGM155" s="255"/>
      <c r="AGN155" s="255"/>
      <c r="AGO155" s="255"/>
      <c r="AGP155" s="255"/>
      <c r="AGQ155" s="255"/>
      <c r="AGR155" s="255"/>
      <c r="AGS155" s="255"/>
      <c r="AGT155" s="255"/>
      <c r="AGU155" s="255"/>
      <c r="AGV155" s="255"/>
      <c r="AGW155" s="255"/>
      <c r="AGX155" s="255"/>
      <c r="AGY155" s="255"/>
      <c r="AGZ155" s="255"/>
      <c r="AHA155" s="255"/>
      <c r="AHB155" s="255"/>
      <c r="AHC155" s="255"/>
      <c r="AHD155" s="255"/>
      <c r="AHE155" s="255"/>
      <c r="AHF155" s="255"/>
      <c r="AHG155" s="255"/>
      <c r="AHH155" s="255"/>
      <c r="AHI155" s="255"/>
      <c r="AHJ155" s="255"/>
      <c r="AHK155" s="255"/>
      <c r="AHL155" s="255"/>
      <c r="AHM155" s="255"/>
      <c r="AHN155" s="255"/>
      <c r="AHO155" s="255"/>
      <c r="AHP155" s="255"/>
      <c r="AHQ155" s="255"/>
      <c r="AHR155" s="255"/>
      <c r="AHS155" s="255"/>
      <c r="AHT155" s="255"/>
      <c r="AHU155" s="255"/>
      <c r="AHV155" s="255"/>
      <c r="AHW155" s="255"/>
      <c r="AHX155" s="255"/>
      <c r="AHY155" s="255"/>
      <c r="AHZ155" s="255"/>
      <c r="AIA155" s="255"/>
      <c r="AIB155" s="255"/>
      <c r="AIC155" s="255"/>
      <c r="AID155" s="255"/>
      <c r="AIE155" s="255"/>
      <c r="AIF155" s="255"/>
      <c r="AIG155" s="255"/>
      <c r="AIH155" s="255"/>
      <c r="AII155" s="255"/>
      <c r="AIJ155" s="255"/>
      <c r="AIK155" s="255"/>
      <c r="AIL155" s="255"/>
      <c r="AIM155" s="255"/>
      <c r="AIN155" s="255"/>
      <c r="AIO155" s="255"/>
      <c r="AIP155" s="255"/>
      <c r="AIQ155" s="255"/>
      <c r="AIR155" s="255"/>
      <c r="AIS155" s="255"/>
      <c r="AIT155" s="255"/>
      <c r="AIU155" s="255"/>
      <c r="AIV155" s="255"/>
      <c r="AIW155" s="255"/>
      <c r="AIX155" s="255"/>
      <c r="AIY155" s="255"/>
      <c r="AIZ155" s="255"/>
      <c r="AJA155" s="255"/>
      <c r="AJB155" s="255"/>
      <c r="AJC155" s="255"/>
      <c r="AJD155" s="255"/>
      <c r="AJE155" s="255"/>
      <c r="AJF155" s="255"/>
      <c r="AJG155" s="255"/>
      <c r="AJH155" s="255"/>
      <c r="AJI155" s="255"/>
      <c r="AJJ155" s="255"/>
      <c r="AJK155" s="255"/>
      <c r="AJL155" s="255"/>
      <c r="AJM155" s="255"/>
      <c r="AJN155" s="255"/>
      <c r="AJO155" s="255"/>
      <c r="AJP155" s="255"/>
      <c r="AJQ155" s="255"/>
      <c r="AJR155" s="255"/>
      <c r="AJS155" s="255"/>
      <c r="AJT155" s="255"/>
      <c r="AJU155" s="255"/>
      <c r="AJV155" s="255"/>
      <c r="AJW155" s="255"/>
      <c r="AJX155" s="255"/>
      <c r="AJY155" s="255"/>
      <c r="AJZ155" s="255"/>
      <c r="AKA155" s="255"/>
      <c r="AKB155" s="255"/>
      <c r="AKC155" s="255"/>
      <c r="AKD155" s="255"/>
      <c r="AKE155" s="255"/>
      <c r="AKF155" s="255"/>
      <c r="AKG155" s="255"/>
      <c r="AKH155" s="255"/>
      <c r="AKI155" s="255"/>
      <c r="AKJ155" s="255"/>
      <c r="AKK155" s="255"/>
      <c r="AKL155" s="255"/>
      <c r="AKM155" s="255"/>
      <c r="AKN155" s="255"/>
      <c r="AKO155" s="255"/>
      <c r="AKP155" s="255"/>
      <c r="AKQ155" s="255"/>
      <c r="AKR155" s="255"/>
      <c r="AKS155" s="255"/>
      <c r="AKT155" s="255"/>
      <c r="AKU155" s="255"/>
      <c r="AKV155" s="255"/>
      <c r="AKW155" s="255"/>
      <c r="AKX155" s="255"/>
      <c r="AKY155" s="255"/>
      <c r="AKZ155" s="255"/>
      <c r="ALA155" s="255"/>
      <c r="ALB155" s="255"/>
      <c r="ALC155" s="255"/>
      <c r="ALD155" s="255"/>
      <c r="ALE155" s="255"/>
      <c r="ALF155" s="255"/>
      <c r="ALG155" s="255"/>
      <c r="ALH155" s="255"/>
      <c r="ALI155" s="255"/>
      <c r="ALJ155" s="255"/>
      <c r="ALK155" s="255"/>
      <c r="ALL155" s="42"/>
      <c r="ALM155" s="42"/>
      <c r="ALN155" s="42"/>
      <c r="ALO155" s="42"/>
      <c r="ALP155" s="42"/>
      <c r="ALQ155" s="42"/>
      <c r="ALR155" s="42"/>
      <c r="ALS155" s="42"/>
      <c r="ALT155" s="42"/>
    </row>
    <row r="156" spans="1:1008" s="191" customFormat="1">
      <c r="A156" s="251" t="s">
        <v>6307</v>
      </c>
      <c r="B156" s="328">
        <v>383</v>
      </c>
      <c r="C156" s="301" t="str">
        <f>(IF($A156="SINAPI",INDEX(SINAPI_NOV2020_NDES!$A$7:$H$6703,MATCH($B156,SINAPI_NOV2020_NDES!$A$7:$A$6703,0),2),IF($A156="GOINFRA",INDEX(#REF!,MATCH($B156,#REF!,0),2),(INDEX(COMPOS!$A$4:$G$390,MATCH($B156,COMPOS!$A$4:A$390,0),2)))))</f>
        <v>FUNDO ANTI-CORROSIVO PARA ESQUADRIAS METÁLICAS</v>
      </c>
      <c r="D156" s="274" t="str">
        <f>(IF($A156="SINAPI",INDEX(SINAPI_NOV2020_NDES!$A$7:$H$6790,MATCH($B156,SINAPI_NOV2020_NDES!$A$7:$A$6790,0),3),(INDEX(COMPOS!$A$4:$G$5000,MATCH($B156,COMPOS!$A$4:$A$5000,0),3))))</f>
        <v>M2</v>
      </c>
      <c r="E156" s="276">
        <v>34.85</v>
      </c>
      <c r="F156" s="279">
        <f>(IF($A156="SINAPI",INDEX(SINAPI_NOV2020_NDES!$A$7:$H$6703,MATCH($B156,SINAPI_NOV2020_NDES!$A$7:$A$6703,0),5),(INDEX(COMPOS!$A$4:$G$801,MATCH($B156,COMPOS!$A$4:A$801,0),4))))</f>
        <v>10.377149000000001</v>
      </c>
      <c r="G156" s="280">
        <f>(IF($A156="SINAPI",INDEX(SINAPI_NOV2020_NDES!$A$7:$H$6703,MATCH($B156,SINAPI_NOV2020_NDES!$A$7:$A$6703,0),6),(INDEX(COMPOS!$A$4:$G$801,MATCH($B156,COMPOS!$A$4:A$801,0),5))))</f>
        <v>3.831423</v>
      </c>
      <c r="H156" s="280">
        <f>(IF($A156="SINAPI",INDEX(SINAPI_NOV2020_NDES!$A$7:$H$6703,MATCH($B156,SINAPI_NOV2020_NDES!$A$7:$A$6703,0),7),(INDEX(COMPOS!$A$4:$G$801,MATCH($B156,COMPOS!$A$4:A$801,0),6))))</f>
        <v>0</v>
      </c>
      <c r="I156" s="279">
        <f t="shared" si="50"/>
        <v>14.208572</v>
      </c>
      <c r="J156" s="276">
        <f t="shared" si="51"/>
        <v>495.16873420000002</v>
      </c>
      <c r="K156" s="255"/>
      <c r="L156" s="255"/>
      <c r="M156" s="255"/>
      <c r="N156" s="255"/>
      <c r="O156" s="257"/>
      <c r="P156" s="223"/>
      <c r="Q156" s="255"/>
      <c r="R156" s="255"/>
      <c r="S156" s="255"/>
      <c r="T156" s="255"/>
      <c r="U156" s="255"/>
      <c r="V156" s="255"/>
      <c r="W156" s="255"/>
      <c r="X156" s="255"/>
      <c r="Y156" s="255"/>
      <c r="Z156" s="255"/>
      <c r="AA156" s="255"/>
      <c r="AB156" s="255"/>
      <c r="AC156" s="255"/>
      <c r="AD156" s="255"/>
      <c r="AE156" s="255"/>
      <c r="AF156" s="255"/>
      <c r="AG156" s="255"/>
      <c r="AH156" s="255"/>
      <c r="AI156" s="255"/>
      <c r="AJ156" s="255"/>
      <c r="AK156" s="255"/>
      <c r="AL156" s="255"/>
      <c r="AM156" s="255"/>
      <c r="AN156" s="255"/>
      <c r="AO156" s="255"/>
      <c r="AP156" s="255"/>
      <c r="AQ156" s="255"/>
      <c r="AR156" s="255"/>
      <c r="AS156" s="255"/>
      <c r="AT156" s="255"/>
      <c r="AU156" s="255"/>
      <c r="AV156" s="255"/>
      <c r="AW156" s="255"/>
      <c r="AX156" s="255"/>
      <c r="AY156" s="255"/>
      <c r="AZ156" s="255"/>
      <c r="BA156" s="255"/>
      <c r="BB156" s="255"/>
      <c r="BC156" s="255"/>
      <c r="BD156" s="255"/>
      <c r="BE156" s="255"/>
      <c r="BF156" s="255"/>
      <c r="BG156" s="255"/>
      <c r="BH156" s="255"/>
      <c r="BI156" s="255"/>
      <c r="BJ156" s="255"/>
      <c r="BK156" s="255"/>
      <c r="BL156" s="255"/>
      <c r="BM156" s="255"/>
      <c r="BN156" s="255"/>
      <c r="BO156" s="255"/>
      <c r="BP156" s="255"/>
      <c r="BQ156" s="255"/>
      <c r="BR156" s="255"/>
      <c r="BS156" s="255"/>
      <c r="BT156" s="255"/>
      <c r="BU156" s="255"/>
      <c r="BV156" s="255"/>
      <c r="BW156" s="255"/>
      <c r="BX156" s="255"/>
      <c r="BY156" s="255"/>
      <c r="BZ156" s="255"/>
      <c r="CA156" s="255"/>
      <c r="CB156" s="255"/>
      <c r="CC156" s="255"/>
      <c r="CD156" s="255"/>
      <c r="CE156" s="255"/>
      <c r="CF156" s="255"/>
      <c r="CG156" s="255"/>
      <c r="CH156" s="255"/>
      <c r="CI156" s="255"/>
      <c r="CJ156" s="255"/>
      <c r="CK156" s="255"/>
      <c r="CL156" s="255"/>
      <c r="CM156" s="255"/>
      <c r="CN156" s="255"/>
      <c r="CO156" s="255"/>
      <c r="CP156" s="255"/>
      <c r="CQ156" s="255"/>
      <c r="CR156" s="255"/>
      <c r="CS156" s="255"/>
      <c r="CT156" s="255"/>
      <c r="CU156" s="255"/>
      <c r="CV156" s="255"/>
      <c r="CW156" s="255"/>
      <c r="CX156" s="255"/>
      <c r="CY156" s="255"/>
      <c r="CZ156" s="255"/>
      <c r="DA156" s="255"/>
      <c r="DB156" s="255"/>
      <c r="DC156" s="255"/>
      <c r="DD156" s="255"/>
      <c r="DE156" s="255"/>
      <c r="DF156" s="255"/>
      <c r="DG156" s="255"/>
      <c r="DH156" s="255"/>
      <c r="DI156" s="255"/>
      <c r="DJ156" s="255"/>
      <c r="DK156" s="255"/>
      <c r="DL156" s="255"/>
      <c r="DM156" s="255"/>
      <c r="DN156" s="255"/>
      <c r="DO156" s="255"/>
      <c r="DP156" s="255"/>
      <c r="DQ156" s="255"/>
      <c r="DR156" s="255"/>
      <c r="DS156" s="255"/>
      <c r="DT156" s="255"/>
      <c r="DU156" s="255"/>
      <c r="DV156" s="255"/>
      <c r="DW156" s="255"/>
      <c r="DX156" s="255"/>
      <c r="DY156" s="255"/>
      <c r="DZ156" s="255"/>
      <c r="EA156" s="255"/>
      <c r="EB156" s="255"/>
      <c r="EC156" s="255"/>
      <c r="ED156" s="255"/>
      <c r="EE156" s="255"/>
      <c r="EF156" s="255"/>
      <c r="EG156" s="255"/>
      <c r="EH156" s="255"/>
      <c r="EI156" s="255"/>
      <c r="EJ156" s="255"/>
      <c r="EK156" s="255"/>
      <c r="EL156" s="255"/>
      <c r="EM156" s="255"/>
      <c r="EN156" s="255"/>
      <c r="EO156" s="255"/>
      <c r="EP156" s="255"/>
      <c r="EQ156" s="255"/>
      <c r="ER156" s="255"/>
      <c r="ES156" s="255"/>
      <c r="ET156" s="255"/>
      <c r="EU156" s="255"/>
      <c r="EV156" s="255"/>
      <c r="EW156" s="255"/>
      <c r="EX156" s="255"/>
      <c r="EY156" s="255"/>
      <c r="EZ156" s="255"/>
      <c r="FA156" s="255"/>
      <c r="FB156" s="255"/>
      <c r="FC156" s="255"/>
      <c r="FD156" s="255"/>
      <c r="FE156" s="255"/>
      <c r="FF156" s="255"/>
      <c r="FG156" s="255"/>
      <c r="FH156" s="255"/>
      <c r="FI156" s="255"/>
      <c r="FJ156" s="255"/>
      <c r="FK156" s="255"/>
      <c r="FL156" s="255"/>
      <c r="FM156" s="255"/>
      <c r="FN156" s="255"/>
      <c r="FO156" s="255"/>
      <c r="FP156" s="255"/>
      <c r="FQ156" s="255"/>
      <c r="FR156" s="255"/>
      <c r="FS156" s="255"/>
      <c r="FT156" s="255"/>
      <c r="FU156" s="255"/>
      <c r="FV156" s="255"/>
      <c r="FW156" s="255"/>
      <c r="FX156" s="255"/>
      <c r="FY156" s="255"/>
      <c r="FZ156" s="255"/>
      <c r="GA156" s="255"/>
      <c r="GB156" s="255"/>
      <c r="GC156" s="255"/>
      <c r="GD156" s="255"/>
      <c r="GE156" s="255"/>
      <c r="GF156" s="255"/>
      <c r="GG156" s="255"/>
      <c r="GH156" s="255"/>
      <c r="GI156" s="255"/>
      <c r="GJ156" s="255"/>
      <c r="GK156" s="255"/>
      <c r="GL156" s="255"/>
      <c r="GM156" s="255"/>
      <c r="GN156" s="255"/>
      <c r="GO156" s="255"/>
      <c r="GP156" s="255"/>
      <c r="GQ156" s="255"/>
      <c r="GR156" s="255"/>
      <c r="GS156" s="255"/>
      <c r="GT156" s="255"/>
      <c r="GU156" s="255"/>
      <c r="GV156" s="255"/>
      <c r="GW156" s="255"/>
      <c r="GX156" s="255"/>
      <c r="GY156" s="255"/>
      <c r="GZ156" s="255"/>
      <c r="HA156" s="255"/>
      <c r="HB156" s="255"/>
      <c r="HC156" s="255"/>
      <c r="HD156" s="255"/>
      <c r="HE156" s="255"/>
      <c r="HF156" s="255"/>
      <c r="HG156" s="255"/>
      <c r="HH156" s="255"/>
      <c r="HI156" s="255"/>
      <c r="HJ156" s="255"/>
      <c r="HK156" s="255"/>
      <c r="HL156" s="255"/>
      <c r="HM156" s="255"/>
      <c r="HN156" s="255"/>
      <c r="HO156" s="255"/>
      <c r="HP156" s="255"/>
      <c r="HQ156" s="255"/>
      <c r="HR156" s="255"/>
      <c r="HS156" s="255"/>
      <c r="HT156" s="255"/>
      <c r="HU156" s="255"/>
      <c r="HV156" s="255"/>
      <c r="HW156" s="255"/>
      <c r="HX156" s="255"/>
      <c r="HY156" s="255"/>
      <c r="HZ156" s="255"/>
      <c r="IA156" s="255"/>
      <c r="IB156" s="255"/>
      <c r="IC156" s="255"/>
      <c r="ID156" s="255"/>
      <c r="IE156" s="255"/>
      <c r="IF156" s="255"/>
      <c r="IG156" s="255"/>
      <c r="IH156" s="255"/>
      <c r="II156" s="255"/>
      <c r="IJ156" s="255"/>
      <c r="IK156" s="255"/>
      <c r="IL156" s="255"/>
      <c r="IM156" s="255"/>
      <c r="IN156" s="255"/>
      <c r="IO156" s="255"/>
      <c r="IP156" s="255"/>
      <c r="IQ156" s="255"/>
      <c r="IR156" s="255"/>
      <c r="IS156" s="255"/>
      <c r="IT156" s="255"/>
      <c r="IU156" s="255"/>
      <c r="IV156" s="255"/>
      <c r="IW156" s="255"/>
      <c r="IX156" s="255"/>
      <c r="IY156" s="255"/>
      <c r="IZ156" s="255"/>
      <c r="JA156" s="255"/>
      <c r="JB156" s="255"/>
      <c r="JC156" s="255"/>
      <c r="JD156" s="255"/>
      <c r="JE156" s="255"/>
      <c r="JF156" s="255"/>
      <c r="JG156" s="255"/>
      <c r="JH156" s="255"/>
      <c r="JI156" s="255"/>
      <c r="JJ156" s="255"/>
      <c r="JK156" s="255"/>
      <c r="JL156" s="255"/>
      <c r="JM156" s="255"/>
      <c r="JN156" s="255"/>
      <c r="JO156" s="255"/>
      <c r="JP156" s="255"/>
      <c r="JQ156" s="255"/>
      <c r="JR156" s="255"/>
      <c r="JS156" s="255"/>
      <c r="JT156" s="255"/>
      <c r="JU156" s="255"/>
      <c r="JV156" s="255"/>
      <c r="JW156" s="255"/>
      <c r="JX156" s="255"/>
      <c r="JY156" s="255"/>
      <c r="JZ156" s="255"/>
      <c r="KA156" s="255"/>
      <c r="KB156" s="255"/>
      <c r="KC156" s="255"/>
      <c r="KD156" s="255"/>
      <c r="KE156" s="255"/>
      <c r="KF156" s="255"/>
      <c r="KG156" s="255"/>
      <c r="KH156" s="255"/>
      <c r="KI156" s="255"/>
      <c r="KJ156" s="255"/>
      <c r="KK156" s="255"/>
      <c r="KL156" s="255"/>
      <c r="KM156" s="255"/>
      <c r="KN156" s="255"/>
      <c r="KO156" s="255"/>
      <c r="KP156" s="255"/>
      <c r="KQ156" s="255"/>
      <c r="KR156" s="255"/>
      <c r="KS156" s="255"/>
      <c r="KT156" s="255"/>
      <c r="KU156" s="255"/>
      <c r="KV156" s="255"/>
      <c r="KW156" s="255"/>
      <c r="KX156" s="255"/>
      <c r="KY156" s="255"/>
      <c r="KZ156" s="255"/>
      <c r="LA156" s="255"/>
      <c r="LB156" s="255"/>
      <c r="LC156" s="255"/>
      <c r="LD156" s="255"/>
      <c r="LE156" s="255"/>
      <c r="LF156" s="255"/>
      <c r="LG156" s="255"/>
      <c r="LH156" s="255"/>
      <c r="LI156" s="255"/>
      <c r="LJ156" s="255"/>
      <c r="LK156" s="255"/>
      <c r="LL156" s="255"/>
      <c r="LM156" s="255"/>
      <c r="LN156" s="255"/>
      <c r="LO156" s="255"/>
      <c r="LP156" s="255"/>
      <c r="LQ156" s="255"/>
      <c r="LR156" s="255"/>
      <c r="LS156" s="255"/>
      <c r="LT156" s="255"/>
      <c r="LU156" s="255"/>
      <c r="LV156" s="255"/>
      <c r="LW156" s="255"/>
      <c r="LX156" s="255"/>
      <c r="LY156" s="255"/>
      <c r="LZ156" s="255"/>
      <c r="MA156" s="255"/>
      <c r="MB156" s="255"/>
      <c r="MC156" s="255"/>
      <c r="MD156" s="255"/>
      <c r="ME156" s="255"/>
      <c r="MF156" s="255"/>
      <c r="MG156" s="255"/>
      <c r="MH156" s="255"/>
      <c r="MI156" s="255"/>
      <c r="MJ156" s="255"/>
      <c r="MK156" s="255"/>
      <c r="ML156" s="255"/>
      <c r="MM156" s="255"/>
      <c r="MN156" s="255"/>
      <c r="MO156" s="255"/>
      <c r="MP156" s="255"/>
      <c r="MQ156" s="255"/>
      <c r="MR156" s="255"/>
      <c r="MS156" s="255"/>
      <c r="MT156" s="255"/>
      <c r="MU156" s="255"/>
      <c r="MV156" s="255"/>
      <c r="MW156" s="255"/>
      <c r="MX156" s="255"/>
      <c r="MY156" s="255"/>
      <c r="MZ156" s="255"/>
      <c r="NA156" s="255"/>
      <c r="NB156" s="255"/>
      <c r="NC156" s="255"/>
      <c r="ND156" s="255"/>
      <c r="NE156" s="255"/>
      <c r="NF156" s="255"/>
      <c r="NG156" s="255"/>
      <c r="NH156" s="255"/>
      <c r="NI156" s="255"/>
      <c r="NJ156" s="255"/>
      <c r="NK156" s="255"/>
      <c r="NL156" s="255"/>
      <c r="NM156" s="255"/>
      <c r="NN156" s="255"/>
      <c r="NO156" s="255"/>
      <c r="NP156" s="255"/>
      <c r="NQ156" s="255"/>
      <c r="NR156" s="255"/>
      <c r="NS156" s="255"/>
      <c r="NT156" s="255"/>
      <c r="NU156" s="255"/>
      <c r="NV156" s="255"/>
      <c r="NW156" s="255"/>
      <c r="NX156" s="255"/>
      <c r="NY156" s="255"/>
      <c r="NZ156" s="255"/>
      <c r="OA156" s="255"/>
      <c r="OB156" s="255"/>
      <c r="OC156" s="255"/>
      <c r="OD156" s="255"/>
      <c r="OE156" s="255"/>
      <c r="OF156" s="255"/>
      <c r="OG156" s="255"/>
      <c r="OH156" s="255"/>
      <c r="OI156" s="255"/>
      <c r="OJ156" s="255"/>
      <c r="OK156" s="255"/>
      <c r="OL156" s="255"/>
      <c r="OM156" s="255"/>
      <c r="ON156" s="255"/>
      <c r="OO156" s="255"/>
      <c r="OP156" s="255"/>
      <c r="OQ156" s="255"/>
      <c r="OR156" s="255"/>
      <c r="OS156" s="255"/>
      <c r="OT156" s="255"/>
      <c r="OU156" s="255"/>
      <c r="OV156" s="255"/>
      <c r="OW156" s="255"/>
      <c r="OX156" s="255"/>
      <c r="OY156" s="255"/>
      <c r="OZ156" s="255"/>
      <c r="PA156" s="255"/>
      <c r="PB156" s="255"/>
      <c r="PC156" s="255"/>
      <c r="PD156" s="255"/>
      <c r="PE156" s="255"/>
      <c r="PF156" s="255"/>
      <c r="PG156" s="255"/>
      <c r="PH156" s="255"/>
      <c r="PI156" s="255"/>
      <c r="PJ156" s="255"/>
      <c r="PK156" s="255"/>
      <c r="PL156" s="255"/>
      <c r="PM156" s="255"/>
      <c r="PN156" s="255"/>
      <c r="PO156" s="255"/>
      <c r="PP156" s="255"/>
      <c r="PQ156" s="255"/>
      <c r="PR156" s="255"/>
      <c r="PS156" s="255"/>
      <c r="PT156" s="255"/>
      <c r="PU156" s="255"/>
      <c r="PV156" s="255"/>
      <c r="PW156" s="255"/>
      <c r="PX156" s="255"/>
      <c r="PY156" s="255"/>
      <c r="PZ156" s="255"/>
      <c r="QA156" s="255"/>
      <c r="QB156" s="255"/>
      <c r="QC156" s="255"/>
      <c r="QD156" s="255"/>
      <c r="QE156" s="255"/>
      <c r="QF156" s="255"/>
      <c r="QG156" s="255"/>
      <c r="QH156" s="255"/>
      <c r="QI156" s="255"/>
      <c r="QJ156" s="255"/>
      <c r="QK156" s="255"/>
      <c r="QL156" s="255"/>
      <c r="QM156" s="255"/>
      <c r="QN156" s="255"/>
      <c r="QO156" s="255"/>
      <c r="QP156" s="255"/>
      <c r="QQ156" s="255"/>
      <c r="QR156" s="255"/>
      <c r="QS156" s="255"/>
      <c r="QT156" s="255"/>
      <c r="QU156" s="255"/>
      <c r="QV156" s="255"/>
      <c r="QW156" s="255"/>
      <c r="QX156" s="255"/>
      <c r="QY156" s="255"/>
      <c r="QZ156" s="255"/>
      <c r="RA156" s="255"/>
      <c r="RB156" s="255"/>
      <c r="RC156" s="255"/>
      <c r="RD156" s="255"/>
      <c r="RE156" s="255"/>
      <c r="RF156" s="255"/>
      <c r="RG156" s="255"/>
      <c r="RH156" s="255"/>
      <c r="RI156" s="255"/>
      <c r="RJ156" s="255"/>
      <c r="RK156" s="255"/>
      <c r="RL156" s="255"/>
      <c r="RM156" s="255"/>
      <c r="RN156" s="255"/>
      <c r="RO156" s="255"/>
      <c r="RP156" s="255"/>
      <c r="RQ156" s="255"/>
      <c r="RR156" s="255"/>
      <c r="RS156" s="255"/>
      <c r="RT156" s="255"/>
      <c r="RU156" s="255"/>
      <c r="RV156" s="255"/>
      <c r="RW156" s="255"/>
      <c r="RX156" s="255"/>
      <c r="RY156" s="255"/>
      <c r="RZ156" s="255"/>
      <c r="SA156" s="255"/>
      <c r="SB156" s="255"/>
      <c r="SC156" s="255"/>
      <c r="SD156" s="255"/>
      <c r="SE156" s="255"/>
      <c r="SF156" s="255"/>
      <c r="SG156" s="255"/>
      <c r="SH156" s="255"/>
      <c r="SI156" s="255"/>
      <c r="SJ156" s="255"/>
      <c r="SK156" s="255"/>
      <c r="SL156" s="255"/>
      <c r="SM156" s="255"/>
      <c r="SN156" s="255"/>
      <c r="SO156" s="255"/>
      <c r="SP156" s="255"/>
      <c r="SQ156" s="255"/>
      <c r="SR156" s="255"/>
      <c r="SS156" s="255"/>
      <c r="ST156" s="255"/>
      <c r="SU156" s="255"/>
      <c r="SV156" s="255"/>
      <c r="SW156" s="255"/>
      <c r="SX156" s="255"/>
      <c r="SY156" s="255"/>
      <c r="SZ156" s="255"/>
      <c r="TA156" s="255"/>
      <c r="TB156" s="255"/>
      <c r="TC156" s="255"/>
      <c r="TD156" s="255"/>
      <c r="TE156" s="255"/>
      <c r="TF156" s="255"/>
      <c r="TG156" s="255"/>
      <c r="TH156" s="255"/>
      <c r="TI156" s="255"/>
      <c r="TJ156" s="255"/>
      <c r="TK156" s="255"/>
      <c r="TL156" s="255"/>
      <c r="TM156" s="255"/>
      <c r="TN156" s="255"/>
      <c r="TO156" s="255"/>
      <c r="TP156" s="255"/>
      <c r="TQ156" s="255"/>
      <c r="TR156" s="255"/>
      <c r="TS156" s="255"/>
      <c r="TT156" s="255"/>
      <c r="TU156" s="255"/>
      <c r="TV156" s="255"/>
      <c r="TW156" s="255"/>
      <c r="TX156" s="255"/>
      <c r="TY156" s="255"/>
      <c r="TZ156" s="255"/>
      <c r="UA156" s="255"/>
      <c r="UB156" s="255"/>
      <c r="UC156" s="255"/>
      <c r="UD156" s="255"/>
      <c r="UE156" s="255"/>
      <c r="UF156" s="255"/>
      <c r="UG156" s="255"/>
      <c r="UH156" s="255"/>
      <c r="UI156" s="255"/>
      <c r="UJ156" s="255"/>
      <c r="UK156" s="255"/>
      <c r="UL156" s="255"/>
      <c r="UM156" s="255"/>
      <c r="UN156" s="255"/>
      <c r="UO156" s="255"/>
      <c r="UP156" s="255"/>
      <c r="UQ156" s="255"/>
      <c r="UR156" s="255"/>
      <c r="US156" s="255"/>
      <c r="UT156" s="255"/>
      <c r="UU156" s="255"/>
      <c r="UV156" s="255"/>
      <c r="UW156" s="255"/>
      <c r="UX156" s="255"/>
      <c r="UY156" s="255"/>
      <c r="UZ156" s="255"/>
      <c r="VA156" s="255"/>
      <c r="VB156" s="255"/>
      <c r="VC156" s="255"/>
      <c r="VD156" s="255"/>
      <c r="VE156" s="255"/>
      <c r="VF156" s="255"/>
      <c r="VG156" s="255"/>
      <c r="VH156" s="255"/>
      <c r="VI156" s="255"/>
      <c r="VJ156" s="255"/>
      <c r="VK156" s="255"/>
      <c r="VL156" s="255"/>
      <c r="VM156" s="255"/>
      <c r="VN156" s="255"/>
      <c r="VO156" s="255"/>
      <c r="VP156" s="255"/>
      <c r="VQ156" s="255"/>
      <c r="VR156" s="255"/>
      <c r="VS156" s="255"/>
      <c r="VT156" s="255"/>
      <c r="VU156" s="255"/>
      <c r="VV156" s="255"/>
      <c r="VW156" s="255"/>
      <c r="VX156" s="255"/>
      <c r="VY156" s="255"/>
      <c r="VZ156" s="255"/>
      <c r="WA156" s="255"/>
      <c r="WB156" s="255"/>
      <c r="WC156" s="255"/>
      <c r="WD156" s="255"/>
      <c r="WE156" s="255"/>
      <c r="WF156" s="255"/>
      <c r="WG156" s="255"/>
      <c r="WH156" s="255"/>
      <c r="WI156" s="255"/>
      <c r="WJ156" s="255"/>
      <c r="WK156" s="255"/>
      <c r="WL156" s="255"/>
      <c r="WM156" s="255"/>
      <c r="WN156" s="255"/>
      <c r="WO156" s="255"/>
      <c r="WP156" s="255"/>
      <c r="WQ156" s="255"/>
      <c r="WR156" s="255"/>
      <c r="WS156" s="255"/>
      <c r="WT156" s="255"/>
      <c r="WU156" s="255"/>
      <c r="WV156" s="255"/>
      <c r="WW156" s="255"/>
      <c r="WX156" s="255"/>
      <c r="WY156" s="255"/>
      <c r="WZ156" s="255"/>
      <c r="XA156" s="255"/>
      <c r="XB156" s="255"/>
      <c r="XC156" s="255"/>
      <c r="XD156" s="255"/>
      <c r="XE156" s="255"/>
      <c r="XF156" s="255"/>
      <c r="XG156" s="255"/>
      <c r="XH156" s="255"/>
      <c r="XI156" s="255"/>
      <c r="XJ156" s="255"/>
      <c r="XK156" s="255"/>
      <c r="XL156" s="255"/>
      <c r="XM156" s="255"/>
      <c r="XN156" s="255"/>
      <c r="XO156" s="255"/>
      <c r="XP156" s="255"/>
      <c r="XQ156" s="255"/>
      <c r="XR156" s="255"/>
      <c r="XS156" s="255"/>
      <c r="XT156" s="255"/>
      <c r="XU156" s="255"/>
      <c r="XV156" s="255"/>
      <c r="XW156" s="255"/>
      <c r="XX156" s="255"/>
      <c r="XY156" s="255"/>
      <c r="XZ156" s="255"/>
      <c r="YA156" s="255"/>
      <c r="YB156" s="255"/>
      <c r="YC156" s="255"/>
      <c r="YD156" s="255"/>
      <c r="YE156" s="255"/>
      <c r="YF156" s="255"/>
      <c r="YG156" s="255"/>
      <c r="YH156" s="255"/>
      <c r="YI156" s="255"/>
      <c r="YJ156" s="255"/>
      <c r="YK156" s="255"/>
      <c r="YL156" s="255"/>
      <c r="YM156" s="255"/>
      <c r="YN156" s="255"/>
      <c r="YO156" s="255"/>
      <c r="YP156" s="255"/>
      <c r="YQ156" s="255"/>
      <c r="YR156" s="255"/>
      <c r="YS156" s="255"/>
      <c r="YT156" s="255"/>
      <c r="YU156" s="255"/>
      <c r="YV156" s="255"/>
      <c r="YW156" s="255"/>
      <c r="YX156" s="255"/>
      <c r="YY156" s="255"/>
      <c r="YZ156" s="255"/>
      <c r="ZA156" s="255"/>
      <c r="ZB156" s="255"/>
      <c r="ZC156" s="255"/>
      <c r="ZD156" s="255"/>
      <c r="ZE156" s="255"/>
      <c r="ZF156" s="255"/>
      <c r="ZG156" s="255"/>
      <c r="ZH156" s="255"/>
      <c r="ZI156" s="255"/>
      <c r="ZJ156" s="255"/>
      <c r="ZK156" s="255"/>
      <c r="ZL156" s="255"/>
      <c r="ZM156" s="255"/>
      <c r="ZN156" s="255"/>
      <c r="ZO156" s="255"/>
      <c r="ZP156" s="255"/>
      <c r="ZQ156" s="255"/>
      <c r="ZR156" s="255"/>
      <c r="ZS156" s="255"/>
      <c r="ZT156" s="255"/>
      <c r="ZU156" s="255"/>
      <c r="ZV156" s="255"/>
      <c r="ZW156" s="255"/>
      <c r="ZX156" s="255"/>
      <c r="ZY156" s="255"/>
      <c r="ZZ156" s="255"/>
      <c r="AAA156" s="255"/>
      <c r="AAB156" s="255"/>
      <c r="AAC156" s="255"/>
      <c r="AAD156" s="255"/>
      <c r="AAE156" s="255"/>
      <c r="AAF156" s="255"/>
      <c r="AAG156" s="255"/>
      <c r="AAH156" s="255"/>
      <c r="AAI156" s="255"/>
      <c r="AAJ156" s="255"/>
      <c r="AAK156" s="255"/>
      <c r="AAL156" s="255"/>
      <c r="AAM156" s="255"/>
      <c r="AAN156" s="255"/>
      <c r="AAO156" s="255"/>
      <c r="AAP156" s="255"/>
      <c r="AAQ156" s="255"/>
      <c r="AAR156" s="255"/>
      <c r="AAS156" s="255"/>
      <c r="AAT156" s="255"/>
      <c r="AAU156" s="255"/>
      <c r="AAV156" s="255"/>
      <c r="AAW156" s="255"/>
      <c r="AAX156" s="255"/>
      <c r="AAY156" s="255"/>
      <c r="AAZ156" s="255"/>
      <c r="ABA156" s="255"/>
      <c r="ABB156" s="255"/>
      <c r="ABC156" s="255"/>
      <c r="ABD156" s="255"/>
      <c r="ABE156" s="255"/>
      <c r="ABF156" s="255"/>
      <c r="ABG156" s="255"/>
      <c r="ABH156" s="255"/>
      <c r="ABI156" s="255"/>
      <c r="ABJ156" s="255"/>
      <c r="ABK156" s="255"/>
      <c r="ABL156" s="255"/>
      <c r="ABM156" s="255"/>
      <c r="ABN156" s="255"/>
      <c r="ABO156" s="255"/>
      <c r="ABP156" s="255"/>
      <c r="ABQ156" s="255"/>
      <c r="ABR156" s="255"/>
      <c r="ABS156" s="255"/>
      <c r="ABT156" s="255"/>
      <c r="ABU156" s="255"/>
      <c r="ABV156" s="255"/>
      <c r="ABW156" s="255"/>
      <c r="ABX156" s="255"/>
      <c r="ABY156" s="255"/>
      <c r="ABZ156" s="255"/>
      <c r="ACA156" s="255"/>
      <c r="ACB156" s="255"/>
      <c r="ACC156" s="255"/>
      <c r="ACD156" s="255"/>
      <c r="ACE156" s="255"/>
      <c r="ACF156" s="255"/>
      <c r="ACG156" s="255"/>
      <c r="ACH156" s="255"/>
      <c r="ACI156" s="255"/>
      <c r="ACJ156" s="255"/>
      <c r="ACK156" s="255"/>
      <c r="ACL156" s="255"/>
      <c r="ACM156" s="255"/>
      <c r="ACN156" s="255"/>
      <c r="ACO156" s="255"/>
      <c r="ACP156" s="255"/>
      <c r="ACQ156" s="255"/>
      <c r="ACR156" s="255"/>
      <c r="ACS156" s="255"/>
      <c r="ACT156" s="255"/>
      <c r="ACU156" s="255"/>
      <c r="ACV156" s="255"/>
      <c r="ACW156" s="255"/>
      <c r="ACX156" s="255"/>
      <c r="ACY156" s="255"/>
      <c r="ACZ156" s="255"/>
      <c r="ADA156" s="255"/>
      <c r="ADB156" s="255"/>
      <c r="ADC156" s="255"/>
      <c r="ADD156" s="255"/>
      <c r="ADE156" s="255"/>
      <c r="ADF156" s="255"/>
      <c r="ADG156" s="255"/>
      <c r="ADH156" s="255"/>
      <c r="ADI156" s="255"/>
      <c r="ADJ156" s="255"/>
      <c r="ADK156" s="255"/>
      <c r="ADL156" s="255"/>
      <c r="ADM156" s="255"/>
      <c r="ADN156" s="255"/>
      <c r="ADO156" s="255"/>
      <c r="ADP156" s="255"/>
      <c r="ADQ156" s="255"/>
      <c r="ADR156" s="255"/>
      <c r="ADS156" s="255"/>
      <c r="ADT156" s="255"/>
      <c r="ADU156" s="255"/>
      <c r="ADV156" s="255"/>
      <c r="ADW156" s="255"/>
      <c r="ADX156" s="255"/>
      <c r="ADY156" s="255"/>
      <c r="ADZ156" s="255"/>
      <c r="AEA156" s="255"/>
      <c r="AEB156" s="255"/>
      <c r="AEC156" s="255"/>
      <c r="AED156" s="255"/>
      <c r="AEE156" s="255"/>
      <c r="AEF156" s="255"/>
      <c r="AEG156" s="255"/>
      <c r="AEH156" s="255"/>
      <c r="AEI156" s="255"/>
      <c r="AEJ156" s="255"/>
      <c r="AEK156" s="255"/>
      <c r="AEL156" s="255"/>
      <c r="AEM156" s="255"/>
      <c r="AEN156" s="255"/>
      <c r="AEO156" s="255"/>
      <c r="AEP156" s="255"/>
      <c r="AEQ156" s="255"/>
      <c r="AER156" s="255"/>
      <c r="AES156" s="255"/>
      <c r="AET156" s="255"/>
      <c r="AEU156" s="255"/>
      <c r="AEV156" s="255"/>
      <c r="AEW156" s="255"/>
      <c r="AEX156" s="255"/>
      <c r="AEY156" s="255"/>
      <c r="AEZ156" s="255"/>
      <c r="AFA156" s="255"/>
      <c r="AFB156" s="255"/>
      <c r="AFC156" s="255"/>
      <c r="AFD156" s="255"/>
      <c r="AFE156" s="255"/>
      <c r="AFF156" s="255"/>
      <c r="AFG156" s="255"/>
      <c r="AFH156" s="255"/>
      <c r="AFI156" s="255"/>
      <c r="AFJ156" s="255"/>
      <c r="AFK156" s="255"/>
      <c r="AFL156" s="255"/>
      <c r="AFM156" s="255"/>
      <c r="AFN156" s="255"/>
      <c r="AFO156" s="255"/>
      <c r="AFP156" s="255"/>
      <c r="AFQ156" s="255"/>
      <c r="AFR156" s="255"/>
      <c r="AFS156" s="255"/>
      <c r="AFT156" s="255"/>
      <c r="AFU156" s="255"/>
      <c r="AFV156" s="255"/>
      <c r="AFW156" s="255"/>
      <c r="AFX156" s="255"/>
      <c r="AFY156" s="255"/>
      <c r="AFZ156" s="255"/>
      <c r="AGA156" s="255"/>
      <c r="AGB156" s="255"/>
      <c r="AGC156" s="255"/>
      <c r="AGD156" s="255"/>
      <c r="AGE156" s="255"/>
      <c r="AGF156" s="255"/>
      <c r="AGG156" s="255"/>
      <c r="AGH156" s="255"/>
      <c r="AGI156" s="255"/>
      <c r="AGJ156" s="255"/>
      <c r="AGK156" s="255"/>
      <c r="AGL156" s="255"/>
      <c r="AGM156" s="255"/>
      <c r="AGN156" s="255"/>
      <c r="AGO156" s="255"/>
      <c r="AGP156" s="255"/>
      <c r="AGQ156" s="255"/>
      <c r="AGR156" s="255"/>
      <c r="AGS156" s="255"/>
      <c r="AGT156" s="255"/>
      <c r="AGU156" s="255"/>
      <c r="AGV156" s="255"/>
      <c r="AGW156" s="255"/>
      <c r="AGX156" s="255"/>
      <c r="AGY156" s="255"/>
      <c r="AGZ156" s="255"/>
      <c r="AHA156" s="255"/>
      <c r="AHB156" s="255"/>
      <c r="AHC156" s="255"/>
      <c r="AHD156" s="255"/>
      <c r="AHE156" s="255"/>
      <c r="AHF156" s="255"/>
      <c r="AHG156" s="255"/>
      <c r="AHH156" s="255"/>
      <c r="AHI156" s="255"/>
      <c r="AHJ156" s="255"/>
      <c r="AHK156" s="255"/>
      <c r="AHL156" s="255"/>
      <c r="AHM156" s="255"/>
      <c r="AHN156" s="255"/>
      <c r="AHO156" s="255"/>
      <c r="AHP156" s="255"/>
      <c r="AHQ156" s="255"/>
      <c r="AHR156" s="255"/>
      <c r="AHS156" s="255"/>
      <c r="AHT156" s="255"/>
      <c r="AHU156" s="255"/>
      <c r="AHV156" s="255"/>
      <c r="AHW156" s="255"/>
      <c r="AHX156" s="255"/>
      <c r="AHY156" s="255"/>
      <c r="AHZ156" s="255"/>
      <c r="AIA156" s="255"/>
      <c r="AIB156" s="255"/>
      <c r="AIC156" s="255"/>
      <c r="AID156" s="255"/>
      <c r="AIE156" s="255"/>
      <c r="AIF156" s="255"/>
      <c r="AIG156" s="255"/>
      <c r="AIH156" s="255"/>
      <c r="AII156" s="255"/>
      <c r="AIJ156" s="255"/>
      <c r="AIK156" s="255"/>
      <c r="AIL156" s="255"/>
      <c r="AIM156" s="255"/>
      <c r="AIN156" s="255"/>
      <c r="AIO156" s="255"/>
      <c r="AIP156" s="255"/>
      <c r="AIQ156" s="255"/>
      <c r="AIR156" s="255"/>
      <c r="AIS156" s="255"/>
      <c r="AIT156" s="255"/>
      <c r="AIU156" s="255"/>
      <c r="AIV156" s="255"/>
      <c r="AIW156" s="255"/>
      <c r="AIX156" s="255"/>
      <c r="AIY156" s="255"/>
      <c r="AIZ156" s="255"/>
      <c r="AJA156" s="255"/>
      <c r="AJB156" s="255"/>
      <c r="AJC156" s="255"/>
      <c r="AJD156" s="255"/>
      <c r="AJE156" s="255"/>
      <c r="AJF156" s="255"/>
      <c r="AJG156" s="255"/>
      <c r="AJH156" s="255"/>
      <c r="AJI156" s="255"/>
      <c r="AJJ156" s="255"/>
      <c r="AJK156" s="255"/>
      <c r="AJL156" s="255"/>
      <c r="AJM156" s="255"/>
      <c r="AJN156" s="255"/>
      <c r="AJO156" s="255"/>
      <c r="AJP156" s="255"/>
      <c r="AJQ156" s="255"/>
      <c r="AJR156" s="255"/>
      <c r="AJS156" s="255"/>
      <c r="AJT156" s="255"/>
      <c r="AJU156" s="255"/>
      <c r="AJV156" s="255"/>
      <c r="AJW156" s="255"/>
      <c r="AJX156" s="255"/>
      <c r="AJY156" s="255"/>
      <c r="AJZ156" s="255"/>
      <c r="AKA156" s="255"/>
      <c r="AKB156" s="255"/>
      <c r="AKC156" s="255"/>
      <c r="AKD156" s="255"/>
      <c r="AKE156" s="255"/>
      <c r="AKF156" s="255"/>
      <c r="AKG156" s="255"/>
      <c r="AKH156" s="255"/>
      <c r="AKI156" s="255"/>
      <c r="AKJ156" s="255"/>
      <c r="AKK156" s="255"/>
      <c r="AKL156" s="255"/>
      <c r="AKM156" s="255"/>
      <c r="AKN156" s="255"/>
      <c r="AKO156" s="255"/>
      <c r="AKP156" s="255"/>
      <c r="AKQ156" s="255"/>
      <c r="AKR156" s="255"/>
      <c r="AKS156" s="255"/>
      <c r="AKT156" s="255"/>
      <c r="AKU156" s="255"/>
      <c r="AKV156" s="255"/>
      <c r="AKW156" s="255"/>
      <c r="AKX156" s="255"/>
      <c r="AKY156" s="255"/>
      <c r="AKZ156" s="255"/>
      <c r="ALA156" s="255"/>
      <c r="ALB156" s="255"/>
      <c r="ALC156" s="255"/>
      <c r="ALD156" s="255"/>
      <c r="ALE156" s="255"/>
      <c r="ALF156" s="255"/>
      <c r="ALG156" s="255"/>
      <c r="ALH156" s="255"/>
      <c r="ALI156" s="255"/>
      <c r="ALJ156" s="255"/>
      <c r="ALK156" s="255"/>
      <c r="ALL156" s="42"/>
      <c r="ALM156" s="42"/>
      <c r="ALN156" s="42"/>
      <c r="ALO156" s="42"/>
      <c r="ALP156" s="42"/>
      <c r="ALQ156" s="42"/>
      <c r="ALR156" s="42"/>
      <c r="ALS156" s="42"/>
      <c r="ALT156" s="42"/>
    </row>
    <row r="157" spans="1:1008" s="191" customFormat="1">
      <c r="A157" s="251" t="s">
        <v>6307</v>
      </c>
      <c r="B157" s="328">
        <v>230</v>
      </c>
      <c r="C157" s="301" t="str">
        <f>(IF($A157="SINAPI",INDEX(SINAPI_NOV2020_NDES!$A$7:$H$6703,MATCH($B157,SINAPI_NOV2020_NDES!$A$7:$A$6703,0),2),IF($A157="GOINFRA",INDEX(#REF!,MATCH($B157,#REF!,0),2),(INDEX(COMPOS!$A$4:$G$390,MATCH($B157,COMPOS!$A$4:A$390,0),2)))))</f>
        <v>PINTURA ESMALTE ESQUADRIAS METÁLICAS</v>
      </c>
      <c r="D157" s="274" t="str">
        <f>(IF($A157="SINAPI",INDEX(SINAPI_NOV2020_NDES!$A$7:$H$6790,MATCH($B157,SINAPI_NOV2020_NDES!$A$7:$A$6790,0),3),(INDEX(COMPOS!$A$4:$G$5000,MATCH($B157,COMPOS!$A$4:$A$5000,0),3))))</f>
        <v>M2</v>
      </c>
      <c r="E157" s="276">
        <v>34.85</v>
      </c>
      <c r="F157" s="279">
        <f>(IF($A157="SINAPI",INDEX(SINAPI_NOV2020_NDES!$A$7:$H$6703,MATCH($B157,SINAPI_NOV2020_NDES!$A$7:$A$6703,0),5),(INDEX(COMPOS!$A$4:$G$801,MATCH($B157,COMPOS!$A$4:A$801,0),4))))</f>
        <v>15.073703000000002</v>
      </c>
      <c r="G157" s="280">
        <f>(IF($A157="SINAPI",INDEX(SINAPI_NOV2020_NDES!$A$7:$H$6703,MATCH($B157,SINAPI_NOV2020_NDES!$A$7:$A$6703,0),6),(INDEX(COMPOS!$A$4:$G$801,MATCH($B157,COMPOS!$A$4:A$801,0),5))))</f>
        <v>7.2764049999999996</v>
      </c>
      <c r="H157" s="280">
        <f>(IF($A157="SINAPI",INDEX(SINAPI_NOV2020_NDES!$A$7:$H$6703,MATCH($B157,SINAPI_NOV2020_NDES!$A$7:$A$6703,0),7),(INDEX(COMPOS!$A$4:$G$801,MATCH($B157,COMPOS!$A$4:A$801,0),6))))</f>
        <v>0</v>
      </c>
      <c r="I157" s="279">
        <f t="shared" si="50"/>
        <v>22.350108000000002</v>
      </c>
      <c r="J157" s="276">
        <f t="shared" si="51"/>
        <v>778.90126380000015</v>
      </c>
      <c r="K157" s="255"/>
      <c r="L157" s="255"/>
      <c r="M157" s="255"/>
      <c r="N157" s="255"/>
      <c r="O157" s="257"/>
      <c r="P157" s="223"/>
      <c r="Q157" s="255"/>
      <c r="R157" s="255"/>
      <c r="S157" s="255"/>
      <c r="T157" s="255"/>
      <c r="U157" s="255"/>
      <c r="V157" s="255"/>
      <c r="W157" s="255"/>
      <c r="X157" s="255"/>
      <c r="Y157" s="255"/>
      <c r="Z157" s="255"/>
      <c r="AA157" s="255"/>
      <c r="AB157" s="255"/>
      <c r="AC157" s="255"/>
      <c r="AD157" s="255"/>
      <c r="AE157" s="255"/>
      <c r="AF157" s="255"/>
      <c r="AG157" s="255"/>
      <c r="AH157" s="255"/>
      <c r="AI157" s="255"/>
      <c r="AJ157" s="255"/>
      <c r="AK157" s="255"/>
      <c r="AL157" s="255"/>
      <c r="AM157" s="255"/>
      <c r="AN157" s="255"/>
      <c r="AO157" s="255"/>
      <c r="AP157" s="255"/>
      <c r="AQ157" s="255"/>
      <c r="AR157" s="255"/>
      <c r="AS157" s="255"/>
      <c r="AT157" s="255"/>
      <c r="AU157" s="255"/>
      <c r="AV157" s="255"/>
      <c r="AW157" s="255"/>
      <c r="AX157" s="255"/>
      <c r="AY157" s="255"/>
      <c r="AZ157" s="255"/>
      <c r="BA157" s="255"/>
      <c r="BB157" s="255"/>
      <c r="BC157" s="255"/>
      <c r="BD157" s="255"/>
      <c r="BE157" s="255"/>
      <c r="BF157" s="255"/>
      <c r="BG157" s="255"/>
      <c r="BH157" s="255"/>
      <c r="BI157" s="255"/>
      <c r="BJ157" s="255"/>
      <c r="BK157" s="255"/>
      <c r="BL157" s="255"/>
      <c r="BM157" s="255"/>
      <c r="BN157" s="255"/>
      <c r="BO157" s="255"/>
      <c r="BP157" s="255"/>
      <c r="BQ157" s="255"/>
      <c r="BR157" s="255"/>
      <c r="BS157" s="255"/>
      <c r="BT157" s="255"/>
      <c r="BU157" s="255"/>
      <c r="BV157" s="255"/>
      <c r="BW157" s="255"/>
      <c r="BX157" s="255"/>
      <c r="BY157" s="255"/>
      <c r="BZ157" s="255"/>
      <c r="CA157" s="255"/>
      <c r="CB157" s="255"/>
      <c r="CC157" s="255"/>
      <c r="CD157" s="255"/>
      <c r="CE157" s="255"/>
      <c r="CF157" s="255"/>
      <c r="CG157" s="255"/>
      <c r="CH157" s="255"/>
      <c r="CI157" s="255"/>
      <c r="CJ157" s="255"/>
      <c r="CK157" s="255"/>
      <c r="CL157" s="255"/>
      <c r="CM157" s="255"/>
      <c r="CN157" s="255"/>
      <c r="CO157" s="255"/>
      <c r="CP157" s="255"/>
      <c r="CQ157" s="255"/>
      <c r="CR157" s="255"/>
      <c r="CS157" s="255"/>
      <c r="CT157" s="255"/>
      <c r="CU157" s="255"/>
      <c r="CV157" s="255"/>
      <c r="CW157" s="255"/>
      <c r="CX157" s="255"/>
      <c r="CY157" s="255"/>
      <c r="CZ157" s="255"/>
      <c r="DA157" s="255"/>
      <c r="DB157" s="255"/>
      <c r="DC157" s="255"/>
      <c r="DD157" s="255"/>
      <c r="DE157" s="255"/>
      <c r="DF157" s="255"/>
      <c r="DG157" s="255"/>
      <c r="DH157" s="255"/>
      <c r="DI157" s="255"/>
      <c r="DJ157" s="255"/>
      <c r="DK157" s="255"/>
      <c r="DL157" s="255"/>
      <c r="DM157" s="255"/>
      <c r="DN157" s="255"/>
      <c r="DO157" s="255"/>
      <c r="DP157" s="255"/>
      <c r="DQ157" s="255"/>
      <c r="DR157" s="255"/>
      <c r="DS157" s="255"/>
      <c r="DT157" s="255"/>
      <c r="DU157" s="255"/>
      <c r="DV157" s="255"/>
      <c r="DW157" s="255"/>
      <c r="DX157" s="255"/>
      <c r="DY157" s="255"/>
      <c r="DZ157" s="255"/>
      <c r="EA157" s="255"/>
      <c r="EB157" s="255"/>
      <c r="EC157" s="255"/>
      <c r="ED157" s="255"/>
      <c r="EE157" s="255"/>
      <c r="EF157" s="255"/>
      <c r="EG157" s="255"/>
      <c r="EH157" s="255"/>
      <c r="EI157" s="255"/>
      <c r="EJ157" s="255"/>
      <c r="EK157" s="255"/>
      <c r="EL157" s="255"/>
      <c r="EM157" s="255"/>
      <c r="EN157" s="255"/>
      <c r="EO157" s="255"/>
      <c r="EP157" s="255"/>
      <c r="EQ157" s="255"/>
      <c r="ER157" s="255"/>
      <c r="ES157" s="255"/>
      <c r="ET157" s="255"/>
      <c r="EU157" s="255"/>
      <c r="EV157" s="255"/>
      <c r="EW157" s="255"/>
      <c r="EX157" s="255"/>
      <c r="EY157" s="255"/>
      <c r="EZ157" s="255"/>
      <c r="FA157" s="255"/>
      <c r="FB157" s="255"/>
      <c r="FC157" s="255"/>
      <c r="FD157" s="255"/>
      <c r="FE157" s="255"/>
      <c r="FF157" s="255"/>
      <c r="FG157" s="255"/>
      <c r="FH157" s="255"/>
      <c r="FI157" s="255"/>
      <c r="FJ157" s="255"/>
      <c r="FK157" s="255"/>
      <c r="FL157" s="255"/>
      <c r="FM157" s="255"/>
      <c r="FN157" s="255"/>
      <c r="FO157" s="255"/>
      <c r="FP157" s="255"/>
      <c r="FQ157" s="255"/>
      <c r="FR157" s="255"/>
      <c r="FS157" s="255"/>
      <c r="FT157" s="255"/>
      <c r="FU157" s="255"/>
      <c r="FV157" s="255"/>
      <c r="FW157" s="255"/>
      <c r="FX157" s="255"/>
      <c r="FY157" s="255"/>
      <c r="FZ157" s="255"/>
      <c r="GA157" s="255"/>
      <c r="GB157" s="255"/>
      <c r="GC157" s="255"/>
      <c r="GD157" s="255"/>
      <c r="GE157" s="255"/>
      <c r="GF157" s="255"/>
      <c r="GG157" s="255"/>
      <c r="GH157" s="255"/>
      <c r="GI157" s="255"/>
      <c r="GJ157" s="255"/>
      <c r="GK157" s="255"/>
      <c r="GL157" s="255"/>
      <c r="GM157" s="255"/>
      <c r="GN157" s="255"/>
      <c r="GO157" s="255"/>
      <c r="GP157" s="255"/>
      <c r="GQ157" s="255"/>
      <c r="GR157" s="255"/>
      <c r="GS157" s="255"/>
      <c r="GT157" s="255"/>
      <c r="GU157" s="255"/>
      <c r="GV157" s="255"/>
      <c r="GW157" s="255"/>
      <c r="GX157" s="255"/>
      <c r="GY157" s="255"/>
      <c r="GZ157" s="255"/>
      <c r="HA157" s="255"/>
      <c r="HB157" s="255"/>
      <c r="HC157" s="255"/>
      <c r="HD157" s="255"/>
      <c r="HE157" s="255"/>
      <c r="HF157" s="255"/>
      <c r="HG157" s="255"/>
      <c r="HH157" s="255"/>
      <c r="HI157" s="255"/>
      <c r="HJ157" s="255"/>
      <c r="HK157" s="255"/>
      <c r="HL157" s="255"/>
      <c r="HM157" s="255"/>
      <c r="HN157" s="255"/>
      <c r="HO157" s="255"/>
      <c r="HP157" s="255"/>
      <c r="HQ157" s="255"/>
      <c r="HR157" s="255"/>
      <c r="HS157" s="255"/>
      <c r="HT157" s="255"/>
      <c r="HU157" s="255"/>
      <c r="HV157" s="255"/>
      <c r="HW157" s="255"/>
      <c r="HX157" s="255"/>
      <c r="HY157" s="255"/>
      <c r="HZ157" s="255"/>
      <c r="IA157" s="255"/>
      <c r="IB157" s="255"/>
      <c r="IC157" s="255"/>
      <c r="ID157" s="255"/>
      <c r="IE157" s="255"/>
      <c r="IF157" s="255"/>
      <c r="IG157" s="255"/>
      <c r="IH157" s="255"/>
      <c r="II157" s="255"/>
      <c r="IJ157" s="255"/>
      <c r="IK157" s="255"/>
      <c r="IL157" s="255"/>
      <c r="IM157" s="255"/>
      <c r="IN157" s="255"/>
      <c r="IO157" s="255"/>
      <c r="IP157" s="255"/>
      <c r="IQ157" s="255"/>
      <c r="IR157" s="255"/>
      <c r="IS157" s="255"/>
      <c r="IT157" s="255"/>
      <c r="IU157" s="255"/>
      <c r="IV157" s="255"/>
      <c r="IW157" s="255"/>
      <c r="IX157" s="255"/>
      <c r="IY157" s="255"/>
      <c r="IZ157" s="255"/>
      <c r="JA157" s="255"/>
      <c r="JB157" s="255"/>
      <c r="JC157" s="255"/>
      <c r="JD157" s="255"/>
      <c r="JE157" s="255"/>
      <c r="JF157" s="255"/>
      <c r="JG157" s="255"/>
      <c r="JH157" s="255"/>
      <c r="JI157" s="255"/>
      <c r="JJ157" s="255"/>
      <c r="JK157" s="255"/>
      <c r="JL157" s="255"/>
      <c r="JM157" s="255"/>
      <c r="JN157" s="255"/>
      <c r="JO157" s="255"/>
      <c r="JP157" s="255"/>
      <c r="JQ157" s="255"/>
      <c r="JR157" s="255"/>
      <c r="JS157" s="255"/>
      <c r="JT157" s="255"/>
      <c r="JU157" s="255"/>
      <c r="JV157" s="255"/>
      <c r="JW157" s="255"/>
      <c r="JX157" s="255"/>
      <c r="JY157" s="255"/>
      <c r="JZ157" s="255"/>
      <c r="KA157" s="255"/>
      <c r="KB157" s="255"/>
      <c r="KC157" s="255"/>
      <c r="KD157" s="255"/>
      <c r="KE157" s="255"/>
      <c r="KF157" s="255"/>
      <c r="KG157" s="255"/>
      <c r="KH157" s="255"/>
      <c r="KI157" s="255"/>
      <c r="KJ157" s="255"/>
      <c r="KK157" s="255"/>
      <c r="KL157" s="255"/>
      <c r="KM157" s="255"/>
      <c r="KN157" s="255"/>
      <c r="KO157" s="255"/>
      <c r="KP157" s="255"/>
      <c r="KQ157" s="255"/>
      <c r="KR157" s="255"/>
      <c r="KS157" s="255"/>
      <c r="KT157" s="255"/>
      <c r="KU157" s="255"/>
      <c r="KV157" s="255"/>
      <c r="KW157" s="255"/>
      <c r="KX157" s="255"/>
      <c r="KY157" s="255"/>
      <c r="KZ157" s="255"/>
      <c r="LA157" s="255"/>
      <c r="LB157" s="255"/>
      <c r="LC157" s="255"/>
      <c r="LD157" s="255"/>
      <c r="LE157" s="255"/>
      <c r="LF157" s="255"/>
      <c r="LG157" s="255"/>
      <c r="LH157" s="255"/>
      <c r="LI157" s="255"/>
      <c r="LJ157" s="255"/>
      <c r="LK157" s="255"/>
      <c r="LL157" s="255"/>
      <c r="LM157" s="255"/>
      <c r="LN157" s="255"/>
      <c r="LO157" s="255"/>
      <c r="LP157" s="255"/>
      <c r="LQ157" s="255"/>
      <c r="LR157" s="255"/>
      <c r="LS157" s="255"/>
      <c r="LT157" s="255"/>
      <c r="LU157" s="255"/>
      <c r="LV157" s="255"/>
      <c r="LW157" s="255"/>
      <c r="LX157" s="255"/>
      <c r="LY157" s="255"/>
      <c r="LZ157" s="255"/>
      <c r="MA157" s="255"/>
      <c r="MB157" s="255"/>
      <c r="MC157" s="255"/>
      <c r="MD157" s="255"/>
      <c r="ME157" s="255"/>
      <c r="MF157" s="255"/>
      <c r="MG157" s="255"/>
      <c r="MH157" s="255"/>
      <c r="MI157" s="255"/>
      <c r="MJ157" s="255"/>
      <c r="MK157" s="255"/>
      <c r="ML157" s="255"/>
      <c r="MM157" s="255"/>
      <c r="MN157" s="255"/>
      <c r="MO157" s="255"/>
      <c r="MP157" s="255"/>
      <c r="MQ157" s="255"/>
      <c r="MR157" s="255"/>
      <c r="MS157" s="255"/>
      <c r="MT157" s="255"/>
      <c r="MU157" s="255"/>
      <c r="MV157" s="255"/>
      <c r="MW157" s="255"/>
      <c r="MX157" s="255"/>
      <c r="MY157" s="255"/>
      <c r="MZ157" s="255"/>
      <c r="NA157" s="255"/>
      <c r="NB157" s="255"/>
      <c r="NC157" s="255"/>
      <c r="ND157" s="255"/>
      <c r="NE157" s="255"/>
      <c r="NF157" s="255"/>
      <c r="NG157" s="255"/>
      <c r="NH157" s="255"/>
      <c r="NI157" s="255"/>
      <c r="NJ157" s="255"/>
      <c r="NK157" s="255"/>
      <c r="NL157" s="255"/>
      <c r="NM157" s="255"/>
      <c r="NN157" s="255"/>
      <c r="NO157" s="255"/>
      <c r="NP157" s="255"/>
      <c r="NQ157" s="255"/>
      <c r="NR157" s="255"/>
      <c r="NS157" s="255"/>
      <c r="NT157" s="255"/>
      <c r="NU157" s="255"/>
      <c r="NV157" s="255"/>
      <c r="NW157" s="255"/>
      <c r="NX157" s="255"/>
      <c r="NY157" s="255"/>
      <c r="NZ157" s="255"/>
      <c r="OA157" s="255"/>
      <c r="OB157" s="255"/>
      <c r="OC157" s="255"/>
      <c r="OD157" s="255"/>
      <c r="OE157" s="255"/>
      <c r="OF157" s="255"/>
      <c r="OG157" s="255"/>
      <c r="OH157" s="255"/>
      <c r="OI157" s="255"/>
      <c r="OJ157" s="255"/>
      <c r="OK157" s="255"/>
      <c r="OL157" s="255"/>
      <c r="OM157" s="255"/>
      <c r="ON157" s="255"/>
      <c r="OO157" s="255"/>
      <c r="OP157" s="255"/>
      <c r="OQ157" s="255"/>
      <c r="OR157" s="255"/>
      <c r="OS157" s="255"/>
      <c r="OT157" s="255"/>
      <c r="OU157" s="255"/>
      <c r="OV157" s="255"/>
      <c r="OW157" s="255"/>
      <c r="OX157" s="255"/>
      <c r="OY157" s="255"/>
      <c r="OZ157" s="255"/>
      <c r="PA157" s="255"/>
      <c r="PB157" s="255"/>
      <c r="PC157" s="255"/>
      <c r="PD157" s="255"/>
      <c r="PE157" s="255"/>
      <c r="PF157" s="255"/>
      <c r="PG157" s="255"/>
      <c r="PH157" s="255"/>
      <c r="PI157" s="255"/>
      <c r="PJ157" s="255"/>
      <c r="PK157" s="255"/>
      <c r="PL157" s="255"/>
      <c r="PM157" s="255"/>
      <c r="PN157" s="255"/>
      <c r="PO157" s="255"/>
      <c r="PP157" s="255"/>
      <c r="PQ157" s="255"/>
      <c r="PR157" s="255"/>
      <c r="PS157" s="255"/>
      <c r="PT157" s="255"/>
      <c r="PU157" s="255"/>
      <c r="PV157" s="255"/>
      <c r="PW157" s="255"/>
      <c r="PX157" s="255"/>
      <c r="PY157" s="255"/>
      <c r="PZ157" s="255"/>
      <c r="QA157" s="255"/>
      <c r="QB157" s="255"/>
      <c r="QC157" s="255"/>
      <c r="QD157" s="255"/>
      <c r="QE157" s="255"/>
      <c r="QF157" s="255"/>
      <c r="QG157" s="255"/>
      <c r="QH157" s="255"/>
      <c r="QI157" s="255"/>
      <c r="QJ157" s="255"/>
      <c r="QK157" s="255"/>
      <c r="QL157" s="255"/>
      <c r="QM157" s="255"/>
      <c r="QN157" s="255"/>
      <c r="QO157" s="255"/>
      <c r="QP157" s="255"/>
      <c r="QQ157" s="255"/>
      <c r="QR157" s="255"/>
      <c r="QS157" s="255"/>
      <c r="QT157" s="255"/>
      <c r="QU157" s="255"/>
      <c r="QV157" s="255"/>
      <c r="QW157" s="255"/>
      <c r="QX157" s="255"/>
      <c r="QY157" s="255"/>
      <c r="QZ157" s="255"/>
      <c r="RA157" s="255"/>
      <c r="RB157" s="255"/>
      <c r="RC157" s="255"/>
      <c r="RD157" s="255"/>
      <c r="RE157" s="255"/>
      <c r="RF157" s="255"/>
      <c r="RG157" s="255"/>
      <c r="RH157" s="255"/>
      <c r="RI157" s="255"/>
      <c r="RJ157" s="255"/>
      <c r="RK157" s="255"/>
      <c r="RL157" s="255"/>
      <c r="RM157" s="255"/>
      <c r="RN157" s="255"/>
      <c r="RO157" s="255"/>
      <c r="RP157" s="255"/>
      <c r="RQ157" s="255"/>
      <c r="RR157" s="255"/>
      <c r="RS157" s="255"/>
      <c r="RT157" s="255"/>
      <c r="RU157" s="255"/>
      <c r="RV157" s="255"/>
      <c r="RW157" s="255"/>
      <c r="RX157" s="255"/>
      <c r="RY157" s="255"/>
      <c r="RZ157" s="255"/>
      <c r="SA157" s="255"/>
      <c r="SB157" s="255"/>
      <c r="SC157" s="255"/>
      <c r="SD157" s="255"/>
      <c r="SE157" s="255"/>
      <c r="SF157" s="255"/>
      <c r="SG157" s="255"/>
      <c r="SH157" s="255"/>
      <c r="SI157" s="255"/>
      <c r="SJ157" s="255"/>
      <c r="SK157" s="255"/>
      <c r="SL157" s="255"/>
      <c r="SM157" s="255"/>
      <c r="SN157" s="255"/>
      <c r="SO157" s="255"/>
      <c r="SP157" s="255"/>
      <c r="SQ157" s="255"/>
      <c r="SR157" s="255"/>
      <c r="SS157" s="255"/>
      <c r="ST157" s="255"/>
      <c r="SU157" s="255"/>
      <c r="SV157" s="255"/>
      <c r="SW157" s="255"/>
      <c r="SX157" s="255"/>
      <c r="SY157" s="255"/>
      <c r="SZ157" s="255"/>
      <c r="TA157" s="255"/>
      <c r="TB157" s="255"/>
      <c r="TC157" s="255"/>
      <c r="TD157" s="255"/>
      <c r="TE157" s="255"/>
      <c r="TF157" s="255"/>
      <c r="TG157" s="255"/>
      <c r="TH157" s="255"/>
      <c r="TI157" s="255"/>
      <c r="TJ157" s="255"/>
      <c r="TK157" s="255"/>
      <c r="TL157" s="255"/>
      <c r="TM157" s="255"/>
      <c r="TN157" s="255"/>
      <c r="TO157" s="255"/>
      <c r="TP157" s="255"/>
      <c r="TQ157" s="255"/>
      <c r="TR157" s="255"/>
      <c r="TS157" s="255"/>
      <c r="TT157" s="255"/>
      <c r="TU157" s="255"/>
      <c r="TV157" s="255"/>
      <c r="TW157" s="255"/>
      <c r="TX157" s="255"/>
      <c r="TY157" s="255"/>
      <c r="TZ157" s="255"/>
      <c r="UA157" s="255"/>
      <c r="UB157" s="255"/>
      <c r="UC157" s="255"/>
      <c r="UD157" s="255"/>
      <c r="UE157" s="255"/>
      <c r="UF157" s="255"/>
      <c r="UG157" s="255"/>
      <c r="UH157" s="255"/>
      <c r="UI157" s="255"/>
      <c r="UJ157" s="255"/>
      <c r="UK157" s="255"/>
      <c r="UL157" s="255"/>
      <c r="UM157" s="255"/>
      <c r="UN157" s="255"/>
      <c r="UO157" s="255"/>
      <c r="UP157" s="255"/>
      <c r="UQ157" s="255"/>
      <c r="UR157" s="255"/>
      <c r="US157" s="255"/>
      <c r="UT157" s="255"/>
      <c r="UU157" s="255"/>
      <c r="UV157" s="255"/>
      <c r="UW157" s="255"/>
      <c r="UX157" s="255"/>
      <c r="UY157" s="255"/>
      <c r="UZ157" s="255"/>
      <c r="VA157" s="255"/>
      <c r="VB157" s="255"/>
      <c r="VC157" s="255"/>
      <c r="VD157" s="255"/>
      <c r="VE157" s="255"/>
      <c r="VF157" s="255"/>
      <c r="VG157" s="255"/>
      <c r="VH157" s="255"/>
      <c r="VI157" s="255"/>
      <c r="VJ157" s="255"/>
      <c r="VK157" s="255"/>
      <c r="VL157" s="255"/>
      <c r="VM157" s="255"/>
      <c r="VN157" s="255"/>
      <c r="VO157" s="255"/>
      <c r="VP157" s="255"/>
      <c r="VQ157" s="255"/>
      <c r="VR157" s="255"/>
      <c r="VS157" s="255"/>
      <c r="VT157" s="255"/>
      <c r="VU157" s="255"/>
      <c r="VV157" s="255"/>
      <c r="VW157" s="255"/>
      <c r="VX157" s="255"/>
      <c r="VY157" s="255"/>
      <c r="VZ157" s="255"/>
      <c r="WA157" s="255"/>
      <c r="WB157" s="255"/>
      <c r="WC157" s="255"/>
      <c r="WD157" s="255"/>
      <c r="WE157" s="255"/>
      <c r="WF157" s="255"/>
      <c r="WG157" s="255"/>
      <c r="WH157" s="255"/>
      <c r="WI157" s="255"/>
      <c r="WJ157" s="255"/>
      <c r="WK157" s="255"/>
      <c r="WL157" s="255"/>
      <c r="WM157" s="255"/>
      <c r="WN157" s="255"/>
      <c r="WO157" s="255"/>
      <c r="WP157" s="255"/>
      <c r="WQ157" s="255"/>
      <c r="WR157" s="255"/>
      <c r="WS157" s="255"/>
      <c r="WT157" s="255"/>
      <c r="WU157" s="255"/>
      <c r="WV157" s="255"/>
      <c r="WW157" s="255"/>
      <c r="WX157" s="255"/>
      <c r="WY157" s="255"/>
      <c r="WZ157" s="255"/>
      <c r="XA157" s="255"/>
      <c r="XB157" s="255"/>
      <c r="XC157" s="255"/>
      <c r="XD157" s="255"/>
      <c r="XE157" s="255"/>
      <c r="XF157" s="255"/>
      <c r="XG157" s="255"/>
      <c r="XH157" s="255"/>
      <c r="XI157" s="255"/>
      <c r="XJ157" s="255"/>
      <c r="XK157" s="255"/>
      <c r="XL157" s="255"/>
      <c r="XM157" s="255"/>
      <c r="XN157" s="255"/>
      <c r="XO157" s="255"/>
      <c r="XP157" s="255"/>
      <c r="XQ157" s="255"/>
      <c r="XR157" s="255"/>
      <c r="XS157" s="255"/>
      <c r="XT157" s="255"/>
      <c r="XU157" s="255"/>
      <c r="XV157" s="255"/>
      <c r="XW157" s="255"/>
      <c r="XX157" s="255"/>
      <c r="XY157" s="255"/>
      <c r="XZ157" s="255"/>
      <c r="YA157" s="255"/>
      <c r="YB157" s="255"/>
      <c r="YC157" s="255"/>
      <c r="YD157" s="255"/>
      <c r="YE157" s="255"/>
      <c r="YF157" s="255"/>
      <c r="YG157" s="255"/>
      <c r="YH157" s="255"/>
      <c r="YI157" s="255"/>
      <c r="YJ157" s="255"/>
      <c r="YK157" s="255"/>
      <c r="YL157" s="255"/>
      <c r="YM157" s="255"/>
      <c r="YN157" s="255"/>
      <c r="YO157" s="255"/>
      <c r="YP157" s="255"/>
      <c r="YQ157" s="255"/>
      <c r="YR157" s="255"/>
      <c r="YS157" s="255"/>
      <c r="YT157" s="255"/>
      <c r="YU157" s="255"/>
      <c r="YV157" s="255"/>
      <c r="YW157" s="255"/>
      <c r="YX157" s="255"/>
      <c r="YY157" s="255"/>
      <c r="YZ157" s="255"/>
      <c r="ZA157" s="255"/>
      <c r="ZB157" s="255"/>
      <c r="ZC157" s="255"/>
      <c r="ZD157" s="255"/>
      <c r="ZE157" s="255"/>
      <c r="ZF157" s="255"/>
      <c r="ZG157" s="255"/>
      <c r="ZH157" s="255"/>
      <c r="ZI157" s="255"/>
      <c r="ZJ157" s="255"/>
      <c r="ZK157" s="255"/>
      <c r="ZL157" s="255"/>
      <c r="ZM157" s="255"/>
      <c r="ZN157" s="255"/>
      <c r="ZO157" s="255"/>
      <c r="ZP157" s="255"/>
      <c r="ZQ157" s="255"/>
      <c r="ZR157" s="255"/>
      <c r="ZS157" s="255"/>
      <c r="ZT157" s="255"/>
      <c r="ZU157" s="255"/>
      <c r="ZV157" s="255"/>
      <c r="ZW157" s="255"/>
      <c r="ZX157" s="255"/>
      <c r="ZY157" s="255"/>
      <c r="ZZ157" s="255"/>
      <c r="AAA157" s="255"/>
      <c r="AAB157" s="255"/>
      <c r="AAC157" s="255"/>
      <c r="AAD157" s="255"/>
      <c r="AAE157" s="255"/>
      <c r="AAF157" s="255"/>
      <c r="AAG157" s="255"/>
      <c r="AAH157" s="255"/>
      <c r="AAI157" s="255"/>
      <c r="AAJ157" s="255"/>
      <c r="AAK157" s="255"/>
      <c r="AAL157" s="255"/>
      <c r="AAM157" s="255"/>
      <c r="AAN157" s="255"/>
      <c r="AAO157" s="255"/>
      <c r="AAP157" s="255"/>
      <c r="AAQ157" s="255"/>
      <c r="AAR157" s="255"/>
      <c r="AAS157" s="255"/>
      <c r="AAT157" s="255"/>
      <c r="AAU157" s="255"/>
      <c r="AAV157" s="255"/>
      <c r="AAW157" s="255"/>
      <c r="AAX157" s="255"/>
      <c r="AAY157" s="255"/>
      <c r="AAZ157" s="255"/>
      <c r="ABA157" s="255"/>
      <c r="ABB157" s="255"/>
      <c r="ABC157" s="255"/>
      <c r="ABD157" s="255"/>
      <c r="ABE157" s="255"/>
      <c r="ABF157" s="255"/>
      <c r="ABG157" s="255"/>
      <c r="ABH157" s="255"/>
      <c r="ABI157" s="255"/>
      <c r="ABJ157" s="255"/>
      <c r="ABK157" s="255"/>
      <c r="ABL157" s="255"/>
      <c r="ABM157" s="255"/>
      <c r="ABN157" s="255"/>
      <c r="ABO157" s="255"/>
      <c r="ABP157" s="255"/>
      <c r="ABQ157" s="255"/>
      <c r="ABR157" s="255"/>
      <c r="ABS157" s="255"/>
      <c r="ABT157" s="255"/>
      <c r="ABU157" s="255"/>
      <c r="ABV157" s="255"/>
      <c r="ABW157" s="255"/>
      <c r="ABX157" s="255"/>
      <c r="ABY157" s="255"/>
      <c r="ABZ157" s="255"/>
      <c r="ACA157" s="255"/>
      <c r="ACB157" s="255"/>
      <c r="ACC157" s="255"/>
      <c r="ACD157" s="255"/>
      <c r="ACE157" s="255"/>
      <c r="ACF157" s="255"/>
      <c r="ACG157" s="255"/>
      <c r="ACH157" s="255"/>
      <c r="ACI157" s="255"/>
      <c r="ACJ157" s="255"/>
      <c r="ACK157" s="255"/>
      <c r="ACL157" s="255"/>
      <c r="ACM157" s="255"/>
      <c r="ACN157" s="255"/>
      <c r="ACO157" s="255"/>
      <c r="ACP157" s="255"/>
      <c r="ACQ157" s="255"/>
      <c r="ACR157" s="255"/>
      <c r="ACS157" s="255"/>
      <c r="ACT157" s="255"/>
      <c r="ACU157" s="255"/>
      <c r="ACV157" s="255"/>
      <c r="ACW157" s="255"/>
      <c r="ACX157" s="255"/>
      <c r="ACY157" s="255"/>
      <c r="ACZ157" s="255"/>
      <c r="ADA157" s="255"/>
      <c r="ADB157" s="255"/>
      <c r="ADC157" s="255"/>
      <c r="ADD157" s="255"/>
      <c r="ADE157" s="255"/>
      <c r="ADF157" s="255"/>
      <c r="ADG157" s="255"/>
      <c r="ADH157" s="255"/>
      <c r="ADI157" s="255"/>
      <c r="ADJ157" s="255"/>
      <c r="ADK157" s="255"/>
      <c r="ADL157" s="255"/>
      <c r="ADM157" s="255"/>
      <c r="ADN157" s="255"/>
      <c r="ADO157" s="255"/>
      <c r="ADP157" s="255"/>
      <c r="ADQ157" s="255"/>
      <c r="ADR157" s="255"/>
      <c r="ADS157" s="255"/>
      <c r="ADT157" s="255"/>
      <c r="ADU157" s="255"/>
      <c r="ADV157" s="255"/>
      <c r="ADW157" s="255"/>
      <c r="ADX157" s="255"/>
      <c r="ADY157" s="255"/>
      <c r="ADZ157" s="255"/>
      <c r="AEA157" s="255"/>
      <c r="AEB157" s="255"/>
      <c r="AEC157" s="255"/>
      <c r="AED157" s="255"/>
      <c r="AEE157" s="255"/>
      <c r="AEF157" s="255"/>
      <c r="AEG157" s="255"/>
      <c r="AEH157" s="255"/>
      <c r="AEI157" s="255"/>
      <c r="AEJ157" s="255"/>
      <c r="AEK157" s="255"/>
      <c r="AEL157" s="255"/>
      <c r="AEM157" s="255"/>
      <c r="AEN157" s="255"/>
      <c r="AEO157" s="255"/>
      <c r="AEP157" s="255"/>
      <c r="AEQ157" s="255"/>
      <c r="AER157" s="255"/>
      <c r="AES157" s="255"/>
      <c r="AET157" s="255"/>
      <c r="AEU157" s="255"/>
      <c r="AEV157" s="255"/>
      <c r="AEW157" s="255"/>
      <c r="AEX157" s="255"/>
      <c r="AEY157" s="255"/>
      <c r="AEZ157" s="255"/>
      <c r="AFA157" s="255"/>
      <c r="AFB157" s="255"/>
      <c r="AFC157" s="255"/>
      <c r="AFD157" s="255"/>
      <c r="AFE157" s="255"/>
      <c r="AFF157" s="255"/>
      <c r="AFG157" s="255"/>
      <c r="AFH157" s="255"/>
      <c r="AFI157" s="255"/>
      <c r="AFJ157" s="255"/>
      <c r="AFK157" s="255"/>
      <c r="AFL157" s="255"/>
      <c r="AFM157" s="255"/>
      <c r="AFN157" s="255"/>
      <c r="AFO157" s="255"/>
      <c r="AFP157" s="255"/>
      <c r="AFQ157" s="255"/>
      <c r="AFR157" s="255"/>
      <c r="AFS157" s="255"/>
      <c r="AFT157" s="255"/>
      <c r="AFU157" s="255"/>
      <c r="AFV157" s="255"/>
      <c r="AFW157" s="255"/>
      <c r="AFX157" s="255"/>
      <c r="AFY157" s="255"/>
      <c r="AFZ157" s="255"/>
      <c r="AGA157" s="255"/>
      <c r="AGB157" s="255"/>
      <c r="AGC157" s="255"/>
      <c r="AGD157" s="255"/>
      <c r="AGE157" s="255"/>
      <c r="AGF157" s="255"/>
      <c r="AGG157" s="255"/>
      <c r="AGH157" s="255"/>
      <c r="AGI157" s="255"/>
      <c r="AGJ157" s="255"/>
      <c r="AGK157" s="255"/>
      <c r="AGL157" s="255"/>
      <c r="AGM157" s="255"/>
      <c r="AGN157" s="255"/>
      <c r="AGO157" s="255"/>
      <c r="AGP157" s="255"/>
      <c r="AGQ157" s="255"/>
      <c r="AGR157" s="255"/>
      <c r="AGS157" s="255"/>
      <c r="AGT157" s="255"/>
      <c r="AGU157" s="255"/>
      <c r="AGV157" s="255"/>
      <c r="AGW157" s="255"/>
      <c r="AGX157" s="255"/>
      <c r="AGY157" s="255"/>
      <c r="AGZ157" s="255"/>
      <c r="AHA157" s="255"/>
      <c r="AHB157" s="255"/>
      <c r="AHC157" s="255"/>
      <c r="AHD157" s="255"/>
      <c r="AHE157" s="255"/>
      <c r="AHF157" s="255"/>
      <c r="AHG157" s="255"/>
      <c r="AHH157" s="255"/>
      <c r="AHI157" s="255"/>
      <c r="AHJ157" s="255"/>
      <c r="AHK157" s="255"/>
      <c r="AHL157" s="255"/>
      <c r="AHM157" s="255"/>
      <c r="AHN157" s="255"/>
      <c r="AHO157" s="255"/>
      <c r="AHP157" s="255"/>
      <c r="AHQ157" s="255"/>
      <c r="AHR157" s="255"/>
      <c r="AHS157" s="255"/>
      <c r="AHT157" s="255"/>
      <c r="AHU157" s="255"/>
      <c r="AHV157" s="255"/>
      <c r="AHW157" s="255"/>
      <c r="AHX157" s="255"/>
      <c r="AHY157" s="255"/>
      <c r="AHZ157" s="255"/>
      <c r="AIA157" s="255"/>
      <c r="AIB157" s="255"/>
      <c r="AIC157" s="255"/>
      <c r="AID157" s="255"/>
      <c r="AIE157" s="255"/>
      <c r="AIF157" s="255"/>
      <c r="AIG157" s="255"/>
      <c r="AIH157" s="255"/>
      <c r="AII157" s="255"/>
      <c r="AIJ157" s="255"/>
      <c r="AIK157" s="255"/>
      <c r="AIL157" s="255"/>
      <c r="AIM157" s="255"/>
      <c r="AIN157" s="255"/>
      <c r="AIO157" s="255"/>
      <c r="AIP157" s="255"/>
      <c r="AIQ157" s="255"/>
      <c r="AIR157" s="255"/>
      <c r="AIS157" s="255"/>
      <c r="AIT157" s="255"/>
      <c r="AIU157" s="255"/>
      <c r="AIV157" s="255"/>
      <c r="AIW157" s="255"/>
      <c r="AIX157" s="255"/>
      <c r="AIY157" s="255"/>
      <c r="AIZ157" s="255"/>
      <c r="AJA157" s="255"/>
      <c r="AJB157" s="255"/>
      <c r="AJC157" s="255"/>
      <c r="AJD157" s="255"/>
      <c r="AJE157" s="255"/>
      <c r="AJF157" s="255"/>
      <c r="AJG157" s="255"/>
      <c r="AJH157" s="255"/>
      <c r="AJI157" s="255"/>
      <c r="AJJ157" s="255"/>
      <c r="AJK157" s="255"/>
      <c r="AJL157" s="255"/>
      <c r="AJM157" s="255"/>
      <c r="AJN157" s="255"/>
      <c r="AJO157" s="255"/>
      <c r="AJP157" s="255"/>
      <c r="AJQ157" s="255"/>
      <c r="AJR157" s="255"/>
      <c r="AJS157" s="255"/>
      <c r="AJT157" s="255"/>
      <c r="AJU157" s="255"/>
      <c r="AJV157" s="255"/>
      <c r="AJW157" s="255"/>
      <c r="AJX157" s="255"/>
      <c r="AJY157" s="255"/>
      <c r="AJZ157" s="255"/>
      <c r="AKA157" s="255"/>
      <c r="AKB157" s="255"/>
      <c r="AKC157" s="255"/>
      <c r="AKD157" s="255"/>
      <c r="AKE157" s="255"/>
      <c r="AKF157" s="255"/>
      <c r="AKG157" s="255"/>
      <c r="AKH157" s="255"/>
      <c r="AKI157" s="255"/>
      <c r="AKJ157" s="255"/>
      <c r="AKK157" s="255"/>
      <c r="AKL157" s="255"/>
      <c r="AKM157" s="255"/>
      <c r="AKN157" s="255"/>
      <c r="AKO157" s="255"/>
      <c r="AKP157" s="255"/>
      <c r="AKQ157" s="255"/>
      <c r="AKR157" s="255"/>
      <c r="AKS157" s="255"/>
      <c r="AKT157" s="255"/>
      <c r="AKU157" s="255"/>
      <c r="AKV157" s="255"/>
      <c r="AKW157" s="255"/>
      <c r="AKX157" s="255"/>
      <c r="AKY157" s="255"/>
      <c r="AKZ157" s="255"/>
      <c r="ALA157" s="255"/>
      <c r="ALB157" s="255"/>
      <c r="ALC157" s="255"/>
      <c r="ALD157" s="255"/>
      <c r="ALE157" s="255"/>
      <c r="ALF157" s="255"/>
      <c r="ALG157" s="255"/>
      <c r="ALH157" s="255"/>
      <c r="ALI157" s="255"/>
      <c r="ALJ157" s="255"/>
      <c r="ALK157" s="255"/>
      <c r="ALL157" s="42"/>
      <c r="ALM157" s="42"/>
      <c r="ALN157" s="42"/>
      <c r="ALO157" s="42"/>
      <c r="ALP157" s="42"/>
      <c r="ALQ157" s="42"/>
      <c r="ALR157" s="42"/>
      <c r="ALS157" s="42"/>
      <c r="ALT157" s="42"/>
    </row>
    <row r="158" spans="1:1008" s="88" customFormat="1" ht="24" customHeight="1">
      <c r="A158" s="680" t="s">
        <v>6927</v>
      </c>
      <c r="B158" s="680"/>
      <c r="C158" s="680"/>
      <c r="D158" s="680"/>
      <c r="E158" s="680"/>
      <c r="F158" s="680"/>
      <c r="G158" s="680"/>
      <c r="H158" s="680"/>
      <c r="I158" s="680"/>
      <c r="J158" s="281">
        <f>SUM(J147:J157)</f>
        <v>3593.3210980000003</v>
      </c>
      <c r="K158" s="255"/>
      <c r="L158" s="255"/>
      <c r="M158" s="255"/>
      <c r="N158" s="255"/>
      <c r="O158" s="255"/>
      <c r="P158" s="223"/>
    </row>
    <row r="159" spans="1:1008">
      <c r="A159" s="251"/>
      <c r="B159" s="328">
        <v>189</v>
      </c>
      <c r="C159" s="331" t="s">
        <v>2</v>
      </c>
      <c r="D159" s="274"/>
      <c r="E159" s="276"/>
      <c r="F159" s="276"/>
      <c r="G159" s="276"/>
      <c r="H159" s="276"/>
      <c r="I159" s="276"/>
      <c r="J159" s="276"/>
      <c r="K159" s="255"/>
      <c r="L159" s="255"/>
      <c r="M159" s="255"/>
      <c r="N159" s="255"/>
      <c r="O159" s="255"/>
    </row>
    <row r="160" spans="1:1008">
      <c r="A160" s="251" t="s">
        <v>6307</v>
      </c>
      <c r="B160" s="290">
        <v>362</v>
      </c>
      <c r="C160" s="301" t="str">
        <f>(IF($A160="SINAPI",INDEX(SINAPI_NOV2020_NDES!$A$7:$H$6703,MATCH($B160,SINAPI_NOV2020_NDES!$A$7:$A$6703,0),2),IF($A160="GOINFRA",INDEX(#REF!,MATCH($B160,#REF!,0),2),(INDEX(COMPOS!$A$4:$G$390,MATCH($B160,COMPOS!$A$4:A$390,0),2)))))</f>
        <v>LIMPEZA FINAL DA OBRA</v>
      </c>
      <c r="D160" s="274" t="str">
        <f>(IF($A160="SINAPI",INDEX(SINAPI_NOV2020_NDES!$A$7:$H$6790,MATCH($B160,SINAPI_NOV2020_NDES!$A$7:$A$6790,0),3),(INDEX(COMPOS!$A$4:$G$5000,MATCH($B160,COMPOS!$A$4:$A$5000,0),3))))</f>
        <v>M2</v>
      </c>
      <c r="E160" s="276">
        <v>13.35</v>
      </c>
      <c r="F160" s="279">
        <f>(IF($A160="SINAPI",INDEX(SINAPI_NOV2020_NDES!$A$7:$H$6703,MATCH($B160,SINAPI_NOV2020_NDES!$A$7:$A$6703,0),5),(INDEX(COMPOS!$A$4:$G$801,MATCH($B160,COMPOS!$A$4:A$801,0),4))))</f>
        <v>2.2664999999999997</v>
      </c>
      <c r="G160" s="280">
        <f>(IF($A160="SINAPI",INDEX(SINAPI_NOV2020_NDES!$A$7:$H$6703,MATCH($B160,SINAPI_NOV2020_NDES!$A$7:$A$6703,0),6),(INDEX(COMPOS!$A$4:$G$801,MATCH($B160,COMPOS!$A$4:A$801,0),5))))</f>
        <v>0.62687100000000007</v>
      </c>
      <c r="H160" s="280">
        <f>(IF($A160="SINAPI",INDEX(SINAPI_NOV2020_NDES!$A$7:$H$6703,MATCH($B160,SINAPI_NOV2020_NDES!$A$7:$A$6703,0),7),(INDEX(COMPOS!$A$4:$G$801,MATCH($B160,COMPOS!$A$4:A$801,0),6))))</f>
        <v>0</v>
      </c>
      <c r="I160" s="279">
        <f t="shared" ref="I160" si="52">SUM(F160:H160)</f>
        <v>2.8933709999999997</v>
      </c>
      <c r="J160" s="276">
        <f t="shared" ref="J160" si="53">+I160*E160</f>
        <v>38.626502849999994</v>
      </c>
      <c r="K160" s="255"/>
      <c r="L160" s="255"/>
      <c r="M160" s="255"/>
      <c r="N160" s="255"/>
      <c r="O160" s="257"/>
    </row>
    <row r="161" spans="1:1001">
      <c r="A161" s="251" t="s">
        <v>6307</v>
      </c>
      <c r="B161" s="328">
        <v>139</v>
      </c>
      <c r="C161" s="301" t="str">
        <f>(IF($A161="SINAPI",INDEX(SINAPI_NOV2020_NDES!$A$7:$H$6703,MATCH($B161,SINAPI_NOV2020_NDES!$A$7:$A$6703,0),2),IF($A161="GOINFRA",INDEX(#REF!,MATCH($B161,#REF!,0),2),(INDEX(COMPOS!$A$4:$G$390,MATCH($B161,COMPOS!$A$4:A$390,0),2)))))</f>
        <v>BANCO DE CONCRETO POLIDO 2,0 X 0,4M</v>
      </c>
      <c r="D161" s="274" t="str">
        <f>(IF($A161="SINAPI",INDEX(SINAPI_NOV2020_NDES!$A$7:$H$6790,MATCH($B161,SINAPI_NOV2020_NDES!$A$7:$A$6790,0),3),(INDEX(COMPOS!$A$4:$G$5000,MATCH($B161,COMPOS!$A$4:$A$5000,0),3))))</f>
        <v>UN</v>
      </c>
      <c r="E161" s="276">
        <v>3.25</v>
      </c>
      <c r="F161" s="279">
        <f>(IF($A161="SINAPI",INDEX(SINAPI_NOV2020_NDES!$A$7:$H$6703,MATCH($B161,SINAPI_NOV2020_NDES!$A$7:$A$6703,0),5),(INDEX(COMPOS!$A$4:$G$801,MATCH($B161,COMPOS!$A$4:A$801,0),4))))</f>
        <v>90.359330000000014</v>
      </c>
      <c r="G161" s="280">
        <f>(IF($A161="SINAPI",INDEX(SINAPI_NOV2020_NDES!$A$7:$H$6703,MATCH($B161,SINAPI_NOV2020_NDES!$A$7:$A$6703,0),6),(INDEX(COMPOS!$A$4:$G$801,MATCH($B161,COMPOS!$A$4:A$801,0),5))))</f>
        <v>134.753849</v>
      </c>
      <c r="H161" s="280">
        <f>(IF($A161="SINAPI",INDEX(SINAPI_NOV2020_NDES!$A$7:$H$6703,MATCH($B161,SINAPI_NOV2020_NDES!$A$7:$A$6703,0),7),(INDEX(COMPOS!$A$4:$G$801,MATCH($B161,COMPOS!$A$4:A$801,0),6))))</f>
        <v>1.3320070000000002</v>
      </c>
      <c r="I161" s="279">
        <f t="shared" ref="I161" si="54">SUM(F161:H161)</f>
        <v>226.44518600000001</v>
      </c>
      <c r="J161" s="276">
        <f t="shared" ref="J161" si="55">+I161*E161</f>
        <v>735.94685449999997</v>
      </c>
      <c r="K161" s="255"/>
      <c r="L161" s="255"/>
      <c r="M161" s="255"/>
      <c r="N161" s="255"/>
      <c r="O161" s="257"/>
    </row>
    <row r="162" spans="1:1001" s="88" customFormat="1" ht="24" customHeight="1">
      <c r="A162" s="680" t="s">
        <v>6927</v>
      </c>
      <c r="B162" s="680"/>
      <c r="C162" s="680"/>
      <c r="D162" s="680"/>
      <c r="E162" s="680"/>
      <c r="F162" s="680"/>
      <c r="G162" s="680"/>
      <c r="H162" s="680"/>
      <c r="I162" s="680"/>
      <c r="J162" s="281">
        <f>SUM(J160:J161)</f>
        <v>774.57335734999992</v>
      </c>
      <c r="K162" s="255"/>
      <c r="L162" s="255"/>
      <c r="M162" s="255"/>
      <c r="N162" s="255"/>
      <c r="O162" s="255"/>
      <c r="P162" s="223"/>
    </row>
    <row r="163" spans="1:1001" s="191" customFormat="1" ht="12.75" customHeight="1">
      <c r="A163" s="680" t="s">
        <v>7104</v>
      </c>
      <c r="B163" s="680"/>
      <c r="C163" s="680"/>
      <c r="D163" s="680"/>
      <c r="E163" s="680"/>
      <c r="F163" s="680"/>
      <c r="G163" s="680"/>
      <c r="H163" s="680"/>
      <c r="I163" s="680"/>
      <c r="J163" s="281">
        <f>SUMPRODUCT(E12:E161,F12:F161)</f>
        <v>16756.629988149987</v>
      </c>
      <c r="K163" s="255"/>
      <c r="L163" s="255"/>
      <c r="M163" s="255"/>
      <c r="N163" s="255"/>
      <c r="O163" s="255"/>
      <c r="P163" s="257"/>
      <c r="Q163" s="255"/>
      <c r="R163" s="255"/>
      <c r="S163" s="255"/>
      <c r="T163" s="255"/>
      <c r="U163" s="255"/>
      <c r="V163" s="255"/>
      <c r="W163" s="255"/>
      <c r="X163" s="255"/>
      <c r="Y163" s="255"/>
      <c r="Z163" s="255"/>
      <c r="AA163" s="255"/>
      <c r="AB163" s="255"/>
      <c r="AC163" s="255"/>
      <c r="AD163" s="255"/>
      <c r="AE163" s="255"/>
      <c r="AF163" s="255"/>
      <c r="AG163" s="255"/>
      <c r="AH163" s="255"/>
      <c r="AI163" s="255"/>
      <c r="AJ163" s="255"/>
      <c r="AK163" s="255"/>
      <c r="AL163" s="255"/>
      <c r="AM163" s="255"/>
      <c r="AN163" s="255"/>
      <c r="AO163" s="255"/>
      <c r="AP163" s="255"/>
      <c r="AQ163" s="255"/>
      <c r="AR163" s="255"/>
      <c r="AS163" s="255"/>
      <c r="AT163" s="255"/>
      <c r="AU163" s="255"/>
      <c r="AV163" s="255"/>
      <c r="AW163" s="255"/>
      <c r="AX163" s="255"/>
      <c r="AY163" s="255"/>
      <c r="AZ163" s="255"/>
      <c r="BA163" s="255"/>
      <c r="BB163" s="255"/>
      <c r="BC163" s="255"/>
      <c r="BD163" s="255"/>
      <c r="BE163" s="255"/>
      <c r="BF163" s="255"/>
      <c r="BG163" s="255"/>
      <c r="BH163" s="255"/>
      <c r="BI163" s="255"/>
      <c r="BJ163" s="255"/>
      <c r="BK163" s="255"/>
      <c r="BL163" s="255"/>
      <c r="BM163" s="255"/>
      <c r="BN163" s="255"/>
      <c r="BO163" s="255"/>
      <c r="BP163" s="255"/>
      <c r="BQ163" s="255"/>
      <c r="BR163" s="255"/>
      <c r="BS163" s="255"/>
      <c r="BT163" s="255"/>
      <c r="BU163" s="255"/>
      <c r="BV163" s="255"/>
      <c r="BW163" s="255"/>
      <c r="BX163" s="255"/>
      <c r="BY163" s="255"/>
      <c r="BZ163" s="255"/>
      <c r="CA163" s="255"/>
      <c r="CB163" s="255"/>
      <c r="CC163" s="255"/>
      <c r="CD163" s="255"/>
      <c r="CE163" s="255"/>
      <c r="CF163" s="255"/>
      <c r="CG163" s="255"/>
      <c r="CH163" s="255"/>
      <c r="CI163" s="255"/>
      <c r="CJ163" s="255"/>
      <c r="CK163" s="255"/>
      <c r="CL163" s="255"/>
      <c r="CM163" s="255"/>
      <c r="CN163" s="255"/>
      <c r="CO163" s="255"/>
      <c r="CP163" s="255"/>
      <c r="CQ163" s="255"/>
      <c r="CR163" s="255"/>
      <c r="CS163" s="255"/>
      <c r="CT163" s="255"/>
      <c r="CU163" s="255"/>
      <c r="CV163" s="255"/>
      <c r="CW163" s="255"/>
      <c r="CX163" s="255"/>
      <c r="CY163" s="255"/>
      <c r="CZ163" s="255"/>
      <c r="DA163" s="255"/>
      <c r="DB163" s="255"/>
      <c r="DC163" s="255"/>
      <c r="DD163" s="255"/>
      <c r="DE163" s="255"/>
      <c r="DF163" s="255"/>
      <c r="DG163" s="255"/>
      <c r="DH163" s="255"/>
      <c r="DI163" s="255"/>
      <c r="DJ163" s="255"/>
      <c r="DK163" s="255"/>
      <c r="DL163" s="255"/>
      <c r="DM163" s="255"/>
      <c r="DN163" s="255"/>
      <c r="DO163" s="255"/>
      <c r="DP163" s="255"/>
      <c r="DQ163" s="255"/>
      <c r="DR163" s="255"/>
      <c r="DS163" s="255"/>
      <c r="DT163" s="255"/>
      <c r="DU163" s="255"/>
      <c r="DV163" s="255"/>
      <c r="DW163" s="255"/>
      <c r="DX163" s="255"/>
      <c r="DY163" s="255"/>
      <c r="DZ163" s="255"/>
      <c r="EA163" s="255"/>
      <c r="EB163" s="255"/>
      <c r="EC163" s="255"/>
      <c r="ED163" s="255"/>
      <c r="EE163" s="255"/>
      <c r="EF163" s="255"/>
      <c r="EG163" s="255"/>
      <c r="EH163" s="255"/>
      <c r="EI163" s="255"/>
      <c r="EJ163" s="255"/>
      <c r="EK163" s="255"/>
      <c r="EL163" s="255"/>
      <c r="EM163" s="255"/>
      <c r="EN163" s="255"/>
      <c r="EO163" s="255"/>
      <c r="EP163" s="255"/>
      <c r="EQ163" s="255"/>
      <c r="ER163" s="255"/>
      <c r="ES163" s="255"/>
      <c r="ET163" s="255"/>
      <c r="EU163" s="255"/>
      <c r="EV163" s="255"/>
      <c r="EW163" s="255"/>
      <c r="EX163" s="255"/>
      <c r="EY163" s="255"/>
      <c r="EZ163" s="255"/>
      <c r="FA163" s="255"/>
      <c r="FB163" s="255"/>
      <c r="FC163" s="255"/>
      <c r="FD163" s="255"/>
      <c r="FE163" s="255"/>
      <c r="FF163" s="255"/>
      <c r="FG163" s="255"/>
      <c r="FH163" s="255"/>
      <c r="FI163" s="255"/>
      <c r="FJ163" s="255"/>
      <c r="FK163" s="255"/>
      <c r="FL163" s="255"/>
      <c r="FM163" s="255"/>
      <c r="FN163" s="255"/>
      <c r="FO163" s="255"/>
      <c r="FP163" s="255"/>
      <c r="FQ163" s="255"/>
      <c r="FR163" s="255"/>
      <c r="FS163" s="255"/>
      <c r="FT163" s="255"/>
      <c r="FU163" s="255"/>
      <c r="FV163" s="255"/>
      <c r="FW163" s="255"/>
      <c r="FX163" s="255"/>
      <c r="FY163" s="255"/>
      <c r="FZ163" s="255"/>
      <c r="GA163" s="255"/>
      <c r="GB163" s="255"/>
      <c r="GC163" s="255"/>
      <c r="GD163" s="255"/>
      <c r="GE163" s="255"/>
      <c r="GF163" s="255"/>
      <c r="GG163" s="255"/>
      <c r="GH163" s="255"/>
      <c r="GI163" s="255"/>
      <c r="GJ163" s="255"/>
      <c r="GK163" s="255"/>
      <c r="GL163" s="255"/>
      <c r="GM163" s="255"/>
      <c r="GN163" s="255"/>
      <c r="GO163" s="255"/>
      <c r="GP163" s="255"/>
      <c r="GQ163" s="255"/>
      <c r="GR163" s="255"/>
      <c r="GS163" s="255"/>
      <c r="GT163" s="255"/>
      <c r="GU163" s="255"/>
      <c r="GV163" s="255"/>
      <c r="GW163" s="255"/>
      <c r="GX163" s="255"/>
      <c r="GY163" s="255"/>
      <c r="GZ163" s="255"/>
      <c r="HA163" s="255"/>
      <c r="HB163" s="255"/>
      <c r="HC163" s="255"/>
      <c r="HD163" s="255"/>
      <c r="HE163" s="255"/>
      <c r="HF163" s="255"/>
      <c r="HG163" s="255"/>
      <c r="HH163" s="255"/>
      <c r="HI163" s="255"/>
      <c r="HJ163" s="255"/>
      <c r="HK163" s="255"/>
      <c r="HL163" s="255"/>
      <c r="HM163" s="255"/>
      <c r="HN163" s="255"/>
      <c r="HO163" s="255"/>
      <c r="HP163" s="255"/>
      <c r="HQ163" s="255"/>
      <c r="HR163" s="255"/>
      <c r="HS163" s="255"/>
      <c r="HT163" s="255"/>
      <c r="HU163" s="255"/>
      <c r="HV163" s="255"/>
      <c r="HW163" s="255"/>
      <c r="HX163" s="255"/>
      <c r="HY163" s="255"/>
      <c r="HZ163" s="255"/>
      <c r="IA163" s="255"/>
      <c r="IB163" s="255"/>
      <c r="IC163" s="255"/>
      <c r="ID163" s="255"/>
      <c r="IE163" s="255"/>
      <c r="IF163" s="255"/>
      <c r="IG163" s="255"/>
      <c r="IH163" s="255"/>
      <c r="II163" s="255"/>
      <c r="IJ163" s="255"/>
      <c r="IK163" s="255"/>
      <c r="IL163" s="255"/>
      <c r="IM163" s="255"/>
      <c r="IN163" s="255"/>
      <c r="IO163" s="255"/>
      <c r="IP163" s="255"/>
      <c r="IQ163" s="255"/>
      <c r="IR163" s="255"/>
      <c r="IS163" s="255"/>
      <c r="IT163" s="255"/>
      <c r="IU163" s="255"/>
      <c r="IV163" s="255"/>
      <c r="IW163" s="255"/>
      <c r="IX163" s="255"/>
      <c r="IY163" s="255"/>
      <c r="IZ163" s="255"/>
      <c r="JA163" s="255"/>
      <c r="JB163" s="255"/>
      <c r="JC163" s="255"/>
      <c r="JD163" s="255"/>
      <c r="JE163" s="255"/>
      <c r="JF163" s="255"/>
      <c r="JG163" s="255"/>
      <c r="JH163" s="255"/>
      <c r="JI163" s="255"/>
      <c r="JJ163" s="255"/>
      <c r="JK163" s="255"/>
      <c r="JL163" s="255"/>
      <c r="JM163" s="255"/>
      <c r="JN163" s="255"/>
      <c r="JO163" s="255"/>
      <c r="JP163" s="255"/>
      <c r="JQ163" s="255"/>
      <c r="JR163" s="255"/>
      <c r="JS163" s="255"/>
      <c r="JT163" s="255"/>
      <c r="JU163" s="255"/>
      <c r="JV163" s="255"/>
      <c r="JW163" s="255"/>
      <c r="JX163" s="255"/>
      <c r="JY163" s="255"/>
      <c r="JZ163" s="255"/>
      <c r="KA163" s="255"/>
      <c r="KB163" s="255"/>
      <c r="KC163" s="255"/>
      <c r="KD163" s="255"/>
      <c r="KE163" s="255"/>
      <c r="KF163" s="255"/>
      <c r="KG163" s="255"/>
      <c r="KH163" s="255"/>
      <c r="KI163" s="255"/>
      <c r="KJ163" s="255"/>
      <c r="KK163" s="255"/>
      <c r="KL163" s="255"/>
      <c r="KM163" s="255"/>
      <c r="KN163" s="255"/>
      <c r="KO163" s="255"/>
      <c r="KP163" s="255"/>
      <c r="KQ163" s="255"/>
      <c r="KR163" s="255"/>
      <c r="KS163" s="255"/>
      <c r="KT163" s="255"/>
      <c r="KU163" s="255"/>
      <c r="KV163" s="255"/>
      <c r="KW163" s="255"/>
      <c r="KX163" s="255"/>
      <c r="KY163" s="255"/>
      <c r="KZ163" s="255"/>
      <c r="LA163" s="255"/>
      <c r="LB163" s="255"/>
      <c r="LC163" s="255"/>
      <c r="LD163" s="255"/>
      <c r="LE163" s="255"/>
      <c r="LF163" s="255"/>
      <c r="LG163" s="255"/>
      <c r="LH163" s="255"/>
      <c r="LI163" s="255"/>
      <c r="LJ163" s="255"/>
      <c r="LK163" s="255"/>
      <c r="LL163" s="255"/>
      <c r="LM163" s="255"/>
      <c r="LN163" s="255"/>
      <c r="LO163" s="255"/>
      <c r="LP163" s="255"/>
      <c r="LQ163" s="255"/>
      <c r="LR163" s="255"/>
      <c r="LS163" s="255"/>
      <c r="LT163" s="255"/>
      <c r="LU163" s="255"/>
      <c r="LV163" s="255"/>
      <c r="LW163" s="255"/>
      <c r="LX163" s="255"/>
      <c r="LY163" s="255"/>
      <c r="LZ163" s="255"/>
      <c r="MA163" s="255"/>
      <c r="MB163" s="255"/>
      <c r="MC163" s="255"/>
      <c r="MD163" s="255"/>
      <c r="ME163" s="255"/>
      <c r="MF163" s="255"/>
      <c r="MG163" s="255"/>
      <c r="MH163" s="255"/>
      <c r="MI163" s="255"/>
      <c r="MJ163" s="255"/>
      <c r="MK163" s="255"/>
      <c r="ML163" s="255"/>
      <c r="MM163" s="255"/>
      <c r="MN163" s="255"/>
      <c r="MO163" s="255"/>
      <c r="MP163" s="255"/>
      <c r="MQ163" s="255"/>
      <c r="MR163" s="255"/>
      <c r="MS163" s="255"/>
      <c r="MT163" s="255"/>
      <c r="MU163" s="255"/>
      <c r="MV163" s="255"/>
      <c r="MW163" s="255"/>
      <c r="MX163" s="255"/>
      <c r="MY163" s="255"/>
      <c r="MZ163" s="255"/>
      <c r="NA163" s="255"/>
      <c r="NB163" s="255"/>
      <c r="NC163" s="255"/>
      <c r="ND163" s="255"/>
      <c r="NE163" s="255"/>
      <c r="NF163" s="255"/>
      <c r="NG163" s="255"/>
      <c r="NH163" s="255"/>
      <c r="NI163" s="255"/>
      <c r="NJ163" s="255"/>
      <c r="NK163" s="255"/>
      <c r="NL163" s="255"/>
      <c r="NM163" s="255"/>
      <c r="NN163" s="255"/>
      <c r="NO163" s="255"/>
      <c r="NP163" s="255"/>
      <c r="NQ163" s="255"/>
      <c r="NR163" s="255"/>
      <c r="NS163" s="255"/>
      <c r="NT163" s="255"/>
      <c r="NU163" s="255"/>
      <c r="NV163" s="255"/>
      <c r="NW163" s="255"/>
      <c r="NX163" s="255"/>
      <c r="NY163" s="255"/>
      <c r="NZ163" s="255"/>
      <c r="OA163" s="255"/>
      <c r="OB163" s="255"/>
      <c r="OC163" s="255"/>
      <c r="OD163" s="255"/>
      <c r="OE163" s="255"/>
      <c r="OF163" s="255"/>
      <c r="OG163" s="255"/>
      <c r="OH163" s="255"/>
      <c r="OI163" s="255"/>
      <c r="OJ163" s="255"/>
      <c r="OK163" s="255"/>
      <c r="OL163" s="255"/>
      <c r="OM163" s="255"/>
      <c r="ON163" s="255"/>
      <c r="OO163" s="255"/>
      <c r="OP163" s="255"/>
      <c r="OQ163" s="255"/>
      <c r="OR163" s="255"/>
      <c r="OS163" s="255"/>
      <c r="OT163" s="255"/>
      <c r="OU163" s="255"/>
      <c r="OV163" s="255"/>
      <c r="OW163" s="255"/>
      <c r="OX163" s="255"/>
      <c r="OY163" s="255"/>
      <c r="OZ163" s="255"/>
      <c r="PA163" s="255"/>
      <c r="PB163" s="255"/>
      <c r="PC163" s="255"/>
      <c r="PD163" s="255"/>
      <c r="PE163" s="255"/>
      <c r="PF163" s="255"/>
      <c r="PG163" s="255"/>
      <c r="PH163" s="255"/>
      <c r="PI163" s="255"/>
      <c r="PJ163" s="255"/>
      <c r="PK163" s="255"/>
      <c r="PL163" s="255"/>
      <c r="PM163" s="255"/>
      <c r="PN163" s="255"/>
      <c r="PO163" s="255"/>
      <c r="PP163" s="255"/>
      <c r="PQ163" s="255"/>
      <c r="PR163" s="255"/>
      <c r="PS163" s="255"/>
      <c r="PT163" s="255"/>
      <c r="PU163" s="255"/>
      <c r="PV163" s="255"/>
      <c r="PW163" s="255"/>
      <c r="PX163" s="255"/>
      <c r="PY163" s="255"/>
      <c r="PZ163" s="255"/>
      <c r="QA163" s="255"/>
      <c r="QB163" s="255"/>
      <c r="QC163" s="255"/>
      <c r="QD163" s="255"/>
      <c r="QE163" s="255"/>
      <c r="QF163" s="255"/>
      <c r="QG163" s="255"/>
      <c r="QH163" s="255"/>
      <c r="QI163" s="255"/>
      <c r="QJ163" s="255"/>
      <c r="QK163" s="255"/>
      <c r="QL163" s="255"/>
      <c r="QM163" s="255"/>
      <c r="QN163" s="255"/>
      <c r="QO163" s="255"/>
      <c r="QP163" s="255"/>
      <c r="QQ163" s="255"/>
      <c r="QR163" s="255"/>
      <c r="QS163" s="255"/>
      <c r="QT163" s="255"/>
      <c r="QU163" s="255"/>
      <c r="QV163" s="255"/>
      <c r="QW163" s="255"/>
      <c r="QX163" s="255"/>
      <c r="QY163" s="255"/>
      <c r="QZ163" s="255"/>
      <c r="RA163" s="255"/>
      <c r="RB163" s="255"/>
      <c r="RC163" s="255"/>
      <c r="RD163" s="255"/>
      <c r="RE163" s="255"/>
      <c r="RF163" s="255"/>
      <c r="RG163" s="255"/>
      <c r="RH163" s="255"/>
      <c r="RI163" s="255"/>
      <c r="RJ163" s="255"/>
      <c r="RK163" s="255"/>
      <c r="RL163" s="255"/>
      <c r="RM163" s="255"/>
      <c r="RN163" s="255"/>
      <c r="RO163" s="255"/>
      <c r="RP163" s="255"/>
      <c r="RQ163" s="255"/>
      <c r="RR163" s="255"/>
      <c r="RS163" s="255"/>
      <c r="RT163" s="255"/>
      <c r="RU163" s="255"/>
      <c r="RV163" s="255"/>
      <c r="RW163" s="255"/>
      <c r="RX163" s="255"/>
      <c r="RY163" s="255"/>
      <c r="RZ163" s="255"/>
      <c r="SA163" s="255"/>
      <c r="SB163" s="255"/>
      <c r="SC163" s="255"/>
      <c r="SD163" s="255"/>
      <c r="SE163" s="255"/>
      <c r="SF163" s="255"/>
      <c r="SG163" s="255"/>
      <c r="SH163" s="255"/>
      <c r="SI163" s="255"/>
      <c r="SJ163" s="255"/>
      <c r="SK163" s="255"/>
      <c r="SL163" s="255"/>
      <c r="SM163" s="255"/>
      <c r="SN163" s="255"/>
      <c r="SO163" s="255"/>
      <c r="SP163" s="255"/>
      <c r="SQ163" s="255"/>
      <c r="SR163" s="255"/>
      <c r="SS163" s="255"/>
      <c r="ST163" s="255"/>
      <c r="SU163" s="255"/>
      <c r="SV163" s="255"/>
      <c r="SW163" s="255"/>
      <c r="SX163" s="255"/>
      <c r="SY163" s="255"/>
      <c r="SZ163" s="255"/>
      <c r="TA163" s="255"/>
      <c r="TB163" s="255"/>
      <c r="TC163" s="255"/>
      <c r="TD163" s="255"/>
      <c r="TE163" s="255"/>
      <c r="TF163" s="255"/>
      <c r="TG163" s="255"/>
      <c r="TH163" s="255"/>
      <c r="TI163" s="255"/>
      <c r="TJ163" s="255"/>
      <c r="TK163" s="255"/>
      <c r="TL163" s="255"/>
      <c r="TM163" s="255"/>
      <c r="TN163" s="255"/>
      <c r="TO163" s="255"/>
      <c r="TP163" s="255"/>
      <c r="TQ163" s="255"/>
      <c r="TR163" s="255"/>
      <c r="TS163" s="255"/>
      <c r="TT163" s="255"/>
      <c r="TU163" s="255"/>
      <c r="TV163" s="255"/>
      <c r="TW163" s="255"/>
      <c r="TX163" s="255"/>
      <c r="TY163" s="255"/>
      <c r="TZ163" s="255"/>
      <c r="UA163" s="255"/>
      <c r="UB163" s="255"/>
      <c r="UC163" s="255"/>
      <c r="UD163" s="255"/>
      <c r="UE163" s="255"/>
      <c r="UF163" s="255"/>
      <c r="UG163" s="255"/>
      <c r="UH163" s="255"/>
      <c r="UI163" s="255"/>
      <c r="UJ163" s="255"/>
      <c r="UK163" s="255"/>
      <c r="UL163" s="255"/>
      <c r="UM163" s="255"/>
      <c r="UN163" s="255"/>
      <c r="UO163" s="255"/>
      <c r="UP163" s="255"/>
      <c r="UQ163" s="255"/>
      <c r="UR163" s="255"/>
      <c r="US163" s="255"/>
      <c r="UT163" s="255"/>
      <c r="UU163" s="255"/>
      <c r="UV163" s="255"/>
      <c r="UW163" s="255"/>
      <c r="UX163" s="255"/>
      <c r="UY163" s="255"/>
      <c r="UZ163" s="255"/>
      <c r="VA163" s="255"/>
      <c r="VB163" s="255"/>
      <c r="VC163" s="255"/>
      <c r="VD163" s="255"/>
      <c r="VE163" s="255"/>
      <c r="VF163" s="255"/>
      <c r="VG163" s="255"/>
      <c r="VH163" s="255"/>
      <c r="VI163" s="255"/>
      <c r="VJ163" s="255"/>
      <c r="VK163" s="255"/>
      <c r="VL163" s="255"/>
      <c r="VM163" s="255"/>
      <c r="VN163" s="255"/>
      <c r="VO163" s="255"/>
      <c r="VP163" s="255"/>
      <c r="VQ163" s="255"/>
      <c r="VR163" s="255"/>
      <c r="VS163" s="255"/>
      <c r="VT163" s="255"/>
      <c r="VU163" s="255"/>
      <c r="VV163" s="255"/>
      <c r="VW163" s="255"/>
      <c r="VX163" s="255"/>
      <c r="VY163" s="255"/>
      <c r="VZ163" s="255"/>
      <c r="WA163" s="255"/>
      <c r="WB163" s="255"/>
      <c r="WC163" s="255"/>
      <c r="WD163" s="255"/>
      <c r="WE163" s="255"/>
      <c r="WF163" s="255"/>
      <c r="WG163" s="255"/>
      <c r="WH163" s="255"/>
      <c r="WI163" s="255"/>
      <c r="WJ163" s="255"/>
      <c r="WK163" s="255"/>
      <c r="WL163" s="255"/>
      <c r="WM163" s="255"/>
      <c r="WN163" s="255"/>
      <c r="WO163" s="255"/>
      <c r="WP163" s="255"/>
      <c r="WQ163" s="255"/>
      <c r="WR163" s="255"/>
      <c r="WS163" s="255"/>
      <c r="WT163" s="255"/>
      <c r="WU163" s="255"/>
      <c r="WV163" s="255"/>
      <c r="WW163" s="255"/>
      <c r="WX163" s="255"/>
      <c r="WY163" s="255"/>
      <c r="WZ163" s="255"/>
      <c r="XA163" s="255"/>
      <c r="XB163" s="255"/>
      <c r="XC163" s="255"/>
      <c r="XD163" s="255"/>
      <c r="XE163" s="255"/>
      <c r="XF163" s="255"/>
      <c r="XG163" s="255"/>
      <c r="XH163" s="255"/>
      <c r="XI163" s="255"/>
      <c r="XJ163" s="255"/>
      <c r="XK163" s="255"/>
      <c r="XL163" s="255"/>
      <c r="XM163" s="255"/>
      <c r="XN163" s="255"/>
      <c r="XO163" s="255"/>
      <c r="XP163" s="255"/>
      <c r="XQ163" s="255"/>
      <c r="XR163" s="255"/>
      <c r="XS163" s="255"/>
      <c r="XT163" s="255"/>
      <c r="XU163" s="255"/>
      <c r="XV163" s="255"/>
      <c r="XW163" s="255"/>
      <c r="XX163" s="255"/>
      <c r="XY163" s="255"/>
      <c r="XZ163" s="255"/>
      <c r="YA163" s="255"/>
      <c r="YB163" s="255"/>
      <c r="YC163" s="255"/>
      <c r="YD163" s="255"/>
      <c r="YE163" s="255"/>
      <c r="YF163" s="255"/>
      <c r="YG163" s="255"/>
      <c r="YH163" s="255"/>
      <c r="YI163" s="255"/>
      <c r="YJ163" s="255"/>
      <c r="YK163" s="255"/>
      <c r="YL163" s="255"/>
      <c r="YM163" s="255"/>
      <c r="YN163" s="255"/>
      <c r="YO163" s="255"/>
      <c r="YP163" s="255"/>
      <c r="YQ163" s="255"/>
      <c r="YR163" s="255"/>
      <c r="YS163" s="255"/>
      <c r="YT163" s="255"/>
      <c r="YU163" s="255"/>
      <c r="YV163" s="255"/>
      <c r="YW163" s="255"/>
      <c r="YX163" s="255"/>
      <c r="YY163" s="255"/>
      <c r="YZ163" s="255"/>
      <c r="ZA163" s="255"/>
      <c r="ZB163" s="255"/>
      <c r="ZC163" s="255"/>
      <c r="ZD163" s="255"/>
      <c r="ZE163" s="255"/>
      <c r="ZF163" s="255"/>
      <c r="ZG163" s="255"/>
      <c r="ZH163" s="255"/>
      <c r="ZI163" s="255"/>
      <c r="ZJ163" s="255"/>
      <c r="ZK163" s="255"/>
      <c r="ZL163" s="255"/>
      <c r="ZM163" s="255"/>
      <c r="ZN163" s="255"/>
      <c r="ZO163" s="255"/>
      <c r="ZP163" s="255"/>
      <c r="ZQ163" s="255"/>
      <c r="ZR163" s="255"/>
      <c r="ZS163" s="255"/>
      <c r="ZT163" s="255"/>
      <c r="ZU163" s="255"/>
      <c r="ZV163" s="255"/>
      <c r="ZW163" s="255"/>
      <c r="ZX163" s="255"/>
      <c r="ZY163" s="255"/>
      <c r="ZZ163" s="255"/>
      <c r="AAA163" s="255"/>
      <c r="AAB163" s="255"/>
      <c r="AAC163" s="255"/>
      <c r="AAD163" s="255"/>
      <c r="AAE163" s="255"/>
      <c r="AAF163" s="255"/>
      <c r="AAG163" s="255"/>
      <c r="AAH163" s="255"/>
      <c r="AAI163" s="255"/>
      <c r="AAJ163" s="255"/>
      <c r="AAK163" s="255"/>
      <c r="AAL163" s="255"/>
      <c r="AAM163" s="255"/>
      <c r="AAN163" s="255"/>
      <c r="AAO163" s="255"/>
      <c r="AAP163" s="255"/>
      <c r="AAQ163" s="255"/>
      <c r="AAR163" s="255"/>
      <c r="AAS163" s="255"/>
      <c r="AAT163" s="255"/>
      <c r="AAU163" s="255"/>
      <c r="AAV163" s="255"/>
      <c r="AAW163" s="255"/>
      <c r="AAX163" s="255"/>
      <c r="AAY163" s="255"/>
      <c r="AAZ163" s="255"/>
      <c r="ABA163" s="255"/>
      <c r="ABB163" s="255"/>
      <c r="ABC163" s="255"/>
      <c r="ABD163" s="255"/>
      <c r="ABE163" s="255"/>
      <c r="ABF163" s="255"/>
      <c r="ABG163" s="255"/>
      <c r="ABH163" s="255"/>
      <c r="ABI163" s="255"/>
      <c r="ABJ163" s="255"/>
      <c r="ABK163" s="255"/>
      <c r="ABL163" s="255"/>
      <c r="ABM163" s="255"/>
      <c r="ABN163" s="255"/>
      <c r="ABO163" s="255"/>
      <c r="ABP163" s="255"/>
      <c r="ABQ163" s="255"/>
      <c r="ABR163" s="255"/>
      <c r="ABS163" s="255"/>
      <c r="ABT163" s="255"/>
      <c r="ABU163" s="255"/>
      <c r="ABV163" s="255"/>
      <c r="ABW163" s="255"/>
      <c r="ABX163" s="255"/>
      <c r="ABY163" s="255"/>
      <c r="ABZ163" s="255"/>
      <c r="ACA163" s="255"/>
      <c r="ACB163" s="255"/>
      <c r="ACC163" s="255"/>
      <c r="ACD163" s="255"/>
      <c r="ACE163" s="255"/>
      <c r="ACF163" s="255"/>
      <c r="ACG163" s="255"/>
      <c r="ACH163" s="255"/>
      <c r="ACI163" s="255"/>
      <c r="ACJ163" s="255"/>
      <c r="ACK163" s="255"/>
      <c r="ACL163" s="255"/>
      <c r="ACM163" s="255"/>
      <c r="ACN163" s="255"/>
      <c r="ACO163" s="255"/>
      <c r="ACP163" s="255"/>
      <c r="ACQ163" s="255"/>
      <c r="ACR163" s="255"/>
      <c r="ACS163" s="255"/>
      <c r="ACT163" s="255"/>
      <c r="ACU163" s="255"/>
      <c r="ACV163" s="255"/>
      <c r="ACW163" s="255"/>
      <c r="ACX163" s="255"/>
      <c r="ACY163" s="255"/>
      <c r="ACZ163" s="255"/>
      <c r="ADA163" s="255"/>
      <c r="ADB163" s="255"/>
      <c r="ADC163" s="255"/>
      <c r="ADD163" s="255"/>
      <c r="ADE163" s="255"/>
      <c r="ADF163" s="255"/>
      <c r="ADG163" s="255"/>
      <c r="ADH163" s="255"/>
      <c r="ADI163" s="255"/>
      <c r="ADJ163" s="255"/>
      <c r="ADK163" s="255"/>
      <c r="ADL163" s="255"/>
      <c r="ADM163" s="255"/>
      <c r="ADN163" s="255"/>
      <c r="ADO163" s="255"/>
      <c r="ADP163" s="255"/>
      <c r="ADQ163" s="255"/>
      <c r="ADR163" s="255"/>
      <c r="ADS163" s="255"/>
      <c r="ADT163" s="255"/>
      <c r="ADU163" s="255"/>
      <c r="ADV163" s="255"/>
      <c r="ADW163" s="255"/>
      <c r="ADX163" s="255"/>
      <c r="ADY163" s="255"/>
      <c r="ADZ163" s="255"/>
      <c r="AEA163" s="255"/>
      <c r="AEB163" s="255"/>
      <c r="AEC163" s="255"/>
      <c r="AED163" s="255"/>
      <c r="AEE163" s="255"/>
      <c r="AEF163" s="255"/>
      <c r="AEG163" s="255"/>
      <c r="AEH163" s="255"/>
      <c r="AEI163" s="255"/>
      <c r="AEJ163" s="255"/>
      <c r="AEK163" s="255"/>
      <c r="AEL163" s="255"/>
      <c r="AEM163" s="255"/>
      <c r="AEN163" s="255"/>
      <c r="AEO163" s="255"/>
      <c r="AEP163" s="255"/>
      <c r="AEQ163" s="255"/>
      <c r="AER163" s="255"/>
      <c r="AES163" s="255"/>
      <c r="AET163" s="255"/>
      <c r="AEU163" s="255"/>
      <c r="AEV163" s="255"/>
      <c r="AEW163" s="255"/>
      <c r="AEX163" s="255"/>
      <c r="AEY163" s="255"/>
      <c r="AEZ163" s="255"/>
      <c r="AFA163" s="255"/>
      <c r="AFB163" s="255"/>
      <c r="AFC163" s="255"/>
      <c r="AFD163" s="255"/>
      <c r="AFE163" s="255"/>
      <c r="AFF163" s="255"/>
      <c r="AFG163" s="255"/>
      <c r="AFH163" s="255"/>
      <c r="AFI163" s="255"/>
      <c r="AFJ163" s="255"/>
      <c r="AFK163" s="255"/>
      <c r="AFL163" s="255"/>
      <c r="AFM163" s="255"/>
      <c r="AFN163" s="255"/>
      <c r="AFO163" s="255"/>
      <c r="AFP163" s="255"/>
      <c r="AFQ163" s="255"/>
      <c r="AFR163" s="255"/>
      <c r="AFS163" s="255"/>
      <c r="AFT163" s="255"/>
      <c r="AFU163" s="255"/>
      <c r="AFV163" s="255"/>
      <c r="AFW163" s="255"/>
      <c r="AFX163" s="255"/>
      <c r="AFY163" s="255"/>
      <c r="AFZ163" s="255"/>
      <c r="AGA163" s="255"/>
      <c r="AGB163" s="255"/>
      <c r="AGC163" s="255"/>
      <c r="AGD163" s="255"/>
      <c r="AGE163" s="255"/>
      <c r="AGF163" s="255"/>
      <c r="AGG163" s="255"/>
      <c r="AGH163" s="255"/>
      <c r="AGI163" s="255"/>
      <c r="AGJ163" s="255"/>
      <c r="AGK163" s="255"/>
      <c r="AGL163" s="255"/>
      <c r="AGM163" s="255"/>
      <c r="AGN163" s="255"/>
      <c r="AGO163" s="255"/>
      <c r="AGP163" s="255"/>
      <c r="AGQ163" s="255"/>
      <c r="AGR163" s="255"/>
      <c r="AGS163" s="255"/>
      <c r="AGT163" s="255"/>
      <c r="AGU163" s="255"/>
      <c r="AGV163" s="255"/>
      <c r="AGW163" s="255"/>
      <c r="AGX163" s="255"/>
      <c r="AGY163" s="255"/>
      <c r="AGZ163" s="255"/>
      <c r="AHA163" s="255"/>
      <c r="AHB163" s="255"/>
      <c r="AHC163" s="255"/>
      <c r="AHD163" s="255"/>
      <c r="AHE163" s="255"/>
      <c r="AHF163" s="255"/>
      <c r="AHG163" s="255"/>
      <c r="AHH163" s="255"/>
      <c r="AHI163" s="255"/>
      <c r="AHJ163" s="255"/>
      <c r="AHK163" s="255"/>
      <c r="AHL163" s="255"/>
      <c r="AHM163" s="255"/>
      <c r="AHN163" s="255"/>
      <c r="AHO163" s="255"/>
      <c r="AHP163" s="255"/>
      <c r="AHQ163" s="255"/>
      <c r="AHR163" s="255"/>
      <c r="AHS163" s="255"/>
      <c r="AHT163" s="255"/>
      <c r="AHU163" s="255"/>
      <c r="AHV163" s="255"/>
      <c r="AHW163" s="255"/>
      <c r="AHX163" s="255"/>
      <c r="AHY163" s="255"/>
      <c r="AHZ163" s="255"/>
      <c r="AIA163" s="255"/>
      <c r="AIB163" s="255"/>
      <c r="AIC163" s="255"/>
      <c r="AID163" s="255"/>
      <c r="AIE163" s="255"/>
      <c r="AIF163" s="255"/>
      <c r="AIG163" s="255"/>
      <c r="AIH163" s="255"/>
      <c r="AII163" s="255"/>
      <c r="AIJ163" s="255"/>
      <c r="AIK163" s="255"/>
      <c r="AIL163" s="255"/>
      <c r="AIM163" s="255"/>
      <c r="AIN163" s="255"/>
      <c r="AIO163" s="255"/>
      <c r="AIP163" s="255"/>
      <c r="AIQ163" s="255"/>
      <c r="AIR163" s="255"/>
      <c r="AIS163" s="255"/>
      <c r="AIT163" s="255"/>
      <c r="AIU163" s="255"/>
      <c r="AIV163" s="255"/>
      <c r="AIW163" s="255"/>
      <c r="AIX163" s="255"/>
      <c r="AIY163" s="255"/>
      <c r="AIZ163" s="255"/>
      <c r="AJA163" s="255"/>
      <c r="AJB163" s="255"/>
      <c r="AJC163" s="255"/>
      <c r="AJD163" s="255"/>
      <c r="AJE163" s="255"/>
      <c r="AJF163" s="255"/>
      <c r="AJG163" s="255"/>
      <c r="AJH163" s="255"/>
      <c r="AJI163" s="255"/>
      <c r="AJJ163" s="255"/>
      <c r="AJK163" s="255"/>
      <c r="AJL163" s="255"/>
      <c r="AJM163" s="255"/>
      <c r="AJN163" s="255"/>
      <c r="AJO163" s="255"/>
      <c r="AJP163" s="255"/>
      <c r="AJQ163" s="255"/>
      <c r="AJR163" s="255"/>
      <c r="AJS163" s="255"/>
      <c r="AJT163" s="255"/>
      <c r="AJU163" s="255"/>
      <c r="AJV163" s="255"/>
      <c r="AJW163" s="255"/>
      <c r="AJX163" s="255"/>
      <c r="AJY163" s="255"/>
      <c r="AJZ163" s="255"/>
      <c r="AKA163" s="255"/>
      <c r="AKB163" s="255"/>
      <c r="AKC163" s="255"/>
      <c r="AKD163" s="255"/>
      <c r="AKE163" s="255"/>
      <c r="AKF163" s="255"/>
      <c r="AKG163" s="255"/>
      <c r="AKH163" s="255"/>
      <c r="AKI163" s="255"/>
      <c r="AKJ163" s="255"/>
      <c r="AKK163" s="255"/>
      <c r="AKL163" s="255"/>
      <c r="AKM163" s="255"/>
      <c r="AKN163" s="255"/>
      <c r="AKO163" s="255"/>
      <c r="AKP163" s="255"/>
      <c r="AKQ163" s="255"/>
      <c r="AKR163" s="255"/>
      <c r="AKS163" s="255"/>
      <c r="AKT163" s="255"/>
      <c r="AKU163" s="255"/>
      <c r="AKV163" s="255"/>
      <c r="AKW163" s="255"/>
      <c r="AKX163" s="255"/>
      <c r="AKY163" s="255"/>
      <c r="AKZ163" s="255"/>
      <c r="ALA163" s="255"/>
      <c r="ALB163" s="255"/>
      <c r="ALC163" s="255"/>
      <c r="ALD163" s="255"/>
      <c r="ALE163" s="42"/>
      <c r="ALF163" s="42"/>
      <c r="ALG163" s="42"/>
      <c r="ALH163" s="42"/>
      <c r="ALI163" s="42"/>
      <c r="ALJ163" s="42"/>
      <c r="ALK163" s="42"/>
      <c r="ALL163" s="42"/>
      <c r="ALM163" s="42"/>
    </row>
    <row r="164" spans="1:1001" s="191" customFormat="1" ht="12.75" customHeight="1">
      <c r="A164" s="680" t="s">
        <v>7103</v>
      </c>
      <c r="B164" s="680"/>
      <c r="C164" s="680"/>
      <c r="D164" s="680"/>
      <c r="E164" s="680"/>
      <c r="F164" s="680"/>
      <c r="G164" s="680"/>
      <c r="H164" s="680"/>
      <c r="I164" s="680"/>
      <c r="J164" s="281">
        <f>SUMPRODUCT(E12:E161,G12:G161)+SUMPRODUCT(E12:E161,H12:H161)</f>
        <v>32544.957076758343</v>
      </c>
      <c r="K164" s="255"/>
      <c r="L164" s="255"/>
      <c r="M164" s="255"/>
      <c r="N164" s="255"/>
      <c r="O164" s="255"/>
      <c r="P164" s="255"/>
      <c r="Q164" s="255"/>
      <c r="R164" s="255"/>
      <c r="S164" s="255"/>
      <c r="T164" s="255"/>
      <c r="U164" s="255"/>
      <c r="V164" s="255"/>
      <c r="W164" s="255"/>
      <c r="X164" s="255"/>
      <c r="Y164" s="255"/>
      <c r="Z164" s="255"/>
      <c r="AA164" s="255"/>
      <c r="AB164" s="255"/>
      <c r="AC164" s="255"/>
      <c r="AD164" s="255"/>
      <c r="AE164" s="255"/>
      <c r="AF164" s="255"/>
      <c r="AG164" s="255"/>
      <c r="AH164" s="255"/>
      <c r="AI164" s="255"/>
      <c r="AJ164" s="255"/>
      <c r="AK164" s="255"/>
      <c r="AL164" s="255"/>
      <c r="AM164" s="255"/>
      <c r="AN164" s="255"/>
      <c r="AO164" s="255"/>
      <c r="AP164" s="255"/>
      <c r="AQ164" s="255"/>
      <c r="AR164" s="255"/>
      <c r="AS164" s="255"/>
      <c r="AT164" s="255"/>
      <c r="AU164" s="255"/>
      <c r="AV164" s="255"/>
      <c r="AW164" s="255"/>
      <c r="AX164" s="255"/>
      <c r="AY164" s="255"/>
      <c r="AZ164" s="255"/>
      <c r="BA164" s="255"/>
      <c r="BB164" s="255"/>
      <c r="BC164" s="255"/>
      <c r="BD164" s="255"/>
      <c r="BE164" s="255"/>
      <c r="BF164" s="255"/>
      <c r="BG164" s="255"/>
      <c r="BH164" s="255"/>
      <c r="BI164" s="255"/>
      <c r="BJ164" s="255"/>
      <c r="BK164" s="255"/>
      <c r="BL164" s="255"/>
      <c r="BM164" s="255"/>
      <c r="BN164" s="255"/>
      <c r="BO164" s="255"/>
      <c r="BP164" s="255"/>
      <c r="BQ164" s="255"/>
      <c r="BR164" s="255"/>
      <c r="BS164" s="255"/>
      <c r="BT164" s="255"/>
      <c r="BU164" s="255"/>
      <c r="BV164" s="255"/>
      <c r="BW164" s="255"/>
      <c r="BX164" s="255"/>
      <c r="BY164" s="255"/>
      <c r="BZ164" s="255"/>
      <c r="CA164" s="255"/>
      <c r="CB164" s="255"/>
      <c r="CC164" s="255"/>
      <c r="CD164" s="255"/>
      <c r="CE164" s="255"/>
      <c r="CF164" s="255"/>
      <c r="CG164" s="255"/>
      <c r="CH164" s="255"/>
      <c r="CI164" s="255"/>
      <c r="CJ164" s="255"/>
      <c r="CK164" s="255"/>
      <c r="CL164" s="255"/>
      <c r="CM164" s="255"/>
      <c r="CN164" s="255"/>
      <c r="CO164" s="255"/>
      <c r="CP164" s="255"/>
      <c r="CQ164" s="255"/>
      <c r="CR164" s="255"/>
      <c r="CS164" s="255"/>
      <c r="CT164" s="255"/>
      <c r="CU164" s="255"/>
      <c r="CV164" s="255"/>
      <c r="CW164" s="255"/>
      <c r="CX164" s="255"/>
      <c r="CY164" s="255"/>
      <c r="CZ164" s="255"/>
      <c r="DA164" s="255"/>
      <c r="DB164" s="255"/>
      <c r="DC164" s="255"/>
      <c r="DD164" s="255"/>
      <c r="DE164" s="255"/>
      <c r="DF164" s="255"/>
      <c r="DG164" s="255"/>
      <c r="DH164" s="255"/>
      <c r="DI164" s="255"/>
      <c r="DJ164" s="255"/>
      <c r="DK164" s="255"/>
      <c r="DL164" s="255"/>
      <c r="DM164" s="255"/>
      <c r="DN164" s="255"/>
      <c r="DO164" s="255"/>
      <c r="DP164" s="255"/>
      <c r="DQ164" s="255"/>
      <c r="DR164" s="255"/>
      <c r="DS164" s="255"/>
      <c r="DT164" s="255"/>
      <c r="DU164" s="255"/>
      <c r="DV164" s="255"/>
      <c r="DW164" s="255"/>
      <c r="DX164" s="255"/>
      <c r="DY164" s="255"/>
      <c r="DZ164" s="255"/>
      <c r="EA164" s="255"/>
      <c r="EB164" s="255"/>
      <c r="EC164" s="255"/>
      <c r="ED164" s="255"/>
      <c r="EE164" s="255"/>
      <c r="EF164" s="255"/>
      <c r="EG164" s="255"/>
      <c r="EH164" s="255"/>
      <c r="EI164" s="255"/>
      <c r="EJ164" s="255"/>
      <c r="EK164" s="255"/>
      <c r="EL164" s="255"/>
      <c r="EM164" s="255"/>
      <c r="EN164" s="255"/>
      <c r="EO164" s="255"/>
      <c r="EP164" s="255"/>
      <c r="EQ164" s="255"/>
      <c r="ER164" s="255"/>
      <c r="ES164" s="255"/>
      <c r="ET164" s="255"/>
      <c r="EU164" s="255"/>
      <c r="EV164" s="255"/>
      <c r="EW164" s="255"/>
      <c r="EX164" s="255"/>
      <c r="EY164" s="255"/>
      <c r="EZ164" s="255"/>
      <c r="FA164" s="255"/>
      <c r="FB164" s="255"/>
      <c r="FC164" s="255"/>
      <c r="FD164" s="255"/>
      <c r="FE164" s="255"/>
      <c r="FF164" s="255"/>
      <c r="FG164" s="255"/>
      <c r="FH164" s="255"/>
      <c r="FI164" s="255"/>
      <c r="FJ164" s="255"/>
      <c r="FK164" s="255"/>
      <c r="FL164" s="255"/>
      <c r="FM164" s="255"/>
      <c r="FN164" s="255"/>
      <c r="FO164" s="255"/>
      <c r="FP164" s="255"/>
      <c r="FQ164" s="255"/>
      <c r="FR164" s="255"/>
      <c r="FS164" s="255"/>
      <c r="FT164" s="255"/>
      <c r="FU164" s="255"/>
      <c r="FV164" s="255"/>
      <c r="FW164" s="255"/>
      <c r="FX164" s="255"/>
      <c r="FY164" s="255"/>
      <c r="FZ164" s="255"/>
      <c r="GA164" s="255"/>
      <c r="GB164" s="255"/>
      <c r="GC164" s="255"/>
      <c r="GD164" s="255"/>
      <c r="GE164" s="255"/>
      <c r="GF164" s="255"/>
      <c r="GG164" s="255"/>
      <c r="GH164" s="255"/>
      <c r="GI164" s="255"/>
      <c r="GJ164" s="255"/>
      <c r="GK164" s="255"/>
      <c r="GL164" s="255"/>
      <c r="GM164" s="255"/>
      <c r="GN164" s="255"/>
      <c r="GO164" s="255"/>
      <c r="GP164" s="255"/>
      <c r="GQ164" s="255"/>
      <c r="GR164" s="255"/>
      <c r="GS164" s="255"/>
      <c r="GT164" s="255"/>
      <c r="GU164" s="255"/>
      <c r="GV164" s="255"/>
      <c r="GW164" s="255"/>
      <c r="GX164" s="255"/>
      <c r="GY164" s="255"/>
      <c r="GZ164" s="255"/>
      <c r="HA164" s="255"/>
      <c r="HB164" s="255"/>
      <c r="HC164" s="255"/>
      <c r="HD164" s="255"/>
      <c r="HE164" s="255"/>
      <c r="HF164" s="255"/>
      <c r="HG164" s="255"/>
      <c r="HH164" s="255"/>
      <c r="HI164" s="255"/>
      <c r="HJ164" s="255"/>
      <c r="HK164" s="255"/>
      <c r="HL164" s="255"/>
      <c r="HM164" s="255"/>
      <c r="HN164" s="255"/>
      <c r="HO164" s="255"/>
      <c r="HP164" s="255"/>
      <c r="HQ164" s="255"/>
      <c r="HR164" s="255"/>
      <c r="HS164" s="255"/>
      <c r="HT164" s="255"/>
      <c r="HU164" s="255"/>
      <c r="HV164" s="255"/>
      <c r="HW164" s="255"/>
      <c r="HX164" s="255"/>
      <c r="HY164" s="255"/>
      <c r="HZ164" s="255"/>
      <c r="IA164" s="255"/>
      <c r="IB164" s="255"/>
      <c r="IC164" s="255"/>
      <c r="ID164" s="255"/>
      <c r="IE164" s="255"/>
      <c r="IF164" s="255"/>
      <c r="IG164" s="255"/>
      <c r="IH164" s="255"/>
      <c r="II164" s="255"/>
      <c r="IJ164" s="255"/>
      <c r="IK164" s="255"/>
      <c r="IL164" s="255"/>
      <c r="IM164" s="255"/>
      <c r="IN164" s="255"/>
      <c r="IO164" s="255"/>
      <c r="IP164" s="255"/>
      <c r="IQ164" s="255"/>
      <c r="IR164" s="255"/>
      <c r="IS164" s="255"/>
      <c r="IT164" s="255"/>
      <c r="IU164" s="255"/>
      <c r="IV164" s="255"/>
      <c r="IW164" s="255"/>
      <c r="IX164" s="255"/>
      <c r="IY164" s="255"/>
      <c r="IZ164" s="255"/>
      <c r="JA164" s="255"/>
      <c r="JB164" s="255"/>
      <c r="JC164" s="255"/>
      <c r="JD164" s="255"/>
      <c r="JE164" s="255"/>
      <c r="JF164" s="255"/>
      <c r="JG164" s="255"/>
      <c r="JH164" s="255"/>
      <c r="JI164" s="255"/>
      <c r="JJ164" s="255"/>
      <c r="JK164" s="255"/>
      <c r="JL164" s="255"/>
      <c r="JM164" s="255"/>
      <c r="JN164" s="255"/>
      <c r="JO164" s="255"/>
      <c r="JP164" s="255"/>
      <c r="JQ164" s="255"/>
      <c r="JR164" s="255"/>
      <c r="JS164" s="255"/>
      <c r="JT164" s="255"/>
      <c r="JU164" s="255"/>
      <c r="JV164" s="255"/>
      <c r="JW164" s="255"/>
      <c r="JX164" s="255"/>
      <c r="JY164" s="255"/>
      <c r="JZ164" s="255"/>
      <c r="KA164" s="255"/>
      <c r="KB164" s="255"/>
      <c r="KC164" s="255"/>
      <c r="KD164" s="255"/>
      <c r="KE164" s="255"/>
      <c r="KF164" s="255"/>
      <c r="KG164" s="255"/>
      <c r="KH164" s="255"/>
      <c r="KI164" s="255"/>
      <c r="KJ164" s="255"/>
      <c r="KK164" s="255"/>
      <c r="KL164" s="255"/>
      <c r="KM164" s="255"/>
      <c r="KN164" s="255"/>
      <c r="KO164" s="255"/>
      <c r="KP164" s="255"/>
      <c r="KQ164" s="255"/>
      <c r="KR164" s="255"/>
      <c r="KS164" s="255"/>
      <c r="KT164" s="255"/>
      <c r="KU164" s="255"/>
      <c r="KV164" s="255"/>
      <c r="KW164" s="255"/>
      <c r="KX164" s="255"/>
      <c r="KY164" s="255"/>
      <c r="KZ164" s="255"/>
      <c r="LA164" s="255"/>
      <c r="LB164" s="255"/>
      <c r="LC164" s="255"/>
      <c r="LD164" s="255"/>
      <c r="LE164" s="255"/>
      <c r="LF164" s="255"/>
      <c r="LG164" s="255"/>
      <c r="LH164" s="255"/>
      <c r="LI164" s="255"/>
      <c r="LJ164" s="255"/>
      <c r="LK164" s="255"/>
      <c r="LL164" s="255"/>
      <c r="LM164" s="255"/>
      <c r="LN164" s="255"/>
      <c r="LO164" s="255"/>
      <c r="LP164" s="255"/>
      <c r="LQ164" s="255"/>
      <c r="LR164" s="255"/>
      <c r="LS164" s="255"/>
      <c r="LT164" s="255"/>
      <c r="LU164" s="255"/>
      <c r="LV164" s="255"/>
      <c r="LW164" s="255"/>
      <c r="LX164" s="255"/>
      <c r="LY164" s="255"/>
      <c r="LZ164" s="255"/>
      <c r="MA164" s="255"/>
      <c r="MB164" s="255"/>
      <c r="MC164" s="255"/>
      <c r="MD164" s="255"/>
      <c r="ME164" s="255"/>
      <c r="MF164" s="255"/>
      <c r="MG164" s="255"/>
      <c r="MH164" s="255"/>
      <c r="MI164" s="255"/>
      <c r="MJ164" s="255"/>
      <c r="MK164" s="255"/>
      <c r="ML164" s="255"/>
      <c r="MM164" s="255"/>
      <c r="MN164" s="255"/>
      <c r="MO164" s="255"/>
      <c r="MP164" s="255"/>
      <c r="MQ164" s="255"/>
      <c r="MR164" s="255"/>
      <c r="MS164" s="255"/>
      <c r="MT164" s="255"/>
      <c r="MU164" s="255"/>
      <c r="MV164" s="255"/>
      <c r="MW164" s="255"/>
      <c r="MX164" s="255"/>
      <c r="MY164" s="255"/>
      <c r="MZ164" s="255"/>
      <c r="NA164" s="255"/>
      <c r="NB164" s="255"/>
      <c r="NC164" s="255"/>
      <c r="ND164" s="255"/>
      <c r="NE164" s="255"/>
      <c r="NF164" s="255"/>
      <c r="NG164" s="255"/>
      <c r="NH164" s="255"/>
      <c r="NI164" s="255"/>
      <c r="NJ164" s="255"/>
      <c r="NK164" s="255"/>
      <c r="NL164" s="255"/>
      <c r="NM164" s="255"/>
      <c r="NN164" s="255"/>
      <c r="NO164" s="255"/>
      <c r="NP164" s="255"/>
      <c r="NQ164" s="255"/>
      <c r="NR164" s="255"/>
      <c r="NS164" s="255"/>
      <c r="NT164" s="255"/>
      <c r="NU164" s="255"/>
      <c r="NV164" s="255"/>
      <c r="NW164" s="255"/>
      <c r="NX164" s="255"/>
      <c r="NY164" s="255"/>
      <c r="NZ164" s="255"/>
      <c r="OA164" s="255"/>
      <c r="OB164" s="255"/>
      <c r="OC164" s="255"/>
      <c r="OD164" s="255"/>
      <c r="OE164" s="255"/>
      <c r="OF164" s="255"/>
      <c r="OG164" s="255"/>
      <c r="OH164" s="255"/>
      <c r="OI164" s="255"/>
      <c r="OJ164" s="255"/>
      <c r="OK164" s="255"/>
      <c r="OL164" s="255"/>
      <c r="OM164" s="255"/>
      <c r="ON164" s="255"/>
      <c r="OO164" s="255"/>
      <c r="OP164" s="255"/>
      <c r="OQ164" s="255"/>
      <c r="OR164" s="255"/>
      <c r="OS164" s="255"/>
      <c r="OT164" s="255"/>
      <c r="OU164" s="255"/>
      <c r="OV164" s="255"/>
      <c r="OW164" s="255"/>
      <c r="OX164" s="255"/>
      <c r="OY164" s="255"/>
      <c r="OZ164" s="255"/>
      <c r="PA164" s="255"/>
      <c r="PB164" s="255"/>
      <c r="PC164" s="255"/>
      <c r="PD164" s="255"/>
      <c r="PE164" s="255"/>
      <c r="PF164" s="255"/>
      <c r="PG164" s="255"/>
      <c r="PH164" s="255"/>
      <c r="PI164" s="255"/>
      <c r="PJ164" s="255"/>
      <c r="PK164" s="255"/>
      <c r="PL164" s="255"/>
      <c r="PM164" s="255"/>
      <c r="PN164" s="255"/>
      <c r="PO164" s="255"/>
      <c r="PP164" s="255"/>
      <c r="PQ164" s="255"/>
      <c r="PR164" s="255"/>
      <c r="PS164" s="255"/>
      <c r="PT164" s="255"/>
      <c r="PU164" s="255"/>
      <c r="PV164" s="255"/>
      <c r="PW164" s="255"/>
      <c r="PX164" s="255"/>
      <c r="PY164" s="255"/>
      <c r="PZ164" s="255"/>
      <c r="QA164" s="255"/>
      <c r="QB164" s="255"/>
      <c r="QC164" s="255"/>
      <c r="QD164" s="255"/>
      <c r="QE164" s="255"/>
      <c r="QF164" s="255"/>
      <c r="QG164" s="255"/>
      <c r="QH164" s="255"/>
      <c r="QI164" s="255"/>
      <c r="QJ164" s="255"/>
      <c r="QK164" s="255"/>
      <c r="QL164" s="255"/>
      <c r="QM164" s="255"/>
      <c r="QN164" s="255"/>
      <c r="QO164" s="255"/>
      <c r="QP164" s="255"/>
      <c r="QQ164" s="255"/>
      <c r="QR164" s="255"/>
      <c r="QS164" s="255"/>
      <c r="QT164" s="255"/>
      <c r="QU164" s="255"/>
      <c r="QV164" s="255"/>
      <c r="QW164" s="255"/>
      <c r="QX164" s="255"/>
      <c r="QY164" s="255"/>
      <c r="QZ164" s="255"/>
      <c r="RA164" s="255"/>
      <c r="RB164" s="255"/>
      <c r="RC164" s="255"/>
      <c r="RD164" s="255"/>
      <c r="RE164" s="255"/>
      <c r="RF164" s="255"/>
      <c r="RG164" s="255"/>
      <c r="RH164" s="255"/>
      <c r="RI164" s="255"/>
      <c r="RJ164" s="255"/>
      <c r="RK164" s="255"/>
      <c r="RL164" s="255"/>
      <c r="RM164" s="255"/>
      <c r="RN164" s="255"/>
      <c r="RO164" s="255"/>
      <c r="RP164" s="255"/>
      <c r="RQ164" s="255"/>
      <c r="RR164" s="255"/>
      <c r="RS164" s="255"/>
      <c r="RT164" s="255"/>
      <c r="RU164" s="255"/>
      <c r="RV164" s="255"/>
      <c r="RW164" s="255"/>
      <c r="RX164" s="255"/>
      <c r="RY164" s="255"/>
      <c r="RZ164" s="255"/>
      <c r="SA164" s="255"/>
      <c r="SB164" s="255"/>
      <c r="SC164" s="255"/>
      <c r="SD164" s="255"/>
      <c r="SE164" s="255"/>
      <c r="SF164" s="255"/>
      <c r="SG164" s="255"/>
      <c r="SH164" s="255"/>
      <c r="SI164" s="255"/>
      <c r="SJ164" s="255"/>
      <c r="SK164" s="255"/>
      <c r="SL164" s="255"/>
      <c r="SM164" s="255"/>
      <c r="SN164" s="255"/>
      <c r="SO164" s="255"/>
      <c r="SP164" s="255"/>
      <c r="SQ164" s="255"/>
      <c r="SR164" s="255"/>
      <c r="SS164" s="255"/>
      <c r="ST164" s="255"/>
      <c r="SU164" s="255"/>
      <c r="SV164" s="255"/>
      <c r="SW164" s="255"/>
      <c r="SX164" s="255"/>
      <c r="SY164" s="255"/>
      <c r="SZ164" s="255"/>
      <c r="TA164" s="255"/>
      <c r="TB164" s="255"/>
      <c r="TC164" s="255"/>
      <c r="TD164" s="255"/>
      <c r="TE164" s="255"/>
      <c r="TF164" s="255"/>
      <c r="TG164" s="255"/>
      <c r="TH164" s="255"/>
      <c r="TI164" s="255"/>
      <c r="TJ164" s="255"/>
      <c r="TK164" s="255"/>
      <c r="TL164" s="255"/>
      <c r="TM164" s="255"/>
      <c r="TN164" s="255"/>
      <c r="TO164" s="255"/>
      <c r="TP164" s="255"/>
      <c r="TQ164" s="255"/>
      <c r="TR164" s="255"/>
      <c r="TS164" s="255"/>
      <c r="TT164" s="255"/>
      <c r="TU164" s="255"/>
      <c r="TV164" s="255"/>
      <c r="TW164" s="255"/>
      <c r="TX164" s="255"/>
      <c r="TY164" s="255"/>
      <c r="TZ164" s="255"/>
      <c r="UA164" s="255"/>
      <c r="UB164" s="255"/>
      <c r="UC164" s="255"/>
      <c r="UD164" s="255"/>
      <c r="UE164" s="255"/>
      <c r="UF164" s="255"/>
      <c r="UG164" s="255"/>
      <c r="UH164" s="255"/>
      <c r="UI164" s="255"/>
      <c r="UJ164" s="255"/>
      <c r="UK164" s="255"/>
      <c r="UL164" s="255"/>
      <c r="UM164" s="255"/>
      <c r="UN164" s="255"/>
      <c r="UO164" s="255"/>
      <c r="UP164" s="255"/>
      <c r="UQ164" s="255"/>
      <c r="UR164" s="255"/>
      <c r="US164" s="255"/>
      <c r="UT164" s="255"/>
      <c r="UU164" s="255"/>
      <c r="UV164" s="255"/>
      <c r="UW164" s="255"/>
      <c r="UX164" s="255"/>
      <c r="UY164" s="255"/>
      <c r="UZ164" s="255"/>
      <c r="VA164" s="255"/>
      <c r="VB164" s="255"/>
      <c r="VC164" s="255"/>
      <c r="VD164" s="255"/>
      <c r="VE164" s="255"/>
      <c r="VF164" s="255"/>
      <c r="VG164" s="255"/>
      <c r="VH164" s="255"/>
      <c r="VI164" s="255"/>
      <c r="VJ164" s="255"/>
      <c r="VK164" s="255"/>
      <c r="VL164" s="255"/>
      <c r="VM164" s="255"/>
      <c r="VN164" s="255"/>
      <c r="VO164" s="255"/>
      <c r="VP164" s="255"/>
      <c r="VQ164" s="255"/>
      <c r="VR164" s="255"/>
      <c r="VS164" s="255"/>
      <c r="VT164" s="255"/>
      <c r="VU164" s="255"/>
      <c r="VV164" s="255"/>
      <c r="VW164" s="255"/>
      <c r="VX164" s="255"/>
      <c r="VY164" s="255"/>
      <c r="VZ164" s="255"/>
      <c r="WA164" s="255"/>
      <c r="WB164" s="255"/>
      <c r="WC164" s="255"/>
      <c r="WD164" s="255"/>
      <c r="WE164" s="255"/>
      <c r="WF164" s="255"/>
      <c r="WG164" s="255"/>
      <c r="WH164" s="255"/>
      <c r="WI164" s="255"/>
      <c r="WJ164" s="255"/>
      <c r="WK164" s="255"/>
      <c r="WL164" s="255"/>
      <c r="WM164" s="255"/>
      <c r="WN164" s="255"/>
      <c r="WO164" s="255"/>
      <c r="WP164" s="255"/>
      <c r="WQ164" s="255"/>
      <c r="WR164" s="255"/>
      <c r="WS164" s="255"/>
      <c r="WT164" s="255"/>
      <c r="WU164" s="255"/>
      <c r="WV164" s="255"/>
      <c r="WW164" s="255"/>
      <c r="WX164" s="255"/>
      <c r="WY164" s="255"/>
      <c r="WZ164" s="255"/>
      <c r="XA164" s="255"/>
      <c r="XB164" s="255"/>
      <c r="XC164" s="255"/>
      <c r="XD164" s="255"/>
      <c r="XE164" s="255"/>
      <c r="XF164" s="255"/>
      <c r="XG164" s="255"/>
      <c r="XH164" s="255"/>
      <c r="XI164" s="255"/>
      <c r="XJ164" s="255"/>
      <c r="XK164" s="255"/>
      <c r="XL164" s="255"/>
      <c r="XM164" s="255"/>
      <c r="XN164" s="255"/>
      <c r="XO164" s="255"/>
      <c r="XP164" s="255"/>
      <c r="XQ164" s="255"/>
      <c r="XR164" s="255"/>
      <c r="XS164" s="255"/>
      <c r="XT164" s="255"/>
      <c r="XU164" s="255"/>
      <c r="XV164" s="255"/>
      <c r="XW164" s="255"/>
      <c r="XX164" s="255"/>
      <c r="XY164" s="255"/>
      <c r="XZ164" s="255"/>
      <c r="YA164" s="255"/>
      <c r="YB164" s="255"/>
      <c r="YC164" s="255"/>
      <c r="YD164" s="255"/>
      <c r="YE164" s="255"/>
      <c r="YF164" s="255"/>
      <c r="YG164" s="255"/>
      <c r="YH164" s="255"/>
      <c r="YI164" s="255"/>
      <c r="YJ164" s="255"/>
      <c r="YK164" s="255"/>
      <c r="YL164" s="255"/>
      <c r="YM164" s="255"/>
      <c r="YN164" s="255"/>
      <c r="YO164" s="255"/>
      <c r="YP164" s="255"/>
      <c r="YQ164" s="255"/>
      <c r="YR164" s="255"/>
      <c r="YS164" s="255"/>
      <c r="YT164" s="255"/>
      <c r="YU164" s="255"/>
      <c r="YV164" s="255"/>
      <c r="YW164" s="255"/>
      <c r="YX164" s="255"/>
      <c r="YY164" s="255"/>
      <c r="YZ164" s="255"/>
      <c r="ZA164" s="255"/>
      <c r="ZB164" s="255"/>
      <c r="ZC164" s="255"/>
      <c r="ZD164" s="255"/>
      <c r="ZE164" s="255"/>
      <c r="ZF164" s="255"/>
      <c r="ZG164" s="255"/>
      <c r="ZH164" s="255"/>
      <c r="ZI164" s="255"/>
      <c r="ZJ164" s="255"/>
      <c r="ZK164" s="255"/>
      <c r="ZL164" s="255"/>
      <c r="ZM164" s="255"/>
      <c r="ZN164" s="255"/>
      <c r="ZO164" s="255"/>
      <c r="ZP164" s="255"/>
      <c r="ZQ164" s="255"/>
      <c r="ZR164" s="255"/>
      <c r="ZS164" s="255"/>
      <c r="ZT164" s="255"/>
      <c r="ZU164" s="255"/>
      <c r="ZV164" s="255"/>
      <c r="ZW164" s="255"/>
      <c r="ZX164" s="255"/>
      <c r="ZY164" s="255"/>
      <c r="ZZ164" s="255"/>
      <c r="AAA164" s="255"/>
      <c r="AAB164" s="255"/>
      <c r="AAC164" s="255"/>
      <c r="AAD164" s="255"/>
      <c r="AAE164" s="255"/>
      <c r="AAF164" s="255"/>
      <c r="AAG164" s="255"/>
      <c r="AAH164" s="255"/>
      <c r="AAI164" s="255"/>
      <c r="AAJ164" s="255"/>
      <c r="AAK164" s="255"/>
      <c r="AAL164" s="255"/>
      <c r="AAM164" s="255"/>
      <c r="AAN164" s="255"/>
      <c r="AAO164" s="255"/>
      <c r="AAP164" s="255"/>
      <c r="AAQ164" s="255"/>
      <c r="AAR164" s="255"/>
      <c r="AAS164" s="255"/>
      <c r="AAT164" s="255"/>
      <c r="AAU164" s="255"/>
      <c r="AAV164" s="255"/>
      <c r="AAW164" s="255"/>
      <c r="AAX164" s="255"/>
      <c r="AAY164" s="255"/>
      <c r="AAZ164" s="255"/>
      <c r="ABA164" s="255"/>
      <c r="ABB164" s="255"/>
      <c r="ABC164" s="255"/>
      <c r="ABD164" s="255"/>
      <c r="ABE164" s="255"/>
      <c r="ABF164" s="255"/>
      <c r="ABG164" s="255"/>
      <c r="ABH164" s="255"/>
      <c r="ABI164" s="255"/>
      <c r="ABJ164" s="255"/>
      <c r="ABK164" s="255"/>
      <c r="ABL164" s="255"/>
      <c r="ABM164" s="255"/>
      <c r="ABN164" s="255"/>
      <c r="ABO164" s="255"/>
      <c r="ABP164" s="255"/>
      <c r="ABQ164" s="255"/>
      <c r="ABR164" s="255"/>
      <c r="ABS164" s="255"/>
      <c r="ABT164" s="255"/>
      <c r="ABU164" s="255"/>
      <c r="ABV164" s="255"/>
      <c r="ABW164" s="255"/>
      <c r="ABX164" s="255"/>
      <c r="ABY164" s="255"/>
      <c r="ABZ164" s="255"/>
      <c r="ACA164" s="255"/>
      <c r="ACB164" s="255"/>
      <c r="ACC164" s="255"/>
      <c r="ACD164" s="255"/>
      <c r="ACE164" s="255"/>
      <c r="ACF164" s="255"/>
      <c r="ACG164" s="255"/>
      <c r="ACH164" s="255"/>
      <c r="ACI164" s="255"/>
      <c r="ACJ164" s="255"/>
      <c r="ACK164" s="255"/>
      <c r="ACL164" s="255"/>
      <c r="ACM164" s="255"/>
      <c r="ACN164" s="255"/>
      <c r="ACO164" s="255"/>
      <c r="ACP164" s="255"/>
      <c r="ACQ164" s="255"/>
      <c r="ACR164" s="255"/>
      <c r="ACS164" s="255"/>
      <c r="ACT164" s="255"/>
      <c r="ACU164" s="255"/>
      <c r="ACV164" s="255"/>
      <c r="ACW164" s="255"/>
      <c r="ACX164" s="255"/>
      <c r="ACY164" s="255"/>
      <c r="ACZ164" s="255"/>
      <c r="ADA164" s="255"/>
      <c r="ADB164" s="255"/>
      <c r="ADC164" s="255"/>
      <c r="ADD164" s="255"/>
      <c r="ADE164" s="255"/>
      <c r="ADF164" s="255"/>
      <c r="ADG164" s="255"/>
      <c r="ADH164" s="255"/>
      <c r="ADI164" s="255"/>
      <c r="ADJ164" s="255"/>
      <c r="ADK164" s="255"/>
      <c r="ADL164" s="255"/>
      <c r="ADM164" s="255"/>
      <c r="ADN164" s="255"/>
      <c r="ADO164" s="255"/>
      <c r="ADP164" s="255"/>
      <c r="ADQ164" s="255"/>
      <c r="ADR164" s="255"/>
      <c r="ADS164" s="255"/>
      <c r="ADT164" s="255"/>
      <c r="ADU164" s="255"/>
      <c r="ADV164" s="255"/>
      <c r="ADW164" s="255"/>
      <c r="ADX164" s="255"/>
      <c r="ADY164" s="255"/>
      <c r="ADZ164" s="255"/>
      <c r="AEA164" s="255"/>
      <c r="AEB164" s="255"/>
      <c r="AEC164" s="255"/>
      <c r="AED164" s="255"/>
      <c r="AEE164" s="255"/>
      <c r="AEF164" s="255"/>
      <c r="AEG164" s="255"/>
      <c r="AEH164" s="255"/>
      <c r="AEI164" s="255"/>
      <c r="AEJ164" s="255"/>
      <c r="AEK164" s="255"/>
      <c r="AEL164" s="255"/>
      <c r="AEM164" s="255"/>
      <c r="AEN164" s="255"/>
      <c r="AEO164" s="255"/>
      <c r="AEP164" s="255"/>
      <c r="AEQ164" s="255"/>
      <c r="AER164" s="255"/>
      <c r="AES164" s="255"/>
      <c r="AET164" s="255"/>
      <c r="AEU164" s="255"/>
      <c r="AEV164" s="255"/>
      <c r="AEW164" s="255"/>
      <c r="AEX164" s="255"/>
      <c r="AEY164" s="255"/>
      <c r="AEZ164" s="255"/>
      <c r="AFA164" s="255"/>
      <c r="AFB164" s="255"/>
      <c r="AFC164" s="255"/>
      <c r="AFD164" s="255"/>
      <c r="AFE164" s="255"/>
      <c r="AFF164" s="255"/>
      <c r="AFG164" s="255"/>
      <c r="AFH164" s="255"/>
      <c r="AFI164" s="255"/>
      <c r="AFJ164" s="255"/>
      <c r="AFK164" s="255"/>
      <c r="AFL164" s="255"/>
      <c r="AFM164" s="255"/>
      <c r="AFN164" s="255"/>
      <c r="AFO164" s="255"/>
      <c r="AFP164" s="255"/>
      <c r="AFQ164" s="255"/>
      <c r="AFR164" s="255"/>
      <c r="AFS164" s="255"/>
      <c r="AFT164" s="255"/>
      <c r="AFU164" s="255"/>
      <c r="AFV164" s="255"/>
      <c r="AFW164" s="255"/>
      <c r="AFX164" s="255"/>
      <c r="AFY164" s="255"/>
      <c r="AFZ164" s="255"/>
      <c r="AGA164" s="255"/>
      <c r="AGB164" s="255"/>
      <c r="AGC164" s="255"/>
      <c r="AGD164" s="255"/>
      <c r="AGE164" s="255"/>
      <c r="AGF164" s="255"/>
      <c r="AGG164" s="255"/>
      <c r="AGH164" s="255"/>
      <c r="AGI164" s="255"/>
      <c r="AGJ164" s="255"/>
      <c r="AGK164" s="255"/>
      <c r="AGL164" s="255"/>
      <c r="AGM164" s="255"/>
      <c r="AGN164" s="255"/>
      <c r="AGO164" s="255"/>
      <c r="AGP164" s="255"/>
      <c r="AGQ164" s="255"/>
      <c r="AGR164" s="255"/>
      <c r="AGS164" s="255"/>
      <c r="AGT164" s="255"/>
      <c r="AGU164" s="255"/>
      <c r="AGV164" s="255"/>
      <c r="AGW164" s="255"/>
      <c r="AGX164" s="255"/>
      <c r="AGY164" s="255"/>
      <c r="AGZ164" s="255"/>
      <c r="AHA164" s="255"/>
      <c r="AHB164" s="255"/>
      <c r="AHC164" s="255"/>
      <c r="AHD164" s="255"/>
      <c r="AHE164" s="255"/>
      <c r="AHF164" s="255"/>
      <c r="AHG164" s="255"/>
      <c r="AHH164" s="255"/>
      <c r="AHI164" s="255"/>
      <c r="AHJ164" s="255"/>
      <c r="AHK164" s="255"/>
      <c r="AHL164" s="255"/>
      <c r="AHM164" s="255"/>
      <c r="AHN164" s="255"/>
      <c r="AHO164" s="255"/>
      <c r="AHP164" s="255"/>
      <c r="AHQ164" s="255"/>
      <c r="AHR164" s="255"/>
      <c r="AHS164" s="255"/>
      <c r="AHT164" s="255"/>
      <c r="AHU164" s="255"/>
      <c r="AHV164" s="255"/>
      <c r="AHW164" s="255"/>
      <c r="AHX164" s="255"/>
      <c r="AHY164" s="255"/>
      <c r="AHZ164" s="255"/>
      <c r="AIA164" s="255"/>
      <c r="AIB164" s="255"/>
      <c r="AIC164" s="255"/>
      <c r="AID164" s="255"/>
      <c r="AIE164" s="255"/>
      <c r="AIF164" s="255"/>
      <c r="AIG164" s="255"/>
      <c r="AIH164" s="255"/>
      <c r="AII164" s="255"/>
      <c r="AIJ164" s="255"/>
      <c r="AIK164" s="255"/>
      <c r="AIL164" s="255"/>
      <c r="AIM164" s="255"/>
      <c r="AIN164" s="255"/>
      <c r="AIO164" s="255"/>
      <c r="AIP164" s="255"/>
      <c r="AIQ164" s="255"/>
      <c r="AIR164" s="255"/>
      <c r="AIS164" s="255"/>
      <c r="AIT164" s="255"/>
      <c r="AIU164" s="255"/>
      <c r="AIV164" s="255"/>
      <c r="AIW164" s="255"/>
      <c r="AIX164" s="255"/>
      <c r="AIY164" s="255"/>
      <c r="AIZ164" s="255"/>
      <c r="AJA164" s="255"/>
      <c r="AJB164" s="255"/>
      <c r="AJC164" s="255"/>
      <c r="AJD164" s="255"/>
      <c r="AJE164" s="255"/>
      <c r="AJF164" s="255"/>
      <c r="AJG164" s="255"/>
      <c r="AJH164" s="255"/>
      <c r="AJI164" s="255"/>
      <c r="AJJ164" s="255"/>
      <c r="AJK164" s="255"/>
      <c r="AJL164" s="255"/>
      <c r="AJM164" s="255"/>
      <c r="AJN164" s="255"/>
      <c r="AJO164" s="255"/>
      <c r="AJP164" s="255"/>
      <c r="AJQ164" s="255"/>
      <c r="AJR164" s="255"/>
      <c r="AJS164" s="255"/>
      <c r="AJT164" s="255"/>
      <c r="AJU164" s="255"/>
      <c r="AJV164" s="255"/>
      <c r="AJW164" s="255"/>
      <c r="AJX164" s="255"/>
      <c r="AJY164" s="255"/>
      <c r="AJZ164" s="255"/>
      <c r="AKA164" s="255"/>
      <c r="AKB164" s="255"/>
      <c r="AKC164" s="255"/>
      <c r="AKD164" s="255"/>
      <c r="AKE164" s="255"/>
      <c r="AKF164" s="255"/>
      <c r="AKG164" s="255"/>
      <c r="AKH164" s="255"/>
      <c r="AKI164" s="255"/>
      <c r="AKJ164" s="255"/>
      <c r="AKK164" s="255"/>
      <c r="AKL164" s="255"/>
      <c r="AKM164" s="255"/>
      <c r="AKN164" s="255"/>
      <c r="AKO164" s="255"/>
      <c r="AKP164" s="255"/>
      <c r="AKQ164" s="255"/>
      <c r="AKR164" s="255"/>
      <c r="AKS164" s="255"/>
      <c r="AKT164" s="255"/>
      <c r="AKU164" s="255"/>
      <c r="AKV164" s="255"/>
      <c r="AKW164" s="255"/>
      <c r="AKX164" s="255"/>
      <c r="AKY164" s="255"/>
      <c r="AKZ164" s="255"/>
      <c r="ALA164" s="255"/>
      <c r="ALB164" s="255"/>
      <c r="ALC164" s="255"/>
      <c r="ALD164" s="255"/>
      <c r="ALE164" s="42"/>
      <c r="ALF164" s="42"/>
      <c r="ALG164" s="42"/>
      <c r="ALH164" s="42"/>
      <c r="ALI164" s="42"/>
      <c r="ALJ164" s="42"/>
      <c r="ALK164" s="42"/>
      <c r="ALL164" s="42"/>
      <c r="ALM164" s="42"/>
    </row>
    <row r="165" spans="1:1001" ht="15" customHeight="1">
      <c r="A165" s="680" t="s">
        <v>6928</v>
      </c>
      <c r="B165" s="680"/>
      <c r="C165" s="680"/>
      <c r="D165" s="680"/>
      <c r="E165" s="680"/>
      <c r="F165" s="680"/>
      <c r="G165" s="680"/>
      <c r="H165" s="680"/>
      <c r="I165" s="680"/>
      <c r="J165" s="281">
        <f>+J15+J18+J25+J35+J47+J61+J103+J106+J111+J114+J119+J123+J126++J135+J139+J145+J158+J162</f>
        <v>49301.587064908344</v>
      </c>
      <c r="K165" s="255"/>
      <c r="L165" s="255"/>
      <c r="M165" s="255"/>
      <c r="N165" s="255"/>
      <c r="O165" s="255"/>
    </row>
    <row r="166" spans="1:1001" ht="13.5">
      <c r="B166" s="98"/>
      <c r="C166" s="87"/>
      <c r="D166" s="12"/>
      <c r="K166" s="255"/>
      <c r="L166" s="255"/>
      <c r="M166" s="255"/>
      <c r="N166" s="255"/>
      <c r="O166" s="255"/>
    </row>
    <row r="167" spans="1:1001" ht="13.5">
      <c r="B167" s="98"/>
      <c r="C167" s="87"/>
      <c r="D167" s="12"/>
      <c r="K167" s="255"/>
      <c r="L167" s="255"/>
      <c r="M167" s="255"/>
      <c r="N167" s="255"/>
      <c r="O167" s="255"/>
    </row>
    <row r="168" spans="1:1001" ht="13.5">
      <c r="B168" s="98"/>
      <c r="C168" s="87"/>
      <c r="D168" s="12"/>
      <c r="K168" s="255"/>
      <c r="L168" s="255"/>
      <c r="M168" s="255"/>
      <c r="N168" s="255"/>
      <c r="O168" s="255"/>
    </row>
    <row r="169" spans="1:1001" ht="13.5">
      <c r="B169" s="98"/>
      <c r="C169" s="87"/>
      <c r="D169" s="12"/>
      <c r="K169" s="255"/>
      <c r="L169" s="255"/>
      <c r="M169" s="255"/>
      <c r="N169" s="255"/>
      <c r="O169" s="255"/>
    </row>
    <row r="170" spans="1:1001" ht="13.5">
      <c r="B170" s="98"/>
      <c r="C170" s="87"/>
      <c r="D170" s="12"/>
      <c r="K170" s="255"/>
      <c r="L170" s="255"/>
      <c r="M170" s="255"/>
      <c r="N170" s="255"/>
      <c r="O170" s="255"/>
    </row>
    <row r="171" spans="1:1001" ht="13.5">
      <c r="B171" s="98"/>
      <c r="C171" s="87"/>
      <c r="D171" s="12"/>
      <c r="K171" s="255"/>
      <c r="L171" s="255"/>
      <c r="M171" s="255"/>
      <c r="N171" s="255"/>
      <c r="O171" s="255"/>
    </row>
    <row r="172" spans="1:1001">
      <c r="K172" s="255"/>
      <c r="L172" s="255"/>
      <c r="M172" s="255"/>
      <c r="N172" s="255"/>
      <c r="O172" s="255"/>
    </row>
    <row r="173" spans="1:1001">
      <c r="K173" s="255"/>
      <c r="L173" s="255"/>
      <c r="M173" s="255"/>
      <c r="N173" s="255"/>
      <c r="O173" s="255"/>
    </row>
    <row r="174" spans="1:1001">
      <c r="K174" s="255"/>
      <c r="L174" s="255"/>
      <c r="M174" s="255"/>
      <c r="N174" s="255"/>
      <c r="O174" s="255"/>
    </row>
    <row r="175" spans="1:1001">
      <c r="K175" s="255"/>
      <c r="L175" s="255"/>
      <c r="M175" s="255"/>
      <c r="N175" s="255"/>
      <c r="O175" s="255"/>
    </row>
    <row r="176" spans="1:1001">
      <c r="K176" s="255"/>
      <c r="L176" s="255"/>
      <c r="M176" s="255"/>
      <c r="N176" s="255"/>
      <c r="O176" s="255"/>
    </row>
    <row r="177" spans="11:15">
      <c r="K177" s="255"/>
      <c r="L177" s="255"/>
      <c r="M177" s="255"/>
      <c r="N177" s="255"/>
      <c r="O177" s="255"/>
    </row>
    <row r="178" spans="11:15">
      <c r="K178" s="255"/>
      <c r="L178" s="255"/>
      <c r="M178" s="255"/>
      <c r="N178" s="255"/>
      <c r="O178" s="255"/>
    </row>
    <row r="179" spans="11:15">
      <c r="K179" s="255"/>
      <c r="L179" s="255"/>
      <c r="M179" s="255"/>
      <c r="N179" s="255"/>
      <c r="O179" s="255"/>
    </row>
    <row r="180" spans="11:15">
      <c r="K180" s="255"/>
      <c r="L180" s="255"/>
      <c r="M180" s="255"/>
      <c r="N180" s="255"/>
      <c r="O180" s="255"/>
    </row>
    <row r="181" spans="11:15">
      <c r="K181" s="255"/>
      <c r="L181" s="255"/>
      <c r="M181" s="255"/>
      <c r="N181" s="255"/>
      <c r="O181" s="255"/>
    </row>
    <row r="182" spans="11:15">
      <c r="K182" s="255"/>
      <c r="L182" s="255"/>
      <c r="M182" s="255"/>
      <c r="N182" s="255"/>
      <c r="O182" s="255"/>
    </row>
    <row r="183" spans="11:15">
      <c r="K183" s="255"/>
      <c r="L183" s="255"/>
      <c r="M183" s="255"/>
      <c r="N183" s="255"/>
      <c r="O183" s="255"/>
    </row>
    <row r="184" spans="11:15">
      <c r="K184" s="255"/>
      <c r="L184" s="255"/>
      <c r="M184" s="255"/>
      <c r="N184" s="255"/>
      <c r="O184" s="255"/>
    </row>
    <row r="185" spans="11:15">
      <c r="K185" s="255"/>
      <c r="L185" s="255"/>
      <c r="M185" s="255"/>
      <c r="N185" s="255"/>
      <c r="O185" s="255"/>
    </row>
    <row r="186" spans="11:15">
      <c r="K186" s="255"/>
      <c r="L186" s="255"/>
      <c r="M186" s="255"/>
      <c r="N186" s="255"/>
      <c r="O186" s="255"/>
    </row>
    <row r="187" spans="11:15">
      <c r="K187" s="255"/>
      <c r="L187" s="255"/>
      <c r="M187" s="255"/>
      <c r="N187" s="255"/>
      <c r="O187" s="255"/>
    </row>
    <row r="188" spans="11:15">
      <c r="K188" s="255"/>
      <c r="L188" s="255"/>
      <c r="M188" s="255"/>
      <c r="N188" s="255"/>
      <c r="O188" s="255"/>
    </row>
    <row r="189" spans="11:15">
      <c r="K189" s="255"/>
      <c r="L189" s="255"/>
      <c r="M189" s="255"/>
      <c r="N189" s="255"/>
      <c r="O189" s="255"/>
    </row>
    <row r="190" spans="11:15">
      <c r="K190" s="255"/>
      <c r="L190" s="255"/>
      <c r="M190" s="255"/>
      <c r="N190" s="255"/>
      <c r="O190" s="255"/>
    </row>
    <row r="191" spans="11:15">
      <c r="K191" s="255"/>
      <c r="L191" s="255"/>
      <c r="M191" s="255"/>
      <c r="N191" s="255"/>
      <c r="O191" s="255"/>
    </row>
    <row r="192" spans="11:15">
      <c r="K192" s="255"/>
      <c r="L192" s="255"/>
      <c r="M192" s="255"/>
      <c r="N192" s="255"/>
      <c r="O192" s="255"/>
    </row>
    <row r="193" spans="11:15">
      <c r="K193" s="255"/>
      <c r="L193" s="255"/>
      <c r="M193" s="255"/>
      <c r="N193" s="255"/>
      <c r="O193" s="255"/>
    </row>
    <row r="194" spans="11:15">
      <c r="K194" s="255"/>
      <c r="L194" s="255"/>
      <c r="M194" s="255"/>
      <c r="N194" s="255"/>
      <c r="O194" s="255"/>
    </row>
    <row r="195" spans="11:15">
      <c r="K195" s="255"/>
      <c r="L195" s="255"/>
      <c r="M195" s="255"/>
      <c r="N195" s="255"/>
      <c r="O195" s="255"/>
    </row>
    <row r="196" spans="11:15">
      <c r="K196" s="255"/>
      <c r="L196" s="255"/>
      <c r="M196" s="255"/>
      <c r="N196" s="255"/>
      <c r="O196" s="255"/>
    </row>
    <row r="197" spans="11:15">
      <c r="K197" s="255"/>
      <c r="L197" s="255"/>
      <c r="M197" s="255"/>
      <c r="N197" s="255"/>
      <c r="O197" s="255"/>
    </row>
    <row r="198" spans="11:15">
      <c r="K198" s="255"/>
      <c r="L198" s="255"/>
      <c r="M198" s="255"/>
      <c r="N198" s="255"/>
      <c r="O198" s="255"/>
    </row>
    <row r="199" spans="11:15">
      <c r="K199" s="255"/>
      <c r="L199" s="255"/>
      <c r="M199" s="255"/>
      <c r="N199" s="255"/>
      <c r="O199" s="255"/>
    </row>
    <row r="200" spans="11:15">
      <c r="K200" s="255"/>
      <c r="L200" s="255"/>
      <c r="M200" s="255"/>
      <c r="N200" s="255"/>
      <c r="O200" s="255"/>
    </row>
    <row r="201" spans="11:15">
      <c r="K201" s="255"/>
      <c r="L201" s="255"/>
      <c r="M201" s="255"/>
      <c r="N201" s="255"/>
      <c r="O201" s="255"/>
    </row>
    <row r="202" spans="11:15">
      <c r="K202" s="255"/>
      <c r="L202" s="255"/>
      <c r="M202" s="255"/>
      <c r="N202" s="255"/>
      <c r="O202" s="255"/>
    </row>
    <row r="203" spans="11:15">
      <c r="K203" s="255"/>
      <c r="L203" s="255"/>
      <c r="M203" s="255"/>
      <c r="N203" s="255"/>
      <c r="O203" s="255"/>
    </row>
    <row r="204" spans="11:15">
      <c r="K204" s="255"/>
      <c r="L204" s="255"/>
      <c r="M204" s="255"/>
      <c r="N204" s="255"/>
      <c r="O204" s="255"/>
    </row>
    <row r="205" spans="11:15">
      <c r="K205" s="255"/>
      <c r="L205" s="255"/>
      <c r="M205" s="255"/>
      <c r="N205" s="255"/>
      <c r="O205" s="255"/>
    </row>
    <row r="206" spans="11:15">
      <c r="K206" s="255"/>
      <c r="L206" s="255"/>
      <c r="M206" s="255"/>
      <c r="N206" s="255"/>
      <c r="O206" s="255"/>
    </row>
    <row r="207" spans="11:15">
      <c r="K207" s="255"/>
      <c r="L207" s="255"/>
      <c r="M207" s="255"/>
      <c r="N207" s="255"/>
      <c r="O207" s="255"/>
    </row>
    <row r="208" spans="11:15">
      <c r="K208" s="255"/>
      <c r="L208" s="255"/>
      <c r="M208" s="255"/>
      <c r="N208" s="255"/>
      <c r="O208" s="255"/>
    </row>
    <row r="209" spans="11:15">
      <c r="K209" s="255"/>
      <c r="L209" s="255"/>
      <c r="M209" s="255"/>
      <c r="N209" s="255"/>
      <c r="O209" s="255"/>
    </row>
    <row r="210" spans="11:15">
      <c r="K210" s="255"/>
      <c r="L210" s="255"/>
      <c r="M210" s="255"/>
      <c r="N210" s="255"/>
      <c r="O210" s="255"/>
    </row>
    <row r="211" spans="11:15">
      <c r="K211" s="255"/>
      <c r="L211" s="255"/>
      <c r="M211" s="255"/>
      <c r="N211" s="255"/>
      <c r="O211" s="255"/>
    </row>
    <row r="212" spans="11:15">
      <c r="K212" s="255"/>
      <c r="L212" s="255"/>
      <c r="M212" s="255"/>
      <c r="N212" s="255"/>
      <c r="O212" s="255"/>
    </row>
    <row r="213" spans="11:15">
      <c r="K213" s="255"/>
      <c r="L213" s="255"/>
      <c r="M213" s="255"/>
      <c r="N213" s="255"/>
      <c r="O213" s="255"/>
    </row>
    <row r="214" spans="11:15">
      <c r="K214" s="255"/>
      <c r="L214" s="255"/>
      <c r="M214" s="255"/>
      <c r="N214" s="255"/>
      <c r="O214" s="255"/>
    </row>
  </sheetData>
  <autoFilter ref="A12:J162" xr:uid="{00000000-0009-0000-0000-000006000000}"/>
  <mergeCells count="21">
    <mergeCell ref="A165:I165"/>
    <mergeCell ref="A126:I126"/>
    <mergeCell ref="A135:I135"/>
    <mergeCell ref="A139:I139"/>
    <mergeCell ref="A145:I145"/>
    <mergeCell ref="A158:I158"/>
    <mergeCell ref="A162:I162"/>
    <mergeCell ref="A163:I163"/>
    <mergeCell ref="A164:I164"/>
    <mergeCell ref="A15:I15"/>
    <mergeCell ref="A35:I35"/>
    <mergeCell ref="A47:I47"/>
    <mergeCell ref="A123:I123"/>
    <mergeCell ref="A18:I18"/>
    <mergeCell ref="A25:I25"/>
    <mergeCell ref="A61:I61"/>
    <mergeCell ref="A103:I103"/>
    <mergeCell ref="A106:I106"/>
    <mergeCell ref="A111:I111"/>
    <mergeCell ref="A114:I114"/>
    <mergeCell ref="A119:I119"/>
  </mergeCells>
  <phoneticPr fontId="49" type="noConversion"/>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LS214"/>
  <sheetViews>
    <sheetView showGridLines="0" view="pageBreakPreview" zoomScale="85" zoomScaleNormal="85" zoomScaleSheetLayoutView="85" workbookViewId="0">
      <selection activeCell="C4" sqref="C4:C9"/>
    </sheetView>
  </sheetViews>
  <sheetFormatPr defaultColWidth="9.140625" defaultRowHeight="12.75"/>
  <cols>
    <col min="1" max="1" width="10.7109375" style="16" customWidth="1"/>
    <col min="2" max="2" width="10.7109375" style="83" customWidth="1"/>
    <col min="3" max="3" width="70.7109375" style="33" customWidth="1"/>
    <col min="4" max="4" width="4.7109375" style="16" customWidth="1"/>
    <col min="5" max="8" width="11.7109375" style="75" customWidth="1"/>
    <col min="9" max="10" width="14.28515625" style="75" customWidth="1"/>
    <col min="11" max="13" width="12.140625" style="14" bestFit="1" customWidth="1"/>
    <col min="14" max="998" width="9.140625" style="14"/>
    <col min="999" max="1007" width="9.140625" style="42"/>
    <col min="1008" max="16384" width="9.140625" style="18"/>
  </cols>
  <sheetData>
    <row r="1" spans="1:16" ht="24.95" customHeight="1">
      <c r="A1" s="458"/>
      <c r="B1" s="459"/>
      <c r="C1" s="460"/>
      <c r="D1" s="461"/>
      <c r="E1" s="462"/>
      <c r="F1" s="462"/>
      <c r="G1" s="462"/>
      <c r="H1" s="462"/>
      <c r="I1" s="462"/>
      <c r="J1" s="463"/>
    </row>
    <row r="2" spans="1:16" ht="24.95" customHeight="1">
      <c r="A2" s="464"/>
      <c r="B2" s="465"/>
      <c r="C2" s="466"/>
      <c r="D2" s="61"/>
      <c r="E2" s="467"/>
      <c r="F2" s="467"/>
      <c r="G2" s="467"/>
      <c r="H2" s="467"/>
      <c r="I2" s="467"/>
      <c r="J2" s="468"/>
    </row>
    <row r="3" spans="1:16" ht="24.95" customHeight="1">
      <c r="A3" s="464"/>
      <c r="B3" s="465"/>
      <c r="C3" s="466"/>
      <c r="D3" s="61"/>
      <c r="E3" s="467"/>
      <c r="F3" s="467"/>
      <c r="G3" s="467"/>
      <c r="H3" s="467"/>
      <c r="I3" s="467"/>
      <c r="J3" s="468"/>
    </row>
    <row r="4" spans="1:16" ht="14.1" customHeight="1">
      <c r="A4" s="426" t="s">
        <v>6295</v>
      </c>
      <c r="B4" s="469"/>
      <c r="C4" s="422" t="str">
        <f>+RESUMO!B5</f>
        <v>CONCLUSÃO DA CONSTRUÇÃO DO CENTRO DE ATENDIMENTO SÓCIO EDUCATIVO - CASE ITUMBIARA</v>
      </c>
      <c r="D4" s="422"/>
      <c r="E4" s="428"/>
      <c r="F4" s="428"/>
      <c r="G4" s="428"/>
      <c r="H4" s="428"/>
      <c r="I4" s="428"/>
      <c r="J4" s="429"/>
    </row>
    <row r="5" spans="1:16" ht="14.85" customHeight="1">
      <c r="A5" s="426" t="s">
        <v>6297</v>
      </c>
      <c r="B5" s="469"/>
      <c r="C5" s="422" t="str">
        <f>+RESUMO!B6</f>
        <v>SINAPI – NOVEMBRO/2020 (ONERADA)</v>
      </c>
      <c r="D5" s="422"/>
      <c r="E5" s="428"/>
      <c r="F5" s="428"/>
      <c r="G5" s="428"/>
      <c r="H5" s="428"/>
      <c r="I5" s="428"/>
      <c r="J5" s="429"/>
    </row>
    <row r="6" spans="1:16" ht="14.85" customHeight="1">
      <c r="A6" s="448" t="s">
        <v>5545</v>
      </c>
      <c r="B6" s="470"/>
      <c r="C6" s="422" t="str">
        <f>+RESUMO!B7</f>
        <v>MAIO / 2021</v>
      </c>
      <c r="D6" s="450"/>
      <c r="E6" s="428"/>
      <c r="F6" s="428"/>
      <c r="G6" s="428"/>
      <c r="H6" s="428"/>
      <c r="I6" s="428"/>
      <c r="J6" s="429"/>
    </row>
    <row r="7" spans="1:16" ht="14.85" customHeight="1">
      <c r="A7" s="448" t="s">
        <v>6298</v>
      </c>
      <c r="B7" s="470"/>
      <c r="C7" s="453">
        <v>2.02000036012687E+18</v>
      </c>
      <c r="D7" s="408"/>
      <c r="E7" s="439"/>
      <c r="F7" s="439"/>
      <c r="G7" s="439"/>
      <c r="H7" s="439"/>
      <c r="I7" s="439"/>
      <c r="J7" s="456"/>
    </row>
    <row r="8" spans="1:16" ht="14.85" customHeight="1">
      <c r="A8" s="448" t="s">
        <v>6299</v>
      </c>
      <c r="B8" s="470"/>
      <c r="C8" s="471" t="s">
        <v>6344</v>
      </c>
      <c r="D8" s="408"/>
      <c r="E8" s="439"/>
      <c r="F8" s="439"/>
      <c r="G8" s="439"/>
      <c r="H8" s="439"/>
      <c r="I8" s="439"/>
      <c r="J8" s="456"/>
    </row>
    <row r="9" spans="1:16" ht="14.85" customHeight="1">
      <c r="A9" s="448" t="s">
        <v>6300</v>
      </c>
      <c r="B9" s="470"/>
      <c r="C9" s="471" t="s">
        <v>6345</v>
      </c>
      <c r="D9" s="408"/>
      <c r="E9" s="439"/>
      <c r="F9" s="439"/>
      <c r="G9" s="439"/>
      <c r="H9" s="439"/>
      <c r="I9" s="439"/>
      <c r="J9" s="456"/>
    </row>
    <row r="10" spans="1:16" ht="14.85" customHeight="1">
      <c r="A10" s="13"/>
      <c r="B10" s="71"/>
      <c r="C10" s="127"/>
      <c r="D10" s="13"/>
      <c r="E10" s="10"/>
      <c r="F10" s="10"/>
      <c r="G10" s="10"/>
      <c r="H10" s="10"/>
      <c r="I10" s="10"/>
      <c r="J10" s="10"/>
    </row>
    <row r="11" spans="1:16" ht="45" customHeight="1">
      <c r="A11" s="35" t="s">
        <v>5551</v>
      </c>
      <c r="B11" s="84" t="s">
        <v>0</v>
      </c>
      <c r="C11" s="35" t="s">
        <v>6305</v>
      </c>
      <c r="D11" s="35" t="s">
        <v>6306</v>
      </c>
      <c r="E11" s="85" t="s">
        <v>6311</v>
      </c>
      <c r="F11" s="85" t="s">
        <v>6285</v>
      </c>
      <c r="G11" s="85" t="s">
        <v>586</v>
      </c>
      <c r="H11" s="85" t="s">
        <v>6286</v>
      </c>
      <c r="I11" s="85" t="s">
        <v>7100</v>
      </c>
      <c r="J11" s="85" t="s">
        <v>6309</v>
      </c>
    </row>
    <row r="12" spans="1:16">
      <c r="A12" s="251"/>
      <c r="B12" s="290"/>
      <c r="C12" s="331"/>
      <c r="D12" s="274"/>
      <c r="E12" s="276"/>
      <c r="F12" s="276"/>
      <c r="G12" s="276"/>
      <c r="H12" s="276"/>
      <c r="I12" s="276"/>
      <c r="J12" s="276"/>
      <c r="L12" s="255"/>
      <c r="M12" s="255"/>
    </row>
    <row r="13" spans="1:16">
      <c r="A13" s="251"/>
      <c r="B13" s="299">
        <v>165</v>
      </c>
      <c r="C13" s="331" t="s">
        <v>611</v>
      </c>
      <c r="D13" s="274"/>
      <c r="E13" s="276"/>
      <c r="F13" s="276"/>
      <c r="G13" s="276"/>
      <c r="H13" s="276"/>
      <c r="I13" s="276"/>
      <c r="J13" s="276"/>
    </row>
    <row r="14" spans="1:16" ht="24">
      <c r="A14" s="251" t="s">
        <v>6307</v>
      </c>
      <c r="B14" s="302">
        <v>450</v>
      </c>
      <c r="C14" s="301" t="str">
        <f>(IF($A14="SINAPI",INDEX(SINAPI_NOV2020_NDES!$A$7:$H$6703,MATCH($B14,SINAPI_NOV2020_NDES!$A$7:$A$6703,0),2),IF($A14="GOINFRA",INDEX(#REF!,MATCH($B14,#REF!,0),2),(INDEX(COMPOS!$A$4:$G$39000,MATCH($B14,COMPOS!$A$4:A$39000,0),2)))))</f>
        <v>TRANSPORTE DE ENTULHO EM CAÇAMBA ESTACIONÁRIA INCLUSO A CARGA MANUAL</v>
      </c>
      <c r="D14" s="274" t="str">
        <f>(IF($A14="SINAPI",INDEX(SINAPI_NOV2020_NDES!$A$7:$H$6790,MATCH($B14,SINAPI_NOV2020_NDES!$A$7:$A$6790,0),3),(INDEX(COMPOS!$A$4:$G$5000,MATCH($B14,COMPOS!$A$4:$A$5000,0),3))))</f>
        <v>M3</v>
      </c>
      <c r="E14" s="276">
        <f>0.07*7.48*0.5</f>
        <v>0.26180000000000003</v>
      </c>
      <c r="F14" s="279">
        <f>(IF($A14="SINAPI",INDEX(SINAPI_NOV2020_NDES!$A$7:$H$6703,MATCH($B14,SINAPI_NOV2020_NDES!$A$7:$A$6703,0),5),(INDEX(COMPOS!$A$4:$G$801,MATCH($B14,COMPOS!$A$4:A$801,0),4))))</f>
        <v>10.879199999999999</v>
      </c>
      <c r="G14" s="280">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16.040276560000002</v>
      </c>
      <c r="K14" s="255"/>
      <c r="L14" s="255"/>
      <c r="M14" s="255"/>
      <c r="N14" s="255"/>
      <c r="O14" s="257"/>
      <c r="P14" s="255"/>
    </row>
    <row r="15" spans="1:16" s="88" customFormat="1" ht="24" customHeight="1">
      <c r="A15" s="680" t="s">
        <v>6927</v>
      </c>
      <c r="B15" s="680"/>
      <c r="C15" s="680"/>
      <c r="D15" s="680"/>
      <c r="E15" s="680"/>
      <c r="F15" s="680"/>
      <c r="G15" s="680"/>
      <c r="H15" s="680"/>
      <c r="I15" s="680"/>
      <c r="J15" s="281">
        <f>SUM(J14)</f>
        <v>16.040276560000002</v>
      </c>
      <c r="K15" s="255"/>
      <c r="L15" s="255"/>
      <c r="M15" s="255"/>
      <c r="N15" s="255"/>
      <c r="O15" s="255"/>
      <c r="P15" s="255"/>
    </row>
    <row r="16" spans="1:16">
      <c r="A16" s="251"/>
      <c r="B16" s="299">
        <v>166</v>
      </c>
      <c r="C16" s="331" t="s">
        <v>609</v>
      </c>
      <c r="D16" s="274"/>
      <c r="E16" s="276"/>
      <c r="F16" s="276"/>
      <c r="G16" s="276"/>
      <c r="H16" s="276"/>
      <c r="I16" s="276"/>
      <c r="J16" s="276"/>
      <c r="K16" s="255"/>
      <c r="L16" s="255"/>
      <c r="M16" s="255"/>
      <c r="N16" s="255"/>
      <c r="O16" s="255"/>
      <c r="P16" s="255"/>
    </row>
    <row r="17" spans="1:16" ht="24">
      <c r="A17" s="251" t="s">
        <v>6307</v>
      </c>
      <c r="B17" s="302">
        <v>305</v>
      </c>
      <c r="C17" s="301"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03">
        <v>21.12</v>
      </c>
      <c r="F17" s="279">
        <f>(IF($A17="SINAPI",INDEX(SINAPI_NOV2020_NDES!$A$7:$H$6703,MATCH($B17,SINAPI_NOV2020_NDES!$A$7:$A$6703,0),5),(INDEX(COMPOS!$A$4:$G$801,MATCH($B17,COMPOS!$A$4:A$801,0),4))))</f>
        <v>2.842123</v>
      </c>
      <c r="G17" s="280">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60.025637760000002</v>
      </c>
      <c r="K17" s="255"/>
      <c r="L17" s="255"/>
      <c r="M17" s="255"/>
      <c r="N17" s="255"/>
      <c r="O17" s="257"/>
      <c r="P17" s="255"/>
    </row>
    <row r="18" spans="1:16">
      <c r="A18" s="251" t="s">
        <v>6307</v>
      </c>
      <c r="B18" s="302">
        <v>302</v>
      </c>
      <c r="C18" s="301"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03">
        <v>21.12</v>
      </c>
      <c r="F18" s="279">
        <f>(IF($A18="SINAPI",INDEX(SINAPI_NOV2020_NDES!$A$7:$H$6703,MATCH($B18,SINAPI_NOV2020_NDES!$A$7:$A$6703,0),5),(INDEX(COMPOS!$A$4:$G$801,MATCH($B18,COMPOS!$A$4:A$801,0),4))))</f>
        <v>6.0440000000000005</v>
      </c>
      <c r="G18" s="280">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6.0440000000000005</v>
      </c>
      <c r="J18" s="276">
        <f t="shared" ref="J18" si="5">+I18*E18</f>
        <v>127.64928000000002</v>
      </c>
      <c r="K18" s="255"/>
      <c r="L18" s="255"/>
      <c r="M18" s="255"/>
      <c r="N18" s="255"/>
      <c r="O18" s="257"/>
      <c r="P18" s="255"/>
    </row>
    <row r="19" spans="1:16" s="88" customFormat="1" ht="24" customHeight="1">
      <c r="A19" s="680" t="s">
        <v>6927</v>
      </c>
      <c r="B19" s="680"/>
      <c r="C19" s="680"/>
      <c r="D19" s="680"/>
      <c r="E19" s="680"/>
      <c r="F19" s="680"/>
      <c r="G19" s="680"/>
      <c r="H19" s="680"/>
      <c r="I19" s="680"/>
      <c r="J19" s="281">
        <f>SUM(J17:J18)</f>
        <v>187.67491776000003</v>
      </c>
      <c r="K19" s="255"/>
      <c r="L19" s="255"/>
      <c r="M19" s="255"/>
      <c r="N19" s="255"/>
      <c r="O19" s="255"/>
      <c r="P19" s="255"/>
    </row>
    <row r="20" spans="1:16">
      <c r="A20" s="251"/>
      <c r="B20" s="299">
        <v>169</v>
      </c>
      <c r="C20" s="331" t="s">
        <v>605</v>
      </c>
      <c r="D20" s="274"/>
      <c r="E20" s="276"/>
      <c r="F20" s="276"/>
      <c r="G20" s="276"/>
      <c r="H20" s="276"/>
      <c r="I20" s="276"/>
      <c r="J20" s="276"/>
      <c r="K20" s="255"/>
      <c r="L20" s="255"/>
      <c r="M20" s="255"/>
      <c r="N20" s="255"/>
      <c r="O20" s="255"/>
      <c r="P20" s="255"/>
    </row>
    <row r="21" spans="1:16">
      <c r="A21" s="251" t="s">
        <v>6307</v>
      </c>
      <c r="B21" s="290">
        <v>707</v>
      </c>
      <c r="C21" s="301" t="str">
        <f>(IF($A21="SINAPI",INDEX(SINAPI_NOV2020_NDES!$A$7:$H$6703,MATCH($B21,SINAPI_NOV2020_NDES!$A$7:$A$6703,0),2),IF($A21="GOINFRA",INDEX(#REF!,MATCH($B21,#REF!,0),2),(INDEX(COMPOS!$A$4:$G$390,MATCH($B21,COMPOS!$A$4:A$390,0),2)))))</f>
        <v>CAIXA METALICA OCTOGONAL FUNDO MOVEL, SIMPLES 2"</v>
      </c>
      <c r="D21" s="274" t="str">
        <f>(IF($A21="SINAPI",INDEX(SINAPI_NOV2020_NDES!$A$7:$H$6790,MATCH($B21,SINAPI_NOV2020_NDES!$A$7:$A$6790,0),3),(INDEX(COMPOS!$A$4:$G$5000,MATCH($B21,COMPOS!$A$4:$A$5000,0),3))))</f>
        <v>UN</v>
      </c>
      <c r="E21" s="276">
        <v>2</v>
      </c>
      <c r="F21" s="279">
        <f>(IF($A21="SINAPI",INDEX(SINAPI_NOV2020_NDES!$A$7:$H$6703,MATCH($B21,SINAPI_NOV2020_NDES!$A$7:$A$6703,0),5),(INDEX(COMPOS!$A$4:$G$801,MATCH($B21,COMPOS!$A$4:A$801,0),4))))</f>
        <v>5.7944999999999993</v>
      </c>
      <c r="G21" s="280">
        <f>(IF($A21="SINAPI",INDEX(SINAPI_NOV2020_NDES!$A$7:$H$6703,MATCH($B21,SINAPI_NOV2020_NDES!$A$7:$A$6703,0),6),(INDEX(COMPOS!$A$4:$G$801,MATCH($B21,COMPOS!$A$4:A$801,0),5))))</f>
        <v>2.36</v>
      </c>
      <c r="H21" s="280">
        <f>(IF($A21="SINAPI",INDEX(SINAPI_NOV2020_NDES!$A$7:$H$6703,MATCH($B21,SINAPI_NOV2020_NDES!$A$7:$A$6703,0),7),(INDEX(COMPOS!$A$4:$G$801,MATCH($B21,COMPOS!$A$4:A$801,0),6))))</f>
        <v>0</v>
      </c>
      <c r="I21" s="279">
        <f t="shared" ref="I21:I32" si="6">SUM(F21:H21)</f>
        <v>8.1544999999999987</v>
      </c>
      <c r="J21" s="276">
        <f t="shared" ref="J21:J32" si="7">+I21*E21</f>
        <v>16.308999999999997</v>
      </c>
      <c r="K21" s="255"/>
      <c r="L21" s="255"/>
      <c r="M21" s="255"/>
      <c r="N21" s="255"/>
      <c r="O21" s="257"/>
      <c r="P21" s="255"/>
    </row>
    <row r="22" spans="1:16" ht="24">
      <c r="A22" s="251" t="s">
        <v>7</v>
      </c>
      <c r="B22" s="290">
        <v>92868</v>
      </c>
      <c r="C22" s="301" t="str">
        <f>(IF($A22="SINAPI",INDEX(SINAPI_NOV2020_NDES!$A$7:$H$6703,MATCH($B22,SINAPI_NOV2020_NDES!$A$7:$A$6703,0),2),IF($A22="GOINFRA",INDEX(#REF!,MATCH($B22,#REF!,0),2),(INDEX(COMPOS!$A$4:$G$390,MATCH($B22,COMPOS!$A$4:A$390,0),2)))))</f>
        <v>CAIXA RETANGULAR 4" X 2" MÉDIA (1,30 M DO PISO), METÁLICA, INSTALADA EM PAREDE - FORNECIMENTO E INSTALAÇÃO. AF_12/2015</v>
      </c>
      <c r="D22" s="274" t="str">
        <f>(IF($A22="SINAPI",INDEX(SINAPI_NOV2020_NDES!$A$7:$H$6790,MATCH($B22,SINAPI_NOV2020_NDES!$A$7:$A$6790,0),3),(INDEX(COMPOS!$A$4:$G$5000,MATCH($B22,COMPOS!$A$4:$A$5000,0),3))))</f>
        <v>UN</v>
      </c>
      <c r="E22" s="276">
        <v>4</v>
      </c>
      <c r="F22" s="279">
        <f>(IF($A22="SINAPI",INDEX(SINAPI_NOV2020_NDES!$A$7:$H$6703,MATCH($B22,SINAPI_NOV2020_NDES!$A$7:$A$6703,0),5),(INDEX(COMPOS!$A$4:$G$801,MATCH($B22,COMPOS!$A$4:A$801,0),4))))</f>
        <v>7.39</v>
      </c>
      <c r="G22" s="280">
        <f>(IF($A22="SINAPI",INDEX(SINAPI_NOV2020_NDES!$A$7:$H$6703,MATCH($B22,SINAPI_NOV2020_NDES!$A$7:$A$6703,0),6),(INDEX(COMPOS!$A$4:$G$801,MATCH($B22,COMPOS!$A$4:A$801,0),5))))</f>
        <v>3.93</v>
      </c>
      <c r="H22" s="280">
        <f>(IF($A22="SINAPI",INDEX(SINAPI_NOV2020_NDES!$A$7:$H$6703,MATCH($B22,SINAPI_NOV2020_NDES!$A$7:$A$6703,0),7),(INDEX(COMPOS!$A$4:$G$801,MATCH($B22,COMPOS!$A$4:A$801,0),6))))</f>
        <v>0</v>
      </c>
      <c r="I22" s="279">
        <f t="shared" si="6"/>
        <v>11.32</v>
      </c>
      <c r="J22" s="276">
        <f t="shared" si="7"/>
        <v>45.28</v>
      </c>
      <c r="K22" s="255"/>
      <c r="L22" s="255"/>
      <c r="M22" s="255"/>
      <c r="N22" s="255"/>
      <c r="O22" s="257"/>
      <c r="P22" s="255"/>
    </row>
    <row r="23" spans="1:16">
      <c r="A23" s="251" t="s">
        <v>6307</v>
      </c>
      <c r="B23" s="290">
        <v>384</v>
      </c>
      <c r="C23" s="301" t="str">
        <f>(IF($A23="SINAPI",INDEX(SINAPI_NOV2020_NDES!$A$7:$H$6703,MATCH($B23,SINAPI_NOV2020_NDES!$A$7:$A$6703,0),2),IF($A23="GOINFRA",INDEX(#REF!,MATCH($B23,#REF!,0),2),(INDEX(COMPOS!$A$4:$G$390,MATCH($B23,COMPOS!$A$4:A$390,0),2)))))</f>
        <v>CHAVE MAGNÉTICA C/RELE REGULAGEM 10,5 – 16,5A</v>
      </c>
      <c r="D23" s="274" t="str">
        <f>(IF($A23="SINAPI",INDEX(SINAPI_NOV2020_NDES!$A$7:$H$6790,MATCH($B23,SINAPI_NOV2020_NDES!$A$7:$A$6790,0),3),(INDEX(COMPOS!$A$4:$G$5000,MATCH($B23,COMPOS!$A$4:$A$5000,0),3))))</f>
        <v>UN</v>
      </c>
      <c r="E23" s="276">
        <v>1</v>
      </c>
      <c r="F23" s="279">
        <f>(IF($A23="SINAPI",INDEX(SINAPI_NOV2020_NDES!$A$7:$H$6703,MATCH($B23,SINAPI_NOV2020_NDES!$A$7:$A$6703,0),5),(INDEX(COMPOS!$A$4:$G$801,MATCH($B23,COMPOS!$A$4:A$801,0),4))))</f>
        <v>54.081999999999994</v>
      </c>
      <c r="G23" s="280">
        <f>(IF($A23="SINAPI",INDEX(SINAPI_NOV2020_NDES!$A$7:$H$6703,MATCH($B23,SINAPI_NOV2020_NDES!$A$7:$A$6703,0),6),(INDEX(COMPOS!$A$4:$G$801,MATCH($B23,COMPOS!$A$4:A$801,0),5))))</f>
        <v>170.1</v>
      </c>
      <c r="H23" s="280">
        <f>(IF($A23="SINAPI",INDEX(SINAPI_NOV2020_NDES!$A$7:$H$6703,MATCH($B23,SINAPI_NOV2020_NDES!$A$7:$A$6703,0),7),(INDEX(COMPOS!$A$4:$G$801,MATCH($B23,COMPOS!$A$4:A$801,0),6))))</f>
        <v>0</v>
      </c>
      <c r="I23" s="279">
        <f t="shared" si="6"/>
        <v>224.18199999999999</v>
      </c>
      <c r="J23" s="276">
        <f t="shared" si="7"/>
        <v>224.18199999999999</v>
      </c>
      <c r="K23" s="255"/>
      <c r="L23" s="255"/>
      <c r="M23" s="255"/>
      <c r="N23" s="255"/>
      <c r="O23" s="257"/>
      <c r="P23" s="255"/>
    </row>
    <row r="24" spans="1:16">
      <c r="A24" s="251" t="s">
        <v>6307</v>
      </c>
      <c r="B24" s="290">
        <v>385</v>
      </c>
      <c r="C24" s="301" t="str">
        <f>(IF($A24="SINAPI",INDEX(SINAPI_NOV2020_NDES!$A$7:$H$6703,MATCH($B24,SINAPI_NOV2020_NDES!$A$7:$A$6703,0),2),IF($A24="GOINFRA",INDEX(#REF!,MATCH($B24,#REF!,0),2),(INDEX(COMPOS!$A$4:$G$390,MATCH($B24,COMPOS!$A$4:A$390,0),2)))))</f>
        <v>CHAVE TRIPOLAR TIPO PACCO – 20A</v>
      </c>
      <c r="D24" s="274" t="str">
        <f>(IF($A24="SINAPI",INDEX(SINAPI_NOV2020_NDES!$A$7:$H$6790,MATCH($B24,SINAPI_NOV2020_NDES!$A$7:$A$6790,0),3),(INDEX(COMPOS!$A$4:$G$5000,MATCH($B24,COMPOS!$A$4:$A$5000,0),3))))</f>
        <v>UN</v>
      </c>
      <c r="E24" s="276">
        <v>1</v>
      </c>
      <c r="F24" s="279">
        <f>(IF($A24="SINAPI",INDEX(SINAPI_NOV2020_NDES!$A$7:$H$6703,MATCH($B24,SINAPI_NOV2020_NDES!$A$7:$A$6703,0),5),(INDEX(COMPOS!$A$4:$G$801,MATCH($B24,COMPOS!$A$4:A$801,0),4))))</f>
        <v>54.081999999999994</v>
      </c>
      <c r="G24" s="280">
        <f>(IF($A24="SINAPI",INDEX(SINAPI_NOV2020_NDES!$A$7:$H$6703,MATCH($B24,SINAPI_NOV2020_NDES!$A$7:$A$6703,0),6),(INDEX(COMPOS!$A$4:$G$801,MATCH($B24,COMPOS!$A$4:A$801,0),5))))</f>
        <v>103.98</v>
      </c>
      <c r="H24" s="280">
        <f>(IF($A24="SINAPI",INDEX(SINAPI_NOV2020_NDES!$A$7:$H$6703,MATCH($B24,SINAPI_NOV2020_NDES!$A$7:$A$6703,0),7),(INDEX(COMPOS!$A$4:$G$801,MATCH($B24,COMPOS!$A$4:A$801,0),6))))</f>
        <v>0</v>
      </c>
      <c r="I24" s="279">
        <f t="shared" si="6"/>
        <v>158.06200000000001</v>
      </c>
      <c r="J24" s="276">
        <f t="shared" si="7"/>
        <v>158.06200000000001</v>
      </c>
      <c r="K24" s="255"/>
      <c r="L24" s="255"/>
      <c r="M24" s="255"/>
      <c r="N24" s="255"/>
      <c r="O24" s="257"/>
      <c r="P24" s="255"/>
    </row>
    <row r="25" spans="1:16" ht="36">
      <c r="A25" s="251" t="s">
        <v>7</v>
      </c>
      <c r="B25" s="290">
        <v>91917</v>
      </c>
      <c r="C25" s="301" t="str">
        <f>(IF($A25="SINAPI",INDEX(SINAPI_NOV2020_NDES!$A$7:$H$6703,MATCH($B25,SINAPI_NOV2020_NDES!$A$7:$A$6703,0),2),IF($A25="GOINFRA",INDEX(#REF!,MATCH($B25,#REF!,0),2),(INDEX(COMPOS!$A$4:$G$390,MATCH($B25,COMPOS!$A$4:A$390,0),2)))))</f>
        <v>CURVA 90 GRAUS PARA ELETRODUTO, PVC, ROSCÁVEL, DN 32 MM (1"), PARA CIRCUITOS TERMINAIS, INSTALADA EM PAREDE - FORNECIMENTO E INSTALAÇÃO. AF_12/2015</v>
      </c>
      <c r="D25" s="274" t="str">
        <f>(IF($A25="SINAPI",INDEX(SINAPI_NOV2020_NDES!$A$7:$H$6790,MATCH($B25,SINAPI_NOV2020_NDES!$A$7:$A$6790,0),3),(INDEX(COMPOS!$A$4:$G$5000,MATCH($B25,COMPOS!$A$4:$A$5000,0),3))))</f>
        <v>UN</v>
      </c>
      <c r="E25" s="276">
        <v>4</v>
      </c>
      <c r="F25" s="279">
        <f>(IF($A25="SINAPI",INDEX(SINAPI_NOV2020_NDES!$A$7:$H$6703,MATCH($B25,SINAPI_NOV2020_NDES!$A$7:$A$6703,0),5),(INDEX(COMPOS!$A$4:$G$801,MATCH($B25,COMPOS!$A$4:A$801,0),4))))</f>
        <v>8.08</v>
      </c>
      <c r="G25" s="280">
        <f>(IF($A25="SINAPI",INDEX(SINAPI_NOV2020_NDES!$A$7:$H$6703,MATCH($B25,SINAPI_NOV2020_NDES!$A$7:$A$6703,0),6),(INDEX(COMPOS!$A$4:$G$801,MATCH($B25,COMPOS!$A$4:A$801,0),5))))</f>
        <v>4.3</v>
      </c>
      <c r="H25" s="280">
        <f>(IF($A25="SINAPI",INDEX(SINAPI_NOV2020_NDES!$A$7:$H$6703,MATCH($B25,SINAPI_NOV2020_NDES!$A$7:$A$6703,0),7),(INDEX(COMPOS!$A$4:$G$801,MATCH($B25,COMPOS!$A$4:A$801,0),6))))</f>
        <v>0</v>
      </c>
      <c r="I25" s="279">
        <f t="shared" si="6"/>
        <v>12.379999999999999</v>
      </c>
      <c r="J25" s="276">
        <f t="shared" si="7"/>
        <v>49.519999999999996</v>
      </c>
      <c r="K25" s="255"/>
      <c r="L25" s="255"/>
      <c r="M25" s="255"/>
      <c r="N25" s="255"/>
      <c r="O25" s="257"/>
      <c r="P25" s="255"/>
    </row>
    <row r="26" spans="1:16" ht="24">
      <c r="A26" s="251" t="s">
        <v>7</v>
      </c>
      <c r="B26" s="290">
        <v>93657</v>
      </c>
      <c r="C26" s="301" t="str">
        <f>(IF($A26="SINAPI",INDEX(SINAPI_NOV2020_NDES!$A$7:$H$6703,MATCH($B26,SINAPI_NOV2020_NDES!$A$7:$A$6703,0),2),IF($A26="GOINFRA",INDEX(#REF!,MATCH($B26,#REF!,0),2),(INDEX(COMPOS!$A$4:$G$390,MATCH($B26,COMPOS!$A$4:A$390,0),2)))))</f>
        <v>DISJUNTOR MONOPOLAR TIPO DIN, CORRENTE NOMINAL DE 32A - FORNECIMENTO E INSTALAÇÃO. AF_10/2020</v>
      </c>
      <c r="D26" s="274" t="str">
        <f>(IF($A26="SINAPI",INDEX(SINAPI_NOV2020_NDES!$A$7:$H$6790,MATCH($B26,SINAPI_NOV2020_NDES!$A$7:$A$6790,0),3),(INDEX(COMPOS!$A$4:$G$5000,MATCH($B26,COMPOS!$A$4:$A$5000,0),3))))</f>
        <v>UN</v>
      </c>
      <c r="E26" s="276">
        <v>1</v>
      </c>
      <c r="F26" s="279">
        <f>(IF($A26="SINAPI",INDEX(SINAPI_NOV2020_NDES!$A$7:$H$6703,MATCH($B26,SINAPI_NOV2020_NDES!$A$7:$A$6703,0),5),(INDEX(COMPOS!$A$4:$G$801,MATCH($B26,COMPOS!$A$4:A$801,0),4))))</f>
        <v>2.67</v>
      </c>
      <c r="G26" s="280">
        <f>(IF($A26="SINAPI",INDEX(SINAPI_NOV2020_NDES!$A$7:$H$6703,MATCH($B26,SINAPI_NOV2020_NDES!$A$7:$A$6703,0),6),(INDEX(COMPOS!$A$4:$G$801,MATCH($B26,COMPOS!$A$4:A$801,0),5))))</f>
        <v>10.130000000000001</v>
      </c>
      <c r="H26" s="280">
        <f>(IF($A26="SINAPI",INDEX(SINAPI_NOV2020_NDES!$A$7:$H$6703,MATCH($B26,SINAPI_NOV2020_NDES!$A$7:$A$6703,0),7),(INDEX(COMPOS!$A$4:$G$801,MATCH($B26,COMPOS!$A$4:A$801,0),6))))</f>
        <v>0</v>
      </c>
      <c r="I26" s="279">
        <f t="shared" si="6"/>
        <v>12.8</v>
      </c>
      <c r="J26" s="276">
        <f t="shared" si="7"/>
        <v>12.8</v>
      </c>
      <c r="K26" s="255"/>
      <c r="L26" s="255"/>
      <c r="M26" s="255"/>
      <c r="N26" s="255"/>
      <c r="O26" s="257"/>
      <c r="P26" s="255"/>
    </row>
    <row r="27" spans="1:16" ht="24">
      <c r="A27" s="251" t="s">
        <v>7</v>
      </c>
      <c r="B27" s="290">
        <v>93671</v>
      </c>
      <c r="C27" s="301" t="str">
        <f>(IF($A27="SINAPI",INDEX(SINAPI_NOV2020_NDES!$A$7:$H$6703,MATCH($B27,SINAPI_NOV2020_NDES!$A$7:$A$6703,0),2),IF($A27="GOINFRA",INDEX(#REF!,MATCH($B27,#REF!,0),2),(INDEX(COMPOS!$A$4:$G$390,MATCH($B27,COMPOS!$A$4:A$390,0),2)))))</f>
        <v>DISJUNTOR TRIPOLAR TIPO DIN, CORRENTE NOMINAL DE 32A - FORNECIMENTO E INSTALAÇÃO. AF_10/2020</v>
      </c>
      <c r="D27" s="274" t="str">
        <f>(IF($A27="SINAPI",INDEX(SINAPI_NOV2020_NDES!$A$7:$H$6790,MATCH($B27,SINAPI_NOV2020_NDES!$A$7:$A$6790,0),3),(INDEX(COMPOS!$A$4:$G$5000,MATCH($B27,COMPOS!$A$4:$A$5000,0),3))))</f>
        <v>UN</v>
      </c>
      <c r="E27" s="276">
        <v>1</v>
      </c>
      <c r="F27" s="279">
        <f>(IF($A27="SINAPI",INDEX(SINAPI_NOV2020_NDES!$A$7:$H$6703,MATCH($B27,SINAPI_NOV2020_NDES!$A$7:$A$6703,0),5),(INDEX(COMPOS!$A$4:$G$801,MATCH($B27,COMPOS!$A$4:A$801,0),4))))</f>
        <v>8.0399999999999991</v>
      </c>
      <c r="G27" s="280">
        <f>(IF($A27="SINAPI",INDEX(SINAPI_NOV2020_NDES!$A$7:$H$6703,MATCH($B27,SINAPI_NOV2020_NDES!$A$7:$A$6703,0),6),(INDEX(COMPOS!$A$4:$G$801,MATCH($B27,COMPOS!$A$4:A$801,0),5))))</f>
        <v>64.25</v>
      </c>
      <c r="H27" s="280">
        <f>(IF($A27="SINAPI",INDEX(SINAPI_NOV2020_NDES!$A$7:$H$6703,MATCH($B27,SINAPI_NOV2020_NDES!$A$7:$A$6703,0),7),(INDEX(COMPOS!$A$4:$G$801,MATCH($B27,COMPOS!$A$4:A$801,0),6))))</f>
        <v>0</v>
      </c>
      <c r="I27" s="279">
        <f t="shared" si="6"/>
        <v>72.289999999999992</v>
      </c>
      <c r="J27" s="276">
        <f t="shared" si="7"/>
        <v>72.289999999999992</v>
      </c>
      <c r="K27" s="255"/>
      <c r="L27" s="255"/>
      <c r="M27" s="255"/>
      <c r="N27" s="255"/>
      <c r="O27" s="257"/>
      <c r="P27" s="255"/>
    </row>
    <row r="28" spans="1:16" ht="24">
      <c r="A28" s="251" t="s">
        <v>7</v>
      </c>
      <c r="B28" s="290">
        <v>91926</v>
      </c>
      <c r="C28" s="301" t="str">
        <f>(IF($A28="SINAPI",INDEX(SINAPI_NOV2020_NDES!$A$7:$H$6703,MATCH($B28,SINAPI_NOV2020_NDES!$A$7:$A$6703,0),2),IF($A28="GOINFRA",INDEX(#REF!,MATCH($B28,#REF!,0),2),(INDEX(COMPOS!$A$4:$G$390,MATCH($B28,COMPOS!$A$4:A$390,0),2)))))</f>
        <v>CABO DE COBRE FLEXÍVEL ISOLADO, 2,5 MM², ANTI-CHAMA 450/750 V, PARA CIRCUITOS TERMINAIS - FORNECIMENTO E INSTALAÇÃO. AF_12/2015</v>
      </c>
      <c r="D28" s="274" t="str">
        <f>(IF($A28="SINAPI",INDEX(SINAPI_NOV2020_NDES!$A$7:$H$6790,MATCH($B28,SINAPI_NOV2020_NDES!$A$7:$A$6790,0),3),(INDEX(COMPOS!$A$4:$G$5000,MATCH($B28,COMPOS!$A$4:$A$5000,0),3))))</f>
        <v>M</v>
      </c>
      <c r="E28" s="276">
        <v>52</v>
      </c>
      <c r="F28" s="279">
        <f>(IF($A28="SINAPI",INDEX(SINAPI_NOV2020_NDES!$A$7:$H$6703,MATCH($B28,SINAPI_NOV2020_NDES!$A$7:$A$6703,0),5),(INDEX(COMPOS!$A$4:$G$801,MATCH($B28,COMPOS!$A$4:A$801,0),4))))</f>
        <v>0.88</v>
      </c>
      <c r="G28" s="280">
        <f>(IF($A28="SINAPI",INDEX(SINAPI_NOV2020_NDES!$A$7:$H$6703,MATCH($B28,SINAPI_NOV2020_NDES!$A$7:$A$6703,0),6),(INDEX(COMPOS!$A$4:$G$801,MATCH($B28,COMPOS!$A$4:A$801,0),5))))</f>
        <v>1.9</v>
      </c>
      <c r="H28" s="280">
        <f>(IF($A28="SINAPI",INDEX(SINAPI_NOV2020_NDES!$A$7:$H$6703,MATCH($B28,SINAPI_NOV2020_NDES!$A$7:$A$6703,0),7),(INDEX(COMPOS!$A$4:$G$801,MATCH($B28,COMPOS!$A$4:A$801,0),6))))</f>
        <v>0</v>
      </c>
      <c r="I28" s="279">
        <f t="shared" si="6"/>
        <v>2.78</v>
      </c>
      <c r="J28" s="276">
        <f t="shared" si="7"/>
        <v>144.56</v>
      </c>
      <c r="K28" s="255"/>
      <c r="L28" s="255"/>
      <c r="M28" s="255"/>
      <c r="N28" s="255"/>
      <c r="O28" s="257"/>
      <c r="P28" s="255"/>
    </row>
    <row r="29" spans="1:16" ht="24">
      <c r="A29" s="251" t="s">
        <v>7</v>
      </c>
      <c r="B29" s="290">
        <v>91953</v>
      </c>
      <c r="C29" s="301" t="str">
        <f>(IF($A29="SINAPI",INDEX(SINAPI_NOV2020_NDES!$A$7:$H$6703,MATCH($B29,SINAPI_NOV2020_NDES!$A$7:$A$6703,0),2),IF($A29="GOINFRA",INDEX(#REF!,MATCH($B29,#REF!,0),2),(INDEX(COMPOS!$A$4:$G$390,MATCH($B29,COMPOS!$A$4:A$390,0),2)))))</f>
        <v>INTERRUPTOR SIMPLES (1 MÓDULO), 10A/250V, INCLUINDO SUPORTE E PLACA - FORNECIMENTO E INSTALAÇÃO. AF_12/2015</v>
      </c>
      <c r="D29" s="274" t="str">
        <f>(IF($A29="SINAPI",INDEX(SINAPI_NOV2020_NDES!$A$7:$H$6790,MATCH($B29,SINAPI_NOV2020_NDES!$A$7:$A$6790,0),3),(INDEX(COMPOS!$A$4:$G$5000,MATCH($B29,COMPOS!$A$4:$A$5000,0),3))))</f>
        <v>UN</v>
      </c>
      <c r="E29" s="276">
        <v>1</v>
      </c>
      <c r="F29" s="279">
        <f>(IF($A29="SINAPI",INDEX(SINAPI_NOV2020_NDES!$A$7:$H$6703,MATCH($B29,SINAPI_NOV2020_NDES!$A$7:$A$6703,0),5),(INDEX(COMPOS!$A$4:$G$801,MATCH($B29,COMPOS!$A$4:A$801,0),4))))</f>
        <v>8.7899999999999991</v>
      </c>
      <c r="G29" s="280">
        <f>(IF($A29="SINAPI",INDEX(SINAPI_NOV2020_NDES!$A$7:$H$6703,MATCH($B29,SINAPI_NOV2020_NDES!$A$7:$A$6703,0),6),(INDEX(COMPOS!$A$4:$G$801,MATCH($B29,COMPOS!$A$4:A$801,0),5))))</f>
        <v>9.4499999999999993</v>
      </c>
      <c r="H29" s="280">
        <f>(IF($A29="SINAPI",INDEX(SINAPI_NOV2020_NDES!$A$7:$H$6703,MATCH($B29,SINAPI_NOV2020_NDES!$A$7:$A$6703,0),7),(INDEX(COMPOS!$A$4:$G$801,MATCH($B29,COMPOS!$A$4:A$801,0),6))))</f>
        <v>0</v>
      </c>
      <c r="I29" s="279">
        <f t="shared" si="6"/>
        <v>18.239999999999998</v>
      </c>
      <c r="J29" s="276">
        <f t="shared" si="7"/>
        <v>18.239999999999998</v>
      </c>
      <c r="K29" s="255"/>
      <c r="L29" s="255"/>
      <c r="M29" s="255"/>
      <c r="N29" s="255"/>
      <c r="O29" s="257"/>
      <c r="P29" s="255"/>
    </row>
    <row r="30" spans="1:16" ht="36">
      <c r="A30" s="251" t="s">
        <v>7</v>
      </c>
      <c r="B30" s="290">
        <v>101875</v>
      </c>
      <c r="C30" s="301" t="str">
        <f>(IF($A30="SINAPI",INDEX(SINAPI_NOV2020_NDES!$A$7:$H$6703,MATCH($B30,SINAPI_NOV2020_NDES!$A$7:$A$6703,0),2),IF($A30="GOINFRA",INDEX(#REF!,MATCH($B30,#REF!,0),2),(INDEX(COMPOS!$A$4:$G$390,MATCH($B30,COMPOS!$A$4:A$390,0),2)))))</f>
        <v>QUADRO DE DISTRIBUIÇÃO DE ENERGIA EM CHAPA DE AÇO GALVANIZADO, DE EMBUTIR, COM BARRAMENTO TRIFÁSICO, PARA 12 DISJUNTORES DIN 100A - FORNECIMENTO E INSTALAÇÃO. AF_10/2020</v>
      </c>
      <c r="D30" s="274" t="str">
        <f>(IF($A30="SINAPI",INDEX(SINAPI_NOV2020_NDES!$A$7:$H$6790,MATCH($B30,SINAPI_NOV2020_NDES!$A$7:$A$6790,0),3),(INDEX(COMPOS!$A$4:$G$5000,MATCH($B30,COMPOS!$A$4:$A$5000,0),3))))</f>
        <v>UN</v>
      </c>
      <c r="E30" s="276">
        <v>1</v>
      </c>
      <c r="F30" s="279">
        <f>(IF($A30="SINAPI",INDEX(SINAPI_NOV2020_NDES!$A$7:$H$6703,MATCH($B30,SINAPI_NOV2020_NDES!$A$7:$A$6703,0),5),(INDEX(COMPOS!$A$4:$G$801,MATCH($B30,COMPOS!$A$4:A$801,0),4))))</f>
        <v>15.54</v>
      </c>
      <c r="G30" s="280">
        <f>(IF($A30="SINAPI",INDEX(SINAPI_NOV2020_NDES!$A$7:$H$6703,MATCH($B30,SINAPI_NOV2020_NDES!$A$7:$A$6703,0),6),(INDEX(COMPOS!$A$4:$G$801,MATCH($B30,COMPOS!$A$4:A$801,0),5))))</f>
        <v>315.70999999999998</v>
      </c>
      <c r="H30" s="280">
        <f>(IF($A30="SINAPI",INDEX(SINAPI_NOV2020_NDES!$A$7:$H$6703,MATCH($B30,SINAPI_NOV2020_NDES!$A$7:$A$6703,0),7),(INDEX(COMPOS!$A$4:$G$801,MATCH($B30,COMPOS!$A$4:A$801,0),6))))</f>
        <v>0</v>
      </c>
      <c r="I30" s="279">
        <f t="shared" si="6"/>
        <v>331.25</v>
      </c>
      <c r="J30" s="276">
        <f t="shared" si="7"/>
        <v>331.25</v>
      </c>
      <c r="K30" s="255"/>
      <c r="L30" s="255"/>
      <c r="M30" s="255"/>
      <c r="N30" s="255"/>
      <c r="O30" s="257"/>
      <c r="P30" s="255"/>
    </row>
    <row r="31" spans="1:16" ht="24">
      <c r="A31" s="251" t="s">
        <v>7</v>
      </c>
      <c r="B31" s="290">
        <v>97610</v>
      </c>
      <c r="C31" s="301" t="str">
        <f>(IF($A31="SINAPI",INDEX(SINAPI_NOV2020_NDES!$A$7:$H$6703,MATCH($B31,SINAPI_NOV2020_NDES!$A$7:$A$6703,0),2),IF($A31="GOINFRA",INDEX(#REF!,MATCH($B31,#REF!,0),2),(INDEX(COMPOS!$A$4:$G$390,MATCH($B31,COMPOS!$A$4:A$390,0),2)))))</f>
        <v>LÂMPADA COMPACTA DE LED 10 W, BASE E27 - FORNECIMENTO E INSTALAÇÃO. AF_02/2020</v>
      </c>
      <c r="D31" s="274" t="str">
        <f>(IF($A31="SINAPI",INDEX(SINAPI_NOV2020_NDES!$A$7:$H$6790,MATCH($B31,SINAPI_NOV2020_NDES!$A$7:$A$6790,0),3),(INDEX(COMPOS!$A$4:$G$5000,MATCH($B31,COMPOS!$A$4:$A$5000,0),3))))</f>
        <v>UN</v>
      </c>
      <c r="E31" s="276">
        <v>2</v>
      </c>
      <c r="F31" s="279">
        <f>(IF($A31="SINAPI",INDEX(SINAPI_NOV2020_NDES!$A$7:$H$6703,MATCH($B31,SINAPI_NOV2020_NDES!$A$7:$A$6703,0),5),(INDEX(COMPOS!$A$4:$G$801,MATCH($B31,COMPOS!$A$4:A$801,0),4))))</f>
        <v>3.7</v>
      </c>
      <c r="G31" s="280">
        <f>(IF($A31="SINAPI",INDEX(SINAPI_NOV2020_NDES!$A$7:$H$6703,MATCH($B31,SINAPI_NOV2020_NDES!$A$7:$A$6703,0),6),(INDEX(COMPOS!$A$4:$G$801,MATCH($B31,COMPOS!$A$4:A$801,0),5))))</f>
        <v>12.36</v>
      </c>
      <c r="H31" s="280">
        <f>(IF($A31="SINAPI",INDEX(SINAPI_NOV2020_NDES!$A$7:$H$6703,MATCH($B31,SINAPI_NOV2020_NDES!$A$7:$A$6703,0),7),(INDEX(COMPOS!$A$4:$G$801,MATCH($B31,COMPOS!$A$4:A$801,0),6))))</f>
        <v>0</v>
      </c>
      <c r="I31" s="279">
        <f t="shared" si="6"/>
        <v>16.059999999999999</v>
      </c>
      <c r="J31" s="276">
        <f t="shared" si="7"/>
        <v>32.119999999999997</v>
      </c>
      <c r="K31" s="255"/>
      <c r="L31" s="255"/>
      <c r="M31" s="255"/>
      <c r="N31" s="255"/>
      <c r="O31" s="257"/>
      <c r="P31" s="255"/>
    </row>
    <row r="32" spans="1:16" ht="36">
      <c r="A32" s="251" t="s">
        <v>7</v>
      </c>
      <c r="B32" s="290">
        <v>97608</v>
      </c>
      <c r="C32" s="301" t="str">
        <f>(IF($A32="SINAPI",INDEX(SINAPI_NOV2020_NDES!$A$7:$H$6703,MATCH($B32,SINAPI_NOV2020_NDES!$A$7:$A$6703,0),2),IF($A32="GOINFRA",INDEX(#REF!,MATCH($B32,#REF!,0),2),(INDEX(COMPOS!$A$4:$G$390,MATCH($B32,COMPOS!$A$4:A$390,0),2)))))</f>
        <v>LUMINÁRIA ARANDELA TIPO TARTARUGA, COM GRADE, DE SOBREPOR, COM 1 LÂMPADA FLUORESCENTE DE 15 W, SEM REATOR - FORNECIMENTO E INSTALAÇÃO. AF_02/2020</v>
      </c>
      <c r="D32" s="274" t="str">
        <f>(IF($A32="SINAPI",INDEX(SINAPI_NOV2020_NDES!$A$7:$H$6790,MATCH($B32,SINAPI_NOV2020_NDES!$A$7:$A$6790,0),3),(INDEX(COMPOS!$A$4:$G$5000,MATCH($B32,COMPOS!$A$4:$A$5000,0),3))))</f>
        <v>UN</v>
      </c>
      <c r="E32" s="276">
        <v>2</v>
      </c>
      <c r="F32" s="279">
        <f>(IF($A32="SINAPI",INDEX(SINAPI_NOV2020_NDES!$A$7:$H$6703,MATCH($B32,SINAPI_NOV2020_NDES!$A$7:$A$6703,0),5),(INDEX(COMPOS!$A$4:$G$801,MATCH($B32,COMPOS!$A$4:A$801,0),4))))</f>
        <v>12.33</v>
      </c>
      <c r="G32" s="280">
        <f>(IF($A32="SINAPI",INDEX(SINAPI_NOV2020_NDES!$A$7:$H$6703,MATCH($B32,SINAPI_NOV2020_NDES!$A$7:$A$6703,0),6),(INDEX(COMPOS!$A$4:$G$801,MATCH($B32,COMPOS!$A$4:A$801,0),5))))</f>
        <v>61.64</v>
      </c>
      <c r="H32" s="280">
        <f>(IF($A32="SINAPI",INDEX(SINAPI_NOV2020_NDES!$A$7:$H$6703,MATCH($B32,SINAPI_NOV2020_NDES!$A$7:$A$6703,0),7),(INDEX(COMPOS!$A$4:$G$801,MATCH($B32,COMPOS!$A$4:A$801,0),6))))</f>
        <v>0</v>
      </c>
      <c r="I32" s="279">
        <f t="shared" si="6"/>
        <v>73.97</v>
      </c>
      <c r="J32" s="276">
        <f t="shared" si="7"/>
        <v>147.94</v>
      </c>
      <c r="K32" s="255"/>
      <c r="L32" s="255"/>
      <c r="M32" s="255"/>
      <c r="N32" s="255"/>
      <c r="O32" s="257"/>
      <c r="P32" s="255"/>
    </row>
    <row r="33" spans="1:16">
      <c r="A33" s="251"/>
      <c r="B33" s="283"/>
      <c r="C33" s="333" t="s">
        <v>6947</v>
      </c>
      <c r="D33" s="274"/>
      <c r="E33" s="276"/>
      <c r="F33" s="279"/>
      <c r="G33" s="279"/>
      <c r="H33" s="279"/>
      <c r="I33" s="279"/>
      <c r="J33" s="276"/>
      <c r="K33" s="255"/>
      <c r="L33" s="255"/>
      <c r="M33" s="255"/>
      <c r="N33" s="255"/>
      <c r="O33" s="257"/>
      <c r="P33" s="255"/>
    </row>
    <row r="34" spans="1:16" ht="24">
      <c r="A34" s="251" t="s">
        <v>7</v>
      </c>
      <c r="B34" s="283">
        <v>96973</v>
      </c>
      <c r="C34" s="301" t="str">
        <f>(IF($A34="SINAPI",INDEX(SINAPI_NOV2020_NDES!$A$7:$H$6703,MATCH($B34,SINAPI_NOV2020_NDES!$A$7:$A$6703,0),2),IF($A34="GOINFRA",INDEX(#REF!,MATCH($B34,#REF!,0),2),(INDEX(COMPOS!$A$4:$G$390,MATCH($B34,COMPOS!$A$4:A$390,0),2)))))</f>
        <v>CORDOALHA DE COBRE NU 35 MM², NÃO ENTERRADA, COM ISOLADOR - FORNECIMENTO E INSTALAÇÃO. AF_12/2017</v>
      </c>
      <c r="D34" s="274" t="str">
        <f>(IF($A34="SINAPI",INDEX(SINAPI_NOV2020_NDES!$A$7:$H$6790,MATCH($B34,SINAPI_NOV2020_NDES!$A$7:$A$6790,0),3),(INDEX(COMPOS!$A$4:$G$5000,MATCH($B34,COMPOS!$A$4:$A$5000,0),3))))</f>
        <v>M</v>
      </c>
      <c r="E34" s="276">
        <v>50</v>
      </c>
      <c r="F34" s="279">
        <f>(IF($A34="SINAPI",INDEX(SINAPI_NOV2020_NDES!$A$7:$H$6703,MATCH($B34,SINAPI_NOV2020_NDES!$A$7:$A$6703,0),5),(INDEX(COMPOS!$A$4:$G$801,MATCH($B34,COMPOS!$A$4:A$801,0),4))))</f>
        <v>12.12</v>
      </c>
      <c r="G34" s="280">
        <f>(IF($A34="SINAPI",INDEX(SINAPI_NOV2020_NDES!$A$7:$H$6703,MATCH($B34,SINAPI_NOV2020_NDES!$A$7:$A$6703,0),6),(INDEX(COMPOS!$A$4:$G$801,MATCH($B34,COMPOS!$A$4:A$801,0),5))))</f>
        <v>32.340000000000003</v>
      </c>
      <c r="H34" s="280">
        <f>(IF($A34="SINAPI",INDEX(SINAPI_NOV2020_NDES!$A$7:$H$6703,MATCH($B34,SINAPI_NOV2020_NDES!$A$7:$A$6703,0),7),(INDEX(COMPOS!$A$4:$G$801,MATCH($B34,COMPOS!$A$4:A$801,0),6))))</f>
        <v>0</v>
      </c>
      <c r="I34" s="279">
        <f t="shared" ref="I34" si="8">SUM(F34:H34)</f>
        <v>44.46</v>
      </c>
      <c r="J34" s="276">
        <f t="shared" ref="J34" si="9">+I34*E34</f>
        <v>2223</v>
      </c>
      <c r="K34" s="255"/>
      <c r="L34" s="255"/>
      <c r="M34" s="255"/>
      <c r="N34" s="255"/>
      <c r="O34" s="257"/>
      <c r="P34" s="255"/>
    </row>
    <row r="35" spans="1:16" ht="24">
      <c r="A35" s="251" t="s">
        <v>7</v>
      </c>
      <c r="B35" s="283">
        <v>96974</v>
      </c>
      <c r="C35" s="301" t="str">
        <f>(IF($A35="SINAPI",INDEX(SINAPI_NOV2020_NDES!$A$7:$H$6703,MATCH($B35,SINAPI_NOV2020_NDES!$A$7:$A$6703,0),2),IF($A35="GOINFRA",INDEX(#REF!,MATCH($B35,#REF!,0),2),(INDEX(COMPOS!$A$4:$G$390,MATCH($B35,COMPOS!$A$4:A$390,0),2)))))</f>
        <v>CORDOALHA DE COBRE NU 50 MM², NÃO ENTERRADA, COM ISOLADOR - FORNECIMENTO E INSTALAÇÃO. AF_12/2017</v>
      </c>
      <c r="D35" s="274" t="str">
        <f>(IF($A35="SINAPI",INDEX(SINAPI_NOV2020_NDES!$A$7:$H$6790,MATCH($B35,SINAPI_NOV2020_NDES!$A$7:$A$6790,0),3),(INDEX(COMPOS!$A$4:$G$5000,MATCH($B35,COMPOS!$A$4:$A$5000,0),3))))</f>
        <v>M</v>
      </c>
      <c r="E35" s="276">
        <v>50</v>
      </c>
      <c r="F35" s="279">
        <f>(IF($A35="SINAPI",INDEX(SINAPI_NOV2020_NDES!$A$7:$H$6703,MATCH($B35,SINAPI_NOV2020_NDES!$A$7:$A$6703,0),5),(INDEX(COMPOS!$A$4:$G$801,MATCH($B35,COMPOS!$A$4:A$801,0),4))))</f>
        <v>14.24</v>
      </c>
      <c r="G35" s="280">
        <f>(IF($A35="SINAPI",INDEX(SINAPI_NOV2020_NDES!$A$7:$H$6703,MATCH($B35,SINAPI_NOV2020_NDES!$A$7:$A$6703,0),6),(INDEX(COMPOS!$A$4:$G$801,MATCH($B35,COMPOS!$A$4:A$801,0),5))))</f>
        <v>42.67</v>
      </c>
      <c r="H35" s="280">
        <f>(IF($A35="SINAPI",INDEX(SINAPI_NOV2020_NDES!$A$7:$H$6703,MATCH($B35,SINAPI_NOV2020_NDES!$A$7:$A$6703,0),7),(INDEX(COMPOS!$A$4:$G$801,MATCH($B35,COMPOS!$A$4:A$801,0),6))))</f>
        <v>0</v>
      </c>
      <c r="I35" s="279">
        <f t="shared" ref="I35:I51" si="10">SUM(F35:H35)</f>
        <v>56.910000000000004</v>
      </c>
      <c r="J35" s="276">
        <f t="shared" ref="J35:J51" si="11">+I35*E35</f>
        <v>2845.5</v>
      </c>
      <c r="K35" s="255"/>
      <c r="L35" s="255"/>
      <c r="M35" s="255"/>
      <c r="N35" s="255"/>
      <c r="O35" s="257"/>
      <c r="P35" s="255"/>
    </row>
    <row r="36" spans="1:16">
      <c r="A36" s="251" t="s">
        <v>6307</v>
      </c>
      <c r="B36" s="283">
        <v>714</v>
      </c>
      <c r="C36" s="301" t="str">
        <f>(IF($A36="SINAPI",INDEX(SINAPI_NOV2020_NDES!$A$7:$H$6703,MATCH($B36,SINAPI_NOV2020_NDES!$A$7:$A$6703,0),2),IF($A36="GOINFRA",INDEX(#REF!,MATCH($B36,#REF!,0),2),(INDEX(COMPOS!$A$4:$G$390,MATCH($B36,COMPOS!$A$4:A$390,0),2)))))</f>
        <v>CONECTOR DE COMPRESSÃO FORMATO H PARA CABO 25 A 70 MM2</v>
      </c>
      <c r="D36" s="274" t="str">
        <f>(IF($A36="SINAPI",INDEX(SINAPI_NOV2020_NDES!$A$7:$H$6790,MATCH($B36,SINAPI_NOV2020_NDES!$A$7:$A$6790,0),3),(INDEX(COMPOS!$A$4:$G$5000,MATCH($B36,COMPOS!$A$4:$A$5000,0),3))))</f>
        <v>UN</v>
      </c>
      <c r="E36" s="276">
        <v>2</v>
      </c>
      <c r="F36" s="279">
        <f>(IF($A36="SINAPI",INDEX(SINAPI_NOV2020_NDES!$A$7:$H$6703,MATCH($B36,SINAPI_NOV2020_NDES!$A$7:$A$6703,0),5),(INDEX(COMPOS!$A$4:$G$801,MATCH($B36,COMPOS!$A$4:A$801,0),4))))</f>
        <v>15.452</v>
      </c>
      <c r="G36" s="280">
        <f>(IF($A36="SINAPI",INDEX(SINAPI_NOV2020_NDES!$A$7:$H$6703,MATCH($B36,SINAPI_NOV2020_NDES!$A$7:$A$6703,0),6),(INDEX(COMPOS!$A$4:$G$801,MATCH($B36,COMPOS!$A$4:A$801,0),5))))</f>
        <v>5.0599999999999996</v>
      </c>
      <c r="H36" s="280">
        <f>(IF($A36="SINAPI",INDEX(SINAPI_NOV2020_NDES!$A$7:$H$6703,MATCH($B36,SINAPI_NOV2020_NDES!$A$7:$A$6703,0),7),(INDEX(COMPOS!$A$4:$G$801,MATCH($B36,COMPOS!$A$4:A$801,0),6))))</f>
        <v>0</v>
      </c>
      <c r="I36" s="279">
        <f t="shared" si="10"/>
        <v>20.512</v>
      </c>
      <c r="J36" s="276">
        <f t="shared" si="11"/>
        <v>41.024000000000001</v>
      </c>
      <c r="K36" s="255"/>
      <c r="L36" s="255"/>
      <c r="M36" s="255"/>
      <c r="N36" s="255"/>
      <c r="O36" s="257"/>
      <c r="P36" s="255"/>
    </row>
    <row r="37" spans="1:16">
      <c r="A37" s="251" t="s">
        <v>6307</v>
      </c>
      <c r="B37" s="283">
        <v>42</v>
      </c>
      <c r="C37" s="301" t="str">
        <f>(IF($A37="SINAPI",INDEX(SINAPI_NOV2020_NDES!$A$7:$H$6703,MATCH($B37,SINAPI_NOV2020_NDES!$A$7:$A$6703,0),2),IF($A37="GOINFRA",INDEX(#REF!,MATCH($B37,#REF!,0),2),(INDEX(COMPOS!$A$4:$G$390,MATCH($B37,COMPOS!$A$4:A$390,0),2)))))</f>
        <v>SOLDA EXOTÉRMICA TAMANHO 115G</v>
      </c>
      <c r="D37" s="274" t="str">
        <f>(IF($A37="SINAPI",INDEX(SINAPI_NOV2020_NDES!$A$7:$H$6790,MATCH($B37,SINAPI_NOV2020_NDES!$A$7:$A$6790,0),3),(INDEX(COMPOS!$A$4:$G$5000,MATCH($B37,COMPOS!$A$4:$A$5000,0),3))))</f>
        <v>UN</v>
      </c>
      <c r="E37" s="276">
        <v>4</v>
      </c>
      <c r="F37" s="279">
        <f>(IF($A37="SINAPI",INDEX(SINAPI_NOV2020_NDES!$A$7:$H$6703,MATCH($B37,SINAPI_NOV2020_NDES!$A$7:$A$6703,0),5),(INDEX(COMPOS!$A$4:$G$801,MATCH($B37,COMPOS!$A$4:A$801,0),4))))</f>
        <v>2.1414880000000003</v>
      </c>
      <c r="G37" s="280">
        <f>(IF($A37="SINAPI",INDEX(SINAPI_NOV2020_NDES!$A$7:$H$6703,MATCH($B37,SINAPI_NOV2020_NDES!$A$7:$A$6703,0),6),(INDEX(COMPOS!$A$4:$G$801,MATCH($B37,COMPOS!$A$4:A$801,0),5))))</f>
        <v>7.91</v>
      </c>
      <c r="H37" s="280">
        <f>(IF($A37="SINAPI",INDEX(SINAPI_NOV2020_NDES!$A$7:$H$6703,MATCH($B37,SINAPI_NOV2020_NDES!$A$7:$A$6703,0),7),(INDEX(COMPOS!$A$4:$G$801,MATCH($B37,COMPOS!$A$4:A$801,0),6))))</f>
        <v>0</v>
      </c>
      <c r="I37" s="279">
        <f t="shared" si="10"/>
        <v>10.051488000000001</v>
      </c>
      <c r="J37" s="276">
        <f t="shared" si="11"/>
        <v>40.205952000000003</v>
      </c>
      <c r="K37" s="255"/>
      <c r="L37" s="255"/>
      <c r="M37" s="255"/>
      <c r="N37" s="255"/>
      <c r="O37" s="257"/>
      <c r="P37" s="255"/>
    </row>
    <row r="38" spans="1:16">
      <c r="A38" s="251" t="s">
        <v>6307</v>
      </c>
      <c r="B38" s="283">
        <v>537</v>
      </c>
      <c r="C38" s="301" t="str">
        <f>(IF($A38="SINAPI",INDEX(SINAPI_NOV2020_NDES!$A$7:$H$6703,MATCH($B38,SINAPI_NOV2020_NDES!$A$7:$A$6703,0),2),IF($A38="GOINFRA",INDEX(#REF!,MATCH($B38,#REF!,0),2),(INDEX(COMPOS!$A$4:$G$390,MATCH($B38,COMPOS!$A$4:A$390,0),2)))))</f>
        <v>ABRAÇADEIRA TIPO D 1" COM CUNHA</v>
      </c>
      <c r="D38" s="274" t="str">
        <f>(IF($A38="SINAPI",INDEX(SINAPI_NOV2020_NDES!$A$7:$H$6790,MATCH($B38,SINAPI_NOV2020_NDES!$A$7:$A$6790,0),3),(INDEX(COMPOS!$A$4:$G$5000,MATCH($B38,COMPOS!$A$4:$A$5000,0),3))))</f>
        <v>UN</v>
      </c>
      <c r="E38" s="276">
        <v>4</v>
      </c>
      <c r="F38" s="279">
        <f>(IF($A38="SINAPI",INDEX(SINAPI_NOV2020_NDES!$A$7:$H$6703,MATCH($B38,SINAPI_NOV2020_NDES!$A$7:$A$6703,0),5),(INDEX(COMPOS!$A$4:$G$801,MATCH($B38,COMPOS!$A$4:A$801,0),4))))</f>
        <v>0.38629999999999998</v>
      </c>
      <c r="G38" s="280">
        <f>(IF($A38="SINAPI",INDEX(SINAPI_NOV2020_NDES!$A$7:$H$6703,MATCH($B38,SINAPI_NOV2020_NDES!$A$7:$A$6703,0),6),(INDEX(COMPOS!$A$4:$G$801,MATCH($B38,COMPOS!$A$4:A$801,0),5))))</f>
        <v>0.56999999999999995</v>
      </c>
      <c r="H38" s="280">
        <f>(IF($A38="SINAPI",INDEX(SINAPI_NOV2020_NDES!$A$7:$H$6703,MATCH($B38,SINAPI_NOV2020_NDES!$A$7:$A$6703,0),7),(INDEX(COMPOS!$A$4:$G$801,MATCH($B38,COMPOS!$A$4:A$801,0),6))))</f>
        <v>0</v>
      </c>
      <c r="I38" s="279">
        <f t="shared" si="10"/>
        <v>0.95629999999999993</v>
      </c>
      <c r="J38" s="276">
        <f t="shared" si="11"/>
        <v>3.8251999999999997</v>
      </c>
      <c r="K38" s="255"/>
      <c r="L38" s="255"/>
      <c r="M38" s="255"/>
      <c r="N38" s="255"/>
      <c r="O38" s="257"/>
      <c r="P38" s="255"/>
    </row>
    <row r="39" spans="1:16">
      <c r="A39" s="251" t="s">
        <v>6307</v>
      </c>
      <c r="B39" s="283">
        <v>538</v>
      </c>
      <c r="C39" s="301" t="str">
        <f>(IF($A39="SINAPI",INDEX(SINAPI_NOV2020_NDES!$A$7:$H$6703,MATCH($B39,SINAPI_NOV2020_NDES!$A$7:$A$6703,0),2),IF($A39="GOINFRA",INDEX(#REF!,MATCH($B39,#REF!,0),2),(INDEX(COMPOS!$A$4:$G$390,MATCH($B39,COMPOS!$A$4:A$390,0),2)))))</f>
        <v>CAIXA DE INSPEÇÃO SUSPENSA</v>
      </c>
      <c r="D39" s="274" t="str">
        <f>(IF($A39="SINAPI",INDEX(SINAPI_NOV2020_NDES!$A$7:$H$6790,MATCH($B39,SINAPI_NOV2020_NDES!$A$7:$A$6790,0),3),(INDEX(COMPOS!$A$4:$G$5000,MATCH($B39,COMPOS!$A$4:$A$5000,0),3))))</f>
        <v>UN</v>
      </c>
      <c r="E39" s="316">
        <v>1</v>
      </c>
      <c r="F39" s="326">
        <f>(IF($A39="SINAPI",INDEX(SINAPI_NOV2020_NDES!$A$7:$H$6703,MATCH($B39,SINAPI_NOV2020_NDES!$A$7:$A$6703,0),5),(INDEX(COMPOS!$A$4:$G$801,MATCH($B39,COMPOS!$A$4:A$801,0),4))))</f>
        <v>5.7944999999999993</v>
      </c>
      <c r="G39" s="320">
        <f>(IF($A39="SINAPI",INDEX(SINAPI_NOV2020_NDES!$A$7:$H$6703,MATCH($B39,SINAPI_NOV2020_NDES!$A$7:$A$6703,0),6),(INDEX(COMPOS!$A$4:$G$801,MATCH($B39,COMPOS!$A$4:A$801,0),5))))</f>
        <v>76.625</v>
      </c>
      <c r="H39" s="320">
        <f>(IF($A39="SINAPI",INDEX(SINAPI_NOV2020_NDES!$A$7:$H$6703,MATCH($B39,SINAPI_NOV2020_NDES!$A$7:$A$6703,0),7),(INDEX(COMPOS!$A$4:$G$801,MATCH($B39,COMPOS!$A$4:A$801,0),6))))</f>
        <v>0</v>
      </c>
      <c r="I39" s="326">
        <f t="shared" si="10"/>
        <v>82.419499999999999</v>
      </c>
      <c r="J39" s="316">
        <f t="shared" si="11"/>
        <v>82.419499999999999</v>
      </c>
      <c r="K39" s="255"/>
      <c r="L39" s="255"/>
      <c r="M39" s="255"/>
      <c r="N39" s="255"/>
      <c r="O39" s="257"/>
      <c r="P39" s="255"/>
    </row>
    <row r="40" spans="1:16">
      <c r="A40" s="251" t="s">
        <v>6307</v>
      </c>
      <c r="B40" s="283">
        <v>639</v>
      </c>
      <c r="C40" s="301" t="str">
        <f>(IF($A40="SINAPI",INDEX(SINAPI_NOV2020_NDES!$A$7:$H$6703,MATCH($B40,SINAPI_NOV2020_NDES!$A$7:$A$6703,0),2),IF($A40="GOINFRA",INDEX(#REF!,MATCH($B40,#REF!,0),2),(INDEX(COMPOS!$A$4:$G$390,MATCH($B40,COMPOS!$A$4:A$390,0),2)))))</f>
        <v>CONJUNTO PARA ESTAIS RÍGIDO + ABRAÇADEIRA 2" 3M</v>
      </c>
      <c r="D40" s="274" t="str">
        <f>(IF($A40="SINAPI",INDEX(SINAPI_NOV2020_NDES!$A$7:$H$6790,MATCH($B40,SINAPI_NOV2020_NDES!$A$7:$A$6790,0),3),(INDEX(COMPOS!$A$4:$G$5000,MATCH($B40,COMPOS!$A$4:$A$5000,0),3))))</f>
        <v>UN</v>
      </c>
      <c r="E40" s="276">
        <v>1</v>
      </c>
      <c r="F40" s="279">
        <f>(IF($A40="SINAPI",INDEX(SINAPI_NOV2020_NDES!$A$7:$H$6703,MATCH($B40,SINAPI_NOV2020_NDES!$A$7:$A$6703,0),5),(INDEX(COMPOS!$A$4:$G$801,MATCH($B40,COMPOS!$A$4:A$801,0),4))))</f>
        <v>18.001580000000001</v>
      </c>
      <c r="G40" s="280">
        <f>(IF($A40="SINAPI",INDEX(SINAPI_NOV2020_NDES!$A$7:$H$6703,MATCH($B40,SINAPI_NOV2020_NDES!$A$7:$A$6703,0),6),(INDEX(COMPOS!$A$4:$G$801,MATCH($B40,COMPOS!$A$4:A$801,0),5))))</f>
        <v>384.24</v>
      </c>
      <c r="H40" s="280">
        <f>(IF($A40="SINAPI",INDEX(SINAPI_NOV2020_NDES!$A$7:$H$6703,MATCH($B40,SINAPI_NOV2020_NDES!$A$7:$A$6703,0),7),(INDEX(COMPOS!$A$4:$G$801,MATCH($B40,COMPOS!$A$4:A$801,0),6))))</f>
        <v>0</v>
      </c>
      <c r="I40" s="279">
        <f t="shared" si="10"/>
        <v>402.24158</v>
      </c>
      <c r="J40" s="276">
        <f t="shared" si="11"/>
        <v>402.24158</v>
      </c>
      <c r="K40" s="255"/>
      <c r="L40" s="255"/>
      <c r="M40" s="255"/>
      <c r="N40" s="255"/>
      <c r="O40" s="257"/>
      <c r="P40" s="255"/>
    </row>
    <row r="41" spans="1:16">
      <c r="A41" s="251" t="s">
        <v>6307</v>
      </c>
      <c r="B41" s="283">
        <v>541</v>
      </c>
      <c r="C41" s="301" t="str">
        <f>(IF($A41="SINAPI",INDEX(SINAPI_NOV2020_NDES!$A$7:$H$6703,MATCH($B41,SINAPI_NOV2020_NDES!$A$7:$A$6703,0),2),IF($A41="GOINFRA",INDEX(#REF!,MATCH($B41,#REF!,0),2),(INDEX(COMPOS!$A$4:$G$390,MATCH($B41,COMPOS!$A$4:A$390,0),2)))))</f>
        <v>ABRACADEIRA-GUIA REFORCADA 2" DUAS DESCIDAS</v>
      </c>
      <c r="D41" s="274" t="str">
        <f>(IF($A41="SINAPI",INDEX(SINAPI_NOV2020_NDES!$A$7:$H$6790,MATCH($B41,SINAPI_NOV2020_NDES!$A$7:$A$6790,0),3),(INDEX(COMPOS!$A$4:$G$5000,MATCH($B41,COMPOS!$A$4:$A$5000,0),3))))</f>
        <v>UN</v>
      </c>
      <c r="E41" s="276">
        <v>1</v>
      </c>
      <c r="F41" s="279">
        <f>(IF($A41="SINAPI",INDEX(SINAPI_NOV2020_NDES!$A$7:$H$6703,MATCH($B41,SINAPI_NOV2020_NDES!$A$7:$A$6703,0),5),(INDEX(COMPOS!$A$4:$G$801,MATCH($B41,COMPOS!$A$4:A$801,0),4))))</f>
        <v>12.222532000000001</v>
      </c>
      <c r="G41" s="280">
        <f>(IF($A41="SINAPI",INDEX(SINAPI_NOV2020_NDES!$A$7:$H$6703,MATCH($B41,SINAPI_NOV2020_NDES!$A$7:$A$6703,0),6),(INDEX(COMPOS!$A$4:$G$801,MATCH($B41,COMPOS!$A$4:A$801,0),5))))</f>
        <v>63.305</v>
      </c>
      <c r="H41" s="280">
        <f>(IF($A41="SINAPI",INDEX(SINAPI_NOV2020_NDES!$A$7:$H$6703,MATCH($B41,SINAPI_NOV2020_NDES!$A$7:$A$6703,0),7),(INDEX(COMPOS!$A$4:$G$801,MATCH($B41,COMPOS!$A$4:A$801,0),6))))</f>
        <v>0</v>
      </c>
      <c r="I41" s="279">
        <f t="shared" si="10"/>
        <v>75.527532000000008</v>
      </c>
      <c r="J41" s="276">
        <f t="shared" si="11"/>
        <v>75.527532000000008</v>
      </c>
      <c r="K41" s="255"/>
      <c r="L41" s="255"/>
      <c r="M41" s="255"/>
      <c r="N41" s="255"/>
      <c r="O41" s="257"/>
      <c r="P41" s="255"/>
    </row>
    <row r="42" spans="1:16">
      <c r="A42" s="251" t="s">
        <v>6307</v>
      </c>
      <c r="B42" s="283">
        <v>771</v>
      </c>
      <c r="C42" s="301" t="str">
        <f>(IF($A42="SINAPI",INDEX(SINAPI_NOV2020_NDES!$A$7:$H$6703,MATCH($B42,SINAPI_NOV2020_NDES!$A$7:$A$6703,0),2),IF($A42="GOINFRA",INDEX(#REF!,MATCH($B42,#REF!,0),2),(INDEX(COMPOS!$A$4:$G$390,MATCH($B42,COMPOS!$A$4:A$390,0),2)))))</f>
        <v>BASE METÁLICA PARA MASTRO 2"</v>
      </c>
      <c r="D42" s="274" t="str">
        <f>(IF($A42="SINAPI",INDEX(SINAPI_NOV2020_NDES!$A$7:$H$6790,MATCH($B42,SINAPI_NOV2020_NDES!$A$7:$A$6790,0),3),(INDEX(COMPOS!$A$4:$G$5000,MATCH($B42,COMPOS!$A$4:$A$5000,0),3))))</f>
        <v>UN</v>
      </c>
      <c r="E42" s="276">
        <v>1</v>
      </c>
      <c r="F42" s="279">
        <f>(IF($A42="SINAPI",INDEX(SINAPI_NOV2020_NDES!$A$7:$H$6703,MATCH($B42,SINAPI_NOV2020_NDES!$A$7:$A$6703,0),5),(INDEX(COMPOS!$A$4:$G$801,MATCH($B42,COMPOS!$A$4:A$801,0),4))))</f>
        <v>51.505378999999991</v>
      </c>
      <c r="G42" s="280">
        <f>(IF($A42="SINAPI",INDEX(SINAPI_NOV2020_NDES!$A$7:$H$6703,MATCH($B42,SINAPI_NOV2020_NDES!$A$7:$A$6703,0),6),(INDEX(COMPOS!$A$4:$G$801,MATCH($B42,COMPOS!$A$4:A$801,0),5))))</f>
        <v>65.47</v>
      </c>
      <c r="H42" s="280">
        <f>(IF($A42="SINAPI",INDEX(SINAPI_NOV2020_NDES!$A$7:$H$6703,MATCH($B42,SINAPI_NOV2020_NDES!$A$7:$A$6703,0),7),(INDEX(COMPOS!$A$4:$G$801,MATCH($B42,COMPOS!$A$4:A$801,0),6))))</f>
        <v>0</v>
      </c>
      <c r="I42" s="279">
        <f t="shared" si="10"/>
        <v>116.97537899999999</v>
      </c>
      <c r="J42" s="276">
        <f t="shared" si="11"/>
        <v>116.97537899999999</v>
      </c>
      <c r="K42" s="255"/>
      <c r="L42" s="255"/>
      <c r="M42" s="255"/>
      <c r="N42" s="255"/>
      <c r="O42" s="257"/>
      <c r="P42" s="255"/>
    </row>
    <row r="43" spans="1:16">
      <c r="A43" s="251" t="s">
        <v>6307</v>
      </c>
      <c r="B43" s="283">
        <v>640</v>
      </c>
      <c r="C43" s="301" t="str">
        <f>(IF($A43="SINAPI",INDEX(SINAPI_NOV2020_NDES!$A$7:$H$6703,MATCH($B43,SINAPI_NOV2020_NDES!$A$7:$A$6703,0),2),IF($A43="GOINFRA",INDEX(#REF!,MATCH($B43,#REF!,0),2),(INDEX(COMPOS!$A$4:$G$390,MATCH($B43,COMPOS!$A$4:A$390,0),2)))))</f>
        <v>CONJUNTO PARA ESTAIS RÍGIDO + ABRAÇADEIRA 2" 3M</v>
      </c>
      <c r="D43" s="274" t="str">
        <f>(IF($A43="SINAPI",INDEX(SINAPI_NOV2020_NDES!$A$7:$H$6790,MATCH($B43,SINAPI_NOV2020_NDES!$A$7:$A$6790,0),3),(INDEX(COMPOS!$A$4:$G$5000,MATCH($B43,COMPOS!$A$4:$A$5000,0),3))))</f>
        <v>UN</v>
      </c>
      <c r="E43" s="276">
        <v>4</v>
      </c>
      <c r="F43" s="279">
        <f>(IF($A43="SINAPI",INDEX(SINAPI_NOV2020_NDES!$A$7:$H$6703,MATCH($B43,SINAPI_NOV2020_NDES!$A$7:$A$6703,0),5),(INDEX(COMPOS!$A$4:$G$801,MATCH($B43,COMPOS!$A$4:A$801,0),4))))</f>
        <v>12.462038</v>
      </c>
      <c r="G43" s="280">
        <f>(IF($A43="SINAPI",INDEX(SINAPI_NOV2020_NDES!$A$7:$H$6703,MATCH($B43,SINAPI_NOV2020_NDES!$A$7:$A$6703,0),6),(INDEX(COMPOS!$A$4:$G$801,MATCH($B43,COMPOS!$A$4:A$801,0),5))))</f>
        <v>222.64000000000001</v>
      </c>
      <c r="H43" s="280">
        <f>(IF($A43="SINAPI",INDEX(SINAPI_NOV2020_NDES!$A$7:$H$6703,MATCH($B43,SINAPI_NOV2020_NDES!$A$7:$A$6703,0),7),(INDEX(COMPOS!$A$4:$G$801,MATCH($B43,COMPOS!$A$4:A$801,0),6))))</f>
        <v>0</v>
      </c>
      <c r="I43" s="279">
        <f t="shared" si="10"/>
        <v>235.10203800000002</v>
      </c>
      <c r="J43" s="276">
        <f t="shared" si="11"/>
        <v>940.40815200000009</v>
      </c>
      <c r="K43" s="255"/>
      <c r="L43" s="255"/>
      <c r="M43" s="255"/>
      <c r="N43" s="255"/>
      <c r="O43" s="257"/>
      <c r="P43" s="255"/>
    </row>
    <row r="44" spans="1:16" ht="24">
      <c r="A44" s="251" t="s">
        <v>7</v>
      </c>
      <c r="B44" s="283">
        <v>96985</v>
      </c>
      <c r="C44" s="301" t="str">
        <f>(IF($A44="SINAPI",INDEX(SINAPI_NOV2020_NDES!$A$7:$H$6703,MATCH($B44,SINAPI_NOV2020_NDES!$A$7:$A$6703,0),2),IF($A44="GOINFRA",INDEX(#REF!,MATCH($B44,#REF!,0),2),(INDEX(COMPOS!$A$4:$G$390,MATCH($B44,COMPOS!$A$4:A$390,0),2)))))</f>
        <v>HASTE DE ATERRAMENTO 5/8  PARA SPDA - FORNECIMENTO E INSTALAÇÃO. AF_12/2017</v>
      </c>
      <c r="D44" s="274" t="str">
        <f>(IF($A44="SINAPI",INDEX(SINAPI_NOV2020_NDES!$A$7:$H$6790,MATCH($B44,SINAPI_NOV2020_NDES!$A$7:$A$6790,0),3),(INDEX(COMPOS!$A$4:$G$5000,MATCH($B44,COMPOS!$A$4:$A$5000,0),3))))</f>
        <v>UN</v>
      </c>
      <c r="E44" s="276">
        <v>4</v>
      </c>
      <c r="F44" s="279">
        <f>(IF($A44="SINAPI",INDEX(SINAPI_NOV2020_NDES!$A$7:$H$6703,MATCH($B44,SINAPI_NOV2020_NDES!$A$7:$A$6703,0),5),(INDEX(COMPOS!$A$4:$G$801,MATCH($B44,COMPOS!$A$4:A$801,0),4))))</f>
        <v>7.44</v>
      </c>
      <c r="G44" s="280">
        <f>(IF($A44="SINAPI",INDEX(SINAPI_NOV2020_NDES!$A$7:$H$6703,MATCH($B44,SINAPI_NOV2020_NDES!$A$7:$A$6703,0),6),(INDEX(COMPOS!$A$4:$G$801,MATCH($B44,COMPOS!$A$4:A$801,0),5))))</f>
        <v>38.17</v>
      </c>
      <c r="H44" s="280">
        <f>(IF($A44="SINAPI",INDEX(SINAPI_NOV2020_NDES!$A$7:$H$6703,MATCH($B44,SINAPI_NOV2020_NDES!$A$7:$A$6703,0),7),(INDEX(COMPOS!$A$4:$G$801,MATCH($B44,COMPOS!$A$4:A$801,0),6))))</f>
        <v>0</v>
      </c>
      <c r="I44" s="279">
        <f t="shared" si="10"/>
        <v>45.61</v>
      </c>
      <c r="J44" s="276">
        <f t="shared" si="11"/>
        <v>182.44</v>
      </c>
      <c r="K44" s="255"/>
      <c r="L44" s="255"/>
      <c r="M44" s="255"/>
      <c r="N44" s="255"/>
      <c r="O44" s="257"/>
      <c r="P44" s="255"/>
    </row>
    <row r="45" spans="1:16">
      <c r="A45" s="251" t="s">
        <v>6307</v>
      </c>
      <c r="B45" s="283">
        <v>471</v>
      </c>
      <c r="C45" s="301" t="str">
        <f>(IF($A45="SINAPI",INDEX(SINAPI_NOV2020_NDES!$A$7:$H$6703,MATCH($B45,SINAPI_NOV2020_NDES!$A$7:$A$6703,0),2),IF($A45="GOINFRA",INDEX(#REF!,MATCH($B45,#REF!,0),2),(INDEX(COMPOS!$A$4:$G$390,MATCH($B45,COMPOS!$A$4:A$390,0),2)))))</f>
        <v>CAIXA DE PASSAGEM 20X20X25 FUNDO BRITA COM TAMPA</v>
      </c>
      <c r="D45" s="274" t="str">
        <f>(IF($A45="SINAPI",INDEX(SINAPI_NOV2020_NDES!$A$7:$H$6790,MATCH($B45,SINAPI_NOV2020_NDES!$A$7:$A$6790,0),3),(INDEX(COMPOS!$A$4:$G$5000,MATCH($B45,COMPOS!$A$4:$A$5000,0),3))))</f>
        <v>UN</v>
      </c>
      <c r="E45" s="276">
        <v>4</v>
      </c>
      <c r="F45" s="279">
        <f>(IF($A45="SINAPI",INDEX(SINAPI_NOV2020_NDES!$A$7:$H$6703,MATCH($B45,SINAPI_NOV2020_NDES!$A$7:$A$6703,0),5),(INDEX(COMPOS!$A$4:$G$801,MATCH($B45,COMPOS!$A$4:A$801,0),4))))</f>
        <v>39.464161000000004</v>
      </c>
      <c r="G45" s="280">
        <f>(IF($A45="SINAPI",INDEX(SINAPI_NOV2020_NDES!$A$7:$H$6703,MATCH($B45,SINAPI_NOV2020_NDES!$A$7:$A$6703,0),6),(INDEX(COMPOS!$A$4:$G$801,MATCH($B45,COMPOS!$A$4:A$801,0),5))))</f>
        <v>28.903701999999999</v>
      </c>
      <c r="H45" s="280">
        <f>(IF($A45="SINAPI",INDEX(SINAPI_NOV2020_NDES!$A$7:$H$6703,MATCH($B45,SINAPI_NOV2020_NDES!$A$7:$A$6703,0),7),(INDEX(COMPOS!$A$4:$G$801,MATCH($B45,COMPOS!$A$4:A$801,0),6))))</f>
        <v>0</v>
      </c>
      <c r="I45" s="279">
        <f t="shared" si="10"/>
        <v>68.367863</v>
      </c>
      <c r="J45" s="276">
        <f t="shared" si="11"/>
        <v>273.471452</v>
      </c>
      <c r="K45" s="255"/>
      <c r="L45" s="255"/>
      <c r="M45" s="255"/>
      <c r="N45" s="255"/>
      <c r="O45" s="257"/>
      <c r="P45" s="255"/>
    </row>
    <row r="46" spans="1:16" ht="24">
      <c r="A46" s="251" t="s">
        <v>7</v>
      </c>
      <c r="B46" s="283">
        <v>96989</v>
      </c>
      <c r="C46" s="301" t="str">
        <f>(IF($A46="SINAPI",INDEX(SINAPI_NOV2020_NDES!$A$7:$H$6703,MATCH($B46,SINAPI_NOV2020_NDES!$A$7:$A$6703,0),2),IF($A46="GOINFRA",INDEX(#REF!,MATCH($B46,#REF!,0),2),(INDEX(COMPOS!$A$4:$G$390,MATCH($B46,COMPOS!$A$4:A$390,0),2)))))</f>
        <v>CAPTOR TIPO FRANKLIN PARA SPDA - FORNECIMENTO E INSTALAÇÃO. AF_12/2017</v>
      </c>
      <c r="D46" s="274" t="str">
        <f>(IF($A46="SINAPI",INDEX(SINAPI_NOV2020_NDES!$A$7:$H$6790,MATCH($B46,SINAPI_NOV2020_NDES!$A$7:$A$6790,0),3),(INDEX(COMPOS!$A$4:$G$5000,MATCH($B46,COMPOS!$A$4:$A$5000,0),3))))</f>
        <v>UN</v>
      </c>
      <c r="E46" s="276">
        <v>1</v>
      </c>
      <c r="F46" s="279">
        <f>(IF($A46="SINAPI",INDEX(SINAPI_NOV2020_NDES!$A$7:$H$6703,MATCH($B46,SINAPI_NOV2020_NDES!$A$7:$A$6703,0),5),(INDEX(COMPOS!$A$4:$G$801,MATCH($B46,COMPOS!$A$4:A$801,0),4))))</f>
        <v>3.7</v>
      </c>
      <c r="G46" s="280">
        <f>(IF($A46="SINAPI",INDEX(SINAPI_NOV2020_NDES!$A$7:$H$6703,MATCH($B46,SINAPI_NOV2020_NDES!$A$7:$A$6703,0),6),(INDEX(COMPOS!$A$4:$G$801,MATCH($B46,COMPOS!$A$4:A$801,0),5))))</f>
        <v>89.17</v>
      </c>
      <c r="H46" s="280">
        <f>(IF($A46="SINAPI",INDEX(SINAPI_NOV2020_NDES!$A$7:$H$6703,MATCH($B46,SINAPI_NOV2020_NDES!$A$7:$A$6703,0),7),(INDEX(COMPOS!$A$4:$G$801,MATCH($B46,COMPOS!$A$4:A$801,0),6))))</f>
        <v>0</v>
      </c>
      <c r="I46" s="279">
        <f t="shared" si="10"/>
        <v>92.87</v>
      </c>
      <c r="J46" s="276">
        <f t="shared" si="11"/>
        <v>92.87</v>
      </c>
      <c r="K46" s="255"/>
      <c r="L46" s="255"/>
      <c r="M46" s="255"/>
      <c r="N46" s="255"/>
      <c r="O46" s="257"/>
      <c r="P46" s="255"/>
    </row>
    <row r="47" spans="1:16">
      <c r="A47" s="251" t="s">
        <v>6307</v>
      </c>
      <c r="B47" s="283">
        <v>536</v>
      </c>
      <c r="C47" s="301" t="str">
        <f>(IF($A47="SINAPI",INDEX(SINAPI_NOV2020_NDES!$A$7:$H$6703,MATCH($B47,SINAPI_NOV2020_NDES!$A$7:$A$6703,0),2),IF($A47="GOINFRA",INDEX(#REF!,MATCH($B47,#REF!,0),2),(INDEX(COMPOS!$A$4:$G$390,MATCH($B47,COMPOS!$A$4:A$390,0),2)))))</f>
        <v>PARAFUSO SEXTAVADO D=1/4" X 5/8" COM BUCHA S-11</v>
      </c>
      <c r="D47" s="274" t="str">
        <f>(IF($A47="SINAPI",INDEX(SINAPI_NOV2020_NDES!$A$7:$H$6790,MATCH($B47,SINAPI_NOV2020_NDES!$A$7:$A$6790,0),3),(INDEX(COMPOS!$A$4:$G$5000,MATCH($B47,COMPOS!$A$4:$A$5000,0),3))))</f>
        <v>UN</v>
      </c>
      <c r="E47" s="276">
        <v>24</v>
      </c>
      <c r="F47" s="279">
        <f>(IF($A47="SINAPI",INDEX(SINAPI_NOV2020_NDES!$A$7:$H$6703,MATCH($B47,SINAPI_NOV2020_NDES!$A$7:$A$6703,0),5),(INDEX(COMPOS!$A$4:$G$801,MATCH($B47,COMPOS!$A$4:A$801,0),4))))</f>
        <v>1.027558</v>
      </c>
      <c r="G47" s="280">
        <f>(IF($A47="SINAPI",INDEX(SINAPI_NOV2020_NDES!$A$7:$H$6703,MATCH($B47,SINAPI_NOV2020_NDES!$A$7:$A$6703,0),6),(INDEX(COMPOS!$A$4:$G$801,MATCH($B47,COMPOS!$A$4:A$801,0),5))))</f>
        <v>0.48</v>
      </c>
      <c r="H47" s="280">
        <f>(IF($A47="SINAPI",INDEX(SINAPI_NOV2020_NDES!$A$7:$H$6703,MATCH($B47,SINAPI_NOV2020_NDES!$A$7:$A$6703,0),7),(INDEX(COMPOS!$A$4:$G$801,MATCH($B47,COMPOS!$A$4:A$801,0),6))))</f>
        <v>0</v>
      </c>
      <c r="I47" s="279">
        <f t="shared" si="10"/>
        <v>1.507558</v>
      </c>
      <c r="J47" s="276">
        <f t="shared" si="11"/>
        <v>36.181392000000002</v>
      </c>
      <c r="K47" s="255"/>
      <c r="L47" s="255"/>
      <c r="M47" s="255"/>
      <c r="N47" s="255"/>
      <c r="O47" s="257"/>
      <c r="P47" s="255"/>
    </row>
    <row r="48" spans="1:16" ht="24">
      <c r="A48" s="251" t="s">
        <v>7</v>
      </c>
      <c r="B48" s="283">
        <v>95731</v>
      </c>
      <c r="C48" s="301" t="str">
        <f>(IF($A48="SINAPI",INDEX(SINAPI_NOV2020_NDES!$A$7:$H$6703,MATCH($B48,SINAPI_NOV2020_NDES!$A$7:$A$6703,0),2),IF($A48="GOINFRA",INDEX(#REF!,MATCH($B48,#REF!,0),2),(INDEX(COMPOS!$A$4:$G$390,MATCH($B48,COMPOS!$A$4:A$390,0),2)))))</f>
        <v>ELETRODUTO RÍGIDO SOLDÁVEL, PVC, DN 32 MM (1), APARENTE, INSTALADO EM PAREDE - FORNECIMENTO E INSTALAÇÃO. AF_11/2016_P</v>
      </c>
      <c r="D48" s="274" t="str">
        <f>(IF($A48="SINAPI",INDEX(SINAPI_NOV2020_NDES!$A$7:$H$6790,MATCH($B48,SINAPI_NOV2020_NDES!$A$7:$A$6790,0),3),(INDEX(COMPOS!$A$4:$G$5000,MATCH($B48,COMPOS!$A$4:$A$5000,0),3))))</f>
        <v>M</v>
      </c>
      <c r="E48" s="276">
        <v>1</v>
      </c>
      <c r="F48" s="279">
        <f>(IF($A48="SINAPI",INDEX(SINAPI_NOV2020_NDES!$A$7:$H$6703,MATCH($B48,SINAPI_NOV2020_NDES!$A$7:$A$6703,0),5),(INDEX(COMPOS!$A$4:$G$801,MATCH($B48,COMPOS!$A$4:A$801,0),4))))</f>
        <v>4.1100000000000003</v>
      </c>
      <c r="G48" s="280">
        <f>(IF($A48="SINAPI",INDEX(SINAPI_NOV2020_NDES!$A$7:$H$6703,MATCH($B48,SINAPI_NOV2020_NDES!$A$7:$A$6703,0),6),(INDEX(COMPOS!$A$4:$G$801,MATCH($B48,COMPOS!$A$4:A$801,0),5))))</f>
        <v>3.63</v>
      </c>
      <c r="H48" s="280">
        <f>(IF($A48="SINAPI",INDEX(SINAPI_NOV2020_NDES!$A$7:$H$6703,MATCH($B48,SINAPI_NOV2020_NDES!$A$7:$A$6703,0),7),(INDEX(COMPOS!$A$4:$G$801,MATCH($B48,COMPOS!$A$4:A$801,0),6))))</f>
        <v>0</v>
      </c>
      <c r="I48" s="279">
        <f t="shared" si="10"/>
        <v>7.74</v>
      </c>
      <c r="J48" s="276">
        <f t="shared" si="11"/>
        <v>7.74</v>
      </c>
      <c r="K48" s="255"/>
      <c r="L48" s="255"/>
      <c r="M48" s="255"/>
      <c r="N48" s="255"/>
      <c r="O48" s="257"/>
      <c r="P48" s="255"/>
    </row>
    <row r="49" spans="1:16">
      <c r="A49" s="251" t="s">
        <v>6307</v>
      </c>
      <c r="B49" s="283">
        <v>776</v>
      </c>
      <c r="C49" s="301" t="str">
        <f>(IF($A49="SINAPI",INDEX(SINAPI_NOV2020_NDES!$A$7:$H$6703,MATCH($B49,SINAPI_NOV2020_NDES!$A$7:$A$6703,0),2),IF($A49="GOINFRA",INDEX(#REF!,MATCH($B49,#REF!,0),2),(INDEX(COMPOS!$A$4:$G$390,MATCH($B49,COMPOS!$A$4:A$390,0),2)))))</f>
        <v>SUPORTE ISOLADOR SIMPLES</v>
      </c>
      <c r="D49" s="274" t="str">
        <f>(IF($A49="SINAPI",INDEX(SINAPI_NOV2020_NDES!$A$7:$H$6790,MATCH($B49,SINAPI_NOV2020_NDES!$A$7:$A$6790,0),3),(INDEX(COMPOS!$A$4:$G$5000,MATCH($B49,COMPOS!$A$4:$A$5000,0),3))))</f>
        <v>UN</v>
      </c>
      <c r="E49" s="276">
        <v>10</v>
      </c>
      <c r="F49" s="279">
        <f>(IF($A49="SINAPI",INDEX(SINAPI_NOV2020_NDES!$A$7:$H$6703,MATCH($B49,SINAPI_NOV2020_NDES!$A$7:$A$6703,0),5),(INDEX(COMPOS!$A$4:$G$801,MATCH($B49,COMPOS!$A$4:A$801,0),4))))</f>
        <v>13.520499999999998</v>
      </c>
      <c r="G49" s="280">
        <f>(IF($A49="SINAPI",INDEX(SINAPI_NOV2020_NDES!$A$7:$H$6703,MATCH($B49,SINAPI_NOV2020_NDES!$A$7:$A$6703,0),6),(INDEX(COMPOS!$A$4:$G$801,MATCH($B49,COMPOS!$A$4:A$801,0),5))))</f>
        <v>5.38</v>
      </c>
      <c r="H49" s="280">
        <f>(IF($A49="SINAPI",INDEX(SINAPI_NOV2020_NDES!$A$7:$H$6703,MATCH($B49,SINAPI_NOV2020_NDES!$A$7:$A$6703,0),7),(INDEX(COMPOS!$A$4:$G$801,MATCH($B49,COMPOS!$A$4:A$801,0),6))))</f>
        <v>0</v>
      </c>
      <c r="I49" s="279">
        <f t="shared" si="10"/>
        <v>18.900499999999997</v>
      </c>
      <c r="J49" s="276">
        <f t="shared" si="11"/>
        <v>189.00499999999997</v>
      </c>
      <c r="K49" s="255"/>
      <c r="L49" s="255"/>
      <c r="M49" s="255"/>
      <c r="N49" s="255"/>
      <c r="O49" s="257"/>
      <c r="P49" s="255"/>
    </row>
    <row r="50" spans="1:16">
      <c r="A50" s="251" t="s">
        <v>6307</v>
      </c>
      <c r="B50" s="283">
        <v>542</v>
      </c>
      <c r="C50" s="301" t="str">
        <f>(IF($A50="SINAPI",INDEX(SINAPI_NOV2020_NDES!$A$7:$H$6703,MATCH($B50,SINAPI_NOV2020_NDES!$A$7:$A$6703,0),2),IF($A50="GOINFRA",INDEX(#REF!,MATCH($B50,#REF!,0),2),(INDEX(COMPOS!$A$4:$G$390,MATCH($B50,COMPOS!$A$4:A$390,0),2)))))</f>
        <v>SUPORTE ISOLADOR SIMPLES PARA BEIRAL</v>
      </c>
      <c r="D50" s="274" t="str">
        <f>(IF($A50="SINAPI",INDEX(SINAPI_NOV2020_NDES!$A$7:$H$6790,MATCH($B50,SINAPI_NOV2020_NDES!$A$7:$A$6790,0),3),(INDEX(COMPOS!$A$4:$G$5000,MATCH($B50,COMPOS!$A$4:$A$5000,0),3))))</f>
        <v>UN</v>
      </c>
      <c r="E50" s="276">
        <v>2</v>
      </c>
      <c r="F50" s="279">
        <f>(IF($A50="SINAPI",INDEX(SINAPI_NOV2020_NDES!$A$7:$H$6703,MATCH($B50,SINAPI_NOV2020_NDES!$A$7:$A$6703,0),5),(INDEX(COMPOS!$A$4:$G$801,MATCH($B50,COMPOS!$A$4:A$801,0),4))))</f>
        <v>13.520499999999998</v>
      </c>
      <c r="G50" s="280">
        <f>(IF($A50="SINAPI",INDEX(SINAPI_NOV2020_NDES!$A$7:$H$6703,MATCH($B50,SINAPI_NOV2020_NDES!$A$7:$A$6703,0),6),(INDEX(COMPOS!$A$4:$G$801,MATCH($B50,COMPOS!$A$4:A$801,0),5))))</f>
        <v>52.99</v>
      </c>
      <c r="H50" s="280">
        <f>(IF($A50="SINAPI",INDEX(SINAPI_NOV2020_NDES!$A$7:$H$6703,MATCH($B50,SINAPI_NOV2020_NDES!$A$7:$A$6703,0),7),(INDEX(COMPOS!$A$4:$G$801,MATCH($B50,COMPOS!$A$4:A$801,0),6))))</f>
        <v>0</v>
      </c>
      <c r="I50" s="279">
        <f t="shared" si="10"/>
        <v>66.510500000000008</v>
      </c>
      <c r="J50" s="276">
        <f t="shared" si="11"/>
        <v>133.02100000000002</v>
      </c>
      <c r="K50" s="255"/>
      <c r="L50" s="255"/>
      <c r="M50" s="255"/>
      <c r="N50" s="255"/>
      <c r="O50" s="257"/>
      <c r="P50" s="255"/>
    </row>
    <row r="51" spans="1:16">
      <c r="A51" s="251" t="s">
        <v>6307</v>
      </c>
      <c r="B51" s="283">
        <v>544</v>
      </c>
      <c r="C51" s="301" t="str">
        <f>(IF($A51="SINAPI",INDEX(SINAPI_NOV2020_NDES!$A$7:$H$6703,MATCH($B51,SINAPI_NOV2020_NDES!$A$7:$A$6703,0),2),IF($A51="GOINFRA",INDEX(#REF!,MATCH($B51,#REF!,0),2),(INDEX(COMPOS!$A$4:$G$390,MATCH($B51,COMPOS!$A$4:A$390,0),2)))))</f>
        <v>MASTRO TELESCÓPICO 5M (4M X ∅ 2" + 1M X ∅ 1.1/2")</v>
      </c>
      <c r="D51" s="274" t="str">
        <f>(IF($A51="SINAPI",INDEX(SINAPI_NOV2020_NDES!$A$7:$H$6790,MATCH($B51,SINAPI_NOV2020_NDES!$A$7:$A$6790,0),3),(INDEX(COMPOS!$A$4:$G$5000,MATCH($B51,COMPOS!$A$4:$A$5000,0),3))))</f>
        <v>UN</v>
      </c>
      <c r="E51" s="276">
        <v>1</v>
      </c>
      <c r="F51" s="279">
        <f>(IF($A51="SINAPI",INDEX(SINAPI_NOV2020_NDES!$A$7:$H$6703,MATCH($B51,SINAPI_NOV2020_NDES!$A$7:$A$6703,0),5),(INDEX(COMPOS!$A$4:$G$801,MATCH($B51,COMPOS!$A$4:A$801,0),4))))</f>
        <v>21.645972999999998</v>
      </c>
      <c r="G51" s="280">
        <f>(IF($A51="SINAPI",INDEX(SINAPI_NOV2020_NDES!$A$7:$H$6703,MATCH($B51,SINAPI_NOV2020_NDES!$A$7:$A$6703,0),6),(INDEX(COMPOS!$A$4:$G$801,MATCH($B51,COMPOS!$A$4:A$801,0),5))))</f>
        <v>399.61157259999999</v>
      </c>
      <c r="H51" s="280">
        <f>(IF($A51="SINAPI",INDEX(SINAPI_NOV2020_NDES!$A$7:$H$6703,MATCH($B51,SINAPI_NOV2020_NDES!$A$7:$A$6703,0),7),(INDEX(COMPOS!$A$4:$G$801,MATCH($B51,COMPOS!$A$4:A$801,0),6))))</f>
        <v>0</v>
      </c>
      <c r="I51" s="279">
        <f t="shared" si="10"/>
        <v>421.25754559999996</v>
      </c>
      <c r="J51" s="276">
        <f t="shared" si="11"/>
        <v>421.25754559999996</v>
      </c>
      <c r="K51" s="255"/>
      <c r="L51" s="255"/>
      <c r="M51" s="255"/>
      <c r="N51" s="255"/>
      <c r="O51" s="257"/>
      <c r="P51" s="255"/>
    </row>
    <row r="52" spans="1:16" s="88" customFormat="1" ht="24" customHeight="1">
      <c r="A52" s="680" t="s">
        <v>6927</v>
      </c>
      <c r="B52" s="680"/>
      <c r="C52" s="680"/>
      <c r="D52" s="680"/>
      <c r="E52" s="680"/>
      <c r="F52" s="680"/>
      <c r="G52" s="680"/>
      <c r="H52" s="680"/>
      <c r="I52" s="680"/>
      <c r="J52" s="281">
        <f>SUM(J21:J51)</f>
        <v>9359.6666846000007</v>
      </c>
      <c r="K52" s="255"/>
      <c r="L52" s="255"/>
      <c r="M52" s="255"/>
      <c r="N52" s="255"/>
      <c r="O52" s="255"/>
      <c r="P52" s="255"/>
    </row>
    <row r="53" spans="1:16">
      <c r="A53" s="251"/>
      <c r="B53" s="299">
        <v>170</v>
      </c>
      <c r="C53" s="331" t="s">
        <v>604</v>
      </c>
      <c r="D53" s="274"/>
      <c r="E53" s="276"/>
      <c r="F53" s="276"/>
      <c r="G53" s="276"/>
      <c r="H53" s="276"/>
      <c r="I53" s="276"/>
      <c r="J53" s="276"/>
      <c r="K53" s="255"/>
      <c r="L53" s="255"/>
      <c r="M53" s="255"/>
      <c r="N53" s="255"/>
      <c r="O53" s="255"/>
      <c r="P53" s="255"/>
    </row>
    <row r="54" spans="1:16" ht="24">
      <c r="A54" s="251" t="s">
        <v>7</v>
      </c>
      <c r="B54" s="290">
        <v>89710</v>
      </c>
      <c r="C54" s="301" t="str">
        <f>(IF($A54="SINAPI",INDEX(SINAPI_NOV2020_NDES!$A$7:$H$6703,MATCH($B54,SINAPI_NOV2020_NDES!$A$7:$A$6703,0),2),IF($A54="GOINFRA",INDEX(#REF!,MATCH($B54,#REF!,0),2),(INDEX(COMPOS!$A$4:$G$390,MATCH($B54,COMPOS!$A$4:A$390,0),2)))))</f>
        <v>RALO SECO, PVC, DN 100 X 40 MM, JUNTA SOLDÁVEL, FORNECIDO E INSTALADO EM RAMAL DE DESCARGA OU EM RAMAL DE ESGOTO SANITÁRIO. AF_12/2014</v>
      </c>
      <c r="D54" s="274" t="str">
        <f>(IF($A54="SINAPI",INDEX(SINAPI_NOV2020_NDES!$A$7:$H$6790,MATCH($B54,SINAPI_NOV2020_NDES!$A$7:$A$6790,0),3),(INDEX(COMPOS!$A$4:$G$5000,MATCH($B54,COMPOS!$A$4:$A$5000,0),3))))</f>
        <v>UN</v>
      </c>
      <c r="E54" s="276">
        <v>2</v>
      </c>
      <c r="F54" s="279">
        <f>(IF($A54="SINAPI",INDEX(SINAPI_NOV2020_NDES!$A$7:$H$6703,MATCH($B54,SINAPI_NOV2020_NDES!$A$7:$A$6703,0),5),(INDEX(COMPOS!$A$4:$G$801,MATCH($B54,COMPOS!$A$4:A$801,0),4))))</f>
        <v>2.04</v>
      </c>
      <c r="G54" s="280">
        <f>(IF($A54="SINAPI",INDEX(SINAPI_NOV2020_NDES!$A$7:$H$6703,MATCH($B54,SINAPI_NOV2020_NDES!$A$7:$A$6703,0),6),(INDEX(COMPOS!$A$4:$G$801,MATCH($B54,COMPOS!$A$4:A$801,0),5))))</f>
        <v>6.63</v>
      </c>
      <c r="H54" s="280">
        <f>(IF($A54="SINAPI",INDEX(SINAPI_NOV2020_NDES!$A$7:$H$6703,MATCH($B54,SINAPI_NOV2020_NDES!$A$7:$A$6703,0),7),(INDEX(COMPOS!$A$4:$G$801,MATCH($B54,COMPOS!$A$4:A$801,0),6))))</f>
        <v>0</v>
      </c>
      <c r="I54" s="279">
        <f t="shared" ref="I54" si="12">SUM(F54:H54)</f>
        <v>8.67</v>
      </c>
      <c r="J54" s="276">
        <f t="shared" ref="J54" si="13">+I54*E54</f>
        <v>17.34</v>
      </c>
      <c r="K54" s="255"/>
      <c r="L54" s="255"/>
      <c r="M54" s="255"/>
      <c r="N54" s="255"/>
      <c r="O54" s="257"/>
      <c r="P54" s="255"/>
    </row>
    <row r="55" spans="1:16">
      <c r="A55" s="251" t="s">
        <v>6307</v>
      </c>
      <c r="B55" s="290">
        <v>404</v>
      </c>
      <c r="C55" s="301" t="str">
        <f>(IF($A55="SINAPI",INDEX(SINAPI_NOV2020_NDES!$A$7:$H$6703,MATCH($B55,SINAPI_NOV2020_NDES!$A$7:$A$6703,0),2),IF($A55="GOINFRA",INDEX(#REF!,MATCH($B55,#REF!,0),2),(INDEX(COMPOS!$A$4:$G$390,MATCH($B55,COMPOS!$A$4:A$390,0),2)))))</f>
        <v>GRELHA REDONDA CROMADA DIAM. 100MM</v>
      </c>
      <c r="D55" s="274" t="str">
        <f>(IF($A55="SINAPI",INDEX(SINAPI_NOV2020_NDES!$A$7:$H$6790,MATCH($B55,SINAPI_NOV2020_NDES!$A$7:$A$6790,0),3),(INDEX(COMPOS!$A$4:$G$5000,MATCH($B55,COMPOS!$A$4:$A$5000,0),3))))</f>
        <v>UN</v>
      </c>
      <c r="E55" s="276">
        <v>2</v>
      </c>
      <c r="F55" s="279">
        <f>(IF($A55="SINAPI",INDEX(SINAPI_NOV2020_NDES!$A$7:$H$6703,MATCH($B55,SINAPI_NOV2020_NDES!$A$7:$A$6703,0),5),(INDEX(COMPOS!$A$4:$G$801,MATCH($B55,COMPOS!$A$4:A$801,0),4))))</f>
        <v>2.9952000000000001</v>
      </c>
      <c r="G55" s="280">
        <f>(IF($A55="SINAPI",INDEX(SINAPI_NOV2020_NDES!$A$7:$H$6703,MATCH($B55,SINAPI_NOV2020_NDES!$A$7:$A$6703,0),6),(INDEX(COMPOS!$A$4:$G$801,MATCH($B55,COMPOS!$A$4:A$801,0),5))))</f>
        <v>11.88</v>
      </c>
      <c r="H55" s="280">
        <f>(IF($A55="SINAPI",INDEX(SINAPI_NOV2020_NDES!$A$7:$H$6703,MATCH($B55,SINAPI_NOV2020_NDES!$A$7:$A$6703,0),7),(INDEX(COMPOS!$A$4:$G$801,MATCH($B55,COMPOS!$A$4:A$801,0),6))))</f>
        <v>0</v>
      </c>
      <c r="I55" s="279">
        <f t="shared" ref="I55:I57" si="14">SUM(F55:H55)</f>
        <v>14.875200000000001</v>
      </c>
      <c r="J55" s="276">
        <f t="shared" ref="J55:J57" si="15">+I55*E55</f>
        <v>29.750400000000003</v>
      </c>
      <c r="K55" s="255"/>
      <c r="L55" s="255"/>
      <c r="M55" s="255"/>
      <c r="N55" s="255"/>
      <c r="O55" s="257"/>
      <c r="P55" s="255"/>
    </row>
    <row r="56" spans="1:16">
      <c r="A56" s="251" t="s">
        <v>6307</v>
      </c>
      <c r="B56" s="290">
        <v>405</v>
      </c>
      <c r="C56" s="301" t="str">
        <f>(IF($A56="SINAPI",INDEX(SINAPI_NOV2020_NDES!$A$7:$H$6703,MATCH($B56,SINAPI_NOV2020_NDES!$A$7:$A$6703,0),2),IF($A56="GOINFRA",INDEX(#REF!,MATCH($B56,#REF!,0),2),(INDEX(COMPOS!$A$4:$G$390,MATCH($B56,COMPOS!$A$4:A$390,0),2)))))</f>
        <v>PORTA GRELHA QUADRADO PARA GRELHA QUADRADA DIAM. 100MM</v>
      </c>
      <c r="D56" s="274" t="str">
        <f>(IF($A56="SINAPI",INDEX(SINAPI_NOV2020_NDES!$A$7:$H$6790,MATCH($B56,SINAPI_NOV2020_NDES!$A$7:$A$6790,0),3),(INDEX(COMPOS!$A$4:$G$5000,MATCH($B56,COMPOS!$A$4:$A$5000,0),3))))</f>
        <v>UN</v>
      </c>
      <c r="E56" s="276">
        <v>2</v>
      </c>
      <c r="F56" s="279">
        <f>(IF($A56="SINAPI",INDEX(SINAPI_NOV2020_NDES!$A$7:$H$6703,MATCH($B56,SINAPI_NOV2020_NDES!$A$7:$A$6703,0),5),(INDEX(COMPOS!$A$4:$G$801,MATCH($B56,COMPOS!$A$4:A$801,0),4))))</f>
        <v>3.7440000000000002</v>
      </c>
      <c r="G56" s="280">
        <f>(IF($A56="SINAPI",INDEX(SINAPI_NOV2020_NDES!$A$7:$H$6703,MATCH($B56,SINAPI_NOV2020_NDES!$A$7:$A$6703,0),6),(INDEX(COMPOS!$A$4:$G$801,MATCH($B56,COMPOS!$A$4:A$801,0),5))))</f>
        <v>6.68</v>
      </c>
      <c r="H56" s="280">
        <f>(IF($A56="SINAPI",INDEX(SINAPI_NOV2020_NDES!$A$7:$H$6703,MATCH($B56,SINAPI_NOV2020_NDES!$A$7:$A$6703,0),7),(INDEX(COMPOS!$A$4:$G$801,MATCH($B56,COMPOS!$A$4:A$801,0),6))))</f>
        <v>0</v>
      </c>
      <c r="I56" s="279">
        <f t="shared" si="14"/>
        <v>10.423999999999999</v>
      </c>
      <c r="J56" s="276">
        <f t="shared" si="15"/>
        <v>20.847999999999999</v>
      </c>
      <c r="K56" s="255"/>
      <c r="L56" s="255"/>
      <c r="M56" s="255"/>
      <c r="N56" s="255"/>
      <c r="O56" s="257"/>
      <c r="P56" s="255"/>
    </row>
    <row r="57" spans="1:16" ht="36">
      <c r="A57" s="251" t="s">
        <v>7</v>
      </c>
      <c r="B57" s="290">
        <v>89711</v>
      </c>
      <c r="C57" s="301" t="str">
        <f>(IF($A57="SINAPI",INDEX(SINAPI_NOV2020_NDES!$A$7:$H$6703,MATCH($B57,SINAPI_NOV2020_NDES!$A$7:$A$6703,0),2),IF($A57="GOINFRA",INDEX(#REF!,MATCH($B57,#REF!,0),2),(INDEX(COMPOS!$A$4:$G$390,MATCH($B57,COMPOS!$A$4:A$390,0),2)))))</f>
        <v>TUBO PVC, SERIE NORMAL, ESGOTO PREDIAL, DN 40 MM, FORNECIDO E INSTALADO EM RAMAL DE DESCARGA OU RAMAL DE ESGOTO SANITÁRIO. AF_12/2014</v>
      </c>
      <c r="D57" s="274" t="str">
        <f>(IF($A57="SINAPI",INDEX(SINAPI_NOV2020_NDES!$A$7:$H$6790,MATCH($B57,SINAPI_NOV2020_NDES!$A$7:$A$6790,0),3),(INDEX(COMPOS!$A$4:$G$5000,MATCH($B57,COMPOS!$A$4:$A$5000,0),3))))</f>
        <v>M</v>
      </c>
      <c r="E57" s="276">
        <v>0.6</v>
      </c>
      <c r="F57" s="279">
        <f>(IF($A57="SINAPI",INDEX(SINAPI_NOV2020_NDES!$A$7:$H$6703,MATCH($B57,SINAPI_NOV2020_NDES!$A$7:$A$6703,0),5),(INDEX(COMPOS!$A$4:$G$801,MATCH($B57,COMPOS!$A$4:A$801,0),4))))</f>
        <v>8.7799999999999994</v>
      </c>
      <c r="G57" s="280">
        <f>(IF($A57="SINAPI",INDEX(SINAPI_NOV2020_NDES!$A$7:$H$6703,MATCH($B57,SINAPI_NOV2020_NDES!$A$7:$A$6703,0),6),(INDEX(COMPOS!$A$4:$G$801,MATCH($B57,COMPOS!$A$4:A$801,0),5))))</f>
        <v>6.34</v>
      </c>
      <c r="H57" s="280">
        <f>(IF($A57="SINAPI",INDEX(SINAPI_NOV2020_NDES!$A$7:$H$6703,MATCH($B57,SINAPI_NOV2020_NDES!$A$7:$A$6703,0),7),(INDEX(COMPOS!$A$4:$G$801,MATCH($B57,COMPOS!$A$4:A$801,0),6))))</f>
        <v>0</v>
      </c>
      <c r="I57" s="279">
        <f t="shared" si="14"/>
        <v>15.12</v>
      </c>
      <c r="J57" s="276">
        <f t="shared" si="15"/>
        <v>9.0719999999999992</v>
      </c>
      <c r="K57" s="255"/>
      <c r="L57" s="255"/>
      <c r="M57" s="255"/>
      <c r="N57" s="255"/>
      <c r="O57" s="257"/>
      <c r="P57" s="255"/>
    </row>
    <row r="58" spans="1:16" s="88" customFormat="1" ht="24" customHeight="1">
      <c r="A58" s="680" t="s">
        <v>6927</v>
      </c>
      <c r="B58" s="680"/>
      <c r="C58" s="680"/>
      <c r="D58" s="680"/>
      <c r="E58" s="680"/>
      <c r="F58" s="680"/>
      <c r="G58" s="680"/>
      <c r="H58" s="680"/>
      <c r="I58" s="680"/>
      <c r="J58" s="281">
        <f>SUM(J54:J57)</f>
        <v>77.010400000000004</v>
      </c>
      <c r="K58" s="255"/>
      <c r="L58" s="255"/>
      <c r="M58" s="255"/>
      <c r="N58" s="255"/>
      <c r="O58" s="255"/>
      <c r="P58" s="255"/>
    </row>
    <row r="59" spans="1:16">
      <c r="A59" s="251"/>
      <c r="B59" s="299">
        <v>174</v>
      </c>
      <c r="C59" s="331" t="s">
        <v>601</v>
      </c>
      <c r="D59" s="274"/>
      <c r="E59" s="276"/>
      <c r="F59" s="276"/>
      <c r="G59" s="276"/>
      <c r="H59" s="276"/>
      <c r="I59" s="276"/>
      <c r="J59" s="276"/>
      <c r="K59" s="255"/>
      <c r="L59" s="255"/>
      <c r="M59" s="255"/>
      <c r="N59" s="255"/>
      <c r="O59" s="255"/>
      <c r="P59" s="255"/>
    </row>
    <row r="60" spans="1:16">
      <c r="A60" s="251" t="s">
        <v>6307</v>
      </c>
      <c r="B60" s="290">
        <v>338</v>
      </c>
      <c r="C60" s="301" t="str">
        <f>(IF($A60="SINAPI",INDEX(SINAPI_NOV2020_NDES!$A$7:$H$6703,MATCH($B60,SINAPI_NOV2020_NDES!$A$7:$A$6703,0),2),IF($A60="GOINFRA",INDEX(#REF!,MATCH($B60,#REF!,0),2),(INDEX(COMPOS!$A$4:$G$390,MATCH($B60,COMPOS!$A$4:A$390,0),2)))))</f>
        <v>REGULARIZAÇÃO (1:3), ESP. 2CM</v>
      </c>
      <c r="D60" s="274" t="str">
        <f>(IF($A60="SINAPI",INDEX(SINAPI_NOV2020_NDES!$A$7:$H$6790,MATCH($B60,SINAPI_NOV2020_NDES!$A$7:$A$6790,0),3),(INDEX(COMPOS!$A$4:$G$5000,MATCH($B60,COMPOS!$A$4:$A$5000,0),3))))</f>
        <v>M2</v>
      </c>
      <c r="E60" s="276">
        <f>5.97+9.54*0.2</f>
        <v>7.8780000000000001</v>
      </c>
      <c r="F60" s="279">
        <f>(IF($A60="SINAPI",INDEX(SINAPI_NOV2020_NDES!$A$7:$H$6703,MATCH($B60,SINAPI_NOV2020_NDES!$A$7:$A$6703,0),5),(INDEX(COMPOS!$A$4:$G$801,MATCH($B60,COMPOS!$A$4:A$801,0),4))))</f>
        <v>11.511982</v>
      </c>
      <c r="G60" s="280">
        <f>(IF($A60="SINAPI",INDEX(SINAPI_NOV2020_NDES!$A$7:$H$6703,MATCH($B60,SINAPI_NOV2020_NDES!$A$7:$A$6703,0),6),(INDEX(COMPOS!$A$4:$G$801,MATCH($B60,COMPOS!$A$4:A$801,0),5))))</f>
        <v>8.7818570000000005</v>
      </c>
      <c r="H60" s="280">
        <f>(IF($A60="SINAPI",INDEX(SINAPI_NOV2020_NDES!$A$7:$H$6703,MATCH($B60,SINAPI_NOV2020_NDES!$A$7:$A$6703,0),7),(INDEX(COMPOS!$A$4:$G$801,MATCH($B60,COMPOS!$A$4:A$801,0),6))))</f>
        <v>0</v>
      </c>
      <c r="I60" s="279">
        <f t="shared" ref="I60" si="16">SUM(F60:H60)</f>
        <v>20.293838999999998</v>
      </c>
      <c r="J60" s="276">
        <f t="shared" ref="J60" si="17">+I60*E60</f>
        <v>159.87486364199998</v>
      </c>
      <c r="K60" s="255"/>
      <c r="L60" s="255"/>
      <c r="M60" s="255"/>
      <c r="N60" s="255"/>
      <c r="O60" s="257"/>
      <c r="P60" s="255"/>
    </row>
    <row r="61" spans="1:16">
      <c r="A61" s="251" t="s">
        <v>6307</v>
      </c>
      <c r="B61" s="290">
        <v>339</v>
      </c>
      <c r="C61" s="301" t="str">
        <f>(IF($A61="SINAPI",INDEX(SINAPI_NOV2020_NDES!$A$7:$H$6703,MATCH($B61,SINAPI_NOV2020_NDES!$A$7:$A$6703,0),2),IF($A61="GOINFRA",INDEX(#REF!,MATCH($B61,#REF!,0),2),(INDEX(COMPOS!$A$4:$G$390,MATCH($B61,COMPOS!$A$4:A$390,0),2)))))</f>
        <v>MANTA AUTO-PROTEGIDA ALUMÍNIO TIPO III-B</v>
      </c>
      <c r="D61" s="274" t="str">
        <f>(IF($A61="SINAPI",INDEX(SINAPI_NOV2020_NDES!$A$7:$H$6790,MATCH($B61,SINAPI_NOV2020_NDES!$A$7:$A$6790,0),3),(INDEX(COMPOS!$A$4:$G$5000,MATCH($B61,COMPOS!$A$4:$A$5000,0),3))))</f>
        <v>M2</v>
      </c>
      <c r="E61" s="276">
        <f>5.97+9.54*0.2</f>
        <v>7.8780000000000001</v>
      </c>
      <c r="F61" s="279">
        <f>(IF($A61="SINAPI",INDEX(SINAPI_NOV2020_NDES!$A$7:$H$6703,MATCH($B61,SINAPI_NOV2020_NDES!$A$7:$A$6703,0),5),(INDEX(COMPOS!$A$4:$G$801,MATCH($B61,COMPOS!$A$4:A$801,0),4))))</f>
        <v>24.752519999999997</v>
      </c>
      <c r="G61" s="280">
        <f>(IF($A61="SINAPI",INDEX(SINAPI_NOV2020_NDES!$A$7:$H$6703,MATCH($B61,SINAPI_NOV2020_NDES!$A$7:$A$6703,0),6),(INDEX(COMPOS!$A$4:$G$801,MATCH($B61,COMPOS!$A$4:A$801,0),5))))</f>
        <v>47.200200000000002</v>
      </c>
      <c r="H61" s="280">
        <f>(IF($A61="SINAPI",INDEX(SINAPI_NOV2020_NDES!$A$7:$H$6703,MATCH($B61,SINAPI_NOV2020_NDES!$A$7:$A$6703,0),7),(INDEX(COMPOS!$A$4:$G$801,MATCH($B61,COMPOS!$A$4:A$801,0),6))))</f>
        <v>0</v>
      </c>
      <c r="I61" s="279">
        <f t="shared" ref="I61" si="18">SUM(F61:H61)</f>
        <v>71.952719999999999</v>
      </c>
      <c r="J61" s="276">
        <f t="shared" ref="J61" si="19">+I61*E61</f>
        <v>566.84352816000001</v>
      </c>
      <c r="K61" s="255"/>
      <c r="L61" s="255"/>
      <c r="M61" s="255"/>
      <c r="N61" s="255"/>
      <c r="O61" s="257"/>
      <c r="P61" s="255"/>
    </row>
    <row r="62" spans="1:16" s="88" customFormat="1" ht="24" customHeight="1">
      <c r="A62" s="680" t="s">
        <v>6927</v>
      </c>
      <c r="B62" s="680"/>
      <c r="C62" s="680"/>
      <c r="D62" s="680"/>
      <c r="E62" s="680"/>
      <c r="F62" s="680"/>
      <c r="G62" s="680"/>
      <c r="H62" s="680"/>
      <c r="I62" s="680"/>
      <c r="J62" s="281">
        <f>SUM(J60:J61)</f>
        <v>726.71839180200004</v>
      </c>
      <c r="K62" s="255"/>
      <c r="L62" s="255"/>
      <c r="M62" s="255"/>
      <c r="N62" s="255"/>
      <c r="O62" s="255"/>
      <c r="P62" s="255"/>
    </row>
    <row r="63" spans="1:16">
      <c r="A63" s="251"/>
      <c r="B63" s="299">
        <v>180</v>
      </c>
      <c r="C63" s="331" t="s">
        <v>595</v>
      </c>
      <c r="D63" s="274"/>
      <c r="E63" s="276"/>
      <c r="F63" s="276"/>
      <c r="G63" s="276"/>
      <c r="H63" s="276"/>
      <c r="I63" s="276"/>
      <c r="J63" s="276"/>
      <c r="K63" s="255"/>
      <c r="L63" s="255"/>
      <c r="M63" s="255"/>
      <c r="N63" s="255"/>
      <c r="O63" s="255"/>
      <c r="P63" s="255"/>
    </row>
    <row r="64" spans="1:16">
      <c r="A64" s="251" t="s">
        <v>6307</v>
      </c>
      <c r="B64" s="290">
        <v>2</v>
      </c>
      <c r="C64" s="301" t="str">
        <f>(IF($A64="SINAPI",INDEX(SINAPI_NOV2020_NDES!$A$7:$H$6703,MATCH($B64,SINAPI_NOV2020_NDES!$A$7:$A$6703,0),2),IF($A64="GOINFRA",INDEX(#REF!,MATCH($B64,#REF!,0),2),(INDEX(COMPOS!$A$4:$G$390,MATCH($B64,COMPOS!$A$4:A$390,0),2)))))</f>
        <v>JANELA METÁLICA CASE – J14/J15 – BASCULANTE – “100X40” CM</v>
      </c>
      <c r="D64" s="274" t="str">
        <f>(IF($A64="SINAPI",INDEX(SINAPI_NOV2020_NDES!$A$7:$H$6790,MATCH($B64,SINAPI_NOV2020_NDES!$A$7:$A$6790,0),3),(INDEX(COMPOS!$A$4:$G$5000,MATCH($B64,COMPOS!$A$4:$A$5000,0),3))))</f>
        <v>M2</v>
      </c>
      <c r="E64" s="276">
        <v>0.4</v>
      </c>
      <c r="F64" s="279">
        <f>(IF($A64="SINAPI",INDEX(SINAPI_NOV2020_NDES!$A$7:$H$6703,MATCH($B64,SINAPI_NOV2020_NDES!$A$7:$A$6703,0),5),(INDEX(COMPOS!$A$4:$G$801,MATCH($B64,COMPOS!$A$4:A$801,0),4))))</f>
        <v>134.02471</v>
      </c>
      <c r="G64" s="280">
        <f>(IF($A64="SINAPI",INDEX(SINAPI_NOV2020_NDES!$A$7:$H$6703,MATCH($B64,SINAPI_NOV2020_NDES!$A$7:$A$6703,0),6),(INDEX(COMPOS!$A$4:$G$801,MATCH($B64,COMPOS!$A$4:A$801,0),5))))</f>
        <v>253.4302035</v>
      </c>
      <c r="H64" s="280">
        <f>(IF($A64="SINAPI",INDEX(SINAPI_NOV2020_NDES!$A$7:$H$6703,MATCH($B64,SINAPI_NOV2020_NDES!$A$7:$A$6703,0),7),(INDEX(COMPOS!$A$4:$G$801,MATCH($B64,COMPOS!$A$4:A$801,0),6))))</f>
        <v>0</v>
      </c>
      <c r="I64" s="279">
        <f t="shared" ref="I64" si="20">SUM(F64:H64)</f>
        <v>387.45491349999998</v>
      </c>
      <c r="J64" s="276">
        <f t="shared" ref="J64" si="21">+I64*E64</f>
        <v>154.98196540000001</v>
      </c>
      <c r="K64" s="255"/>
      <c r="L64" s="255"/>
      <c r="M64" s="255"/>
      <c r="N64" s="255"/>
      <c r="O64" s="257"/>
      <c r="P64" s="255"/>
    </row>
    <row r="65" spans="1:16">
      <c r="A65" s="251" t="s">
        <v>6307</v>
      </c>
      <c r="B65" s="290">
        <v>419</v>
      </c>
      <c r="C65" s="301" t="str">
        <f>(IF($A65="SINAPI",INDEX(SINAPI_NOV2020_NDES!$A$7:$H$6703,MATCH($B65,SINAPI_NOV2020_NDES!$A$7:$A$6703,0),2),IF($A65="GOINFRA",INDEX(#REF!,MATCH($B65,#REF!,0),2),(INDEX(COMPOS!$A$4:$G$390,MATCH($B65,COMPOS!$A$4:A$390,0),2)))))</f>
        <v>PORTA ABRIR/VENEZIANA PF-4 C/FERRAGENS</v>
      </c>
      <c r="D65" s="274" t="str">
        <f>(IF($A65="SINAPI",INDEX(SINAPI_NOV2020_NDES!$A$7:$H$6790,MATCH($B65,SINAPI_NOV2020_NDES!$A$7:$A$6790,0),3),(INDEX(COMPOS!$A$4:$G$5000,MATCH($B65,COMPOS!$A$4:$A$5000,0),3))))</f>
        <v>M2</v>
      </c>
      <c r="E65" s="276">
        <v>1.47</v>
      </c>
      <c r="F65" s="279">
        <f>(IF($A65="SINAPI",INDEX(SINAPI_NOV2020_NDES!$A$7:$H$6703,MATCH($B65,SINAPI_NOV2020_NDES!$A$7:$A$6703,0),5),(INDEX(COMPOS!$A$4:$G$801,MATCH($B65,COMPOS!$A$4:A$801,0),4))))</f>
        <v>164.877015</v>
      </c>
      <c r="G65" s="280">
        <f>(IF($A65="SINAPI",INDEX(SINAPI_NOV2020_NDES!$A$7:$H$6703,MATCH($B65,SINAPI_NOV2020_NDES!$A$7:$A$6703,0),6),(INDEX(COMPOS!$A$4:$G$801,MATCH($B65,COMPOS!$A$4:A$801,0),5))))</f>
        <v>267.08872400000001</v>
      </c>
      <c r="H65" s="280">
        <f>(IF($A65="SINAPI",INDEX(SINAPI_NOV2020_NDES!$A$7:$H$6703,MATCH($B65,SINAPI_NOV2020_NDES!$A$7:$A$6703,0),7),(INDEX(COMPOS!$A$4:$G$801,MATCH($B65,COMPOS!$A$4:A$801,0),6))))</f>
        <v>0</v>
      </c>
      <c r="I65" s="279">
        <f t="shared" ref="I65" si="22">SUM(F65:H65)</f>
        <v>431.96573899999999</v>
      </c>
      <c r="J65" s="276">
        <f t="shared" ref="J65" si="23">+I65*E65</f>
        <v>634.98963632999994</v>
      </c>
      <c r="K65" s="255"/>
      <c r="L65" s="255"/>
      <c r="M65" s="255"/>
      <c r="N65" s="255"/>
      <c r="O65" s="257"/>
      <c r="P65" s="255"/>
    </row>
    <row r="66" spans="1:16" s="88" customFormat="1" ht="24" customHeight="1">
      <c r="A66" s="680" t="s">
        <v>6927</v>
      </c>
      <c r="B66" s="680"/>
      <c r="C66" s="680"/>
      <c r="D66" s="680"/>
      <c r="E66" s="680"/>
      <c r="F66" s="680"/>
      <c r="G66" s="680"/>
      <c r="H66" s="680"/>
      <c r="I66" s="680"/>
      <c r="J66" s="281">
        <f>SUM(J64:J65)</f>
        <v>789.97160172999997</v>
      </c>
      <c r="K66" s="255"/>
      <c r="L66" s="255"/>
      <c r="M66" s="255"/>
      <c r="N66" s="255"/>
      <c r="O66" s="255"/>
      <c r="P66" s="255"/>
    </row>
    <row r="67" spans="1:16">
      <c r="A67" s="251"/>
      <c r="B67" s="299">
        <v>181</v>
      </c>
      <c r="C67" s="331" t="s">
        <v>594</v>
      </c>
      <c r="D67" s="274"/>
      <c r="E67" s="276"/>
      <c r="F67" s="276"/>
      <c r="G67" s="276"/>
      <c r="H67" s="276"/>
      <c r="I67" s="276"/>
      <c r="J67" s="276"/>
      <c r="K67" s="255"/>
      <c r="L67" s="255"/>
      <c r="M67" s="255"/>
      <c r="N67" s="255"/>
      <c r="O67" s="255"/>
      <c r="P67" s="255"/>
    </row>
    <row r="68" spans="1:16">
      <c r="A68" s="251" t="s">
        <v>7</v>
      </c>
      <c r="B68" s="283">
        <v>72117</v>
      </c>
      <c r="C68" s="301" t="str">
        <f>(IF($A68="SINAPI",INDEX(SINAPI_NOV2020_NDES!$A$7:$H$6703,MATCH($B68,SINAPI_NOV2020_NDES!$A$7:$A$6703,0),2),IF($A68="GOINFRA",INDEX(#REF!,MATCH($B68,#REF!,0),2),(INDEX(COMPOS!$A$4:$G$390,MATCH($B68,COMPOS!$A$4:A$390,0),2)))))</f>
        <v>VIDRO LISO COMUM TRANSPARENTE, ESPESSURA 4MM</v>
      </c>
      <c r="D68" s="274" t="str">
        <f>(IF($A68="SINAPI",INDEX(SINAPI_NOV2020_NDES!$A$7:$H$6790,MATCH($B68,SINAPI_NOV2020_NDES!$A$7:$A$6790,0),3),(INDEX(COMPOS!$A$4:$G$5000,MATCH($B68,COMPOS!$A$4:$A$5000,0),3))))</f>
        <v>M2</v>
      </c>
      <c r="E68" s="276">
        <v>0.38</v>
      </c>
      <c r="F68" s="279">
        <f>(IF($A68="SINAPI",INDEX(SINAPI_NOV2020_NDES!$A$7:$H$6703,MATCH($B68,SINAPI_NOV2020_NDES!$A$7:$A$6703,0),5),(INDEX(COMPOS!$A$4:$G$801,MATCH($B68,COMPOS!$A$4:A$801,0),4))))</f>
        <v>11.8</v>
      </c>
      <c r="G68" s="280">
        <f>(IF($A68="SINAPI",INDEX(SINAPI_NOV2020_NDES!$A$7:$H$6703,MATCH($B68,SINAPI_NOV2020_NDES!$A$7:$A$6703,0),6),(INDEX(COMPOS!$A$4:$G$801,MATCH($B68,COMPOS!$A$4:A$801,0),5))))</f>
        <v>171.51</v>
      </c>
      <c r="H68" s="280">
        <f>(IF($A68="SINAPI",INDEX(SINAPI_NOV2020_NDES!$A$7:$H$6703,MATCH($B68,SINAPI_NOV2020_NDES!$A$7:$A$6703,0),7),(INDEX(COMPOS!$A$4:$G$801,MATCH($B68,COMPOS!$A$4:A$801,0),6))))</f>
        <v>0</v>
      </c>
      <c r="I68" s="279">
        <f t="shared" ref="I68" si="24">SUM(F68:H68)</f>
        <v>183.31</v>
      </c>
      <c r="J68" s="276">
        <f t="shared" ref="J68" si="25">+I68*E68</f>
        <v>69.657799999999995</v>
      </c>
      <c r="K68" s="255"/>
      <c r="L68" s="255"/>
      <c r="M68" s="255"/>
      <c r="N68" s="255"/>
      <c r="O68" s="257"/>
      <c r="P68" s="255"/>
    </row>
    <row r="69" spans="1:16" s="88" customFormat="1" ht="24" customHeight="1">
      <c r="A69" s="680" t="s">
        <v>6927</v>
      </c>
      <c r="B69" s="680"/>
      <c r="C69" s="680"/>
      <c r="D69" s="680"/>
      <c r="E69" s="680"/>
      <c r="F69" s="680"/>
      <c r="G69" s="680"/>
      <c r="H69" s="680"/>
      <c r="I69" s="680"/>
      <c r="J69" s="281">
        <f>SUM(J68)</f>
        <v>69.657799999999995</v>
      </c>
      <c r="K69" s="255"/>
      <c r="L69" s="255"/>
      <c r="M69" s="255"/>
      <c r="N69" s="255"/>
      <c r="O69" s="255"/>
      <c r="P69" s="255"/>
    </row>
    <row r="70" spans="1:16">
      <c r="A70" s="251"/>
      <c r="B70" s="299">
        <v>183</v>
      </c>
      <c r="C70" s="331" t="s">
        <v>592</v>
      </c>
      <c r="D70" s="274"/>
      <c r="E70" s="276"/>
      <c r="F70" s="276"/>
      <c r="G70" s="276"/>
      <c r="H70" s="276"/>
      <c r="I70" s="276"/>
      <c r="J70" s="276"/>
      <c r="K70" s="255"/>
      <c r="L70" s="255"/>
      <c r="M70" s="255"/>
      <c r="N70" s="255"/>
      <c r="O70" s="255"/>
      <c r="P70" s="255"/>
    </row>
    <row r="71" spans="1:16" ht="36">
      <c r="A71" s="251" t="s">
        <v>7</v>
      </c>
      <c r="B71" s="283">
        <v>87882</v>
      </c>
      <c r="C71" s="301" t="str">
        <f>(IF($A71="SINAPI",INDEX(SINAPI_NOV2020_NDES!$A$7:$H$6703,MATCH($B71,SINAPI_NOV2020_NDES!$A$7:$A$6703,0),2),IF($A71="GOINFRA",INDEX(#REF!,MATCH($B71,#REF!,0),2),(INDEX(COMPOS!$A$4:$G$390,MATCH($B71,COMPOS!$A$4:A$390,0),2)))))</f>
        <v>CHAPISCO APLICADO NO TETO, COM ROLO PARA TEXTURA ACRÍLICA. ARGAMASSA TRAÇO 1:4 E EMULSÃO POLIMÉRICA (ADESIVO) COM PREPARO EM BETONEIRA 400L. AF_06/2014</v>
      </c>
      <c r="D71" s="274" t="str">
        <f>(IF($A71="SINAPI",INDEX(SINAPI_NOV2020_NDES!$A$7:$H$6790,MATCH($B71,SINAPI_NOV2020_NDES!$A$7:$A$6790,0),3),(INDEX(COMPOS!$A$4:$G$5000,MATCH($B71,COMPOS!$A$4:$A$5000,0),3))))</f>
        <v>M2</v>
      </c>
      <c r="E71" s="276">
        <v>5.97</v>
      </c>
      <c r="F71" s="279">
        <f>(IF($A71="SINAPI",INDEX(SINAPI_NOV2020_NDES!$A$7:$H$6703,MATCH($B71,SINAPI_NOV2020_NDES!$A$7:$A$6703,0),5),(INDEX(COMPOS!$A$4:$G$801,MATCH($B71,COMPOS!$A$4:A$801,0),4))))</f>
        <v>0.82</v>
      </c>
      <c r="G71" s="280">
        <f>(IF($A71="SINAPI",INDEX(SINAPI_NOV2020_NDES!$A$7:$H$6703,MATCH($B71,SINAPI_NOV2020_NDES!$A$7:$A$6703,0),6),(INDEX(COMPOS!$A$4:$G$801,MATCH($B71,COMPOS!$A$4:A$801,0),5))))</f>
        <v>3.11</v>
      </c>
      <c r="H71" s="280">
        <f>(IF($A71="SINAPI",INDEX(SINAPI_NOV2020_NDES!$A$7:$H$6703,MATCH($B71,SINAPI_NOV2020_NDES!$A$7:$A$6703,0),7),(INDEX(COMPOS!$A$4:$G$801,MATCH($B71,COMPOS!$A$4:A$801,0),6))))</f>
        <v>0</v>
      </c>
      <c r="I71" s="279">
        <f t="shared" ref="I71" si="26">SUM(F71:H71)</f>
        <v>3.9299999999999997</v>
      </c>
      <c r="J71" s="276">
        <f t="shared" ref="J71" si="27">+I71*E71</f>
        <v>23.462099999999996</v>
      </c>
      <c r="K71" s="255"/>
      <c r="L71" s="255"/>
      <c r="M71" s="255"/>
      <c r="N71" s="255"/>
      <c r="O71" s="257"/>
      <c r="P71" s="255"/>
    </row>
    <row r="72" spans="1:16" ht="36">
      <c r="A72" s="251" t="s">
        <v>7</v>
      </c>
      <c r="B72" s="283">
        <v>90406</v>
      </c>
      <c r="C72" s="301" t="str">
        <f>(IF($A72="SINAPI",INDEX(SINAPI_NOV2020_NDES!$A$7:$H$6703,MATCH($B72,SINAPI_NOV2020_NDES!$A$7:$A$6703,0),2),IF($A72="GOINFRA",INDEX(#REF!,MATCH($B72,#REF!,0),2),(INDEX(COMPOS!$A$4:$G$390,MATCH($B72,COMPOS!$A$4:A$390,0),2)))))</f>
        <v>MASSA ÚNICA, PARA RECEBIMENTO DE PINTURA, EM ARGAMASSA TRAÇO 1:2:8, PREPARO MECÂNICO COM BETONEIRA 400L, APLICADA MANUALMENTE EM TETO, ESPESSURA DE 20MM, COM EXECUÇÃO DE TALISCAS. AF_03/2015</v>
      </c>
      <c r="D72" s="274" t="str">
        <f>(IF($A72="SINAPI",INDEX(SINAPI_NOV2020_NDES!$A$7:$H$6790,MATCH($B72,SINAPI_NOV2020_NDES!$A$7:$A$6790,0),3),(INDEX(COMPOS!$A$4:$G$5000,MATCH($B72,COMPOS!$A$4:$A$5000,0),3))))</f>
        <v>M2</v>
      </c>
      <c r="E72" s="276">
        <v>5.97</v>
      </c>
      <c r="F72" s="279">
        <f>(IF($A72="SINAPI",INDEX(SINAPI_NOV2020_NDES!$A$7:$H$6703,MATCH($B72,SINAPI_NOV2020_NDES!$A$7:$A$6703,0),5),(INDEX(COMPOS!$A$4:$G$801,MATCH($B72,COMPOS!$A$4:A$801,0),4))))</f>
        <v>20.13</v>
      </c>
      <c r="G72" s="280">
        <f>(IF($A72="SINAPI",INDEX(SINAPI_NOV2020_NDES!$A$7:$H$6703,MATCH($B72,SINAPI_NOV2020_NDES!$A$7:$A$6703,0),6),(INDEX(COMPOS!$A$4:$G$801,MATCH($B72,COMPOS!$A$4:A$801,0),5))))</f>
        <v>19.45</v>
      </c>
      <c r="H72" s="280">
        <f>(IF($A72="SINAPI",INDEX(SINAPI_NOV2020_NDES!$A$7:$H$6703,MATCH($B72,SINAPI_NOV2020_NDES!$A$7:$A$6703,0),7),(INDEX(COMPOS!$A$4:$G$801,MATCH($B72,COMPOS!$A$4:A$801,0),6))))</f>
        <v>0.03</v>
      </c>
      <c r="I72" s="279">
        <f t="shared" ref="I72" si="28">SUM(F72:H72)</f>
        <v>39.61</v>
      </c>
      <c r="J72" s="276">
        <f t="shared" ref="J72" si="29">+I72*E72</f>
        <v>236.4717</v>
      </c>
      <c r="K72" s="255"/>
      <c r="L72" s="255"/>
      <c r="M72" s="255"/>
      <c r="N72" s="255"/>
      <c r="O72" s="257"/>
      <c r="P72" s="255"/>
    </row>
    <row r="73" spans="1:16" s="88" customFormat="1" ht="24" customHeight="1">
      <c r="A73" s="680" t="s">
        <v>6927</v>
      </c>
      <c r="B73" s="680"/>
      <c r="C73" s="680"/>
      <c r="D73" s="680"/>
      <c r="E73" s="680"/>
      <c r="F73" s="680"/>
      <c r="G73" s="680"/>
      <c r="H73" s="680"/>
      <c r="I73" s="680"/>
      <c r="J73" s="281">
        <f>SUM(J71:J72)</f>
        <v>259.93380000000002</v>
      </c>
      <c r="K73" s="255"/>
      <c r="L73" s="255"/>
      <c r="M73" s="255"/>
      <c r="N73" s="255"/>
      <c r="O73" s="255"/>
      <c r="P73" s="255"/>
    </row>
    <row r="74" spans="1:16">
      <c r="A74" s="251"/>
      <c r="B74" s="299">
        <v>184</v>
      </c>
      <c r="C74" s="331" t="s">
        <v>591</v>
      </c>
      <c r="D74" s="274"/>
      <c r="E74" s="276"/>
      <c r="F74" s="276"/>
      <c r="G74" s="276"/>
      <c r="H74" s="276"/>
      <c r="I74" s="276"/>
      <c r="J74" s="276"/>
      <c r="K74" s="255"/>
      <c r="L74" s="255"/>
      <c r="M74" s="255"/>
      <c r="N74" s="255"/>
      <c r="O74" s="255"/>
      <c r="P74" s="255"/>
    </row>
    <row r="75" spans="1:16" ht="24">
      <c r="A75" s="251" t="s">
        <v>7</v>
      </c>
      <c r="B75" s="283">
        <v>95241</v>
      </c>
      <c r="C75" s="301" t="str">
        <f>(IF($A75="SINAPI",INDEX(SINAPI_NOV2020_NDES!$A$7:$H$6703,MATCH($B75,SINAPI_NOV2020_NDES!$A$7:$A$6703,0),2),IF($A75="GOINFRA",INDEX(#REF!,MATCH($B75,#REF!,0),2),(INDEX(COMPOS!$A$4:$G$390,MATCH($B75,COMPOS!$A$4:A$390,0),2)))))</f>
        <v>LASTRO DE CONCRETO MAGRO, APLICADO EM PISOS OU RADIERS, ESPESSURA DE 5 CM. AF_07/2016</v>
      </c>
      <c r="D75" s="274" t="str">
        <f>(IF($A75="SINAPI",INDEX(SINAPI_NOV2020_NDES!$A$7:$H$6790,MATCH($B75,SINAPI_NOV2020_NDES!$A$7:$A$6790,0),3),(INDEX(COMPOS!$A$4:$G$5000,MATCH($B75,COMPOS!$A$4:$A$5000,0),3))))</f>
        <v>M2</v>
      </c>
      <c r="E75" s="276">
        <v>6.08</v>
      </c>
      <c r="F75" s="279">
        <f>(IF($A75="SINAPI",INDEX(SINAPI_NOV2020_NDES!$A$7:$H$6703,MATCH($B75,SINAPI_NOV2020_NDES!$A$7:$A$6703,0),5),(INDEX(COMPOS!$A$4:$G$801,MATCH($B75,COMPOS!$A$4:A$801,0),4))))</f>
        <v>8.26</v>
      </c>
      <c r="G75" s="280">
        <f>(IF($A75="SINAPI",INDEX(SINAPI_NOV2020_NDES!$A$7:$H$6703,MATCH($B75,SINAPI_NOV2020_NDES!$A$7:$A$6703,0),6),(INDEX(COMPOS!$A$4:$G$801,MATCH($B75,COMPOS!$A$4:A$801,0),5))))</f>
        <v>16.48</v>
      </c>
      <c r="H75" s="280">
        <f>(IF($A75="SINAPI",INDEX(SINAPI_NOV2020_NDES!$A$7:$H$6703,MATCH($B75,SINAPI_NOV2020_NDES!$A$7:$A$6703,0),7),(INDEX(COMPOS!$A$4:$G$801,MATCH($B75,COMPOS!$A$4:A$801,0),6))))</f>
        <v>0.09</v>
      </c>
      <c r="I75" s="279">
        <f t="shared" ref="I75" si="30">SUM(F75:H75)</f>
        <v>24.830000000000002</v>
      </c>
      <c r="J75" s="276">
        <f t="shared" ref="J75" si="31">+I75*E75</f>
        <v>150.96640000000002</v>
      </c>
      <c r="K75" s="255"/>
      <c r="L75" s="255"/>
      <c r="M75" s="255"/>
      <c r="N75" s="255"/>
      <c r="O75" s="257"/>
      <c r="P75" s="255"/>
    </row>
    <row r="76" spans="1:16" ht="36">
      <c r="A76" s="251" t="s">
        <v>6307</v>
      </c>
      <c r="B76" s="290">
        <v>348</v>
      </c>
      <c r="C76" s="301" t="str">
        <f>(IF($A76="SINAPI",INDEX(SINAPI_NOV2020_NDES!$A$7:$H$6703,MATCH($B76,SINAPI_NOV2020_NDES!$A$7:$A$6703,0),2),IF($A76="GOINFRA",INDEX(#REF!,MATCH($B76,#REF!,0),2),(INDEX(COMPOS!$A$4:$G$390,MATCH($B76,COMPOS!$A$4:A$390,0),2)))))</f>
        <v>PASSEIO DE PROTEÇÃO EM CONCRETO DESEMPENADO 5CM (1:2,5:3,5) (INCLUSO ESPELHO DE 30CM/ESCAVAÇÃO/REATERRO/APILOAMENTO/ATERRO INTERNO)</v>
      </c>
      <c r="D76" s="274" t="str">
        <f>(IF($A76="SINAPI",INDEX(SINAPI_NOV2020_NDES!$A$7:$H$6790,MATCH($B76,SINAPI_NOV2020_NDES!$A$7:$A$6790,0),3),(INDEX(COMPOS!$A$4:$G$5000,MATCH($B76,COMPOS!$A$4:$A$5000,0),3))))</f>
        <v>M2</v>
      </c>
      <c r="E76" s="276">
        <v>4.82</v>
      </c>
      <c r="F76" s="279">
        <f>(IF($A76="SINAPI",INDEX(SINAPI_NOV2020_NDES!$A$7:$H$6703,MATCH($B76,SINAPI_NOV2020_NDES!$A$7:$A$6703,0),5),(INDEX(COMPOS!$A$4:$G$801,MATCH($B76,COMPOS!$A$4:A$801,0),4))))</f>
        <v>43.421984000000002</v>
      </c>
      <c r="G76" s="280">
        <f>(IF($A76="SINAPI",INDEX(SINAPI_NOV2020_NDES!$A$7:$H$6703,MATCH($B76,SINAPI_NOV2020_NDES!$A$7:$A$6703,0),6),(INDEX(COMPOS!$A$4:$G$801,MATCH($B76,COMPOS!$A$4:A$801,0),5))))</f>
        <v>31.570292999999999</v>
      </c>
      <c r="H76" s="280">
        <f>(IF($A76="SINAPI",INDEX(SINAPI_NOV2020_NDES!$A$7:$H$6703,MATCH($B76,SINAPI_NOV2020_NDES!$A$7:$A$6703,0),7),(INDEX(COMPOS!$A$4:$G$801,MATCH($B76,COMPOS!$A$4:A$801,0),6))))</f>
        <v>0</v>
      </c>
      <c r="I76" s="279">
        <f t="shared" ref="I76:I78" si="32">SUM(F76:H76)</f>
        <v>74.992277000000001</v>
      </c>
      <c r="J76" s="276">
        <f t="shared" ref="J76:J78" si="33">+I76*E76</f>
        <v>361.46277514000002</v>
      </c>
      <c r="K76" s="255"/>
      <c r="L76" s="255"/>
      <c r="M76" s="255"/>
      <c r="N76" s="255"/>
      <c r="O76" s="257"/>
      <c r="P76" s="255"/>
    </row>
    <row r="77" spans="1:16">
      <c r="A77" s="251" t="s">
        <v>6307</v>
      </c>
      <c r="B77" s="290">
        <v>349</v>
      </c>
      <c r="C77" s="301" t="str">
        <f>(IF($A77="SINAPI",INDEX(SINAPI_NOV2020_NDES!$A$7:$H$6703,MATCH($B77,SINAPI_NOV2020_NDES!$A$7:$A$6703,0),2),IF($A77="GOINFRA",INDEX(#REF!,MATCH($B77,#REF!,0),2),(INDEX(COMPOS!$A$4:$G$390,MATCH($B77,COMPOS!$A$4:A$390,0),2)))))</f>
        <v>PISO EM CONCRETO DESEMPENADO 5CM (1:2,5:3,5)</v>
      </c>
      <c r="D77" s="274" t="str">
        <f>(IF($A77="SINAPI",INDEX(SINAPI_NOV2020_NDES!$A$7:$H$6790,MATCH($B77,SINAPI_NOV2020_NDES!$A$7:$A$6790,0),3),(INDEX(COMPOS!$A$4:$G$5000,MATCH($B77,COMPOS!$A$4:$A$5000,0),3))))</f>
        <v>M2</v>
      </c>
      <c r="E77" s="276">
        <v>6.08</v>
      </c>
      <c r="F77" s="279">
        <f>(IF($A77="SINAPI",INDEX(SINAPI_NOV2020_NDES!$A$7:$H$6703,MATCH($B77,SINAPI_NOV2020_NDES!$A$7:$A$6703,0),5),(INDEX(COMPOS!$A$4:$G$801,MATCH($B77,COMPOS!$A$4:A$801,0),4))))</f>
        <v>14.561212999999999</v>
      </c>
      <c r="G77" s="280">
        <f>(IF($A77="SINAPI",INDEX(SINAPI_NOV2020_NDES!$A$7:$H$6703,MATCH($B77,SINAPI_NOV2020_NDES!$A$7:$A$6703,0),6),(INDEX(COMPOS!$A$4:$G$801,MATCH($B77,COMPOS!$A$4:A$801,0),5))))</f>
        <v>15.349762</v>
      </c>
      <c r="H77" s="280">
        <f>(IF($A77="SINAPI",INDEX(SINAPI_NOV2020_NDES!$A$7:$H$6703,MATCH($B77,SINAPI_NOV2020_NDES!$A$7:$A$6703,0),7),(INDEX(COMPOS!$A$4:$G$801,MATCH($B77,COMPOS!$A$4:A$801,0),6))))</f>
        <v>0</v>
      </c>
      <c r="I77" s="279">
        <f t="shared" si="32"/>
        <v>29.910975000000001</v>
      </c>
      <c r="J77" s="276">
        <f t="shared" si="33"/>
        <v>181.85872800000001</v>
      </c>
      <c r="K77" s="255"/>
      <c r="L77" s="255"/>
      <c r="M77" s="255"/>
      <c r="N77" s="255"/>
      <c r="O77" s="257"/>
      <c r="P77" s="255"/>
    </row>
    <row r="78" spans="1:16">
      <c r="A78" s="251" t="s">
        <v>6307</v>
      </c>
      <c r="B78" s="290">
        <v>387</v>
      </c>
      <c r="C78" s="301" t="str">
        <f>(IF($A78="SINAPI",INDEX(SINAPI_NOV2020_NDES!$A$7:$H$6703,MATCH($B78,SINAPI_NOV2020_NDES!$A$7:$A$6703,0),2),IF($A78="GOINFRA",INDEX(#REF!,MATCH($B78,#REF!,0),2),(INDEX(COMPOS!$A$4:$G$390,MATCH($B78,COMPOS!$A$4:A$390,0),2)))))</f>
        <v>RODAPÉ DE MASSA</v>
      </c>
      <c r="D78" s="274" t="str">
        <f>(IF($A78="SINAPI",INDEX(SINAPI_NOV2020_NDES!$A$7:$H$6790,MATCH($B78,SINAPI_NOV2020_NDES!$A$7:$A$6790,0),3),(INDEX(COMPOS!$A$4:$G$5000,MATCH($B78,COMPOS!$A$4:$A$5000,0),3))))</f>
        <v>M</v>
      </c>
      <c r="E78" s="276">
        <v>10.14</v>
      </c>
      <c r="F78" s="279">
        <f>(IF($A78="SINAPI",INDEX(SINAPI_NOV2020_NDES!$A$7:$H$6703,MATCH($B78,SINAPI_NOV2020_NDES!$A$7:$A$6703,0),5),(INDEX(COMPOS!$A$4:$G$801,MATCH($B78,COMPOS!$A$4:A$801,0),4))))</f>
        <v>8.5980999999999987</v>
      </c>
      <c r="G78" s="280">
        <f>(IF($A78="SINAPI",INDEX(SINAPI_NOV2020_NDES!$A$7:$H$6703,MATCH($B78,SINAPI_NOV2020_NDES!$A$7:$A$6703,0),6),(INDEX(COMPOS!$A$4:$G$801,MATCH($B78,COMPOS!$A$4:A$801,0),5))))</f>
        <v>1.0431299999999999</v>
      </c>
      <c r="H78" s="280">
        <f>(IF($A78="SINAPI",INDEX(SINAPI_NOV2020_NDES!$A$7:$H$6703,MATCH($B78,SINAPI_NOV2020_NDES!$A$7:$A$6703,0),7),(INDEX(COMPOS!$A$4:$G$801,MATCH($B78,COMPOS!$A$4:A$801,0),6))))</f>
        <v>0</v>
      </c>
      <c r="I78" s="279">
        <f t="shared" si="32"/>
        <v>9.6412299999999984</v>
      </c>
      <c r="J78" s="276">
        <f t="shared" si="33"/>
        <v>97.762072199999992</v>
      </c>
      <c r="K78" s="255"/>
      <c r="L78" s="255"/>
      <c r="M78" s="255"/>
      <c r="N78" s="255"/>
      <c r="O78" s="257"/>
      <c r="P78" s="255"/>
    </row>
    <row r="79" spans="1:16" s="88" customFormat="1" ht="24" customHeight="1">
      <c r="A79" s="680" t="s">
        <v>6927</v>
      </c>
      <c r="B79" s="680"/>
      <c r="C79" s="680"/>
      <c r="D79" s="680"/>
      <c r="E79" s="680"/>
      <c r="F79" s="680"/>
      <c r="G79" s="680"/>
      <c r="H79" s="680"/>
      <c r="I79" s="680"/>
      <c r="J79" s="281">
        <f>SUM(J75:J78)</f>
        <v>792.04997534000017</v>
      </c>
      <c r="K79" s="255"/>
      <c r="L79" s="255"/>
      <c r="M79" s="255"/>
      <c r="N79" s="255"/>
      <c r="O79" s="255"/>
      <c r="P79" s="255"/>
    </row>
    <row r="80" spans="1:16">
      <c r="A80" s="251"/>
      <c r="B80" s="299">
        <v>188</v>
      </c>
      <c r="C80" s="331" t="s">
        <v>587</v>
      </c>
      <c r="D80" s="274"/>
      <c r="E80" s="276"/>
      <c r="F80" s="276"/>
      <c r="G80" s="276"/>
      <c r="H80" s="276"/>
      <c r="I80" s="276"/>
      <c r="J80" s="276"/>
      <c r="K80" s="255"/>
      <c r="L80" s="255"/>
      <c r="M80" s="255"/>
      <c r="N80" s="255"/>
      <c r="O80" s="255"/>
      <c r="P80" s="255"/>
    </row>
    <row r="81" spans="1:1001">
      <c r="A81" s="251" t="s">
        <v>7</v>
      </c>
      <c r="B81" s="283">
        <v>88482</v>
      </c>
      <c r="C81" s="301" t="str">
        <f>(IF($A81="SINAPI",INDEX(SINAPI_NOV2020_NDES!$A$7:$H$6703,MATCH($B81,SINAPI_NOV2020_NDES!$A$7:$A$6703,0),2),IF($A81="GOINFRA",INDEX(#REF!,MATCH($B81,#REF!,0),2),(INDEX(COMPOS!$A$4:$G$390,MATCH($B81,COMPOS!$A$4:A$390,0),2)))))</f>
        <v>APLICAÇÃO DE FUNDO SELADOR LÁTEX PVA EM TETO, UMA DEMÃO. AF_06/2014</v>
      </c>
      <c r="D81" s="274" t="str">
        <f>(IF($A81="SINAPI",INDEX(SINAPI_NOV2020_NDES!$A$7:$H$6790,MATCH($B81,SINAPI_NOV2020_NDES!$A$7:$A$6790,0),3),(INDEX(COMPOS!$A$4:$G$5000,MATCH($B81,COMPOS!$A$4:$A$5000,0),3))))</f>
        <v>M2</v>
      </c>
      <c r="E81" s="276">
        <v>4.97</v>
      </c>
      <c r="F81" s="279">
        <f>(IF($A81="SINAPI",INDEX(SINAPI_NOV2020_NDES!$A$7:$H$6703,MATCH($B81,SINAPI_NOV2020_NDES!$A$7:$A$6703,0),5),(INDEX(COMPOS!$A$4:$G$801,MATCH($B81,COMPOS!$A$4:A$801,0),4))))</f>
        <v>0.74</v>
      </c>
      <c r="G81" s="280">
        <f>(IF($A81="SINAPI",INDEX(SINAPI_NOV2020_NDES!$A$7:$H$6703,MATCH($B81,SINAPI_NOV2020_NDES!$A$7:$A$6703,0),6),(INDEX(COMPOS!$A$4:$G$801,MATCH($B81,COMPOS!$A$4:A$801,0),5))))</f>
        <v>2.44</v>
      </c>
      <c r="H81" s="280">
        <f>(IF($A81="SINAPI",INDEX(SINAPI_NOV2020_NDES!$A$7:$H$6703,MATCH($B81,SINAPI_NOV2020_NDES!$A$7:$A$6703,0),7),(INDEX(COMPOS!$A$4:$G$801,MATCH($B81,COMPOS!$A$4:A$801,0),6))))</f>
        <v>0</v>
      </c>
      <c r="I81" s="279">
        <f t="shared" ref="I81" si="34">SUM(F81:H81)</f>
        <v>3.1799999999999997</v>
      </c>
      <c r="J81" s="276">
        <f t="shared" ref="J81" si="35">+I81*E81</f>
        <v>15.804599999999997</v>
      </c>
      <c r="K81" s="255"/>
      <c r="L81" s="255"/>
      <c r="M81" s="255"/>
      <c r="N81" s="255"/>
      <c r="O81" s="257"/>
      <c r="P81" s="255"/>
    </row>
    <row r="82" spans="1:1001">
      <c r="A82" s="251" t="s">
        <v>7</v>
      </c>
      <c r="B82" s="283">
        <v>88496</v>
      </c>
      <c r="C82" s="301" t="str">
        <f>(IF($A82="SINAPI",INDEX(SINAPI_NOV2020_NDES!$A$7:$H$6703,MATCH($B82,SINAPI_NOV2020_NDES!$A$7:$A$6703,0),2),IF($A82="GOINFRA",INDEX(#REF!,MATCH($B82,#REF!,0),2),(INDEX(COMPOS!$A$4:$G$390,MATCH($B82,COMPOS!$A$4:A$390,0),2)))))</f>
        <v>APLICAÇÃO E LIXAMENTO DE MASSA LÁTEX EM TETO, DUAS DEMÃOS. AF_06/2014</v>
      </c>
      <c r="D82" s="274" t="str">
        <f>(IF($A82="SINAPI",INDEX(SINAPI_NOV2020_NDES!$A$7:$H$6790,MATCH($B82,SINAPI_NOV2020_NDES!$A$7:$A$6790,0),3),(INDEX(COMPOS!$A$4:$G$5000,MATCH($B82,COMPOS!$A$4:$A$5000,0),3))))</f>
        <v>M2</v>
      </c>
      <c r="E82" s="276">
        <v>4.97</v>
      </c>
      <c r="F82" s="279">
        <f>(IF($A82="SINAPI",INDEX(SINAPI_NOV2020_NDES!$A$7:$H$6703,MATCH($B82,SINAPI_NOV2020_NDES!$A$7:$A$6703,0),5),(INDEX(COMPOS!$A$4:$G$801,MATCH($B82,COMPOS!$A$4:A$801,0),4))))</f>
        <v>14.1</v>
      </c>
      <c r="G82" s="280">
        <f>(IF($A82="SINAPI",INDEX(SINAPI_NOV2020_NDES!$A$7:$H$6703,MATCH($B82,SINAPI_NOV2020_NDES!$A$7:$A$6703,0),6),(INDEX(COMPOS!$A$4:$G$801,MATCH($B82,COMPOS!$A$4:A$801,0),5))))</f>
        <v>7.4</v>
      </c>
      <c r="H82" s="280">
        <f>(IF($A82="SINAPI",INDEX(SINAPI_NOV2020_NDES!$A$7:$H$6703,MATCH($B82,SINAPI_NOV2020_NDES!$A$7:$A$6703,0),7),(INDEX(COMPOS!$A$4:$G$801,MATCH($B82,COMPOS!$A$4:A$801,0),6))))</f>
        <v>0</v>
      </c>
      <c r="I82" s="279">
        <f t="shared" ref="I82:I88" si="36">SUM(F82:H82)</f>
        <v>21.5</v>
      </c>
      <c r="J82" s="276">
        <f t="shared" ref="J82:J88" si="37">+I82*E82</f>
        <v>106.85499999999999</v>
      </c>
      <c r="K82" s="255"/>
      <c r="L82" s="255"/>
      <c r="M82" s="255"/>
      <c r="N82" s="255"/>
      <c r="O82" s="257"/>
      <c r="P82" s="255"/>
    </row>
    <row r="83" spans="1:1001" ht="24">
      <c r="A83" s="251" t="s">
        <v>7</v>
      </c>
      <c r="B83" s="283">
        <v>88486</v>
      </c>
      <c r="C83" s="301" t="str">
        <f>(IF($A83="SINAPI",INDEX(SINAPI_NOV2020_NDES!$A$7:$H$6703,MATCH($B83,SINAPI_NOV2020_NDES!$A$7:$A$6703,0),2),IF($A83="GOINFRA",INDEX(#REF!,MATCH($B83,#REF!,0),2),(INDEX(COMPOS!$A$4:$G$390,MATCH($B83,COMPOS!$A$4:A$390,0),2)))))</f>
        <v>APLICAÇÃO MANUAL DE PINTURA COM TINTA LÁTEX PVA EM TETO, DUAS DEMÃOS. AF_06/2014</v>
      </c>
      <c r="D83" s="274" t="str">
        <f>(IF($A83="SINAPI",INDEX(SINAPI_NOV2020_NDES!$A$7:$H$6790,MATCH($B83,SINAPI_NOV2020_NDES!$A$7:$A$6790,0),3),(INDEX(COMPOS!$A$4:$G$5000,MATCH($B83,COMPOS!$A$4:$A$5000,0),3))))</f>
        <v>M2</v>
      </c>
      <c r="E83" s="276">
        <v>4.97</v>
      </c>
      <c r="F83" s="279">
        <f>(IF($A83="SINAPI",INDEX(SINAPI_NOV2020_NDES!$A$7:$H$6703,MATCH($B83,SINAPI_NOV2020_NDES!$A$7:$A$6703,0),5),(INDEX(COMPOS!$A$4:$G$801,MATCH($B83,COMPOS!$A$4:A$801,0),4))))</f>
        <v>3.54</v>
      </c>
      <c r="G83" s="280">
        <f>(IF($A83="SINAPI",INDEX(SINAPI_NOV2020_NDES!$A$7:$H$6703,MATCH($B83,SINAPI_NOV2020_NDES!$A$7:$A$6703,0),6),(INDEX(COMPOS!$A$4:$G$801,MATCH($B83,COMPOS!$A$4:A$801,0),5))))</f>
        <v>7.47</v>
      </c>
      <c r="H83" s="280">
        <f>(IF($A83="SINAPI",INDEX(SINAPI_NOV2020_NDES!$A$7:$H$6703,MATCH($B83,SINAPI_NOV2020_NDES!$A$7:$A$6703,0),7),(INDEX(COMPOS!$A$4:$G$801,MATCH($B83,COMPOS!$A$4:A$801,0),6))))</f>
        <v>0</v>
      </c>
      <c r="I83" s="279">
        <f t="shared" si="36"/>
        <v>11.01</v>
      </c>
      <c r="J83" s="276">
        <f t="shared" si="37"/>
        <v>54.719699999999996</v>
      </c>
      <c r="K83" s="255"/>
      <c r="L83" s="255"/>
      <c r="M83" s="255"/>
      <c r="N83" s="255"/>
      <c r="O83" s="257"/>
      <c r="P83" s="255"/>
    </row>
    <row r="84" spans="1:1001" ht="24">
      <c r="A84" s="251" t="s">
        <v>7</v>
      </c>
      <c r="B84" s="283">
        <v>88485</v>
      </c>
      <c r="C84" s="301" t="str">
        <f>(IF($A84="SINAPI",INDEX(SINAPI_NOV2020_NDES!$A$7:$H$6703,MATCH($B84,SINAPI_NOV2020_NDES!$A$7:$A$6703,0),2),IF($A84="GOINFRA",INDEX(#REF!,MATCH($B84,#REF!,0),2),(INDEX(COMPOS!$A$4:$G$390,MATCH($B84,COMPOS!$A$4:A$390,0),2)))))</f>
        <v>APLICAÇÃO DE FUNDO SELADOR ACRÍLICO EM PAREDES, UMA DEMÃO. AF_06/2014</v>
      </c>
      <c r="D84" s="274" t="str">
        <f>(IF($A84="SINAPI",INDEX(SINAPI_NOV2020_NDES!$A$7:$H$6790,MATCH($B84,SINAPI_NOV2020_NDES!$A$7:$A$6790,0),3),(INDEX(COMPOS!$A$4:$G$5000,MATCH($B84,COMPOS!$A$4:$A$5000,0),3))))</f>
        <v>M2</v>
      </c>
      <c r="E84" s="276">
        <v>17.350000000000001</v>
      </c>
      <c r="F84" s="279">
        <f>(IF($A84="SINAPI",INDEX(SINAPI_NOV2020_NDES!$A$7:$H$6703,MATCH($B84,SINAPI_NOV2020_NDES!$A$7:$A$6703,0),5),(INDEX(COMPOS!$A$4:$G$801,MATCH($B84,COMPOS!$A$4:A$801,0),4))))</f>
        <v>0.81</v>
      </c>
      <c r="G84" s="280">
        <f>(IF($A84="SINAPI",INDEX(SINAPI_NOV2020_NDES!$A$7:$H$6703,MATCH($B84,SINAPI_NOV2020_NDES!$A$7:$A$6703,0),6),(INDEX(COMPOS!$A$4:$G$801,MATCH($B84,COMPOS!$A$4:A$801,0),5))))</f>
        <v>1.43</v>
      </c>
      <c r="H84" s="280">
        <f>(IF($A84="SINAPI",INDEX(SINAPI_NOV2020_NDES!$A$7:$H$6703,MATCH($B84,SINAPI_NOV2020_NDES!$A$7:$A$6703,0),7),(INDEX(COMPOS!$A$4:$G$801,MATCH($B84,COMPOS!$A$4:A$801,0),6))))</f>
        <v>0</v>
      </c>
      <c r="I84" s="279">
        <f t="shared" si="36"/>
        <v>2.2400000000000002</v>
      </c>
      <c r="J84" s="276">
        <f t="shared" si="37"/>
        <v>38.864000000000004</v>
      </c>
      <c r="K84" s="255"/>
      <c r="L84" s="255"/>
      <c r="M84" s="255"/>
      <c r="N84" s="255"/>
      <c r="O84" s="257"/>
      <c r="P84" s="255"/>
    </row>
    <row r="85" spans="1:1001" ht="24">
      <c r="A85" s="251" t="s">
        <v>7</v>
      </c>
      <c r="B85" s="283">
        <v>88497</v>
      </c>
      <c r="C85" s="301" t="str">
        <f>(IF($A85="SINAPI",INDEX(SINAPI_NOV2020_NDES!$A$7:$H$6703,MATCH($B85,SINAPI_NOV2020_NDES!$A$7:$A$6703,0),2),IF($A85="GOINFRA",INDEX(#REF!,MATCH($B85,#REF!,0),2),(INDEX(COMPOS!$A$4:$G$390,MATCH($B85,COMPOS!$A$4:A$390,0),2)))))</f>
        <v>APLICAÇÃO E LIXAMENTO DE MASSA LÁTEX EM PAREDES, DUAS DEMÃOS. AF_06/2014</v>
      </c>
      <c r="D85" s="274" t="str">
        <f>(IF($A85="SINAPI",INDEX(SINAPI_NOV2020_NDES!$A$7:$H$6790,MATCH($B85,SINAPI_NOV2020_NDES!$A$7:$A$6790,0),3),(INDEX(COMPOS!$A$4:$G$5000,MATCH($B85,COMPOS!$A$4:$A$5000,0),3))))</f>
        <v>M2</v>
      </c>
      <c r="E85" s="276">
        <v>17.350000000000001</v>
      </c>
      <c r="F85" s="279">
        <f>(IF($A85="SINAPI",INDEX(SINAPI_NOV2020_NDES!$A$7:$H$6703,MATCH($B85,SINAPI_NOV2020_NDES!$A$7:$A$6703,0),5),(INDEX(COMPOS!$A$4:$G$801,MATCH($B85,COMPOS!$A$4:A$801,0),4))))</f>
        <v>6.56</v>
      </c>
      <c r="G85" s="280">
        <f>(IF($A85="SINAPI",INDEX(SINAPI_NOV2020_NDES!$A$7:$H$6703,MATCH($B85,SINAPI_NOV2020_NDES!$A$7:$A$6703,0),6),(INDEX(COMPOS!$A$4:$G$801,MATCH($B85,COMPOS!$A$4:A$801,0),5))))</f>
        <v>4.76</v>
      </c>
      <c r="H85" s="280">
        <f>(IF($A85="SINAPI",INDEX(SINAPI_NOV2020_NDES!$A$7:$H$6703,MATCH($B85,SINAPI_NOV2020_NDES!$A$7:$A$6703,0),7),(INDEX(COMPOS!$A$4:$G$801,MATCH($B85,COMPOS!$A$4:A$801,0),6))))</f>
        <v>0</v>
      </c>
      <c r="I85" s="279">
        <f t="shared" si="36"/>
        <v>11.32</v>
      </c>
      <c r="J85" s="276">
        <f t="shared" si="37"/>
        <v>196.40200000000002</v>
      </c>
      <c r="K85" s="255"/>
      <c r="L85" s="255"/>
      <c r="M85" s="255"/>
      <c r="N85" s="255"/>
      <c r="O85" s="257"/>
      <c r="P85" s="255"/>
    </row>
    <row r="86" spans="1:1001" ht="24">
      <c r="A86" s="251" t="s">
        <v>7</v>
      </c>
      <c r="B86" s="283">
        <v>88489</v>
      </c>
      <c r="C86" s="301" t="str">
        <f>(IF($A86="SINAPI",INDEX(SINAPI_NOV2020_NDES!$A$7:$H$6703,MATCH($B86,SINAPI_NOV2020_NDES!$A$7:$A$6703,0),2),IF($A86="GOINFRA",INDEX(#REF!,MATCH($B86,#REF!,0),2),(INDEX(COMPOS!$A$4:$G$390,MATCH($B86,COMPOS!$A$4:A$390,0),2)))))</f>
        <v>APLICAÇÃO MANUAL DE PINTURA COM TINTA LÁTEX ACRÍLICA EM PAREDES, DUAS DEMÃOS. AF_06/2014</v>
      </c>
      <c r="D86" s="274" t="str">
        <f>(IF($A86="SINAPI",INDEX(SINAPI_NOV2020_NDES!$A$7:$H$6790,MATCH($B86,SINAPI_NOV2020_NDES!$A$7:$A$6790,0),3),(INDEX(COMPOS!$A$4:$G$5000,MATCH($B86,COMPOS!$A$4:$A$5000,0),3))))</f>
        <v>M2</v>
      </c>
      <c r="E86" s="276">
        <v>17.350000000000001</v>
      </c>
      <c r="F86" s="279">
        <f>(IF($A86="SINAPI",INDEX(SINAPI_NOV2020_NDES!$A$7:$H$6703,MATCH($B86,SINAPI_NOV2020_NDES!$A$7:$A$6703,0),5),(INDEX(COMPOS!$A$4:$G$801,MATCH($B86,COMPOS!$A$4:A$801,0),4))))</f>
        <v>3.93</v>
      </c>
      <c r="G86" s="280">
        <f>(IF($A86="SINAPI",INDEX(SINAPI_NOV2020_NDES!$A$7:$H$6703,MATCH($B86,SINAPI_NOV2020_NDES!$A$7:$A$6703,0),6),(INDEX(COMPOS!$A$4:$G$801,MATCH($B86,COMPOS!$A$4:A$801,0),5))))</f>
        <v>8.56</v>
      </c>
      <c r="H86" s="280">
        <f>(IF($A86="SINAPI",INDEX(SINAPI_NOV2020_NDES!$A$7:$H$6703,MATCH($B86,SINAPI_NOV2020_NDES!$A$7:$A$6703,0),7),(INDEX(COMPOS!$A$4:$G$801,MATCH($B86,COMPOS!$A$4:A$801,0),6))))</f>
        <v>0</v>
      </c>
      <c r="I86" s="279">
        <f t="shared" si="36"/>
        <v>12.49</v>
      </c>
      <c r="J86" s="276">
        <f t="shared" si="37"/>
        <v>216.70150000000001</v>
      </c>
      <c r="K86" s="255"/>
      <c r="L86" s="255"/>
      <c r="M86" s="255"/>
      <c r="N86" s="255"/>
      <c r="O86" s="257"/>
      <c r="P86" s="255"/>
    </row>
    <row r="87" spans="1:1001">
      <c r="A87" s="251" t="s">
        <v>6307</v>
      </c>
      <c r="B87" s="290">
        <v>357</v>
      </c>
      <c r="C87" s="301" t="str">
        <f>(IF($A87="SINAPI",INDEX(SINAPI_NOV2020_NDES!$A$7:$H$6703,MATCH($B87,SINAPI_NOV2020_NDES!$A$7:$A$6703,0),2),IF($A87="GOINFRA",INDEX(#REF!,MATCH($B87,#REF!,0),2),(INDEX(COMPOS!$A$4:$G$390,MATCH($B87,COMPOS!$A$4:A$390,0),2)))))</f>
        <v>PINTURA LATÉX ACRÍLICA, TRÊS DEMÃOS COM SELADOR</v>
      </c>
      <c r="D87" s="274" t="str">
        <f>(IF($A87="SINAPI",INDEX(SINAPI_NOV2020_NDES!$A$7:$H$6790,MATCH($B87,SINAPI_NOV2020_NDES!$A$7:$A$6790,0),3),(INDEX(COMPOS!$A$4:$G$5000,MATCH($B87,COMPOS!$A$4:$A$5000,0),3))))</f>
        <v>M2</v>
      </c>
      <c r="E87" s="276">
        <v>30.89</v>
      </c>
      <c r="F87" s="279">
        <f>(IF($A87="SINAPI",INDEX(SINAPI_NOV2020_NDES!$A$7:$H$6703,MATCH($B87,SINAPI_NOV2020_NDES!$A$7:$A$6703,0),5),(INDEX(COMPOS!$A$4:$G$801,MATCH($B87,COMPOS!$A$4:A$801,0),4))))</f>
        <v>9.3322149999999997</v>
      </c>
      <c r="G87" s="280">
        <f>(IF($A87="SINAPI",INDEX(SINAPI_NOV2020_NDES!$A$7:$H$6703,MATCH($B87,SINAPI_NOV2020_NDES!$A$7:$A$6703,0),6),(INDEX(COMPOS!$A$4:$G$801,MATCH($B87,COMPOS!$A$4:A$801,0),5))))</f>
        <v>4.28932</v>
      </c>
      <c r="H87" s="280">
        <f>(IF($A87="SINAPI",INDEX(SINAPI_NOV2020_NDES!$A$7:$H$6703,MATCH($B87,SINAPI_NOV2020_NDES!$A$7:$A$6703,0),7),(INDEX(COMPOS!$A$4:$G$801,MATCH($B87,COMPOS!$A$4:A$801,0),6))))</f>
        <v>0</v>
      </c>
      <c r="I87" s="279">
        <f t="shared" si="36"/>
        <v>13.621535</v>
      </c>
      <c r="J87" s="276">
        <f t="shared" si="37"/>
        <v>420.76921614999998</v>
      </c>
      <c r="K87" s="255"/>
      <c r="L87" s="255"/>
      <c r="M87" s="255"/>
      <c r="N87" s="255"/>
      <c r="O87" s="257"/>
      <c r="P87" s="255"/>
    </row>
    <row r="88" spans="1:1001">
      <c r="A88" s="251" t="s">
        <v>6307</v>
      </c>
      <c r="B88" s="290">
        <v>360</v>
      </c>
      <c r="C88" s="301" t="str">
        <f>(IF($A88="SINAPI",INDEX(SINAPI_NOV2020_NDES!$A$7:$H$6703,MATCH($B88,SINAPI_NOV2020_NDES!$A$7:$A$6703,0),2),IF($A88="GOINFRA",INDEX(#REF!,MATCH($B88,#REF!,0),2),(INDEX(COMPOS!$A$4:$G$390,MATCH($B88,COMPOS!$A$4:A$390,0),2)))))</f>
        <v>PINTURA ESMALTE/ESQUADRIA DE FERRO COM FUNDO ANTI-CORROSIVO</v>
      </c>
      <c r="D88" s="274" t="str">
        <f>(IF($A88="SINAPI",INDEX(SINAPI_NOV2020_NDES!$A$7:$H$6790,MATCH($B88,SINAPI_NOV2020_NDES!$A$7:$A$6790,0),3),(INDEX(COMPOS!$A$4:$G$5000,MATCH($B88,COMPOS!$A$4:$A$5000,0),3))))</f>
        <v>M2</v>
      </c>
      <c r="E88" s="276">
        <v>5.21</v>
      </c>
      <c r="F88" s="279">
        <f>(IF($A88="SINAPI",INDEX(SINAPI_NOV2020_NDES!$A$7:$H$6703,MATCH($B88,SINAPI_NOV2020_NDES!$A$7:$A$6703,0),5),(INDEX(COMPOS!$A$4:$G$801,MATCH($B88,COMPOS!$A$4:A$801,0),4))))</f>
        <v>15.847708000000001</v>
      </c>
      <c r="G88" s="280">
        <f>(IF($A88="SINAPI",INDEX(SINAPI_NOV2020_NDES!$A$7:$H$6703,MATCH($B88,SINAPI_NOV2020_NDES!$A$7:$A$6703,0),6),(INDEX(COMPOS!$A$4:$G$801,MATCH($B88,COMPOS!$A$4:A$801,0),5))))</f>
        <v>6.5686479999999996</v>
      </c>
      <c r="H88" s="280">
        <f>(IF($A88="SINAPI",INDEX(SINAPI_NOV2020_NDES!$A$7:$H$6703,MATCH($B88,SINAPI_NOV2020_NDES!$A$7:$A$6703,0),7),(INDEX(COMPOS!$A$4:$G$801,MATCH($B88,COMPOS!$A$4:A$801,0),6))))</f>
        <v>0</v>
      </c>
      <c r="I88" s="279">
        <f t="shared" si="36"/>
        <v>22.416356</v>
      </c>
      <c r="J88" s="276">
        <f t="shared" si="37"/>
        <v>116.78921476000001</v>
      </c>
      <c r="K88" s="255"/>
      <c r="L88" s="255"/>
      <c r="M88" s="255"/>
      <c r="N88" s="255"/>
      <c r="O88" s="257"/>
      <c r="P88" s="255"/>
    </row>
    <row r="89" spans="1:1001" s="88" customFormat="1" ht="24" customHeight="1">
      <c r="A89" s="680" t="s">
        <v>6927</v>
      </c>
      <c r="B89" s="680"/>
      <c r="C89" s="680"/>
      <c r="D89" s="680"/>
      <c r="E89" s="680"/>
      <c r="F89" s="680"/>
      <c r="G89" s="680"/>
      <c r="H89" s="680"/>
      <c r="I89" s="680"/>
      <c r="J89" s="281">
        <f>SUM(J81:J88)</f>
        <v>1166.90523091</v>
      </c>
      <c r="K89" s="255"/>
      <c r="L89" s="255"/>
      <c r="M89" s="255"/>
      <c r="N89" s="255"/>
      <c r="O89" s="255"/>
      <c r="P89" s="255"/>
    </row>
    <row r="90" spans="1:1001">
      <c r="A90" s="251"/>
      <c r="B90" s="299">
        <v>189</v>
      </c>
      <c r="C90" s="331" t="s">
        <v>2</v>
      </c>
      <c r="D90" s="274"/>
      <c r="E90" s="276"/>
      <c r="F90" s="276"/>
      <c r="G90" s="276"/>
      <c r="H90" s="276"/>
      <c r="I90" s="276"/>
      <c r="J90" s="276"/>
      <c r="K90" s="255"/>
      <c r="L90" s="255"/>
      <c r="M90" s="255"/>
      <c r="N90" s="255"/>
      <c r="O90" s="255"/>
      <c r="P90" s="255"/>
    </row>
    <row r="91" spans="1:1001">
      <c r="A91" s="251" t="s">
        <v>6307</v>
      </c>
      <c r="B91" s="290">
        <v>362</v>
      </c>
      <c r="C91" s="301" t="str">
        <f>(IF($A91="SINAPI",INDEX(SINAPI_NOV2020_NDES!$A$7:$H$6703,MATCH($B91,SINAPI_NOV2020_NDES!$A$7:$A$6703,0),2),IF($A91="GOINFRA",INDEX(#REF!,MATCH($B91,#REF!,0),2),(INDEX(COMPOS!$A$4:$G$390,MATCH($B91,COMPOS!$A$4:A$390,0),2)))))</f>
        <v>LIMPEZA FINAL DA OBRA</v>
      </c>
      <c r="D91" s="274" t="str">
        <f>(IF($A91="SINAPI",INDEX(SINAPI_NOV2020_NDES!$A$7:$H$6790,MATCH($B91,SINAPI_NOV2020_NDES!$A$7:$A$6790,0),3),(INDEX(COMPOS!$A$4:$G$5000,MATCH($B91,COMPOS!$A$4:$A$5000,0),3))))</f>
        <v>M2</v>
      </c>
      <c r="E91" s="276">
        <v>7.48</v>
      </c>
      <c r="F91" s="279">
        <f>(IF($A91="SINAPI",INDEX(SINAPI_NOV2020_NDES!$A$7:$H$6703,MATCH($B91,SINAPI_NOV2020_NDES!$A$7:$A$6703,0),5),(INDEX(COMPOS!$A$4:$G$801,MATCH($B91,COMPOS!$A$4:A$801,0),4))))</f>
        <v>2.2664999999999997</v>
      </c>
      <c r="G91" s="280">
        <f>(IF($A91="SINAPI",INDEX(SINAPI_NOV2020_NDES!$A$7:$H$6703,MATCH($B91,SINAPI_NOV2020_NDES!$A$7:$A$6703,0),6),(INDEX(COMPOS!$A$4:$G$801,MATCH($B91,COMPOS!$A$4:A$801,0),5))))</f>
        <v>0.62687100000000007</v>
      </c>
      <c r="H91" s="280">
        <f>(IF($A91="SINAPI",INDEX(SINAPI_NOV2020_NDES!$A$7:$H$6703,MATCH($B91,SINAPI_NOV2020_NDES!$A$7:$A$6703,0),7),(INDEX(COMPOS!$A$4:$G$801,MATCH($B91,COMPOS!$A$4:A$801,0),6))))</f>
        <v>0</v>
      </c>
      <c r="I91" s="279">
        <f t="shared" ref="I91" si="38">SUM(F91:H91)</f>
        <v>2.8933709999999997</v>
      </c>
      <c r="J91" s="276">
        <f t="shared" ref="J91" si="39">+I91*E91</f>
        <v>21.642415079999999</v>
      </c>
      <c r="K91" s="255"/>
      <c r="L91" s="255"/>
      <c r="M91" s="255"/>
      <c r="N91" s="255"/>
      <c r="O91" s="257"/>
      <c r="P91" s="255"/>
    </row>
    <row r="92" spans="1:1001" s="88" customFormat="1" ht="24" customHeight="1">
      <c r="A92" s="680" t="s">
        <v>6927</v>
      </c>
      <c r="B92" s="680"/>
      <c r="C92" s="680"/>
      <c r="D92" s="680"/>
      <c r="E92" s="680"/>
      <c r="F92" s="680"/>
      <c r="G92" s="680"/>
      <c r="H92" s="680"/>
      <c r="I92" s="680"/>
      <c r="J92" s="281">
        <f>SUM(J91)</f>
        <v>21.642415079999999</v>
      </c>
      <c r="K92" s="255"/>
      <c r="L92" s="255"/>
      <c r="M92" s="255"/>
      <c r="N92" s="255"/>
      <c r="O92" s="255"/>
      <c r="P92" s="255"/>
    </row>
    <row r="93" spans="1:1001" s="191" customFormat="1" ht="12.75" customHeight="1">
      <c r="A93" s="680" t="s">
        <v>7104</v>
      </c>
      <c r="B93" s="680"/>
      <c r="C93" s="680"/>
      <c r="D93" s="680"/>
      <c r="E93" s="680"/>
      <c r="F93" s="680"/>
      <c r="G93" s="680"/>
      <c r="H93" s="680"/>
      <c r="I93" s="680"/>
      <c r="J93" s="281">
        <f>SUMPRODUCT($E$14:$E$91,F14:F91)</f>
        <v>4229.8635110759997</v>
      </c>
      <c r="K93" s="255"/>
      <c r="L93" s="255"/>
      <c r="M93" s="255"/>
      <c r="N93" s="255"/>
      <c r="O93" s="255"/>
      <c r="P93" s="257"/>
      <c r="Q93" s="255"/>
      <c r="R93" s="255"/>
      <c r="S93" s="255"/>
      <c r="T93" s="255"/>
      <c r="U93" s="255"/>
      <c r="V93" s="255"/>
      <c r="W93" s="255"/>
      <c r="X93" s="255"/>
      <c r="Y93" s="255"/>
      <c r="Z93" s="255"/>
      <c r="AA93" s="255"/>
      <c r="AB93" s="255"/>
      <c r="AC93" s="255"/>
      <c r="AD93" s="255"/>
      <c r="AE93" s="255"/>
      <c r="AF93" s="255"/>
      <c r="AG93" s="255"/>
      <c r="AH93" s="255"/>
      <c r="AI93" s="255"/>
      <c r="AJ93" s="255"/>
      <c r="AK93" s="255"/>
      <c r="AL93" s="255"/>
      <c r="AM93" s="255"/>
      <c r="AN93" s="255"/>
      <c r="AO93" s="255"/>
      <c r="AP93" s="255"/>
      <c r="AQ93" s="255"/>
      <c r="AR93" s="255"/>
      <c r="AS93" s="255"/>
      <c r="AT93" s="255"/>
      <c r="AU93" s="255"/>
      <c r="AV93" s="255"/>
      <c r="AW93" s="255"/>
      <c r="AX93" s="255"/>
      <c r="AY93" s="255"/>
      <c r="AZ93" s="255"/>
      <c r="BA93" s="255"/>
      <c r="BB93" s="255"/>
      <c r="BC93" s="255"/>
      <c r="BD93" s="255"/>
      <c r="BE93" s="255"/>
      <c r="BF93" s="255"/>
      <c r="BG93" s="255"/>
      <c r="BH93" s="255"/>
      <c r="BI93" s="255"/>
      <c r="BJ93" s="255"/>
      <c r="BK93" s="255"/>
      <c r="BL93" s="255"/>
      <c r="BM93" s="255"/>
      <c r="BN93" s="255"/>
      <c r="BO93" s="255"/>
      <c r="BP93" s="255"/>
      <c r="BQ93" s="255"/>
      <c r="BR93" s="255"/>
      <c r="BS93" s="255"/>
      <c r="BT93" s="255"/>
      <c r="BU93" s="255"/>
      <c r="BV93" s="255"/>
      <c r="BW93" s="255"/>
      <c r="BX93" s="255"/>
      <c r="BY93" s="255"/>
      <c r="BZ93" s="255"/>
      <c r="CA93" s="255"/>
      <c r="CB93" s="255"/>
      <c r="CC93" s="255"/>
      <c r="CD93" s="255"/>
      <c r="CE93" s="255"/>
      <c r="CF93" s="255"/>
      <c r="CG93" s="255"/>
      <c r="CH93" s="255"/>
      <c r="CI93" s="255"/>
      <c r="CJ93" s="255"/>
      <c r="CK93" s="255"/>
      <c r="CL93" s="255"/>
      <c r="CM93" s="255"/>
      <c r="CN93" s="255"/>
      <c r="CO93" s="255"/>
      <c r="CP93" s="255"/>
      <c r="CQ93" s="255"/>
      <c r="CR93" s="255"/>
      <c r="CS93" s="255"/>
      <c r="CT93" s="255"/>
      <c r="CU93" s="255"/>
      <c r="CV93" s="255"/>
      <c r="CW93" s="255"/>
      <c r="CX93" s="255"/>
      <c r="CY93" s="255"/>
      <c r="CZ93" s="255"/>
      <c r="DA93" s="255"/>
      <c r="DB93" s="255"/>
      <c r="DC93" s="255"/>
      <c r="DD93" s="255"/>
      <c r="DE93" s="255"/>
      <c r="DF93" s="255"/>
      <c r="DG93" s="255"/>
      <c r="DH93" s="255"/>
      <c r="DI93" s="255"/>
      <c r="DJ93" s="255"/>
      <c r="DK93" s="255"/>
      <c r="DL93" s="255"/>
      <c r="DM93" s="255"/>
      <c r="DN93" s="255"/>
      <c r="DO93" s="255"/>
      <c r="DP93" s="255"/>
      <c r="DQ93" s="255"/>
      <c r="DR93" s="255"/>
      <c r="DS93" s="255"/>
      <c r="DT93" s="255"/>
      <c r="DU93" s="255"/>
      <c r="DV93" s="255"/>
      <c r="DW93" s="255"/>
      <c r="DX93" s="255"/>
      <c r="DY93" s="255"/>
      <c r="DZ93" s="255"/>
      <c r="EA93" s="255"/>
      <c r="EB93" s="255"/>
      <c r="EC93" s="255"/>
      <c r="ED93" s="255"/>
      <c r="EE93" s="255"/>
      <c r="EF93" s="255"/>
      <c r="EG93" s="255"/>
      <c r="EH93" s="255"/>
      <c r="EI93" s="255"/>
      <c r="EJ93" s="255"/>
      <c r="EK93" s="255"/>
      <c r="EL93" s="255"/>
      <c r="EM93" s="255"/>
      <c r="EN93" s="255"/>
      <c r="EO93" s="255"/>
      <c r="EP93" s="255"/>
      <c r="EQ93" s="255"/>
      <c r="ER93" s="255"/>
      <c r="ES93" s="255"/>
      <c r="ET93" s="255"/>
      <c r="EU93" s="255"/>
      <c r="EV93" s="255"/>
      <c r="EW93" s="255"/>
      <c r="EX93" s="255"/>
      <c r="EY93" s="255"/>
      <c r="EZ93" s="255"/>
      <c r="FA93" s="255"/>
      <c r="FB93" s="255"/>
      <c r="FC93" s="255"/>
      <c r="FD93" s="255"/>
      <c r="FE93" s="255"/>
      <c r="FF93" s="255"/>
      <c r="FG93" s="255"/>
      <c r="FH93" s="255"/>
      <c r="FI93" s="255"/>
      <c r="FJ93" s="255"/>
      <c r="FK93" s="255"/>
      <c r="FL93" s="255"/>
      <c r="FM93" s="255"/>
      <c r="FN93" s="255"/>
      <c r="FO93" s="255"/>
      <c r="FP93" s="255"/>
      <c r="FQ93" s="255"/>
      <c r="FR93" s="255"/>
      <c r="FS93" s="255"/>
      <c r="FT93" s="255"/>
      <c r="FU93" s="255"/>
      <c r="FV93" s="255"/>
      <c r="FW93" s="255"/>
      <c r="FX93" s="255"/>
      <c r="FY93" s="255"/>
      <c r="FZ93" s="255"/>
      <c r="GA93" s="255"/>
      <c r="GB93" s="255"/>
      <c r="GC93" s="255"/>
      <c r="GD93" s="255"/>
      <c r="GE93" s="255"/>
      <c r="GF93" s="255"/>
      <c r="GG93" s="255"/>
      <c r="GH93" s="255"/>
      <c r="GI93" s="255"/>
      <c r="GJ93" s="255"/>
      <c r="GK93" s="255"/>
      <c r="GL93" s="255"/>
      <c r="GM93" s="255"/>
      <c r="GN93" s="255"/>
      <c r="GO93" s="255"/>
      <c r="GP93" s="255"/>
      <c r="GQ93" s="255"/>
      <c r="GR93" s="255"/>
      <c r="GS93" s="255"/>
      <c r="GT93" s="255"/>
      <c r="GU93" s="255"/>
      <c r="GV93" s="255"/>
      <c r="GW93" s="255"/>
      <c r="GX93" s="255"/>
      <c r="GY93" s="255"/>
      <c r="GZ93" s="255"/>
      <c r="HA93" s="255"/>
      <c r="HB93" s="255"/>
      <c r="HC93" s="255"/>
      <c r="HD93" s="255"/>
      <c r="HE93" s="255"/>
      <c r="HF93" s="255"/>
      <c r="HG93" s="255"/>
      <c r="HH93" s="255"/>
      <c r="HI93" s="255"/>
      <c r="HJ93" s="255"/>
      <c r="HK93" s="255"/>
      <c r="HL93" s="255"/>
      <c r="HM93" s="255"/>
      <c r="HN93" s="255"/>
      <c r="HO93" s="255"/>
      <c r="HP93" s="255"/>
      <c r="HQ93" s="255"/>
      <c r="HR93" s="255"/>
      <c r="HS93" s="255"/>
      <c r="HT93" s="255"/>
      <c r="HU93" s="255"/>
      <c r="HV93" s="255"/>
      <c r="HW93" s="255"/>
      <c r="HX93" s="255"/>
      <c r="HY93" s="255"/>
      <c r="HZ93" s="255"/>
      <c r="IA93" s="255"/>
      <c r="IB93" s="255"/>
      <c r="IC93" s="255"/>
      <c r="ID93" s="255"/>
      <c r="IE93" s="255"/>
      <c r="IF93" s="255"/>
      <c r="IG93" s="255"/>
      <c r="IH93" s="255"/>
      <c r="II93" s="255"/>
      <c r="IJ93" s="255"/>
      <c r="IK93" s="255"/>
      <c r="IL93" s="255"/>
      <c r="IM93" s="255"/>
      <c r="IN93" s="255"/>
      <c r="IO93" s="255"/>
      <c r="IP93" s="255"/>
      <c r="IQ93" s="255"/>
      <c r="IR93" s="255"/>
      <c r="IS93" s="255"/>
      <c r="IT93" s="255"/>
      <c r="IU93" s="255"/>
      <c r="IV93" s="255"/>
      <c r="IW93" s="255"/>
      <c r="IX93" s="255"/>
      <c r="IY93" s="255"/>
      <c r="IZ93" s="255"/>
      <c r="JA93" s="255"/>
      <c r="JB93" s="255"/>
      <c r="JC93" s="255"/>
      <c r="JD93" s="255"/>
      <c r="JE93" s="255"/>
      <c r="JF93" s="255"/>
      <c r="JG93" s="255"/>
      <c r="JH93" s="255"/>
      <c r="JI93" s="255"/>
      <c r="JJ93" s="255"/>
      <c r="JK93" s="255"/>
      <c r="JL93" s="255"/>
      <c r="JM93" s="255"/>
      <c r="JN93" s="255"/>
      <c r="JO93" s="255"/>
      <c r="JP93" s="255"/>
      <c r="JQ93" s="255"/>
      <c r="JR93" s="255"/>
      <c r="JS93" s="255"/>
      <c r="JT93" s="255"/>
      <c r="JU93" s="255"/>
      <c r="JV93" s="255"/>
      <c r="JW93" s="255"/>
      <c r="JX93" s="255"/>
      <c r="JY93" s="255"/>
      <c r="JZ93" s="255"/>
      <c r="KA93" s="255"/>
      <c r="KB93" s="255"/>
      <c r="KC93" s="255"/>
      <c r="KD93" s="255"/>
      <c r="KE93" s="255"/>
      <c r="KF93" s="255"/>
      <c r="KG93" s="255"/>
      <c r="KH93" s="255"/>
      <c r="KI93" s="255"/>
      <c r="KJ93" s="255"/>
      <c r="KK93" s="255"/>
      <c r="KL93" s="255"/>
      <c r="KM93" s="255"/>
      <c r="KN93" s="255"/>
      <c r="KO93" s="255"/>
      <c r="KP93" s="255"/>
      <c r="KQ93" s="255"/>
      <c r="KR93" s="255"/>
      <c r="KS93" s="255"/>
      <c r="KT93" s="255"/>
      <c r="KU93" s="255"/>
      <c r="KV93" s="255"/>
      <c r="KW93" s="255"/>
      <c r="KX93" s="255"/>
      <c r="KY93" s="255"/>
      <c r="KZ93" s="255"/>
      <c r="LA93" s="255"/>
      <c r="LB93" s="255"/>
      <c r="LC93" s="255"/>
      <c r="LD93" s="255"/>
      <c r="LE93" s="255"/>
      <c r="LF93" s="255"/>
      <c r="LG93" s="255"/>
      <c r="LH93" s="255"/>
      <c r="LI93" s="255"/>
      <c r="LJ93" s="255"/>
      <c r="LK93" s="255"/>
      <c r="LL93" s="255"/>
      <c r="LM93" s="255"/>
      <c r="LN93" s="255"/>
      <c r="LO93" s="255"/>
      <c r="LP93" s="255"/>
      <c r="LQ93" s="255"/>
      <c r="LR93" s="255"/>
      <c r="LS93" s="255"/>
      <c r="LT93" s="255"/>
      <c r="LU93" s="255"/>
      <c r="LV93" s="255"/>
      <c r="LW93" s="255"/>
      <c r="LX93" s="255"/>
      <c r="LY93" s="255"/>
      <c r="LZ93" s="255"/>
      <c r="MA93" s="255"/>
      <c r="MB93" s="255"/>
      <c r="MC93" s="255"/>
      <c r="MD93" s="255"/>
      <c r="ME93" s="255"/>
      <c r="MF93" s="255"/>
      <c r="MG93" s="255"/>
      <c r="MH93" s="255"/>
      <c r="MI93" s="255"/>
      <c r="MJ93" s="255"/>
      <c r="MK93" s="255"/>
      <c r="ML93" s="255"/>
      <c r="MM93" s="255"/>
      <c r="MN93" s="255"/>
      <c r="MO93" s="255"/>
      <c r="MP93" s="255"/>
      <c r="MQ93" s="255"/>
      <c r="MR93" s="255"/>
      <c r="MS93" s="255"/>
      <c r="MT93" s="255"/>
      <c r="MU93" s="255"/>
      <c r="MV93" s="255"/>
      <c r="MW93" s="255"/>
      <c r="MX93" s="255"/>
      <c r="MY93" s="255"/>
      <c r="MZ93" s="255"/>
      <c r="NA93" s="255"/>
      <c r="NB93" s="255"/>
      <c r="NC93" s="255"/>
      <c r="ND93" s="255"/>
      <c r="NE93" s="255"/>
      <c r="NF93" s="255"/>
      <c r="NG93" s="255"/>
      <c r="NH93" s="255"/>
      <c r="NI93" s="255"/>
      <c r="NJ93" s="255"/>
      <c r="NK93" s="255"/>
      <c r="NL93" s="255"/>
      <c r="NM93" s="255"/>
      <c r="NN93" s="255"/>
      <c r="NO93" s="255"/>
      <c r="NP93" s="255"/>
      <c r="NQ93" s="255"/>
      <c r="NR93" s="255"/>
      <c r="NS93" s="255"/>
      <c r="NT93" s="255"/>
      <c r="NU93" s="255"/>
      <c r="NV93" s="255"/>
      <c r="NW93" s="255"/>
      <c r="NX93" s="255"/>
      <c r="NY93" s="255"/>
      <c r="NZ93" s="255"/>
      <c r="OA93" s="255"/>
      <c r="OB93" s="255"/>
      <c r="OC93" s="255"/>
      <c r="OD93" s="255"/>
      <c r="OE93" s="255"/>
      <c r="OF93" s="255"/>
      <c r="OG93" s="255"/>
      <c r="OH93" s="255"/>
      <c r="OI93" s="255"/>
      <c r="OJ93" s="255"/>
      <c r="OK93" s="255"/>
      <c r="OL93" s="255"/>
      <c r="OM93" s="255"/>
      <c r="ON93" s="255"/>
      <c r="OO93" s="255"/>
      <c r="OP93" s="255"/>
      <c r="OQ93" s="255"/>
      <c r="OR93" s="255"/>
      <c r="OS93" s="255"/>
      <c r="OT93" s="255"/>
      <c r="OU93" s="255"/>
      <c r="OV93" s="255"/>
      <c r="OW93" s="255"/>
      <c r="OX93" s="255"/>
      <c r="OY93" s="255"/>
      <c r="OZ93" s="255"/>
      <c r="PA93" s="255"/>
      <c r="PB93" s="255"/>
      <c r="PC93" s="255"/>
      <c r="PD93" s="255"/>
      <c r="PE93" s="255"/>
      <c r="PF93" s="255"/>
      <c r="PG93" s="255"/>
      <c r="PH93" s="255"/>
      <c r="PI93" s="255"/>
      <c r="PJ93" s="255"/>
      <c r="PK93" s="255"/>
      <c r="PL93" s="255"/>
      <c r="PM93" s="255"/>
      <c r="PN93" s="255"/>
      <c r="PO93" s="255"/>
      <c r="PP93" s="255"/>
      <c r="PQ93" s="255"/>
      <c r="PR93" s="255"/>
      <c r="PS93" s="255"/>
      <c r="PT93" s="255"/>
      <c r="PU93" s="255"/>
      <c r="PV93" s="255"/>
      <c r="PW93" s="255"/>
      <c r="PX93" s="255"/>
      <c r="PY93" s="255"/>
      <c r="PZ93" s="255"/>
      <c r="QA93" s="255"/>
      <c r="QB93" s="255"/>
      <c r="QC93" s="255"/>
      <c r="QD93" s="255"/>
      <c r="QE93" s="255"/>
      <c r="QF93" s="255"/>
      <c r="QG93" s="255"/>
      <c r="QH93" s="255"/>
      <c r="QI93" s="255"/>
      <c r="QJ93" s="255"/>
      <c r="QK93" s="255"/>
      <c r="QL93" s="255"/>
      <c r="QM93" s="255"/>
      <c r="QN93" s="255"/>
      <c r="QO93" s="255"/>
      <c r="QP93" s="255"/>
      <c r="QQ93" s="255"/>
      <c r="QR93" s="255"/>
      <c r="QS93" s="255"/>
      <c r="QT93" s="255"/>
      <c r="QU93" s="255"/>
      <c r="QV93" s="255"/>
      <c r="QW93" s="255"/>
      <c r="QX93" s="255"/>
      <c r="QY93" s="255"/>
      <c r="QZ93" s="255"/>
      <c r="RA93" s="255"/>
      <c r="RB93" s="255"/>
      <c r="RC93" s="255"/>
      <c r="RD93" s="255"/>
      <c r="RE93" s="255"/>
      <c r="RF93" s="255"/>
      <c r="RG93" s="255"/>
      <c r="RH93" s="255"/>
      <c r="RI93" s="255"/>
      <c r="RJ93" s="255"/>
      <c r="RK93" s="255"/>
      <c r="RL93" s="255"/>
      <c r="RM93" s="255"/>
      <c r="RN93" s="255"/>
      <c r="RO93" s="255"/>
      <c r="RP93" s="255"/>
      <c r="RQ93" s="255"/>
      <c r="RR93" s="255"/>
      <c r="RS93" s="255"/>
      <c r="RT93" s="255"/>
      <c r="RU93" s="255"/>
      <c r="RV93" s="255"/>
      <c r="RW93" s="255"/>
      <c r="RX93" s="255"/>
      <c r="RY93" s="255"/>
      <c r="RZ93" s="255"/>
      <c r="SA93" s="255"/>
      <c r="SB93" s="255"/>
      <c r="SC93" s="255"/>
      <c r="SD93" s="255"/>
      <c r="SE93" s="255"/>
      <c r="SF93" s="255"/>
      <c r="SG93" s="255"/>
      <c r="SH93" s="255"/>
      <c r="SI93" s="255"/>
      <c r="SJ93" s="255"/>
      <c r="SK93" s="255"/>
      <c r="SL93" s="255"/>
      <c r="SM93" s="255"/>
      <c r="SN93" s="255"/>
      <c r="SO93" s="255"/>
      <c r="SP93" s="255"/>
      <c r="SQ93" s="255"/>
      <c r="SR93" s="255"/>
      <c r="SS93" s="255"/>
      <c r="ST93" s="255"/>
      <c r="SU93" s="255"/>
      <c r="SV93" s="255"/>
      <c r="SW93" s="255"/>
      <c r="SX93" s="255"/>
      <c r="SY93" s="255"/>
      <c r="SZ93" s="255"/>
      <c r="TA93" s="255"/>
      <c r="TB93" s="255"/>
      <c r="TC93" s="255"/>
      <c r="TD93" s="255"/>
      <c r="TE93" s="255"/>
      <c r="TF93" s="255"/>
      <c r="TG93" s="255"/>
      <c r="TH93" s="255"/>
      <c r="TI93" s="255"/>
      <c r="TJ93" s="255"/>
      <c r="TK93" s="255"/>
      <c r="TL93" s="255"/>
      <c r="TM93" s="255"/>
      <c r="TN93" s="255"/>
      <c r="TO93" s="255"/>
      <c r="TP93" s="255"/>
      <c r="TQ93" s="255"/>
      <c r="TR93" s="255"/>
      <c r="TS93" s="255"/>
      <c r="TT93" s="255"/>
      <c r="TU93" s="255"/>
      <c r="TV93" s="255"/>
      <c r="TW93" s="255"/>
      <c r="TX93" s="255"/>
      <c r="TY93" s="255"/>
      <c r="TZ93" s="255"/>
      <c r="UA93" s="255"/>
      <c r="UB93" s="255"/>
      <c r="UC93" s="255"/>
      <c r="UD93" s="255"/>
      <c r="UE93" s="255"/>
      <c r="UF93" s="255"/>
      <c r="UG93" s="255"/>
      <c r="UH93" s="255"/>
      <c r="UI93" s="255"/>
      <c r="UJ93" s="255"/>
      <c r="UK93" s="255"/>
      <c r="UL93" s="255"/>
      <c r="UM93" s="255"/>
      <c r="UN93" s="255"/>
      <c r="UO93" s="255"/>
      <c r="UP93" s="255"/>
      <c r="UQ93" s="255"/>
      <c r="UR93" s="255"/>
      <c r="US93" s="255"/>
      <c r="UT93" s="255"/>
      <c r="UU93" s="255"/>
      <c r="UV93" s="255"/>
      <c r="UW93" s="255"/>
      <c r="UX93" s="255"/>
      <c r="UY93" s="255"/>
      <c r="UZ93" s="255"/>
      <c r="VA93" s="255"/>
      <c r="VB93" s="255"/>
      <c r="VC93" s="255"/>
      <c r="VD93" s="255"/>
      <c r="VE93" s="255"/>
      <c r="VF93" s="255"/>
      <c r="VG93" s="255"/>
      <c r="VH93" s="255"/>
      <c r="VI93" s="255"/>
      <c r="VJ93" s="255"/>
      <c r="VK93" s="255"/>
      <c r="VL93" s="255"/>
      <c r="VM93" s="255"/>
      <c r="VN93" s="255"/>
      <c r="VO93" s="255"/>
      <c r="VP93" s="255"/>
      <c r="VQ93" s="255"/>
      <c r="VR93" s="255"/>
      <c r="VS93" s="255"/>
      <c r="VT93" s="255"/>
      <c r="VU93" s="255"/>
      <c r="VV93" s="255"/>
      <c r="VW93" s="255"/>
      <c r="VX93" s="255"/>
      <c r="VY93" s="255"/>
      <c r="VZ93" s="255"/>
      <c r="WA93" s="255"/>
      <c r="WB93" s="255"/>
      <c r="WC93" s="255"/>
      <c r="WD93" s="255"/>
      <c r="WE93" s="255"/>
      <c r="WF93" s="255"/>
      <c r="WG93" s="255"/>
      <c r="WH93" s="255"/>
      <c r="WI93" s="255"/>
      <c r="WJ93" s="255"/>
      <c r="WK93" s="255"/>
      <c r="WL93" s="255"/>
      <c r="WM93" s="255"/>
      <c r="WN93" s="255"/>
      <c r="WO93" s="255"/>
      <c r="WP93" s="255"/>
      <c r="WQ93" s="255"/>
      <c r="WR93" s="255"/>
      <c r="WS93" s="255"/>
      <c r="WT93" s="255"/>
      <c r="WU93" s="255"/>
      <c r="WV93" s="255"/>
      <c r="WW93" s="255"/>
      <c r="WX93" s="255"/>
      <c r="WY93" s="255"/>
      <c r="WZ93" s="255"/>
      <c r="XA93" s="255"/>
      <c r="XB93" s="255"/>
      <c r="XC93" s="255"/>
      <c r="XD93" s="255"/>
      <c r="XE93" s="255"/>
      <c r="XF93" s="255"/>
      <c r="XG93" s="255"/>
      <c r="XH93" s="255"/>
      <c r="XI93" s="255"/>
      <c r="XJ93" s="255"/>
      <c r="XK93" s="255"/>
      <c r="XL93" s="255"/>
      <c r="XM93" s="255"/>
      <c r="XN93" s="255"/>
      <c r="XO93" s="255"/>
      <c r="XP93" s="255"/>
      <c r="XQ93" s="255"/>
      <c r="XR93" s="255"/>
      <c r="XS93" s="255"/>
      <c r="XT93" s="255"/>
      <c r="XU93" s="255"/>
      <c r="XV93" s="255"/>
      <c r="XW93" s="255"/>
      <c r="XX93" s="255"/>
      <c r="XY93" s="255"/>
      <c r="XZ93" s="255"/>
      <c r="YA93" s="255"/>
      <c r="YB93" s="255"/>
      <c r="YC93" s="255"/>
      <c r="YD93" s="255"/>
      <c r="YE93" s="255"/>
      <c r="YF93" s="255"/>
      <c r="YG93" s="255"/>
      <c r="YH93" s="255"/>
      <c r="YI93" s="255"/>
      <c r="YJ93" s="255"/>
      <c r="YK93" s="255"/>
      <c r="YL93" s="255"/>
      <c r="YM93" s="255"/>
      <c r="YN93" s="255"/>
      <c r="YO93" s="255"/>
      <c r="YP93" s="255"/>
      <c r="YQ93" s="255"/>
      <c r="YR93" s="255"/>
      <c r="YS93" s="255"/>
      <c r="YT93" s="255"/>
      <c r="YU93" s="255"/>
      <c r="YV93" s="255"/>
      <c r="YW93" s="255"/>
      <c r="YX93" s="255"/>
      <c r="YY93" s="255"/>
      <c r="YZ93" s="255"/>
      <c r="ZA93" s="255"/>
      <c r="ZB93" s="255"/>
      <c r="ZC93" s="255"/>
      <c r="ZD93" s="255"/>
      <c r="ZE93" s="255"/>
      <c r="ZF93" s="255"/>
      <c r="ZG93" s="255"/>
      <c r="ZH93" s="255"/>
      <c r="ZI93" s="255"/>
      <c r="ZJ93" s="255"/>
      <c r="ZK93" s="255"/>
      <c r="ZL93" s="255"/>
      <c r="ZM93" s="255"/>
      <c r="ZN93" s="255"/>
      <c r="ZO93" s="255"/>
      <c r="ZP93" s="255"/>
      <c r="ZQ93" s="255"/>
      <c r="ZR93" s="255"/>
      <c r="ZS93" s="255"/>
      <c r="ZT93" s="255"/>
      <c r="ZU93" s="255"/>
      <c r="ZV93" s="255"/>
      <c r="ZW93" s="255"/>
      <c r="ZX93" s="255"/>
      <c r="ZY93" s="255"/>
      <c r="ZZ93" s="255"/>
      <c r="AAA93" s="255"/>
      <c r="AAB93" s="255"/>
      <c r="AAC93" s="255"/>
      <c r="AAD93" s="255"/>
      <c r="AAE93" s="255"/>
      <c r="AAF93" s="255"/>
      <c r="AAG93" s="255"/>
      <c r="AAH93" s="255"/>
      <c r="AAI93" s="255"/>
      <c r="AAJ93" s="255"/>
      <c r="AAK93" s="255"/>
      <c r="AAL93" s="255"/>
      <c r="AAM93" s="255"/>
      <c r="AAN93" s="255"/>
      <c r="AAO93" s="255"/>
      <c r="AAP93" s="255"/>
      <c r="AAQ93" s="255"/>
      <c r="AAR93" s="255"/>
      <c r="AAS93" s="255"/>
      <c r="AAT93" s="255"/>
      <c r="AAU93" s="255"/>
      <c r="AAV93" s="255"/>
      <c r="AAW93" s="255"/>
      <c r="AAX93" s="255"/>
      <c r="AAY93" s="255"/>
      <c r="AAZ93" s="255"/>
      <c r="ABA93" s="255"/>
      <c r="ABB93" s="255"/>
      <c r="ABC93" s="255"/>
      <c r="ABD93" s="255"/>
      <c r="ABE93" s="255"/>
      <c r="ABF93" s="255"/>
      <c r="ABG93" s="255"/>
      <c r="ABH93" s="255"/>
      <c r="ABI93" s="255"/>
      <c r="ABJ93" s="255"/>
      <c r="ABK93" s="255"/>
      <c r="ABL93" s="255"/>
      <c r="ABM93" s="255"/>
      <c r="ABN93" s="255"/>
      <c r="ABO93" s="255"/>
      <c r="ABP93" s="255"/>
      <c r="ABQ93" s="255"/>
      <c r="ABR93" s="255"/>
      <c r="ABS93" s="255"/>
      <c r="ABT93" s="255"/>
      <c r="ABU93" s="255"/>
      <c r="ABV93" s="255"/>
      <c r="ABW93" s="255"/>
      <c r="ABX93" s="255"/>
      <c r="ABY93" s="255"/>
      <c r="ABZ93" s="255"/>
      <c r="ACA93" s="255"/>
      <c r="ACB93" s="255"/>
      <c r="ACC93" s="255"/>
      <c r="ACD93" s="255"/>
      <c r="ACE93" s="255"/>
      <c r="ACF93" s="255"/>
      <c r="ACG93" s="255"/>
      <c r="ACH93" s="255"/>
      <c r="ACI93" s="255"/>
      <c r="ACJ93" s="255"/>
      <c r="ACK93" s="255"/>
      <c r="ACL93" s="255"/>
      <c r="ACM93" s="255"/>
      <c r="ACN93" s="255"/>
      <c r="ACO93" s="255"/>
      <c r="ACP93" s="255"/>
      <c r="ACQ93" s="255"/>
      <c r="ACR93" s="255"/>
      <c r="ACS93" s="255"/>
      <c r="ACT93" s="255"/>
      <c r="ACU93" s="255"/>
      <c r="ACV93" s="255"/>
      <c r="ACW93" s="255"/>
      <c r="ACX93" s="255"/>
      <c r="ACY93" s="255"/>
      <c r="ACZ93" s="255"/>
      <c r="ADA93" s="255"/>
      <c r="ADB93" s="255"/>
      <c r="ADC93" s="255"/>
      <c r="ADD93" s="255"/>
      <c r="ADE93" s="255"/>
      <c r="ADF93" s="255"/>
      <c r="ADG93" s="255"/>
      <c r="ADH93" s="255"/>
      <c r="ADI93" s="255"/>
      <c r="ADJ93" s="255"/>
      <c r="ADK93" s="255"/>
      <c r="ADL93" s="255"/>
      <c r="ADM93" s="255"/>
      <c r="ADN93" s="255"/>
      <c r="ADO93" s="255"/>
      <c r="ADP93" s="255"/>
      <c r="ADQ93" s="255"/>
      <c r="ADR93" s="255"/>
      <c r="ADS93" s="255"/>
      <c r="ADT93" s="255"/>
      <c r="ADU93" s="255"/>
      <c r="ADV93" s="255"/>
      <c r="ADW93" s="255"/>
      <c r="ADX93" s="255"/>
      <c r="ADY93" s="255"/>
      <c r="ADZ93" s="255"/>
      <c r="AEA93" s="255"/>
      <c r="AEB93" s="255"/>
      <c r="AEC93" s="255"/>
      <c r="AED93" s="255"/>
      <c r="AEE93" s="255"/>
      <c r="AEF93" s="255"/>
      <c r="AEG93" s="255"/>
      <c r="AEH93" s="255"/>
      <c r="AEI93" s="255"/>
      <c r="AEJ93" s="255"/>
      <c r="AEK93" s="255"/>
      <c r="AEL93" s="255"/>
      <c r="AEM93" s="255"/>
      <c r="AEN93" s="255"/>
      <c r="AEO93" s="255"/>
      <c r="AEP93" s="255"/>
      <c r="AEQ93" s="255"/>
      <c r="AER93" s="255"/>
      <c r="AES93" s="255"/>
      <c r="AET93" s="255"/>
      <c r="AEU93" s="255"/>
      <c r="AEV93" s="255"/>
      <c r="AEW93" s="255"/>
      <c r="AEX93" s="255"/>
      <c r="AEY93" s="255"/>
      <c r="AEZ93" s="255"/>
      <c r="AFA93" s="255"/>
      <c r="AFB93" s="255"/>
      <c r="AFC93" s="255"/>
      <c r="AFD93" s="255"/>
      <c r="AFE93" s="255"/>
      <c r="AFF93" s="255"/>
      <c r="AFG93" s="255"/>
      <c r="AFH93" s="255"/>
      <c r="AFI93" s="255"/>
      <c r="AFJ93" s="255"/>
      <c r="AFK93" s="255"/>
      <c r="AFL93" s="255"/>
      <c r="AFM93" s="255"/>
      <c r="AFN93" s="255"/>
      <c r="AFO93" s="255"/>
      <c r="AFP93" s="255"/>
      <c r="AFQ93" s="255"/>
      <c r="AFR93" s="255"/>
      <c r="AFS93" s="255"/>
      <c r="AFT93" s="255"/>
      <c r="AFU93" s="255"/>
      <c r="AFV93" s="255"/>
      <c r="AFW93" s="255"/>
      <c r="AFX93" s="255"/>
      <c r="AFY93" s="255"/>
      <c r="AFZ93" s="255"/>
      <c r="AGA93" s="255"/>
      <c r="AGB93" s="255"/>
      <c r="AGC93" s="255"/>
      <c r="AGD93" s="255"/>
      <c r="AGE93" s="255"/>
      <c r="AGF93" s="255"/>
      <c r="AGG93" s="255"/>
      <c r="AGH93" s="255"/>
      <c r="AGI93" s="255"/>
      <c r="AGJ93" s="255"/>
      <c r="AGK93" s="255"/>
      <c r="AGL93" s="255"/>
      <c r="AGM93" s="255"/>
      <c r="AGN93" s="255"/>
      <c r="AGO93" s="255"/>
      <c r="AGP93" s="255"/>
      <c r="AGQ93" s="255"/>
      <c r="AGR93" s="255"/>
      <c r="AGS93" s="255"/>
      <c r="AGT93" s="255"/>
      <c r="AGU93" s="255"/>
      <c r="AGV93" s="255"/>
      <c r="AGW93" s="255"/>
      <c r="AGX93" s="255"/>
      <c r="AGY93" s="255"/>
      <c r="AGZ93" s="255"/>
      <c r="AHA93" s="255"/>
      <c r="AHB93" s="255"/>
      <c r="AHC93" s="255"/>
      <c r="AHD93" s="255"/>
      <c r="AHE93" s="255"/>
      <c r="AHF93" s="255"/>
      <c r="AHG93" s="255"/>
      <c r="AHH93" s="255"/>
      <c r="AHI93" s="255"/>
      <c r="AHJ93" s="255"/>
      <c r="AHK93" s="255"/>
      <c r="AHL93" s="255"/>
      <c r="AHM93" s="255"/>
      <c r="AHN93" s="255"/>
      <c r="AHO93" s="255"/>
      <c r="AHP93" s="255"/>
      <c r="AHQ93" s="255"/>
      <c r="AHR93" s="255"/>
      <c r="AHS93" s="255"/>
      <c r="AHT93" s="255"/>
      <c r="AHU93" s="255"/>
      <c r="AHV93" s="255"/>
      <c r="AHW93" s="255"/>
      <c r="AHX93" s="255"/>
      <c r="AHY93" s="255"/>
      <c r="AHZ93" s="255"/>
      <c r="AIA93" s="255"/>
      <c r="AIB93" s="255"/>
      <c r="AIC93" s="255"/>
      <c r="AID93" s="255"/>
      <c r="AIE93" s="255"/>
      <c r="AIF93" s="255"/>
      <c r="AIG93" s="255"/>
      <c r="AIH93" s="255"/>
      <c r="AII93" s="255"/>
      <c r="AIJ93" s="255"/>
      <c r="AIK93" s="255"/>
      <c r="AIL93" s="255"/>
      <c r="AIM93" s="255"/>
      <c r="AIN93" s="255"/>
      <c r="AIO93" s="255"/>
      <c r="AIP93" s="255"/>
      <c r="AIQ93" s="255"/>
      <c r="AIR93" s="255"/>
      <c r="AIS93" s="255"/>
      <c r="AIT93" s="255"/>
      <c r="AIU93" s="255"/>
      <c r="AIV93" s="255"/>
      <c r="AIW93" s="255"/>
      <c r="AIX93" s="255"/>
      <c r="AIY93" s="255"/>
      <c r="AIZ93" s="255"/>
      <c r="AJA93" s="255"/>
      <c r="AJB93" s="255"/>
      <c r="AJC93" s="255"/>
      <c r="AJD93" s="255"/>
      <c r="AJE93" s="255"/>
      <c r="AJF93" s="255"/>
      <c r="AJG93" s="255"/>
      <c r="AJH93" s="255"/>
      <c r="AJI93" s="255"/>
      <c r="AJJ93" s="255"/>
      <c r="AJK93" s="255"/>
      <c r="AJL93" s="255"/>
      <c r="AJM93" s="255"/>
      <c r="AJN93" s="255"/>
      <c r="AJO93" s="255"/>
      <c r="AJP93" s="255"/>
      <c r="AJQ93" s="255"/>
      <c r="AJR93" s="255"/>
      <c r="AJS93" s="255"/>
      <c r="AJT93" s="255"/>
      <c r="AJU93" s="255"/>
      <c r="AJV93" s="255"/>
      <c r="AJW93" s="255"/>
      <c r="AJX93" s="255"/>
      <c r="AJY93" s="255"/>
      <c r="AJZ93" s="255"/>
      <c r="AKA93" s="255"/>
      <c r="AKB93" s="255"/>
      <c r="AKC93" s="255"/>
      <c r="AKD93" s="255"/>
      <c r="AKE93" s="255"/>
      <c r="AKF93" s="255"/>
      <c r="AKG93" s="255"/>
      <c r="AKH93" s="255"/>
      <c r="AKI93" s="255"/>
      <c r="AKJ93" s="255"/>
      <c r="AKK93" s="255"/>
      <c r="AKL93" s="255"/>
      <c r="AKM93" s="255"/>
      <c r="AKN93" s="255"/>
      <c r="AKO93" s="255"/>
      <c r="AKP93" s="255"/>
      <c r="AKQ93" s="255"/>
      <c r="AKR93" s="255"/>
      <c r="AKS93" s="255"/>
      <c r="AKT93" s="255"/>
      <c r="AKU93" s="255"/>
      <c r="AKV93" s="255"/>
      <c r="AKW93" s="255"/>
      <c r="AKX93" s="255"/>
      <c r="AKY93" s="255"/>
      <c r="AKZ93" s="255"/>
      <c r="ALA93" s="255"/>
      <c r="ALB93" s="255"/>
      <c r="ALC93" s="255"/>
      <c r="ALD93" s="255"/>
      <c r="ALE93" s="42"/>
      <c r="ALF93" s="42"/>
      <c r="ALG93" s="42"/>
      <c r="ALH93" s="42"/>
      <c r="ALI93" s="42"/>
      <c r="ALJ93" s="42"/>
      <c r="ALK93" s="42"/>
      <c r="ALL93" s="42"/>
      <c r="ALM93" s="42"/>
    </row>
    <row r="94" spans="1:1001" s="191" customFormat="1" ht="12.75" customHeight="1">
      <c r="A94" s="680" t="s">
        <v>7103</v>
      </c>
      <c r="B94" s="680"/>
      <c r="C94" s="680"/>
      <c r="D94" s="680"/>
      <c r="E94" s="680"/>
      <c r="F94" s="680"/>
      <c r="G94" s="680"/>
      <c r="H94" s="680"/>
      <c r="I94" s="680"/>
      <c r="J94" s="281">
        <f>SUMPRODUCT(E12:E91,G12:G91)+SUMPRODUCT(E12:E91,H12:H91)</f>
        <v>9237.4079827059995</v>
      </c>
      <c r="K94" s="255"/>
      <c r="L94" s="255"/>
      <c r="M94" s="255"/>
      <c r="N94" s="255"/>
      <c r="O94" s="255"/>
      <c r="P94" s="255"/>
      <c r="Q94" s="255"/>
      <c r="R94" s="255"/>
      <c r="S94" s="255"/>
      <c r="T94" s="255"/>
      <c r="U94" s="255"/>
      <c r="V94" s="255"/>
      <c r="W94" s="255"/>
      <c r="X94" s="255"/>
      <c r="Y94" s="255"/>
      <c r="Z94" s="255"/>
      <c r="AA94" s="255"/>
      <c r="AB94" s="255"/>
      <c r="AC94" s="255"/>
      <c r="AD94" s="255"/>
      <c r="AE94" s="255"/>
      <c r="AF94" s="255"/>
      <c r="AG94" s="255"/>
      <c r="AH94" s="255"/>
      <c r="AI94" s="255"/>
      <c r="AJ94" s="255"/>
      <c r="AK94" s="255"/>
      <c r="AL94" s="255"/>
      <c r="AM94" s="255"/>
      <c r="AN94" s="255"/>
      <c r="AO94" s="255"/>
      <c r="AP94" s="255"/>
      <c r="AQ94" s="255"/>
      <c r="AR94" s="255"/>
      <c r="AS94" s="255"/>
      <c r="AT94" s="255"/>
      <c r="AU94" s="255"/>
      <c r="AV94" s="255"/>
      <c r="AW94" s="255"/>
      <c r="AX94" s="255"/>
      <c r="AY94" s="255"/>
      <c r="AZ94" s="255"/>
      <c r="BA94" s="255"/>
      <c r="BB94" s="255"/>
      <c r="BC94" s="255"/>
      <c r="BD94" s="255"/>
      <c r="BE94" s="255"/>
      <c r="BF94" s="255"/>
      <c r="BG94" s="255"/>
      <c r="BH94" s="255"/>
      <c r="BI94" s="255"/>
      <c r="BJ94" s="255"/>
      <c r="BK94" s="255"/>
      <c r="BL94" s="255"/>
      <c r="BM94" s="255"/>
      <c r="BN94" s="255"/>
      <c r="BO94" s="255"/>
      <c r="BP94" s="255"/>
      <c r="BQ94" s="255"/>
      <c r="BR94" s="255"/>
      <c r="BS94" s="255"/>
      <c r="BT94" s="255"/>
      <c r="BU94" s="255"/>
      <c r="BV94" s="255"/>
      <c r="BW94" s="255"/>
      <c r="BX94" s="255"/>
      <c r="BY94" s="255"/>
      <c r="BZ94" s="255"/>
      <c r="CA94" s="255"/>
      <c r="CB94" s="255"/>
      <c r="CC94" s="255"/>
      <c r="CD94" s="255"/>
      <c r="CE94" s="255"/>
      <c r="CF94" s="255"/>
      <c r="CG94" s="255"/>
      <c r="CH94" s="255"/>
      <c r="CI94" s="255"/>
      <c r="CJ94" s="255"/>
      <c r="CK94" s="255"/>
      <c r="CL94" s="255"/>
      <c r="CM94" s="255"/>
      <c r="CN94" s="255"/>
      <c r="CO94" s="255"/>
      <c r="CP94" s="255"/>
      <c r="CQ94" s="255"/>
      <c r="CR94" s="255"/>
      <c r="CS94" s="255"/>
      <c r="CT94" s="255"/>
      <c r="CU94" s="255"/>
      <c r="CV94" s="255"/>
      <c r="CW94" s="255"/>
      <c r="CX94" s="255"/>
      <c r="CY94" s="255"/>
      <c r="CZ94" s="255"/>
      <c r="DA94" s="255"/>
      <c r="DB94" s="255"/>
      <c r="DC94" s="255"/>
      <c r="DD94" s="255"/>
      <c r="DE94" s="255"/>
      <c r="DF94" s="255"/>
      <c r="DG94" s="255"/>
      <c r="DH94" s="255"/>
      <c r="DI94" s="255"/>
      <c r="DJ94" s="255"/>
      <c r="DK94" s="255"/>
      <c r="DL94" s="255"/>
      <c r="DM94" s="255"/>
      <c r="DN94" s="255"/>
      <c r="DO94" s="255"/>
      <c r="DP94" s="255"/>
      <c r="DQ94" s="255"/>
      <c r="DR94" s="255"/>
      <c r="DS94" s="255"/>
      <c r="DT94" s="255"/>
      <c r="DU94" s="255"/>
      <c r="DV94" s="255"/>
      <c r="DW94" s="255"/>
      <c r="DX94" s="255"/>
      <c r="DY94" s="255"/>
      <c r="DZ94" s="255"/>
      <c r="EA94" s="255"/>
      <c r="EB94" s="255"/>
      <c r="EC94" s="255"/>
      <c r="ED94" s="255"/>
      <c r="EE94" s="255"/>
      <c r="EF94" s="255"/>
      <c r="EG94" s="255"/>
      <c r="EH94" s="255"/>
      <c r="EI94" s="255"/>
      <c r="EJ94" s="255"/>
      <c r="EK94" s="255"/>
      <c r="EL94" s="255"/>
      <c r="EM94" s="255"/>
      <c r="EN94" s="255"/>
      <c r="EO94" s="255"/>
      <c r="EP94" s="255"/>
      <c r="EQ94" s="255"/>
      <c r="ER94" s="255"/>
      <c r="ES94" s="255"/>
      <c r="ET94" s="255"/>
      <c r="EU94" s="255"/>
      <c r="EV94" s="255"/>
      <c r="EW94" s="255"/>
      <c r="EX94" s="255"/>
      <c r="EY94" s="255"/>
      <c r="EZ94" s="255"/>
      <c r="FA94" s="255"/>
      <c r="FB94" s="255"/>
      <c r="FC94" s="255"/>
      <c r="FD94" s="255"/>
      <c r="FE94" s="255"/>
      <c r="FF94" s="255"/>
      <c r="FG94" s="255"/>
      <c r="FH94" s="255"/>
      <c r="FI94" s="255"/>
      <c r="FJ94" s="255"/>
      <c r="FK94" s="255"/>
      <c r="FL94" s="255"/>
      <c r="FM94" s="255"/>
      <c r="FN94" s="255"/>
      <c r="FO94" s="255"/>
      <c r="FP94" s="255"/>
      <c r="FQ94" s="255"/>
      <c r="FR94" s="255"/>
      <c r="FS94" s="255"/>
      <c r="FT94" s="255"/>
      <c r="FU94" s="255"/>
      <c r="FV94" s="255"/>
      <c r="FW94" s="255"/>
      <c r="FX94" s="255"/>
      <c r="FY94" s="255"/>
      <c r="FZ94" s="255"/>
      <c r="GA94" s="255"/>
      <c r="GB94" s="255"/>
      <c r="GC94" s="255"/>
      <c r="GD94" s="255"/>
      <c r="GE94" s="255"/>
      <c r="GF94" s="255"/>
      <c r="GG94" s="255"/>
      <c r="GH94" s="255"/>
      <c r="GI94" s="255"/>
      <c r="GJ94" s="255"/>
      <c r="GK94" s="255"/>
      <c r="GL94" s="255"/>
      <c r="GM94" s="255"/>
      <c r="GN94" s="255"/>
      <c r="GO94" s="255"/>
      <c r="GP94" s="255"/>
      <c r="GQ94" s="255"/>
      <c r="GR94" s="255"/>
      <c r="GS94" s="255"/>
      <c r="GT94" s="255"/>
      <c r="GU94" s="255"/>
      <c r="GV94" s="255"/>
      <c r="GW94" s="255"/>
      <c r="GX94" s="255"/>
      <c r="GY94" s="255"/>
      <c r="GZ94" s="255"/>
      <c r="HA94" s="255"/>
      <c r="HB94" s="255"/>
      <c r="HC94" s="255"/>
      <c r="HD94" s="255"/>
      <c r="HE94" s="255"/>
      <c r="HF94" s="255"/>
      <c r="HG94" s="255"/>
      <c r="HH94" s="255"/>
      <c r="HI94" s="255"/>
      <c r="HJ94" s="255"/>
      <c r="HK94" s="255"/>
      <c r="HL94" s="255"/>
      <c r="HM94" s="255"/>
      <c r="HN94" s="255"/>
      <c r="HO94" s="255"/>
      <c r="HP94" s="255"/>
      <c r="HQ94" s="255"/>
      <c r="HR94" s="255"/>
      <c r="HS94" s="255"/>
      <c r="HT94" s="255"/>
      <c r="HU94" s="255"/>
      <c r="HV94" s="255"/>
      <c r="HW94" s="255"/>
      <c r="HX94" s="255"/>
      <c r="HY94" s="255"/>
      <c r="HZ94" s="255"/>
      <c r="IA94" s="255"/>
      <c r="IB94" s="255"/>
      <c r="IC94" s="255"/>
      <c r="ID94" s="255"/>
      <c r="IE94" s="255"/>
      <c r="IF94" s="255"/>
      <c r="IG94" s="255"/>
      <c r="IH94" s="255"/>
      <c r="II94" s="255"/>
      <c r="IJ94" s="255"/>
      <c r="IK94" s="255"/>
      <c r="IL94" s="255"/>
      <c r="IM94" s="255"/>
      <c r="IN94" s="255"/>
      <c r="IO94" s="255"/>
      <c r="IP94" s="255"/>
      <c r="IQ94" s="255"/>
      <c r="IR94" s="255"/>
      <c r="IS94" s="255"/>
      <c r="IT94" s="255"/>
      <c r="IU94" s="255"/>
      <c r="IV94" s="255"/>
      <c r="IW94" s="255"/>
      <c r="IX94" s="255"/>
      <c r="IY94" s="255"/>
      <c r="IZ94" s="255"/>
      <c r="JA94" s="255"/>
      <c r="JB94" s="255"/>
      <c r="JC94" s="255"/>
      <c r="JD94" s="255"/>
      <c r="JE94" s="255"/>
      <c r="JF94" s="255"/>
      <c r="JG94" s="255"/>
      <c r="JH94" s="255"/>
      <c r="JI94" s="255"/>
      <c r="JJ94" s="255"/>
      <c r="JK94" s="255"/>
      <c r="JL94" s="255"/>
      <c r="JM94" s="255"/>
      <c r="JN94" s="255"/>
      <c r="JO94" s="255"/>
      <c r="JP94" s="255"/>
      <c r="JQ94" s="255"/>
      <c r="JR94" s="255"/>
      <c r="JS94" s="255"/>
      <c r="JT94" s="255"/>
      <c r="JU94" s="255"/>
      <c r="JV94" s="255"/>
      <c r="JW94" s="255"/>
      <c r="JX94" s="255"/>
      <c r="JY94" s="255"/>
      <c r="JZ94" s="255"/>
      <c r="KA94" s="255"/>
      <c r="KB94" s="255"/>
      <c r="KC94" s="255"/>
      <c r="KD94" s="255"/>
      <c r="KE94" s="255"/>
      <c r="KF94" s="255"/>
      <c r="KG94" s="255"/>
      <c r="KH94" s="255"/>
      <c r="KI94" s="255"/>
      <c r="KJ94" s="255"/>
      <c r="KK94" s="255"/>
      <c r="KL94" s="255"/>
      <c r="KM94" s="255"/>
      <c r="KN94" s="255"/>
      <c r="KO94" s="255"/>
      <c r="KP94" s="255"/>
      <c r="KQ94" s="255"/>
      <c r="KR94" s="255"/>
      <c r="KS94" s="255"/>
      <c r="KT94" s="255"/>
      <c r="KU94" s="255"/>
      <c r="KV94" s="255"/>
      <c r="KW94" s="255"/>
      <c r="KX94" s="255"/>
      <c r="KY94" s="255"/>
      <c r="KZ94" s="255"/>
      <c r="LA94" s="255"/>
      <c r="LB94" s="255"/>
      <c r="LC94" s="255"/>
      <c r="LD94" s="255"/>
      <c r="LE94" s="255"/>
      <c r="LF94" s="255"/>
      <c r="LG94" s="255"/>
      <c r="LH94" s="255"/>
      <c r="LI94" s="255"/>
      <c r="LJ94" s="255"/>
      <c r="LK94" s="255"/>
      <c r="LL94" s="255"/>
      <c r="LM94" s="255"/>
      <c r="LN94" s="255"/>
      <c r="LO94" s="255"/>
      <c r="LP94" s="255"/>
      <c r="LQ94" s="255"/>
      <c r="LR94" s="255"/>
      <c r="LS94" s="255"/>
      <c r="LT94" s="255"/>
      <c r="LU94" s="255"/>
      <c r="LV94" s="255"/>
      <c r="LW94" s="255"/>
      <c r="LX94" s="255"/>
      <c r="LY94" s="255"/>
      <c r="LZ94" s="255"/>
      <c r="MA94" s="255"/>
      <c r="MB94" s="255"/>
      <c r="MC94" s="255"/>
      <c r="MD94" s="255"/>
      <c r="ME94" s="255"/>
      <c r="MF94" s="255"/>
      <c r="MG94" s="255"/>
      <c r="MH94" s="255"/>
      <c r="MI94" s="255"/>
      <c r="MJ94" s="255"/>
      <c r="MK94" s="255"/>
      <c r="ML94" s="255"/>
      <c r="MM94" s="255"/>
      <c r="MN94" s="255"/>
      <c r="MO94" s="255"/>
      <c r="MP94" s="255"/>
      <c r="MQ94" s="255"/>
      <c r="MR94" s="255"/>
      <c r="MS94" s="255"/>
      <c r="MT94" s="255"/>
      <c r="MU94" s="255"/>
      <c r="MV94" s="255"/>
      <c r="MW94" s="255"/>
      <c r="MX94" s="255"/>
      <c r="MY94" s="255"/>
      <c r="MZ94" s="255"/>
      <c r="NA94" s="255"/>
      <c r="NB94" s="255"/>
      <c r="NC94" s="255"/>
      <c r="ND94" s="255"/>
      <c r="NE94" s="255"/>
      <c r="NF94" s="255"/>
      <c r="NG94" s="255"/>
      <c r="NH94" s="255"/>
      <c r="NI94" s="255"/>
      <c r="NJ94" s="255"/>
      <c r="NK94" s="255"/>
      <c r="NL94" s="255"/>
      <c r="NM94" s="255"/>
      <c r="NN94" s="255"/>
      <c r="NO94" s="255"/>
      <c r="NP94" s="255"/>
      <c r="NQ94" s="255"/>
      <c r="NR94" s="255"/>
      <c r="NS94" s="255"/>
      <c r="NT94" s="255"/>
      <c r="NU94" s="255"/>
      <c r="NV94" s="255"/>
      <c r="NW94" s="255"/>
      <c r="NX94" s="255"/>
      <c r="NY94" s="255"/>
      <c r="NZ94" s="255"/>
      <c r="OA94" s="255"/>
      <c r="OB94" s="255"/>
      <c r="OC94" s="255"/>
      <c r="OD94" s="255"/>
      <c r="OE94" s="255"/>
      <c r="OF94" s="255"/>
      <c r="OG94" s="255"/>
      <c r="OH94" s="255"/>
      <c r="OI94" s="255"/>
      <c r="OJ94" s="255"/>
      <c r="OK94" s="255"/>
      <c r="OL94" s="255"/>
      <c r="OM94" s="255"/>
      <c r="ON94" s="255"/>
      <c r="OO94" s="255"/>
      <c r="OP94" s="255"/>
      <c r="OQ94" s="255"/>
      <c r="OR94" s="255"/>
      <c r="OS94" s="255"/>
      <c r="OT94" s="255"/>
      <c r="OU94" s="255"/>
      <c r="OV94" s="255"/>
      <c r="OW94" s="255"/>
      <c r="OX94" s="255"/>
      <c r="OY94" s="255"/>
      <c r="OZ94" s="255"/>
      <c r="PA94" s="255"/>
      <c r="PB94" s="255"/>
      <c r="PC94" s="255"/>
      <c r="PD94" s="255"/>
      <c r="PE94" s="255"/>
      <c r="PF94" s="255"/>
      <c r="PG94" s="255"/>
      <c r="PH94" s="255"/>
      <c r="PI94" s="255"/>
      <c r="PJ94" s="255"/>
      <c r="PK94" s="255"/>
      <c r="PL94" s="255"/>
      <c r="PM94" s="255"/>
      <c r="PN94" s="255"/>
      <c r="PO94" s="255"/>
      <c r="PP94" s="255"/>
      <c r="PQ94" s="255"/>
      <c r="PR94" s="255"/>
      <c r="PS94" s="255"/>
      <c r="PT94" s="255"/>
      <c r="PU94" s="255"/>
      <c r="PV94" s="255"/>
      <c r="PW94" s="255"/>
      <c r="PX94" s="255"/>
      <c r="PY94" s="255"/>
      <c r="PZ94" s="255"/>
      <c r="QA94" s="255"/>
      <c r="QB94" s="255"/>
      <c r="QC94" s="255"/>
      <c r="QD94" s="255"/>
      <c r="QE94" s="255"/>
      <c r="QF94" s="255"/>
      <c r="QG94" s="255"/>
      <c r="QH94" s="255"/>
      <c r="QI94" s="255"/>
      <c r="QJ94" s="255"/>
      <c r="QK94" s="255"/>
      <c r="QL94" s="255"/>
      <c r="QM94" s="255"/>
      <c r="QN94" s="255"/>
      <c r="QO94" s="255"/>
      <c r="QP94" s="255"/>
      <c r="QQ94" s="255"/>
      <c r="QR94" s="255"/>
      <c r="QS94" s="255"/>
      <c r="QT94" s="255"/>
      <c r="QU94" s="255"/>
      <c r="QV94" s="255"/>
      <c r="QW94" s="255"/>
      <c r="QX94" s="255"/>
      <c r="QY94" s="255"/>
      <c r="QZ94" s="255"/>
      <c r="RA94" s="255"/>
      <c r="RB94" s="255"/>
      <c r="RC94" s="255"/>
      <c r="RD94" s="255"/>
      <c r="RE94" s="255"/>
      <c r="RF94" s="255"/>
      <c r="RG94" s="255"/>
      <c r="RH94" s="255"/>
      <c r="RI94" s="255"/>
      <c r="RJ94" s="255"/>
      <c r="RK94" s="255"/>
      <c r="RL94" s="255"/>
      <c r="RM94" s="255"/>
      <c r="RN94" s="255"/>
      <c r="RO94" s="255"/>
      <c r="RP94" s="255"/>
      <c r="RQ94" s="255"/>
      <c r="RR94" s="255"/>
      <c r="RS94" s="255"/>
      <c r="RT94" s="255"/>
      <c r="RU94" s="255"/>
      <c r="RV94" s="255"/>
      <c r="RW94" s="255"/>
      <c r="RX94" s="255"/>
      <c r="RY94" s="255"/>
      <c r="RZ94" s="255"/>
      <c r="SA94" s="255"/>
      <c r="SB94" s="255"/>
      <c r="SC94" s="255"/>
      <c r="SD94" s="255"/>
      <c r="SE94" s="255"/>
      <c r="SF94" s="255"/>
      <c r="SG94" s="255"/>
      <c r="SH94" s="255"/>
      <c r="SI94" s="255"/>
      <c r="SJ94" s="255"/>
      <c r="SK94" s="255"/>
      <c r="SL94" s="255"/>
      <c r="SM94" s="255"/>
      <c r="SN94" s="255"/>
      <c r="SO94" s="255"/>
      <c r="SP94" s="255"/>
      <c r="SQ94" s="255"/>
      <c r="SR94" s="255"/>
      <c r="SS94" s="255"/>
      <c r="ST94" s="255"/>
      <c r="SU94" s="255"/>
      <c r="SV94" s="255"/>
      <c r="SW94" s="255"/>
      <c r="SX94" s="255"/>
      <c r="SY94" s="255"/>
      <c r="SZ94" s="255"/>
      <c r="TA94" s="255"/>
      <c r="TB94" s="255"/>
      <c r="TC94" s="255"/>
      <c r="TD94" s="255"/>
      <c r="TE94" s="255"/>
      <c r="TF94" s="255"/>
      <c r="TG94" s="255"/>
      <c r="TH94" s="255"/>
      <c r="TI94" s="255"/>
      <c r="TJ94" s="255"/>
      <c r="TK94" s="255"/>
      <c r="TL94" s="255"/>
      <c r="TM94" s="255"/>
      <c r="TN94" s="255"/>
      <c r="TO94" s="255"/>
      <c r="TP94" s="255"/>
      <c r="TQ94" s="255"/>
      <c r="TR94" s="255"/>
      <c r="TS94" s="255"/>
      <c r="TT94" s="255"/>
      <c r="TU94" s="255"/>
      <c r="TV94" s="255"/>
      <c r="TW94" s="255"/>
      <c r="TX94" s="255"/>
      <c r="TY94" s="255"/>
      <c r="TZ94" s="255"/>
      <c r="UA94" s="255"/>
      <c r="UB94" s="255"/>
      <c r="UC94" s="255"/>
      <c r="UD94" s="255"/>
      <c r="UE94" s="255"/>
      <c r="UF94" s="255"/>
      <c r="UG94" s="255"/>
      <c r="UH94" s="255"/>
      <c r="UI94" s="255"/>
      <c r="UJ94" s="255"/>
      <c r="UK94" s="255"/>
      <c r="UL94" s="255"/>
      <c r="UM94" s="255"/>
      <c r="UN94" s="255"/>
      <c r="UO94" s="255"/>
      <c r="UP94" s="255"/>
      <c r="UQ94" s="255"/>
      <c r="UR94" s="255"/>
      <c r="US94" s="255"/>
      <c r="UT94" s="255"/>
      <c r="UU94" s="255"/>
      <c r="UV94" s="255"/>
      <c r="UW94" s="255"/>
      <c r="UX94" s="255"/>
      <c r="UY94" s="255"/>
      <c r="UZ94" s="255"/>
      <c r="VA94" s="255"/>
      <c r="VB94" s="255"/>
      <c r="VC94" s="255"/>
      <c r="VD94" s="255"/>
      <c r="VE94" s="255"/>
      <c r="VF94" s="255"/>
      <c r="VG94" s="255"/>
      <c r="VH94" s="255"/>
      <c r="VI94" s="255"/>
      <c r="VJ94" s="255"/>
      <c r="VK94" s="255"/>
      <c r="VL94" s="255"/>
      <c r="VM94" s="255"/>
      <c r="VN94" s="255"/>
      <c r="VO94" s="255"/>
      <c r="VP94" s="255"/>
      <c r="VQ94" s="255"/>
      <c r="VR94" s="255"/>
      <c r="VS94" s="255"/>
      <c r="VT94" s="255"/>
      <c r="VU94" s="255"/>
      <c r="VV94" s="255"/>
      <c r="VW94" s="255"/>
      <c r="VX94" s="255"/>
      <c r="VY94" s="255"/>
      <c r="VZ94" s="255"/>
      <c r="WA94" s="255"/>
      <c r="WB94" s="255"/>
      <c r="WC94" s="255"/>
      <c r="WD94" s="255"/>
      <c r="WE94" s="255"/>
      <c r="WF94" s="255"/>
      <c r="WG94" s="255"/>
      <c r="WH94" s="255"/>
      <c r="WI94" s="255"/>
      <c r="WJ94" s="255"/>
      <c r="WK94" s="255"/>
      <c r="WL94" s="255"/>
      <c r="WM94" s="255"/>
      <c r="WN94" s="255"/>
      <c r="WO94" s="255"/>
      <c r="WP94" s="255"/>
      <c r="WQ94" s="255"/>
      <c r="WR94" s="255"/>
      <c r="WS94" s="255"/>
      <c r="WT94" s="255"/>
      <c r="WU94" s="255"/>
      <c r="WV94" s="255"/>
      <c r="WW94" s="255"/>
      <c r="WX94" s="255"/>
      <c r="WY94" s="255"/>
      <c r="WZ94" s="255"/>
      <c r="XA94" s="255"/>
      <c r="XB94" s="255"/>
      <c r="XC94" s="255"/>
      <c r="XD94" s="255"/>
      <c r="XE94" s="255"/>
      <c r="XF94" s="255"/>
      <c r="XG94" s="255"/>
      <c r="XH94" s="255"/>
      <c r="XI94" s="255"/>
      <c r="XJ94" s="255"/>
      <c r="XK94" s="255"/>
      <c r="XL94" s="255"/>
      <c r="XM94" s="255"/>
      <c r="XN94" s="255"/>
      <c r="XO94" s="255"/>
      <c r="XP94" s="255"/>
      <c r="XQ94" s="255"/>
      <c r="XR94" s="255"/>
      <c r="XS94" s="255"/>
      <c r="XT94" s="255"/>
      <c r="XU94" s="255"/>
      <c r="XV94" s="255"/>
      <c r="XW94" s="255"/>
      <c r="XX94" s="255"/>
      <c r="XY94" s="255"/>
      <c r="XZ94" s="255"/>
      <c r="YA94" s="255"/>
      <c r="YB94" s="255"/>
      <c r="YC94" s="255"/>
      <c r="YD94" s="255"/>
      <c r="YE94" s="255"/>
      <c r="YF94" s="255"/>
      <c r="YG94" s="255"/>
      <c r="YH94" s="255"/>
      <c r="YI94" s="255"/>
      <c r="YJ94" s="255"/>
      <c r="YK94" s="255"/>
      <c r="YL94" s="255"/>
      <c r="YM94" s="255"/>
      <c r="YN94" s="255"/>
      <c r="YO94" s="255"/>
      <c r="YP94" s="255"/>
      <c r="YQ94" s="255"/>
      <c r="YR94" s="255"/>
      <c r="YS94" s="255"/>
      <c r="YT94" s="255"/>
      <c r="YU94" s="255"/>
      <c r="YV94" s="255"/>
      <c r="YW94" s="255"/>
      <c r="YX94" s="255"/>
      <c r="YY94" s="255"/>
      <c r="YZ94" s="255"/>
      <c r="ZA94" s="255"/>
      <c r="ZB94" s="255"/>
      <c r="ZC94" s="255"/>
      <c r="ZD94" s="255"/>
      <c r="ZE94" s="255"/>
      <c r="ZF94" s="255"/>
      <c r="ZG94" s="255"/>
      <c r="ZH94" s="255"/>
      <c r="ZI94" s="255"/>
      <c r="ZJ94" s="255"/>
      <c r="ZK94" s="255"/>
      <c r="ZL94" s="255"/>
      <c r="ZM94" s="255"/>
      <c r="ZN94" s="255"/>
      <c r="ZO94" s="255"/>
      <c r="ZP94" s="255"/>
      <c r="ZQ94" s="255"/>
      <c r="ZR94" s="255"/>
      <c r="ZS94" s="255"/>
      <c r="ZT94" s="255"/>
      <c r="ZU94" s="255"/>
      <c r="ZV94" s="255"/>
      <c r="ZW94" s="255"/>
      <c r="ZX94" s="255"/>
      <c r="ZY94" s="255"/>
      <c r="ZZ94" s="255"/>
      <c r="AAA94" s="255"/>
      <c r="AAB94" s="255"/>
      <c r="AAC94" s="255"/>
      <c r="AAD94" s="255"/>
      <c r="AAE94" s="255"/>
      <c r="AAF94" s="255"/>
      <c r="AAG94" s="255"/>
      <c r="AAH94" s="255"/>
      <c r="AAI94" s="255"/>
      <c r="AAJ94" s="255"/>
      <c r="AAK94" s="255"/>
      <c r="AAL94" s="255"/>
      <c r="AAM94" s="255"/>
      <c r="AAN94" s="255"/>
      <c r="AAO94" s="255"/>
      <c r="AAP94" s="255"/>
      <c r="AAQ94" s="255"/>
      <c r="AAR94" s="255"/>
      <c r="AAS94" s="255"/>
      <c r="AAT94" s="255"/>
      <c r="AAU94" s="255"/>
      <c r="AAV94" s="255"/>
      <c r="AAW94" s="255"/>
      <c r="AAX94" s="255"/>
      <c r="AAY94" s="255"/>
      <c r="AAZ94" s="255"/>
      <c r="ABA94" s="255"/>
      <c r="ABB94" s="255"/>
      <c r="ABC94" s="255"/>
      <c r="ABD94" s="255"/>
      <c r="ABE94" s="255"/>
      <c r="ABF94" s="255"/>
      <c r="ABG94" s="255"/>
      <c r="ABH94" s="255"/>
      <c r="ABI94" s="255"/>
      <c r="ABJ94" s="255"/>
      <c r="ABK94" s="255"/>
      <c r="ABL94" s="255"/>
      <c r="ABM94" s="255"/>
      <c r="ABN94" s="255"/>
      <c r="ABO94" s="255"/>
      <c r="ABP94" s="255"/>
      <c r="ABQ94" s="255"/>
      <c r="ABR94" s="255"/>
      <c r="ABS94" s="255"/>
      <c r="ABT94" s="255"/>
      <c r="ABU94" s="255"/>
      <c r="ABV94" s="255"/>
      <c r="ABW94" s="255"/>
      <c r="ABX94" s="255"/>
      <c r="ABY94" s="255"/>
      <c r="ABZ94" s="255"/>
      <c r="ACA94" s="255"/>
      <c r="ACB94" s="255"/>
      <c r="ACC94" s="255"/>
      <c r="ACD94" s="255"/>
      <c r="ACE94" s="255"/>
      <c r="ACF94" s="255"/>
      <c r="ACG94" s="255"/>
      <c r="ACH94" s="255"/>
      <c r="ACI94" s="255"/>
      <c r="ACJ94" s="255"/>
      <c r="ACK94" s="255"/>
      <c r="ACL94" s="255"/>
      <c r="ACM94" s="255"/>
      <c r="ACN94" s="255"/>
      <c r="ACO94" s="255"/>
      <c r="ACP94" s="255"/>
      <c r="ACQ94" s="255"/>
      <c r="ACR94" s="255"/>
      <c r="ACS94" s="255"/>
      <c r="ACT94" s="255"/>
      <c r="ACU94" s="255"/>
      <c r="ACV94" s="255"/>
      <c r="ACW94" s="255"/>
      <c r="ACX94" s="255"/>
      <c r="ACY94" s="255"/>
      <c r="ACZ94" s="255"/>
      <c r="ADA94" s="255"/>
      <c r="ADB94" s="255"/>
      <c r="ADC94" s="255"/>
      <c r="ADD94" s="255"/>
      <c r="ADE94" s="255"/>
      <c r="ADF94" s="255"/>
      <c r="ADG94" s="255"/>
      <c r="ADH94" s="255"/>
      <c r="ADI94" s="255"/>
      <c r="ADJ94" s="255"/>
      <c r="ADK94" s="255"/>
      <c r="ADL94" s="255"/>
      <c r="ADM94" s="255"/>
      <c r="ADN94" s="255"/>
      <c r="ADO94" s="255"/>
      <c r="ADP94" s="255"/>
      <c r="ADQ94" s="255"/>
      <c r="ADR94" s="255"/>
      <c r="ADS94" s="255"/>
      <c r="ADT94" s="255"/>
      <c r="ADU94" s="255"/>
      <c r="ADV94" s="255"/>
      <c r="ADW94" s="255"/>
      <c r="ADX94" s="255"/>
      <c r="ADY94" s="255"/>
      <c r="ADZ94" s="255"/>
      <c r="AEA94" s="255"/>
      <c r="AEB94" s="255"/>
      <c r="AEC94" s="255"/>
      <c r="AED94" s="255"/>
      <c r="AEE94" s="255"/>
      <c r="AEF94" s="255"/>
      <c r="AEG94" s="255"/>
      <c r="AEH94" s="255"/>
      <c r="AEI94" s="255"/>
      <c r="AEJ94" s="255"/>
      <c r="AEK94" s="255"/>
      <c r="AEL94" s="255"/>
      <c r="AEM94" s="255"/>
      <c r="AEN94" s="255"/>
      <c r="AEO94" s="255"/>
      <c r="AEP94" s="255"/>
      <c r="AEQ94" s="255"/>
      <c r="AER94" s="255"/>
      <c r="AES94" s="255"/>
      <c r="AET94" s="255"/>
      <c r="AEU94" s="255"/>
      <c r="AEV94" s="255"/>
      <c r="AEW94" s="255"/>
      <c r="AEX94" s="255"/>
      <c r="AEY94" s="255"/>
      <c r="AEZ94" s="255"/>
      <c r="AFA94" s="255"/>
      <c r="AFB94" s="255"/>
      <c r="AFC94" s="255"/>
      <c r="AFD94" s="255"/>
      <c r="AFE94" s="255"/>
      <c r="AFF94" s="255"/>
      <c r="AFG94" s="255"/>
      <c r="AFH94" s="255"/>
      <c r="AFI94" s="255"/>
      <c r="AFJ94" s="255"/>
      <c r="AFK94" s="255"/>
      <c r="AFL94" s="255"/>
      <c r="AFM94" s="255"/>
      <c r="AFN94" s="255"/>
      <c r="AFO94" s="255"/>
      <c r="AFP94" s="255"/>
      <c r="AFQ94" s="255"/>
      <c r="AFR94" s="255"/>
      <c r="AFS94" s="255"/>
      <c r="AFT94" s="255"/>
      <c r="AFU94" s="255"/>
      <c r="AFV94" s="255"/>
      <c r="AFW94" s="255"/>
      <c r="AFX94" s="255"/>
      <c r="AFY94" s="255"/>
      <c r="AFZ94" s="255"/>
      <c r="AGA94" s="255"/>
      <c r="AGB94" s="255"/>
      <c r="AGC94" s="255"/>
      <c r="AGD94" s="255"/>
      <c r="AGE94" s="255"/>
      <c r="AGF94" s="255"/>
      <c r="AGG94" s="255"/>
      <c r="AGH94" s="255"/>
      <c r="AGI94" s="255"/>
      <c r="AGJ94" s="255"/>
      <c r="AGK94" s="255"/>
      <c r="AGL94" s="255"/>
      <c r="AGM94" s="255"/>
      <c r="AGN94" s="255"/>
      <c r="AGO94" s="255"/>
      <c r="AGP94" s="255"/>
      <c r="AGQ94" s="255"/>
      <c r="AGR94" s="255"/>
      <c r="AGS94" s="255"/>
      <c r="AGT94" s="255"/>
      <c r="AGU94" s="255"/>
      <c r="AGV94" s="255"/>
      <c r="AGW94" s="255"/>
      <c r="AGX94" s="255"/>
      <c r="AGY94" s="255"/>
      <c r="AGZ94" s="255"/>
      <c r="AHA94" s="255"/>
      <c r="AHB94" s="255"/>
      <c r="AHC94" s="255"/>
      <c r="AHD94" s="255"/>
      <c r="AHE94" s="255"/>
      <c r="AHF94" s="255"/>
      <c r="AHG94" s="255"/>
      <c r="AHH94" s="255"/>
      <c r="AHI94" s="255"/>
      <c r="AHJ94" s="255"/>
      <c r="AHK94" s="255"/>
      <c r="AHL94" s="255"/>
      <c r="AHM94" s="255"/>
      <c r="AHN94" s="255"/>
      <c r="AHO94" s="255"/>
      <c r="AHP94" s="255"/>
      <c r="AHQ94" s="255"/>
      <c r="AHR94" s="255"/>
      <c r="AHS94" s="255"/>
      <c r="AHT94" s="255"/>
      <c r="AHU94" s="255"/>
      <c r="AHV94" s="255"/>
      <c r="AHW94" s="255"/>
      <c r="AHX94" s="255"/>
      <c r="AHY94" s="255"/>
      <c r="AHZ94" s="255"/>
      <c r="AIA94" s="255"/>
      <c r="AIB94" s="255"/>
      <c r="AIC94" s="255"/>
      <c r="AID94" s="255"/>
      <c r="AIE94" s="255"/>
      <c r="AIF94" s="255"/>
      <c r="AIG94" s="255"/>
      <c r="AIH94" s="255"/>
      <c r="AII94" s="255"/>
      <c r="AIJ94" s="255"/>
      <c r="AIK94" s="255"/>
      <c r="AIL94" s="255"/>
      <c r="AIM94" s="255"/>
      <c r="AIN94" s="255"/>
      <c r="AIO94" s="255"/>
      <c r="AIP94" s="255"/>
      <c r="AIQ94" s="255"/>
      <c r="AIR94" s="255"/>
      <c r="AIS94" s="255"/>
      <c r="AIT94" s="255"/>
      <c r="AIU94" s="255"/>
      <c r="AIV94" s="255"/>
      <c r="AIW94" s="255"/>
      <c r="AIX94" s="255"/>
      <c r="AIY94" s="255"/>
      <c r="AIZ94" s="255"/>
      <c r="AJA94" s="255"/>
      <c r="AJB94" s="255"/>
      <c r="AJC94" s="255"/>
      <c r="AJD94" s="255"/>
      <c r="AJE94" s="255"/>
      <c r="AJF94" s="255"/>
      <c r="AJG94" s="255"/>
      <c r="AJH94" s="255"/>
      <c r="AJI94" s="255"/>
      <c r="AJJ94" s="255"/>
      <c r="AJK94" s="255"/>
      <c r="AJL94" s="255"/>
      <c r="AJM94" s="255"/>
      <c r="AJN94" s="255"/>
      <c r="AJO94" s="255"/>
      <c r="AJP94" s="255"/>
      <c r="AJQ94" s="255"/>
      <c r="AJR94" s="255"/>
      <c r="AJS94" s="255"/>
      <c r="AJT94" s="255"/>
      <c r="AJU94" s="255"/>
      <c r="AJV94" s="255"/>
      <c r="AJW94" s="255"/>
      <c r="AJX94" s="255"/>
      <c r="AJY94" s="255"/>
      <c r="AJZ94" s="255"/>
      <c r="AKA94" s="255"/>
      <c r="AKB94" s="255"/>
      <c r="AKC94" s="255"/>
      <c r="AKD94" s="255"/>
      <c r="AKE94" s="255"/>
      <c r="AKF94" s="255"/>
      <c r="AKG94" s="255"/>
      <c r="AKH94" s="255"/>
      <c r="AKI94" s="255"/>
      <c r="AKJ94" s="255"/>
      <c r="AKK94" s="255"/>
      <c r="AKL94" s="255"/>
      <c r="AKM94" s="255"/>
      <c r="AKN94" s="255"/>
      <c r="AKO94" s="255"/>
      <c r="AKP94" s="255"/>
      <c r="AKQ94" s="255"/>
      <c r="AKR94" s="255"/>
      <c r="AKS94" s="255"/>
      <c r="AKT94" s="255"/>
      <c r="AKU94" s="255"/>
      <c r="AKV94" s="255"/>
      <c r="AKW94" s="255"/>
      <c r="AKX94" s="255"/>
      <c r="AKY94" s="255"/>
      <c r="AKZ94" s="255"/>
      <c r="ALA94" s="255"/>
      <c r="ALB94" s="255"/>
      <c r="ALC94" s="255"/>
      <c r="ALD94" s="255"/>
      <c r="ALE94" s="42"/>
      <c r="ALF94" s="42"/>
      <c r="ALG94" s="42"/>
      <c r="ALH94" s="42"/>
      <c r="ALI94" s="42"/>
      <c r="ALJ94" s="42"/>
      <c r="ALK94" s="42"/>
      <c r="ALL94" s="42"/>
      <c r="ALM94" s="42"/>
    </row>
    <row r="95" spans="1:1001" ht="15">
      <c r="A95" s="680" t="s">
        <v>6928</v>
      </c>
      <c r="B95" s="695"/>
      <c r="C95" s="695"/>
      <c r="D95" s="695"/>
      <c r="E95" s="695"/>
      <c r="F95" s="695"/>
      <c r="G95" s="695"/>
      <c r="H95" s="695"/>
      <c r="I95" s="695"/>
      <c r="J95" s="281">
        <f>+J15+J19+J52+J58+J62+J66+J69+J73+J79+J89+J92</f>
        <v>13467.271493782002</v>
      </c>
      <c r="K95" s="255"/>
      <c r="L95" s="255"/>
      <c r="M95" s="255"/>
      <c r="N95" s="255"/>
      <c r="O95" s="255"/>
      <c r="P95" s="255"/>
    </row>
    <row r="96" spans="1:1001">
      <c r="K96" s="255"/>
      <c r="L96" s="255"/>
      <c r="M96" s="255"/>
      <c r="N96" s="255"/>
      <c r="O96" s="255"/>
      <c r="P96" s="255"/>
    </row>
    <row r="97" spans="11:16">
      <c r="K97" s="255"/>
      <c r="L97" s="255"/>
      <c r="M97" s="255"/>
      <c r="N97" s="255"/>
      <c r="O97" s="255"/>
      <c r="P97" s="255"/>
    </row>
    <row r="98" spans="11:16">
      <c r="K98" s="255"/>
      <c r="L98" s="255"/>
      <c r="M98" s="255"/>
      <c r="N98" s="255"/>
      <c r="O98" s="255"/>
      <c r="P98" s="255"/>
    </row>
    <row r="99" spans="11:16">
      <c r="K99" s="255"/>
      <c r="L99" s="255"/>
      <c r="M99" s="255"/>
      <c r="N99" s="255"/>
      <c r="O99" s="255"/>
      <c r="P99" s="255"/>
    </row>
    <row r="100" spans="11:16">
      <c r="K100" s="255"/>
      <c r="L100" s="255"/>
      <c r="M100" s="255"/>
      <c r="N100" s="255"/>
      <c r="O100" s="255"/>
      <c r="P100" s="255"/>
    </row>
    <row r="101" spans="11:16">
      <c r="K101" s="255"/>
      <c r="L101" s="255"/>
      <c r="M101" s="255"/>
      <c r="N101" s="255"/>
      <c r="O101" s="255"/>
      <c r="P101" s="255"/>
    </row>
    <row r="102" spans="11:16">
      <c r="K102" s="255"/>
      <c r="L102" s="255"/>
      <c r="M102" s="255"/>
      <c r="N102" s="255"/>
      <c r="O102" s="255"/>
      <c r="P102" s="255"/>
    </row>
    <row r="103" spans="11:16">
      <c r="K103" s="255"/>
      <c r="L103" s="255"/>
      <c r="M103" s="255"/>
      <c r="N103" s="255"/>
      <c r="O103" s="255"/>
      <c r="P103" s="255"/>
    </row>
    <row r="104" spans="11:16">
      <c r="K104" s="255"/>
      <c r="L104" s="255"/>
      <c r="M104" s="255"/>
      <c r="N104" s="255"/>
      <c r="O104" s="255"/>
      <c r="P104" s="255"/>
    </row>
    <row r="105" spans="11:16">
      <c r="K105" s="255"/>
      <c r="L105" s="255"/>
      <c r="M105" s="255"/>
      <c r="N105" s="255"/>
      <c r="O105" s="255"/>
      <c r="P105" s="255"/>
    </row>
    <row r="106" spans="11:16">
      <c r="K106" s="255"/>
      <c r="L106" s="255"/>
      <c r="M106" s="255"/>
      <c r="N106" s="255"/>
      <c r="O106" s="255"/>
      <c r="P106" s="255"/>
    </row>
    <row r="107" spans="11:16">
      <c r="K107" s="255"/>
      <c r="L107" s="255"/>
      <c r="M107" s="255"/>
      <c r="N107" s="255"/>
      <c r="O107" s="255"/>
      <c r="P107" s="255"/>
    </row>
    <row r="108" spans="11:16">
      <c r="K108" s="255"/>
      <c r="L108" s="255"/>
      <c r="M108" s="255"/>
      <c r="N108" s="255"/>
      <c r="O108" s="255"/>
      <c r="P108" s="255"/>
    </row>
    <row r="109" spans="11:16">
      <c r="K109" s="255"/>
      <c r="L109" s="255"/>
      <c r="M109" s="255"/>
      <c r="N109" s="255"/>
      <c r="O109" s="255"/>
      <c r="P109" s="255"/>
    </row>
    <row r="110" spans="11:16">
      <c r="K110" s="255"/>
      <c r="L110" s="255"/>
      <c r="M110" s="255"/>
      <c r="N110" s="255"/>
      <c r="O110" s="255"/>
      <c r="P110" s="255"/>
    </row>
    <row r="111" spans="11:16">
      <c r="K111" s="255"/>
      <c r="L111" s="255"/>
      <c r="M111" s="255"/>
      <c r="N111" s="255"/>
      <c r="O111" s="255"/>
      <c r="P111" s="255"/>
    </row>
    <row r="112" spans="11:16">
      <c r="K112" s="255"/>
      <c r="L112" s="255"/>
      <c r="M112" s="255"/>
      <c r="N112" s="255"/>
      <c r="O112" s="255"/>
      <c r="P112" s="255"/>
    </row>
    <row r="113" spans="11:16">
      <c r="K113" s="255"/>
      <c r="L113" s="255"/>
      <c r="M113" s="255"/>
      <c r="N113" s="255"/>
      <c r="O113" s="255"/>
      <c r="P113" s="255"/>
    </row>
    <row r="114" spans="11:16">
      <c r="K114" s="255"/>
      <c r="L114" s="255"/>
      <c r="M114" s="255"/>
      <c r="N114" s="255"/>
      <c r="O114" s="255"/>
      <c r="P114" s="255"/>
    </row>
    <row r="115" spans="11:16">
      <c r="K115" s="255"/>
      <c r="L115" s="255"/>
      <c r="M115" s="255"/>
      <c r="N115" s="255"/>
      <c r="O115" s="255"/>
      <c r="P115" s="255"/>
    </row>
    <row r="116" spans="11:16">
      <c r="K116" s="255"/>
      <c r="L116" s="255"/>
      <c r="M116" s="255"/>
      <c r="N116" s="255"/>
      <c r="O116" s="255"/>
      <c r="P116" s="255"/>
    </row>
    <row r="117" spans="11:16">
      <c r="K117" s="255"/>
      <c r="L117" s="255"/>
      <c r="M117" s="255"/>
      <c r="N117" s="255"/>
      <c r="O117" s="255"/>
      <c r="P117" s="255"/>
    </row>
    <row r="118" spans="11:16">
      <c r="K118" s="255"/>
      <c r="L118" s="255"/>
      <c r="M118" s="255"/>
      <c r="N118" s="255"/>
      <c r="O118" s="255"/>
      <c r="P118" s="255"/>
    </row>
    <row r="119" spans="11:16">
      <c r="K119" s="255"/>
      <c r="L119" s="255"/>
      <c r="M119" s="255"/>
      <c r="N119" s="255"/>
      <c r="O119" s="255"/>
      <c r="P119" s="255"/>
    </row>
    <row r="120" spans="11:16">
      <c r="K120" s="255"/>
      <c r="L120" s="255"/>
      <c r="M120" s="255"/>
      <c r="N120" s="255"/>
      <c r="O120" s="255"/>
      <c r="P120" s="255"/>
    </row>
    <row r="121" spans="11:16">
      <c r="K121" s="255"/>
      <c r="L121" s="255"/>
      <c r="M121" s="255"/>
      <c r="N121" s="255"/>
      <c r="O121" s="255"/>
      <c r="P121" s="255"/>
    </row>
    <row r="122" spans="11:16">
      <c r="K122" s="255"/>
      <c r="L122" s="255"/>
      <c r="M122" s="255"/>
      <c r="N122" s="255"/>
      <c r="O122" s="255"/>
      <c r="P122" s="255"/>
    </row>
    <row r="123" spans="11:16">
      <c r="K123" s="255"/>
      <c r="L123" s="255"/>
      <c r="M123" s="255"/>
      <c r="N123" s="255"/>
      <c r="O123" s="255"/>
      <c r="P123" s="255"/>
    </row>
    <row r="124" spans="11:16">
      <c r="K124" s="255"/>
      <c r="L124" s="255"/>
      <c r="M124" s="255"/>
      <c r="N124" s="255"/>
      <c r="O124" s="255"/>
      <c r="P124" s="255"/>
    </row>
    <row r="125" spans="11:16">
      <c r="K125" s="255"/>
      <c r="L125" s="255"/>
      <c r="M125" s="255"/>
      <c r="N125" s="255"/>
      <c r="O125" s="255"/>
      <c r="P125" s="255"/>
    </row>
    <row r="126" spans="11:16">
      <c r="K126" s="255"/>
      <c r="L126" s="255"/>
      <c r="M126" s="255"/>
      <c r="N126" s="255"/>
      <c r="O126" s="255"/>
      <c r="P126" s="255"/>
    </row>
    <row r="127" spans="11:16">
      <c r="K127" s="255"/>
      <c r="L127" s="255"/>
      <c r="M127" s="255"/>
      <c r="N127" s="255"/>
      <c r="O127" s="255"/>
      <c r="P127" s="255"/>
    </row>
    <row r="128" spans="11:16">
      <c r="K128" s="255"/>
      <c r="L128" s="255"/>
      <c r="M128" s="255"/>
      <c r="N128" s="255"/>
      <c r="O128" s="255"/>
      <c r="P128" s="255"/>
    </row>
    <row r="129" spans="11:16">
      <c r="K129" s="255"/>
      <c r="L129" s="255"/>
      <c r="M129" s="255"/>
      <c r="N129" s="255"/>
      <c r="O129" s="255"/>
      <c r="P129" s="255"/>
    </row>
    <row r="130" spans="11:16">
      <c r="K130" s="255"/>
      <c r="L130" s="255"/>
      <c r="M130" s="255"/>
      <c r="N130" s="255"/>
      <c r="O130" s="255"/>
      <c r="P130" s="255"/>
    </row>
    <row r="131" spans="11:16">
      <c r="K131" s="255"/>
      <c r="L131" s="255"/>
      <c r="M131" s="255"/>
      <c r="N131" s="255"/>
      <c r="O131" s="255"/>
      <c r="P131" s="255"/>
    </row>
    <row r="132" spans="11:16">
      <c r="K132" s="255"/>
      <c r="L132" s="255"/>
      <c r="M132" s="255"/>
      <c r="N132" s="255"/>
      <c r="O132" s="255"/>
      <c r="P132" s="255"/>
    </row>
    <row r="133" spans="11:16">
      <c r="K133" s="255"/>
      <c r="L133" s="255"/>
      <c r="M133" s="255"/>
      <c r="N133" s="255"/>
      <c r="O133" s="255"/>
      <c r="P133" s="255"/>
    </row>
    <row r="134" spans="11:16">
      <c r="K134" s="255"/>
      <c r="L134" s="255"/>
      <c r="M134" s="255"/>
      <c r="N134" s="255"/>
      <c r="O134" s="255"/>
      <c r="P134" s="255"/>
    </row>
    <row r="135" spans="11:16">
      <c r="K135" s="255"/>
      <c r="L135" s="255"/>
      <c r="M135" s="255"/>
      <c r="N135" s="255"/>
      <c r="O135" s="255"/>
      <c r="P135" s="255"/>
    </row>
    <row r="136" spans="11:16">
      <c r="K136" s="255"/>
      <c r="L136" s="255"/>
      <c r="M136" s="255"/>
      <c r="N136" s="255"/>
      <c r="O136" s="255"/>
      <c r="P136" s="255"/>
    </row>
    <row r="137" spans="11:16">
      <c r="K137" s="255"/>
      <c r="L137" s="255"/>
      <c r="M137" s="255"/>
      <c r="N137" s="255"/>
      <c r="O137" s="255"/>
      <c r="P137" s="255"/>
    </row>
    <row r="138" spans="11:16">
      <c r="K138" s="255"/>
      <c r="L138" s="255"/>
      <c r="M138" s="255"/>
      <c r="N138" s="255"/>
      <c r="O138" s="255"/>
      <c r="P138" s="255"/>
    </row>
    <row r="139" spans="11:16">
      <c r="K139" s="255"/>
      <c r="L139" s="255"/>
      <c r="M139" s="255"/>
      <c r="N139" s="255"/>
      <c r="O139" s="255"/>
      <c r="P139" s="255"/>
    </row>
    <row r="140" spans="11:16">
      <c r="K140" s="255"/>
      <c r="L140" s="255"/>
      <c r="M140" s="255"/>
      <c r="N140" s="255"/>
      <c r="O140" s="255"/>
      <c r="P140" s="255"/>
    </row>
    <row r="141" spans="11:16">
      <c r="K141" s="255"/>
      <c r="L141" s="255"/>
      <c r="M141" s="255"/>
      <c r="N141" s="255"/>
      <c r="O141" s="255"/>
      <c r="P141" s="255"/>
    </row>
    <row r="142" spans="11:16">
      <c r="K142" s="255"/>
      <c r="L142" s="255"/>
      <c r="M142" s="255"/>
      <c r="N142" s="255"/>
      <c r="O142" s="255"/>
      <c r="P142" s="255"/>
    </row>
    <row r="143" spans="11:16">
      <c r="K143" s="255"/>
      <c r="L143" s="255"/>
      <c r="M143" s="255"/>
      <c r="N143" s="255"/>
      <c r="O143" s="255"/>
      <c r="P143" s="255"/>
    </row>
    <row r="144" spans="11:16">
      <c r="K144" s="255"/>
      <c r="L144" s="255"/>
      <c r="M144" s="255"/>
      <c r="N144" s="255"/>
      <c r="O144" s="255"/>
      <c r="P144" s="255"/>
    </row>
    <row r="145" spans="11:16">
      <c r="K145" s="255"/>
      <c r="L145" s="255"/>
      <c r="M145" s="255"/>
      <c r="N145" s="255"/>
      <c r="O145" s="255"/>
      <c r="P145" s="255"/>
    </row>
    <row r="146" spans="11:16">
      <c r="K146" s="255"/>
      <c r="L146" s="255"/>
      <c r="M146" s="255"/>
      <c r="N146" s="255"/>
      <c r="O146" s="255"/>
      <c r="P146" s="255"/>
    </row>
    <row r="147" spans="11:16">
      <c r="K147" s="255"/>
      <c r="L147" s="255"/>
      <c r="M147" s="255"/>
      <c r="N147" s="255"/>
      <c r="O147" s="255"/>
      <c r="P147" s="255"/>
    </row>
    <row r="148" spans="11:16">
      <c r="K148" s="255"/>
      <c r="L148" s="255"/>
      <c r="M148" s="255"/>
      <c r="N148" s="255"/>
      <c r="O148" s="255"/>
      <c r="P148" s="255"/>
    </row>
    <row r="149" spans="11:16">
      <c r="K149" s="255"/>
      <c r="L149" s="255"/>
      <c r="M149" s="255"/>
      <c r="N149" s="255"/>
      <c r="O149" s="255"/>
      <c r="P149" s="255"/>
    </row>
    <row r="150" spans="11:16">
      <c r="K150" s="255"/>
      <c r="L150" s="255"/>
      <c r="M150" s="255"/>
      <c r="N150" s="255"/>
      <c r="O150" s="255"/>
      <c r="P150" s="255"/>
    </row>
    <row r="151" spans="11:16">
      <c r="K151" s="255"/>
      <c r="L151" s="255"/>
      <c r="M151" s="255"/>
      <c r="N151" s="255"/>
      <c r="O151" s="255"/>
      <c r="P151" s="255"/>
    </row>
    <row r="152" spans="11:16">
      <c r="K152" s="255"/>
      <c r="L152" s="255"/>
      <c r="M152" s="255"/>
      <c r="N152" s="255"/>
      <c r="O152" s="255"/>
      <c r="P152" s="255"/>
    </row>
    <row r="153" spans="11:16">
      <c r="K153" s="255"/>
      <c r="L153" s="255"/>
      <c r="M153" s="255"/>
      <c r="N153" s="255"/>
      <c r="O153" s="255"/>
      <c r="P153" s="255"/>
    </row>
    <row r="154" spans="11:16">
      <c r="K154" s="255"/>
      <c r="L154" s="255"/>
      <c r="M154" s="255"/>
      <c r="N154" s="255"/>
      <c r="O154" s="255"/>
      <c r="P154" s="255"/>
    </row>
    <row r="155" spans="11:16">
      <c r="K155" s="255"/>
      <c r="L155" s="255"/>
      <c r="M155" s="255"/>
      <c r="N155" s="255"/>
      <c r="O155" s="255"/>
      <c r="P155" s="255"/>
    </row>
    <row r="156" spans="11:16">
      <c r="K156" s="255"/>
      <c r="L156" s="255"/>
      <c r="M156" s="255"/>
      <c r="N156" s="255"/>
      <c r="O156" s="255"/>
      <c r="P156" s="255"/>
    </row>
    <row r="157" spans="11:16">
      <c r="K157" s="255"/>
      <c r="L157" s="255"/>
      <c r="M157" s="255"/>
      <c r="N157" s="255"/>
      <c r="O157" s="255"/>
      <c r="P157" s="255"/>
    </row>
    <row r="158" spans="11:16">
      <c r="K158" s="255"/>
      <c r="L158" s="255"/>
      <c r="M158" s="255"/>
      <c r="N158" s="255"/>
      <c r="O158" s="255"/>
      <c r="P158" s="255"/>
    </row>
    <row r="159" spans="11:16">
      <c r="K159" s="255"/>
      <c r="L159" s="255"/>
      <c r="M159" s="255"/>
      <c r="N159" s="255"/>
      <c r="O159" s="255"/>
      <c r="P159" s="255"/>
    </row>
    <row r="160" spans="11:16">
      <c r="K160" s="255"/>
      <c r="L160" s="255"/>
      <c r="M160" s="255"/>
      <c r="N160" s="255"/>
      <c r="O160" s="255"/>
      <c r="P160" s="255"/>
    </row>
    <row r="161" spans="11:16">
      <c r="K161" s="255"/>
      <c r="L161" s="255"/>
      <c r="M161" s="255"/>
      <c r="N161" s="255"/>
      <c r="O161" s="255"/>
      <c r="P161" s="255"/>
    </row>
    <row r="162" spans="11:16">
      <c r="K162" s="255"/>
      <c r="L162" s="255"/>
      <c r="M162" s="255"/>
      <c r="N162" s="255"/>
      <c r="O162" s="255"/>
      <c r="P162" s="255"/>
    </row>
    <row r="163" spans="11:16">
      <c r="K163" s="255"/>
      <c r="L163" s="255"/>
      <c r="M163" s="255"/>
      <c r="N163" s="255"/>
      <c r="O163" s="255"/>
      <c r="P163" s="255"/>
    </row>
    <row r="164" spans="11:16">
      <c r="K164" s="255"/>
      <c r="L164" s="255"/>
      <c r="M164" s="255"/>
      <c r="N164" s="255"/>
      <c r="O164" s="255"/>
      <c r="P164" s="255"/>
    </row>
    <row r="165" spans="11:16">
      <c r="K165" s="255"/>
      <c r="L165" s="255"/>
      <c r="M165" s="255"/>
      <c r="N165" s="255"/>
      <c r="O165" s="255"/>
      <c r="P165" s="255"/>
    </row>
    <row r="166" spans="11:16">
      <c r="K166" s="255"/>
      <c r="L166" s="255"/>
      <c r="M166" s="255"/>
      <c r="N166" s="255"/>
      <c r="O166" s="255"/>
      <c r="P166" s="255"/>
    </row>
    <row r="167" spans="11:16">
      <c r="K167" s="255"/>
      <c r="L167" s="255"/>
      <c r="M167" s="255"/>
      <c r="N167" s="255"/>
      <c r="O167" s="255"/>
      <c r="P167" s="255"/>
    </row>
    <row r="168" spans="11:16">
      <c r="K168" s="255"/>
      <c r="L168" s="255"/>
      <c r="M168" s="255"/>
      <c r="N168" s="255"/>
      <c r="O168" s="255"/>
      <c r="P168" s="255"/>
    </row>
    <row r="169" spans="11:16">
      <c r="K169" s="255"/>
      <c r="L169" s="255"/>
      <c r="M169" s="255"/>
      <c r="N169" s="255"/>
      <c r="O169" s="255"/>
      <c r="P169" s="255"/>
    </row>
    <row r="170" spans="11:16">
      <c r="K170" s="255"/>
      <c r="L170" s="255"/>
      <c r="M170" s="255"/>
      <c r="N170" s="255"/>
      <c r="O170" s="255"/>
      <c r="P170" s="255"/>
    </row>
    <row r="171" spans="11:16">
      <c r="K171" s="255"/>
      <c r="L171" s="255"/>
      <c r="M171" s="255"/>
      <c r="N171" s="255"/>
      <c r="O171" s="255"/>
      <c r="P171" s="255"/>
    </row>
    <row r="172" spans="11:16">
      <c r="K172" s="255"/>
      <c r="L172" s="255"/>
      <c r="M172" s="255"/>
      <c r="N172" s="255"/>
      <c r="O172" s="255"/>
      <c r="P172" s="255"/>
    </row>
    <row r="173" spans="11:16">
      <c r="K173" s="255"/>
      <c r="L173" s="255"/>
      <c r="M173" s="255"/>
      <c r="N173" s="255"/>
      <c r="O173" s="255"/>
      <c r="P173" s="255"/>
    </row>
    <row r="174" spans="11:16">
      <c r="K174" s="255"/>
      <c r="L174" s="255"/>
      <c r="M174" s="255"/>
      <c r="N174" s="255"/>
      <c r="O174" s="255"/>
      <c r="P174" s="255"/>
    </row>
    <row r="175" spans="11:16">
      <c r="K175" s="255"/>
      <c r="L175" s="255"/>
      <c r="M175" s="255"/>
      <c r="N175" s="255"/>
      <c r="O175" s="255"/>
      <c r="P175" s="255"/>
    </row>
    <row r="176" spans="11:16">
      <c r="K176" s="255"/>
      <c r="L176" s="255"/>
      <c r="M176" s="255"/>
      <c r="N176" s="255"/>
      <c r="O176" s="255"/>
      <c r="P176" s="255"/>
    </row>
    <row r="177" spans="11:16">
      <c r="K177" s="255"/>
      <c r="L177" s="255"/>
      <c r="M177" s="255"/>
      <c r="N177" s="255"/>
      <c r="O177" s="255"/>
      <c r="P177" s="255"/>
    </row>
    <row r="178" spans="11:16">
      <c r="K178" s="255"/>
      <c r="L178" s="255"/>
      <c r="M178" s="255"/>
      <c r="N178" s="255"/>
      <c r="O178" s="255"/>
      <c r="P178" s="255"/>
    </row>
    <row r="179" spans="11:16">
      <c r="K179" s="255"/>
      <c r="L179" s="255"/>
      <c r="M179" s="255"/>
      <c r="N179" s="255"/>
      <c r="O179" s="255"/>
      <c r="P179" s="255"/>
    </row>
    <row r="180" spans="11:16">
      <c r="K180" s="255"/>
      <c r="L180" s="255"/>
      <c r="M180" s="255"/>
      <c r="N180" s="255"/>
      <c r="O180" s="255"/>
      <c r="P180" s="255"/>
    </row>
    <row r="181" spans="11:16">
      <c r="K181" s="255"/>
      <c r="L181" s="255"/>
      <c r="M181" s="255"/>
      <c r="N181" s="255"/>
      <c r="O181" s="255"/>
      <c r="P181" s="255"/>
    </row>
    <row r="182" spans="11:16">
      <c r="K182" s="255"/>
      <c r="L182" s="255"/>
      <c r="M182" s="255"/>
      <c r="N182" s="255"/>
      <c r="O182" s="255"/>
      <c r="P182" s="255"/>
    </row>
    <row r="183" spans="11:16">
      <c r="K183" s="255"/>
      <c r="L183" s="255"/>
      <c r="M183" s="255"/>
      <c r="N183" s="255"/>
      <c r="O183" s="255"/>
      <c r="P183" s="255"/>
    </row>
    <row r="184" spans="11:16">
      <c r="K184" s="255"/>
      <c r="L184" s="255"/>
      <c r="M184" s="255"/>
      <c r="N184" s="255"/>
      <c r="O184" s="255"/>
      <c r="P184" s="255"/>
    </row>
    <row r="185" spans="11:16">
      <c r="K185" s="255"/>
      <c r="L185" s="255"/>
      <c r="M185" s="255"/>
      <c r="N185" s="255"/>
      <c r="O185" s="255"/>
      <c r="P185" s="255"/>
    </row>
    <row r="186" spans="11:16">
      <c r="K186" s="255"/>
      <c r="L186" s="255"/>
      <c r="M186" s="255"/>
      <c r="N186" s="255"/>
      <c r="O186" s="255"/>
      <c r="P186" s="255"/>
    </row>
    <row r="187" spans="11:16">
      <c r="K187" s="255"/>
      <c r="L187" s="255"/>
      <c r="M187" s="255"/>
      <c r="N187" s="255"/>
      <c r="O187" s="255"/>
      <c r="P187" s="255"/>
    </row>
    <row r="188" spans="11:16">
      <c r="K188" s="255"/>
      <c r="L188" s="255"/>
      <c r="M188" s="255"/>
      <c r="N188" s="255"/>
      <c r="O188" s="255"/>
      <c r="P188" s="255"/>
    </row>
    <row r="189" spans="11:16">
      <c r="K189" s="255"/>
      <c r="L189" s="255"/>
      <c r="M189" s="255"/>
      <c r="N189" s="255"/>
      <c r="O189" s="255"/>
      <c r="P189" s="255"/>
    </row>
    <row r="190" spans="11:16">
      <c r="K190" s="255"/>
      <c r="L190" s="255"/>
      <c r="M190" s="255"/>
      <c r="N190" s="255"/>
      <c r="O190" s="255"/>
      <c r="P190" s="255"/>
    </row>
    <row r="191" spans="11:16">
      <c r="K191" s="255"/>
      <c r="L191" s="255"/>
      <c r="M191" s="255"/>
      <c r="N191" s="255"/>
      <c r="O191" s="255"/>
      <c r="P191" s="255"/>
    </row>
    <row r="192" spans="11:16">
      <c r="K192" s="255"/>
      <c r="L192" s="255"/>
      <c r="M192" s="255"/>
      <c r="N192" s="255"/>
      <c r="O192" s="255"/>
      <c r="P192" s="255"/>
    </row>
    <row r="193" spans="11:16">
      <c r="K193" s="255"/>
      <c r="L193" s="255"/>
      <c r="M193" s="255"/>
      <c r="N193" s="255"/>
      <c r="O193" s="255"/>
      <c r="P193" s="255"/>
    </row>
    <row r="194" spans="11:16">
      <c r="K194" s="255"/>
      <c r="L194" s="255"/>
      <c r="M194" s="255"/>
      <c r="N194" s="255"/>
      <c r="O194" s="255"/>
      <c r="P194" s="255"/>
    </row>
    <row r="195" spans="11:16">
      <c r="K195" s="255"/>
      <c r="L195" s="255"/>
      <c r="M195" s="255"/>
      <c r="N195" s="255"/>
      <c r="O195" s="255"/>
      <c r="P195" s="255"/>
    </row>
    <row r="196" spans="11:16">
      <c r="K196" s="255"/>
      <c r="L196" s="255"/>
      <c r="M196" s="255"/>
      <c r="N196" s="255"/>
      <c r="O196" s="255"/>
      <c r="P196" s="255"/>
    </row>
    <row r="197" spans="11:16">
      <c r="K197" s="255"/>
      <c r="L197" s="255"/>
      <c r="M197" s="255"/>
      <c r="N197" s="255"/>
      <c r="O197" s="255"/>
      <c r="P197" s="255"/>
    </row>
    <row r="198" spans="11:16">
      <c r="K198" s="255"/>
      <c r="L198" s="255"/>
      <c r="M198" s="255"/>
      <c r="N198" s="255"/>
      <c r="O198" s="255"/>
      <c r="P198" s="255"/>
    </row>
    <row r="199" spans="11:16">
      <c r="K199" s="255"/>
      <c r="L199" s="255"/>
      <c r="M199" s="255"/>
      <c r="N199" s="255"/>
      <c r="O199" s="255"/>
      <c r="P199" s="255"/>
    </row>
    <row r="200" spans="11:16">
      <c r="K200" s="255"/>
      <c r="L200" s="255"/>
      <c r="M200" s="255"/>
      <c r="N200" s="255"/>
      <c r="O200" s="255"/>
      <c r="P200" s="255"/>
    </row>
    <row r="201" spans="11:16">
      <c r="K201" s="255"/>
      <c r="L201" s="255"/>
      <c r="M201" s="255"/>
      <c r="N201" s="255"/>
      <c r="O201" s="255"/>
      <c r="P201" s="255"/>
    </row>
    <row r="202" spans="11:16">
      <c r="K202" s="255"/>
      <c r="L202" s="255"/>
      <c r="M202" s="255"/>
      <c r="N202" s="255"/>
      <c r="O202" s="255"/>
      <c r="P202" s="255"/>
    </row>
    <row r="203" spans="11:16">
      <c r="K203" s="255"/>
      <c r="L203" s="255"/>
      <c r="M203" s="255"/>
      <c r="N203" s="255"/>
      <c r="O203" s="255"/>
      <c r="P203" s="255"/>
    </row>
    <row r="204" spans="11:16">
      <c r="K204" s="255"/>
      <c r="L204" s="255"/>
      <c r="M204" s="255"/>
      <c r="N204" s="255"/>
      <c r="O204" s="255"/>
      <c r="P204" s="255"/>
    </row>
    <row r="205" spans="11:16">
      <c r="K205" s="255"/>
      <c r="L205" s="255"/>
      <c r="M205" s="255"/>
      <c r="N205" s="255"/>
      <c r="O205" s="255"/>
      <c r="P205" s="255"/>
    </row>
    <row r="206" spans="11:16">
      <c r="K206" s="255"/>
      <c r="L206" s="255"/>
      <c r="M206" s="255"/>
      <c r="N206" s="255"/>
      <c r="O206" s="255"/>
      <c r="P206" s="255"/>
    </row>
    <row r="207" spans="11:16">
      <c r="K207" s="255"/>
      <c r="L207" s="255"/>
      <c r="M207" s="255"/>
      <c r="N207" s="255"/>
      <c r="O207" s="255"/>
      <c r="P207" s="255"/>
    </row>
    <row r="208" spans="11:16">
      <c r="K208" s="255"/>
      <c r="L208" s="255"/>
      <c r="M208" s="255"/>
      <c r="N208" s="255"/>
      <c r="O208" s="255"/>
      <c r="P208" s="255"/>
    </row>
    <row r="209" spans="11:16">
      <c r="K209" s="255"/>
      <c r="L209" s="255"/>
      <c r="M209" s="255"/>
      <c r="N209" s="255"/>
      <c r="O209" s="255"/>
      <c r="P209" s="255"/>
    </row>
    <row r="210" spans="11:16">
      <c r="K210" s="255"/>
      <c r="L210" s="255"/>
      <c r="M210" s="255"/>
      <c r="N210" s="255"/>
      <c r="O210" s="255"/>
      <c r="P210" s="255"/>
    </row>
    <row r="211" spans="11:16">
      <c r="K211" s="255"/>
      <c r="L211" s="255"/>
      <c r="M211" s="255"/>
      <c r="N211" s="255"/>
      <c r="O211" s="255"/>
      <c r="P211" s="255"/>
    </row>
    <row r="212" spans="11:16">
      <c r="K212" s="255"/>
      <c r="L212" s="255"/>
      <c r="M212" s="255"/>
      <c r="N212" s="255"/>
      <c r="O212" s="255"/>
      <c r="P212" s="255"/>
    </row>
    <row r="213" spans="11:16">
      <c r="K213" s="255"/>
      <c r="L213" s="255"/>
      <c r="M213" s="255"/>
      <c r="N213" s="255"/>
      <c r="O213" s="255"/>
      <c r="P213" s="255"/>
    </row>
    <row r="214" spans="11:16">
      <c r="K214" s="255"/>
      <c r="L214" s="255"/>
      <c r="M214" s="255"/>
      <c r="N214" s="255"/>
      <c r="O214" s="255"/>
      <c r="P214" s="255"/>
    </row>
  </sheetData>
  <autoFilter ref="A12:J92" xr:uid="{00000000-0009-0000-0000-000007000000}"/>
  <mergeCells count="14">
    <mergeCell ref="A95:I95"/>
    <mergeCell ref="A15:I15"/>
    <mergeCell ref="A19:I19"/>
    <mergeCell ref="A52:I52"/>
    <mergeCell ref="A58:I58"/>
    <mergeCell ref="A62:I62"/>
    <mergeCell ref="A66:I66"/>
    <mergeCell ref="A69:I69"/>
    <mergeCell ref="A73:I73"/>
    <mergeCell ref="A79:I79"/>
    <mergeCell ref="A89:I89"/>
    <mergeCell ref="A92:I92"/>
    <mergeCell ref="A93:I93"/>
    <mergeCell ref="A94:I94"/>
  </mergeCells>
  <phoneticPr fontId="49" type="noConversion"/>
  <pageMargins left="0.43307086614173229" right="0.23622047244094488"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P213"/>
  <sheetViews>
    <sheetView showGridLines="0" view="pageBreakPreview" zoomScaleNormal="82" zoomScaleSheetLayoutView="100" workbookViewId="0">
      <selection activeCell="C4" sqref="C4:C6"/>
    </sheetView>
  </sheetViews>
  <sheetFormatPr defaultColWidth="9.28515625" defaultRowHeight="12.75"/>
  <cols>
    <col min="1" max="1" width="10.7109375" style="16" customWidth="1"/>
    <col min="2" max="2" width="10.7109375" style="33" customWidth="1"/>
    <col min="3" max="3" width="70.7109375" style="33" customWidth="1"/>
    <col min="4" max="4" width="4.7109375" style="16" customWidth="1"/>
    <col min="5" max="5" width="11.7109375" style="55" customWidth="1"/>
    <col min="6" max="8" width="11.7109375" style="75" customWidth="1"/>
    <col min="9" max="10" width="14.28515625" style="75" customWidth="1"/>
    <col min="11" max="13" width="12.140625" style="14" customWidth="1"/>
    <col min="14" max="15" width="9.140625" style="14" customWidth="1"/>
    <col min="16" max="16" width="9.140625" style="223" customWidth="1"/>
    <col min="17" max="34" width="9.140625" style="14" customWidth="1"/>
    <col min="35" max="1003" width="9.28515625" style="14"/>
    <col min="1004" max="16384" width="9.28515625" style="18"/>
  </cols>
  <sheetData>
    <row r="1" spans="1:16" ht="24.95" customHeight="1">
      <c r="A1" s="416"/>
      <c r="B1" s="43"/>
      <c r="C1" s="43"/>
      <c r="D1" s="43"/>
      <c r="E1" s="43"/>
      <c r="F1" s="56"/>
      <c r="G1" s="56"/>
      <c r="H1" s="56"/>
      <c r="I1" s="56"/>
      <c r="J1" s="417"/>
    </row>
    <row r="2" spans="1:16" ht="24.95" customHeight="1">
      <c r="A2" s="418"/>
      <c r="B2" s="37"/>
      <c r="C2" s="37"/>
      <c r="D2" s="37"/>
      <c r="E2" s="37"/>
      <c r="F2" s="57"/>
      <c r="G2" s="57"/>
      <c r="H2" s="57"/>
      <c r="I2" s="57"/>
      <c r="J2" s="419"/>
    </row>
    <row r="3" spans="1:16" ht="24.95" customHeight="1">
      <c r="A3" s="418"/>
      <c r="B3" s="37"/>
      <c r="C3" s="37"/>
      <c r="D3" s="37"/>
      <c r="E3" s="37"/>
      <c r="F3" s="57"/>
      <c r="G3" s="57"/>
      <c r="H3" s="57"/>
      <c r="I3" s="57"/>
      <c r="J3" s="419"/>
    </row>
    <row r="4" spans="1:16" ht="14.1" customHeight="1">
      <c r="A4" s="426" t="s">
        <v>6295</v>
      </c>
      <c r="B4" s="422"/>
      <c r="C4" s="422" t="str">
        <f>+RESUMO!B5</f>
        <v>CONCLUSÃO DA CONSTRUÇÃO DO CENTRO DE ATENDIMENTO SÓCIO EDUCATIVO - CASE ITUMBIARA</v>
      </c>
      <c r="D4" s="422"/>
      <c r="E4" s="422"/>
      <c r="F4" s="428"/>
      <c r="G4" s="428"/>
      <c r="H4" s="428"/>
      <c r="I4" s="428"/>
      <c r="J4" s="429"/>
    </row>
    <row r="5" spans="1:16" ht="14.85" customHeight="1">
      <c r="A5" s="426" t="s">
        <v>6297</v>
      </c>
      <c r="B5" s="422"/>
      <c r="C5" s="422" t="str">
        <f>+RESUMO!B6</f>
        <v>SINAPI – NOVEMBRO/2020 (ONERADA)</v>
      </c>
      <c r="D5" s="422"/>
      <c r="E5" s="422"/>
      <c r="F5" s="428"/>
      <c r="G5" s="428"/>
      <c r="H5" s="428"/>
      <c r="I5" s="428"/>
      <c r="J5" s="429"/>
    </row>
    <row r="6" spans="1:16" ht="14.85" customHeight="1">
      <c r="A6" s="448" t="s">
        <v>5545</v>
      </c>
      <c r="B6" s="450"/>
      <c r="C6" s="422" t="str">
        <f>+RESUMO!B7</f>
        <v>MAIO / 2021</v>
      </c>
      <c r="D6" s="450"/>
      <c r="E6" s="450"/>
      <c r="F6" s="428"/>
      <c r="G6" s="428"/>
      <c r="H6" s="428"/>
      <c r="I6" s="428"/>
      <c r="J6" s="429"/>
    </row>
    <row r="7" spans="1:16" ht="14.85" customHeight="1">
      <c r="A7" s="448" t="s">
        <v>6298</v>
      </c>
      <c r="B7" s="457"/>
      <c r="C7" s="442">
        <v>2.02000036012687E+18</v>
      </c>
      <c r="D7" s="408"/>
      <c r="E7" s="457"/>
      <c r="F7" s="439"/>
      <c r="G7" s="439"/>
      <c r="H7" s="439"/>
      <c r="I7" s="439"/>
      <c r="J7" s="456"/>
      <c r="L7" s="255"/>
    </row>
    <row r="8" spans="1:16" ht="14.85" customHeight="1">
      <c r="A8" s="448" t="s">
        <v>6299</v>
      </c>
      <c r="B8" s="457"/>
      <c r="C8" s="457" t="s">
        <v>6331</v>
      </c>
      <c r="D8" s="408"/>
      <c r="E8" s="457"/>
      <c r="F8" s="439"/>
      <c r="G8" s="439"/>
      <c r="H8" s="439"/>
      <c r="I8" s="439"/>
      <c r="J8" s="456"/>
    </row>
    <row r="9" spans="1:16" ht="14.85" customHeight="1">
      <c r="A9" s="448" t="s">
        <v>6300</v>
      </c>
      <c r="B9" s="457"/>
      <c r="C9" s="457" t="s">
        <v>6945</v>
      </c>
      <c r="D9" s="408"/>
      <c r="E9" s="457"/>
      <c r="F9" s="439"/>
      <c r="G9" s="439"/>
      <c r="H9" s="439"/>
      <c r="I9" s="439"/>
      <c r="J9" s="456"/>
    </row>
    <row r="10" spans="1:16" ht="14.85" customHeight="1">
      <c r="A10" s="13"/>
      <c r="B10" s="13"/>
      <c r="C10" s="127"/>
      <c r="D10" s="13"/>
      <c r="E10" s="13"/>
      <c r="F10" s="10"/>
      <c r="G10" s="10"/>
      <c r="H10" s="10"/>
      <c r="I10" s="10"/>
      <c r="J10" s="10"/>
    </row>
    <row r="11" spans="1:16" ht="20.85" customHeight="1">
      <c r="A11" s="15" t="s">
        <v>5551</v>
      </c>
      <c r="B11" s="44" t="s">
        <v>0</v>
      </c>
      <c r="C11" s="15" t="s">
        <v>6305</v>
      </c>
      <c r="D11" s="15" t="s">
        <v>6306</v>
      </c>
      <c r="E11" s="15" t="s">
        <v>6311</v>
      </c>
      <c r="F11" s="59" t="s">
        <v>6285</v>
      </c>
      <c r="G11" s="59" t="s">
        <v>586</v>
      </c>
      <c r="H11" s="59" t="s">
        <v>6286</v>
      </c>
      <c r="I11" s="59" t="s">
        <v>6308</v>
      </c>
      <c r="J11" s="59" t="s">
        <v>6309</v>
      </c>
    </row>
    <row r="12" spans="1:16">
      <c r="A12" s="266"/>
      <c r="B12" s="267"/>
      <c r="C12" s="267"/>
      <c r="D12" s="269"/>
      <c r="E12" s="270"/>
      <c r="F12" s="271"/>
      <c r="G12" s="271"/>
      <c r="H12" s="271"/>
      <c r="I12" s="271"/>
      <c r="J12" s="271"/>
      <c r="L12" s="255"/>
      <c r="M12" s="255"/>
    </row>
    <row r="13" spans="1:16">
      <c r="A13" s="251"/>
      <c r="B13" s="299">
        <v>165</v>
      </c>
      <c r="C13" s="336" t="s">
        <v>611</v>
      </c>
      <c r="D13" s="274"/>
      <c r="E13" s="275"/>
      <c r="F13" s="276"/>
      <c r="G13" s="276"/>
      <c r="H13" s="276"/>
      <c r="I13" s="276"/>
      <c r="J13" s="276"/>
      <c r="O13" s="257"/>
    </row>
    <row r="14" spans="1:16" ht="24">
      <c r="A14" s="251" t="s">
        <v>6307</v>
      </c>
      <c r="B14" s="290">
        <v>450</v>
      </c>
      <c r="C14" s="301"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279">
        <v>8.5030000000000001</v>
      </c>
      <c r="F14" s="279">
        <f>(IF($A14="SINAPI",INDEX(SINAPI_NOV2020_NDES!$A$7:$H$6703,MATCH($B14,SINAPI_NOV2020_NDES!$A$7:$A$6703,0),5),(INDEX(COMPOS!$A$4:$G$801,MATCH($B14,COMPOS!$A$4:A$801,0),4))))</f>
        <v>10.879199999999999</v>
      </c>
      <c r="G14" s="280">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520.97200759999998</v>
      </c>
      <c r="K14" s="255"/>
      <c r="L14" s="255"/>
      <c r="M14" s="255"/>
      <c r="N14" s="255"/>
      <c r="O14" s="255"/>
    </row>
    <row r="15" spans="1:16" s="88" customFormat="1" ht="24" customHeight="1">
      <c r="A15" s="680" t="s">
        <v>6927</v>
      </c>
      <c r="B15" s="680"/>
      <c r="C15" s="680"/>
      <c r="D15" s="680"/>
      <c r="E15" s="680"/>
      <c r="F15" s="680"/>
      <c r="G15" s="680"/>
      <c r="H15" s="680"/>
      <c r="I15" s="680"/>
      <c r="J15" s="281">
        <f>SUM(J14)</f>
        <v>520.97200759999998</v>
      </c>
      <c r="K15" s="255"/>
      <c r="L15" s="255"/>
      <c r="M15" s="255"/>
      <c r="N15" s="255"/>
      <c r="O15" s="255"/>
      <c r="P15" s="223"/>
    </row>
    <row r="16" spans="1:16">
      <c r="A16" s="337"/>
      <c r="B16" s="299">
        <v>166</v>
      </c>
      <c r="C16" s="338" t="s">
        <v>609</v>
      </c>
      <c r="D16" s="274" t="s">
        <v>6922</v>
      </c>
      <c r="E16" s="339"/>
      <c r="F16" s="276"/>
      <c r="G16" s="276"/>
      <c r="H16" s="276"/>
      <c r="I16" s="276"/>
      <c r="J16" s="276"/>
      <c r="K16" s="255"/>
      <c r="L16" s="255"/>
      <c r="M16" s="255"/>
      <c r="N16" s="255"/>
      <c r="O16" s="257"/>
    </row>
    <row r="17" spans="1:16" ht="24">
      <c r="A17" s="251" t="s">
        <v>6307</v>
      </c>
      <c r="B17" s="290">
        <v>305</v>
      </c>
      <c r="C17" s="301"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279">
        <v>326.43</v>
      </c>
      <c r="F17" s="279">
        <f>(IF($A17="SINAPI",INDEX(SINAPI_NOV2020_NDES!$A$7:$H$6703,MATCH($B17,SINAPI_NOV2020_NDES!$A$7:$A$6703,0),5),(INDEX(COMPOS!$A$4:$G$801,MATCH($B17,COMPOS!$A$4:A$801,0),4))))</f>
        <v>2.842123</v>
      </c>
      <c r="G17" s="280">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927.75421088999997</v>
      </c>
      <c r="K17" s="255"/>
      <c r="L17" s="255"/>
      <c r="M17" s="255"/>
      <c r="N17" s="255"/>
      <c r="O17" s="255"/>
    </row>
    <row r="18" spans="1:16">
      <c r="A18" s="251" t="s">
        <v>6307</v>
      </c>
      <c r="B18" s="290">
        <v>302</v>
      </c>
      <c r="C18" s="301"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279">
        <f>E74</f>
        <v>326.43</v>
      </c>
      <c r="F18" s="279">
        <f>(IF($A18="SINAPI",INDEX(SINAPI_NOV2020_NDES!$A$7:$H$6703,MATCH($B18,SINAPI_NOV2020_NDES!$A$7:$A$6703,0),5),(INDEX(COMPOS!$A$4:$G$801,MATCH($B18,COMPOS!$A$4:A$801,0),4))))</f>
        <v>6.0440000000000005</v>
      </c>
      <c r="G18" s="280">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6.0440000000000005</v>
      </c>
      <c r="J18" s="276">
        <f t="shared" ref="J18" si="5">+I18*E18</f>
        <v>1972.9429200000002</v>
      </c>
      <c r="K18" s="255"/>
      <c r="L18" s="255"/>
      <c r="M18" s="255"/>
      <c r="N18" s="255"/>
      <c r="O18" s="255"/>
    </row>
    <row r="19" spans="1:16" s="88" customFormat="1" ht="24" customHeight="1">
      <c r="A19" s="680" t="s">
        <v>6927</v>
      </c>
      <c r="B19" s="680"/>
      <c r="C19" s="680"/>
      <c r="D19" s="680"/>
      <c r="E19" s="680"/>
      <c r="F19" s="680"/>
      <c r="G19" s="680"/>
      <c r="H19" s="680"/>
      <c r="I19" s="680"/>
      <c r="J19" s="281">
        <f>SUM(J17:J18)</f>
        <v>2900.6971308900002</v>
      </c>
      <c r="K19" s="255"/>
      <c r="L19" s="255"/>
      <c r="M19" s="255"/>
      <c r="N19" s="255"/>
      <c r="O19" s="255"/>
      <c r="P19" s="223"/>
    </row>
    <row r="20" spans="1:16">
      <c r="A20" s="337"/>
      <c r="B20" s="299">
        <v>169</v>
      </c>
      <c r="C20" s="338" t="s">
        <v>6328</v>
      </c>
      <c r="D20" s="274" t="s">
        <v>6922</v>
      </c>
      <c r="E20" s="339"/>
      <c r="F20" s="276"/>
      <c r="G20" s="276"/>
      <c r="H20" s="276"/>
      <c r="I20" s="276"/>
      <c r="J20" s="276"/>
      <c r="K20" s="255"/>
      <c r="L20" s="255"/>
      <c r="M20" s="255"/>
      <c r="N20" s="255"/>
      <c r="O20" s="257"/>
    </row>
    <row r="21" spans="1:16">
      <c r="A21" s="251" t="s">
        <v>6307</v>
      </c>
      <c r="B21" s="290">
        <v>388</v>
      </c>
      <c r="C21" s="301" t="str">
        <f>(IF($A21="SINAPI",INDEX(SINAPI_NOV2020_NDES!$A$7:$H$6703,MATCH($B21,SINAPI_NOV2020_NDES!$A$7:$A$6703,0),2),IF($A21="GOINFRA",INDEX(#REF!,MATCH($B21,#REF!,0),2),(INDEX(COMPOS!$A$4:$G$390,MATCH($B21,COMPOS!$A$4:A$390,0),2)))))</f>
        <v>BRAÇADEIRA METÁLICA TIPO “U”, DIAM. ¾''</v>
      </c>
      <c r="D21" s="274" t="str">
        <f>(IF($A21="SINAPI",INDEX(SINAPI_NOV2020_NDES!$A$7:$H$6790,MATCH($B21,SINAPI_NOV2020_NDES!$A$7:$A$6790,0),3),(INDEX(COMPOS!$A$4:$G$5000,MATCH($B21,COMPOS!$A$4:$A$5000,0),3))))</f>
        <v>UN</v>
      </c>
      <c r="E21" s="279">
        <v>56</v>
      </c>
      <c r="F21" s="279">
        <f>(IF($A21="SINAPI",INDEX(SINAPI_NOV2020_NDES!$A$7:$H$6703,MATCH($B21,SINAPI_NOV2020_NDES!$A$7:$A$6703,0),5),(INDEX(COMPOS!$A$4:$G$801,MATCH($B21,COMPOS!$A$4:A$801,0),4))))</f>
        <v>0.38629999999999998</v>
      </c>
      <c r="G21" s="280">
        <f>(IF($A21="SINAPI",INDEX(SINAPI_NOV2020_NDES!$A$7:$H$6703,MATCH($B21,SINAPI_NOV2020_NDES!$A$7:$A$6703,0),6),(INDEX(COMPOS!$A$4:$G$801,MATCH($B21,COMPOS!$A$4:A$801,0),5))))</f>
        <v>0.23</v>
      </c>
      <c r="H21" s="280">
        <f>(IF($A21="SINAPI",INDEX(SINAPI_NOV2020_NDES!$A$7:$H$6703,MATCH($B21,SINAPI_NOV2020_NDES!$A$7:$A$6703,0),7),(INDEX(COMPOS!$A$4:$G$801,MATCH($B21,COMPOS!$A$4:A$801,0),6))))</f>
        <v>0</v>
      </c>
      <c r="I21" s="279">
        <f t="shared" ref="I21" si="6">SUM(F21:H21)</f>
        <v>0.61629999999999996</v>
      </c>
      <c r="J21" s="276">
        <f t="shared" ref="J21" si="7">+I21*E21</f>
        <v>34.512799999999999</v>
      </c>
      <c r="K21" s="255"/>
      <c r="L21" s="255"/>
      <c r="M21" s="255"/>
      <c r="N21" s="255"/>
      <c r="O21" s="255"/>
    </row>
    <row r="22" spans="1:16">
      <c r="A22" s="251" t="s">
        <v>6307</v>
      </c>
      <c r="B22" s="290">
        <v>389</v>
      </c>
      <c r="C22" s="301" t="str">
        <f>(IF($A22="SINAPI",INDEX(SINAPI_NOV2020_NDES!$A$7:$H$6703,MATCH($B22,SINAPI_NOV2020_NDES!$A$7:$A$6703,0),2),IF($A22="GOINFRA",INDEX(#REF!,MATCH($B22,#REF!,0),2),(INDEX(COMPOS!$A$4:$G$390,MATCH($B22,COMPOS!$A$4:A$390,0),2)))))</f>
        <v>BRAÇADEIRA METÁLICA TIPO “U”, DIAM. 1''</v>
      </c>
      <c r="D22" s="274" t="str">
        <f>(IF($A22="SINAPI",INDEX(SINAPI_NOV2020_NDES!$A$7:$H$6790,MATCH($B22,SINAPI_NOV2020_NDES!$A$7:$A$6790,0),3),(INDEX(COMPOS!$A$4:$G$5000,MATCH($B22,COMPOS!$A$4:$A$5000,0),3))))</f>
        <v>UN</v>
      </c>
      <c r="E22" s="279">
        <v>8</v>
      </c>
      <c r="F22" s="279">
        <f>(IF($A22="SINAPI",INDEX(SINAPI_NOV2020_NDES!$A$7:$H$6703,MATCH($B22,SINAPI_NOV2020_NDES!$A$7:$A$6703,0),5),(INDEX(COMPOS!$A$4:$G$801,MATCH($B22,COMPOS!$A$4:A$801,0),4))))</f>
        <v>0.38629999999999998</v>
      </c>
      <c r="G22" s="280">
        <f>(IF($A22="SINAPI",INDEX(SINAPI_NOV2020_NDES!$A$7:$H$6703,MATCH($B22,SINAPI_NOV2020_NDES!$A$7:$A$6703,0),6),(INDEX(COMPOS!$A$4:$G$801,MATCH($B22,COMPOS!$A$4:A$801,0),5))))</f>
        <v>0.32</v>
      </c>
      <c r="H22" s="280">
        <f>(IF($A22="SINAPI",INDEX(SINAPI_NOV2020_NDES!$A$7:$H$6703,MATCH($B22,SINAPI_NOV2020_NDES!$A$7:$A$6703,0),7),(INDEX(COMPOS!$A$4:$G$801,MATCH($B22,COMPOS!$A$4:A$801,0),6))))</f>
        <v>0</v>
      </c>
      <c r="I22" s="279">
        <f t="shared" ref="I22:I55" si="8">SUM(F22:H22)</f>
        <v>0.70629999999999993</v>
      </c>
      <c r="J22" s="276">
        <f t="shared" ref="J22:J55" si="9">+I22*E22</f>
        <v>5.6503999999999994</v>
      </c>
      <c r="K22" s="255"/>
      <c r="L22" s="255"/>
      <c r="M22" s="255"/>
      <c r="N22" s="255"/>
      <c r="O22" s="255"/>
    </row>
    <row r="23" spans="1:16">
      <c r="A23" s="251" t="s">
        <v>6307</v>
      </c>
      <c r="B23" s="290">
        <v>312</v>
      </c>
      <c r="C23" s="301" t="str">
        <f>(IF($A23="SINAPI",INDEX(SINAPI_NOV2020_NDES!$A$7:$H$6703,MATCH($B23,SINAPI_NOV2020_NDES!$A$7:$A$6703,0),2),IF($A23="GOINFRA",INDEX(#REF!,MATCH($B23,#REF!,0),2),(INDEX(COMPOS!$A$4:$G$390,MATCH($B23,COMPOS!$A$4:A$390,0),2)))))</f>
        <v>BUCHA E ARRUELA METÁLICA ¾''</v>
      </c>
      <c r="D23" s="274" t="str">
        <f>(IF($A23="SINAPI",INDEX(SINAPI_NOV2020_NDES!$A$7:$H$6790,MATCH($B23,SINAPI_NOV2020_NDES!$A$7:$A$6790,0),3),(INDEX(COMPOS!$A$4:$G$5000,MATCH($B23,COMPOS!$A$4:$A$5000,0),3))))</f>
        <v>PR</v>
      </c>
      <c r="E23" s="279">
        <v>40</v>
      </c>
      <c r="F23" s="279">
        <f>(IF($A23="SINAPI",INDEX(SINAPI_NOV2020_NDES!$A$7:$H$6703,MATCH($B23,SINAPI_NOV2020_NDES!$A$7:$A$6703,0),5),(INDEX(COMPOS!$A$4:$G$801,MATCH($B23,COMPOS!$A$4:A$801,0),4))))</f>
        <v>0.38629999999999998</v>
      </c>
      <c r="G23" s="280">
        <f>(IF($A23="SINAPI",INDEX(SINAPI_NOV2020_NDES!$A$7:$H$6703,MATCH($B23,SINAPI_NOV2020_NDES!$A$7:$A$6703,0),6),(INDEX(COMPOS!$A$4:$G$801,MATCH($B23,COMPOS!$A$4:A$801,0),5))))</f>
        <v>1.1299999999999999</v>
      </c>
      <c r="H23" s="280">
        <f>(IF($A23="SINAPI",INDEX(SINAPI_NOV2020_NDES!$A$7:$H$6703,MATCH($B23,SINAPI_NOV2020_NDES!$A$7:$A$6703,0),7),(INDEX(COMPOS!$A$4:$G$801,MATCH($B23,COMPOS!$A$4:A$801,0),6))))</f>
        <v>0</v>
      </c>
      <c r="I23" s="279">
        <f t="shared" si="8"/>
        <v>1.5162999999999998</v>
      </c>
      <c r="J23" s="276">
        <f t="shared" si="9"/>
        <v>60.651999999999987</v>
      </c>
      <c r="K23" s="255"/>
      <c r="L23" s="255"/>
      <c r="M23" s="255"/>
      <c r="N23" s="255"/>
      <c r="O23" s="255"/>
    </row>
    <row r="24" spans="1:16">
      <c r="A24" s="251" t="s">
        <v>6307</v>
      </c>
      <c r="B24" s="290">
        <v>319</v>
      </c>
      <c r="C24" s="301" t="str">
        <f>(IF($A24="SINAPI",INDEX(SINAPI_NOV2020_NDES!$A$7:$H$6703,MATCH($B24,SINAPI_NOV2020_NDES!$A$7:$A$6703,0),2),IF($A24="GOINFRA",INDEX(#REF!,MATCH($B24,#REF!,0),2),(INDEX(COMPOS!$A$4:$G$390,MATCH($B24,COMPOS!$A$4:A$390,0),2)))))</f>
        <v>BUCHA E ARRUELA METÁLICA 1''</v>
      </c>
      <c r="D24" s="274" t="str">
        <f>(IF($A24="SINAPI",INDEX(SINAPI_NOV2020_NDES!$A$7:$H$6790,MATCH($B24,SINAPI_NOV2020_NDES!$A$7:$A$6790,0),3),(INDEX(COMPOS!$A$4:$G$5000,MATCH($B24,COMPOS!$A$4:$A$5000,0),3))))</f>
        <v>PR</v>
      </c>
      <c r="E24" s="279">
        <v>8</v>
      </c>
      <c r="F24" s="279">
        <f>(IF($A24="SINAPI",INDEX(SINAPI_NOV2020_NDES!$A$7:$H$6703,MATCH($B24,SINAPI_NOV2020_NDES!$A$7:$A$6703,0),5),(INDEX(COMPOS!$A$4:$G$801,MATCH($B24,COMPOS!$A$4:A$801,0),4))))</f>
        <v>0.38629999999999998</v>
      </c>
      <c r="G24" s="280">
        <f>(IF($A24="SINAPI",INDEX(SINAPI_NOV2020_NDES!$A$7:$H$6703,MATCH($B24,SINAPI_NOV2020_NDES!$A$7:$A$6703,0),6),(INDEX(COMPOS!$A$4:$G$801,MATCH($B24,COMPOS!$A$4:A$801,0),5))))</f>
        <v>1.4</v>
      </c>
      <c r="H24" s="280">
        <f>(IF($A24="SINAPI",INDEX(SINAPI_NOV2020_NDES!$A$7:$H$6703,MATCH($B24,SINAPI_NOV2020_NDES!$A$7:$A$6703,0),7),(INDEX(COMPOS!$A$4:$G$801,MATCH($B24,COMPOS!$A$4:A$801,0),6))))</f>
        <v>0</v>
      </c>
      <c r="I24" s="279">
        <f t="shared" si="8"/>
        <v>1.7862999999999998</v>
      </c>
      <c r="J24" s="276">
        <f t="shared" si="9"/>
        <v>14.290399999999998</v>
      </c>
      <c r="K24" s="255"/>
      <c r="L24" s="255"/>
      <c r="M24" s="255"/>
      <c r="N24" s="255"/>
      <c r="O24" s="255"/>
    </row>
    <row r="25" spans="1:16">
      <c r="A25" s="251" t="s">
        <v>6307</v>
      </c>
      <c r="B25" s="290">
        <v>313</v>
      </c>
      <c r="C25" s="301" t="str">
        <f>(IF($A25="SINAPI",INDEX(SINAPI_NOV2020_NDES!$A$7:$H$6703,MATCH($B25,SINAPI_NOV2020_NDES!$A$7:$A$6703,0),2),IF($A25="GOINFRA",INDEX(#REF!,MATCH($B25,#REF!,0),2),(INDEX(COMPOS!$A$4:$G$390,MATCH($B25,COMPOS!$A$4:A$390,0),2)))))</f>
        <v>BUCHA E ARRUELA METÁLICA 1.1/2''</v>
      </c>
      <c r="D25" s="274" t="str">
        <f>(IF($A25="SINAPI",INDEX(SINAPI_NOV2020_NDES!$A$7:$H$6790,MATCH($B25,SINAPI_NOV2020_NDES!$A$7:$A$6790,0),3),(INDEX(COMPOS!$A$4:$G$5000,MATCH($B25,COMPOS!$A$4:$A$5000,0),3))))</f>
        <v>PR</v>
      </c>
      <c r="E25" s="279">
        <v>2</v>
      </c>
      <c r="F25" s="279">
        <f>(IF($A25="SINAPI",INDEX(SINAPI_NOV2020_NDES!$A$7:$H$6703,MATCH($B25,SINAPI_NOV2020_NDES!$A$7:$A$6703,0),5),(INDEX(COMPOS!$A$4:$G$801,MATCH($B25,COMPOS!$A$4:A$801,0),4))))</f>
        <v>1.5451999999999999</v>
      </c>
      <c r="G25" s="280">
        <f>(IF($A25="SINAPI",INDEX(SINAPI_NOV2020_NDES!$A$7:$H$6703,MATCH($B25,SINAPI_NOV2020_NDES!$A$7:$A$6703,0),6),(INDEX(COMPOS!$A$4:$G$801,MATCH($B25,COMPOS!$A$4:A$801,0),5))))</f>
        <v>2.54</v>
      </c>
      <c r="H25" s="280">
        <f>(IF($A25="SINAPI",INDEX(SINAPI_NOV2020_NDES!$A$7:$H$6703,MATCH($B25,SINAPI_NOV2020_NDES!$A$7:$A$6703,0),7),(INDEX(COMPOS!$A$4:$G$801,MATCH($B25,COMPOS!$A$4:A$801,0),6))))</f>
        <v>0</v>
      </c>
      <c r="I25" s="279">
        <f t="shared" si="8"/>
        <v>4.0852000000000004</v>
      </c>
      <c r="J25" s="276">
        <f t="shared" si="9"/>
        <v>8.1704000000000008</v>
      </c>
      <c r="K25" s="255"/>
      <c r="L25" s="255"/>
      <c r="M25" s="255"/>
      <c r="N25" s="255"/>
      <c r="O25" s="255"/>
    </row>
    <row r="26" spans="1:16">
      <c r="A26" s="251" t="s">
        <v>6307</v>
      </c>
      <c r="B26" s="290">
        <v>370</v>
      </c>
      <c r="C26" s="301" t="str">
        <f>(IF($A26="SINAPI",INDEX(SINAPI_NOV2020_NDES!$A$7:$H$6703,MATCH($B26,SINAPI_NOV2020_NDES!$A$7:$A$6703,0),2),IF($A26="GOINFRA",INDEX(#REF!,MATCH($B26,#REF!,0),2),(INDEX(COMPOS!$A$4:$G$390,MATCH($B26,COMPOS!$A$4:A$390,0),2)))))</f>
        <v>BUCHA E ARRUELA METÁLICA 2''</v>
      </c>
      <c r="D26" s="274" t="str">
        <f>(IF($A26="SINAPI",INDEX(SINAPI_NOV2020_NDES!$A$7:$H$6790,MATCH($B26,SINAPI_NOV2020_NDES!$A$7:$A$6790,0),3),(INDEX(COMPOS!$A$4:$G$5000,MATCH($B26,COMPOS!$A$4:$A$5000,0),3))))</f>
        <v>PR</v>
      </c>
      <c r="E26" s="279">
        <v>4</v>
      </c>
      <c r="F26" s="279">
        <f>(IF($A26="SINAPI",INDEX(SINAPI_NOV2020_NDES!$A$7:$H$6703,MATCH($B26,SINAPI_NOV2020_NDES!$A$7:$A$6703,0),5),(INDEX(COMPOS!$A$4:$G$801,MATCH($B26,COMPOS!$A$4:A$801,0),4))))</f>
        <v>2.3178000000000001</v>
      </c>
      <c r="G26" s="280">
        <f>(IF($A26="SINAPI",INDEX(SINAPI_NOV2020_NDES!$A$7:$H$6703,MATCH($B26,SINAPI_NOV2020_NDES!$A$7:$A$6703,0),6),(INDEX(COMPOS!$A$4:$G$801,MATCH($B26,COMPOS!$A$4:A$801,0),5))))</f>
        <v>4.82</v>
      </c>
      <c r="H26" s="280">
        <f>(IF($A26="SINAPI",INDEX(SINAPI_NOV2020_NDES!$A$7:$H$6703,MATCH($B26,SINAPI_NOV2020_NDES!$A$7:$A$6703,0),7),(INDEX(COMPOS!$A$4:$G$801,MATCH($B26,COMPOS!$A$4:A$801,0),6))))</f>
        <v>0</v>
      </c>
      <c r="I26" s="279">
        <f t="shared" si="8"/>
        <v>7.1378000000000004</v>
      </c>
      <c r="J26" s="276">
        <f t="shared" si="9"/>
        <v>28.551200000000001</v>
      </c>
      <c r="K26" s="255"/>
      <c r="L26" s="255"/>
      <c r="M26" s="255"/>
      <c r="N26" s="255"/>
      <c r="O26" s="255"/>
    </row>
    <row r="27" spans="1:16" ht="24">
      <c r="A27" s="251" t="s">
        <v>7</v>
      </c>
      <c r="B27" s="290">
        <v>100556</v>
      </c>
      <c r="C27" s="301" t="str">
        <f>(IF($A27="SINAPI",INDEX(SINAPI_NOV2020_NDES!$A$7:$H$6703,MATCH($B27,SINAPI_NOV2020_NDES!$A$7:$A$6703,0),2),IF($A27="GOINFRA",INDEX(#REF!,MATCH($B27,#REF!,0),2),(INDEX(COMPOS!$A$4:$G$390,MATCH($B27,COMPOS!$A$4:A$390,0),2)))))</f>
        <v>CAIXA DE PASSAGEM PARA TELEFONE 15X15X10CM (SOBREPOR), FORNECIMENTO E INSTALACAO. AF_11/2019</v>
      </c>
      <c r="D27" s="274" t="str">
        <f>(IF($A27="SINAPI",INDEX(SINAPI_NOV2020_NDES!$A$7:$H$6790,MATCH($B27,SINAPI_NOV2020_NDES!$A$7:$A$6790,0),3),(INDEX(COMPOS!$A$4:$G$5000,MATCH($B27,COMPOS!$A$4:$A$5000,0),3))))</f>
        <v>UN</v>
      </c>
      <c r="E27" s="279">
        <v>1</v>
      </c>
      <c r="F27" s="279">
        <f>(IF($A27="SINAPI",INDEX(SINAPI_NOV2020_NDES!$A$7:$H$6703,MATCH($B27,SINAPI_NOV2020_NDES!$A$7:$A$6703,0),5),(INDEX(COMPOS!$A$4:$G$801,MATCH($B27,COMPOS!$A$4:A$801,0),4))))</f>
        <v>10.19</v>
      </c>
      <c r="G27" s="280">
        <f>(IF($A27="SINAPI",INDEX(SINAPI_NOV2020_NDES!$A$7:$H$6703,MATCH($B27,SINAPI_NOV2020_NDES!$A$7:$A$6703,0),6),(INDEX(COMPOS!$A$4:$G$801,MATCH($B27,COMPOS!$A$4:A$801,0),5))))</f>
        <v>22.44</v>
      </c>
      <c r="H27" s="280">
        <f>(IF($A27="SINAPI",INDEX(SINAPI_NOV2020_NDES!$A$7:$H$6703,MATCH($B27,SINAPI_NOV2020_NDES!$A$7:$A$6703,0),7),(INDEX(COMPOS!$A$4:$G$801,MATCH($B27,COMPOS!$A$4:A$801,0),6))))</f>
        <v>0</v>
      </c>
      <c r="I27" s="279">
        <f t="shared" si="8"/>
        <v>32.630000000000003</v>
      </c>
      <c r="J27" s="276">
        <f t="shared" si="9"/>
        <v>32.630000000000003</v>
      </c>
      <c r="K27" s="255"/>
      <c r="L27" s="255"/>
      <c r="M27" s="255"/>
      <c r="N27" s="255"/>
      <c r="O27" s="255"/>
    </row>
    <row r="28" spans="1:16" ht="24">
      <c r="A28" s="251" t="s">
        <v>7</v>
      </c>
      <c r="B28" s="289">
        <v>93018</v>
      </c>
      <c r="C28" s="301" t="str">
        <f>(IF($A28="SINAPI",INDEX(SINAPI_NOV2020_NDES!$A$7:$H$6703,MATCH($B28,SINAPI_NOV2020_NDES!$A$7:$A$6703,0),2),IF($A28="GOINFRA",INDEX(#REF!,MATCH($B28,#REF!,0),2),(INDEX(COMPOS!$A$4:$G$390,MATCH($B28,COMPOS!$A$4:A$390,0),2)))))</f>
        <v>CURVA 90 GRAUS PARA ELETRODUTO, PVC, ROSCÁVEL, DN 50 MM (1 1/2") - FORNECIMENTO E INSTALAÇÃO. AF_12/2015</v>
      </c>
      <c r="D28" s="274" t="str">
        <f>(IF($A28="SINAPI",INDEX(SINAPI_NOV2020_NDES!$A$7:$H$6790,MATCH($B28,SINAPI_NOV2020_NDES!$A$7:$A$6790,0),3),(INDEX(COMPOS!$A$4:$G$5000,MATCH($B28,COMPOS!$A$4:$A$5000,0),3))))</f>
        <v>UN</v>
      </c>
      <c r="E28" s="279">
        <v>1</v>
      </c>
      <c r="F28" s="279">
        <f>(IF($A28="SINAPI",INDEX(SINAPI_NOV2020_NDES!$A$7:$H$6703,MATCH($B28,SINAPI_NOV2020_NDES!$A$7:$A$6703,0),5),(INDEX(COMPOS!$A$4:$G$801,MATCH($B28,COMPOS!$A$4:A$801,0),4))))</f>
        <v>9.93</v>
      </c>
      <c r="G28" s="280">
        <f>(IF($A28="SINAPI",INDEX(SINAPI_NOV2020_NDES!$A$7:$H$6703,MATCH($B28,SINAPI_NOV2020_NDES!$A$7:$A$6703,0),6),(INDEX(COMPOS!$A$4:$G$801,MATCH($B28,COMPOS!$A$4:A$801,0),5))))</f>
        <v>5.55</v>
      </c>
      <c r="H28" s="280">
        <f>(IF($A28="SINAPI",INDEX(SINAPI_NOV2020_NDES!$A$7:$H$6703,MATCH($B28,SINAPI_NOV2020_NDES!$A$7:$A$6703,0),7),(INDEX(COMPOS!$A$4:$G$801,MATCH($B28,COMPOS!$A$4:A$801,0),6))))</f>
        <v>0</v>
      </c>
      <c r="I28" s="279">
        <f t="shared" si="8"/>
        <v>15.48</v>
      </c>
      <c r="J28" s="276">
        <f t="shared" si="9"/>
        <v>15.48</v>
      </c>
      <c r="K28" s="255"/>
      <c r="L28" s="255"/>
      <c r="M28" s="255"/>
      <c r="N28" s="255"/>
      <c r="O28" s="255"/>
    </row>
    <row r="29" spans="1:16" ht="24">
      <c r="A29" s="251" t="s">
        <v>7</v>
      </c>
      <c r="B29" s="289">
        <v>93657</v>
      </c>
      <c r="C29" s="301" t="str">
        <f>(IF($A29="SINAPI",INDEX(SINAPI_NOV2020_NDES!$A$7:$H$6703,MATCH($B29,SINAPI_NOV2020_NDES!$A$7:$A$6703,0),2),IF($A29="GOINFRA",INDEX(#REF!,MATCH($B29,#REF!,0),2),(INDEX(COMPOS!$A$4:$G$390,MATCH($B29,COMPOS!$A$4:A$390,0),2)))))</f>
        <v>DISJUNTOR MONOPOLAR TIPO DIN, CORRENTE NOMINAL DE 32A - FORNECIMENTO E INSTALAÇÃO. AF_10/2020</v>
      </c>
      <c r="D29" s="274" t="str">
        <f>(IF($A29="SINAPI",INDEX(SINAPI_NOV2020_NDES!$A$7:$H$6790,MATCH($B29,SINAPI_NOV2020_NDES!$A$7:$A$6790,0),3),(INDEX(COMPOS!$A$4:$G$5000,MATCH($B29,COMPOS!$A$4:$A$5000,0),3))))</f>
        <v>UN</v>
      </c>
      <c r="E29" s="279">
        <v>6</v>
      </c>
      <c r="F29" s="279">
        <f>(IF($A29="SINAPI",INDEX(SINAPI_NOV2020_NDES!$A$7:$H$6703,MATCH($B29,SINAPI_NOV2020_NDES!$A$7:$A$6703,0),5),(INDEX(COMPOS!$A$4:$G$801,MATCH($B29,COMPOS!$A$4:A$801,0),4))))</f>
        <v>2.67</v>
      </c>
      <c r="G29" s="280">
        <f>(IF($A29="SINAPI",INDEX(SINAPI_NOV2020_NDES!$A$7:$H$6703,MATCH($B29,SINAPI_NOV2020_NDES!$A$7:$A$6703,0),6),(INDEX(COMPOS!$A$4:$G$801,MATCH($B29,COMPOS!$A$4:A$801,0),5))))</f>
        <v>10.130000000000001</v>
      </c>
      <c r="H29" s="280">
        <f>(IF($A29="SINAPI",INDEX(SINAPI_NOV2020_NDES!$A$7:$H$6703,MATCH($B29,SINAPI_NOV2020_NDES!$A$7:$A$6703,0),7),(INDEX(COMPOS!$A$4:$G$801,MATCH($B29,COMPOS!$A$4:A$801,0),6))))</f>
        <v>0</v>
      </c>
      <c r="I29" s="279">
        <f t="shared" si="8"/>
        <v>12.8</v>
      </c>
      <c r="J29" s="276">
        <f t="shared" si="9"/>
        <v>76.800000000000011</v>
      </c>
      <c r="K29" s="255"/>
      <c r="L29" s="255"/>
      <c r="M29" s="255"/>
      <c r="N29" s="255"/>
      <c r="O29" s="255"/>
    </row>
    <row r="30" spans="1:16" ht="24">
      <c r="A30" s="251" t="s">
        <v>7</v>
      </c>
      <c r="B30" s="283">
        <v>93671</v>
      </c>
      <c r="C30" s="301" t="str">
        <f>(IF($A30="SINAPI",INDEX(SINAPI_NOV2020_NDES!$A$7:$H$6703,MATCH($B30,SINAPI_NOV2020_NDES!$A$7:$A$6703,0),2),IF($A30="GOINFRA",INDEX(#REF!,MATCH($B30,#REF!,0),2),(INDEX(COMPOS!$A$4:$G$390,MATCH($B30,COMPOS!$A$4:A$390,0),2)))))</f>
        <v>DISJUNTOR TRIPOLAR TIPO DIN, CORRENTE NOMINAL DE 32A - FORNECIMENTO E INSTALAÇÃO. AF_10/2020</v>
      </c>
      <c r="D30" s="274" t="str">
        <f>(IF($A30="SINAPI",INDEX(SINAPI_NOV2020_NDES!$A$7:$H$6790,MATCH($B30,SINAPI_NOV2020_NDES!$A$7:$A$6790,0),3),(INDEX(COMPOS!$A$4:$G$5000,MATCH($B30,COMPOS!$A$4:$A$5000,0),3))))</f>
        <v>UN</v>
      </c>
      <c r="E30" s="279">
        <v>1</v>
      </c>
      <c r="F30" s="279">
        <f>(IF($A30="SINAPI",INDEX(SINAPI_NOV2020_NDES!$A$7:$H$6703,MATCH($B30,SINAPI_NOV2020_NDES!$A$7:$A$6703,0),5),(INDEX(COMPOS!$A$4:$G$801,MATCH($B30,COMPOS!$A$4:A$801,0),4))))</f>
        <v>8.0399999999999991</v>
      </c>
      <c r="G30" s="280">
        <f>(IF($A30="SINAPI",INDEX(SINAPI_NOV2020_NDES!$A$7:$H$6703,MATCH($B30,SINAPI_NOV2020_NDES!$A$7:$A$6703,0),6),(INDEX(COMPOS!$A$4:$G$801,MATCH($B30,COMPOS!$A$4:A$801,0),5))))</f>
        <v>64.25</v>
      </c>
      <c r="H30" s="280">
        <f>(IF($A30="SINAPI",INDEX(SINAPI_NOV2020_NDES!$A$7:$H$6703,MATCH($B30,SINAPI_NOV2020_NDES!$A$7:$A$6703,0),7),(INDEX(COMPOS!$A$4:$G$801,MATCH($B30,COMPOS!$A$4:A$801,0),6))))</f>
        <v>0</v>
      </c>
      <c r="I30" s="279">
        <f t="shared" si="8"/>
        <v>72.289999999999992</v>
      </c>
      <c r="J30" s="276">
        <f t="shared" si="9"/>
        <v>72.289999999999992</v>
      </c>
      <c r="K30" s="255"/>
      <c r="L30" s="255"/>
      <c r="M30" s="255"/>
      <c r="N30" s="255"/>
      <c r="O30" s="255"/>
    </row>
    <row r="31" spans="1:16" ht="24">
      <c r="A31" s="251" t="s">
        <v>7</v>
      </c>
      <c r="B31" s="289">
        <v>93673</v>
      </c>
      <c r="C31" s="301" t="str">
        <f>(IF($A31="SINAPI",INDEX(SINAPI_NOV2020_NDES!$A$7:$H$6703,MATCH($B31,SINAPI_NOV2020_NDES!$A$7:$A$6703,0),2),IF($A31="GOINFRA",INDEX(#REF!,MATCH($B31,#REF!,0),2),(INDEX(COMPOS!$A$4:$G$390,MATCH($B31,COMPOS!$A$4:A$390,0),2)))))</f>
        <v>DISJUNTOR TRIPOLAR TIPO DIN, CORRENTE NOMINAL DE 50A - FORNECIMENTO E INSTALAÇÃO. AF_10/2020</v>
      </c>
      <c r="D31" s="274" t="str">
        <f>(IF($A31="SINAPI",INDEX(SINAPI_NOV2020_NDES!$A$7:$H$6790,MATCH($B31,SINAPI_NOV2020_NDES!$A$7:$A$6790,0),3),(INDEX(COMPOS!$A$4:$G$5000,MATCH($B31,COMPOS!$A$4:$A$5000,0),3))))</f>
        <v>UN</v>
      </c>
      <c r="E31" s="279">
        <v>2</v>
      </c>
      <c r="F31" s="279">
        <f>(IF($A31="SINAPI",INDEX(SINAPI_NOV2020_NDES!$A$7:$H$6703,MATCH($B31,SINAPI_NOV2020_NDES!$A$7:$A$6703,0),5),(INDEX(COMPOS!$A$4:$G$801,MATCH($B31,COMPOS!$A$4:A$801,0),4))))</f>
        <v>16.71</v>
      </c>
      <c r="G31" s="280">
        <f>(IF($A31="SINAPI",INDEX(SINAPI_NOV2020_NDES!$A$7:$H$6703,MATCH($B31,SINAPI_NOV2020_NDES!$A$7:$A$6703,0),6),(INDEX(COMPOS!$A$4:$G$801,MATCH($B31,COMPOS!$A$4:A$801,0),5))))</f>
        <v>67.7</v>
      </c>
      <c r="H31" s="280">
        <f>(IF($A31="SINAPI",INDEX(SINAPI_NOV2020_NDES!$A$7:$H$6703,MATCH($B31,SINAPI_NOV2020_NDES!$A$7:$A$6703,0),7),(INDEX(COMPOS!$A$4:$G$801,MATCH($B31,COMPOS!$A$4:A$801,0),6))))</f>
        <v>0</v>
      </c>
      <c r="I31" s="279">
        <f t="shared" si="8"/>
        <v>84.41</v>
      </c>
      <c r="J31" s="276">
        <f t="shared" si="9"/>
        <v>168.82</v>
      </c>
      <c r="K31" s="255"/>
      <c r="L31" s="255"/>
      <c r="M31" s="255"/>
      <c r="N31" s="255"/>
      <c r="O31" s="255"/>
    </row>
    <row r="32" spans="1:16" ht="24">
      <c r="A32" s="251" t="s">
        <v>7</v>
      </c>
      <c r="B32" s="289">
        <v>91871</v>
      </c>
      <c r="C32" s="301" t="str">
        <f>(IF($A32="SINAPI",INDEX(SINAPI_NOV2020_NDES!$A$7:$H$6703,MATCH($B32,SINAPI_NOV2020_NDES!$A$7:$A$6703,0),2),IF($A32="GOINFRA",INDEX(#REF!,MATCH($B32,#REF!,0),2),(INDEX(COMPOS!$A$4:$G$390,MATCH($B32,COMPOS!$A$4:A$390,0),2)))))</f>
        <v>ELETRODUTO RÍGIDO ROSCÁVEL, PVC, DN 25 MM (3/4"), PARA CIRCUITOS TERMINAIS, INSTALADO EM PAREDE - FORNECIMENTO E INSTALAÇÃO. AF_12/2015</v>
      </c>
      <c r="D32" s="274" t="str">
        <f>(IF($A32="SINAPI",INDEX(SINAPI_NOV2020_NDES!$A$7:$H$6790,MATCH($B32,SINAPI_NOV2020_NDES!$A$7:$A$6790,0),3),(INDEX(COMPOS!$A$4:$G$5000,MATCH($B32,COMPOS!$A$4:$A$5000,0),3))))</f>
        <v>M</v>
      </c>
      <c r="E32" s="279">
        <v>102</v>
      </c>
      <c r="F32" s="279">
        <f>(IF($A32="SINAPI",INDEX(SINAPI_NOV2020_NDES!$A$7:$H$6703,MATCH($B32,SINAPI_NOV2020_NDES!$A$7:$A$6703,0),5),(INDEX(COMPOS!$A$4:$G$801,MATCH($B32,COMPOS!$A$4:A$801,0),4))))</f>
        <v>5.03</v>
      </c>
      <c r="G32" s="280">
        <f>(IF($A32="SINAPI",INDEX(SINAPI_NOV2020_NDES!$A$7:$H$6703,MATCH($B32,SINAPI_NOV2020_NDES!$A$7:$A$6703,0),6),(INDEX(COMPOS!$A$4:$G$801,MATCH($B32,COMPOS!$A$4:A$801,0),5))))</f>
        <v>3.9</v>
      </c>
      <c r="H32" s="280">
        <f>(IF($A32="SINAPI",INDEX(SINAPI_NOV2020_NDES!$A$7:$H$6703,MATCH($B32,SINAPI_NOV2020_NDES!$A$7:$A$6703,0),7),(INDEX(COMPOS!$A$4:$G$801,MATCH($B32,COMPOS!$A$4:A$801,0),6))))</f>
        <v>0</v>
      </c>
      <c r="I32" s="279">
        <f t="shared" si="8"/>
        <v>8.93</v>
      </c>
      <c r="J32" s="276">
        <f t="shared" si="9"/>
        <v>910.86</v>
      </c>
      <c r="K32" s="255"/>
      <c r="L32" s="255"/>
      <c r="M32" s="255"/>
      <c r="N32" s="255"/>
      <c r="O32" s="255"/>
    </row>
    <row r="33" spans="1:15" ht="24">
      <c r="A33" s="251" t="s">
        <v>7</v>
      </c>
      <c r="B33" s="289">
        <v>91864</v>
      </c>
      <c r="C33" s="301" t="str">
        <f>(IF($A33="SINAPI",INDEX(SINAPI_NOV2020_NDES!$A$7:$H$6703,MATCH($B33,SINAPI_NOV2020_NDES!$A$7:$A$6703,0),2),IF($A33="GOINFRA",INDEX(#REF!,MATCH($B33,#REF!,0),2),(INDEX(COMPOS!$A$4:$G$390,MATCH($B33,COMPOS!$A$4:A$390,0),2)))))</f>
        <v>ELETRODUTO RÍGIDO ROSCÁVEL, PVC, DN 32 MM (1"), PARA CIRCUITOS TERMINAIS, INSTALADO EM FORRO - FORNECIMENTO E INSTALAÇÃO. AF_12/2015</v>
      </c>
      <c r="D33" s="274" t="str">
        <f>(IF($A33="SINAPI",INDEX(SINAPI_NOV2020_NDES!$A$7:$H$6790,MATCH($B33,SINAPI_NOV2020_NDES!$A$7:$A$6790,0),3),(INDEX(COMPOS!$A$4:$G$5000,MATCH($B33,COMPOS!$A$4:$A$5000,0),3))))</f>
        <v>M</v>
      </c>
      <c r="E33" s="279">
        <v>27</v>
      </c>
      <c r="F33" s="279">
        <f>(IF($A33="SINAPI",INDEX(SINAPI_NOV2020_NDES!$A$7:$H$6703,MATCH($B33,SINAPI_NOV2020_NDES!$A$7:$A$6703,0),5),(INDEX(COMPOS!$A$4:$G$801,MATCH($B33,COMPOS!$A$4:A$801,0),4))))</f>
        <v>4.45</v>
      </c>
      <c r="G33" s="280">
        <f>(IF($A33="SINAPI",INDEX(SINAPI_NOV2020_NDES!$A$7:$H$6703,MATCH($B33,SINAPI_NOV2020_NDES!$A$7:$A$6703,0),6),(INDEX(COMPOS!$A$4:$G$801,MATCH($B33,COMPOS!$A$4:A$801,0),5))))</f>
        <v>5.29</v>
      </c>
      <c r="H33" s="280">
        <f>(IF($A33="SINAPI",INDEX(SINAPI_NOV2020_NDES!$A$7:$H$6703,MATCH($B33,SINAPI_NOV2020_NDES!$A$7:$A$6703,0),7),(INDEX(COMPOS!$A$4:$G$801,MATCH($B33,COMPOS!$A$4:A$801,0),6))))</f>
        <v>0</v>
      </c>
      <c r="I33" s="279">
        <f t="shared" si="8"/>
        <v>9.74</v>
      </c>
      <c r="J33" s="276">
        <f t="shared" si="9"/>
        <v>262.98</v>
      </c>
      <c r="K33" s="255"/>
      <c r="L33" s="255"/>
      <c r="M33" s="255"/>
      <c r="N33" s="255"/>
      <c r="O33" s="255"/>
    </row>
    <row r="34" spans="1:15" ht="24">
      <c r="A34" s="251" t="s">
        <v>7</v>
      </c>
      <c r="B34" s="289">
        <v>93008</v>
      </c>
      <c r="C34" s="301" t="str">
        <f>(IF($A34="SINAPI",INDEX(SINAPI_NOV2020_NDES!$A$7:$H$6703,MATCH($B34,SINAPI_NOV2020_NDES!$A$7:$A$6703,0),2),IF($A34="GOINFRA",INDEX(#REF!,MATCH($B34,#REF!,0),2),(INDEX(COMPOS!$A$4:$G$390,MATCH($B34,COMPOS!$A$4:A$390,0),2)))))</f>
        <v>ELETRODUTO RÍGIDO ROSCÁVEL, PVC, DN 50 MM (1 1/2") - FORNECIMENTO E INSTALAÇÃO. AF_12/2015</v>
      </c>
      <c r="D34" s="274" t="str">
        <f>(IF($A34="SINAPI",INDEX(SINAPI_NOV2020_NDES!$A$7:$H$6790,MATCH($B34,SINAPI_NOV2020_NDES!$A$7:$A$6790,0),3),(INDEX(COMPOS!$A$4:$G$5000,MATCH($B34,COMPOS!$A$4:$A$5000,0),3))))</f>
        <v>M</v>
      </c>
      <c r="E34" s="279">
        <v>33</v>
      </c>
      <c r="F34" s="279">
        <f>(IF($A34="SINAPI",INDEX(SINAPI_NOV2020_NDES!$A$7:$H$6703,MATCH($B34,SINAPI_NOV2020_NDES!$A$7:$A$6703,0),5),(INDEX(COMPOS!$A$4:$G$801,MATCH($B34,COMPOS!$A$4:A$801,0),4))))</f>
        <v>3.29</v>
      </c>
      <c r="G34" s="280">
        <f>(IF($A34="SINAPI",INDEX(SINAPI_NOV2020_NDES!$A$7:$H$6703,MATCH($B34,SINAPI_NOV2020_NDES!$A$7:$A$6703,0),6),(INDEX(COMPOS!$A$4:$G$801,MATCH($B34,COMPOS!$A$4:A$801,0),5))))</f>
        <v>6.91</v>
      </c>
      <c r="H34" s="280">
        <f>(IF($A34="SINAPI",INDEX(SINAPI_NOV2020_NDES!$A$7:$H$6703,MATCH($B34,SINAPI_NOV2020_NDES!$A$7:$A$6703,0),7),(INDEX(COMPOS!$A$4:$G$801,MATCH($B34,COMPOS!$A$4:A$801,0),6))))</f>
        <v>0</v>
      </c>
      <c r="I34" s="279">
        <f t="shared" si="8"/>
        <v>10.199999999999999</v>
      </c>
      <c r="J34" s="276">
        <f t="shared" si="9"/>
        <v>336.59999999999997</v>
      </c>
      <c r="K34" s="255"/>
      <c r="L34" s="255"/>
      <c r="M34" s="255"/>
      <c r="N34" s="255"/>
      <c r="O34" s="255"/>
    </row>
    <row r="35" spans="1:15" ht="24">
      <c r="A35" s="251" t="s">
        <v>7</v>
      </c>
      <c r="B35" s="289">
        <v>93009</v>
      </c>
      <c r="C35" s="301" t="str">
        <f>(IF($A35="SINAPI",INDEX(SINAPI_NOV2020_NDES!$A$7:$H$6703,MATCH($B35,SINAPI_NOV2020_NDES!$A$7:$A$6703,0),2),IF($A35="GOINFRA",INDEX(#REF!,MATCH($B35,#REF!,0),2),(INDEX(COMPOS!$A$4:$G$390,MATCH($B35,COMPOS!$A$4:A$390,0),2)))))</f>
        <v>ELETRODUTO RÍGIDO ROSCÁVEL, PVC, DN 60 MM (2") - FORNECIMENTO E INSTALAÇÃO. AF_12/2015</v>
      </c>
      <c r="D35" s="274" t="str">
        <f>(IF($A35="SINAPI",INDEX(SINAPI_NOV2020_NDES!$A$7:$H$6790,MATCH($B35,SINAPI_NOV2020_NDES!$A$7:$A$6790,0),3),(INDEX(COMPOS!$A$4:$G$5000,MATCH($B35,COMPOS!$A$4:$A$5000,0),3))))</f>
        <v>M</v>
      </c>
      <c r="E35" s="279">
        <v>2</v>
      </c>
      <c r="F35" s="279">
        <f>(IF($A35="SINAPI",INDEX(SINAPI_NOV2020_NDES!$A$7:$H$6703,MATCH($B35,SINAPI_NOV2020_NDES!$A$7:$A$6703,0),5),(INDEX(COMPOS!$A$4:$G$801,MATCH($B35,COMPOS!$A$4:A$801,0),4))))</f>
        <v>3.79</v>
      </c>
      <c r="G35" s="280">
        <f>(IF($A35="SINAPI",INDEX(SINAPI_NOV2020_NDES!$A$7:$H$6703,MATCH($B35,SINAPI_NOV2020_NDES!$A$7:$A$6703,0),6),(INDEX(COMPOS!$A$4:$G$801,MATCH($B35,COMPOS!$A$4:A$801,0),5))))</f>
        <v>10.79</v>
      </c>
      <c r="H35" s="280">
        <f>(IF($A35="SINAPI",INDEX(SINAPI_NOV2020_NDES!$A$7:$H$6703,MATCH($B35,SINAPI_NOV2020_NDES!$A$7:$A$6703,0),7),(INDEX(COMPOS!$A$4:$G$801,MATCH($B35,COMPOS!$A$4:A$801,0),6))))</f>
        <v>0</v>
      </c>
      <c r="I35" s="279">
        <f t="shared" si="8"/>
        <v>14.579999999999998</v>
      </c>
      <c r="J35" s="276">
        <f t="shared" si="9"/>
        <v>29.159999999999997</v>
      </c>
      <c r="K35" s="255"/>
      <c r="L35" s="255"/>
      <c r="M35" s="255"/>
      <c r="N35" s="255"/>
      <c r="O35" s="255"/>
    </row>
    <row r="36" spans="1:15" ht="24">
      <c r="A36" s="251" t="s">
        <v>7</v>
      </c>
      <c r="B36" s="289">
        <v>91928</v>
      </c>
      <c r="C36" s="301" t="str">
        <f>(IF($A36="SINAPI",INDEX(SINAPI_NOV2020_NDES!$A$7:$H$6703,MATCH($B36,SINAPI_NOV2020_NDES!$A$7:$A$6703,0),2),IF($A36="GOINFRA",INDEX(#REF!,MATCH($B36,#REF!,0),2),(INDEX(COMPOS!$A$4:$G$390,MATCH($B36,COMPOS!$A$4:A$390,0),2)))))</f>
        <v>CABO DE COBRE FLEXÍVEL ISOLADO, 4 MM², ANTI-CHAMA 450/750 V, PARA CIRCUITOS TERMINAIS - FORNECIMENTO E INSTALAÇÃO. AF_12/2015</v>
      </c>
      <c r="D36" s="274" t="str">
        <f>(IF($A36="SINAPI",INDEX(SINAPI_NOV2020_NDES!$A$7:$H$6790,MATCH($B36,SINAPI_NOV2020_NDES!$A$7:$A$6790,0),3),(INDEX(COMPOS!$A$4:$G$5000,MATCH($B36,COMPOS!$A$4:$A$5000,0),3))))</f>
        <v>M</v>
      </c>
      <c r="E36" s="279">
        <v>344</v>
      </c>
      <c r="F36" s="279">
        <f>(IF($A36="SINAPI",INDEX(SINAPI_NOV2020_NDES!$A$7:$H$6703,MATCH($B36,SINAPI_NOV2020_NDES!$A$7:$A$6703,0),5),(INDEX(COMPOS!$A$4:$G$801,MATCH($B36,COMPOS!$A$4:A$801,0),4))))</f>
        <v>1.17</v>
      </c>
      <c r="G36" s="280">
        <f>(IF($A36="SINAPI",INDEX(SINAPI_NOV2020_NDES!$A$7:$H$6703,MATCH($B36,SINAPI_NOV2020_NDES!$A$7:$A$6703,0),6),(INDEX(COMPOS!$A$4:$G$801,MATCH($B36,COMPOS!$A$4:A$801,0),5))))</f>
        <v>3.25</v>
      </c>
      <c r="H36" s="280">
        <f>(IF($A36="SINAPI",INDEX(SINAPI_NOV2020_NDES!$A$7:$H$6703,MATCH($B36,SINAPI_NOV2020_NDES!$A$7:$A$6703,0),7),(INDEX(COMPOS!$A$4:$G$801,MATCH($B36,COMPOS!$A$4:A$801,0),6))))</f>
        <v>0</v>
      </c>
      <c r="I36" s="279">
        <f t="shared" si="8"/>
        <v>4.42</v>
      </c>
      <c r="J36" s="276">
        <f t="shared" si="9"/>
        <v>1520.48</v>
      </c>
      <c r="K36" s="255"/>
      <c r="L36" s="255"/>
      <c r="M36" s="255"/>
      <c r="N36" s="255"/>
      <c r="O36" s="255"/>
    </row>
    <row r="37" spans="1:15" ht="24">
      <c r="A37" s="251" t="s">
        <v>7</v>
      </c>
      <c r="B37" s="289">
        <v>91930</v>
      </c>
      <c r="C37" s="301" t="str">
        <f>(IF($A37="SINAPI",INDEX(SINAPI_NOV2020_NDES!$A$7:$H$6703,MATCH($B37,SINAPI_NOV2020_NDES!$A$7:$A$6703,0),2),IF($A37="GOINFRA",INDEX(#REF!,MATCH($B37,#REF!,0),2),(INDEX(COMPOS!$A$4:$G$390,MATCH($B37,COMPOS!$A$4:A$390,0),2)))))</f>
        <v>CABO DE COBRE FLEXÍVEL ISOLADO, 6 MM², ANTI-CHAMA 450/750 V, PARA CIRCUITOS TERMINAIS - FORNECIMENTO E INSTALAÇÃO. AF_12/2015</v>
      </c>
      <c r="D37" s="274" t="str">
        <f>(IF($A37="SINAPI",INDEX(SINAPI_NOV2020_NDES!$A$7:$H$6790,MATCH($B37,SINAPI_NOV2020_NDES!$A$7:$A$6790,0),3),(INDEX(COMPOS!$A$4:$G$5000,MATCH($B37,COMPOS!$A$4:$A$5000,0),3))))</f>
        <v>M</v>
      </c>
      <c r="E37" s="279">
        <v>10</v>
      </c>
      <c r="F37" s="279">
        <f>(IF($A37="SINAPI",INDEX(SINAPI_NOV2020_NDES!$A$7:$H$6703,MATCH($B37,SINAPI_NOV2020_NDES!$A$7:$A$6703,0),5),(INDEX(COMPOS!$A$4:$G$801,MATCH($B37,COMPOS!$A$4:A$801,0),4))))</f>
        <v>1.52</v>
      </c>
      <c r="G37" s="280">
        <f>(IF($A37="SINAPI",INDEX(SINAPI_NOV2020_NDES!$A$7:$H$6703,MATCH($B37,SINAPI_NOV2020_NDES!$A$7:$A$6703,0),6),(INDEX(COMPOS!$A$4:$G$801,MATCH($B37,COMPOS!$A$4:A$801,0),5))))</f>
        <v>4.53</v>
      </c>
      <c r="H37" s="280">
        <f>(IF($A37="SINAPI",INDEX(SINAPI_NOV2020_NDES!$A$7:$H$6703,MATCH($B37,SINAPI_NOV2020_NDES!$A$7:$A$6703,0),7),(INDEX(COMPOS!$A$4:$G$801,MATCH($B37,COMPOS!$A$4:A$801,0),6))))</f>
        <v>0</v>
      </c>
      <c r="I37" s="279">
        <f t="shared" si="8"/>
        <v>6.0500000000000007</v>
      </c>
      <c r="J37" s="276">
        <f t="shared" si="9"/>
        <v>60.500000000000007</v>
      </c>
      <c r="K37" s="255"/>
      <c r="L37" s="255"/>
      <c r="M37" s="255"/>
      <c r="N37" s="255"/>
      <c r="O37" s="255"/>
    </row>
    <row r="38" spans="1:15">
      <c r="A38" s="251" t="s">
        <v>6307</v>
      </c>
      <c r="B38" s="290">
        <v>391</v>
      </c>
      <c r="C38" s="301" t="str">
        <f>(IF($A38="SINAPI",INDEX(SINAPI_NOV2020_NDES!$A$7:$H$6703,MATCH($B38,SINAPI_NOV2020_NDES!$A$7:$A$6703,0),2),IF($A38="GOINFRA",INDEX(#REF!,MATCH($B38,#REF!,0),2),(INDEX(COMPOS!$A$4:$G$390,MATCH($B38,COMPOS!$A$4:A$390,0),2)))))</f>
        <v>FITA DE AUTO FUSÃO, ROLO DE 10M</v>
      </c>
      <c r="D38" s="274" t="str">
        <f>(IF($A38="SINAPI",INDEX(SINAPI_NOV2020_NDES!$A$7:$H$6790,MATCH($B38,SINAPI_NOV2020_NDES!$A$7:$A$6790,0),3),(INDEX(COMPOS!$A$4:$G$5000,MATCH($B38,COMPOS!$A$4:$A$5000,0),3))))</f>
        <v>UN</v>
      </c>
      <c r="E38" s="279">
        <v>2</v>
      </c>
      <c r="F38" s="279">
        <f>(IF($A38="SINAPI",INDEX(SINAPI_NOV2020_NDES!$A$7:$H$6703,MATCH($B38,SINAPI_NOV2020_NDES!$A$7:$A$6703,0),5),(INDEX(COMPOS!$A$4:$G$801,MATCH($B38,COMPOS!$A$4:A$801,0),4))))</f>
        <v>7.726</v>
      </c>
      <c r="G38" s="280">
        <f>(IF($A38="SINAPI",INDEX(SINAPI_NOV2020_NDES!$A$7:$H$6703,MATCH($B38,SINAPI_NOV2020_NDES!$A$7:$A$6703,0),6),(INDEX(COMPOS!$A$4:$G$801,MATCH($B38,COMPOS!$A$4:A$801,0),5))))</f>
        <v>13.6</v>
      </c>
      <c r="H38" s="280">
        <f>(IF($A38="SINAPI",INDEX(SINAPI_NOV2020_NDES!$A$7:$H$6703,MATCH($B38,SINAPI_NOV2020_NDES!$A$7:$A$6703,0),7),(INDEX(COMPOS!$A$4:$G$801,MATCH($B38,COMPOS!$A$4:A$801,0),6))))</f>
        <v>0</v>
      </c>
      <c r="I38" s="279">
        <f t="shared" si="8"/>
        <v>21.326000000000001</v>
      </c>
      <c r="J38" s="276">
        <f t="shared" si="9"/>
        <v>42.652000000000001</v>
      </c>
      <c r="K38" s="255"/>
      <c r="L38" s="255"/>
      <c r="M38" s="255"/>
      <c r="N38" s="255"/>
      <c r="O38" s="255"/>
    </row>
    <row r="39" spans="1:15" ht="24">
      <c r="A39" s="251" t="s">
        <v>7</v>
      </c>
      <c r="B39" s="289">
        <v>96985</v>
      </c>
      <c r="C39" s="301" t="str">
        <f>(IF($A39="SINAPI",INDEX(SINAPI_NOV2020_NDES!$A$7:$H$6703,MATCH($B39,SINAPI_NOV2020_NDES!$A$7:$A$6703,0),2),IF($A39="GOINFRA",INDEX(#REF!,MATCH($B39,#REF!,0),2),(INDEX(COMPOS!$A$4:$G$390,MATCH($B39,COMPOS!$A$4:A$390,0),2)))))</f>
        <v>HASTE DE ATERRAMENTO 5/8  PARA SPDA - FORNECIMENTO E INSTALAÇÃO. AF_12/2017</v>
      </c>
      <c r="D39" s="274" t="str">
        <f>(IF($A39="SINAPI",INDEX(SINAPI_NOV2020_NDES!$A$7:$H$6790,MATCH($B39,SINAPI_NOV2020_NDES!$A$7:$A$6790,0),3),(INDEX(COMPOS!$A$4:$G$5000,MATCH($B39,COMPOS!$A$4:$A$5000,0),3))))</f>
        <v>UN</v>
      </c>
      <c r="E39" s="279">
        <v>2</v>
      </c>
      <c r="F39" s="279">
        <f>(IF($A39="SINAPI",INDEX(SINAPI_NOV2020_NDES!$A$7:$H$6703,MATCH($B39,SINAPI_NOV2020_NDES!$A$7:$A$6703,0),5),(INDEX(COMPOS!$A$4:$G$801,MATCH($B39,COMPOS!$A$4:A$801,0),4))))</f>
        <v>7.44</v>
      </c>
      <c r="G39" s="280">
        <f>(IF($A39="SINAPI",INDEX(SINAPI_NOV2020_NDES!$A$7:$H$6703,MATCH($B39,SINAPI_NOV2020_NDES!$A$7:$A$6703,0),6),(INDEX(COMPOS!$A$4:$G$801,MATCH($B39,COMPOS!$A$4:A$801,0),5))))</f>
        <v>38.17</v>
      </c>
      <c r="H39" s="280">
        <f>(IF($A39="SINAPI",INDEX(SINAPI_NOV2020_NDES!$A$7:$H$6703,MATCH($B39,SINAPI_NOV2020_NDES!$A$7:$A$6703,0),7),(INDEX(COMPOS!$A$4:$G$801,MATCH($B39,COMPOS!$A$4:A$801,0),6))))</f>
        <v>0</v>
      </c>
      <c r="I39" s="279">
        <f t="shared" si="8"/>
        <v>45.61</v>
      </c>
      <c r="J39" s="276">
        <f t="shared" si="9"/>
        <v>91.22</v>
      </c>
      <c r="K39" s="255"/>
      <c r="L39" s="255"/>
      <c r="M39" s="255"/>
      <c r="N39" s="255"/>
      <c r="O39" s="255"/>
    </row>
    <row r="40" spans="1:15" ht="36">
      <c r="A40" s="251" t="s">
        <v>7</v>
      </c>
      <c r="B40" s="289">
        <v>95757</v>
      </c>
      <c r="C40" s="301" t="str">
        <f>(IF($A40="SINAPI",INDEX(SINAPI_NOV2020_NDES!$A$7:$H$6703,MATCH($B40,SINAPI_NOV2020_NDES!$A$7:$A$6703,0),2),IF($A40="GOINFRA",INDEX(#REF!,MATCH($B40,#REF!,0),2),(INDEX(COMPOS!$A$4:$G$390,MATCH($B40,COMPOS!$A$4:A$390,0),2)))))</f>
        <v>LUVA DE EMENDA PARA ELETRODUTO, AÇO GALVANIZADO, DN 20 MM (3/4''), APARENTE, INSTALADA EM PAREDE - FORNECIMENTO E INSTALAÇÃO. AF_11/2016_P</v>
      </c>
      <c r="D40" s="274" t="str">
        <f>(IF($A40="SINAPI",INDEX(SINAPI_NOV2020_NDES!$A$7:$H$6790,MATCH($B40,SINAPI_NOV2020_NDES!$A$7:$A$6790,0),3),(INDEX(COMPOS!$A$4:$G$5000,MATCH($B40,COMPOS!$A$4:$A$5000,0),3))))</f>
        <v>UN</v>
      </c>
      <c r="E40" s="279">
        <v>31</v>
      </c>
      <c r="F40" s="279">
        <f>(IF($A40="SINAPI",INDEX(SINAPI_NOV2020_NDES!$A$7:$H$6703,MATCH($B40,SINAPI_NOV2020_NDES!$A$7:$A$6703,0),5),(INDEX(COMPOS!$A$4:$G$801,MATCH($B40,COMPOS!$A$4:A$801,0),4))))</f>
        <v>5.41</v>
      </c>
      <c r="G40" s="280">
        <f>(IF($A40="SINAPI",INDEX(SINAPI_NOV2020_NDES!$A$7:$H$6703,MATCH($B40,SINAPI_NOV2020_NDES!$A$7:$A$6703,0),6),(INDEX(COMPOS!$A$4:$G$801,MATCH($B40,COMPOS!$A$4:A$801,0),5))))</f>
        <v>2.72</v>
      </c>
      <c r="H40" s="280">
        <f>(IF($A40="SINAPI",INDEX(SINAPI_NOV2020_NDES!$A$7:$H$6703,MATCH($B40,SINAPI_NOV2020_NDES!$A$7:$A$6703,0),7),(INDEX(COMPOS!$A$4:$G$801,MATCH($B40,COMPOS!$A$4:A$801,0),6))))</f>
        <v>0</v>
      </c>
      <c r="I40" s="279">
        <f t="shared" si="8"/>
        <v>8.1300000000000008</v>
      </c>
      <c r="J40" s="276">
        <f t="shared" si="9"/>
        <v>252.03000000000003</v>
      </c>
      <c r="K40" s="255"/>
      <c r="L40" s="255"/>
      <c r="M40" s="255"/>
      <c r="N40" s="255"/>
      <c r="O40" s="255"/>
    </row>
    <row r="41" spans="1:15" ht="36">
      <c r="A41" s="251" t="s">
        <v>7</v>
      </c>
      <c r="B41" s="289">
        <v>95758</v>
      </c>
      <c r="C41" s="301" t="str">
        <f>(IF($A41="SINAPI",INDEX(SINAPI_NOV2020_NDES!$A$7:$H$6703,MATCH($B41,SINAPI_NOV2020_NDES!$A$7:$A$6703,0),2),IF($A41="GOINFRA",INDEX(#REF!,MATCH($B41,#REF!,0),2),(INDEX(COMPOS!$A$4:$G$390,MATCH($B41,COMPOS!$A$4:A$390,0),2)))))</f>
        <v>LUVA DE EMENDA PARA ELETRODUTO, AÇO GALVANIZADO, DN 25 MM (1''), APARENTE, INSTALADA EM PAREDE - FORNECIMENTO E INSTALAÇÃO. AF_11/2016_P</v>
      </c>
      <c r="D41" s="274" t="str">
        <f>(IF($A41="SINAPI",INDEX(SINAPI_NOV2020_NDES!$A$7:$H$6790,MATCH($B41,SINAPI_NOV2020_NDES!$A$7:$A$6790,0),3),(INDEX(COMPOS!$A$4:$G$5000,MATCH($B41,COMPOS!$A$4:$A$5000,0),3))))</f>
        <v>UN</v>
      </c>
      <c r="E41" s="279">
        <v>9</v>
      </c>
      <c r="F41" s="279">
        <f>(IF($A41="SINAPI",INDEX(SINAPI_NOV2020_NDES!$A$7:$H$6703,MATCH($B41,SINAPI_NOV2020_NDES!$A$7:$A$6703,0),5),(INDEX(COMPOS!$A$4:$G$801,MATCH($B41,COMPOS!$A$4:A$801,0),4))))</f>
        <v>6.02</v>
      </c>
      <c r="G41" s="280">
        <f>(IF($A41="SINAPI",INDEX(SINAPI_NOV2020_NDES!$A$7:$H$6703,MATCH($B41,SINAPI_NOV2020_NDES!$A$7:$A$6703,0),6),(INDEX(COMPOS!$A$4:$G$801,MATCH($B41,COMPOS!$A$4:A$801,0),5))))</f>
        <v>3.09</v>
      </c>
      <c r="H41" s="280">
        <f>(IF($A41="SINAPI",INDEX(SINAPI_NOV2020_NDES!$A$7:$H$6703,MATCH($B41,SINAPI_NOV2020_NDES!$A$7:$A$6703,0),7),(INDEX(COMPOS!$A$4:$G$801,MATCH($B41,COMPOS!$A$4:A$801,0),6))))</f>
        <v>0</v>
      </c>
      <c r="I41" s="279">
        <f t="shared" si="8"/>
        <v>9.11</v>
      </c>
      <c r="J41" s="276">
        <f t="shared" si="9"/>
        <v>81.99</v>
      </c>
      <c r="K41" s="255"/>
      <c r="L41" s="255"/>
      <c r="M41" s="255"/>
      <c r="N41" s="255"/>
      <c r="O41" s="255"/>
    </row>
    <row r="42" spans="1:15" ht="36">
      <c r="A42" s="251" t="s">
        <v>7</v>
      </c>
      <c r="B42" s="289">
        <v>95760</v>
      </c>
      <c r="C42" s="301" t="str">
        <f>(IF($A42="SINAPI",INDEX(SINAPI_NOV2020_NDES!$A$7:$H$6703,MATCH($B42,SINAPI_NOV2020_NDES!$A$7:$A$6703,0),2),IF($A42="GOINFRA",INDEX(#REF!,MATCH($B42,#REF!,0),2),(INDEX(COMPOS!$A$4:$G$390,MATCH($B42,COMPOS!$A$4:A$390,0),2)))))</f>
        <v>LUVA DE EMENDA PARA ELETRODUTO, AÇO GALVANIZADO, DN 40 MM (1 1/2''), APARENTE, INSTALADA EM PAREDE - FORNECIMENTO E INSTALAÇÃO. AF_11/2016_P</v>
      </c>
      <c r="D42" s="274" t="str">
        <f>(IF($A42="SINAPI",INDEX(SINAPI_NOV2020_NDES!$A$7:$H$6790,MATCH($B42,SINAPI_NOV2020_NDES!$A$7:$A$6790,0),3),(INDEX(COMPOS!$A$4:$G$5000,MATCH($B42,COMPOS!$A$4:$A$5000,0),3))))</f>
        <v>UN</v>
      </c>
      <c r="E42" s="279">
        <v>11</v>
      </c>
      <c r="F42" s="279">
        <f>(IF($A42="SINAPI",INDEX(SINAPI_NOV2020_NDES!$A$7:$H$6703,MATCH($B42,SINAPI_NOV2020_NDES!$A$7:$A$6703,0),5),(INDEX(COMPOS!$A$4:$G$801,MATCH($B42,COMPOS!$A$4:A$801,0),4))))</f>
        <v>7.85</v>
      </c>
      <c r="G42" s="280">
        <f>(IF($A42="SINAPI",INDEX(SINAPI_NOV2020_NDES!$A$7:$H$6703,MATCH($B42,SINAPI_NOV2020_NDES!$A$7:$A$6703,0),6),(INDEX(COMPOS!$A$4:$G$801,MATCH($B42,COMPOS!$A$4:A$801,0),5))))</f>
        <v>5.63</v>
      </c>
      <c r="H42" s="280">
        <f>(IF($A42="SINAPI",INDEX(SINAPI_NOV2020_NDES!$A$7:$H$6703,MATCH($B42,SINAPI_NOV2020_NDES!$A$7:$A$6703,0),7),(INDEX(COMPOS!$A$4:$G$801,MATCH($B42,COMPOS!$A$4:A$801,0),6))))</f>
        <v>0</v>
      </c>
      <c r="I42" s="279">
        <f t="shared" si="8"/>
        <v>13.48</v>
      </c>
      <c r="J42" s="276">
        <f t="shared" si="9"/>
        <v>148.28</v>
      </c>
      <c r="K42" s="255"/>
      <c r="L42" s="255"/>
      <c r="M42" s="255"/>
      <c r="N42" s="255"/>
      <c r="O42" s="255"/>
    </row>
    <row r="43" spans="1:15">
      <c r="A43" s="251" t="s">
        <v>6307</v>
      </c>
      <c r="B43" s="290">
        <v>392</v>
      </c>
      <c r="C43" s="301" t="str">
        <f>(IF($A43="SINAPI",INDEX(SINAPI_NOV2020_NDES!$A$7:$H$6703,MATCH($B43,SINAPI_NOV2020_NDES!$A$7:$A$6703,0),2),IF($A43="GOINFRA",INDEX(#REF!,MATCH($B43,#REF!,0),2),(INDEX(COMPOS!$A$4:$G$390,MATCH($B43,COMPOS!$A$4:A$390,0),2)))))</f>
        <v>CHAPA DE AÇO DE 2" X 1/8"</v>
      </c>
      <c r="D43" s="274" t="str">
        <f>(IF($A43="SINAPI",INDEX(SINAPI_NOV2020_NDES!$A$7:$H$6790,MATCH($B43,SINAPI_NOV2020_NDES!$A$7:$A$6790,0),3),(INDEX(COMPOS!$A$4:$G$5000,MATCH($B43,COMPOS!$A$4:$A$5000,0),3))))</f>
        <v>UN</v>
      </c>
      <c r="E43" s="326">
        <v>36</v>
      </c>
      <c r="F43" s="326">
        <f>(IF($A43="SINAPI",INDEX(SINAPI_NOV2020_NDES!$A$7:$H$6703,MATCH($B43,SINAPI_NOV2020_NDES!$A$7:$A$6703,0),5),(INDEX(COMPOS!$A$4:$G$801,MATCH($B43,COMPOS!$A$4:A$801,0),4))))</f>
        <v>9.6574999999999989</v>
      </c>
      <c r="G43" s="320">
        <f>(IF($A43="SINAPI",INDEX(SINAPI_NOV2020_NDES!$A$7:$H$6703,MATCH($B43,SINAPI_NOV2020_NDES!$A$7:$A$6703,0),6),(INDEX(COMPOS!$A$4:$G$801,MATCH($B43,COMPOS!$A$4:A$801,0),5))))</f>
        <v>31.730250000000002</v>
      </c>
      <c r="H43" s="320">
        <f>(IF($A43="SINAPI",INDEX(SINAPI_NOV2020_NDES!$A$7:$H$6703,MATCH($B43,SINAPI_NOV2020_NDES!$A$7:$A$6703,0),7),(INDEX(COMPOS!$A$4:$G$801,MATCH($B43,COMPOS!$A$4:A$801,0),6))))</f>
        <v>0</v>
      </c>
      <c r="I43" s="326">
        <f t="shared" si="8"/>
        <v>41.387749999999997</v>
      </c>
      <c r="J43" s="316">
        <f t="shared" si="9"/>
        <v>1489.9589999999998</v>
      </c>
      <c r="K43" s="255"/>
      <c r="L43" s="255"/>
      <c r="M43" s="255"/>
      <c r="N43" s="255"/>
      <c r="O43" s="255"/>
    </row>
    <row r="44" spans="1:15">
      <c r="A44" s="251" t="s">
        <v>6307</v>
      </c>
      <c r="B44" s="290">
        <v>163</v>
      </c>
      <c r="C44" s="301" t="str">
        <f>(IF($A44="SINAPI",INDEX(SINAPI_NOV2020_NDES!$A$7:$H$6703,MATCH($B44,SINAPI_NOV2020_NDES!$A$7:$A$6703,0),2),IF($A44="GOINFRA",INDEX(#REF!,MATCH($B44,#REF!,0),2),(INDEX(COMPOS!$A$4:$G$390,MATCH($B44,COMPOS!$A$4:A$390,0),2)))))</f>
        <v>CORRENTE DE AÇO D= 4,2MM, Nº10, P/SUSPENÇÃO DE LUMINÁRIAS</v>
      </c>
      <c r="D44" s="274" t="str">
        <f>(IF($A44="SINAPI",INDEX(SINAPI_NOV2020_NDES!$A$7:$H$6790,MATCH($B44,SINAPI_NOV2020_NDES!$A$7:$A$6790,0),3),(INDEX(COMPOS!$A$4:$G$5000,MATCH($B44,COMPOS!$A$4:$A$5000,0),3))))</f>
        <v>M</v>
      </c>
      <c r="E44" s="279">
        <v>18</v>
      </c>
      <c r="F44" s="279">
        <f>(IF($A44="SINAPI",INDEX(SINAPI_NOV2020_NDES!$A$7:$H$6703,MATCH($B44,SINAPI_NOV2020_NDES!$A$7:$A$6703,0),5),(INDEX(COMPOS!$A$4:$G$801,MATCH($B44,COMPOS!$A$4:A$801,0),4))))</f>
        <v>12.462038</v>
      </c>
      <c r="G44" s="280">
        <f>(IF($A44="SINAPI",INDEX(SINAPI_NOV2020_NDES!$A$7:$H$6703,MATCH($B44,SINAPI_NOV2020_NDES!$A$7:$A$6703,0),6),(INDEX(COMPOS!$A$4:$G$801,MATCH($B44,COMPOS!$A$4:A$801,0),5))))</f>
        <v>113.66784</v>
      </c>
      <c r="H44" s="280">
        <f>(IF($A44="SINAPI",INDEX(SINAPI_NOV2020_NDES!$A$7:$H$6703,MATCH($B44,SINAPI_NOV2020_NDES!$A$7:$A$6703,0),7),(INDEX(COMPOS!$A$4:$G$801,MATCH($B44,COMPOS!$A$4:A$801,0),6))))</f>
        <v>0</v>
      </c>
      <c r="I44" s="279">
        <f t="shared" si="8"/>
        <v>126.12987799999999</v>
      </c>
      <c r="J44" s="276">
        <f t="shared" si="9"/>
        <v>2270.3378039999998</v>
      </c>
      <c r="K44" s="255"/>
      <c r="L44" s="255"/>
      <c r="M44" s="255"/>
      <c r="N44" s="255"/>
      <c r="O44" s="255"/>
    </row>
    <row r="45" spans="1:15" ht="24">
      <c r="A45" s="251" t="s">
        <v>6307</v>
      </c>
      <c r="B45" s="290">
        <v>393</v>
      </c>
      <c r="C45" s="301" t="str">
        <f>(IF($A45="SINAPI",INDEX(SINAPI_NOV2020_NDES!$A$7:$H$6703,MATCH($B45,SINAPI_NOV2020_NDES!$A$7:$A$6703,0),2),IF($A45="GOINFRA",INDEX(#REF!,MATCH($B45,#REF!,0),2),(INDEX(COMPOS!$A$4:$G$390,MATCH($B45,COMPOS!$A$4:A$390,0),2)))))</f>
        <v>GAIOLA DE PROTEÇÃO DE FERRO CA-50 8,0MM COM PINTURA ANTI-OXIDANTE E ESMALTE SINTÉTICO 2 DEMÃOS</v>
      </c>
      <c r="D45" s="274" t="str">
        <f>(IF($A45="SINAPI",INDEX(SINAPI_NOV2020_NDES!$A$7:$H$6790,MATCH($B45,SINAPI_NOV2020_NDES!$A$7:$A$6790,0),3),(INDEX(COMPOS!$A$4:$G$5000,MATCH($B45,COMPOS!$A$4:$A$5000,0),3))))</f>
        <v>UN</v>
      </c>
      <c r="E45" s="279">
        <v>18</v>
      </c>
      <c r="F45" s="279">
        <f>(IF($A45="SINAPI",INDEX(SINAPI_NOV2020_NDES!$A$7:$H$6703,MATCH($B45,SINAPI_NOV2020_NDES!$A$7:$A$6703,0),5),(INDEX(COMPOS!$A$4:$G$801,MATCH($B45,COMPOS!$A$4:A$801,0),4))))</f>
        <v>77.777528719999992</v>
      </c>
      <c r="G45" s="280">
        <f>(IF($A45="SINAPI",INDEX(SINAPI_NOV2020_NDES!$A$7:$H$6703,MATCH($B45,SINAPI_NOV2020_NDES!$A$7:$A$6703,0),6),(INDEX(COMPOS!$A$4:$G$801,MATCH($B45,COMPOS!$A$4:A$801,0),5))))</f>
        <v>94.009558320000011</v>
      </c>
      <c r="H45" s="280">
        <f>(IF($A45="SINAPI",INDEX(SINAPI_NOV2020_NDES!$A$7:$H$6703,MATCH($B45,SINAPI_NOV2020_NDES!$A$7:$A$6703,0),7),(INDEX(COMPOS!$A$4:$G$801,MATCH($B45,COMPOS!$A$4:A$801,0),6))))</f>
        <v>0</v>
      </c>
      <c r="I45" s="279">
        <f t="shared" si="8"/>
        <v>171.78708704000002</v>
      </c>
      <c r="J45" s="276">
        <f t="shared" si="9"/>
        <v>3092.1675667200002</v>
      </c>
      <c r="K45" s="255"/>
      <c r="L45" s="255"/>
      <c r="M45" s="255"/>
      <c r="N45" s="255"/>
      <c r="O45" s="255"/>
    </row>
    <row r="46" spans="1:15">
      <c r="A46" s="251" t="s">
        <v>6307</v>
      </c>
      <c r="B46" s="290">
        <v>165</v>
      </c>
      <c r="C46" s="301" t="str">
        <f>(IF($A46="SINAPI",INDEX(SINAPI_NOV2020_NDES!$A$7:$H$6703,MATCH($B46,SINAPI_NOV2020_NDES!$A$7:$A$6703,0),2),IF($A46="GOINFRA",INDEX(#REF!,MATCH($B46,#REF!,0),2),(INDEX(COMPOS!$A$4:$G$390,MATCH($B46,COMPOS!$A$4:A$390,0),2)))))</f>
        <v>SUPORTE P/LUMINÁRIA CHAPA DE AÇO DE 2" X 1/8"</v>
      </c>
      <c r="D46" s="274" t="str">
        <f>(IF($A46="SINAPI",INDEX(SINAPI_NOV2020_NDES!$A$7:$H$6790,MATCH($B46,SINAPI_NOV2020_NDES!$A$7:$A$6790,0),3),(INDEX(COMPOS!$A$4:$G$5000,MATCH($B46,COMPOS!$A$4:$A$5000,0),3))))</f>
        <v>UN</v>
      </c>
      <c r="E46" s="279">
        <v>18</v>
      </c>
      <c r="F46" s="279">
        <f>(IF($A46="SINAPI",INDEX(SINAPI_NOV2020_NDES!$A$7:$H$6703,MATCH($B46,SINAPI_NOV2020_NDES!$A$7:$A$6703,0),5),(INDEX(COMPOS!$A$4:$G$801,MATCH($B46,COMPOS!$A$4:A$801,0),4))))</f>
        <v>9.6574999999999989</v>
      </c>
      <c r="G46" s="280">
        <f>(IF($A46="SINAPI",INDEX(SINAPI_NOV2020_NDES!$A$7:$H$6703,MATCH($B46,SINAPI_NOV2020_NDES!$A$7:$A$6703,0),6),(INDEX(COMPOS!$A$4:$G$801,MATCH($B46,COMPOS!$A$4:A$801,0),5))))</f>
        <v>6.8588499999999994</v>
      </c>
      <c r="H46" s="280">
        <f>(IF($A46="SINAPI",INDEX(SINAPI_NOV2020_NDES!$A$7:$H$6703,MATCH($B46,SINAPI_NOV2020_NDES!$A$7:$A$6703,0),7),(INDEX(COMPOS!$A$4:$G$801,MATCH($B46,COMPOS!$A$4:A$801,0),6))))</f>
        <v>0</v>
      </c>
      <c r="I46" s="279">
        <f t="shared" si="8"/>
        <v>16.516349999999999</v>
      </c>
      <c r="J46" s="276">
        <f t="shared" si="9"/>
        <v>297.29429999999996</v>
      </c>
      <c r="K46" s="255"/>
      <c r="L46" s="255"/>
      <c r="M46" s="255"/>
      <c r="N46" s="255"/>
      <c r="O46" s="255"/>
    </row>
    <row r="47" spans="1:15" ht="24">
      <c r="A47" s="251" t="s">
        <v>7</v>
      </c>
      <c r="B47" s="289">
        <v>95781</v>
      </c>
      <c r="C47" s="301" t="str">
        <f>(IF($A47="SINAPI",INDEX(SINAPI_NOV2020_NDES!$A$7:$H$6703,MATCH($B47,SINAPI_NOV2020_NDES!$A$7:$A$6703,0),2),IF($A47="GOINFRA",INDEX(#REF!,MATCH($B47,#REF!,0),2),(INDEX(COMPOS!$A$4:$G$390,MATCH($B47,COMPOS!$A$4:A$390,0),2)))))</f>
        <v>CONDULETE DE ALUMÍNIO, TIPO C, PARA ELETRODUTO DE AÇO GALVANIZADO DN 25 MM (1''), APARENTE - FORNECIMENTO E INSTALAÇÃO. AF_11/2016_P</v>
      </c>
      <c r="D47" s="274" t="str">
        <f>(IF($A47="SINAPI",INDEX(SINAPI_NOV2020_NDES!$A$7:$H$6790,MATCH($B47,SINAPI_NOV2020_NDES!$A$7:$A$6790,0),3),(INDEX(COMPOS!$A$4:$G$5000,MATCH($B47,COMPOS!$A$4:$A$5000,0),3))))</f>
        <v>UN</v>
      </c>
      <c r="E47" s="279">
        <v>4</v>
      </c>
      <c r="F47" s="279">
        <f>(IF($A47="SINAPI",INDEX(SINAPI_NOV2020_NDES!$A$7:$H$6703,MATCH($B47,SINAPI_NOV2020_NDES!$A$7:$A$6703,0),5),(INDEX(COMPOS!$A$4:$G$801,MATCH($B47,COMPOS!$A$4:A$801,0),4))))</f>
        <v>10.53</v>
      </c>
      <c r="G47" s="280">
        <f>(IF($A47="SINAPI",INDEX(SINAPI_NOV2020_NDES!$A$7:$H$6703,MATCH($B47,SINAPI_NOV2020_NDES!$A$7:$A$6703,0),6),(INDEX(COMPOS!$A$4:$G$801,MATCH($B47,COMPOS!$A$4:A$801,0),5))))</f>
        <v>14.72</v>
      </c>
      <c r="H47" s="280">
        <f>(IF($A47="SINAPI",INDEX(SINAPI_NOV2020_NDES!$A$7:$H$6703,MATCH($B47,SINAPI_NOV2020_NDES!$A$7:$A$6703,0),7),(INDEX(COMPOS!$A$4:$G$801,MATCH($B47,COMPOS!$A$4:A$801,0),6))))</f>
        <v>0</v>
      </c>
      <c r="I47" s="279">
        <f t="shared" si="8"/>
        <v>25.25</v>
      </c>
      <c r="J47" s="276">
        <f t="shared" si="9"/>
        <v>101</v>
      </c>
      <c r="K47" s="255"/>
      <c r="L47" s="255"/>
      <c r="M47" s="255"/>
      <c r="N47" s="255"/>
      <c r="O47" s="255"/>
    </row>
    <row r="48" spans="1:15" ht="24">
      <c r="A48" s="251" t="s">
        <v>7</v>
      </c>
      <c r="B48" s="289">
        <v>95779</v>
      </c>
      <c r="C48" s="301" t="str">
        <f>(IF($A48="SINAPI",INDEX(SINAPI_NOV2020_NDES!$A$7:$H$6703,MATCH($B48,SINAPI_NOV2020_NDES!$A$7:$A$6703,0),2),IF($A48="GOINFRA",INDEX(#REF!,MATCH($B48,#REF!,0),2),(INDEX(COMPOS!$A$4:$G$390,MATCH($B48,COMPOS!$A$4:A$390,0),2)))))</f>
        <v>CONDULETE DE ALUMÍNIO, TIPO E, PARA ELETRODUTO DE AÇO GALVANIZADO DN 20 MM (3/4''), APARENTE - FORNECIMENTO E INSTALAÇÃO. AF_11/2016_P</v>
      </c>
      <c r="D48" s="274" t="str">
        <f>(IF($A48="SINAPI",INDEX(SINAPI_NOV2020_NDES!$A$7:$H$6790,MATCH($B48,SINAPI_NOV2020_NDES!$A$7:$A$6790,0),3),(INDEX(COMPOS!$A$4:$G$5000,MATCH($B48,COMPOS!$A$4:$A$5000,0),3))))</f>
        <v>UN</v>
      </c>
      <c r="E48" s="279">
        <v>6</v>
      </c>
      <c r="F48" s="279">
        <f>(IF($A48="SINAPI",INDEX(SINAPI_NOV2020_NDES!$A$7:$H$6703,MATCH($B48,SINAPI_NOV2020_NDES!$A$7:$A$6703,0),5),(INDEX(COMPOS!$A$4:$G$801,MATCH($B48,COMPOS!$A$4:A$801,0),4))))</f>
        <v>10.119999999999999</v>
      </c>
      <c r="G48" s="280">
        <f>(IF($A48="SINAPI",INDEX(SINAPI_NOV2020_NDES!$A$7:$H$6703,MATCH($B48,SINAPI_NOV2020_NDES!$A$7:$A$6703,0),6),(INDEX(COMPOS!$A$4:$G$801,MATCH($B48,COMPOS!$A$4:A$801,0),5))))</f>
        <v>10.67</v>
      </c>
      <c r="H48" s="280">
        <f>(IF($A48="SINAPI",INDEX(SINAPI_NOV2020_NDES!$A$7:$H$6703,MATCH($B48,SINAPI_NOV2020_NDES!$A$7:$A$6703,0),7),(INDEX(COMPOS!$A$4:$G$801,MATCH($B48,COMPOS!$A$4:A$801,0),6))))</f>
        <v>0</v>
      </c>
      <c r="I48" s="279">
        <f t="shared" si="8"/>
        <v>20.79</v>
      </c>
      <c r="J48" s="276">
        <f t="shared" si="9"/>
        <v>124.74</v>
      </c>
      <c r="K48" s="255"/>
      <c r="L48" s="255"/>
      <c r="M48" s="255"/>
      <c r="N48" s="255"/>
      <c r="O48" s="255"/>
    </row>
    <row r="49" spans="1:1004" ht="24">
      <c r="A49" s="251" t="s">
        <v>7</v>
      </c>
      <c r="B49" s="289">
        <v>95782</v>
      </c>
      <c r="C49" s="301" t="str">
        <f>(IF($A49="SINAPI",INDEX(SINAPI_NOV2020_NDES!$A$7:$H$6703,MATCH($B49,SINAPI_NOV2020_NDES!$A$7:$A$6703,0),2),IF($A49="GOINFRA",INDEX(#REF!,MATCH($B49,#REF!,0),2),(INDEX(COMPOS!$A$4:$G$390,MATCH($B49,COMPOS!$A$4:A$390,0),2)))))</f>
        <v>CONDULETE DE ALUMÍNIO, TIPO E, ELETRODUTO DE AÇO GALVANIZADO DN 25 MM (1''), APARENTE - FORNECIMENTO E INSTALAÇÃO. AF_11/2016_P</v>
      </c>
      <c r="D49" s="274" t="str">
        <f>(IF($A49="SINAPI",INDEX(SINAPI_NOV2020_NDES!$A$7:$H$6790,MATCH($B49,SINAPI_NOV2020_NDES!$A$7:$A$6790,0),3),(INDEX(COMPOS!$A$4:$G$5000,MATCH($B49,COMPOS!$A$4:$A$5000,0),3))))</f>
        <v>UN</v>
      </c>
      <c r="E49" s="279">
        <v>2</v>
      </c>
      <c r="F49" s="279">
        <f>(IF($A49="SINAPI",INDEX(SINAPI_NOV2020_NDES!$A$7:$H$6703,MATCH($B49,SINAPI_NOV2020_NDES!$A$7:$A$6703,0),5),(INDEX(COMPOS!$A$4:$G$801,MATCH($B49,COMPOS!$A$4:A$801,0),4))))</f>
        <v>10.53</v>
      </c>
      <c r="G49" s="280">
        <f>(IF($A49="SINAPI",INDEX(SINAPI_NOV2020_NDES!$A$7:$H$6703,MATCH($B49,SINAPI_NOV2020_NDES!$A$7:$A$6703,0),6),(INDEX(COMPOS!$A$4:$G$801,MATCH($B49,COMPOS!$A$4:A$801,0),5))))</f>
        <v>15.7</v>
      </c>
      <c r="H49" s="280">
        <f>(IF($A49="SINAPI",INDEX(SINAPI_NOV2020_NDES!$A$7:$H$6703,MATCH($B49,SINAPI_NOV2020_NDES!$A$7:$A$6703,0),7),(INDEX(COMPOS!$A$4:$G$801,MATCH($B49,COMPOS!$A$4:A$801,0),6))))</f>
        <v>0</v>
      </c>
      <c r="I49" s="279">
        <f t="shared" si="8"/>
        <v>26.229999999999997</v>
      </c>
      <c r="J49" s="276">
        <f t="shared" si="9"/>
        <v>52.459999999999994</v>
      </c>
      <c r="K49" s="255"/>
      <c r="L49" s="255"/>
      <c r="M49" s="255"/>
      <c r="N49" s="255"/>
      <c r="O49" s="255"/>
    </row>
    <row r="50" spans="1:1004" ht="24">
      <c r="A50" s="251" t="s">
        <v>7</v>
      </c>
      <c r="B50" s="289">
        <v>95795</v>
      </c>
      <c r="C50" s="301" t="str">
        <f>(IF($A50="SINAPI",INDEX(SINAPI_NOV2020_NDES!$A$7:$H$6703,MATCH($B50,SINAPI_NOV2020_NDES!$A$7:$A$6703,0),2),IF($A50="GOINFRA",INDEX(#REF!,MATCH($B50,#REF!,0),2),(INDEX(COMPOS!$A$4:$G$390,MATCH($B50,COMPOS!$A$4:A$390,0),2)))))</f>
        <v>CONDULETE DE ALUMÍNIO, TIPO T, PARA ELETRODUTO DE AÇO GALVANIZADO DN 20 MM (3/4''), APARENTE - FORNECIMENTO E INSTALAÇÃO. AF_11/2016_P</v>
      </c>
      <c r="D50" s="274" t="str">
        <f>(IF($A50="SINAPI",INDEX(SINAPI_NOV2020_NDES!$A$7:$H$6790,MATCH($B50,SINAPI_NOV2020_NDES!$A$7:$A$6790,0),3),(INDEX(COMPOS!$A$4:$G$5000,MATCH($B50,COMPOS!$A$4:$A$5000,0),3))))</f>
        <v>UN</v>
      </c>
      <c r="E50" s="279">
        <v>12</v>
      </c>
      <c r="F50" s="279">
        <f>(IF($A50="SINAPI",INDEX(SINAPI_NOV2020_NDES!$A$7:$H$6703,MATCH($B50,SINAPI_NOV2020_NDES!$A$7:$A$6703,0),5),(INDEX(COMPOS!$A$4:$G$801,MATCH($B50,COMPOS!$A$4:A$801,0),4))))</f>
        <v>12.88</v>
      </c>
      <c r="G50" s="280">
        <f>(IF($A50="SINAPI",INDEX(SINAPI_NOV2020_NDES!$A$7:$H$6703,MATCH($B50,SINAPI_NOV2020_NDES!$A$7:$A$6703,0),6),(INDEX(COMPOS!$A$4:$G$801,MATCH($B50,COMPOS!$A$4:A$801,0),5))))</f>
        <v>12.92</v>
      </c>
      <c r="H50" s="280">
        <f>(IF($A50="SINAPI",INDEX(SINAPI_NOV2020_NDES!$A$7:$H$6703,MATCH($B50,SINAPI_NOV2020_NDES!$A$7:$A$6703,0),7),(INDEX(COMPOS!$A$4:$G$801,MATCH($B50,COMPOS!$A$4:A$801,0),6))))</f>
        <v>0</v>
      </c>
      <c r="I50" s="279">
        <f t="shared" si="8"/>
        <v>25.8</v>
      </c>
      <c r="J50" s="276">
        <f t="shared" si="9"/>
        <v>309.60000000000002</v>
      </c>
      <c r="K50" s="255"/>
      <c r="L50" s="255"/>
      <c r="M50" s="255"/>
      <c r="N50" s="255"/>
      <c r="O50" s="255"/>
    </row>
    <row r="51" spans="1:1004" ht="24">
      <c r="A51" s="251" t="s">
        <v>7</v>
      </c>
      <c r="B51" s="289">
        <v>95801</v>
      </c>
      <c r="C51" s="301" t="str">
        <f>(IF($A51="SINAPI",INDEX(SINAPI_NOV2020_NDES!$A$7:$H$6703,MATCH($B51,SINAPI_NOV2020_NDES!$A$7:$A$6703,0),2),IF($A51="GOINFRA",INDEX(#REF!,MATCH($B51,#REF!,0),2),(INDEX(COMPOS!$A$4:$G$390,MATCH($B51,COMPOS!$A$4:A$390,0),2)))))</f>
        <v>CONDULETE DE ALUMÍNIO, TIPO X, PARA ELETRODUTO DE AÇO GALVANIZADO DN 20 MM (3/4''), APARENTE - FORNECIMENTO E INSTALAÇÃO. AF_11/2016_P</v>
      </c>
      <c r="D51" s="274" t="str">
        <f>(IF($A51="SINAPI",INDEX(SINAPI_NOV2020_NDES!$A$7:$H$6790,MATCH($B51,SINAPI_NOV2020_NDES!$A$7:$A$6790,0),3),(INDEX(COMPOS!$A$4:$G$5000,MATCH($B51,COMPOS!$A$4:$A$5000,0),3))))</f>
        <v>UN</v>
      </c>
      <c r="E51" s="279">
        <v>2</v>
      </c>
      <c r="F51" s="279">
        <f>(IF($A51="SINAPI",INDEX(SINAPI_NOV2020_NDES!$A$7:$H$6703,MATCH($B51,SINAPI_NOV2020_NDES!$A$7:$A$6703,0),5),(INDEX(COMPOS!$A$4:$G$801,MATCH($B51,COMPOS!$A$4:A$801,0),4))))</f>
        <v>14.65</v>
      </c>
      <c r="G51" s="280">
        <f>(IF($A51="SINAPI",INDEX(SINAPI_NOV2020_NDES!$A$7:$H$6703,MATCH($B51,SINAPI_NOV2020_NDES!$A$7:$A$6703,0),6),(INDEX(COMPOS!$A$4:$G$801,MATCH($B51,COMPOS!$A$4:A$801,0),5))))</f>
        <v>16.21</v>
      </c>
      <c r="H51" s="280">
        <f>(IF($A51="SINAPI",INDEX(SINAPI_NOV2020_NDES!$A$7:$H$6703,MATCH($B51,SINAPI_NOV2020_NDES!$A$7:$A$6703,0),7),(INDEX(COMPOS!$A$4:$G$801,MATCH($B51,COMPOS!$A$4:A$801,0),6))))</f>
        <v>0</v>
      </c>
      <c r="I51" s="279">
        <f t="shared" si="8"/>
        <v>30.86</v>
      </c>
      <c r="J51" s="276">
        <f t="shared" si="9"/>
        <v>61.72</v>
      </c>
      <c r="K51" s="255"/>
      <c r="L51" s="255"/>
      <c r="M51" s="255"/>
      <c r="N51" s="255"/>
      <c r="O51" s="255"/>
    </row>
    <row r="52" spans="1:1004" ht="36">
      <c r="A52" s="251" t="s">
        <v>7</v>
      </c>
      <c r="B52" s="289">
        <v>101875</v>
      </c>
      <c r="C52" s="301" t="str">
        <f>(IF($A52="SINAPI",INDEX(SINAPI_NOV2020_NDES!$A$7:$H$6703,MATCH($B52,SINAPI_NOV2020_NDES!$A$7:$A$6703,0),2),IF($A52="GOINFRA",INDEX(#REF!,MATCH($B52,#REF!,0),2),(INDEX(COMPOS!$A$4:$G$390,MATCH($B52,COMPOS!$A$4:A$390,0),2)))))</f>
        <v>QUADRO DE DISTRIBUIÇÃO DE ENERGIA EM CHAPA DE AÇO GALVANIZADO, DE EMBUTIR, COM BARRAMENTO TRIFÁSICO, PARA 12 DISJUNTORES DIN 100A - FORNECIMENTO E INSTALAÇÃO. AF_10/2020</v>
      </c>
      <c r="D52" s="274" t="str">
        <f>(IF($A52="SINAPI",INDEX(SINAPI_NOV2020_NDES!$A$7:$H$6790,MATCH($B52,SINAPI_NOV2020_NDES!$A$7:$A$6790,0),3),(INDEX(COMPOS!$A$4:$G$5000,MATCH($B52,COMPOS!$A$4:$A$5000,0),3))))</f>
        <v>UN</v>
      </c>
      <c r="E52" s="279">
        <v>1</v>
      </c>
      <c r="F52" s="279">
        <f>(IF($A52="SINAPI",INDEX(SINAPI_NOV2020_NDES!$A$7:$H$6703,MATCH($B52,SINAPI_NOV2020_NDES!$A$7:$A$6703,0),5),(INDEX(COMPOS!$A$4:$G$801,MATCH($B52,COMPOS!$A$4:A$801,0),4))))</f>
        <v>15.54</v>
      </c>
      <c r="G52" s="280">
        <f>(IF($A52="SINAPI",INDEX(SINAPI_NOV2020_NDES!$A$7:$H$6703,MATCH($B52,SINAPI_NOV2020_NDES!$A$7:$A$6703,0),6),(INDEX(COMPOS!$A$4:$G$801,MATCH($B52,COMPOS!$A$4:A$801,0),5))))</f>
        <v>315.70999999999998</v>
      </c>
      <c r="H52" s="280">
        <f>(IF($A52="SINAPI",INDEX(SINAPI_NOV2020_NDES!$A$7:$H$6703,MATCH($B52,SINAPI_NOV2020_NDES!$A$7:$A$6703,0),7),(INDEX(COMPOS!$A$4:$G$801,MATCH($B52,COMPOS!$A$4:A$801,0),6))))</f>
        <v>0</v>
      </c>
      <c r="I52" s="279">
        <f t="shared" si="8"/>
        <v>331.25</v>
      </c>
      <c r="J52" s="276">
        <f t="shared" si="9"/>
        <v>331.25</v>
      </c>
      <c r="K52" s="255"/>
      <c r="L52" s="255"/>
      <c r="M52" s="255"/>
      <c r="N52" s="255"/>
      <c r="O52" s="255"/>
    </row>
    <row r="53" spans="1:1004">
      <c r="A53" s="251" t="s">
        <v>6307</v>
      </c>
      <c r="B53" s="290">
        <v>552</v>
      </c>
      <c r="C53" s="301" t="str">
        <f>(IF($A53="SINAPI",INDEX(SINAPI_NOV2020_NDES!$A$7:$H$6703,MATCH($B53,SINAPI_NOV2020_NDES!$A$7:$A$6703,0),2),IF($A53="GOINFRA",INDEX(#REF!,MATCH($B53,#REF!,0),2),(INDEX(COMPOS!$A$4:$G$390,MATCH($B53,COMPOS!$A$4:A$390,0),2)))))</f>
        <v>TAMPA CEGA PARA CONDULETE METÁLICO</v>
      </c>
      <c r="D53" s="274" t="str">
        <f>(IF($A53="SINAPI",INDEX(SINAPI_NOV2020_NDES!$A$7:$H$6790,MATCH($B53,SINAPI_NOV2020_NDES!$A$7:$A$6790,0),3),(INDEX(COMPOS!$A$4:$G$5000,MATCH($B53,COMPOS!$A$4:$A$5000,0),3))))</f>
        <v>UN</v>
      </c>
      <c r="E53" s="279">
        <v>26</v>
      </c>
      <c r="F53" s="279">
        <f>(IF($A53="SINAPI",INDEX(SINAPI_NOV2020_NDES!$A$7:$H$6703,MATCH($B53,SINAPI_NOV2020_NDES!$A$7:$A$6703,0),5),(INDEX(COMPOS!$A$4:$G$801,MATCH($B53,COMPOS!$A$4:A$801,0),4))))</f>
        <v>1.1589</v>
      </c>
      <c r="G53" s="280">
        <f>(IF($A53="SINAPI",INDEX(SINAPI_NOV2020_NDES!$A$7:$H$6703,MATCH($B53,SINAPI_NOV2020_NDES!$A$7:$A$6703,0),6),(INDEX(COMPOS!$A$4:$G$801,MATCH($B53,COMPOS!$A$4:A$801,0),5))))</f>
        <v>2.36</v>
      </c>
      <c r="H53" s="280">
        <f>(IF($A53="SINAPI",INDEX(SINAPI_NOV2020_NDES!$A$7:$H$6703,MATCH($B53,SINAPI_NOV2020_NDES!$A$7:$A$6703,0),7),(INDEX(COMPOS!$A$4:$G$801,MATCH($B53,COMPOS!$A$4:A$801,0),6))))</f>
        <v>0</v>
      </c>
      <c r="I53" s="279">
        <f t="shared" si="8"/>
        <v>3.5188999999999999</v>
      </c>
      <c r="J53" s="276">
        <f t="shared" si="9"/>
        <v>91.491399999999999</v>
      </c>
      <c r="K53" s="255"/>
      <c r="L53" s="255"/>
      <c r="M53" s="255"/>
      <c r="N53" s="255"/>
      <c r="O53" s="255"/>
    </row>
    <row r="54" spans="1:1004" ht="24">
      <c r="A54" s="251" t="s">
        <v>7</v>
      </c>
      <c r="B54" s="289">
        <v>91996</v>
      </c>
      <c r="C54" s="301" t="str">
        <f>(IF($A54="SINAPI",INDEX(SINAPI_NOV2020_NDES!$A$7:$H$6703,MATCH($B54,SINAPI_NOV2020_NDES!$A$7:$A$6703,0),2),IF($A54="GOINFRA",INDEX(#REF!,MATCH($B54,#REF!,0),2),(INDEX(COMPOS!$A$4:$G$390,MATCH($B54,COMPOS!$A$4:A$390,0),2)))))</f>
        <v>TOMADA MÉDIA DE EMBUTIR (1 MÓDULO), 2P+T 10 A, INCLUINDO SUPORTE E PLACA - FORNECIMENTO E INSTALAÇÃO. AF_12/2015</v>
      </c>
      <c r="D54" s="274" t="str">
        <f>(IF($A54="SINAPI",INDEX(SINAPI_NOV2020_NDES!$A$7:$H$6790,MATCH($B54,SINAPI_NOV2020_NDES!$A$7:$A$6790,0),3),(INDEX(COMPOS!$A$4:$G$5000,MATCH($B54,COMPOS!$A$4:$A$5000,0),3))))</f>
        <v>UN</v>
      </c>
      <c r="E54" s="279">
        <v>4</v>
      </c>
      <c r="F54" s="279">
        <f>(IF($A54="SINAPI",INDEX(SINAPI_NOV2020_NDES!$A$7:$H$6703,MATCH($B54,SINAPI_NOV2020_NDES!$A$7:$A$6703,0),5),(INDEX(COMPOS!$A$4:$G$801,MATCH($B54,COMPOS!$A$4:A$801,0),4))))</f>
        <v>11.25</v>
      </c>
      <c r="G54" s="280">
        <f>(IF($A54="SINAPI",INDEX(SINAPI_NOV2020_NDES!$A$7:$H$6703,MATCH($B54,SINAPI_NOV2020_NDES!$A$7:$A$6703,0),6),(INDEX(COMPOS!$A$4:$G$801,MATCH($B54,COMPOS!$A$4:A$801,0),5))))</f>
        <v>10.78</v>
      </c>
      <c r="H54" s="280">
        <f>(IF($A54="SINAPI",INDEX(SINAPI_NOV2020_NDES!$A$7:$H$6703,MATCH($B54,SINAPI_NOV2020_NDES!$A$7:$A$6703,0),7),(INDEX(COMPOS!$A$4:$G$801,MATCH($B54,COMPOS!$A$4:A$801,0),6))))</f>
        <v>0</v>
      </c>
      <c r="I54" s="279">
        <f t="shared" si="8"/>
        <v>22.03</v>
      </c>
      <c r="J54" s="276">
        <f t="shared" si="9"/>
        <v>88.12</v>
      </c>
      <c r="K54" s="255"/>
      <c r="L54" s="255"/>
      <c r="M54" s="255"/>
      <c r="N54" s="255"/>
      <c r="O54" s="255"/>
    </row>
    <row r="55" spans="1:1004" ht="24">
      <c r="A55" s="251" t="s">
        <v>6307</v>
      </c>
      <c r="B55" s="290">
        <v>759</v>
      </c>
      <c r="C55" s="301" t="str">
        <f>(IF($A55="SINAPI",INDEX(SINAPI_NOV2020_NDES!$A$7:$H$6703,MATCH($B55,SINAPI_NOV2020_NDES!$A$7:$A$6703,0),2),IF($A55="GOINFRA",INDEX(#REF!,MATCH($B55,#REF!,0),2),(INDEX(COMPOS!$A$4:$G$390,MATCH($B55,COMPOS!$A$4:A$390,0),2)))))</f>
        <v>LUMINÁRIA LED PARA GINÁSIO / QUADRA 200W - REFERÊNCIA WAMPA TECNOWATT OU EQUIVALENTE</v>
      </c>
      <c r="D55" s="274" t="str">
        <f>(IF($A55="SINAPI",INDEX(SINAPI_NOV2020_NDES!$A$7:$H$6790,MATCH($B55,SINAPI_NOV2020_NDES!$A$7:$A$6790,0),3),(INDEX(COMPOS!$A$4:$G$5000,MATCH($B55,COMPOS!$A$4:$A$5000,0),3))))</f>
        <v>UN</v>
      </c>
      <c r="E55" s="279">
        <v>18</v>
      </c>
      <c r="F55" s="279">
        <f>(IF($A55="SINAPI",INDEX(SINAPI_NOV2020_NDES!$A$7:$H$6703,MATCH($B55,SINAPI_NOV2020_NDES!$A$7:$A$6703,0),5),(INDEX(COMPOS!$A$4:$G$801,MATCH($B55,COMPOS!$A$4:A$801,0),4))))</f>
        <v>12.462038</v>
      </c>
      <c r="G55" s="280">
        <f>(IF($A55="SINAPI",INDEX(SINAPI_NOV2020_NDES!$A$7:$H$6703,MATCH($B55,SINAPI_NOV2020_NDES!$A$7:$A$6703,0),6),(INDEX(COMPOS!$A$4:$G$801,MATCH($B55,COMPOS!$A$4:A$801,0),5))))</f>
        <v>574.71669999999995</v>
      </c>
      <c r="H55" s="280">
        <f>(IF($A55="SINAPI",INDEX(SINAPI_NOV2020_NDES!$A$7:$H$6703,MATCH($B55,SINAPI_NOV2020_NDES!$A$7:$A$6703,0),7),(INDEX(COMPOS!$A$4:$G$801,MATCH($B55,COMPOS!$A$4:A$801,0),6))))</f>
        <v>0</v>
      </c>
      <c r="I55" s="279">
        <f t="shared" si="8"/>
        <v>587.17873799999995</v>
      </c>
      <c r="J55" s="276">
        <f t="shared" si="9"/>
        <v>10569.217283999998</v>
      </c>
      <c r="K55" s="255"/>
      <c r="L55" s="255"/>
      <c r="M55" s="255"/>
      <c r="N55" s="255"/>
      <c r="O55" s="255"/>
    </row>
    <row r="56" spans="1:1004">
      <c r="A56" s="251"/>
      <c r="B56" s="283"/>
      <c r="C56" s="333" t="s">
        <v>6946</v>
      </c>
      <c r="D56" s="274"/>
      <c r="E56" s="276"/>
      <c r="F56" s="279"/>
      <c r="G56" s="279"/>
      <c r="H56" s="279"/>
      <c r="I56" s="279"/>
      <c r="J56" s="276"/>
      <c r="K56" s="255"/>
      <c r="L56" s="255"/>
      <c r="M56" s="255"/>
      <c r="N56" s="255"/>
      <c r="O56" s="257"/>
      <c r="ALH56" s="42"/>
      <c r="ALI56" s="42"/>
      <c r="ALJ56" s="42"/>
      <c r="ALK56" s="42"/>
      <c r="ALL56" s="42"/>
      <c r="ALM56" s="42"/>
      <c r="ALN56" s="42"/>
      <c r="ALO56" s="42"/>
      <c r="ALP56" s="42"/>
    </row>
    <row r="57" spans="1:1004" ht="24">
      <c r="A57" s="251" t="s">
        <v>7</v>
      </c>
      <c r="B57" s="283">
        <v>96973</v>
      </c>
      <c r="C57" s="301" t="str">
        <f>(IF($A57="SINAPI",INDEX(SINAPI_NOV2020_NDES!$A$7:$H$6703,MATCH($B57,SINAPI_NOV2020_NDES!$A$7:$A$6703,0),2),IF($A57="GOINFRA",INDEX(#REF!,MATCH($B57,#REF!,0),2),(INDEX(COMPOS!$A$4:$G$390,MATCH($B57,COMPOS!$A$4:A$390,0),2)))))</f>
        <v>CORDOALHA DE COBRE NU 35 MM², NÃO ENTERRADA, COM ISOLADOR - FORNECIMENTO E INSTALAÇÃO. AF_12/2017</v>
      </c>
      <c r="D57" s="274" t="str">
        <f>(IF($A57="SINAPI",INDEX(SINAPI_NOV2020_NDES!$A$7:$H$6790,MATCH($B57,SINAPI_NOV2020_NDES!$A$7:$A$6790,0),3),(INDEX(COMPOS!$A$4:$G$5000,MATCH($B57,COMPOS!$A$4:$A$5000,0),3))))</f>
        <v>M</v>
      </c>
      <c r="E57" s="276">
        <v>500</v>
      </c>
      <c r="F57" s="279">
        <f>(IF($A57="SINAPI",INDEX(SINAPI_NOV2020_NDES!$A$7:$H$6703,MATCH($B57,SINAPI_NOV2020_NDES!$A$7:$A$6703,0),5),(INDEX(COMPOS!$A$4:$G$801,MATCH($B57,COMPOS!$A$4:A$801,0),4))))</f>
        <v>12.12</v>
      </c>
      <c r="G57" s="280">
        <f>(IF($A57="SINAPI",INDEX(SINAPI_NOV2020_NDES!$A$7:$H$6703,MATCH($B57,SINAPI_NOV2020_NDES!$A$7:$A$6703,0),6),(INDEX(COMPOS!$A$4:$G$801,MATCH($B57,COMPOS!$A$4:A$801,0),5))))</f>
        <v>32.340000000000003</v>
      </c>
      <c r="H57" s="280">
        <f>(IF($A57="SINAPI",INDEX(SINAPI_NOV2020_NDES!$A$7:$H$6703,MATCH($B57,SINAPI_NOV2020_NDES!$A$7:$A$6703,0),7),(INDEX(COMPOS!$A$4:$G$801,MATCH($B57,COMPOS!$A$4:A$801,0),6))))</f>
        <v>0</v>
      </c>
      <c r="I57" s="279">
        <f t="shared" ref="I57" si="10">SUM(F57:H57)</f>
        <v>44.46</v>
      </c>
      <c r="J57" s="276">
        <f t="shared" ref="J57" si="11">+I57*E57</f>
        <v>22230</v>
      </c>
      <c r="K57" s="255"/>
      <c r="L57" s="255"/>
      <c r="M57" s="255"/>
      <c r="N57" s="255"/>
      <c r="O57" s="257"/>
      <c r="ALH57" s="42"/>
      <c r="ALI57" s="42"/>
      <c r="ALJ57" s="42"/>
      <c r="ALK57" s="42"/>
      <c r="ALL57" s="42"/>
      <c r="ALM57" s="42"/>
      <c r="ALN57" s="42"/>
      <c r="ALO57" s="42"/>
      <c r="ALP57" s="42"/>
    </row>
    <row r="58" spans="1:1004" ht="24">
      <c r="A58" s="251" t="s">
        <v>7</v>
      </c>
      <c r="B58" s="283">
        <v>96974</v>
      </c>
      <c r="C58" s="301" t="str">
        <f>(IF($A58="SINAPI",INDEX(SINAPI_NOV2020_NDES!$A$7:$H$6703,MATCH($B58,SINAPI_NOV2020_NDES!$A$7:$A$6703,0),2),IF($A58="GOINFRA",INDEX(#REF!,MATCH($B58,#REF!,0),2),(INDEX(COMPOS!$A$4:$G$390,MATCH($B58,COMPOS!$A$4:A$390,0),2)))))</f>
        <v>CORDOALHA DE COBRE NU 50 MM², NÃO ENTERRADA, COM ISOLADOR - FORNECIMENTO E INSTALAÇÃO. AF_12/2017</v>
      </c>
      <c r="D58" s="274" t="str">
        <f>(IF($A58="SINAPI",INDEX(SINAPI_NOV2020_NDES!$A$7:$H$6790,MATCH($B58,SINAPI_NOV2020_NDES!$A$7:$A$6790,0),3),(INDEX(COMPOS!$A$4:$G$5000,MATCH($B58,COMPOS!$A$4:$A$5000,0),3))))</f>
        <v>M</v>
      </c>
      <c r="E58" s="276">
        <v>200</v>
      </c>
      <c r="F58" s="279">
        <f>(IF($A58="SINAPI",INDEX(SINAPI_NOV2020_NDES!$A$7:$H$6703,MATCH($B58,SINAPI_NOV2020_NDES!$A$7:$A$6703,0),5),(INDEX(COMPOS!$A$4:$G$801,MATCH($B58,COMPOS!$A$4:A$801,0),4))))</f>
        <v>14.24</v>
      </c>
      <c r="G58" s="280">
        <f>(IF($A58="SINAPI",INDEX(SINAPI_NOV2020_NDES!$A$7:$H$6703,MATCH($B58,SINAPI_NOV2020_NDES!$A$7:$A$6703,0),6),(INDEX(COMPOS!$A$4:$G$801,MATCH($B58,COMPOS!$A$4:A$801,0),5))))</f>
        <v>42.67</v>
      </c>
      <c r="H58" s="280">
        <f>(IF($A58="SINAPI",INDEX(SINAPI_NOV2020_NDES!$A$7:$H$6703,MATCH($B58,SINAPI_NOV2020_NDES!$A$7:$A$6703,0),7),(INDEX(COMPOS!$A$4:$G$801,MATCH($B58,COMPOS!$A$4:A$801,0),6))))</f>
        <v>0</v>
      </c>
      <c r="I58" s="279">
        <f t="shared" ref="I58:I65" si="12">SUM(F58:H58)</f>
        <v>56.910000000000004</v>
      </c>
      <c r="J58" s="276">
        <f t="shared" ref="J58:J65" si="13">+I58*E58</f>
        <v>11382</v>
      </c>
      <c r="K58" s="255"/>
      <c r="L58" s="255"/>
      <c r="M58" s="255"/>
      <c r="N58" s="255"/>
      <c r="O58" s="257"/>
      <c r="ALH58" s="42"/>
      <c r="ALI58" s="42"/>
      <c r="ALJ58" s="42"/>
      <c r="ALK58" s="42"/>
      <c r="ALL58" s="42"/>
      <c r="ALM58" s="42"/>
      <c r="ALN58" s="42"/>
      <c r="ALO58" s="42"/>
      <c r="ALP58" s="42"/>
    </row>
    <row r="59" spans="1:1004">
      <c r="A59" s="251" t="s">
        <v>6307</v>
      </c>
      <c r="B59" s="283">
        <v>714</v>
      </c>
      <c r="C59" s="301" t="str">
        <f>(IF($A59="SINAPI",INDEX(SINAPI_NOV2020_NDES!$A$7:$H$6703,MATCH($B59,SINAPI_NOV2020_NDES!$A$7:$A$6703,0),2),IF($A59="GOINFRA",INDEX(#REF!,MATCH($B59,#REF!,0),2),(INDEX(COMPOS!$A$4:$G$390,MATCH($B59,COMPOS!$A$4:A$390,0),2)))))</f>
        <v>CONECTOR DE COMPRESSÃO FORMATO H PARA CABO 25 A 70 MM2</v>
      </c>
      <c r="D59" s="274" t="str">
        <f>(IF($A59="SINAPI",INDEX(SINAPI_NOV2020_NDES!$A$7:$H$6790,MATCH($B59,SINAPI_NOV2020_NDES!$A$7:$A$6790,0),3),(INDEX(COMPOS!$A$4:$G$5000,MATCH($B59,COMPOS!$A$4:$A$5000,0),3))))</f>
        <v>UN</v>
      </c>
      <c r="E59" s="276">
        <v>20</v>
      </c>
      <c r="F59" s="279">
        <f>(IF($A59="SINAPI",INDEX(SINAPI_NOV2020_NDES!$A$7:$H$6703,MATCH($B59,SINAPI_NOV2020_NDES!$A$7:$A$6703,0),5),(INDEX(COMPOS!$A$4:$G$801,MATCH($B59,COMPOS!$A$4:A$801,0),4))))</f>
        <v>15.452</v>
      </c>
      <c r="G59" s="280">
        <f>(IF($A59="SINAPI",INDEX(SINAPI_NOV2020_NDES!$A$7:$H$6703,MATCH($B59,SINAPI_NOV2020_NDES!$A$7:$A$6703,0),6),(INDEX(COMPOS!$A$4:$G$801,MATCH($B59,COMPOS!$A$4:A$801,0),5))))</f>
        <v>5.0599999999999996</v>
      </c>
      <c r="H59" s="280">
        <f>(IF($A59="SINAPI",INDEX(SINAPI_NOV2020_NDES!$A$7:$H$6703,MATCH($B59,SINAPI_NOV2020_NDES!$A$7:$A$6703,0),7),(INDEX(COMPOS!$A$4:$G$801,MATCH($B59,COMPOS!$A$4:A$801,0),6))))</f>
        <v>0</v>
      </c>
      <c r="I59" s="279">
        <f t="shared" si="12"/>
        <v>20.512</v>
      </c>
      <c r="J59" s="276">
        <f t="shared" si="13"/>
        <v>410.24</v>
      </c>
      <c r="K59" s="255"/>
      <c r="L59" s="255"/>
      <c r="M59" s="255"/>
      <c r="N59" s="255"/>
      <c r="O59" s="257"/>
      <c r="ALH59" s="42"/>
      <c r="ALI59" s="42"/>
      <c r="ALJ59" s="42"/>
      <c r="ALK59" s="42"/>
      <c r="ALL59" s="42"/>
      <c r="ALM59" s="42"/>
      <c r="ALN59" s="42"/>
      <c r="ALO59" s="42"/>
      <c r="ALP59" s="42"/>
    </row>
    <row r="60" spans="1:1004">
      <c r="A60" s="251" t="s">
        <v>6307</v>
      </c>
      <c r="B60" s="283">
        <v>42</v>
      </c>
      <c r="C60" s="301" t="str">
        <f>(IF($A60="SINAPI",INDEX(SINAPI_NOV2020_NDES!$A$7:$H$6703,MATCH($B60,SINAPI_NOV2020_NDES!$A$7:$A$6703,0),2),IF($A60="GOINFRA",INDEX(#REF!,MATCH($B60,#REF!,0),2),(INDEX(COMPOS!$A$4:$G$390,MATCH($B60,COMPOS!$A$4:A$390,0),2)))))</f>
        <v>SOLDA EXOTÉRMICA TAMANHO 115G</v>
      </c>
      <c r="D60" s="274" t="str">
        <f>(IF($A60="SINAPI",INDEX(SINAPI_NOV2020_NDES!$A$7:$H$6790,MATCH($B60,SINAPI_NOV2020_NDES!$A$7:$A$6790,0),3),(INDEX(COMPOS!$A$4:$G$5000,MATCH($B60,COMPOS!$A$4:$A$5000,0),3))))</f>
        <v>UN</v>
      </c>
      <c r="E60" s="276">
        <v>40</v>
      </c>
      <c r="F60" s="279">
        <f>(IF($A60="SINAPI",INDEX(SINAPI_NOV2020_NDES!$A$7:$H$6703,MATCH($B60,SINAPI_NOV2020_NDES!$A$7:$A$6703,0),5),(INDEX(COMPOS!$A$4:$G$801,MATCH($B60,COMPOS!$A$4:A$801,0),4))))</f>
        <v>2.1414880000000003</v>
      </c>
      <c r="G60" s="280">
        <f>(IF($A60="SINAPI",INDEX(SINAPI_NOV2020_NDES!$A$7:$H$6703,MATCH($B60,SINAPI_NOV2020_NDES!$A$7:$A$6703,0),6),(INDEX(COMPOS!$A$4:$G$801,MATCH($B60,COMPOS!$A$4:A$801,0),5))))</f>
        <v>7.91</v>
      </c>
      <c r="H60" s="280">
        <f>(IF($A60="SINAPI",INDEX(SINAPI_NOV2020_NDES!$A$7:$H$6703,MATCH($B60,SINAPI_NOV2020_NDES!$A$7:$A$6703,0),7),(INDEX(COMPOS!$A$4:$G$801,MATCH($B60,COMPOS!$A$4:A$801,0),6))))</f>
        <v>0</v>
      </c>
      <c r="I60" s="279">
        <f t="shared" si="12"/>
        <v>10.051488000000001</v>
      </c>
      <c r="J60" s="276">
        <f t="shared" si="13"/>
        <v>402.05952000000002</v>
      </c>
      <c r="K60" s="255"/>
      <c r="L60" s="255"/>
      <c r="M60" s="255"/>
      <c r="N60" s="255"/>
      <c r="O60" s="257"/>
      <c r="ALH60" s="42"/>
      <c r="ALI60" s="42"/>
      <c r="ALJ60" s="42"/>
      <c r="ALK60" s="42"/>
      <c r="ALL60" s="42"/>
      <c r="ALM60" s="42"/>
      <c r="ALN60" s="42"/>
      <c r="ALO60" s="42"/>
      <c r="ALP60" s="42"/>
    </row>
    <row r="61" spans="1:1004" ht="24">
      <c r="A61" s="251" t="s">
        <v>7</v>
      </c>
      <c r="B61" s="283">
        <v>96985</v>
      </c>
      <c r="C61" s="301" t="str">
        <f>(IF($A61="SINAPI",INDEX(SINAPI_NOV2020_NDES!$A$7:$H$6703,MATCH($B61,SINAPI_NOV2020_NDES!$A$7:$A$6703,0),2),IF($A61="GOINFRA",INDEX(#REF!,MATCH($B61,#REF!,0),2),(INDEX(COMPOS!$A$4:$G$390,MATCH($B61,COMPOS!$A$4:A$390,0),2)))))</f>
        <v>HASTE DE ATERRAMENTO 5/8  PARA SPDA - FORNECIMENTO E INSTALAÇÃO. AF_12/2017</v>
      </c>
      <c r="D61" s="274" t="str">
        <f>(IF($A61="SINAPI",INDEX(SINAPI_NOV2020_NDES!$A$7:$H$6790,MATCH($B61,SINAPI_NOV2020_NDES!$A$7:$A$6790,0),3),(INDEX(COMPOS!$A$4:$G$5000,MATCH($B61,COMPOS!$A$4:$A$5000,0),3))))</f>
        <v>UN</v>
      </c>
      <c r="E61" s="276">
        <v>19</v>
      </c>
      <c r="F61" s="279">
        <f>(IF($A61="SINAPI",INDEX(SINAPI_NOV2020_NDES!$A$7:$H$6703,MATCH($B61,SINAPI_NOV2020_NDES!$A$7:$A$6703,0),5),(INDEX(COMPOS!$A$4:$G$801,MATCH($B61,COMPOS!$A$4:A$801,0),4))))</f>
        <v>7.44</v>
      </c>
      <c r="G61" s="280">
        <f>(IF($A61="SINAPI",INDEX(SINAPI_NOV2020_NDES!$A$7:$H$6703,MATCH($B61,SINAPI_NOV2020_NDES!$A$7:$A$6703,0),6),(INDEX(COMPOS!$A$4:$G$801,MATCH($B61,COMPOS!$A$4:A$801,0),5))))</f>
        <v>38.17</v>
      </c>
      <c r="H61" s="280">
        <f>(IF($A61="SINAPI",INDEX(SINAPI_NOV2020_NDES!$A$7:$H$6703,MATCH($B61,SINAPI_NOV2020_NDES!$A$7:$A$6703,0),7),(INDEX(COMPOS!$A$4:$G$801,MATCH($B61,COMPOS!$A$4:A$801,0),6))))</f>
        <v>0</v>
      </c>
      <c r="I61" s="279">
        <f t="shared" si="12"/>
        <v>45.61</v>
      </c>
      <c r="J61" s="276">
        <f t="shared" si="13"/>
        <v>866.59</v>
      </c>
      <c r="K61" s="255"/>
      <c r="L61" s="255"/>
      <c r="M61" s="255"/>
      <c r="N61" s="255"/>
      <c r="O61" s="257"/>
      <c r="ALH61" s="42"/>
      <c r="ALI61" s="42"/>
      <c r="ALJ61" s="42"/>
      <c r="ALK61" s="42"/>
      <c r="ALL61" s="42"/>
      <c r="ALM61" s="42"/>
      <c r="ALN61" s="42"/>
      <c r="ALO61" s="42"/>
      <c r="ALP61" s="42"/>
    </row>
    <row r="62" spans="1:1004">
      <c r="A62" s="251" t="s">
        <v>6307</v>
      </c>
      <c r="B62" s="283">
        <v>471</v>
      </c>
      <c r="C62" s="301" t="str">
        <f>(IF($A62="SINAPI",INDEX(SINAPI_NOV2020_NDES!$A$7:$H$6703,MATCH($B62,SINAPI_NOV2020_NDES!$A$7:$A$6703,0),2),IF($A62="GOINFRA",INDEX(#REF!,MATCH($B62,#REF!,0),2),(INDEX(COMPOS!$A$4:$G$390,MATCH($B62,COMPOS!$A$4:A$390,0),2)))))</f>
        <v>CAIXA DE PASSAGEM 20X20X25 FUNDO BRITA COM TAMPA</v>
      </c>
      <c r="D62" s="274" t="str">
        <f>(IF($A62="SINAPI",INDEX(SINAPI_NOV2020_NDES!$A$7:$H$6790,MATCH($B62,SINAPI_NOV2020_NDES!$A$7:$A$6790,0),3),(INDEX(COMPOS!$A$4:$G$5000,MATCH($B62,COMPOS!$A$4:$A$5000,0),3))))</f>
        <v>UN</v>
      </c>
      <c r="E62" s="276">
        <v>19</v>
      </c>
      <c r="F62" s="279">
        <f>(IF($A62="SINAPI",INDEX(SINAPI_NOV2020_NDES!$A$7:$H$6703,MATCH($B62,SINAPI_NOV2020_NDES!$A$7:$A$6703,0),5),(INDEX(COMPOS!$A$4:$G$801,MATCH($B62,COMPOS!$A$4:A$801,0),4))))</f>
        <v>39.464161000000004</v>
      </c>
      <c r="G62" s="280">
        <f>(IF($A62="SINAPI",INDEX(SINAPI_NOV2020_NDES!$A$7:$H$6703,MATCH($B62,SINAPI_NOV2020_NDES!$A$7:$A$6703,0),6),(INDEX(COMPOS!$A$4:$G$801,MATCH($B62,COMPOS!$A$4:A$801,0),5))))</f>
        <v>28.903701999999999</v>
      </c>
      <c r="H62" s="280">
        <f>(IF($A62="SINAPI",INDEX(SINAPI_NOV2020_NDES!$A$7:$H$6703,MATCH($B62,SINAPI_NOV2020_NDES!$A$7:$A$6703,0),7),(INDEX(COMPOS!$A$4:$G$801,MATCH($B62,COMPOS!$A$4:A$801,0),6))))</f>
        <v>0</v>
      </c>
      <c r="I62" s="279">
        <f t="shared" si="12"/>
        <v>68.367863</v>
      </c>
      <c r="J62" s="276">
        <f t="shared" si="13"/>
        <v>1298.9893970000001</v>
      </c>
      <c r="K62" s="255"/>
      <c r="L62" s="255"/>
      <c r="M62" s="255"/>
      <c r="N62" s="255"/>
      <c r="O62" s="257"/>
      <c r="ALH62" s="42"/>
      <c r="ALI62" s="42"/>
      <c r="ALJ62" s="42"/>
      <c r="ALK62" s="42"/>
      <c r="ALL62" s="42"/>
      <c r="ALM62" s="42"/>
      <c r="ALN62" s="42"/>
      <c r="ALO62" s="42"/>
      <c r="ALP62" s="42"/>
    </row>
    <row r="63" spans="1:1004">
      <c r="A63" s="251" t="s">
        <v>6307</v>
      </c>
      <c r="B63" s="283">
        <v>536</v>
      </c>
      <c r="C63" s="301" t="str">
        <f>(IF($A63="SINAPI",INDEX(SINAPI_NOV2020_NDES!$A$7:$H$6703,MATCH($B63,SINAPI_NOV2020_NDES!$A$7:$A$6703,0),2),IF($A63="GOINFRA",INDEX(#REF!,MATCH($B63,#REF!,0),2),(INDEX(COMPOS!$A$4:$G$390,MATCH($B63,COMPOS!$A$4:A$390,0),2)))))</f>
        <v>PARAFUSO SEXTAVADO D=1/4" X 5/8" COM BUCHA S-11</v>
      </c>
      <c r="D63" s="274" t="str">
        <f>(IF($A63="SINAPI",INDEX(SINAPI_NOV2020_NDES!$A$7:$H$6790,MATCH($B63,SINAPI_NOV2020_NDES!$A$7:$A$6790,0),3),(INDEX(COMPOS!$A$4:$G$5000,MATCH($B63,COMPOS!$A$4:$A$5000,0),3))))</f>
        <v>UN</v>
      </c>
      <c r="E63" s="276">
        <v>300</v>
      </c>
      <c r="F63" s="279">
        <f>(IF($A63="SINAPI",INDEX(SINAPI_NOV2020_NDES!$A$7:$H$6703,MATCH($B63,SINAPI_NOV2020_NDES!$A$7:$A$6703,0),5),(INDEX(COMPOS!$A$4:$G$801,MATCH($B63,COMPOS!$A$4:A$801,0),4))))</f>
        <v>1.027558</v>
      </c>
      <c r="G63" s="280">
        <f>(IF($A63="SINAPI",INDEX(SINAPI_NOV2020_NDES!$A$7:$H$6703,MATCH($B63,SINAPI_NOV2020_NDES!$A$7:$A$6703,0),6),(INDEX(COMPOS!$A$4:$G$801,MATCH($B63,COMPOS!$A$4:A$801,0),5))))</f>
        <v>0.48</v>
      </c>
      <c r="H63" s="280">
        <f>(IF($A63="SINAPI",INDEX(SINAPI_NOV2020_NDES!$A$7:$H$6703,MATCH($B63,SINAPI_NOV2020_NDES!$A$7:$A$6703,0),7),(INDEX(COMPOS!$A$4:$G$801,MATCH($B63,COMPOS!$A$4:A$801,0),6))))</f>
        <v>0</v>
      </c>
      <c r="I63" s="279">
        <f t="shared" si="12"/>
        <v>1.507558</v>
      </c>
      <c r="J63" s="276">
        <f t="shared" si="13"/>
        <v>452.26740000000001</v>
      </c>
      <c r="K63" s="255"/>
      <c r="L63" s="255"/>
      <c r="M63" s="255"/>
      <c r="N63" s="255"/>
      <c r="O63" s="257"/>
      <c r="ALG63" s="42"/>
      <c r="ALH63" s="42"/>
      <c r="ALI63" s="42"/>
      <c r="ALJ63" s="42"/>
      <c r="ALK63" s="42"/>
      <c r="ALL63" s="42"/>
      <c r="ALM63" s="42"/>
      <c r="ALN63" s="42"/>
      <c r="ALO63" s="42"/>
    </row>
    <row r="64" spans="1:1004">
      <c r="A64" s="251" t="s">
        <v>6307</v>
      </c>
      <c r="B64" s="283">
        <v>776</v>
      </c>
      <c r="C64" s="301" t="str">
        <f>(IF($A64="SINAPI",INDEX(SINAPI_NOV2020_NDES!$A$7:$H$6703,MATCH($B64,SINAPI_NOV2020_NDES!$A$7:$A$6703,0),2),IF($A64="GOINFRA",INDEX(#REF!,MATCH($B64,#REF!,0),2),(INDEX(COMPOS!$A$4:$G$390,MATCH($B64,COMPOS!$A$4:A$390,0),2)))))</f>
        <v>SUPORTE ISOLADOR SIMPLES</v>
      </c>
      <c r="D64" s="274" t="str">
        <f>(IF($A64="SINAPI",INDEX(SINAPI_NOV2020_NDES!$A$7:$H$6790,MATCH($B64,SINAPI_NOV2020_NDES!$A$7:$A$6790,0),3),(INDEX(COMPOS!$A$4:$G$5000,MATCH($B64,COMPOS!$A$4:$A$5000,0),3))))</f>
        <v>UN</v>
      </c>
      <c r="E64" s="276">
        <v>150</v>
      </c>
      <c r="F64" s="279">
        <f>(IF($A64="SINAPI",INDEX(SINAPI_NOV2020_NDES!$A$7:$H$6703,MATCH($B64,SINAPI_NOV2020_NDES!$A$7:$A$6703,0),5),(INDEX(COMPOS!$A$4:$G$801,MATCH($B64,COMPOS!$A$4:A$801,0),4))))</f>
        <v>13.520499999999998</v>
      </c>
      <c r="G64" s="280">
        <f>(IF($A64="SINAPI",INDEX(SINAPI_NOV2020_NDES!$A$7:$H$6703,MATCH($B64,SINAPI_NOV2020_NDES!$A$7:$A$6703,0),6),(INDEX(COMPOS!$A$4:$G$801,MATCH($B64,COMPOS!$A$4:A$801,0),5))))</f>
        <v>5.38</v>
      </c>
      <c r="H64" s="280">
        <f>(IF($A64="SINAPI",INDEX(SINAPI_NOV2020_NDES!$A$7:$H$6703,MATCH($B64,SINAPI_NOV2020_NDES!$A$7:$A$6703,0),7),(INDEX(COMPOS!$A$4:$G$801,MATCH($B64,COMPOS!$A$4:A$801,0),6))))</f>
        <v>0</v>
      </c>
      <c r="I64" s="279">
        <f t="shared" si="12"/>
        <v>18.900499999999997</v>
      </c>
      <c r="J64" s="276">
        <f t="shared" si="13"/>
        <v>2835.0749999999998</v>
      </c>
      <c r="K64" s="255"/>
      <c r="L64" s="255"/>
      <c r="M64" s="255"/>
      <c r="N64" s="255"/>
      <c r="O64" s="257"/>
      <c r="ALH64" s="42"/>
      <c r="ALI64" s="42"/>
      <c r="ALJ64" s="42"/>
      <c r="ALK64" s="42"/>
      <c r="ALL64" s="42"/>
      <c r="ALM64" s="42"/>
      <c r="ALN64" s="42"/>
      <c r="ALO64" s="42"/>
      <c r="ALP64" s="42"/>
    </row>
    <row r="65" spans="1:1004">
      <c r="A65" s="251" t="s">
        <v>6307</v>
      </c>
      <c r="B65" s="283">
        <v>543</v>
      </c>
      <c r="C65" s="301" t="str">
        <f>(IF($A65="SINAPI",INDEX(SINAPI_NOV2020_NDES!$A$7:$H$6703,MATCH($B65,SINAPI_NOV2020_NDES!$A$7:$A$6703,0),2),IF($A65="GOINFRA",INDEX(#REF!,MATCH($B65,#REF!,0),2),(INDEX(COMPOS!$A$4:$G$390,MATCH($B65,COMPOS!$A$4:A$390,0),2)))))</f>
        <v>TERMINAL AÉREO 5/8" X 350MM</v>
      </c>
      <c r="D65" s="274" t="str">
        <f>(IF($A65="SINAPI",INDEX(SINAPI_NOV2020_NDES!$A$7:$H$6790,MATCH($B65,SINAPI_NOV2020_NDES!$A$7:$A$6790,0),3),(INDEX(COMPOS!$A$4:$G$5000,MATCH($B65,COMPOS!$A$4:$A$5000,0),3))))</f>
        <v>UN</v>
      </c>
      <c r="E65" s="276">
        <v>57</v>
      </c>
      <c r="F65" s="279">
        <f>(IF($A65="SINAPI",INDEX(SINAPI_NOV2020_NDES!$A$7:$H$6703,MATCH($B65,SINAPI_NOV2020_NDES!$A$7:$A$6703,0),5),(INDEX(COMPOS!$A$4:$G$801,MATCH($B65,COMPOS!$A$4:A$801,0),4))))</f>
        <v>13.520499999999998</v>
      </c>
      <c r="G65" s="280">
        <f>(IF($A65="SINAPI",INDEX(SINAPI_NOV2020_NDES!$A$7:$H$6703,MATCH($B65,SINAPI_NOV2020_NDES!$A$7:$A$6703,0),6),(INDEX(COMPOS!$A$4:$G$801,MATCH($B65,COMPOS!$A$4:A$801,0),5))))</f>
        <v>9.27</v>
      </c>
      <c r="H65" s="280">
        <f>(IF($A65="SINAPI",INDEX(SINAPI_NOV2020_NDES!$A$7:$H$6703,MATCH($B65,SINAPI_NOV2020_NDES!$A$7:$A$6703,0),7),(INDEX(COMPOS!$A$4:$G$801,MATCH($B65,COMPOS!$A$4:A$801,0),6))))</f>
        <v>0</v>
      </c>
      <c r="I65" s="279">
        <f t="shared" si="12"/>
        <v>22.790499999999998</v>
      </c>
      <c r="J65" s="276">
        <f t="shared" si="13"/>
        <v>1299.0584999999999</v>
      </c>
      <c r="K65" s="255"/>
      <c r="L65" s="255"/>
      <c r="M65" s="255"/>
      <c r="N65" s="255"/>
      <c r="O65" s="257"/>
      <c r="ALH65" s="42"/>
      <c r="ALI65" s="42"/>
      <c r="ALJ65" s="42"/>
      <c r="ALK65" s="42"/>
      <c r="ALL65" s="42"/>
      <c r="ALM65" s="42"/>
      <c r="ALN65" s="42"/>
      <c r="ALO65" s="42"/>
      <c r="ALP65" s="42"/>
    </row>
    <row r="66" spans="1:1004" s="88" customFormat="1" ht="24" customHeight="1">
      <c r="A66" s="680" t="s">
        <v>6927</v>
      </c>
      <c r="B66" s="680"/>
      <c r="C66" s="680"/>
      <c r="D66" s="680"/>
      <c r="E66" s="680"/>
      <c r="F66" s="680"/>
      <c r="G66" s="680"/>
      <c r="H66" s="680"/>
      <c r="I66" s="680"/>
      <c r="J66" s="281">
        <f>SUM(J21:J65)</f>
        <v>64310.236371719984</v>
      </c>
      <c r="K66" s="255"/>
      <c r="L66" s="255"/>
      <c r="M66" s="255"/>
      <c r="N66" s="255"/>
      <c r="O66" s="255"/>
      <c r="P66" s="223"/>
    </row>
    <row r="67" spans="1:1004">
      <c r="A67" s="337"/>
      <c r="B67" s="299">
        <v>170</v>
      </c>
      <c r="C67" s="338" t="s">
        <v>604</v>
      </c>
      <c r="D67" s="274" t="s">
        <v>6922</v>
      </c>
      <c r="E67" s="339"/>
      <c r="F67" s="276"/>
      <c r="G67" s="276"/>
      <c r="H67" s="276"/>
      <c r="I67" s="276"/>
      <c r="J67" s="276"/>
      <c r="K67" s="255"/>
      <c r="L67" s="255"/>
      <c r="M67" s="255"/>
      <c r="N67" s="255"/>
      <c r="O67" s="257"/>
    </row>
    <row r="68" spans="1:1004" ht="24">
      <c r="A68" s="251" t="s">
        <v>7</v>
      </c>
      <c r="B68" s="289">
        <v>89449</v>
      </c>
      <c r="C68" s="301" t="str">
        <f>(IF($A68="SINAPI",INDEX(SINAPI_NOV2020_NDES!$A$7:$H$6703,MATCH($B68,SINAPI_NOV2020_NDES!$A$7:$A$6703,0),2),IF($A68="GOINFRA",INDEX(#REF!,MATCH($B68,#REF!,0),2),(INDEX(COMPOS!$A$4:$G$390,MATCH($B68,COMPOS!$A$4:A$390,0),2)))))</f>
        <v>TUBO, PVC, SOLDÁVEL, DN 50MM, INSTALADO EM PRUMADA DE ÁGUA - FORNECIMENTO E INSTALAÇÃO. AF_12/2014</v>
      </c>
      <c r="D68" s="274" t="str">
        <f>(IF($A68="SINAPI",INDEX(SINAPI_NOV2020_NDES!$A$7:$H$6790,MATCH($B68,SINAPI_NOV2020_NDES!$A$7:$A$6790,0),3),(INDEX(COMPOS!$A$4:$G$5000,MATCH($B68,COMPOS!$A$4:$A$5000,0),3))))</f>
        <v>M</v>
      </c>
      <c r="E68" s="279">
        <v>3.3</v>
      </c>
      <c r="F68" s="279">
        <f>(IF($A68="SINAPI",INDEX(SINAPI_NOV2020_NDES!$A$7:$H$6703,MATCH($B68,SINAPI_NOV2020_NDES!$A$7:$A$6703,0),5),(INDEX(COMPOS!$A$4:$G$801,MATCH($B68,COMPOS!$A$4:A$801,0),4))))</f>
        <v>0.82</v>
      </c>
      <c r="G68" s="280">
        <f>(IF($A68="SINAPI",INDEX(SINAPI_NOV2020_NDES!$A$7:$H$6703,MATCH($B68,SINAPI_NOV2020_NDES!$A$7:$A$6703,0),6),(INDEX(COMPOS!$A$4:$G$801,MATCH($B68,COMPOS!$A$4:A$801,0),5))))</f>
        <v>12.26</v>
      </c>
      <c r="H68" s="280">
        <f>(IF($A68="SINAPI",INDEX(SINAPI_NOV2020_NDES!$A$7:$H$6703,MATCH($B68,SINAPI_NOV2020_NDES!$A$7:$A$6703,0),7),(INDEX(COMPOS!$A$4:$G$801,MATCH($B68,COMPOS!$A$4:A$801,0),6))))</f>
        <v>0</v>
      </c>
      <c r="I68" s="279">
        <f t="shared" ref="I68" si="14">SUM(F68:H68)</f>
        <v>13.08</v>
      </c>
      <c r="J68" s="276">
        <f t="shared" ref="J68" si="15">+I68*E68</f>
        <v>43.163999999999994</v>
      </c>
      <c r="K68" s="255"/>
      <c r="L68" s="255"/>
      <c r="M68" s="255"/>
      <c r="N68" s="255"/>
      <c r="O68" s="255"/>
    </row>
    <row r="69" spans="1:1004" s="88" customFormat="1" ht="24" customHeight="1">
      <c r="A69" s="680" t="s">
        <v>6927</v>
      </c>
      <c r="B69" s="680"/>
      <c r="C69" s="680"/>
      <c r="D69" s="680"/>
      <c r="E69" s="680"/>
      <c r="F69" s="680"/>
      <c r="G69" s="680"/>
      <c r="H69" s="680"/>
      <c r="I69" s="680"/>
      <c r="J69" s="281">
        <f>SUM(J68)</f>
        <v>43.163999999999994</v>
      </c>
      <c r="K69" s="255"/>
      <c r="L69" s="255"/>
      <c r="M69" s="255"/>
      <c r="N69" s="255"/>
      <c r="O69" s="255"/>
      <c r="P69" s="223"/>
    </row>
    <row r="70" spans="1:1004">
      <c r="A70" s="340"/>
      <c r="B70" s="299">
        <v>178</v>
      </c>
      <c r="C70" s="338" t="s">
        <v>597</v>
      </c>
      <c r="D70" s="274" t="s">
        <v>6922</v>
      </c>
      <c r="E70" s="339"/>
      <c r="F70" s="276"/>
      <c r="G70" s="276"/>
      <c r="H70" s="276"/>
      <c r="I70" s="276"/>
      <c r="J70" s="276"/>
      <c r="K70" s="255"/>
      <c r="L70" s="255"/>
      <c r="M70" s="255"/>
      <c r="N70" s="255"/>
      <c r="O70" s="257"/>
    </row>
    <row r="71" spans="1:1004" ht="24">
      <c r="A71" s="251" t="s">
        <v>7</v>
      </c>
      <c r="B71" s="289">
        <v>94213</v>
      </c>
      <c r="C71" s="301" t="str">
        <f>(IF($A71="SINAPI",INDEX(SINAPI_NOV2020_NDES!$A$7:$H$6703,MATCH($B71,SINAPI_NOV2020_NDES!$A$7:$A$6703,0),2),IF($A71="GOINFRA",INDEX(#REF!,MATCH($B71,#REF!,0),2),(INDEX(COMPOS!$A$4:$G$390,MATCH($B71,COMPOS!$A$4:A$390,0),2)))))</f>
        <v>TELHAMENTO COM TELHA DE AÇO/ALUMÍNIO E = 0,5 MM, COM ATÉ 2 ÁGUAS, INCLUSO IÇAMENTO. AF_07/2019</v>
      </c>
      <c r="D71" s="274" t="str">
        <f>(IF($A71="SINAPI",INDEX(SINAPI_NOV2020_NDES!$A$7:$H$6790,MATCH($B71,SINAPI_NOV2020_NDES!$A$7:$A$6790,0),3),(INDEX(COMPOS!$A$4:$G$5000,MATCH($B71,COMPOS!$A$4:$A$5000,0),3))))</f>
        <v>M2</v>
      </c>
      <c r="E71" s="279">
        <f>1.2*3.66</f>
        <v>4.3920000000000003</v>
      </c>
      <c r="F71" s="279">
        <f>(IF($A71="SINAPI",INDEX(SINAPI_NOV2020_NDES!$A$7:$H$6703,MATCH($B71,SINAPI_NOV2020_NDES!$A$7:$A$6703,0),5),(INDEX(COMPOS!$A$4:$G$801,MATCH($B71,COMPOS!$A$4:A$801,0),4))))</f>
        <v>2.73</v>
      </c>
      <c r="G71" s="280">
        <f>(IF($A71="SINAPI",INDEX(SINAPI_NOV2020_NDES!$A$7:$H$6703,MATCH($B71,SINAPI_NOV2020_NDES!$A$7:$A$6703,0),6),(INDEX(COMPOS!$A$4:$G$801,MATCH($B71,COMPOS!$A$4:A$801,0),5))))</f>
        <v>65.53</v>
      </c>
      <c r="H71" s="280">
        <f>(IF($A71="SINAPI",INDEX(SINAPI_NOV2020_NDES!$A$7:$H$6703,MATCH($B71,SINAPI_NOV2020_NDES!$A$7:$A$6703,0),7),(INDEX(COMPOS!$A$4:$G$801,MATCH($B71,COMPOS!$A$4:A$801,0),6))))</f>
        <v>0</v>
      </c>
      <c r="I71" s="279">
        <f t="shared" ref="I71" si="16">SUM(F71:H71)</f>
        <v>68.260000000000005</v>
      </c>
      <c r="J71" s="276">
        <f t="shared" ref="J71" si="17">+I71*E71</f>
        <v>299.79792000000003</v>
      </c>
      <c r="K71" s="255"/>
      <c r="L71" s="255"/>
      <c r="M71" s="255"/>
      <c r="N71" s="255"/>
      <c r="O71" s="255"/>
    </row>
    <row r="72" spans="1:1004" s="88" customFormat="1" ht="24" customHeight="1">
      <c r="A72" s="680" t="s">
        <v>6927</v>
      </c>
      <c r="B72" s="680"/>
      <c r="C72" s="680"/>
      <c r="D72" s="680"/>
      <c r="E72" s="680"/>
      <c r="F72" s="680"/>
      <c r="G72" s="680"/>
      <c r="H72" s="680"/>
      <c r="I72" s="680"/>
      <c r="J72" s="281">
        <f>SUM(J71)</f>
        <v>299.79792000000003</v>
      </c>
      <c r="K72" s="255"/>
      <c r="L72" s="255"/>
      <c r="M72" s="255"/>
      <c r="N72" s="255"/>
      <c r="O72" s="255"/>
      <c r="P72" s="223"/>
    </row>
    <row r="73" spans="1:1004">
      <c r="A73" s="337"/>
      <c r="B73" s="299">
        <v>184</v>
      </c>
      <c r="C73" s="338" t="s">
        <v>591</v>
      </c>
      <c r="D73" s="274" t="s">
        <v>6922</v>
      </c>
      <c r="E73" s="339"/>
      <c r="F73" s="276"/>
      <c r="G73" s="276"/>
      <c r="H73" s="276"/>
      <c r="I73" s="276"/>
      <c r="J73" s="276"/>
      <c r="K73" s="255"/>
      <c r="L73" s="255"/>
      <c r="M73" s="255"/>
      <c r="N73" s="255"/>
      <c r="O73" s="257"/>
    </row>
    <row r="74" spans="1:1004">
      <c r="A74" s="251" t="s">
        <v>6307</v>
      </c>
      <c r="B74" s="341">
        <v>349</v>
      </c>
      <c r="C74" s="301" t="str">
        <f>(IF($A74="SINAPI",INDEX(SINAPI_NOV2020_NDES!$A$7:$H$6703,MATCH($B74,SINAPI_NOV2020_NDES!$A$7:$A$6703,0),2),IF($A74="GOINFRA",INDEX(#REF!,MATCH($B74,#REF!,0),2),(INDEX(COMPOS!$A$4:$G$390,MATCH($B74,COMPOS!$A$4:A$390,0),2)))))</f>
        <v>PISO EM CONCRETO DESEMPENADO 5CM (1:2,5:3,5)</v>
      </c>
      <c r="D74" s="274" t="str">
        <f>(IF($A74="SINAPI",INDEX(SINAPI_NOV2020_NDES!$A$7:$H$6790,MATCH($B74,SINAPI_NOV2020_NDES!$A$7:$A$6790,0),3),(INDEX(COMPOS!$A$4:$G$5000,MATCH($B74,COMPOS!$A$4:$A$5000,0),3))))</f>
        <v>M2</v>
      </c>
      <c r="E74" s="279">
        <v>326.43</v>
      </c>
      <c r="F74" s="279">
        <f>(IF($A74="SINAPI",INDEX(SINAPI_NOV2020_NDES!$A$7:$H$6703,MATCH($B74,SINAPI_NOV2020_NDES!$A$7:$A$6703,0),5),(INDEX(COMPOS!$A$4:$G$801,MATCH($B74,COMPOS!$A$4:A$801,0),4))))</f>
        <v>14.561212999999999</v>
      </c>
      <c r="G74" s="280">
        <f>(IF($A74="SINAPI",INDEX(SINAPI_NOV2020_NDES!$A$7:$H$6703,MATCH($B74,SINAPI_NOV2020_NDES!$A$7:$A$6703,0),6),(INDEX(COMPOS!$A$4:$G$801,MATCH($B74,COMPOS!$A$4:A$801,0),5))))</f>
        <v>15.349762</v>
      </c>
      <c r="H74" s="280">
        <f>(IF($A74="SINAPI",INDEX(SINAPI_NOV2020_NDES!$A$7:$H$6703,MATCH($B74,SINAPI_NOV2020_NDES!$A$7:$A$6703,0),7),(INDEX(COMPOS!$A$4:$G$801,MATCH($B74,COMPOS!$A$4:A$801,0),6))))</f>
        <v>0</v>
      </c>
      <c r="I74" s="279">
        <f t="shared" ref="I74" si="18">SUM(F74:H74)</f>
        <v>29.910975000000001</v>
      </c>
      <c r="J74" s="276">
        <f t="shared" ref="J74" si="19">+I74*E74</f>
        <v>9763.8395692499998</v>
      </c>
      <c r="K74" s="255"/>
      <c r="L74" s="255"/>
      <c r="M74" s="255"/>
      <c r="N74" s="255"/>
      <c r="O74" s="255"/>
    </row>
    <row r="75" spans="1:1004" ht="24">
      <c r="A75" s="251" t="s">
        <v>6307</v>
      </c>
      <c r="B75" s="341">
        <v>340</v>
      </c>
      <c r="C75" s="301" t="str">
        <f>(IF($A75="SINAPI",INDEX(SINAPI_NOV2020_NDES!$A$7:$H$6703,MATCH($B75,SINAPI_NOV2020_NDES!$A$7:$A$6703,0),2),IF($A75="GOINFRA",INDEX(#REF!,MATCH($B75,#REF!,0),2),(INDEX(COMPOS!$A$4:$G$390,MATCH($B75,COMPOS!$A$4:A$390,0),2)))))</f>
        <v>MASTIQUE A BASE DE POLIURETANO COM PRÉVIO PREPARO E TRATAMENTO DA SUPERFÍCIE</v>
      </c>
      <c r="D75" s="274" t="str">
        <f>(IF($A75="SINAPI",INDEX(SINAPI_NOV2020_NDES!$A$7:$H$6790,MATCH($B75,SINAPI_NOV2020_NDES!$A$7:$A$6790,0),3),(INDEX(COMPOS!$A$4:$G$5000,MATCH($B75,COMPOS!$A$4:$A$5000,0),3))))</f>
        <v>CM3</v>
      </c>
      <c r="E75" s="279">
        <f>8940*1*1+26660*1.75*0.05</f>
        <v>11272.75</v>
      </c>
      <c r="F75" s="279">
        <f>(IF($A75="SINAPI",INDEX(SINAPI_NOV2020_NDES!$A$7:$H$6703,MATCH($B75,SINAPI_NOV2020_NDES!$A$7:$A$6703,0),5),(INDEX(COMPOS!$A$4:$G$801,MATCH($B75,COMPOS!$A$4:A$801,0),4))))</f>
        <v>8.6940000000000003E-2</v>
      </c>
      <c r="G75" s="280">
        <f>(IF($A75="SINAPI",INDEX(SINAPI_NOV2020_NDES!$A$7:$H$6703,MATCH($B75,SINAPI_NOV2020_NDES!$A$7:$A$6703,0),6),(INDEX(COMPOS!$A$4:$G$801,MATCH($B75,COMPOS!$A$4:A$801,0),5))))</f>
        <v>8.7484000000000006E-2</v>
      </c>
      <c r="H75" s="280">
        <f>(IF($A75="SINAPI",INDEX(SINAPI_NOV2020_NDES!$A$7:$H$6703,MATCH($B75,SINAPI_NOV2020_NDES!$A$7:$A$6703,0),7),(INDEX(COMPOS!$A$4:$G$801,MATCH($B75,COMPOS!$A$4:A$801,0),6))))</f>
        <v>0</v>
      </c>
      <c r="I75" s="279">
        <f t="shared" ref="I75" si="20">SUM(F75:H75)</f>
        <v>0.17442400000000002</v>
      </c>
      <c r="J75" s="276">
        <f t="shared" ref="J75" si="21">+I75*E75</f>
        <v>1966.2381460000004</v>
      </c>
      <c r="K75" s="255"/>
      <c r="L75" s="255"/>
      <c r="M75" s="255"/>
      <c r="N75" s="255"/>
      <c r="O75" s="255"/>
    </row>
    <row r="76" spans="1:1004" s="88" customFormat="1" ht="24" customHeight="1">
      <c r="A76" s="680" t="s">
        <v>6927</v>
      </c>
      <c r="B76" s="680"/>
      <c r="C76" s="680"/>
      <c r="D76" s="680"/>
      <c r="E76" s="680"/>
      <c r="F76" s="680"/>
      <c r="G76" s="680"/>
      <c r="H76" s="680"/>
      <c r="I76" s="680"/>
      <c r="J76" s="281">
        <f>SUM(J74:J75)</f>
        <v>11730.07771525</v>
      </c>
      <c r="K76" s="255"/>
      <c r="L76" s="255"/>
      <c r="M76" s="255"/>
      <c r="N76" s="255"/>
      <c r="O76" s="255"/>
      <c r="P76" s="223"/>
    </row>
    <row r="77" spans="1:1004">
      <c r="A77" s="337"/>
      <c r="B77" s="299">
        <v>188</v>
      </c>
      <c r="C77" s="338" t="s">
        <v>587</v>
      </c>
      <c r="D77" s="274" t="s">
        <v>6922</v>
      </c>
      <c r="E77" s="339"/>
      <c r="F77" s="276"/>
      <c r="G77" s="276"/>
      <c r="H77" s="276"/>
      <c r="I77" s="276"/>
      <c r="J77" s="276"/>
      <c r="K77" s="255"/>
      <c r="L77" s="255"/>
      <c r="M77" s="255"/>
      <c r="N77" s="255"/>
      <c r="O77" s="257"/>
    </row>
    <row r="78" spans="1:1004" ht="24">
      <c r="A78" s="251" t="s">
        <v>7</v>
      </c>
      <c r="B78" s="289">
        <v>88487</v>
      </c>
      <c r="C78" s="301" t="str">
        <f>(IF($A78="SINAPI",INDEX(SINAPI_NOV2020_NDES!$A$7:$H$6703,MATCH($B78,SINAPI_NOV2020_NDES!$A$7:$A$6703,0),2),IF($A78="GOINFRA",INDEX(#REF!,MATCH($B78,#REF!,0),2),(INDEX(COMPOS!$A$4:$G$390,MATCH($B78,COMPOS!$A$4:A$390,0),2)))))</f>
        <v>APLICAÇÃO MANUAL DE PINTURA COM TINTA LÁTEX PVA EM PAREDES, DUAS DEMÃOS. AF_06/2014</v>
      </c>
      <c r="D78" s="274" t="str">
        <f>(IF($A78="SINAPI",INDEX(SINAPI_NOV2020_NDES!$A$7:$H$6790,MATCH($B78,SINAPI_NOV2020_NDES!$A$7:$A$6790,0),3),(INDEX(COMPOS!$A$4:$G$5000,MATCH($B78,COMPOS!$A$4:$A$5000,0),3))))</f>
        <v>M2</v>
      </c>
      <c r="E78" s="279">
        <v>255.36</v>
      </c>
      <c r="F78" s="279">
        <f>(IF($A78="SINAPI",INDEX(SINAPI_NOV2020_NDES!$A$7:$H$6703,MATCH($B78,SINAPI_NOV2020_NDES!$A$7:$A$6703,0),5),(INDEX(COMPOS!$A$4:$G$801,MATCH($B78,COMPOS!$A$4:A$801,0),4))))</f>
        <v>2.72</v>
      </c>
      <c r="G78" s="280">
        <f>(IF($A78="SINAPI",INDEX(SINAPI_NOV2020_NDES!$A$7:$H$6703,MATCH($B78,SINAPI_NOV2020_NDES!$A$7:$A$6703,0),6),(INDEX(COMPOS!$A$4:$G$801,MATCH($B78,COMPOS!$A$4:A$801,0),5))))</f>
        <v>7.17</v>
      </c>
      <c r="H78" s="280">
        <f>(IF($A78="SINAPI",INDEX(SINAPI_NOV2020_NDES!$A$7:$H$6703,MATCH($B78,SINAPI_NOV2020_NDES!$A$7:$A$6703,0),7),(INDEX(COMPOS!$A$4:$G$801,MATCH($B78,COMPOS!$A$4:A$801,0),6))))</f>
        <v>0</v>
      </c>
      <c r="I78" s="279">
        <f t="shared" ref="I78" si="22">SUM(F78:H78)</f>
        <v>9.89</v>
      </c>
      <c r="J78" s="276">
        <f t="shared" ref="J78" si="23">+I78*E78</f>
        <v>2525.5104000000001</v>
      </c>
      <c r="K78" s="255"/>
      <c r="L78" s="255"/>
      <c r="M78" s="255"/>
      <c r="N78" s="255"/>
      <c r="O78" s="255"/>
    </row>
    <row r="79" spans="1:1004" ht="24">
      <c r="A79" s="251" t="s">
        <v>7</v>
      </c>
      <c r="B79" s="289">
        <v>88483</v>
      </c>
      <c r="C79" s="301" t="str">
        <f>(IF($A79="SINAPI",INDEX(SINAPI_NOV2020_NDES!$A$7:$H$6703,MATCH($B79,SINAPI_NOV2020_NDES!$A$7:$A$6703,0),2),IF($A79="GOINFRA",INDEX(#REF!,MATCH($B79,#REF!,0),2),(INDEX(COMPOS!$A$4:$G$390,MATCH($B79,COMPOS!$A$4:A$390,0),2)))))</f>
        <v>APLICAÇÃO DE FUNDO SELADOR LÁTEX PVA EM PAREDES, UMA DEMÃO. AF_06/2014</v>
      </c>
      <c r="D79" s="274" t="str">
        <f>(IF($A79="SINAPI",INDEX(SINAPI_NOV2020_NDES!$A$7:$H$6790,MATCH($B79,SINAPI_NOV2020_NDES!$A$7:$A$6790,0),3),(INDEX(COMPOS!$A$4:$G$5000,MATCH($B79,COMPOS!$A$4:$A$5000,0),3))))</f>
        <v>M2</v>
      </c>
      <c r="E79" s="279">
        <v>255.36</v>
      </c>
      <c r="F79" s="279">
        <f>(IF($A79="SINAPI",INDEX(SINAPI_NOV2020_NDES!$A$7:$H$6703,MATCH($B79,SINAPI_NOV2020_NDES!$A$7:$A$6703,0),5),(INDEX(COMPOS!$A$4:$G$801,MATCH($B79,COMPOS!$A$4:A$801,0),4))))</f>
        <v>0.56000000000000005</v>
      </c>
      <c r="G79" s="280">
        <f>(IF($A79="SINAPI",INDEX(SINAPI_NOV2020_NDES!$A$7:$H$6703,MATCH($B79,SINAPI_NOV2020_NDES!$A$7:$A$6703,0),6),(INDEX(COMPOS!$A$4:$G$801,MATCH($B79,COMPOS!$A$4:A$801,0),5))))</f>
        <v>2.38</v>
      </c>
      <c r="H79" s="280">
        <f>(IF($A79="SINAPI",INDEX(SINAPI_NOV2020_NDES!$A$7:$H$6703,MATCH($B79,SINAPI_NOV2020_NDES!$A$7:$A$6703,0),7),(INDEX(COMPOS!$A$4:$G$801,MATCH($B79,COMPOS!$A$4:A$801,0),6))))</f>
        <v>0</v>
      </c>
      <c r="I79" s="279">
        <f t="shared" ref="I79:I81" si="24">SUM(F79:H79)</f>
        <v>2.94</v>
      </c>
      <c r="J79" s="276">
        <f t="shared" ref="J79:J81" si="25">+I79*E79</f>
        <v>750.75840000000005</v>
      </c>
      <c r="K79" s="255"/>
      <c r="L79" s="255"/>
      <c r="M79" s="255"/>
      <c r="N79" s="255"/>
      <c r="O79" s="255"/>
    </row>
    <row r="80" spans="1:1004">
      <c r="A80" s="251" t="s">
        <v>6307</v>
      </c>
      <c r="B80" s="290">
        <v>361</v>
      </c>
      <c r="C80" s="301" t="str">
        <f>(IF($A80="SINAPI",INDEX(SINAPI_NOV2020_NDES!$A$7:$H$6703,MATCH($B80,SINAPI_NOV2020_NDES!$A$7:$A$6703,0),2),IF($A80="GOINFRA",INDEX(#REF!,MATCH($B80,#REF!,0),2),(INDEX(COMPOS!$A$4:$G$390,MATCH($B80,COMPOS!$A$4:A$390,0),2)))))</f>
        <v>PINTURA ALQUÍDICA BRILHANTE DUPLA FUNÇÃO, DUAS DEMÃOS, 50 MÍCRONS</v>
      </c>
      <c r="D80" s="274" t="str">
        <f>(IF($A80="SINAPI",INDEX(SINAPI_NOV2020_NDES!$A$7:$H$6790,MATCH($B80,SINAPI_NOV2020_NDES!$A$7:$A$6790,0),3),(INDEX(COMPOS!$A$4:$G$5000,MATCH($B80,COMPOS!$A$4:$A$5000,0),3))))</f>
        <v>M2</v>
      </c>
      <c r="E80" s="279">
        <v>95.113</v>
      </c>
      <c r="F80" s="279">
        <f>(IF($A80="SINAPI",INDEX(SINAPI_NOV2020_NDES!$A$7:$H$6703,MATCH($B80,SINAPI_NOV2020_NDES!$A$7:$A$6703,0),5),(INDEX(COMPOS!$A$4:$G$801,MATCH($B80,COMPOS!$A$4:A$801,0),4))))</f>
        <v>4.2055000000000007</v>
      </c>
      <c r="G80" s="280">
        <f>(IF($A80="SINAPI",INDEX(SINAPI_NOV2020_NDES!$A$7:$H$6703,MATCH($B80,SINAPI_NOV2020_NDES!$A$7:$A$6703,0),6),(INDEX(COMPOS!$A$4:$G$801,MATCH($B80,COMPOS!$A$4:A$801,0),5))))</f>
        <v>6.6579670000000011</v>
      </c>
      <c r="H80" s="280">
        <f>(IF($A80="SINAPI",INDEX(SINAPI_NOV2020_NDES!$A$7:$H$6703,MATCH($B80,SINAPI_NOV2020_NDES!$A$7:$A$6703,0),7),(INDEX(COMPOS!$A$4:$G$801,MATCH($B80,COMPOS!$A$4:A$801,0),6))))</f>
        <v>0</v>
      </c>
      <c r="I80" s="279">
        <f t="shared" si="24"/>
        <v>10.863467000000002</v>
      </c>
      <c r="J80" s="276">
        <f t="shared" si="25"/>
        <v>1033.2569367710003</v>
      </c>
      <c r="K80" s="255"/>
      <c r="L80" s="255"/>
      <c r="M80" s="255"/>
      <c r="N80" s="255"/>
      <c r="O80" s="255"/>
    </row>
    <row r="81" spans="1:1001" ht="24">
      <c r="A81" s="251" t="s">
        <v>7</v>
      </c>
      <c r="B81" s="290">
        <v>41595</v>
      </c>
      <c r="C81" s="301" t="str">
        <f>(IF($A81="SINAPI",INDEX(SINAPI_NOV2020_NDES!$A$7:$H$6703,MATCH($B81,SINAPI_NOV2020_NDES!$A$7:$A$6703,0),2),IF($A81="GOINFRA",INDEX(#REF!,MATCH($B81,#REF!,0),2),(INDEX(COMPOS!$A$4:$G$390,MATCH($B81,COMPOS!$A$4:A$390,0),2)))))</f>
        <v>PINTURA ACRILICA DE FAIXAS DE DEMARCACAO EM QUADRA POLIESPORTIVA, 5 CM DE LARGURA</v>
      </c>
      <c r="D81" s="274" t="str">
        <f>(IF($A81="SINAPI",INDEX(SINAPI_NOV2020_NDES!$A$7:$H$6790,MATCH($B81,SINAPI_NOV2020_NDES!$A$7:$A$6790,0),3),(INDEX(COMPOS!$A$4:$G$5000,MATCH($B81,COMPOS!$A$4:$A$5000,0),3))))</f>
        <v>M</v>
      </c>
      <c r="E81" s="279">
        <v>316.13</v>
      </c>
      <c r="F81" s="279">
        <f>(IF($A81="SINAPI",INDEX(SINAPI_NOV2020_NDES!$A$7:$H$6703,MATCH($B81,SINAPI_NOV2020_NDES!$A$7:$A$6703,0),5),(INDEX(COMPOS!$A$4:$G$801,MATCH($B81,COMPOS!$A$4:A$801,0),4))))</f>
        <v>7.04</v>
      </c>
      <c r="G81" s="280">
        <f>(IF($A81="SINAPI",INDEX(SINAPI_NOV2020_NDES!$A$7:$H$6703,MATCH($B81,SINAPI_NOV2020_NDES!$A$7:$A$6703,0),6),(INDEX(COMPOS!$A$4:$G$801,MATCH($B81,COMPOS!$A$4:A$801,0),5))))</f>
        <v>3.33</v>
      </c>
      <c r="H81" s="280">
        <f>(IF($A81="SINAPI",INDEX(SINAPI_NOV2020_NDES!$A$7:$H$6703,MATCH($B81,SINAPI_NOV2020_NDES!$A$7:$A$6703,0),7),(INDEX(COMPOS!$A$4:$G$801,MATCH($B81,COMPOS!$A$4:A$801,0),6))))</f>
        <v>0</v>
      </c>
      <c r="I81" s="279">
        <f t="shared" si="24"/>
        <v>10.370000000000001</v>
      </c>
      <c r="J81" s="276">
        <f t="shared" si="25"/>
        <v>3278.2681000000002</v>
      </c>
      <c r="K81" s="255"/>
      <c r="L81" s="255"/>
      <c r="M81" s="255"/>
      <c r="N81" s="255"/>
      <c r="O81" s="255"/>
    </row>
    <row r="82" spans="1:1001" s="88" customFormat="1" ht="24" customHeight="1">
      <c r="A82" s="680" t="s">
        <v>6927</v>
      </c>
      <c r="B82" s="680"/>
      <c r="C82" s="680"/>
      <c r="D82" s="680"/>
      <c r="E82" s="680"/>
      <c r="F82" s="680"/>
      <c r="G82" s="680"/>
      <c r="H82" s="680"/>
      <c r="I82" s="680"/>
      <c r="J82" s="281">
        <f>SUM(J78:J81)</f>
        <v>7587.7938367710003</v>
      </c>
      <c r="K82" s="255"/>
      <c r="L82" s="255"/>
      <c r="M82" s="255"/>
      <c r="N82" s="255"/>
      <c r="O82" s="255"/>
      <c r="P82" s="223"/>
    </row>
    <row r="83" spans="1:1001">
      <c r="A83" s="337"/>
      <c r="B83" s="299">
        <v>189</v>
      </c>
      <c r="C83" s="338" t="s">
        <v>2</v>
      </c>
      <c r="D83" s="274" t="s">
        <v>6922</v>
      </c>
      <c r="E83" s="339"/>
      <c r="F83" s="276"/>
      <c r="G83" s="276"/>
      <c r="H83" s="276"/>
      <c r="I83" s="276"/>
      <c r="J83" s="276"/>
      <c r="K83" s="255"/>
      <c r="L83" s="255"/>
      <c r="M83" s="255"/>
      <c r="N83" s="255"/>
      <c r="O83" s="257"/>
    </row>
    <row r="84" spans="1:1001">
      <c r="A84" s="251" t="s">
        <v>6307</v>
      </c>
      <c r="B84" s="290">
        <v>362</v>
      </c>
      <c r="C84" s="301" t="str">
        <f>(IF($A84="SINAPI",INDEX(SINAPI_NOV2020_NDES!$A$7:$H$6703,MATCH($B84,SINAPI_NOV2020_NDES!$A$7:$A$6703,0),2),IF($A84="GOINFRA",INDEX(#REF!,MATCH($B84,#REF!,0),2),(INDEX(COMPOS!$A$4:$G$390,MATCH($B84,COMPOS!$A$4:A$390,0),2)))))</f>
        <v>LIMPEZA FINAL DA OBRA</v>
      </c>
      <c r="D84" s="274" t="str">
        <f>(IF($A84="SINAPI",INDEX(SINAPI_NOV2020_NDES!$A$7:$H$6790,MATCH($B84,SINAPI_NOV2020_NDES!$A$7:$A$6790,0),3),(INDEX(COMPOS!$A$4:$G$5000,MATCH($B84,COMPOS!$A$4:$A$5000,0),3))))</f>
        <v>M2</v>
      </c>
      <c r="E84" s="279">
        <v>634.27</v>
      </c>
      <c r="F84" s="279">
        <f>(IF($A84="SINAPI",INDEX(SINAPI_NOV2020_NDES!$A$7:$H$6703,MATCH($B84,SINAPI_NOV2020_NDES!$A$7:$A$6703,0),5),(INDEX(COMPOS!$A$4:$G$801,MATCH($B84,COMPOS!$A$4:A$801,0),4))))</f>
        <v>2.2664999999999997</v>
      </c>
      <c r="G84" s="280">
        <f>(IF($A84="SINAPI",INDEX(SINAPI_NOV2020_NDES!$A$7:$H$6703,MATCH($B84,SINAPI_NOV2020_NDES!$A$7:$A$6703,0),6),(INDEX(COMPOS!$A$4:$G$801,MATCH($B84,COMPOS!$A$4:A$801,0),5))))</f>
        <v>0.62687100000000007</v>
      </c>
      <c r="H84" s="280">
        <f>(IF($A84="SINAPI",INDEX(SINAPI_NOV2020_NDES!$A$7:$H$6703,MATCH($B84,SINAPI_NOV2020_NDES!$A$7:$A$6703,0),7),(INDEX(COMPOS!$A$4:$G$801,MATCH($B84,COMPOS!$A$4:A$801,0),6))))</f>
        <v>0</v>
      </c>
      <c r="I84" s="279">
        <f t="shared" ref="I84" si="26">SUM(F84:H84)</f>
        <v>2.8933709999999997</v>
      </c>
      <c r="J84" s="276">
        <f t="shared" ref="J84" si="27">+I84*E84</f>
        <v>1835.1784241699997</v>
      </c>
      <c r="K84" s="255"/>
      <c r="L84" s="255"/>
      <c r="M84" s="255"/>
      <c r="N84" s="255"/>
      <c r="O84" s="255"/>
    </row>
    <row r="85" spans="1:1001" ht="24">
      <c r="A85" s="251" t="s">
        <v>6307</v>
      </c>
      <c r="B85" s="290">
        <v>401</v>
      </c>
      <c r="C85" s="301" t="str">
        <f>(IF($A85="SINAPI",INDEX(SINAPI_NOV2020_NDES!$A$7:$H$6703,MATCH($B85,SINAPI_NOV2020_NDES!$A$7:$A$6703,0),2),IF($A85="GOINFRA",INDEX(#REF!,MATCH($B85,#REF!,0),2),(INDEX(COMPOS!$A$4:$G$390,MATCH($B85,COMPOS!$A$4:A$390,0),2)))))</f>
        <v>TRAVAS FERRO GALVANIZADO PARA FUTEBOL DE SALÃO PINTADAS 3X2M – 2 UNIDADES</v>
      </c>
      <c r="D85" s="274" t="str">
        <f>(IF($A85="SINAPI",INDEX(SINAPI_NOV2020_NDES!$A$7:$H$6790,MATCH($B85,SINAPI_NOV2020_NDES!$A$7:$A$6790,0),3),(INDEX(COMPOS!$A$4:$G$5000,MATCH($B85,COMPOS!$A$4:$A$5000,0),3))))</f>
        <v>CJ</v>
      </c>
      <c r="E85" s="279">
        <v>1</v>
      </c>
      <c r="F85" s="279">
        <f>(IF($A85="SINAPI",INDEX(SINAPI_NOV2020_NDES!$A$7:$H$6703,MATCH($B85,SINAPI_NOV2020_NDES!$A$7:$A$6703,0),5),(INDEX(COMPOS!$A$4:$G$801,MATCH($B85,COMPOS!$A$4:A$801,0),4))))</f>
        <v>862.02168600000005</v>
      </c>
      <c r="G85" s="280">
        <f>(IF($A85="SINAPI",INDEX(SINAPI_NOV2020_NDES!$A$7:$H$6703,MATCH($B85,SINAPI_NOV2020_NDES!$A$7:$A$6703,0),6),(INDEX(COMPOS!$A$4:$G$801,MATCH($B85,COMPOS!$A$4:A$801,0),5))))</f>
        <v>1653.4237949999999</v>
      </c>
      <c r="H85" s="280">
        <f>(IF($A85="SINAPI",INDEX(SINAPI_NOV2020_NDES!$A$7:$H$6703,MATCH($B85,SINAPI_NOV2020_NDES!$A$7:$A$6703,0),7),(INDEX(COMPOS!$A$4:$G$801,MATCH($B85,COMPOS!$A$4:A$801,0),6))))</f>
        <v>0</v>
      </c>
      <c r="I85" s="279">
        <f t="shared" ref="I85:I88" si="28">SUM(F85:H85)</f>
        <v>2515.4454809999997</v>
      </c>
      <c r="J85" s="276">
        <f t="shared" ref="J85:J88" si="29">+I85*E85</f>
        <v>2515.4454809999997</v>
      </c>
      <c r="K85" s="255"/>
      <c r="L85" s="255"/>
      <c r="M85" s="255"/>
      <c r="N85" s="255"/>
      <c r="O85" s="255"/>
    </row>
    <row r="86" spans="1:1001">
      <c r="A86" s="251" t="s">
        <v>6307</v>
      </c>
      <c r="B86" s="290">
        <v>400</v>
      </c>
      <c r="C86" s="301" t="str">
        <f>(IF($A86="SINAPI",INDEX(SINAPI_NOV2020_NDES!$A$7:$H$6703,MATCH($B86,SINAPI_NOV2020_NDES!$A$7:$A$6703,0),2),IF($A86="GOINFRA",INDEX(#REF!,MATCH($B86,#REF!,0),2),(INDEX(COMPOS!$A$4:$G$30090,MATCH($B86,COMPOS!$A$4:A$30090,0),2)))))</f>
        <v>SUPORTE PADRÃO PARA TABELA BASQUETE EM “U” ENRIJECIDO – 2 UNIDADES</v>
      </c>
      <c r="D86" s="274" t="str">
        <f>(IF($A86="SINAPI",INDEX(SINAPI_NOV2020_NDES!$A$7:$H$6790,MATCH($B86,SINAPI_NOV2020_NDES!$A$7:$A$6790,0),3),(INDEX(COMPOS!$A$4:$G$5000,MATCH($B86,COMPOS!$A$4:$A$5000,0),3))))</f>
        <v>CJ</v>
      </c>
      <c r="E86" s="279">
        <v>1</v>
      </c>
      <c r="F86" s="279">
        <f>(IF($A86="SINAPI",INDEX(SINAPI_NOV2020_NDES!$A$7:$H$6703,MATCH($B86,SINAPI_NOV2020_NDES!$A$7:$A$6703,0),5),(INDEX(COMPOS!$A$4:$G$801,MATCH($B86,COMPOS!$A$4:A$801,0),4))))</f>
        <v>2620.712669</v>
      </c>
      <c r="G86" s="280">
        <f>(IF($A86="SINAPI",INDEX(SINAPI_NOV2020_NDES!$A$7:$H$6703,MATCH($B86,SINAPI_NOV2020_NDES!$A$7:$A$6703,0),6),(INDEX(COMPOS!$A$4:$G$801,MATCH($B86,COMPOS!$A$4:A$801,0),5))))</f>
        <v>4169.8134869999985</v>
      </c>
      <c r="H86" s="280">
        <f>(IF($A86="SINAPI",INDEX(SINAPI_NOV2020_NDES!$A$7:$H$6703,MATCH($B86,SINAPI_NOV2020_NDES!$A$7:$A$6703,0),7),(INDEX(COMPOS!$A$4:$G$801,MATCH($B86,COMPOS!$A$4:A$801,0),6))))</f>
        <v>0</v>
      </c>
      <c r="I86" s="279">
        <f t="shared" si="28"/>
        <v>6790.5261559999981</v>
      </c>
      <c r="J86" s="276">
        <f t="shared" si="29"/>
        <v>6790.5261559999981</v>
      </c>
      <c r="K86" s="255"/>
      <c r="L86" s="255"/>
      <c r="M86" s="255"/>
      <c r="N86" s="255"/>
      <c r="O86" s="255"/>
    </row>
    <row r="87" spans="1:1001" ht="24">
      <c r="A87" s="251" t="s">
        <v>6307</v>
      </c>
      <c r="B87" s="290">
        <v>403</v>
      </c>
      <c r="C87" s="301" t="str">
        <f>(IF($A87="SINAPI",INDEX(SINAPI_NOV2020_NDES!$A$7:$H$6703,MATCH($B87,SINAPI_NOV2020_NDES!$A$7:$A$6703,0),2),IF($A87="GOINFRA",INDEX(#REF!,MATCH($B87,#REF!,0),2),(INDEX(COMPOS!$A$4:$G$390,MATCH($B87,COMPOS!$A$4:A$390,0),2)))))</f>
        <v>CONJUNTO PARA VOLEIBOL EM FERRO GALVANIZADO COM PINTURA (2 SUPORTES)</v>
      </c>
      <c r="D87" s="274" t="str">
        <f>(IF($A87="SINAPI",INDEX(SINAPI_NOV2020_NDES!$A$7:$H$6790,MATCH($B87,SINAPI_NOV2020_NDES!$A$7:$A$6790,0),3),(INDEX(COMPOS!$A$4:$G$5000,MATCH($B87,COMPOS!$A$4:$A$5000,0),3))))</f>
        <v>CJ</v>
      </c>
      <c r="E87" s="279">
        <v>1</v>
      </c>
      <c r="F87" s="279">
        <f>(IF($A87="SINAPI",INDEX(SINAPI_NOV2020_NDES!$A$7:$H$6703,MATCH($B87,SINAPI_NOV2020_NDES!$A$7:$A$6703,0),5),(INDEX(COMPOS!$A$4:$G$801,MATCH($B87,COMPOS!$A$4:A$801,0),4))))</f>
        <v>351.57651699999997</v>
      </c>
      <c r="G87" s="280">
        <f>(IF($A87="SINAPI",INDEX(SINAPI_NOV2020_NDES!$A$7:$H$6703,MATCH($B87,SINAPI_NOV2020_NDES!$A$7:$A$6703,0),6),(INDEX(COMPOS!$A$4:$G$801,MATCH($B87,COMPOS!$A$4:A$801,0),5))))</f>
        <v>722.32575800000018</v>
      </c>
      <c r="H87" s="280">
        <f>(IF($A87="SINAPI",INDEX(SINAPI_NOV2020_NDES!$A$7:$H$6703,MATCH($B87,SINAPI_NOV2020_NDES!$A$7:$A$6703,0),7),(INDEX(COMPOS!$A$4:$G$801,MATCH($B87,COMPOS!$A$4:A$801,0),6))))</f>
        <v>0</v>
      </c>
      <c r="I87" s="279">
        <f t="shared" si="28"/>
        <v>1073.9022750000001</v>
      </c>
      <c r="J87" s="276">
        <f t="shared" si="29"/>
        <v>1073.9022750000001</v>
      </c>
      <c r="K87" s="255"/>
      <c r="L87" s="255"/>
      <c r="M87" s="255"/>
      <c r="N87" s="255"/>
      <c r="O87" s="255"/>
    </row>
    <row r="88" spans="1:1001" ht="24">
      <c r="A88" s="251" t="s">
        <v>6307</v>
      </c>
      <c r="B88" s="290">
        <v>402</v>
      </c>
      <c r="C88" s="301" t="str">
        <f>(IF($A88="SINAPI",INDEX(SINAPI_NOV2020_NDES!$A$7:$H$6703,MATCH($B88,SINAPI_NOV2020_NDES!$A$7:$A$6703,0),2),IF($A88="GOINFRA",INDEX(#REF!,MATCH($B88,#REF!,0),2),(INDEX(COMPOS!$A$4:$G$390,MATCH($B88,COMPOS!$A$4:A$390,0),2)))))</f>
        <v>TABELA PARA BASQUETE ESTRUTURA METÁLICA E COMPENSADO (ASSENTADAS/PINTADAS) ARO METÁLICO – 2 UNIDADES</v>
      </c>
      <c r="D88" s="274" t="str">
        <f>(IF($A88="SINAPI",INDEX(SINAPI_NOV2020_NDES!$A$7:$H$6790,MATCH($B88,SINAPI_NOV2020_NDES!$A$7:$A$6790,0),3),(INDEX(COMPOS!$A$4:$G$5000,MATCH($B88,COMPOS!$A$4:$A$5000,0),3))))</f>
        <v>CJ</v>
      </c>
      <c r="E88" s="279">
        <v>1</v>
      </c>
      <c r="F88" s="279">
        <f>(IF($A88="SINAPI",INDEX(SINAPI_NOV2020_NDES!$A$7:$H$6703,MATCH($B88,SINAPI_NOV2020_NDES!$A$7:$A$6703,0),5),(INDEX(COMPOS!$A$4:$G$801,MATCH($B88,COMPOS!$A$4:A$801,0),4))))</f>
        <v>684.50040100000001</v>
      </c>
      <c r="G88" s="280">
        <f>(IF($A88="SINAPI",INDEX(SINAPI_NOV2020_NDES!$A$7:$H$6703,MATCH($B88,SINAPI_NOV2020_NDES!$A$7:$A$6703,0),6),(INDEX(COMPOS!$A$4:$G$801,MATCH($B88,COMPOS!$A$4:A$801,0),5))))</f>
        <v>2155.7322333000002</v>
      </c>
      <c r="H88" s="280">
        <f>(IF($A88="SINAPI",INDEX(SINAPI_NOV2020_NDES!$A$7:$H$6703,MATCH($B88,SINAPI_NOV2020_NDES!$A$7:$A$6703,0),7),(INDEX(COMPOS!$A$4:$G$801,MATCH($B88,COMPOS!$A$4:A$801,0),6))))</f>
        <v>0</v>
      </c>
      <c r="I88" s="279">
        <f t="shared" si="28"/>
        <v>2840.2326343000004</v>
      </c>
      <c r="J88" s="276">
        <f t="shared" si="29"/>
        <v>2840.2326343000004</v>
      </c>
      <c r="K88" s="255"/>
      <c r="L88" s="255"/>
      <c r="M88" s="255"/>
      <c r="N88" s="255"/>
      <c r="O88" s="255"/>
    </row>
    <row r="89" spans="1:1001" s="88" customFormat="1" ht="24" customHeight="1">
      <c r="A89" s="680" t="s">
        <v>6927</v>
      </c>
      <c r="B89" s="680"/>
      <c r="C89" s="680"/>
      <c r="D89" s="680"/>
      <c r="E89" s="680"/>
      <c r="F89" s="680"/>
      <c r="G89" s="680"/>
      <c r="H89" s="680"/>
      <c r="I89" s="680"/>
      <c r="J89" s="281">
        <f>SUM(J84:J88)</f>
        <v>15055.284970469998</v>
      </c>
      <c r="K89" s="255"/>
      <c r="L89" s="255"/>
      <c r="M89" s="255"/>
      <c r="N89" s="255"/>
      <c r="O89" s="255"/>
      <c r="P89" s="223"/>
    </row>
    <row r="90" spans="1:1001" s="191" customFormat="1" ht="12.75" customHeight="1">
      <c r="A90" s="680" t="s">
        <v>7104</v>
      </c>
      <c r="B90" s="680"/>
      <c r="C90" s="680"/>
      <c r="D90" s="680"/>
      <c r="E90" s="680"/>
      <c r="F90" s="680"/>
      <c r="G90" s="680"/>
      <c r="H90" s="680"/>
      <c r="I90" s="680"/>
      <c r="J90" s="281">
        <f>SUMPRODUCT($E$11:$E$88,F11:F88)</f>
        <v>35868.980686540002</v>
      </c>
      <c r="K90" s="255"/>
      <c r="L90" s="255"/>
      <c r="M90" s="255"/>
      <c r="N90" s="255"/>
      <c r="O90" s="255"/>
      <c r="P90" s="257"/>
      <c r="Q90" s="255"/>
      <c r="R90" s="255"/>
      <c r="S90" s="255"/>
      <c r="T90" s="255"/>
      <c r="U90" s="255"/>
      <c r="V90" s="255"/>
      <c r="W90" s="255"/>
      <c r="X90" s="255"/>
      <c r="Y90" s="255"/>
      <c r="Z90" s="255"/>
      <c r="AA90" s="255"/>
      <c r="AB90" s="255"/>
      <c r="AC90" s="255"/>
      <c r="AD90" s="255"/>
      <c r="AE90" s="255"/>
      <c r="AF90" s="255"/>
      <c r="AG90" s="255"/>
      <c r="AH90" s="255"/>
      <c r="AI90" s="255"/>
      <c r="AJ90" s="255"/>
      <c r="AK90" s="255"/>
      <c r="AL90" s="255"/>
      <c r="AM90" s="255"/>
      <c r="AN90" s="255"/>
      <c r="AO90" s="255"/>
      <c r="AP90" s="255"/>
      <c r="AQ90" s="255"/>
      <c r="AR90" s="255"/>
      <c r="AS90" s="255"/>
      <c r="AT90" s="255"/>
      <c r="AU90" s="255"/>
      <c r="AV90" s="255"/>
      <c r="AW90" s="255"/>
      <c r="AX90" s="255"/>
      <c r="AY90" s="255"/>
      <c r="AZ90" s="255"/>
      <c r="BA90" s="255"/>
      <c r="BB90" s="255"/>
      <c r="BC90" s="255"/>
      <c r="BD90" s="255"/>
      <c r="BE90" s="255"/>
      <c r="BF90" s="255"/>
      <c r="BG90" s="255"/>
      <c r="BH90" s="255"/>
      <c r="BI90" s="255"/>
      <c r="BJ90" s="255"/>
      <c r="BK90" s="255"/>
      <c r="BL90" s="255"/>
      <c r="BM90" s="255"/>
      <c r="BN90" s="255"/>
      <c r="BO90" s="255"/>
      <c r="BP90" s="255"/>
      <c r="BQ90" s="255"/>
      <c r="BR90" s="255"/>
      <c r="BS90" s="255"/>
      <c r="BT90" s="255"/>
      <c r="BU90" s="255"/>
      <c r="BV90" s="255"/>
      <c r="BW90" s="255"/>
      <c r="BX90" s="255"/>
      <c r="BY90" s="255"/>
      <c r="BZ90" s="255"/>
      <c r="CA90" s="255"/>
      <c r="CB90" s="255"/>
      <c r="CC90" s="255"/>
      <c r="CD90" s="255"/>
      <c r="CE90" s="255"/>
      <c r="CF90" s="255"/>
      <c r="CG90" s="255"/>
      <c r="CH90" s="255"/>
      <c r="CI90" s="255"/>
      <c r="CJ90" s="255"/>
      <c r="CK90" s="255"/>
      <c r="CL90" s="255"/>
      <c r="CM90" s="255"/>
      <c r="CN90" s="255"/>
      <c r="CO90" s="255"/>
      <c r="CP90" s="255"/>
      <c r="CQ90" s="255"/>
      <c r="CR90" s="255"/>
      <c r="CS90" s="255"/>
      <c r="CT90" s="255"/>
      <c r="CU90" s="255"/>
      <c r="CV90" s="255"/>
      <c r="CW90" s="255"/>
      <c r="CX90" s="255"/>
      <c r="CY90" s="255"/>
      <c r="CZ90" s="255"/>
      <c r="DA90" s="255"/>
      <c r="DB90" s="255"/>
      <c r="DC90" s="255"/>
      <c r="DD90" s="255"/>
      <c r="DE90" s="255"/>
      <c r="DF90" s="255"/>
      <c r="DG90" s="255"/>
      <c r="DH90" s="255"/>
      <c r="DI90" s="255"/>
      <c r="DJ90" s="255"/>
      <c r="DK90" s="255"/>
      <c r="DL90" s="255"/>
      <c r="DM90" s="255"/>
      <c r="DN90" s="255"/>
      <c r="DO90" s="255"/>
      <c r="DP90" s="255"/>
      <c r="DQ90" s="255"/>
      <c r="DR90" s="255"/>
      <c r="DS90" s="255"/>
      <c r="DT90" s="255"/>
      <c r="DU90" s="255"/>
      <c r="DV90" s="255"/>
      <c r="DW90" s="255"/>
      <c r="DX90" s="255"/>
      <c r="DY90" s="255"/>
      <c r="DZ90" s="255"/>
      <c r="EA90" s="255"/>
      <c r="EB90" s="255"/>
      <c r="EC90" s="255"/>
      <c r="ED90" s="255"/>
      <c r="EE90" s="255"/>
      <c r="EF90" s="255"/>
      <c r="EG90" s="255"/>
      <c r="EH90" s="255"/>
      <c r="EI90" s="255"/>
      <c r="EJ90" s="255"/>
      <c r="EK90" s="255"/>
      <c r="EL90" s="255"/>
      <c r="EM90" s="255"/>
      <c r="EN90" s="255"/>
      <c r="EO90" s="255"/>
      <c r="EP90" s="255"/>
      <c r="EQ90" s="255"/>
      <c r="ER90" s="255"/>
      <c r="ES90" s="255"/>
      <c r="ET90" s="255"/>
      <c r="EU90" s="255"/>
      <c r="EV90" s="255"/>
      <c r="EW90" s="255"/>
      <c r="EX90" s="255"/>
      <c r="EY90" s="255"/>
      <c r="EZ90" s="255"/>
      <c r="FA90" s="255"/>
      <c r="FB90" s="255"/>
      <c r="FC90" s="255"/>
      <c r="FD90" s="255"/>
      <c r="FE90" s="255"/>
      <c r="FF90" s="255"/>
      <c r="FG90" s="255"/>
      <c r="FH90" s="255"/>
      <c r="FI90" s="255"/>
      <c r="FJ90" s="255"/>
      <c r="FK90" s="255"/>
      <c r="FL90" s="255"/>
      <c r="FM90" s="255"/>
      <c r="FN90" s="255"/>
      <c r="FO90" s="255"/>
      <c r="FP90" s="255"/>
      <c r="FQ90" s="255"/>
      <c r="FR90" s="255"/>
      <c r="FS90" s="255"/>
      <c r="FT90" s="255"/>
      <c r="FU90" s="255"/>
      <c r="FV90" s="255"/>
      <c r="FW90" s="255"/>
      <c r="FX90" s="255"/>
      <c r="FY90" s="255"/>
      <c r="FZ90" s="255"/>
      <c r="GA90" s="255"/>
      <c r="GB90" s="255"/>
      <c r="GC90" s="255"/>
      <c r="GD90" s="255"/>
      <c r="GE90" s="255"/>
      <c r="GF90" s="255"/>
      <c r="GG90" s="255"/>
      <c r="GH90" s="255"/>
      <c r="GI90" s="255"/>
      <c r="GJ90" s="255"/>
      <c r="GK90" s="255"/>
      <c r="GL90" s="255"/>
      <c r="GM90" s="255"/>
      <c r="GN90" s="255"/>
      <c r="GO90" s="255"/>
      <c r="GP90" s="255"/>
      <c r="GQ90" s="255"/>
      <c r="GR90" s="255"/>
      <c r="GS90" s="255"/>
      <c r="GT90" s="255"/>
      <c r="GU90" s="255"/>
      <c r="GV90" s="255"/>
      <c r="GW90" s="255"/>
      <c r="GX90" s="255"/>
      <c r="GY90" s="255"/>
      <c r="GZ90" s="255"/>
      <c r="HA90" s="255"/>
      <c r="HB90" s="255"/>
      <c r="HC90" s="255"/>
      <c r="HD90" s="255"/>
      <c r="HE90" s="255"/>
      <c r="HF90" s="255"/>
      <c r="HG90" s="255"/>
      <c r="HH90" s="255"/>
      <c r="HI90" s="255"/>
      <c r="HJ90" s="255"/>
      <c r="HK90" s="255"/>
      <c r="HL90" s="255"/>
      <c r="HM90" s="255"/>
      <c r="HN90" s="255"/>
      <c r="HO90" s="255"/>
      <c r="HP90" s="255"/>
      <c r="HQ90" s="255"/>
      <c r="HR90" s="255"/>
      <c r="HS90" s="255"/>
      <c r="HT90" s="255"/>
      <c r="HU90" s="255"/>
      <c r="HV90" s="255"/>
      <c r="HW90" s="255"/>
      <c r="HX90" s="255"/>
      <c r="HY90" s="255"/>
      <c r="HZ90" s="255"/>
      <c r="IA90" s="255"/>
      <c r="IB90" s="255"/>
      <c r="IC90" s="255"/>
      <c r="ID90" s="255"/>
      <c r="IE90" s="255"/>
      <c r="IF90" s="255"/>
      <c r="IG90" s="255"/>
      <c r="IH90" s="255"/>
      <c r="II90" s="255"/>
      <c r="IJ90" s="255"/>
      <c r="IK90" s="255"/>
      <c r="IL90" s="255"/>
      <c r="IM90" s="255"/>
      <c r="IN90" s="255"/>
      <c r="IO90" s="255"/>
      <c r="IP90" s="255"/>
      <c r="IQ90" s="255"/>
      <c r="IR90" s="255"/>
      <c r="IS90" s="255"/>
      <c r="IT90" s="255"/>
      <c r="IU90" s="255"/>
      <c r="IV90" s="255"/>
      <c r="IW90" s="255"/>
      <c r="IX90" s="255"/>
      <c r="IY90" s="255"/>
      <c r="IZ90" s="255"/>
      <c r="JA90" s="255"/>
      <c r="JB90" s="255"/>
      <c r="JC90" s="255"/>
      <c r="JD90" s="255"/>
      <c r="JE90" s="255"/>
      <c r="JF90" s="255"/>
      <c r="JG90" s="255"/>
      <c r="JH90" s="255"/>
      <c r="JI90" s="255"/>
      <c r="JJ90" s="255"/>
      <c r="JK90" s="255"/>
      <c r="JL90" s="255"/>
      <c r="JM90" s="255"/>
      <c r="JN90" s="255"/>
      <c r="JO90" s="255"/>
      <c r="JP90" s="255"/>
      <c r="JQ90" s="255"/>
      <c r="JR90" s="255"/>
      <c r="JS90" s="255"/>
      <c r="JT90" s="255"/>
      <c r="JU90" s="255"/>
      <c r="JV90" s="255"/>
      <c r="JW90" s="255"/>
      <c r="JX90" s="255"/>
      <c r="JY90" s="255"/>
      <c r="JZ90" s="255"/>
      <c r="KA90" s="255"/>
      <c r="KB90" s="255"/>
      <c r="KC90" s="255"/>
      <c r="KD90" s="255"/>
      <c r="KE90" s="255"/>
      <c r="KF90" s="255"/>
      <c r="KG90" s="255"/>
      <c r="KH90" s="255"/>
      <c r="KI90" s="255"/>
      <c r="KJ90" s="255"/>
      <c r="KK90" s="255"/>
      <c r="KL90" s="255"/>
      <c r="KM90" s="255"/>
      <c r="KN90" s="255"/>
      <c r="KO90" s="255"/>
      <c r="KP90" s="255"/>
      <c r="KQ90" s="255"/>
      <c r="KR90" s="255"/>
      <c r="KS90" s="255"/>
      <c r="KT90" s="255"/>
      <c r="KU90" s="255"/>
      <c r="KV90" s="255"/>
      <c r="KW90" s="255"/>
      <c r="KX90" s="255"/>
      <c r="KY90" s="255"/>
      <c r="KZ90" s="255"/>
      <c r="LA90" s="255"/>
      <c r="LB90" s="255"/>
      <c r="LC90" s="255"/>
      <c r="LD90" s="255"/>
      <c r="LE90" s="255"/>
      <c r="LF90" s="255"/>
      <c r="LG90" s="255"/>
      <c r="LH90" s="255"/>
      <c r="LI90" s="255"/>
      <c r="LJ90" s="255"/>
      <c r="LK90" s="255"/>
      <c r="LL90" s="255"/>
      <c r="LM90" s="255"/>
      <c r="LN90" s="255"/>
      <c r="LO90" s="255"/>
      <c r="LP90" s="255"/>
      <c r="LQ90" s="255"/>
      <c r="LR90" s="255"/>
      <c r="LS90" s="255"/>
      <c r="LT90" s="255"/>
      <c r="LU90" s="255"/>
      <c r="LV90" s="255"/>
      <c r="LW90" s="255"/>
      <c r="LX90" s="255"/>
      <c r="LY90" s="255"/>
      <c r="LZ90" s="255"/>
      <c r="MA90" s="255"/>
      <c r="MB90" s="255"/>
      <c r="MC90" s="255"/>
      <c r="MD90" s="255"/>
      <c r="ME90" s="255"/>
      <c r="MF90" s="255"/>
      <c r="MG90" s="255"/>
      <c r="MH90" s="255"/>
      <c r="MI90" s="255"/>
      <c r="MJ90" s="255"/>
      <c r="MK90" s="255"/>
      <c r="ML90" s="255"/>
      <c r="MM90" s="255"/>
      <c r="MN90" s="255"/>
      <c r="MO90" s="255"/>
      <c r="MP90" s="255"/>
      <c r="MQ90" s="255"/>
      <c r="MR90" s="255"/>
      <c r="MS90" s="255"/>
      <c r="MT90" s="255"/>
      <c r="MU90" s="255"/>
      <c r="MV90" s="255"/>
      <c r="MW90" s="255"/>
      <c r="MX90" s="255"/>
      <c r="MY90" s="255"/>
      <c r="MZ90" s="255"/>
      <c r="NA90" s="255"/>
      <c r="NB90" s="255"/>
      <c r="NC90" s="255"/>
      <c r="ND90" s="255"/>
      <c r="NE90" s="255"/>
      <c r="NF90" s="255"/>
      <c r="NG90" s="255"/>
      <c r="NH90" s="255"/>
      <c r="NI90" s="255"/>
      <c r="NJ90" s="255"/>
      <c r="NK90" s="255"/>
      <c r="NL90" s="255"/>
      <c r="NM90" s="255"/>
      <c r="NN90" s="255"/>
      <c r="NO90" s="255"/>
      <c r="NP90" s="255"/>
      <c r="NQ90" s="255"/>
      <c r="NR90" s="255"/>
      <c r="NS90" s="255"/>
      <c r="NT90" s="255"/>
      <c r="NU90" s="255"/>
      <c r="NV90" s="255"/>
      <c r="NW90" s="255"/>
      <c r="NX90" s="255"/>
      <c r="NY90" s="255"/>
      <c r="NZ90" s="255"/>
      <c r="OA90" s="255"/>
      <c r="OB90" s="255"/>
      <c r="OC90" s="255"/>
      <c r="OD90" s="255"/>
      <c r="OE90" s="255"/>
      <c r="OF90" s="255"/>
      <c r="OG90" s="255"/>
      <c r="OH90" s="255"/>
      <c r="OI90" s="255"/>
      <c r="OJ90" s="255"/>
      <c r="OK90" s="255"/>
      <c r="OL90" s="255"/>
      <c r="OM90" s="255"/>
      <c r="ON90" s="255"/>
      <c r="OO90" s="255"/>
      <c r="OP90" s="255"/>
      <c r="OQ90" s="255"/>
      <c r="OR90" s="255"/>
      <c r="OS90" s="255"/>
      <c r="OT90" s="255"/>
      <c r="OU90" s="255"/>
      <c r="OV90" s="255"/>
      <c r="OW90" s="255"/>
      <c r="OX90" s="255"/>
      <c r="OY90" s="255"/>
      <c r="OZ90" s="255"/>
      <c r="PA90" s="255"/>
      <c r="PB90" s="255"/>
      <c r="PC90" s="255"/>
      <c r="PD90" s="255"/>
      <c r="PE90" s="255"/>
      <c r="PF90" s="255"/>
      <c r="PG90" s="255"/>
      <c r="PH90" s="255"/>
      <c r="PI90" s="255"/>
      <c r="PJ90" s="255"/>
      <c r="PK90" s="255"/>
      <c r="PL90" s="255"/>
      <c r="PM90" s="255"/>
      <c r="PN90" s="255"/>
      <c r="PO90" s="255"/>
      <c r="PP90" s="255"/>
      <c r="PQ90" s="255"/>
      <c r="PR90" s="255"/>
      <c r="PS90" s="255"/>
      <c r="PT90" s="255"/>
      <c r="PU90" s="255"/>
      <c r="PV90" s="255"/>
      <c r="PW90" s="255"/>
      <c r="PX90" s="255"/>
      <c r="PY90" s="255"/>
      <c r="PZ90" s="255"/>
      <c r="QA90" s="255"/>
      <c r="QB90" s="255"/>
      <c r="QC90" s="255"/>
      <c r="QD90" s="255"/>
      <c r="QE90" s="255"/>
      <c r="QF90" s="255"/>
      <c r="QG90" s="255"/>
      <c r="QH90" s="255"/>
      <c r="QI90" s="255"/>
      <c r="QJ90" s="255"/>
      <c r="QK90" s="255"/>
      <c r="QL90" s="255"/>
      <c r="QM90" s="255"/>
      <c r="QN90" s="255"/>
      <c r="QO90" s="255"/>
      <c r="QP90" s="255"/>
      <c r="QQ90" s="255"/>
      <c r="QR90" s="255"/>
      <c r="QS90" s="255"/>
      <c r="QT90" s="255"/>
      <c r="QU90" s="255"/>
      <c r="QV90" s="255"/>
      <c r="QW90" s="255"/>
      <c r="QX90" s="255"/>
      <c r="QY90" s="255"/>
      <c r="QZ90" s="255"/>
      <c r="RA90" s="255"/>
      <c r="RB90" s="255"/>
      <c r="RC90" s="255"/>
      <c r="RD90" s="255"/>
      <c r="RE90" s="255"/>
      <c r="RF90" s="255"/>
      <c r="RG90" s="255"/>
      <c r="RH90" s="255"/>
      <c r="RI90" s="255"/>
      <c r="RJ90" s="255"/>
      <c r="RK90" s="255"/>
      <c r="RL90" s="255"/>
      <c r="RM90" s="255"/>
      <c r="RN90" s="255"/>
      <c r="RO90" s="255"/>
      <c r="RP90" s="255"/>
      <c r="RQ90" s="255"/>
      <c r="RR90" s="255"/>
      <c r="RS90" s="255"/>
      <c r="RT90" s="255"/>
      <c r="RU90" s="255"/>
      <c r="RV90" s="255"/>
      <c r="RW90" s="255"/>
      <c r="RX90" s="255"/>
      <c r="RY90" s="255"/>
      <c r="RZ90" s="255"/>
      <c r="SA90" s="255"/>
      <c r="SB90" s="255"/>
      <c r="SC90" s="255"/>
      <c r="SD90" s="255"/>
      <c r="SE90" s="255"/>
      <c r="SF90" s="255"/>
      <c r="SG90" s="255"/>
      <c r="SH90" s="255"/>
      <c r="SI90" s="255"/>
      <c r="SJ90" s="255"/>
      <c r="SK90" s="255"/>
      <c r="SL90" s="255"/>
      <c r="SM90" s="255"/>
      <c r="SN90" s="255"/>
      <c r="SO90" s="255"/>
      <c r="SP90" s="255"/>
      <c r="SQ90" s="255"/>
      <c r="SR90" s="255"/>
      <c r="SS90" s="255"/>
      <c r="ST90" s="255"/>
      <c r="SU90" s="255"/>
      <c r="SV90" s="255"/>
      <c r="SW90" s="255"/>
      <c r="SX90" s="255"/>
      <c r="SY90" s="255"/>
      <c r="SZ90" s="255"/>
      <c r="TA90" s="255"/>
      <c r="TB90" s="255"/>
      <c r="TC90" s="255"/>
      <c r="TD90" s="255"/>
      <c r="TE90" s="255"/>
      <c r="TF90" s="255"/>
      <c r="TG90" s="255"/>
      <c r="TH90" s="255"/>
      <c r="TI90" s="255"/>
      <c r="TJ90" s="255"/>
      <c r="TK90" s="255"/>
      <c r="TL90" s="255"/>
      <c r="TM90" s="255"/>
      <c r="TN90" s="255"/>
      <c r="TO90" s="255"/>
      <c r="TP90" s="255"/>
      <c r="TQ90" s="255"/>
      <c r="TR90" s="255"/>
      <c r="TS90" s="255"/>
      <c r="TT90" s="255"/>
      <c r="TU90" s="255"/>
      <c r="TV90" s="255"/>
      <c r="TW90" s="255"/>
      <c r="TX90" s="255"/>
      <c r="TY90" s="255"/>
      <c r="TZ90" s="255"/>
      <c r="UA90" s="255"/>
      <c r="UB90" s="255"/>
      <c r="UC90" s="255"/>
      <c r="UD90" s="255"/>
      <c r="UE90" s="255"/>
      <c r="UF90" s="255"/>
      <c r="UG90" s="255"/>
      <c r="UH90" s="255"/>
      <c r="UI90" s="255"/>
      <c r="UJ90" s="255"/>
      <c r="UK90" s="255"/>
      <c r="UL90" s="255"/>
      <c r="UM90" s="255"/>
      <c r="UN90" s="255"/>
      <c r="UO90" s="255"/>
      <c r="UP90" s="255"/>
      <c r="UQ90" s="255"/>
      <c r="UR90" s="255"/>
      <c r="US90" s="255"/>
      <c r="UT90" s="255"/>
      <c r="UU90" s="255"/>
      <c r="UV90" s="255"/>
      <c r="UW90" s="255"/>
      <c r="UX90" s="255"/>
      <c r="UY90" s="255"/>
      <c r="UZ90" s="255"/>
      <c r="VA90" s="255"/>
      <c r="VB90" s="255"/>
      <c r="VC90" s="255"/>
      <c r="VD90" s="255"/>
      <c r="VE90" s="255"/>
      <c r="VF90" s="255"/>
      <c r="VG90" s="255"/>
      <c r="VH90" s="255"/>
      <c r="VI90" s="255"/>
      <c r="VJ90" s="255"/>
      <c r="VK90" s="255"/>
      <c r="VL90" s="255"/>
      <c r="VM90" s="255"/>
      <c r="VN90" s="255"/>
      <c r="VO90" s="255"/>
      <c r="VP90" s="255"/>
      <c r="VQ90" s="255"/>
      <c r="VR90" s="255"/>
      <c r="VS90" s="255"/>
      <c r="VT90" s="255"/>
      <c r="VU90" s="255"/>
      <c r="VV90" s="255"/>
      <c r="VW90" s="255"/>
      <c r="VX90" s="255"/>
      <c r="VY90" s="255"/>
      <c r="VZ90" s="255"/>
      <c r="WA90" s="255"/>
      <c r="WB90" s="255"/>
      <c r="WC90" s="255"/>
      <c r="WD90" s="255"/>
      <c r="WE90" s="255"/>
      <c r="WF90" s="255"/>
      <c r="WG90" s="255"/>
      <c r="WH90" s="255"/>
      <c r="WI90" s="255"/>
      <c r="WJ90" s="255"/>
      <c r="WK90" s="255"/>
      <c r="WL90" s="255"/>
      <c r="WM90" s="255"/>
      <c r="WN90" s="255"/>
      <c r="WO90" s="255"/>
      <c r="WP90" s="255"/>
      <c r="WQ90" s="255"/>
      <c r="WR90" s="255"/>
      <c r="WS90" s="255"/>
      <c r="WT90" s="255"/>
      <c r="WU90" s="255"/>
      <c r="WV90" s="255"/>
      <c r="WW90" s="255"/>
      <c r="WX90" s="255"/>
      <c r="WY90" s="255"/>
      <c r="WZ90" s="255"/>
      <c r="XA90" s="255"/>
      <c r="XB90" s="255"/>
      <c r="XC90" s="255"/>
      <c r="XD90" s="255"/>
      <c r="XE90" s="255"/>
      <c r="XF90" s="255"/>
      <c r="XG90" s="255"/>
      <c r="XH90" s="255"/>
      <c r="XI90" s="255"/>
      <c r="XJ90" s="255"/>
      <c r="XK90" s="255"/>
      <c r="XL90" s="255"/>
      <c r="XM90" s="255"/>
      <c r="XN90" s="255"/>
      <c r="XO90" s="255"/>
      <c r="XP90" s="255"/>
      <c r="XQ90" s="255"/>
      <c r="XR90" s="255"/>
      <c r="XS90" s="255"/>
      <c r="XT90" s="255"/>
      <c r="XU90" s="255"/>
      <c r="XV90" s="255"/>
      <c r="XW90" s="255"/>
      <c r="XX90" s="255"/>
      <c r="XY90" s="255"/>
      <c r="XZ90" s="255"/>
      <c r="YA90" s="255"/>
      <c r="YB90" s="255"/>
      <c r="YC90" s="255"/>
      <c r="YD90" s="255"/>
      <c r="YE90" s="255"/>
      <c r="YF90" s="255"/>
      <c r="YG90" s="255"/>
      <c r="YH90" s="255"/>
      <c r="YI90" s="255"/>
      <c r="YJ90" s="255"/>
      <c r="YK90" s="255"/>
      <c r="YL90" s="255"/>
      <c r="YM90" s="255"/>
      <c r="YN90" s="255"/>
      <c r="YO90" s="255"/>
      <c r="YP90" s="255"/>
      <c r="YQ90" s="255"/>
      <c r="YR90" s="255"/>
      <c r="YS90" s="255"/>
      <c r="YT90" s="255"/>
      <c r="YU90" s="255"/>
      <c r="YV90" s="255"/>
      <c r="YW90" s="255"/>
      <c r="YX90" s="255"/>
      <c r="YY90" s="255"/>
      <c r="YZ90" s="255"/>
      <c r="ZA90" s="255"/>
      <c r="ZB90" s="255"/>
      <c r="ZC90" s="255"/>
      <c r="ZD90" s="255"/>
      <c r="ZE90" s="255"/>
      <c r="ZF90" s="255"/>
      <c r="ZG90" s="255"/>
      <c r="ZH90" s="255"/>
      <c r="ZI90" s="255"/>
      <c r="ZJ90" s="255"/>
      <c r="ZK90" s="255"/>
      <c r="ZL90" s="255"/>
      <c r="ZM90" s="255"/>
      <c r="ZN90" s="255"/>
      <c r="ZO90" s="255"/>
      <c r="ZP90" s="255"/>
      <c r="ZQ90" s="255"/>
      <c r="ZR90" s="255"/>
      <c r="ZS90" s="255"/>
      <c r="ZT90" s="255"/>
      <c r="ZU90" s="255"/>
      <c r="ZV90" s="255"/>
      <c r="ZW90" s="255"/>
      <c r="ZX90" s="255"/>
      <c r="ZY90" s="255"/>
      <c r="ZZ90" s="255"/>
      <c r="AAA90" s="255"/>
      <c r="AAB90" s="255"/>
      <c r="AAC90" s="255"/>
      <c r="AAD90" s="255"/>
      <c r="AAE90" s="255"/>
      <c r="AAF90" s="255"/>
      <c r="AAG90" s="255"/>
      <c r="AAH90" s="255"/>
      <c r="AAI90" s="255"/>
      <c r="AAJ90" s="255"/>
      <c r="AAK90" s="255"/>
      <c r="AAL90" s="255"/>
      <c r="AAM90" s="255"/>
      <c r="AAN90" s="255"/>
      <c r="AAO90" s="255"/>
      <c r="AAP90" s="255"/>
      <c r="AAQ90" s="255"/>
      <c r="AAR90" s="255"/>
      <c r="AAS90" s="255"/>
      <c r="AAT90" s="255"/>
      <c r="AAU90" s="255"/>
      <c r="AAV90" s="255"/>
      <c r="AAW90" s="255"/>
      <c r="AAX90" s="255"/>
      <c r="AAY90" s="255"/>
      <c r="AAZ90" s="255"/>
      <c r="ABA90" s="255"/>
      <c r="ABB90" s="255"/>
      <c r="ABC90" s="255"/>
      <c r="ABD90" s="255"/>
      <c r="ABE90" s="255"/>
      <c r="ABF90" s="255"/>
      <c r="ABG90" s="255"/>
      <c r="ABH90" s="255"/>
      <c r="ABI90" s="255"/>
      <c r="ABJ90" s="255"/>
      <c r="ABK90" s="255"/>
      <c r="ABL90" s="255"/>
      <c r="ABM90" s="255"/>
      <c r="ABN90" s="255"/>
      <c r="ABO90" s="255"/>
      <c r="ABP90" s="255"/>
      <c r="ABQ90" s="255"/>
      <c r="ABR90" s="255"/>
      <c r="ABS90" s="255"/>
      <c r="ABT90" s="255"/>
      <c r="ABU90" s="255"/>
      <c r="ABV90" s="255"/>
      <c r="ABW90" s="255"/>
      <c r="ABX90" s="255"/>
      <c r="ABY90" s="255"/>
      <c r="ABZ90" s="255"/>
      <c r="ACA90" s="255"/>
      <c r="ACB90" s="255"/>
      <c r="ACC90" s="255"/>
      <c r="ACD90" s="255"/>
      <c r="ACE90" s="255"/>
      <c r="ACF90" s="255"/>
      <c r="ACG90" s="255"/>
      <c r="ACH90" s="255"/>
      <c r="ACI90" s="255"/>
      <c r="ACJ90" s="255"/>
      <c r="ACK90" s="255"/>
      <c r="ACL90" s="255"/>
      <c r="ACM90" s="255"/>
      <c r="ACN90" s="255"/>
      <c r="ACO90" s="255"/>
      <c r="ACP90" s="255"/>
      <c r="ACQ90" s="255"/>
      <c r="ACR90" s="255"/>
      <c r="ACS90" s="255"/>
      <c r="ACT90" s="255"/>
      <c r="ACU90" s="255"/>
      <c r="ACV90" s="255"/>
      <c r="ACW90" s="255"/>
      <c r="ACX90" s="255"/>
      <c r="ACY90" s="255"/>
      <c r="ACZ90" s="255"/>
      <c r="ADA90" s="255"/>
      <c r="ADB90" s="255"/>
      <c r="ADC90" s="255"/>
      <c r="ADD90" s="255"/>
      <c r="ADE90" s="255"/>
      <c r="ADF90" s="255"/>
      <c r="ADG90" s="255"/>
      <c r="ADH90" s="255"/>
      <c r="ADI90" s="255"/>
      <c r="ADJ90" s="255"/>
      <c r="ADK90" s="255"/>
      <c r="ADL90" s="255"/>
      <c r="ADM90" s="255"/>
      <c r="ADN90" s="255"/>
      <c r="ADO90" s="255"/>
      <c r="ADP90" s="255"/>
      <c r="ADQ90" s="255"/>
      <c r="ADR90" s="255"/>
      <c r="ADS90" s="255"/>
      <c r="ADT90" s="255"/>
      <c r="ADU90" s="255"/>
      <c r="ADV90" s="255"/>
      <c r="ADW90" s="255"/>
      <c r="ADX90" s="255"/>
      <c r="ADY90" s="255"/>
      <c r="ADZ90" s="255"/>
      <c r="AEA90" s="255"/>
      <c r="AEB90" s="255"/>
      <c r="AEC90" s="255"/>
      <c r="AED90" s="255"/>
      <c r="AEE90" s="255"/>
      <c r="AEF90" s="255"/>
      <c r="AEG90" s="255"/>
      <c r="AEH90" s="255"/>
      <c r="AEI90" s="255"/>
      <c r="AEJ90" s="255"/>
      <c r="AEK90" s="255"/>
      <c r="AEL90" s="255"/>
      <c r="AEM90" s="255"/>
      <c r="AEN90" s="255"/>
      <c r="AEO90" s="255"/>
      <c r="AEP90" s="255"/>
      <c r="AEQ90" s="255"/>
      <c r="AER90" s="255"/>
      <c r="AES90" s="255"/>
      <c r="AET90" s="255"/>
      <c r="AEU90" s="255"/>
      <c r="AEV90" s="255"/>
      <c r="AEW90" s="255"/>
      <c r="AEX90" s="255"/>
      <c r="AEY90" s="255"/>
      <c r="AEZ90" s="255"/>
      <c r="AFA90" s="255"/>
      <c r="AFB90" s="255"/>
      <c r="AFC90" s="255"/>
      <c r="AFD90" s="255"/>
      <c r="AFE90" s="255"/>
      <c r="AFF90" s="255"/>
      <c r="AFG90" s="255"/>
      <c r="AFH90" s="255"/>
      <c r="AFI90" s="255"/>
      <c r="AFJ90" s="255"/>
      <c r="AFK90" s="255"/>
      <c r="AFL90" s="255"/>
      <c r="AFM90" s="255"/>
      <c r="AFN90" s="255"/>
      <c r="AFO90" s="255"/>
      <c r="AFP90" s="255"/>
      <c r="AFQ90" s="255"/>
      <c r="AFR90" s="255"/>
      <c r="AFS90" s="255"/>
      <c r="AFT90" s="255"/>
      <c r="AFU90" s="255"/>
      <c r="AFV90" s="255"/>
      <c r="AFW90" s="255"/>
      <c r="AFX90" s="255"/>
      <c r="AFY90" s="255"/>
      <c r="AFZ90" s="255"/>
      <c r="AGA90" s="255"/>
      <c r="AGB90" s="255"/>
      <c r="AGC90" s="255"/>
      <c r="AGD90" s="255"/>
      <c r="AGE90" s="255"/>
      <c r="AGF90" s="255"/>
      <c r="AGG90" s="255"/>
      <c r="AGH90" s="255"/>
      <c r="AGI90" s="255"/>
      <c r="AGJ90" s="255"/>
      <c r="AGK90" s="255"/>
      <c r="AGL90" s="255"/>
      <c r="AGM90" s="255"/>
      <c r="AGN90" s="255"/>
      <c r="AGO90" s="255"/>
      <c r="AGP90" s="255"/>
      <c r="AGQ90" s="255"/>
      <c r="AGR90" s="255"/>
      <c r="AGS90" s="255"/>
      <c r="AGT90" s="255"/>
      <c r="AGU90" s="255"/>
      <c r="AGV90" s="255"/>
      <c r="AGW90" s="255"/>
      <c r="AGX90" s="255"/>
      <c r="AGY90" s="255"/>
      <c r="AGZ90" s="255"/>
      <c r="AHA90" s="255"/>
      <c r="AHB90" s="255"/>
      <c r="AHC90" s="255"/>
      <c r="AHD90" s="255"/>
      <c r="AHE90" s="255"/>
      <c r="AHF90" s="255"/>
      <c r="AHG90" s="255"/>
      <c r="AHH90" s="255"/>
      <c r="AHI90" s="255"/>
      <c r="AHJ90" s="255"/>
      <c r="AHK90" s="255"/>
      <c r="AHL90" s="255"/>
      <c r="AHM90" s="255"/>
      <c r="AHN90" s="255"/>
      <c r="AHO90" s="255"/>
      <c r="AHP90" s="255"/>
      <c r="AHQ90" s="255"/>
      <c r="AHR90" s="255"/>
      <c r="AHS90" s="255"/>
      <c r="AHT90" s="255"/>
      <c r="AHU90" s="255"/>
      <c r="AHV90" s="255"/>
      <c r="AHW90" s="255"/>
      <c r="AHX90" s="255"/>
      <c r="AHY90" s="255"/>
      <c r="AHZ90" s="255"/>
      <c r="AIA90" s="255"/>
      <c r="AIB90" s="255"/>
      <c r="AIC90" s="255"/>
      <c r="AID90" s="255"/>
      <c r="AIE90" s="255"/>
      <c r="AIF90" s="255"/>
      <c r="AIG90" s="255"/>
      <c r="AIH90" s="255"/>
      <c r="AII90" s="255"/>
      <c r="AIJ90" s="255"/>
      <c r="AIK90" s="255"/>
      <c r="AIL90" s="255"/>
      <c r="AIM90" s="255"/>
      <c r="AIN90" s="255"/>
      <c r="AIO90" s="255"/>
      <c r="AIP90" s="255"/>
      <c r="AIQ90" s="255"/>
      <c r="AIR90" s="255"/>
      <c r="AIS90" s="255"/>
      <c r="AIT90" s="255"/>
      <c r="AIU90" s="255"/>
      <c r="AIV90" s="255"/>
      <c r="AIW90" s="255"/>
      <c r="AIX90" s="255"/>
      <c r="AIY90" s="255"/>
      <c r="AIZ90" s="255"/>
      <c r="AJA90" s="255"/>
      <c r="AJB90" s="255"/>
      <c r="AJC90" s="255"/>
      <c r="AJD90" s="255"/>
      <c r="AJE90" s="255"/>
      <c r="AJF90" s="255"/>
      <c r="AJG90" s="255"/>
      <c r="AJH90" s="255"/>
      <c r="AJI90" s="255"/>
      <c r="AJJ90" s="255"/>
      <c r="AJK90" s="255"/>
      <c r="AJL90" s="255"/>
      <c r="AJM90" s="255"/>
      <c r="AJN90" s="255"/>
      <c r="AJO90" s="255"/>
      <c r="AJP90" s="255"/>
      <c r="AJQ90" s="255"/>
      <c r="AJR90" s="255"/>
      <c r="AJS90" s="255"/>
      <c r="AJT90" s="255"/>
      <c r="AJU90" s="255"/>
      <c r="AJV90" s="255"/>
      <c r="AJW90" s="255"/>
      <c r="AJX90" s="255"/>
      <c r="AJY90" s="255"/>
      <c r="AJZ90" s="255"/>
      <c r="AKA90" s="255"/>
      <c r="AKB90" s="255"/>
      <c r="AKC90" s="255"/>
      <c r="AKD90" s="255"/>
      <c r="AKE90" s="255"/>
      <c r="AKF90" s="255"/>
      <c r="AKG90" s="255"/>
      <c r="AKH90" s="255"/>
      <c r="AKI90" s="255"/>
      <c r="AKJ90" s="255"/>
      <c r="AKK90" s="255"/>
      <c r="AKL90" s="255"/>
      <c r="AKM90" s="255"/>
      <c r="AKN90" s="255"/>
      <c r="AKO90" s="255"/>
      <c r="AKP90" s="255"/>
      <c r="AKQ90" s="255"/>
      <c r="AKR90" s="255"/>
      <c r="AKS90" s="255"/>
      <c r="AKT90" s="255"/>
      <c r="AKU90" s="255"/>
      <c r="AKV90" s="255"/>
      <c r="AKW90" s="255"/>
      <c r="AKX90" s="255"/>
      <c r="AKY90" s="255"/>
      <c r="AKZ90" s="255"/>
      <c r="ALA90" s="255"/>
      <c r="ALB90" s="255"/>
      <c r="ALC90" s="255"/>
      <c r="ALD90" s="255"/>
      <c r="ALE90" s="42"/>
      <c r="ALF90" s="42"/>
      <c r="ALG90" s="42"/>
      <c r="ALH90" s="42"/>
      <c r="ALI90" s="42"/>
      <c r="ALJ90" s="42"/>
      <c r="ALK90" s="42"/>
      <c r="ALL90" s="42"/>
      <c r="ALM90" s="42"/>
    </row>
    <row r="91" spans="1:1001" s="191" customFormat="1" ht="12.75" customHeight="1">
      <c r="A91" s="680" t="s">
        <v>7103</v>
      </c>
      <c r="B91" s="680"/>
      <c r="C91" s="680"/>
      <c r="D91" s="680"/>
      <c r="E91" s="680"/>
      <c r="F91" s="680"/>
      <c r="G91" s="680"/>
      <c r="H91" s="680"/>
      <c r="I91" s="680"/>
      <c r="J91" s="281">
        <f>SUMPRODUCT(E9:E88,G9:G88)+SUMPRODUCT(E9:E88,H9:H88)</f>
        <v>66579.04326616101</v>
      </c>
      <c r="K91" s="255"/>
      <c r="L91" s="255"/>
      <c r="M91" s="255"/>
      <c r="N91" s="255"/>
      <c r="O91" s="255"/>
      <c r="P91" s="255"/>
      <c r="Q91" s="255"/>
      <c r="R91" s="255"/>
      <c r="S91" s="255"/>
      <c r="T91" s="255"/>
      <c r="U91" s="255"/>
      <c r="V91" s="255"/>
      <c r="W91" s="255"/>
      <c r="X91" s="255"/>
      <c r="Y91" s="255"/>
      <c r="Z91" s="255"/>
      <c r="AA91" s="255"/>
      <c r="AB91" s="255"/>
      <c r="AC91" s="255"/>
      <c r="AD91" s="255"/>
      <c r="AE91" s="255"/>
      <c r="AF91" s="255"/>
      <c r="AG91" s="255"/>
      <c r="AH91" s="255"/>
      <c r="AI91" s="255"/>
      <c r="AJ91" s="255"/>
      <c r="AK91" s="255"/>
      <c r="AL91" s="255"/>
      <c r="AM91" s="255"/>
      <c r="AN91" s="255"/>
      <c r="AO91" s="255"/>
      <c r="AP91" s="255"/>
      <c r="AQ91" s="255"/>
      <c r="AR91" s="255"/>
      <c r="AS91" s="255"/>
      <c r="AT91" s="255"/>
      <c r="AU91" s="255"/>
      <c r="AV91" s="255"/>
      <c r="AW91" s="255"/>
      <c r="AX91" s="255"/>
      <c r="AY91" s="255"/>
      <c r="AZ91" s="255"/>
      <c r="BA91" s="255"/>
      <c r="BB91" s="255"/>
      <c r="BC91" s="255"/>
      <c r="BD91" s="255"/>
      <c r="BE91" s="255"/>
      <c r="BF91" s="255"/>
      <c r="BG91" s="255"/>
      <c r="BH91" s="255"/>
      <c r="BI91" s="255"/>
      <c r="BJ91" s="255"/>
      <c r="BK91" s="255"/>
      <c r="BL91" s="255"/>
      <c r="BM91" s="255"/>
      <c r="BN91" s="255"/>
      <c r="BO91" s="255"/>
      <c r="BP91" s="255"/>
      <c r="BQ91" s="255"/>
      <c r="BR91" s="255"/>
      <c r="BS91" s="255"/>
      <c r="BT91" s="255"/>
      <c r="BU91" s="255"/>
      <c r="BV91" s="255"/>
      <c r="BW91" s="255"/>
      <c r="BX91" s="255"/>
      <c r="BY91" s="255"/>
      <c r="BZ91" s="255"/>
      <c r="CA91" s="255"/>
      <c r="CB91" s="255"/>
      <c r="CC91" s="255"/>
      <c r="CD91" s="255"/>
      <c r="CE91" s="255"/>
      <c r="CF91" s="255"/>
      <c r="CG91" s="255"/>
      <c r="CH91" s="255"/>
      <c r="CI91" s="255"/>
      <c r="CJ91" s="255"/>
      <c r="CK91" s="255"/>
      <c r="CL91" s="255"/>
      <c r="CM91" s="255"/>
      <c r="CN91" s="255"/>
      <c r="CO91" s="255"/>
      <c r="CP91" s="255"/>
      <c r="CQ91" s="255"/>
      <c r="CR91" s="255"/>
      <c r="CS91" s="255"/>
      <c r="CT91" s="255"/>
      <c r="CU91" s="255"/>
      <c r="CV91" s="255"/>
      <c r="CW91" s="255"/>
      <c r="CX91" s="255"/>
      <c r="CY91" s="255"/>
      <c r="CZ91" s="255"/>
      <c r="DA91" s="255"/>
      <c r="DB91" s="255"/>
      <c r="DC91" s="255"/>
      <c r="DD91" s="255"/>
      <c r="DE91" s="255"/>
      <c r="DF91" s="255"/>
      <c r="DG91" s="255"/>
      <c r="DH91" s="255"/>
      <c r="DI91" s="255"/>
      <c r="DJ91" s="255"/>
      <c r="DK91" s="255"/>
      <c r="DL91" s="255"/>
      <c r="DM91" s="255"/>
      <c r="DN91" s="255"/>
      <c r="DO91" s="255"/>
      <c r="DP91" s="255"/>
      <c r="DQ91" s="255"/>
      <c r="DR91" s="255"/>
      <c r="DS91" s="255"/>
      <c r="DT91" s="255"/>
      <c r="DU91" s="255"/>
      <c r="DV91" s="255"/>
      <c r="DW91" s="255"/>
      <c r="DX91" s="255"/>
      <c r="DY91" s="255"/>
      <c r="DZ91" s="255"/>
      <c r="EA91" s="255"/>
      <c r="EB91" s="255"/>
      <c r="EC91" s="255"/>
      <c r="ED91" s="255"/>
      <c r="EE91" s="255"/>
      <c r="EF91" s="255"/>
      <c r="EG91" s="255"/>
      <c r="EH91" s="255"/>
      <c r="EI91" s="255"/>
      <c r="EJ91" s="255"/>
      <c r="EK91" s="255"/>
      <c r="EL91" s="255"/>
      <c r="EM91" s="255"/>
      <c r="EN91" s="255"/>
      <c r="EO91" s="255"/>
      <c r="EP91" s="255"/>
      <c r="EQ91" s="255"/>
      <c r="ER91" s="255"/>
      <c r="ES91" s="255"/>
      <c r="ET91" s="255"/>
      <c r="EU91" s="255"/>
      <c r="EV91" s="255"/>
      <c r="EW91" s="255"/>
      <c r="EX91" s="255"/>
      <c r="EY91" s="255"/>
      <c r="EZ91" s="255"/>
      <c r="FA91" s="255"/>
      <c r="FB91" s="255"/>
      <c r="FC91" s="255"/>
      <c r="FD91" s="255"/>
      <c r="FE91" s="255"/>
      <c r="FF91" s="255"/>
      <c r="FG91" s="255"/>
      <c r="FH91" s="255"/>
      <c r="FI91" s="255"/>
      <c r="FJ91" s="255"/>
      <c r="FK91" s="255"/>
      <c r="FL91" s="255"/>
      <c r="FM91" s="255"/>
      <c r="FN91" s="255"/>
      <c r="FO91" s="255"/>
      <c r="FP91" s="255"/>
      <c r="FQ91" s="255"/>
      <c r="FR91" s="255"/>
      <c r="FS91" s="255"/>
      <c r="FT91" s="255"/>
      <c r="FU91" s="255"/>
      <c r="FV91" s="255"/>
      <c r="FW91" s="255"/>
      <c r="FX91" s="255"/>
      <c r="FY91" s="255"/>
      <c r="FZ91" s="255"/>
      <c r="GA91" s="255"/>
      <c r="GB91" s="255"/>
      <c r="GC91" s="255"/>
      <c r="GD91" s="255"/>
      <c r="GE91" s="255"/>
      <c r="GF91" s="255"/>
      <c r="GG91" s="255"/>
      <c r="GH91" s="255"/>
      <c r="GI91" s="255"/>
      <c r="GJ91" s="255"/>
      <c r="GK91" s="255"/>
      <c r="GL91" s="255"/>
      <c r="GM91" s="255"/>
      <c r="GN91" s="255"/>
      <c r="GO91" s="255"/>
      <c r="GP91" s="255"/>
      <c r="GQ91" s="255"/>
      <c r="GR91" s="255"/>
      <c r="GS91" s="255"/>
      <c r="GT91" s="255"/>
      <c r="GU91" s="255"/>
      <c r="GV91" s="255"/>
      <c r="GW91" s="255"/>
      <c r="GX91" s="255"/>
      <c r="GY91" s="255"/>
      <c r="GZ91" s="255"/>
      <c r="HA91" s="255"/>
      <c r="HB91" s="255"/>
      <c r="HC91" s="255"/>
      <c r="HD91" s="255"/>
      <c r="HE91" s="255"/>
      <c r="HF91" s="255"/>
      <c r="HG91" s="255"/>
      <c r="HH91" s="255"/>
      <c r="HI91" s="255"/>
      <c r="HJ91" s="255"/>
      <c r="HK91" s="255"/>
      <c r="HL91" s="255"/>
      <c r="HM91" s="255"/>
      <c r="HN91" s="255"/>
      <c r="HO91" s="255"/>
      <c r="HP91" s="255"/>
      <c r="HQ91" s="255"/>
      <c r="HR91" s="255"/>
      <c r="HS91" s="255"/>
      <c r="HT91" s="255"/>
      <c r="HU91" s="255"/>
      <c r="HV91" s="255"/>
      <c r="HW91" s="255"/>
      <c r="HX91" s="255"/>
      <c r="HY91" s="255"/>
      <c r="HZ91" s="255"/>
      <c r="IA91" s="255"/>
      <c r="IB91" s="255"/>
      <c r="IC91" s="255"/>
      <c r="ID91" s="255"/>
      <c r="IE91" s="255"/>
      <c r="IF91" s="255"/>
      <c r="IG91" s="255"/>
      <c r="IH91" s="255"/>
      <c r="II91" s="255"/>
      <c r="IJ91" s="255"/>
      <c r="IK91" s="255"/>
      <c r="IL91" s="255"/>
      <c r="IM91" s="255"/>
      <c r="IN91" s="255"/>
      <c r="IO91" s="255"/>
      <c r="IP91" s="255"/>
      <c r="IQ91" s="255"/>
      <c r="IR91" s="255"/>
      <c r="IS91" s="255"/>
      <c r="IT91" s="255"/>
      <c r="IU91" s="255"/>
      <c r="IV91" s="255"/>
      <c r="IW91" s="255"/>
      <c r="IX91" s="255"/>
      <c r="IY91" s="255"/>
      <c r="IZ91" s="255"/>
      <c r="JA91" s="255"/>
      <c r="JB91" s="255"/>
      <c r="JC91" s="255"/>
      <c r="JD91" s="255"/>
      <c r="JE91" s="255"/>
      <c r="JF91" s="255"/>
      <c r="JG91" s="255"/>
      <c r="JH91" s="255"/>
      <c r="JI91" s="255"/>
      <c r="JJ91" s="255"/>
      <c r="JK91" s="255"/>
      <c r="JL91" s="255"/>
      <c r="JM91" s="255"/>
      <c r="JN91" s="255"/>
      <c r="JO91" s="255"/>
      <c r="JP91" s="255"/>
      <c r="JQ91" s="255"/>
      <c r="JR91" s="255"/>
      <c r="JS91" s="255"/>
      <c r="JT91" s="255"/>
      <c r="JU91" s="255"/>
      <c r="JV91" s="255"/>
      <c r="JW91" s="255"/>
      <c r="JX91" s="255"/>
      <c r="JY91" s="255"/>
      <c r="JZ91" s="255"/>
      <c r="KA91" s="255"/>
      <c r="KB91" s="255"/>
      <c r="KC91" s="255"/>
      <c r="KD91" s="255"/>
      <c r="KE91" s="255"/>
      <c r="KF91" s="255"/>
      <c r="KG91" s="255"/>
      <c r="KH91" s="255"/>
      <c r="KI91" s="255"/>
      <c r="KJ91" s="255"/>
      <c r="KK91" s="255"/>
      <c r="KL91" s="255"/>
      <c r="KM91" s="255"/>
      <c r="KN91" s="255"/>
      <c r="KO91" s="255"/>
      <c r="KP91" s="255"/>
      <c r="KQ91" s="255"/>
      <c r="KR91" s="255"/>
      <c r="KS91" s="255"/>
      <c r="KT91" s="255"/>
      <c r="KU91" s="255"/>
      <c r="KV91" s="255"/>
      <c r="KW91" s="255"/>
      <c r="KX91" s="255"/>
      <c r="KY91" s="255"/>
      <c r="KZ91" s="255"/>
      <c r="LA91" s="255"/>
      <c r="LB91" s="255"/>
      <c r="LC91" s="255"/>
      <c r="LD91" s="255"/>
      <c r="LE91" s="255"/>
      <c r="LF91" s="255"/>
      <c r="LG91" s="255"/>
      <c r="LH91" s="255"/>
      <c r="LI91" s="255"/>
      <c r="LJ91" s="255"/>
      <c r="LK91" s="255"/>
      <c r="LL91" s="255"/>
      <c r="LM91" s="255"/>
      <c r="LN91" s="255"/>
      <c r="LO91" s="255"/>
      <c r="LP91" s="255"/>
      <c r="LQ91" s="255"/>
      <c r="LR91" s="255"/>
      <c r="LS91" s="255"/>
      <c r="LT91" s="255"/>
      <c r="LU91" s="255"/>
      <c r="LV91" s="255"/>
      <c r="LW91" s="255"/>
      <c r="LX91" s="255"/>
      <c r="LY91" s="255"/>
      <c r="LZ91" s="255"/>
      <c r="MA91" s="255"/>
      <c r="MB91" s="255"/>
      <c r="MC91" s="255"/>
      <c r="MD91" s="255"/>
      <c r="ME91" s="255"/>
      <c r="MF91" s="255"/>
      <c r="MG91" s="255"/>
      <c r="MH91" s="255"/>
      <c r="MI91" s="255"/>
      <c r="MJ91" s="255"/>
      <c r="MK91" s="255"/>
      <c r="ML91" s="255"/>
      <c r="MM91" s="255"/>
      <c r="MN91" s="255"/>
      <c r="MO91" s="255"/>
      <c r="MP91" s="255"/>
      <c r="MQ91" s="255"/>
      <c r="MR91" s="255"/>
      <c r="MS91" s="255"/>
      <c r="MT91" s="255"/>
      <c r="MU91" s="255"/>
      <c r="MV91" s="255"/>
      <c r="MW91" s="255"/>
      <c r="MX91" s="255"/>
      <c r="MY91" s="255"/>
      <c r="MZ91" s="255"/>
      <c r="NA91" s="255"/>
      <c r="NB91" s="255"/>
      <c r="NC91" s="255"/>
      <c r="ND91" s="255"/>
      <c r="NE91" s="255"/>
      <c r="NF91" s="255"/>
      <c r="NG91" s="255"/>
      <c r="NH91" s="255"/>
      <c r="NI91" s="255"/>
      <c r="NJ91" s="255"/>
      <c r="NK91" s="255"/>
      <c r="NL91" s="255"/>
      <c r="NM91" s="255"/>
      <c r="NN91" s="255"/>
      <c r="NO91" s="255"/>
      <c r="NP91" s="255"/>
      <c r="NQ91" s="255"/>
      <c r="NR91" s="255"/>
      <c r="NS91" s="255"/>
      <c r="NT91" s="255"/>
      <c r="NU91" s="255"/>
      <c r="NV91" s="255"/>
      <c r="NW91" s="255"/>
      <c r="NX91" s="255"/>
      <c r="NY91" s="255"/>
      <c r="NZ91" s="255"/>
      <c r="OA91" s="255"/>
      <c r="OB91" s="255"/>
      <c r="OC91" s="255"/>
      <c r="OD91" s="255"/>
      <c r="OE91" s="255"/>
      <c r="OF91" s="255"/>
      <c r="OG91" s="255"/>
      <c r="OH91" s="255"/>
      <c r="OI91" s="255"/>
      <c r="OJ91" s="255"/>
      <c r="OK91" s="255"/>
      <c r="OL91" s="255"/>
      <c r="OM91" s="255"/>
      <c r="ON91" s="255"/>
      <c r="OO91" s="255"/>
      <c r="OP91" s="255"/>
      <c r="OQ91" s="255"/>
      <c r="OR91" s="255"/>
      <c r="OS91" s="255"/>
      <c r="OT91" s="255"/>
      <c r="OU91" s="255"/>
      <c r="OV91" s="255"/>
      <c r="OW91" s="255"/>
      <c r="OX91" s="255"/>
      <c r="OY91" s="255"/>
      <c r="OZ91" s="255"/>
      <c r="PA91" s="255"/>
      <c r="PB91" s="255"/>
      <c r="PC91" s="255"/>
      <c r="PD91" s="255"/>
      <c r="PE91" s="255"/>
      <c r="PF91" s="255"/>
      <c r="PG91" s="255"/>
      <c r="PH91" s="255"/>
      <c r="PI91" s="255"/>
      <c r="PJ91" s="255"/>
      <c r="PK91" s="255"/>
      <c r="PL91" s="255"/>
      <c r="PM91" s="255"/>
      <c r="PN91" s="255"/>
      <c r="PO91" s="255"/>
      <c r="PP91" s="255"/>
      <c r="PQ91" s="255"/>
      <c r="PR91" s="255"/>
      <c r="PS91" s="255"/>
      <c r="PT91" s="255"/>
      <c r="PU91" s="255"/>
      <c r="PV91" s="255"/>
      <c r="PW91" s="255"/>
      <c r="PX91" s="255"/>
      <c r="PY91" s="255"/>
      <c r="PZ91" s="255"/>
      <c r="QA91" s="255"/>
      <c r="QB91" s="255"/>
      <c r="QC91" s="255"/>
      <c r="QD91" s="255"/>
      <c r="QE91" s="255"/>
      <c r="QF91" s="255"/>
      <c r="QG91" s="255"/>
      <c r="QH91" s="255"/>
      <c r="QI91" s="255"/>
      <c r="QJ91" s="255"/>
      <c r="QK91" s="255"/>
      <c r="QL91" s="255"/>
      <c r="QM91" s="255"/>
      <c r="QN91" s="255"/>
      <c r="QO91" s="255"/>
      <c r="QP91" s="255"/>
      <c r="QQ91" s="255"/>
      <c r="QR91" s="255"/>
      <c r="QS91" s="255"/>
      <c r="QT91" s="255"/>
      <c r="QU91" s="255"/>
      <c r="QV91" s="255"/>
      <c r="QW91" s="255"/>
      <c r="QX91" s="255"/>
      <c r="QY91" s="255"/>
      <c r="QZ91" s="255"/>
      <c r="RA91" s="255"/>
      <c r="RB91" s="255"/>
      <c r="RC91" s="255"/>
      <c r="RD91" s="255"/>
      <c r="RE91" s="255"/>
      <c r="RF91" s="255"/>
      <c r="RG91" s="255"/>
      <c r="RH91" s="255"/>
      <c r="RI91" s="255"/>
      <c r="RJ91" s="255"/>
      <c r="RK91" s="255"/>
      <c r="RL91" s="255"/>
      <c r="RM91" s="255"/>
      <c r="RN91" s="255"/>
      <c r="RO91" s="255"/>
      <c r="RP91" s="255"/>
      <c r="RQ91" s="255"/>
      <c r="RR91" s="255"/>
      <c r="RS91" s="255"/>
      <c r="RT91" s="255"/>
      <c r="RU91" s="255"/>
      <c r="RV91" s="255"/>
      <c r="RW91" s="255"/>
      <c r="RX91" s="255"/>
      <c r="RY91" s="255"/>
      <c r="RZ91" s="255"/>
      <c r="SA91" s="255"/>
      <c r="SB91" s="255"/>
      <c r="SC91" s="255"/>
      <c r="SD91" s="255"/>
      <c r="SE91" s="255"/>
      <c r="SF91" s="255"/>
      <c r="SG91" s="255"/>
      <c r="SH91" s="255"/>
      <c r="SI91" s="255"/>
      <c r="SJ91" s="255"/>
      <c r="SK91" s="255"/>
      <c r="SL91" s="255"/>
      <c r="SM91" s="255"/>
      <c r="SN91" s="255"/>
      <c r="SO91" s="255"/>
      <c r="SP91" s="255"/>
      <c r="SQ91" s="255"/>
      <c r="SR91" s="255"/>
      <c r="SS91" s="255"/>
      <c r="ST91" s="255"/>
      <c r="SU91" s="255"/>
      <c r="SV91" s="255"/>
      <c r="SW91" s="255"/>
      <c r="SX91" s="255"/>
      <c r="SY91" s="255"/>
      <c r="SZ91" s="255"/>
      <c r="TA91" s="255"/>
      <c r="TB91" s="255"/>
      <c r="TC91" s="255"/>
      <c r="TD91" s="255"/>
      <c r="TE91" s="255"/>
      <c r="TF91" s="255"/>
      <c r="TG91" s="255"/>
      <c r="TH91" s="255"/>
      <c r="TI91" s="255"/>
      <c r="TJ91" s="255"/>
      <c r="TK91" s="255"/>
      <c r="TL91" s="255"/>
      <c r="TM91" s="255"/>
      <c r="TN91" s="255"/>
      <c r="TO91" s="255"/>
      <c r="TP91" s="255"/>
      <c r="TQ91" s="255"/>
      <c r="TR91" s="255"/>
      <c r="TS91" s="255"/>
      <c r="TT91" s="255"/>
      <c r="TU91" s="255"/>
      <c r="TV91" s="255"/>
      <c r="TW91" s="255"/>
      <c r="TX91" s="255"/>
      <c r="TY91" s="255"/>
      <c r="TZ91" s="255"/>
      <c r="UA91" s="255"/>
      <c r="UB91" s="255"/>
      <c r="UC91" s="255"/>
      <c r="UD91" s="255"/>
      <c r="UE91" s="255"/>
      <c r="UF91" s="255"/>
      <c r="UG91" s="255"/>
      <c r="UH91" s="255"/>
      <c r="UI91" s="255"/>
      <c r="UJ91" s="255"/>
      <c r="UK91" s="255"/>
      <c r="UL91" s="255"/>
      <c r="UM91" s="255"/>
      <c r="UN91" s="255"/>
      <c r="UO91" s="255"/>
      <c r="UP91" s="255"/>
      <c r="UQ91" s="255"/>
      <c r="UR91" s="255"/>
      <c r="US91" s="255"/>
      <c r="UT91" s="255"/>
      <c r="UU91" s="255"/>
      <c r="UV91" s="255"/>
      <c r="UW91" s="255"/>
      <c r="UX91" s="255"/>
      <c r="UY91" s="255"/>
      <c r="UZ91" s="255"/>
      <c r="VA91" s="255"/>
      <c r="VB91" s="255"/>
      <c r="VC91" s="255"/>
      <c r="VD91" s="255"/>
      <c r="VE91" s="255"/>
      <c r="VF91" s="255"/>
      <c r="VG91" s="255"/>
      <c r="VH91" s="255"/>
      <c r="VI91" s="255"/>
      <c r="VJ91" s="255"/>
      <c r="VK91" s="255"/>
      <c r="VL91" s="255"/>
      <c r="VM91" s="255"/>
      <c r="VN91" s="255"/>
      <c r="VO91" s="255"/>
      <c r="VP91" s="255"/>
      <c r="VQ91" s="255"/>
      <c r="VR91" s="255"/>
      <c r="VS91" s="255"/>
      <c r="VT91" s="255"/>
      <c r="VU91" s="255"/>
      <c r="VV91" s="255"/>
      <c r="VW91" s="255"/>
      <c r="VX91" s="255"/>
      <c r="VY91" s="255"/>
      <c r="VZ91" s="255"/>
      <c r="WA91" s="255"/>
      <c r="WB91" s="255"/>
      <c r="WC91" s="255"/>
      <c r="WD91" s="255"/>
      <c r="WE91" s="255"/>
      <c r="WF91" s="255"/>
      <c r="WG91" s="255"/>
      <c r="WH91" s="255"/>
      <c r="WI91" s="255"/>
      <c r="WJ91" s="255"/>
      <c r="WK91" s="255"/>
      <c r="WL91" s="255"/>
      <c r="WM91" s="255"/>
      <c r="WN91" s="255"/>
      <c r="WO91" s="255"/>
      <c r="WP91" s="255"/>
      <c r="WQ91" s="255"/>
      <c r="WR91" s="255"/>
      <c r="WS91" s="255"/>
      <c r="WT91" s="255"/>
      <c r="WU91" s="255"/>
      <c r="WV91" s="255"/>
      <c r="WW91" s="255"/>
      <c r="WX91" s="255"/>
      <c r="WY91" s="255"/>
      <c r="WZ91" s="255"/>
      <c r="XA91" s="255"/>
      <c r="XB91" s="255"/>
      <c r="XC91" s="255"/>
      <c r="XD91" s="255"/>
      <c r="XE91" s="255"/>
      <c r="XF91" s="255"/>
      <c r="XG91" s="255"/>
      <c r="XH91" s="255"/>
      <c r="XI91" s="255"/>
      <c r="XJ91" s="255"/>
      <c r="XK91" s="255"/>
      <c r="XL91" s="255"/>
      <c r="XM91" s="255"/>
      <c r="XN91" s="255"/>
      <c r="XO91" s="255"/>
      <c r="XP91" s="255"/>
      <c r="XQ91" s="255"/>
      <c r="XR91" s="255"/>
      <c r="XS91" s="255"/>
      <c r="XT91" s="255"/>
      <c r="XU91" s="255"/>
      <c r="XV91" s="255"/>
      <c r="XW91" s="255"/>
      <c r="XX91" s="255"/>
      <c r="XY91" s="255"/>
      <c r="XZ91" s="255"/>
      <c r="YA91" s="255"/>
      <c r="YB91" s="255"/>
      <c r="YC91" s="255"/>
      <c r="YD91" s="255"/>
      <c r="YE91" s="255"/>
      <c r="YF91" s="255"/>
      <c r="YG91" s="255"/>
      <c r="YH91" s="255"/>
      <c r="YI91" s="255"/>
      <c r="YJ91" s="255"/>
      <c r="YK91" s="255"/>
      <c r="YL91" s="255"/>
      <c r="YM91" s="255"/>
      <c r="YN91" s="255"/>
      <c r="YO91" s="255"/>
      <c r="YP91" s="255"/>
      <c r="YQ91" s="255"/>
      <c r="YR91" s="255"/>
      <c r="YS91" s="255"/>
      <c r="YT91" s="255"/>
      <c r="YU91" s="255"/>
      <c r="YV91" s="255"/>
      <c r="YW91" s="255"/>
      <c r="YX91" s="255"/>
      <c r="YY91" s="255"/>
      <c r="YZ91" s="255"/>
      <c r="ZA91" s="255"/>
      <c r="ZB91" s="255"/>
      <c r="ZC91" s="255"/>
      <c r="ZD91" s="255"/>
      <c r="ZE91" s="255"/>
      <c r="ZF91" s="255"/>
      <c r="ZG91" s="255"/>
      <c r="ZH91" s="255"/>
      <c r="ZI91" s="255"/>
      <c r="ZJ91" s="255"/>
      <c r="ZK91" s="255"/>
      <c r="ZL91" s="255"/>
      <c r="ZM91" s="255"/>
      <c r="ZN91" s="255"/>
      <c r="ZO91" s="255"/>
      <c r="ZP91" s="255"/>
      <c r="ZQ91" s="255"/>
      <c r="ZR91" s="255"/>
      <c r="ZS91" s="255"/>
      <c r="ZT91" s="255"/>
      <c r="ZU91" s="255"/>
      <c r="ZV91" s="255"/>
      <c r="ZW91" s="255"/>
      <c r="ZX91" s="255"/>
      <c r="ZY91" s="255"/>
      <c r="ZZ91" s="255"/>
      <c r="AAA91" s="255"/>
      <c r="AAB91" s="255"/>
      <c r="AAC91" s="255"/>
      <c r="AAD91" s="255"/>
      <c r="AAE91" s="255"/>
      <c r="AAF91" s="255"/>
      <c r="AAG91" s="255"/>
      <c r="AAH91" s="255"/>
      <c r="AAI91" s="255"/>
      <c r="AAJ91" s="255"/>
      <c r="AAK91" s="255"/>
      <c r="AAL91" s="255"/>
      <c r="AAM91" s="255"/>
      <c r="AAN91" s="255"/>
      <c r="AAO91" s="255"/>
      <c r="AAP91" s="255"/>
      <c r="AAQ91" s="255"/>
      <c r="AAR91" s="255"/>
      <c r="AAS91" s="255"/>
      <c r="AAT91" s="255"/>
      <c r="AAU91" s="255"/>
      <c r="AAV91" s="255"/>
      <c r="AAW91" s="255"/>
      <c r="AAX91" s="255"/>
      <c r="AAY91" s="255"/>
      <c r="AAZ91" s="255"/>
      <c r="ABA91" s="255"/>
      <c r="ABB91" s="255"/>
      <c r="ABC91" s="255"/>
      <c r="ABD91" s="255"/>
      <c r="ABE91" s="255"/>
      <c r="ABF91" s="255"/>
      <c r="ABG91" s="255"/>
      <c r="ABH91" s="255"/>
      <c r="ABI91" s="255"/>
      <c r="ABJ91" s="255"/>
      <c r="ABK91" s="255"/>
      <c r="ABL91" s="255"/>
      <c r="ABM91" s="255"/>
      <c r="ABN91" s="255"/>
      <c r="ABO91" s="255"/>
      <c r="ABP91" s="255"/>
      <c r="ABQ91" s="255"/>
      <c r="ABR91" s="255"/>
      <c r="ABS91" s="255"/>
      <c r="ABT91" s="255"/>
      <c r="ABU91" s="255"/>
      <c r="ABV91" s="255"/>
      <c r="ABW91" s="255"/>
      <c r="ABX91" s="255"/>
      <c r="ABY91" s="255"/>
      <c r="ABZ91" s="255"/>
      <c r="ACA91" s="255"/>
      <c r="ACB91" s="255"/>
      <c r="ACC91" s="255"/>
      <c r="ACD91" s="255"/>
      <c r="ACE91" s="255"/>
      <c r="ACF91" s="255"/>
      <c r="ACG91" s="255"/>
      <c r="ACH91" s="255"/>
      <c r="ACI91" s="255"/>
      <c r="ACJ91" s="255"/>
      <c r="ACK91" s="255"/>
      <c r="ACL91" s="255"/>
      <c r="ACM91" s="255"/>
      <c r="ACN91" s="255"/>
      <c r="ACO91" s="255"/>
      <c r="ACP91" s="255"/>
      <c r="ACQ91" s="255"/>
      <c r="ACR91" s="255"/>
      <c r="ACS91" s="255"/>
      <c r="ACT91" s="255"/>
      <c r="ACU91" s="255"/>
      <c r="ACV91" s="255"/>
      <c r="ACW91" s="255"/>
      <c r="ACX91" s="255"/>
      <c r="ACY91" s="255"/>
      <c r="ACZ91" s="255"/>
      <c r="ADA91" s="255"/>
      <c r="ADB91" s="255"/>
      <c r="ADC91" s="255"/>
      <c r="ADD91" s="255"/>
      <c r="ADE91" s="255"/>
      <c r="ADF91" s="255"/>
      <c r="ADG91" s="255"/>
      <c r="ADH91" s="255"/>
      <c r="ADI91" s="255"/>
      <c r="ADJ91" s="255"/>
      <c r="ADK91" s="255"/>
      <c r="ADL91" s="255"/>
      <c r="ADM91" s="255"/>
      <c r="ADN91" s="255"/>
      <c r="ADO91" s="255"/>
      <c r="ADP91" s="255"/>
      <c r="ADQ91" s="255"/>
      <c r="ADR91" s="255"/>
      <c r="ADS91" s="255"/>
      <c r="ADT91" s="255"/>
      <c r="ADU91" s="255"/>
      <c r="ADV91" s="255"/>
      <c r="ADW91" s="255"/>
      <c r="ADX91" s="255"/>
      <c r="ADY91" s="255"/>
      <c r="ADZ91" s="255"/>
      <c r="AEA91" s="255"/>
      <c r="AEB91" s="255"/>
      <c r="AEC91" s="255"/>
      <c r="AED91" s="255"/>
      <c r="AEE91" s="255"/>
      <c r="AEF91" s="255"/>
      <c r="AEG91" s="255"/>
      <c r="AEH91" s="255"/>
      <c r="AEI91" s="255"/>
      <c r="AEJ91" s="255"/>
      <c r="AEK91" s="255"/>
      <c r="AEL91" s="255"/>
      <c r="AEM91" s="255"/>
      <c r="AEN91" s="255"/>
      <c r="AEO91" s="255"/>
      <c r="AEP91" s="255"/>
      <c r="AEQ91" s="255"/>
      <c r="AER91" s="255"/>
      <c r="AES91" s="255"/>
      <c r="AET91" s="255"/>
      <c r="AEU91" s="255"/>
      <c r="AEV91" s="255"/>
      <c r="AEW91" s="255"/>
      <c r="AEX91" s="255"/>
      <c r="AEY91" s="255"/>
      <c r="AEZ91" s="255"/>
      <c r="AFA91" s="255"/>
      <c r="AFB91" s="255"/>
      <c r="AFC91" s="255"/>
      <c r="AFD91" s="255"/>
      <c r="AFE91" s="255"/>
      <c r="AFF91" s="255"/>
      <c r="AFG91" s="255"/>
      <c r="AFH91" s="255"/>
      <c r="AFI91" s="255"/>
      <c r="AFJ91" s="255"/>
      <c r="AFK91" s="255"/>
      <c r="AFL91" s="255"/>
      <c r="AFM91" s="255"/>
      <c r="AFN91" s="255"/>
      <c r="AFO91" s="255"/>
      <c r="AFP91" s="255"/>
      <c r="AFQ91" s="255"/>
      <c r="AFR91" s="255"/>
      <c r="AFS91" s="255"/>
      <c r="AFT91" s="255"/>
      <c r="AFU91" s="255"/>
      <c r="AFV91" s="255"/>
      <c r="AFW91" s="255"/>
      <c r="AFX91" s="255"/>
      <c r="AFY91" s="255"/>
      <c r="AFZ91" s="255"/>
      <c r="AGA91" s="255"/>
      <c r="AGB91" s="255"/>
      <c r="AGC91" s="255"/>
      <c r="AGD91" s="255"/>
      <c r="AGE91" s="255"/>
      <c r="AGF91" s="255"/>
      <c r="AGG91" s="255"/>
      <c r="AGH91" s="255"/>
      <c r="AGI91" s="255"/>
      <c r="AGJ91" s="255"/>
      <c r="AGK91" s="255"/>
      <c r="AGL91" s="255"/>
      <c r="AGM91" s="255"/>
      <c r="AGN91" s="255"/>
      <c r="AGO91" s="255"/>
      <c r="AGP91" s="255"/>
      <c r="AGQ91" s="255"/>
      <c r="AGR91" s="255"/>
      <c r="AGS91" s="255"/>
      <c r="AGT91" s="255"/>
      <c r="AGU91" s="255"/>
      <c r="AGV91" s="255"/>
      <c r="AGW91" s="255"/>
      <c r="AGX91" s="255"/>
      <c r="AGY91" s="255"/>
      <c r="AGZ91" s="255"/>
      <c r="AHA91" s="255"/>
      <c r="AHB91" s="255"/>
      <c r="AHC91" s="255"/>
      <c r="AHD91" s="255"/>
      <c r="AHE91" s="255"/>
      <c r="AHF91" s="255"/>
      <c r="AHG91" s="255"/>
      <c r="AHH91" s="255"/>
      <c r="AHI91" s="255"/>
      <c r="AHJ91" s="255"/>
      <c r="AHK91" s="255"/>
      <c r="AHL91" s="255"/>
      <c r="AHM91" s="255"/>
      <c r="AHN91" s="255"/>
      <c r="AHO91" s="255"/>
      <c r="AHP91" s="255"/>
      <c r="AHQ91" s="255"/>
      <c r="AHR91" s="255"/>
      <c r="AHS91" s="255"/>
      <c r="AHT91" s="255"/>
      <c r="AHU91" s="255"/>
      <c r="AHV91" s="255"/>
      <c r="AHW91" s="255"/>
      <c r="AHX91" s="255"/>
      <c r="AHY91" s="255"/>
      <c r="AHZ91" s="255"/>
      <c r="AIA91" s="255"/>
      <c r="AIB91" s="255"/>
      <c r="AIC91" s="255"/>
      <c r="AID91" s="255"/>
      <c r="AIE91" s="255"/>
      <c r="AIF91" s="255"/>
      <c r="AIG91" s="255"/>
      <c r="AIH91" s="255"/>
      <c r="AII91" s="255"/>
      <c r="AIJ91" s="255"/>
      <c r="AIK91" s="255"/>
      <c r="AIL91" s="255"/>
      <c r="AIM91" s="255"/>
      <c r="AIN91" s="255"/>
      <c r="AIO91" s="255"/>
      <c r="AIP91" s="255"/>
      <c r="AIQ91" s="255"/>
      <c r="AIR91" s="255"/>
      <c r="AIS91" s="255"/>
      <c r="AIT91" s="255"/>
      <c r="AIU91" s="255"/>
      <c r="AIV91" s="255"/>
      <c r="AIW91" s="255"/>
      <c r="AIX91" s="255"/>
      <c r="AIY91" s="255"/>
      <c r="AIZ91" s="255"/>
      <c r="AJA91" s="255"/>
      <c r="AJB91" s="255"/>
      <c r="AJC91" s="255"/>
      <c r="AJD91" s="255"/>
      <c r="AJE91" s="255"/>
      <c r="AJF91" s="255"/>
      <c r="AJG91" s="255"/>
      <c r="AJH91" s="255"/>
      <c r="AJI91" s="255"/>
      <c r="AJJ91" s="255"/>
      <c r="AJK91" s="255"/>
      <c r="AJL91" s="255"/>
      <c r="AJM91" s="255"/>
      <c r="AJN91" s="255"/>
      <c r="AJO91" s="255"/>
      <c r="AJP91" s="255"/>
      <c r="AJQ91" s="255"/>
      <c r="AJR91" s="255"/>
      <c r="AJS91" s="255"/>
      <c r="AJT91" s="255"/>
      <c r="AJU91" s="255"/>
      <c r="AJV91" s="255"/>
      <c r="AJW91" s="255"/>
      <c r="AJX91" s="255"/>
      <c r="AJY91" s="255"/>
      <c r="AJZ91" s="255"/>
      <c r="AKA91" s="255"/>
      <c r="AKB91" s="255"/>
      <c r="AKC91" s="255"/>
      <c r="AKD91" s="255"/>
      <c r="AKE91" s="255"/>
      <c r="AKF91" s="255"/>
      <c r="AKG91" s="255"/>
      <c r="AKH91" s="255"/>
      <c r="AKI91" s="255"/>
      <c r="AKJ91" s="255"/>
      <c r="AKK91" s="255"/>
      <c r="AKL91" s="255"/>
      <c r="AKM91" s="255"/>
      <c r="AKN91" s="255"/>
      <c r="AKO91" s="255"/>
      <c r="AKP91" s="255"/>
      <c r="AKQ91" s="255"/>
      <c r="AKR91" s="255"/>
      <c r="AKS91" s="255"/>
      <c r="AKT91" s="255"/>
      <c r="AKU91" s="255"/>
      <c r="AKV91" s="255"/>
      <c r="AKW91" s="255"/>
      <c r="AKX91" s="255"/>
      <c r="AKY91" s="255"/>
      <c r="AKZ91" s="255"/>
      <c r="ALA91" s="255"/>
      <c r="ALB91" s="255"/>
      <c r="ALC91" s="255"/>
      <c r="ALD91" s="255"/>
      <c r="ALE91" s="42"/>
      <c r="ALF91" s="42"/>
      <c r="ALG91" s="42"/>
      <c r="ALH91" s="42"/>
      <c r="ALI91" s="42"/>
      <c r="ALJ91" s="42"/>
      <c r="ALK91" s="42"/>
      <c r="ALL91" s="42"/>
      <c r="ALM91" s="42"/>
    </row>
    <row r="92" spans="1:1001" s="1" customFormat="1" ht="15" customHeight="1">
      <c r="A92" s="680" t="s">
        <v>6928</v>
      </c>
      <c r="B92" s="695"/>
      <c r="C92" s="695"/>
      <c r="D92" s="695"/>
      <c r="E92" s="695"/>
      <c r="F92" s="695"/>
      <c r="G92" s="695"/>
      <c r="H92" s="695"/>
      <c r="I92" s="695"/>
      <c r="J92" s="281">
        <f>+J15+J19+J66+J69+J72+J76+J82+J89</f>
        <v>102448.02395270098</v>
      </c>
      <c r="K92" s="255"/>
      <c r="L92" s="255"/>
      <c r="M92" s="255"/>
      <c r="N92" s="255"/>
      <c r="O92" s="255"/>
      <c r="P92" s="223"/>
    </row>
    <row r="93" spans="1:1001">
      <c r="K93" s="255"/>
      <c r="L93" s="255"/>
      <c r="M93" s="255"/>
      <c r="N93" s="255"/>
      <c r="O93" s="257"/>
    </row>
    <row r="94" spans="1:1001">
      <c r="K94" s="255"/>
      <c r="L94" s="255"/>
      <c r="M94" s="255"/>
      <c r="N94" s="255"/>
      <c r="O94" s="257"/>
    </row>
    <row r="95" spans="1:1001">
      <c r="K95" s="255"/>
      <c r="L95" s="255"/>
      <c r="M95" s="255"/>
      <c r="N95" s="255"/>
      <c r="O95" s="257"/>
    </row>
    <row r="96" spans="1:1001">
      <c r="K96" s="255"/>
      <c r="L96" s="255"/>
      <c r="M96" s="255"/>
      <c r="N96" s="255"/>
      <c r="O96" s="257"/>
    </row>
    <row r="97" spans="11:15">
      <c r="K97" s="255"/>
      <c r="L97" s="255"/>
      <c r="M97" s="255"/>
      <c r="N97" s="255"/>
      <c r="O97" s="257"/>
    </row>
    <row r="98" spans="11:15">
      <c r="K98" s="255"/>
      <c r="L98" s="255"/>
      <c r="M98" s="255"/>
      <c r="N98" s="255"/>
      <c r="O98" s="257"/>
    </row>
    <row r="99" spans="11:15">
      <c r="K99" s="255"/>
      <c r="L99" s="255"/>
      <c r="M99" s="255"/>
      <c r="N99" s="255"/>
      <c r="O99" s="257"/>
    </row>
    <row r="100" spans="11:15">
      <c r="K100" s="255"/>
      <c r="L100" s="255"/>
      <c r="M100" s="255"/>
      <c r="N100" s="255"/>
      <c r="O100" s="257"/>
    </row>
    <row r="101" spans="11:15">
      <c r="K101" s="255"/>
      <c r="L101" s="255"/>
      <c r="M101" s="255"/>
      <c r="N101" s="255"/>
      <c r="O101" s="257"/>
    </row>
    <row r="102" spans="11:15">
      <c r="K102" s="255"/>
      <c r="L102" s="255"/>
      <c r="M102" s="255"/>
      <c r="N102" s="255"/>
      <c r="O102" s="257"/>
    </row>
    <row r="103" spans="11:15">
      <c r="K103" s="255"/>
      <c r="L103" s="255"/>
      <c r="M103" s="255"/>
      <c r="N103" s="255"/>
      <c r="O103" s="257"/>
    </row>
    <row r="104" spans="11:15">
      <c r="K104" s="255"/>
      <c r="L104" s="255"/>
      <c r="M104" s="255"/>
      <c r="N104" s="255"/>
      <c r="O104" s="257"/>
    </row>
    <row r="105" spans="11:15">
      <c r="K105" s="255"/>
      <c r="L105" s="255"/>
      <c r="M105" s="255"/>
      <c r="N105" s="255"/>
      <c r="O105" s="257"/>
    </row>
    <row r="106" spans="11:15">
      <c r="K106" s="255"/>
      <c r="L106" s="255"/>
      <c r="M106" s="255"/>
      <c r="N106" s="255"/>
      <c r="O106" s="257"/>
    </row>
    <row r="107" spans="11:15">
      <c r="K107" s="255"/>
      <c r="L107" s="255"/>
      <c r="M107" s="255"/>
      <c r="N107" s="255"/>
      <c r="O107" s="257"/>
    </row>
    <row r="108" spans="11:15">
      <c r="K108" s="255"/>
      <c r="L108" s="255"/>
      <c r="M108" s="255"/>
      <c r="N108" s="255"/>
      <c r="O108" s="257"/>
    </row>
    <row r="109" spans="11:15">
      <c r="K109" s="255"/>
      <c r="L109" s="255"/>
      <c r="M109" s="255"/>
      <c r="N109" s="255"/>
      <c r="O109" s="257"/>
    </row>
    <row r="110" spans="11:15">
      <c r="K110" s="255"/>
      <c r="L110" s="255"/>
      <c r="M110" s="255"/>
      <c r="N110" s="255"/>
      <c r="O110" s="257"/>
    </row>
    <row r="111" spans="11:15">
      <c r="K111" s="255"/>
      <c r="L111" s="255"/>
      <c r="M111" s="255"/>
      <c r="N111" s="255"/>
      <c r="O111" s="257"/>
    </row>
    <row r="112" spans="11:15">
      <c r="K112" s="255"/>
      <c r="L112" s="255"/>
      <c r="M112" s="255"/>
      <c r="N112" s="255"/>
      <c r="O112" s="257"/>
    </row>
    <row r="113" spans="11:15">
      <c r="K113" s="255"/>
      <c r="L113" s="255"/>
      <c r="M113" s="255"/>
      <c r="N113" s="255"/>
      <c r="O113" s="257"/>
    </row>
    <row r="114" spans="11:15">
      <c r="K114" s="255"/>
      <c r="L114" s="255"/>
      <c r="M114" s="255"/>
      <c r="N114" s="255"/>
      <c r="O114" s="257"/>
    </row>
    <row r="115" spans="11:15">
      <c r="K115" s="255"/>
      <c r="L115" s="255"/>
      <c r="M115" s="255"/>
      <c r="N115" s="255"/>
      <c r="O115" s="257"/>
    </row>
    <row r="116" spans="11:15">
      <c r="K116" s="255"/>
      <c r="L116" s="255"/>
      <c r="M116" s="255"/>
      <c r="N116" s="255"/>
      <c r="O116" s="257"/>
    </row>
    <row r="117" spans="11:15">
      <c r="K117" s="255"/>
      <c r="L117" s="255"/>
      <c r="M117" s="255"/>
      <c r="N117" s="255"/>
      <c r="O117" s="257"/>
    </row>
    <row r="118" spans="11:15">
      <c r="K118" s="255"/>
      <c r="L118" s="255"/>
      <c r="M118" s="255"/>
      <c r="N118" s="255"/>
      <c r="O118" s="257"/>
    </row>
    <row r="119" spans="11:15">
      <c r="K119" s="255"/>
      <c r="L119" s="255"/>
      <c r="M119" s="255"/>
      <c r="N119" s="255"/>
      <c r="O119" s="257"/>
    </row>
    <row r="120" spans="11:15">
      <c r="K120" s="255"/>
      <c r="L120" s="255"/>
      <c r="M120" s="255"/>
      <c r="N120" s="255"/>
      <c r="O120" s="257"/>
    </row>
    <row r="121" spans="11:15">
      <c r="K121" s="255"/>
      <c r="L121" s="255"/>
      <c r="M121" s="255"/>
      <c r="N121" s="255"/>
      <c r="O121" s="257"/>
    </row>
    <row r="122" spans="11:15">
      <c r="K122" s="255"/>
      <c r="L122" s="255"/>
      <c r="M122" s="255"/>
      <c r="N122" s="255"/>
      <c r="O122" s="257"/>
    </row>
    <row r="123" spans="11:15">
      <c r="K123" s="255"/>
      <c r="L123" s="255"/>
      <c r="M123" s="255"/>
      <c r="N123" s="255"/>
      <c r="O123" s="257"/>
    </row>
    <row r="124" spans="11:15">
      <c r="K124" s="255"/>
      <c r="L124" s="255"/>
      <c r="M124" s="255"/>
      <c r="N124" s="255"/>
      <c r="O124" s="257"/>
    </row>
    <row r="125" spans="11:15">
      <c r="K125" s="255"/>
      <c r="L125" s="255"/>
      <c r="M125" s="255"/>
      <c r="N125" s="255"/>
      <c r="O125" s="257"/>
    </row>
    <row r="126" spans="11:15">
      <c r="K126" s="255"/>
      <c r="L126" s="255"/>
      <c r="M126" s="255"/>
      <c r="N126" s="255"/>
      <c r="O126" s="257"/>
    </row>
    <row r="127" spans="11:15">
      <c r="K127" s="255"/>
      <c r="L127" s="255"/>
      <c r="M127" s="255"/>
      <c r="N127" s="255"/>
      <c r="O127" s="257"/>
    </row>
    <row r="128" spans="11:15">
      <c r="K128" s="255"/>
      <c r="L128" s="255"/>
      <c r="M128" s="255"/>
      <c r="N128" s="255"/>
      <c r="O128" s="257"/>
    </row>
    <row r="129" spans="11:15">
      <c r="K129" s="255"/>
      <c r="L129" s="255"/>
      <c r="M129" s="255"/>
      <c r="N129" s="255"/>
      <c r="O129" s="257"/>
    </row>
    <row r="130" spans="11:15">
      <c r="K130" s="255"/>
      <c r="L130" s="255"/>
      <c r="M130" s="255"/>
      <c r="N130" s="255"/>
      <c r="O130" s="257"/>
    </row>
    <row r="131" spans="11:15">
      <c r="K131" s="255"/>
      <c r="L131" s="255"/>
      <c r="M131" s="255"/>
      <c r="N131" s="255"/>
      <c r="O131" s="257"/>
    </row>
    <row r="132" spans="11:15">
      <c r="K132" s="255"/>
      <c r="L132" s="255"/>
      <c r="M132" s="255"/>
      <c r="N132" s="255"/>
      <c r="O132" s="257"/>
    </row>
    <row r="133" spans="11:15">
      <c r="K133" s="255"/>
      <c r="L133" s="255"/>
      <c r="M133" s="255"/>
      <c r="N133" s="255"/>
      <c r="O133" s="257"/>
    </row>
    <row r="134" spans="11:15">
      <c r="K134" s="255"/>
      <c r="L134" s="255"/>
      <c r="M134" s="255"/>
      <c r="N134" s="255"/>
      <c r="O134" s="257"/>
    </row>
    <row r="135" spans="11:15">
      <c r="K135" s="255"/>
      <c r="L135" s="255"/>
      <c r="M135" s="255"/>
      <c r="N135" s="255"/>
      <c r="O135" s="257"/>
    </row>
    <row r="136" spans="11:15">
      <c r="K136" s="255"/>
      <c r="L136" s="255"/>
      <c r="M136" s="255"/>
      <c r="N136" s="255"/>
      <c r="O136" s="257"/>
    </row>
    <row r="137" spans="11:15">
      <c r="K137" s="255"/>
      <c r="L137" s="255"/>
      <c r="M137" s="255"/>
      <c r="N137" s="255"/>
      <c r="O137" s="257"/>
    </row>
    <row r="138" spans="11:15">
      <c r="K138" s="255"/>
      <c r="L138" s="255"/>
      <c r="M138" s="255"/>
      <c r="N138" s="255"/>
      <c r="O138" s="257"/>
    </row>
    <row r="139" spans="11:15">
      <c r="K139" s="255"/>
      <c r="L139" s="255"/>
      <c r="M139" s="255"/>
      <c r="N139" s="255"/>
      <c r="O139" s="257"/>
    </row>
    <row r="140" spans="11:15">
      <c r="K140" s="255"/>
      <c r="L140" s="255"/>
      <c r="M140" s="255"/>
      <c r="N140" s="255"/>
      <c r="O140" s="257"/>
    </row>
    <row r="141" spans="11:15">
      <c r="K141" s="255"/>
      <c r="L141" s="255"/>
      <c r="M141" s="255"/>
      <c r="N141" s="255"/>
      <c r="O141" s="257"/>
    </row>
    <row r="142" spans="11:15">
      <c r="K142" s="255"/>
      <c r="L142" s="255"/>
      <c r="M142" s="255"/>
      <c r="N142" s="255"/>
      <c r="O142" s="257"/>
    </row>
    <row r="143" spans="11:15">
      <c r="K143" s="255"/>
      <c r="L143" s="255"/>
      <c r="M143" s="255"/>
      <c r="N143" s="255"/>
      <c r="O143" s="257"/>
    </row>
    <row r="144" spans="11:15">
      <c r="K144" s="255"/>
      <c r="L144" s="255"/>
      <c r="M144" s="255"/>
      <c r="N144" s="255"/>
      <c r="O144" s="257"/>
    </row>
    <row r="145" spans="11:15">
      <c r="K145" s="255"/>
      <c r="L145" s="255"/>
      <c r="M145" s="255"/>
      <c r="N145" s="255"/>
      <c r="O145" s="257"/>
    </row>
    <row r="146" spans="11:15">
      <c r="K146" s="255"/>
      <c r="L146" s="255"/>
      <c r="M146" s="255"/>
      <c r="N146" s="255"/>
      <c r="O146" s="257"/>
    </row>
    <row r="147" spans="11:15">
      <c r="K147" s="255"/>
      <c r="L147" s="255"/>
      <c r="M147" s="255"/>
      <c r="N147" s="255"/>
      <c r="O147" s="257"/>
    </row>
    <row r="148" spans="11:15">
      <c r="K148" s="255"/>
      <c r="L148" s="255"/>
      <c r="M148" s="255"/>
      <c r="N148" s="255"/>
      <c r="O148" s="257"/>
    </row>
    <row r="149" spans="11:15">
      <c r="K149" s="255"/>
      <c r="L149" s="255"/>
      <c r="M149" s="255"/>
      <c r="N149" s="255"/>
      <c r="O149" s="257"/>
    </row>
    <row r="150" spans="11:15">
      <c r="K150" s="255"/>
      <c r="L150" s="255"/>
      <c r="M150" s="255"/>
      <c r="N150" s="255"/>
      <c r="O150" s="257"/>
    </row>
    <row r="151" spans="11:15">
      <c r="K151" s="255"/>
      <c r="L151" s="255"/>
      <c r="M151" s="255"/>
      <c r="N151" s="255"/>
      <c r="O151" s="257"/>
    </row>
    <row r="152" spans="11:15">
      <c r="K152" s="255"/>
      <c r="L152" s="255"/>
      <c r="M152" s="255"/>
      <c r="N152" s="255"/>
      <c r="O152" s="257"/>
    </row>
    <row r="153" spans="11:15">
      <c r="K153" s="255"/>
      <c r="L153" s="255"/>
      <c r="M153" s="255"/>
      <c r="N153" s="255"/>
      <c r="O153" s="257"/>
    </row>
    <row r="154" spans="11:15">
      <c r="K154" s="255"/>
      <c r="L154" s="255"/>
      <c r="M154" s="255"/>
      <c r="N154" s="255"/>
      <c r="O154" s="257"/>
    </row>
    <row r="155" spans="11:15">
      <c r="K155" s="255"/>
      <c r="L155" s="255"/>
      <c r="M155" s="255"/>
      <c r="N155" s="255"/>
      <c r="O155" s="257"/>
    </row>
    <row r="156" spans="11:15">
      <c r="K156" s="255"/>
      <c r="L156" s="255"/>
      <c r="M156" s="255"/>
      <c r="N156" s="255"/>
      <c r="O156" s="257"/>
    </row>
    <row r="157" spans="11:15">
      <c r="K157" s="255"/>
      <c r="L157" s="255"/>
      <c r="M157" s="255"/>
      <c r="N157" s="255"/>
      <c r="O157" s="257"/>
    </row>
    <row r="158" spans="11:15">
      <c r="K158" s="255"/>
      <c r="L158" s="255"/>
      <c r="M158" s="255"/>
      <c r="N158" s="255"/>
      <c r="O158" s="257"/>
    </row>
    <row r="159" spans="11:15">
      <c r="K159" s="255"/>
      <c r="L159" s="255"/>
      <c r="M159" s="255"/>
      <c r="N159" s="255"/>
      <c r="O159" s="257"/>
    </row>
    <row r="160" spans="11:15">
      <c r="K160" s="255"/>
      <c r="L160" s="255"/>
      <c r="M160" s="255"/>
      <c r="N160" s="255"/>
      <c r="O160" s="257"/>
    </row>
    <row r="161" spans="11:15">
      <c r="K161" s="255"/>
      <c r="L161" s="255"/>
      <c r="M161" s="255"/>
      <c r="N161" s="255"/>
      <c r="O161" s="257"/>
    </row>
    <row r="162" spans="11:15">
      <c r="K162" s="255"/>
      <c r="L162" s="255"/>
      <c r="M162" s="255"/>
      <c r="N162" s="255"/>
      <c r="O162" s="257"/>
    </row>
    <row r="163" spans="11:15">
      <c r="K163" s="255"/>
      <c r="L163" s="255"/>
      <c r="M163" s="255"/>
      <c r="N163" s="255"/>
      <c r="O163" s="257"/>
    </row>
    <row r="164" spans="11:15">
      <c r="K164" s="255"/>
      <c r="L164" s="255"/>
      <c r="M164" s="255"/>
      <c r="N164" s="255"/>
      <c r="O164" s="257"/>
    </row>
    <row r="165" spans="11:15">
      <c r="K165" s="255"/>
      <c r="L165" s="255"/>
      <c r="M165" s="255"/>
      <c r="N165" s="255"/>
      <c r="O165" s="257"/>
    </row>
    <row r="166" spans="11:15">
      <c r="K166" s="255"/>
      <c r="L166" s="255"/>
      <c r="M166" s="255"/>
      <c r="N166" s="255"/>
      <c r="O166" s="257"/>
    </row>
    <row r="167" spans="11:15">
      <c r="K167" s="255"/>
      <c r="L167" s="255"/>
      <c r="M167" s="255"/>
      <c r="N167" s="255"/>
      <c r="O167" s="257"/>
    </row>
    <row r="168" spans="11:15">
      <c r="K168" s="255"/>
      <c r="L168" s="255"/>
      <c r="M168" s="255"/>
      <c r="N168" s="255"/>
      <c r="O168" s="257"/>
    </row>
    <row r="169" spans="11:15">
      <c r="K169" s="255"/>
      <c r="L169" s="255"/>
      <c r="M169" s="255"/>
      <c r="N169" s="255"/>
      <c r="O169" s="257"/>
    </row>
    <row r="170" spans="11:15">
      <c r="K170" s="255"/>
      <c r="L170" s="255"/>
      <c r="M170" s="255"/>
      <c r="N170" s="255"/>
      <c r="O170" s="257"/>
    </row>
    <row r="171" spans="11:15">
      <c r="K171" s="255"/>
      <c r="L171" s="255"/>
      <c r="M171" s="255"/>
      <c r="N171" s="255"/>
      <c r="O171" s="257"/>
    </row>
    <row r="172" spans="11:15">
      <c r="K172" s="255"/>
      <c r="L172" s="255"/>
      <c r="M172" s="255"/>
      <c r="N172" s="255"/>
      <c r="O172" s="257"/>
    </row>
    <row r="173" spans="11:15">
      <c r="K173" s="255"/>
      <c r="L173" s="255"/>
      <c r="M173" s="255"/>
      <c r="N173" s="255"/>
      <c r="O173" s="257"/>
    </row>
    <row r="174" spans="11:15">
      <c r="K174" s="255"/>
      <c r="L174" s="255"/>
      <c r="M174" s="255"/>
      <c r="N174" s="255"/>
      <c r="O174" s="257"/>
    </row>
    <row r="175" spans="11:15">
      <c r="K175" s="255"/>
      <c r="L175" s="255"/>
      <c r="M175" s="255"/>
      <c r="N175" s="255"/>
      <c r="O175" s="257"/>
    </row>
    <row r="176" spans="11:15">
      <c r="K176" s="255"/>
      <c r="L176" s="255"/>
      <c r="M176" s="255"/>
      <c r="N176" s="255"/>
      <c r="O176" s="257"/>
    </row>
    <row r="177" spans="11:15">
      <c r="K177" s="255"/>
      <c r="L177" s="255"/>
      <c r="M177" s="255"/>
      <c r="N177" s="255"/>
      <c r="O177" s="257"/>
    </row>
    <row r="178" spans="11:15">
      <c r="K178" s="255"/>
      <c r="L178" s="255"/>
      <c r="M178" s="255"/>
      <c r="N178" s="255"/>
      <c r="O178" s="257"/>
    </row>
    <row r="179" spans="11:15">
      <c r="K179" s="255"/>
      <c r="L179" s="255"/>
      <c r="M179" s="255"/>
      <c r="N179" s="255"/>
      <c r="O179" s="257"/>
    </row>
    <row r="180" spans="11:15">
      <c r="K180" s="255"/>
      <c r="L180" s="255"/>
      <c r="M180" s="255"/>
      <c r="N180" s="255"/>
      <c r="O180" s="257"/>
    </row>
    <row r="181" spans="11:15">
      <c r="K181" s="255"/>
      <c r="L181" s="255"/>
      <c r="M181" s="255"/>
      <c r="N181" s="255"/>
      <c r="O181" s="257"/>
    </row>
    <row r="182" spans="11:15">
      <c r="K182" s="255"/>
      <c r="L182" s="255"/>
      <c r="M182" s="255"/>
      <c r="N182" s="255"/>
      <c r="O182" s="257"/>
    </row>
    <row r="183" spans="11:15">
      <c r="K183" s="255"/>
      <c r="L183" s="255"/>
      <c r="M183" s="255"/>
      <c r="N183" s="255"/>
      <c r="O183" s="257"/>
    </row>
    <row r="184" spans="11:15">
      <c r="K184" s="255"/>
      <c r="L184" s="255"/>
      <c r="M184" s="255"/>
      <c r="N184" s="255"/>
      <c r="O184" s="257"/>
    </row>
    <row r="185" spans="11:15">
      <c r="K185" s="255"/>
      <c r="L185" s="255"/>
      <c r="M185" s="255"/>
      <c r="N185" s="255"/>
      <c r="O185" s="257"/>
    </row>
    <row r="186" spans="11:15">
      <c r="K186" s="255"/>
      <c r="L186" s="255"/>
      <c r="M186" s="255"/>
      <c r="N186" s="255"/>
      <c r="O186" s="257"/>
    </row>
    <row r="187" spans="11:15">
      <c r="K187" s="255"/>
      <c r="L187" s="255"/>
      <c r="M187" s="255"/>
      <c r="N187" s="255"/>
      <c r="O187" s="257"/>
    </row>
    <row r="188" spans="11:15">
      <c r="K188" s="255"/>
      <c r="L188" s="255"/>
      <c r="M188" s="255"/>
      <c r="N188" s="255"/>
      <c r="O188" s="257"/>
    </row>
    <row r="189" spans="11:15">
      <c r="K189" s="255"/>
      <c r="L189" s="255"/>
      <c r="M189" s="255"/>
      <c r="N189" s="255"/>
      <c r="O189" s="257"/>
    </row>
    <row r="190" spans="11:15">
      <c r="K190" s="255"/>
      <c r="L190" s="255"/>
      <c r="M190" s="255"/>
      <c r="N190" s="255"/>
      <c r="O190" s="257"/>
    </row>
    <row r="191" spans="11:15">
      <c r="K191" s="255"/>
      <c r="L191" s="255"/>
      <c r="M191" s="255"/>
      <c r="N191" s="255"/>
      <c r="O191" s="257"/>
    </row>
    <row r="192" spans="11:15">
      <c r="K192" s="255"/>
      <c r="L192" s="255"/>
      <c r="M192" s="255"/>
      <c r="N192" s="255"/>
      <c r="O192" s="257"/>
    </row>
    <row r="193" spans="11:15">
      <c r="K193" s="255"/>
      <c r="L193" s="255"/>
      <c r="M193" s="255"/>
      <c r="N193" s="255"/>
      <c r="O193" s="257"/>
    </row>
    <row r="194" spans="11:15">
      <c r="K194" s="255"/>
      <c r="L194" s="255"/>
      <c r="M194" s="255"/>
      <c r="N194" s="255"/>
      <c r="O194" s="257"/>
    </row>
    <row r="195" spans="11:15">
      <c r="K195" s="255"/>
      <c r="L195" s="255"/>
      <c r="M195" s="255"/>
      <c r="N195" s="255"/>
      <c r="O195" s="257"/>
    </row>
    <row r="196" spans="11:15">
      <c r="K196" s="255"/>
      <c r="L196" s="255"/>
      <c r="M196" s="255"/>
      <c r="N196" s="255"/>
      <c r="O196" s="257"/>
    </row>
    <row r="197" spans="11:15">
      <c r="K197" s="255"/>
      <c r="L197" s="255"/>
      <c r="M197" s="255"/>
      <c r="N197" s="255"/>
      <c r="O197" s="257"/>
    </row>
    <row r="198" spans="11:15">
      <c r="K198" s="255"/>
      <c r="L198" s="255"/>
      <c r="M198" s="255"/>
      <c r="N198" s="255"/>
      <c r="O198" s="257"/>
    </row>
    <row r="199" spans="11:15">
      <c r="K199" s="255"/>
      <c r="L199" s="255"/>
      <c r="M199" s="255"/>
      <c r="N199" s="255"/>
      <c r="O199" s="257"/>
    </row>
    <row r="200" spans="11:15">
      <c r="K200" s="255"/>
      <c r="L200" s="255"/>
      <c r="M200" s="255"/>
      <c r="N200" s="255"/>
      <c r="O200" s="257"/>
    </row>
    <row r="201" spans="11:15">
      <c r="K201" s="255"/>
      <c r="L201" s="255"/>
      <c r="M201" s="255"/>
      <c r="N201" s="255"/>
      <c r="O201" s="257"/>
    </row>
    <row r="202" spans="11:15">
      <c r="K202" s="255"/>
      <c r="L202" s="255"/>
      <c r="M202" s="255"/>
      <c r="N202" s="255"/>
      <c r="O202" s="257"/>
    </row>
    <row r="203" spans="11:15">
      <c r="K203" s="255"/>
      <c r="L203" s="255"/>
      <c r="M203" s="255"/>
      <c r="N203" s="255"/>
      <c r="O203" s="257"/>
    </row>
    <row r="204" spans="11:15">
      <c r="K204" s="255"/>
      <c r="L204" s="255"/>
      <c r="M204" s="255"/>
      <c r="N204" s="255"/>
      <c r="O204" s="257"/>
    </row>
    <row r="205" spans="11:15">
      <c r="K205" s="255"/>
      <c r="L205" s="255"/>
      <c r="M205" s="255"/>
      <c r="N205" s="255"/>
      <c r="O205" s="257"/>
    </row>
    <row r="206" spans="11:15">
      <c r="K206" s="255"/>
      <c r="L206" s="255"/>
      <c r="M206" s="255"/>
      <c r="N206" s="255"/>
      <c r="O206" s="257"/>
    </row>
    <row r="207" spans="11:15">
      <c r="K207" s="255"/>
      <c r="L207" s="255"/>
      <c r="M207" s="255"/>
      <c r="N207" s="255"/>
      <c r="O207" s="257"/>
    </row>
    <row r="208" spans="11:15">
      <c r="K208" s="255"/>
      <c r="L208" s="255"/>
      <c r="M208" s="255"/>
      <c r="N208" s="255"/>
      <c r="O208" s="257"/>
    </row>
    <row r="209" spans="11:15">
      <c r="K209" s="255"/>
      <c r="L209" s="255"/>
      <c r="M209" s="255"/>
      <c r="N209" s="255"/>
      <c r="O209" s="257"/>
    </row>
    <row r="210" spans="11:15">
      <c r="K210" s="255"/>
      <c r="L210" s="255"/>
      <c r="M210" s="255"/>
      <c r="N210" s="255"/>
      <c r="O210" s="257"/>
    </row>
    <row r="211" spans="11:15">
      <c r="K211" s="255"/>
      <c r="L211" s="255"/>
      <c r="M211" s="255"/>
      <c r="N211" s="255"/>
      <c r="O211" s="257"/>
    </row>
    <row r="212" spans="11:15">
      <c r="K212" s="255"/>
      <c r="L212" s="255"/>
      <c r="M212" s="255"/>
      <c r="N212" s="255"/>
      <c r="O212" s="257"/>
    </row>
    <row r="213" spans="11:15">
      <c r="K213" s="255"/>
      <c r="L213" s="255"/>
      <c r="M213" s="255"/>
      <c r="N213" s="255"/>
      <c r="O213" s="257"/>
    </row>
  </sheetData>
  <autoFilter ref="A12:J92" xr:uid="{00000000-0009-0000-0000-000008000000}"/>
  <mergeCells count="11">
    <mergeCell ref="A82:I82"/>
    <mergeCell ref="A89:I89"/>
    <mergeCell ref="A92:I92"/>
    <mergeCell ref="A15:I15"/>
    <mergeCell ref="A19:I19"/>
    <mergeCell ref="A66:I66"/>
    <mergeCell ref="A69:I69"/>
    <mergeCell ref="A72:I72"/>
    <mergeCell ref="A76:I76"/>
    <mergeCell ref="A90:I90"/>
    <mergeCell ref="A91:I91"/>
  </mergeCells>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ignoredErrors>
    <ignoredError sqref="C86"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Q250"/>
  <sheetViews>
    <sheetView showGridLines="0" view="pageBreakPreview" zoomScaleNormal="82" zoomScaleSheetLayoutView="100" workbookViewId="0">
      <selection activeCell="C4" sqref="C4:C6"/>
    </sheetView>
  </sheetViews>
  <sheetFormatPr defaultColWidth="9.140625" defaultRowHeight="12.75"/>
  <cols>
    <col min="1" max="2" width="10.7109375" style="16" customWidth="1"/>
    <col min="3" max="3" width="70.7109375" style="39" customWidth="1"/>
    <col min="4" max="4" width="4.7109375" style="16" customWidth="1"/>
    <col min="5" max="5" width="11.7109375" style="24" customWidth="1"/>
    <col min="6" max="8" width="11.7109375" style="17" customWidth="1"/>
    <col min="9" max="10" width="14.28515625" style="17" customWidth="1"/>
    <col min="11" max="13" width="12.140625" style="39" bestFit="1" customWidth="1"/>
    <col min="14" max="14" width="9.140625" style="39"/>
    <col min="15" max="15" width="12.28515625" style="39" bestFit="1" customWidth="1"/>
    <col min="16" max="1005" width="9.140625" style="39"/>
    <col min="1006" max="16384" width="9.140625" style="18"/>
  </cols>
  <sheetData>
    <row r="1" spans="1:16" s="39" customFormat="1" ht="24.95" customHeight="1">
      <c r="A1" s="416"/>
      <c r="B1" s="43"/>
      <c r="C1" s="43"/>
      <c r="D1" s="43"/>
      <c r="E1" s="493"/>
      <c r="F1" s="43"/>
      <c r="G1" s="43"/>
      <c r="H1" s="43"/>
      <c r="I1" s="43"/>
      <c r="J1" s="494"/>
    </row>
    <row r="2" spans="1:16" ht="24.95" customHeight="1">
      <c r="A2" s="418"/>
      <c r="B2" s="37"/>
      <c r="C2" s="37"/>
      <c r="D2" s="37"/>
      <c r="E2" s="220"/>
      <c r="F2" s="37"/>
      <c r="G2" s="37"/>
      <c r="H2" s="37"/>
      <c r="I2" s="37"/>
      <c r="J2" s="495"/>
    </row>
    <row r="3" spans="1:16" ht="24.95" customHeight="1">
      <c r="A3" s="418"/>
      <c r="B3" s="37"/>
      <c r="C3" s="37"/>
      <c r="D3" s="37"/>
      <c r="E3" s="220"/>
      <c r="F3" s="37"/>
      <c r="G3" s="37"/>
      <c r="H3" s="37"/>
      <c r="I3" s="37"/>
      <c r="J3" s="495"/>
    </row>
    <row r="4" spans="1:16" ht="14.1" customHeight="1">
      <c r="A4" s="496" t="s">
        <v>6295</v>
      </c>
      <c r="B4" s="497"/>
      <c r="C4" s="422" t="str">
        <f>+RESUMO!B5</f>
        <v>CONCLUSÃO DA CONSTRUÇÃO DO CENTRO DE ATENDIMENTO SÓCIO EDUCATIVO - CASE ITUMBIARA</v>
      </c>
      <c r="D4" s="427"/>
      <c r="E4" s="440"/>
      <c r="F4" s="438"/>
      <c r="G4" s="438"/>
      <c r="H4" s="438"/>
      <c r="I4" s="440"/>
      <c r="J4" s="441"/>
    </row>
    <row r="5" spans="1:16" ht="14.85" customHeight="1">
      <c r="A5" s="496" t="s">
        <v>6297</v>
      </c>
      <c r="B5" s="497"/>
      <c r="C5" s="422" t="str">
        <f>+RESUMO!B6</f>
        <v>SINAPI – NOVEMBRO/2020 (ONERADA)</v>
      </c>
      <c r="D5" s="427"/>
      <c r="E5" s="440"/>
      <c r="F5" s="438"/>
      <c r="G5" s="438"/>
      <c r="H5" s="438"/>
      <c r="I5" s="440"/>
      <c r="J5" s="441"/>
    </row>
    <row r="6" spans="1:16" ht="14.85" customHeight="1">
      <c r="A6" s="498" t="s">
        <v>5545</v>
      </c>
      <c r="B6" s="499"/>
      <c r="C6" s="422" t="str">
        <f>+RESUMO!B7</f>
        <v>MAIO / 2021</v>
      </c>
      <c r="D6" s="427"/>
      <c r="E6" s="440"/>
      <c r="F6" s="438"/>
      <c r="G6" s="438"/>
      <c r="H6" s="438"/>
      <c r="I6" s="440"/>
      <c r="J6" s="441"/>
    </row>
    <row r="7" spans="1:16" ht="14.85" customHeight="1">
      <c r="A7" s="498" t="s">
        <v>6298</v>
      </c>
      <c r="B7" s="497"/>
      <c r="C7" s="453">
        <v>2.02000036012687E+18</v>
      </c>
      <c r="D7" s="427"/>
      <c r="E7" s="440"/>
      <c r="F7" s="438"/>
      <c r="G7" s="438"/>
      <c r="H7" s="438"/>
      <c r="I7" s="440"/>
      <c r="J7" s="441"/>
    </row>
    <row r="8" spans="1:16" ht="14.85" customHeight="1">
      <c r="A8" s="498" t="s">
        <v>6299</v>
      </c>
      <c r="B8" s="497"/>
      <c r="C8" s="471" t="s">
        <v>6312</v>
      </c>
      <c r="D8" s="408"/>
      <c r="E8" s="445"/>
      <c r="F8" s="408"/>
      <c r="G8" s="408"/>
      <c r="H8" s="408"/>
      <c r="I8" s="408"/>
      <c r="J8" s="497"/>
    </row>
    <row r="9" spans="1:16" ht="14.85" customHeight="1">
      <c r="A9" s="498" t="s">
        <v>6300</v>
      </c>
      <c r="B9" s="497"/>
      <c r="C9" s="471" t="s">
        <v>6313</v>
      </c>
      <c r="D9" s="408"/>
      <c r="E9" s="445"/>
      <c r="F9" s="408"/>
      <c r="G9" s="408"/>
      <c r="H9" s="408"/>
      <c r="I9" s="408"/>
      <c r="J9" s="497"/>
    </row>
    <row r="10" spans="1:16" ht="14.85" customHeight="1">
      <c r="A10" s="37"/>
      <c r="B10" s="37"/>
      <c r="C10" s="37"/>
      <c r="D10" s="37"/>
      <c r="E10" s="220"/>
      <c r="F10" s="37"/>
      <c r="G10" s="37"/>
      <c r="H10" s="37"/>
      <c r="I10" s="37"/>
      <c r="J10" s="37"/>
    </row>
    <row r="11" spans="1:16" ht="24" customHeight="1">
      <c r="A11" s="47" t="s">
        <v>5551</v>
      </c>
      <c r="B11" s="48" t="s">
        <v>0</v>
      </c>
      <c r="C11" s="49" t="s">
        <v>6305</v>
      </c>
      <c r="D11" s="47" t="s">
        <v>6306</v>
      </c>
      <c r="E11" s="221" t="s">
        <v>6311</v>
      </c>
      <c r="F11" s="46" t="s">
        <v>6285</v>
      </c>
      <c r="G11" s="46" t="s">
        <v>586</v>
      </c>
      <c r="H11" s="46" t="s">
        <v>6286</v>
      </c>
      <c r="I11" s="46" t="s">
        <v>7100</v>
      </c>
      <c r="J11" s="46" t="s">
        <v>6309</v>
      </c>
    </row>
    <row r="12" spans="1:16">
      <c r="A12" s="266"/>
      <c r="B12" s="269"/>
      <c r="C12" s="358"/>
      <c r="D12" s="269"/>
      <c r="E12" s="359"/>
      <c r="F12" s="270"/>
      <c r="G12" s="270"/>
      <c r="H12" s="270"/>
      <c r="I12" s="270"/>
      <c r="J12" s="270"/>
    </row>
    <row r="13" spans="1:16" s="41" customFormat="1" ht="12">
      <c r="A13" s="251"/>
      <c r="B13" s="299">
        <v>164</v>
      </c>
      <c r="C13" s="360" t="s">
        <v>612</v>
      </c>
      <c r="D13" s="274"/>
      <c r="E13" s="279"/>
      <c r="F13" s="275"/>
      <c r="G13" s="275"/>
      <c r="H13" s="275"/>
      <c r="I13" s="275"/>
      <c r="J13" s="275"/>
    </row>
    <row r="14" spans="1:16" s="41" customFormat="1" ht="24">
      <c r="A14" s="251" t="s">
        <v>6307</v>
      </c>
      <c r="B14" s="277">
        <v>37</v>
      </c>
      <c r="C14" s="301" t="str">
        <f>(IF($A14="SINAPI",INDEX(SINAPI_NOV2020_NDES!$A$7:$H$6703,MATCH($B14,SINAPI_NOV2020_NDES!$A$7:$A$6703,0),2),IF($A14="GOINFRA",INDEX(#REF!,MATCH($B14,#REF!,0),2),(INDEX(COMPOS!$A$4:$G$390,MATCH($B14,COMPOS!$A$4:A$390,0),2)))))</f>
        <v>LOCAÇÃO DE PRAÇA, QUADRA, IMPLANTAÇÃO UTILIZANDO CAVALETE, INCLUSIVE PIQUET COM TESTEMUNHA</v>
      </c>
      <c r="D14" s="274" t="str">
        <f>(IF($A14="SINAPI",INDEX(SINAPI_NOV2020_NDES!$A$7:$H$6790,MATCH($B14,SINAPI_NOV2020_NDES!$A$7:$A$6790,0),3),(INDEX(COMPOS!$A$4:$G$5000,MATCH($B14,COMPOS!$A$4:$A$5000,0),3))))</f>
        <v>M2</v>
      </c>
      <c r="E14" s="280">
        <f>218.48+188.61+22.47+39.25+74.74+3.83</f>
        <v>547.38000000000011</v>
      </c>
      <c r="F14" s="279">
        <f>(IF($A14="SINAPI",INDEX(SINAPI_NOV2020_NDES!$A$7:$H$6703,MATCH($B14,SINAPI_NOV2020_NDES!$A$7:$A$6703,0),5),(INDEX(COMPOS!$A$4:$G$801,MATCH($B14,COMPOS!$A$4:A$801,0),4))))</f>
        <v>2.117407</v>
      </c>
      <c r="G14" s="280">
        <f>(IF($A14="SINAPI",INDEX(SINAPI_NOV2020_NDES!$A$7:$H$6703,MATCH($B14,SINAPI_NOV2020_NDES!$A$7:$A$6703,0),6),(INDEX(COMPOS!$A$4:$G$801,MATCH($B14,COMPOS!$A$4:A$801,0),5))))</f>
        <v>0.20551599999999998</v>
      </c>
      <c r="H14" s="280">
        <f>(IF($A14="SINAPI",INDEX(SINAPI_NOV2020_NDES!$A$7:$H$6703,MATCH($B14,SINAPI_NOV2020_NDES!$A$7:$A$6703,0),7),(INDEX(COMPOS!$A$4:$G$801,MATCH($B14,COMPOS!$A$4:A$801,0),6))))</f>
        <v>0</v>
      </c>
      <c r="I14" s="279">
        <f>SUM(F14:H14)</f>
        <v>2.3229229999999998</v>
      </c>
      <c r="J14" s="276">
        <f>+I14*E14</f>
        <v>1271.5215917400001</v>
      </c>
      <c r="O14" s="261"/>
    </row>
    <row r="15" spans="1:16" s="41" customFormat="1" ht="36">
      <c r="A15" s="251" t="s">
        <v>6307</v>
      </c>
      <c r="B15" s="277">
        <v>166</v>
      </c>
      <c r="C15" s="301" t="str">
        <f>(IF($A15="SINAPI",INDEX(SINAPI_NOV2020_NDES!$A$7:$H$6703,MATCH($B15,SINAPI_NOV2020_NDES!$A$7:$A$6703,0),2),IF($A15="GOINFRA",INDEX(#REF!,MATCH($B15,#REF!,0),2),(INDEX(COMPOS!$A$4:$G$390,MATCH($B15,COMPOS!$A$4:A$390,0),2)))))</f>
        <v>LOCAÇÃO DA OBRA, EXECUÇÃO DE GABARITO SEM REAPROVEITAMENTO, INCLUSO PINTURA (FACE INTERNA DO RIPÃO 15CM) E PIQUETE COM TESTEMUNHA</v>
      </c>
      <c r="D15" s="274" t="str">
        <f>(IF($A15="SINAPI",INDEX(SINAPI_NOV2020_NDES!$A$7:$H$6790,MATCH($B15,SINAPI_NOV2020_NDES!$A$7:$A$6790,0),3),(INDEX(COMPOS!$A$4:$G$5000,MATCH($B15,COMPOS!$A$4:$A$5000,0),3))))</f>
        <v>M2</v>
      </c>
      <c r="E15" s="280">
        <v>15.2</v>
      </c>
      <c r="F15" s="279">
        <f>(IF($A15="SINAPI",INDEX(SINAPI_NOV2020_NDES!$A$7:$H$6703,MATCH($B15,SINAPI_NOV2020_NDES!$A$7:$A$6703,0),5),(INDEX(COMPOS!$A$4:$G$801,MATCH($B15,COMPOS!$A$4:A$801,0),4))))</f>
        <v>1.6903229999999998</v>
      </c>
      <c r="G15" s="280">
        <f>(IF($A15="SINAPI",INDEX(SINAPI_NOV2020_NDES!$A$7:$H$6703,MATCH($B15,SINAPI_NOV2020_NDES!$A$7:$A$6703,0),6),(INDEX(COMPOS!$A$4:$G$801,MATCH($B15,COMPOS!$A$4:A$801,0),5))))</f>
        <v>2.6440060000000001</v>
      </c>
      <c r="H15" s="280">
        <f>(IF($A15="SINAPI",INDEX(SINAPI_NOV2020_NDES!$A$7:$H$6703,MATCH($B15,SINAPI_NOV2020_NDES!$A$7:$A$6703,0),7),(INDEX(COMPOS!$A$4:$G$801,MATCH($B15,COMPOS!$A$4:A$801,0),6))))</f>
        <v>0</v>
      </c>
      <c r="I15" s="279">
        <f>SUM(F15:H15)</f>
        <v>4.3343290000000003</v>
      </c>
      <c r="J15" s="276">
        <f>+I15*E15</f>
        <v>65.881800800000008</v>
      </c>
      <c r="O15" s="261"/>
    </row>
    <row r="16" spans="1:16" s="88" customFormat="1" ht="24" customHeight="1">
      <c r="A16" s="680" t="s">
        <v>6927</v>
      </c>
      <c r="B16" s="680"/>
      <c r="C16" s="680"/>
      <c r="D16" s="680"/>
      <c r="E16" s="680"/>
      <c r="F16" s="680"/>
      <c r="G16" s="680"/>
      <c r="H16" s="680"/>
      <c r="I16" s="680"/>
      <c r="J16" s="281">
        <f>SUM(J14:J15)</f>
        <v>1337.4033925400001</v>
      </c>
      <c r="K16" s="41"/>
      <c r="L16" s="41"/>
      <c r="M16" s="41"/>
      <c r="N16" s="41"/>
      <c r="O16" s="41"/>
      <c r="P16" s="41"/>
    </row>
    <row r="17" spans="1:16" s="41" customFormat="1" ht="12">
      <c r="A17" s="251"/>
      <c r="B17" s="299">
        <v>165</v>
      </c>
      <c r="C17" s="338" t="s">
        <v>611</v>
      </c>
      <c r="D17" s="274"/>
      <c r="E17" s="280"/>
      <c r="F17" s="275"/>
      <c r="G17" s="275"/>
      <c r="H17" s="275"/>
      <c r="I17" s="275"/>
      <c r="J17" s="275"/>
      <c r="O17" s="261"/>
    </row>
    <row r="18" spans="1:16" s="41" customFormat="1" ht="24">
      <c r="A18" s="251" t="s">
        <v>6307</v>
      </c>
      <c r="B18" s="277">
        <v>450</v>
      </c>
      <c r="C18" s="282" t="str">
        <f>(IF($A18="SINAPI",INDEX(SINAPI_NOV2020_NDES!$A$7:$H$6703,MATCH($B18,SINAPI_NOV2020_NDES!$A$7:$A$6703,0),2),IF($A18="GOINFRA",INDEX(#REF!,MATCH($B18,#REF!,0),2),(INDEX(COMPOS!$A$4:$G$3900,MATCH($B18,COMPOS!$A$4:A$3900,0),2)))))</f>
        <v>TRANSPORTE DE ENTULHO EM CAÇAMBA ESTACIONÁRIA INCLUSO A CARGA MANUAL</v>
      </c>
      <c r="D18" s="274" t="str">
        <f>(IF($A18="SINAPI",INDEX(SINAPI_NOV2020_NDES!$A$7:$H$6790,MATCH($B18,SINAPI_NOV2020_NDES!$A$7:$A$6790,0),3),(INDEX(COMPOS!$A$4:$G$5000,MATCH($B18,COMPOS!$A$4:$A$5000,0),3))))</f>
        <v>M3</v>
      </c>
      <c r="E18" s="280">
        <f>1582.91*0.07*0.5</f>
        <v>55.40185000000001</v>
      </c>
      <c r="F18" s="279">
        <f>(IF($A18="SINAPI",INDEX(SINAPI_NOV2020_NDES!$A$7:$H$6703,MATCH($B18,SINAPI_NOV2020_NDES!$A$7:$A$6703,0),5),(INDEX(COMPOS!$A$4:$G$801,MATCH($B18,COMPOS!$A$4:A$801,0),4))))</f>
        <v>10.879199999999999</v>
      </c>
      <c r="G18" s="280">
        <f>(IF($A18="SINAPI",INDEX(SINAPI_NOV2020_NDES!$A$7:$H$6703,MATCH($B18,SINAPI_NOV2020_NDES!$A$7:$A$6703,0),6),(INDEX(COMPOS!$A$4:$G$801,MATCH($B18,COMPOS!$A$4:A$801,0),5))))</f>
        <v>50.39</v>
      </c>
      <c r="H18" s="280">
        <f>(IF($A18="SINAPI",INDEX(SINAPI_NOV2020_NDES!$A$7:$H$6703,MATCH($B18,SINAPI_NOV2020_NDES!$A$7:$A$6703,0),7),(INDEX(COMPOS!$A$4:$G$801,MATCH($B18,COMPOS!$A$4:A$801,0),6))))</f>
        <v>0</v>
      </c>
      <c r="I18" s="279">
        <f>SUM(F18:H18)</f>
        <v>61.269199999999998</v>
      </c>
      <c r="J18" s="276">
        <f>+I18*E18</f>
        <v>3394.4270280200003</v>
      </c>
      <c r="O18" s="261"/>
    </row>
    <row r="19" spans="1:16" s="88" customFormat="1" ht="24" customHeight="1">
      <c r="A19" s="680" t="s">
        <v>6927</v>
      </c>
      <c r="B19" s="680"/>
      <c r="C19" s="680"/>
      <c r="D19" s="680"/>
      <c r="E19" s="680"/>
      <c r="F19" s="680"/>
      <c r="G19" s="680"/>
      <c r="H19" s="680"/>
      <c r="I19" s="680"/>
      <c r="J19" s="281">
        <f>SUM(J18)</f>
        <v>3394.4270280200003</v>
      </c>
      <c r="K19" s="41"/>
      <c r="L19" s="41"/>
      <c r="M19" s="41"/>
      <c r="N19" s="41"/>
      <c r="O19" s="41"/>
      <c r="P19" s="41"/>
    </row>
    <row r="20" spans="1:16" s="41" customFormat="1" ht="12">
      <c r="A20" s="251"/>
      <c r="B20" s="299">
        <v>166</v>
      </c>
      <c r="C20" s="338" t="s">
        <v>609</v>
      </c>
      <c r="D20" s="274"/>
      <c r="E20" s="280"/>
      <c r="F20" s="275"/>
      <c r="G20" s="275"/>
      <c r="H20" s="275"/>
      <c r="I20" s="275"/>
      <c r="J20" s="275"/>
      <c r="O20" s="261"/>
    </row>
    <row r="21" spans="1:16" s="41" customFormat="1" ht="24">
      <c r="A21" s="250" t="s">
        <v>6307</v>
      </c>
      <c r="B21" s="250">
        <v>305</v>
      </c>
      <c r="C21" s="301" t="str">
        <f>(IF($A21="SINAPI",INDEX(SINAPI_NOV2020_NDES!$A$7:$H$6703,MATCH($B21,SINAPI_NOV2020_NDES!$A$7:$A$6703,0),2),IF($A21="GOINFRA",INDEX(#REF!,MATCH($B21,#REF!,0),2),(INDEX(COMPOS!$A$4:$G$390,MATCH($B21,COMPOS!$A$4:A$390,0),2)))))</f>
        <v>REGULARIZAÇÃO DO TERRENO SEM APILOAMENTO COM TRANSPORTE MANUAL DE TERRA ESCAVADA</v>
      </c>
      <c r="D21" s="274" t="str">
        <f>(IF($A21="SINAPI",INDEX(SINAPI_NOV2020_NDES!$A$7:$H$6790,MATCH($B21,SINAPI_NOV2020_NDES!$A$7:$A$6790,0),3),(INDEX(COMPOS!$A$4:$G$5000,MATCH($B21,COMPOS!$A$4:$A$5000,0),3))))</f>
        <v>M2</v>
      </c>
      <c r="E21" s="361">
        <f>114.16+10.79+3.75+14.66+276.725+249.381</f>
        <v>669.46600000000001</v>
      </c>
      <c r="F21" s="279">
        <f>(IF($A21="SINAPI",INDEX(SINAPI_NOV2020_NDES!$A$7:$H$6703,MATCH($B21,SINAPI_NOV2020_NDES!$A$7:$A$6703,0),5),(INDEX(COMPOS!$A$4:$G$801,MATCH($B21,COMPOS!$A$4:A$801,0),4))))</f>
        <v>2.842123</v>
      </c>
      <c r="G21" s="280">
        <f>(IF($A21="SINAPI",INDEX(SINAPI_NOV2020_NDES!$A$7:$H$6703,MATCH($B21,SINAPI_NOV2020_NDES!$A$7:$A$6703,0),6),(INDEX(COMPOS!$A$4:$G$801,MATCH($B21,COMPOS!$A$4:A$801,0),5))))</f>
        <v>0</v>
      </c>
      <c r="H21" s="280">
        <f>(IF($A21="SINAPI",INDEX(SINAPI_NOV2020_NDES!$A$7:$H$6703,MATCH($B21,SINAPI_NOV2020_NDES!$A$7:$A$6703,0),7),(INDEX(COMPOS!$A$4:$G$801,MATCH($B21,COMPOS!$A$4:A$801,0),6))))</f>
        <v>0</v>
      </c>
      <c r="I21" s="279">
        <f>SUM(F21:H21)</f>
        <v>2.842123</v>
      </c>
      <c r="J21" s="276">
        <f>+I21*E21</f>
        <v>1902.704716318</v>
      </c>
      <c r="O21" s="261"/>
    </row>
    <row r="22" spans="1:16" s="41" customFormat="1" ht="12">
      <c r="A22" s="250" t="s">
        <v>6307</v>
      </c>
      <c r="B22" s="250">
        <v>302</v>
      </c>
      <c r="C22" s="301" t="str">
        <f>(IF($A22="SINAPI",INDEX(SINAPI_NOV2020_NDES!$A$7:$H$6703,MATCH($B22,SINAPI_NOV2020_NDES!$A$7:$A$6703,0),2),IF($A22="GOINFRA",INDEX(#REF!,MATCH($B22,#REF!,0),2),(INDEX(COMPOS!$A$4:$G$390,MATCH($B22,COMPOS!$A$4:A$390,0),2)))))</f>
        <v>APILOAMENTO</v>
      </c>
      <c r="D22" s="274" t="str">
        <f>(IF($A22="SINAPI",INDEX(SINAPI_NOV2020_NDES!$A$7:$H$6790,MATCH($B22,SINAPI_NOV2020_NDES!$A$7:$A$6790,0),3),(INDEX(COMPOS!$A$4:$G$5000,MATCH($B22,COMPOS!$A$4:$A$5000,0),3))))</f>
        <v>M2</v>
      </c>
      <c r="E22" s="361">
        <f>114.16+10.79+3.75+14.66+276.725+249.381</f>
        <v>669.46600000000001</v>
      </c>
      <c r="F22" s="279">
        <f>(IF($A22="SINAPI",INDEX(SINAPI_NOV2020_NDES!$A$7:$H$6703,MATCH($B22,SINAPI_NOV2020_NDES!$A$7:$A$6703,0),5),(INDEX(COMPOS!$A$4:$G$801,MATCH($B22,COMPOS!$A$4:A$801,0),4))))</f>
        <v>6.0440000000000005</v>
      </c>
      <c r="G22" s="280">
        <f>(IF($A22="SINAPI",INDEX(SINAPI_NOV2020_NDES!$A$7:$H$6703,MATCH($B22,SINAPI_NOV2020_NDES!$A$7:$A$6703,0),6),(INDEX(COMPOS!$A$4:$G$801,MATCH($B22,COMPOS!$A$4:A$801,0),5))))</f>
        <v>0</v>
      </c>
      <c r="H22" s="280">
        <f>(IF($A22="SINAPI",INDEX(SINAPI_NOV2020_NDES!$A$7:$H$6703,MATCH($B22,SINAPI_NOV2020_NDES!$A$7:$A$6703,0),7),(INDEX(COMPOS!$A$4:$G$801,MATCH($B22,COMPOS!$A$4:A$801,0),6))))</f>
        <v>0</v>
      </c>
      <c r="I22" s="279">
        <f>SUM(F22:H22)</f>
        <v>6.0440000000000005</v>
      </c>
      <c r="J22" s="276">
        <f>+I22*E22</f>
        <v>4046.2525040000005</v>
      </c>
      <c r="O22" s="261"/>
    </row>
    <row r="23" spans="1:16" s="41" customFormat="1" ht="24">
      <c r="A23" s="250" t="s">
        <v>7</v>
      </c>
      <c r="B23" s="250">
        <v>93358</v>
      </c>
      <c r="C23" s="301" t="str">
        <f>(IF($A23="SINAPI",INDEX(SINAPI_NOV2020_NDES!$A$7:$H$6703,MATCH($B23,SINAPI_NOV2020_NDES!$A$7:$A$6703,0),2),IF($A23="GOINFRA",INDEX(#REF!,MATCH($B23,#REF!,0),2),(INDEX(COMPOS!$A$4:$G$390,MATCH($B23,COMPOS!$A$4:A$390,0),2)))))</f>
        <v>ESCAVAÇÃO MANUAL DE VALA COM PROFUNDIDADE MENOR OU IGUAL A 1,30 M. AF_03/2016</v>
      </c>
      <c r="D23" s="274" t="str">
        <f>(IF($A23="SINAPI",INDEX(SINAPI_NOV2020_NDES!$A$7:$H$6790,MATCH($B23,SINAPI_NOV2020_NDES!$A$7:$A$6790,0),3),(INDEX(COMPOS!$A$4:$G$5000,MATCH($B23,COMPOS!$A$4:$A$5000,0),3))))</f>
        <v>M3</v>
      </c>
      <c r="E23" s="361">
        <v>4.01</v>
      </c>
      <c r="F23" s="279">
        <f>(IF($A23="SINAPI",INDEX(SINAPI_NOV2020_NDES!$A$7:$H$6703,MATCH($B23,SINAPI_NOV2020_NDES!$A$7:$A$6703,0),5),(INDEX(COMPOS!$A$4:$G$801,MATCH($B23,COMPOS!$A$4:A$801,0),4))))</f>
        <v>42.11</v>
      </c>
      <c r="G23" s="280">
        <f>(IF($A23="SINAPI",INDEX(SINAPI_NOV2020_NDES!$A$7:$H$6703,MATCH($B23,SINAPI_NOV2020_NDES!$A$7:$A$6703,0),6),(INDEX(COMPOS!$A$4:$G$801,MATCH($B23,COMPOS!$A$4:A$801,0),5))))</f>
        <v>17.66</v>
      </c>
      <c r="H23" s="280">
        <f>(IF($A23="SINAPI",INDEX(SINAPI_NOV2020_NDES!$A$7:$H$6703,MATCH($B23,SINAPI_NOV2020_NDES!$A$7:$A$6703,0),7),(INDEX(COMPOS!$A$4:$G$801,MATCH($B23,COMPOS!$A$4:A$801,0),6))))</f>
        <v>0</v>
      </c>
      <c r="I23" s="279">
        <f t="shared" ref="I23:I24" si="0">SUM(F23:H23)</f>
        <v>59.769999999999996</v>
      </c>
      <c r="J23" s="276">
        <f t="shared" ref="J23:J24" si="1">+I23*E23</f>
        <v>239.67769999999996</v>
      </c>
      <c r="O23" s="261"/>
    </row>
    <row r="24" spans="1:16" s="41" customFormat="1" ht="12">
      <c r="A24" s="250" t="s">
        <v>7</v>
      </c>
      <c r="B24" s="250">
        <v>96995</v>
      </c>
      <c r="C24" s="301" t="str">
        <f>(IF($A24="SINAPI",INDEX(SINAPI_NOV2020_NDES!$A$7:$H$6703,MATCH($B24,SINAPI_NOV2020_NDES!$A$7:$A$6703,0),2),IF($A24="GOINFRA",INDEX(#REF!,MATCH($B24,#REF!,0),2),(INDEX(COMPOS!$A$4:$G$390,MATCH($B24,COMPOS!$A$4:A$390,0),2)))))</f>
        <v>REATERRO MANUAL APILOADO COM SOQUETE. AF_10/2017</v>
      </c>
      <c r="D24" s="274" t="str">
        <f>(IF($A24="SINAPI",INDEX(SINAPI_NOV2020_NDES!$A$7:$H$6790,MATCH($B24,SINAPI_NOV2020_NDES!$A$7:$A$6790,0),3),(INDEX(COMPOS!$A$4:$G$5000,MATCH($B24,COMPOS!$A$4:$A$5000,0),3))))</f>
        <v>M3</v>
      </c>
      <c r="E24" s="361">
        <v>1.52</v>
      </c>
      <c r="F24" s="279">
        <f>(IF($A24="SINAPI",INDEX(SINAPI_NOV2020_NDES!$A$7:$H$6703,MATCH($B24,SINAPI_NOV2020_NDES!$A$7:$A$6703,0),5),(INDEX(COMPOS!$A$4:$G$801,MATCH($B24,COMPOS!$A$4:A$801,0),4))))</f>
        <v>25.54</v>
      </c>
      <c r="G24" s="280">
        <f>(IF($A24="SINAPI",INDEX(SINAPI_NOV2020_NDES!$A$7:$H$6703,MATCH($B24,SINAPI_NOV2020_NDES!$A$7:$A$6703,0),6),(INDEX(COMPOS!$A$4:$G$801,MATCH($B24,COMPOS!$A$4:A$801,0),5))))</f>
        <v>10.7</v>
      </c>
      <c r="H24" s="280">
        <f>(IF($A24="SINAPI",INDEX(SINAPI_NOV2020_NDES!$A$7:$H$6703,MATCH($B24,SINAPI_NOV2020_NDES!$A$7:$A$6703,0),7),(INDEX(COMPOS!$A$4:$G$801,MATCH($B24,COMPOS!$A$4:A$801,0),6))))</f>
        <v>0</v>
      </c>
      <c r="I24" s="279">
        <f t="shared" si="0"/>
        <v>36.239999999999995</v>
      </c>
      <c r="J24" s="276">
        <f t="shared" si="1"/>
        <v>55.084799999999994</v>
      </c>
      <c r="O24" s="261"/>
    </row>
    <row r="25" spans="1:16" s="41" customFormat="1" ht="12">
      <c r="A25" s="250" t="s">
        <v>6307</v>
      </c>
      <c r="B25" s="250">
        <v>303</v>
      </c>
      <c r="C25" s="301" t="str">
        <f>(IF($A25="SINAPI",INDEX(SINAPI_NOV2020_NDES!$A$7:$H$6703,MATCH($B25,SINAPI_NOV2020_NDES!$A$7:$A$6703,0),2),IF($A25="GOINFRA",INDEX(#REF!,MATCH($B25,#REF!,0),2),(INDEX(COMPOS!$A$4:$G$390,MATCH($B25,COMPOS!$A$4:A$390,0),2)))))</f>
        <v>ATERRO INTERNO SEM APILOAMENTO</v>
      </c>
      <c r="D25" s="274" t="str">
        <f>(IF($A25="SINAPI",INDEX(SINAPI_NOV2020_NDES!$A$7:$H$6790,MATCH($B25,SINAPI_NOV2020_NDES!$A$7:$A$6790,0),3),(INDEX(COMPOS!$A$4:$G$5000,MATCH($B25,COMPOS!$A$4:$A$5000,0),3))))</f>
        <v>M3</v>
      </c>
      <c r="E25" s="361">
        <v>3.28</v>
      </c>
      <c r="F25" s="279">
        <f>(IF($A25="SINAPI",INDEX(SINAPI_NOV2020_NDES!$A$7:$H$6703,MATCH($B25,SINAPI_NOV2020_NDES!$A$7:$A$6703,0),5),(INDEX(COMPOS!$A$4:$G$801,MATCH($B25,COMPOS!$A$4:A$801,0),4))))</f>
        <v>30.22</v>
      </c>
      <c r="G25" s="280">
        <f>(IF($A25="SINAPI",INDEX(SINAPI_NOV2020_NDES!$A$7:$H$6703,MATCH($B25,SINAPI_NOV2020_NDES!$A$7:$A$6703,0),6),(INDEX(COMPOS!$A$4:$G$801,MATCH($B25,COMPOS!$A$4:A$801,0),5))))</f>
        <v>0</v>
      </c>
      <c r="H25" s="280">
        <f>(IF($A25="SINAPI",INDEX(SINAPI_NOV2020_NDES!$A$7:$H$6703,MATCH($B25,SINAPI_NOV2020_NDES!$A$7:$A$6703,0),7),(INDEX(COMPOS!$A$4:$G$801,MATCH($B25,COMPOS!$A$4:A$801,0),6))))</f>
        <v>0</v>
      </c>
      <c r="I25" s="279">
        <f>SUM(F25:H25)</f>
        <v>30.22</v>
      </c>
      <c r="J25" s="276">
        <f>+I25*E25</f>
        <v>99.121599999999987</v>
      </c>
      <c r="O25" s="261"/>
    </row>
    <row r="26" spans="1:16" s="88" customFormat="1" ht="24" customHeight="1">
      <c r="A26" s="680" t="s">
        <v>6927</v>
      </c>
      <c r="B26" s="680"/>
      <c r="C26" s="680"/>
      <c r="D26" s="680"/>
      <c r="E26" s="680"/>
      <c r="F26" s="680"/>
      <c r="G26" s="680"/>
      <c r="H26" s="680"/>
      <c r="I26" s="680"/>
      <c r="J26" s="281">
        <f>SUM(J21:J25)</f>
        <v>6342.8413203180007</v>
      </c>
      <c r="K26" s="41"/>
      <c r="L26" s="41"/>
      <c r="M26" s="41"/>
      <c r="N26" s="41"/>
      <c r="O26" s="41"/>
      <c r="P26" s="41"/>
    </row>
    <row r="27" spans="1:16" s="41" customFormat="1" ht="12">
      <c r="A27" s="251"/>
      <c r="B27" s="299">
        <v>167</v>
      </c>
      <c r="C27" s="338" t="s">
        <v>608</v>
      </c>
      <c r="D27" s="274"/>
      <c r="E27" s="279"/>
      <c r="F27" s="275"/>
      <c r="G27" s="275"/>
      <c r="H27" s="275"/>
      <c r="I27" s="275"/>
      <c r="J27" s="275"/>
    </row>
    <row r="28" spans="1:16" s="41" customFormat="1" ht="12">
      <c r="A28" s="250" t="s">
        <v>6307</v>
      </c>
      <c r="B28" s="250">
        <v>368</v>
      </c>
      <c r="C28" s="301" t="str">
        <f>(IF($A28="SINAPI",INDEX(SINAPI_NOV2020_NDES!$A$7:$H$6703,MATCH($B28,SINAPI_NOV2020_NDES!$A$7:$A$6703,0),2),IF($A28="GOINFRA",INDEX(#REF!,MATCH($B28,#REF!,0),2),(INDEX(COMPOS!$A$4:$G$390,MATCH($B28,COMPOS!$A$4:A$390,0),2)))))</f>
        <v>ESTACA A TRADO DIAM. 30CM S/ FERRO</v>
      </c>
      <c r="D28" s="274" t="str">
        <f>(IF($A28="SINAPI",INDEX(SINAPI_NOV2020_NDES!$A$7:$H$6790,MATCH($B28,SINAPI_NOV2020_NDES!$A$7:$A$6790,0),3),(INDEX(COMPOS!$A$4:$G$5000,MATCH($B28,COMPOS!$A$4:$A$5000,0),3))))</f>
        <v>M</v>
      </c>
      <c r="E28" s="280">
        <v>19</v>
      </c>
      <c r="F28" s="279">
        <f>(IF($A28="SINAPI",INDEX(SINAPI_NOV2020_NDES!$A$7:$H$6703,MATCH($B28,SINAPI_NOV2020_NDES!$A$7:$A$6703,0),5),(INDEX(COMPOS!$A$4:$G$801,MATCH($B28,COMPOS!$A$4:A$801,0),4))))</f>
        <v>42.231442000000001</v>
      </c>
      <c r="G28" s="280">
        <f>(IF($A28="SINAPI",INDEX(SINAPI_NOV2020_NDES!$A$7:$H$6703,MATCH($B28,SINAPI_NOV2020_NDES!$A$7:$A$6703,0),6),(INDEX(COMPOS!$A$4:$G$801,MATCH($B28,COMPOS!$A$4:A$801,0),5))))</f>
        <v>22.158317999999998</v>
      </c>
      <c r="H28" s="280">
        <f>(IF($A28="SINAPI",INDEX(SINAPI_NOV2020_NDES!$A$7:$H$6703,MATCH($B28,SINAPI_NOV2020_NDES!$A$7:$A$6703,0),7),(INDEX(COMPOS!$A$4:$G$801,MATCH($B28,COMPOS!$A$4:A$801,0),6))))</f>
        <v>0</v>
      </c>
      <c r="I28" s="279">
        <f>SUM(F28:H28)</f>
        <v>64.389759999999995</v>
      </c>
      <c r="J28" s="276">
        <f>+I28*E28</f>
        <v>1223.40544</v>
      </c>
      <c r="O28" s="261"/>
    </row>
    <row r="29" spans="1:16" s="41" customFormat="1" ht="36">
      <c r="A29" s="251" t="s">
        <v>7</v>
      </c>
      <c r="B29" s="289">
        <v>92777</v>
      </c>
      <c r="C29" s="301" t="str">
        <f>(IF($A29="SINAPI",INDEX(SINAPI_NOV2020_NDES!$A$7:$H$6703,MATCH($B29,SINAPI_NOV2020_NDES!$A$7:$A$6703,0),2),IF($A29="GOINFRA",INDEX(#REF!,MATCH($B29,#REF!,0),2),(INDEX(COMPOS!$A$4:$G$390,MATCH($B29,COMPOS!$A$4:A$390,0),2)))))</f>
        <v>ARMAÇÃO DE PILAR OU VIGA DE UMA ESTRUTURA CONVENCIONAL DE CONCRETO ARMADO EM UMA EDIFICAÇÃO TÉRREA OU SOBRADO UTILIZANDO AÇO CA-50 DE 8,0 MM - MONTAGEM. AF_12/2015</v>
      </c>
      <c r="D29" s="274" t="str">
        <f>(IF($A29="SINAPI",INDEX(SINAPI_NOV2020_NDES!$A$7:$H$6790,MATCH($B29,SINAPI_NOV2020_NDES!$A$7:$A$6790,0),3),(INDEX(COMPOS!$A$4:$G$5000,MATCH($B29,COMPOS!$A$4:$A$5000,0),3))))</f>
        <v>KG</v>
      </c>
      <c r="E29" s="280">
        <v>4.3899999999999997</v>
      </c>
      <c r="F29" s="279">
        <f>(IF($A29="SINAPI",INDEX(SINAPI_NOV2020_NDES!$A$7:$H$6703,MATCH($B29,SINAPI_NOV2020_NDES!$A$7:$A$6703,0),5),(INDEX(COMPOS!$A$4:$G$801,MATCH($B29,COMPOS!$A$4:A$801,0),4))))</f>
        <v>2.82</v>
      </c>
      <c r="G29" s="280">
        <f>(IF($A29="SINAPI",INDEX(SINAPI_NOV2020_NDES!$A$7:$H$6703,MATCH($B29,SINAPI_NOV2020_NDES!$A$7:$A$6703,0),6),(INDEX(COMPOS!$A$4:$G$801,MATCH($B29,COMPOS!$A$4:A$801,0),5))))</f>
        <v>8.99</v>
      </c>
      <c r="H29" s="280">
        <f>(IF($A29="SINAPI",INDEX(SINAPI_NOV2020_NDES!$A$7:$H$6703,MATCH($B29,SINAPI_NOV2020_NDES!$A$7:$A$6703,0),7),(INDEX(COMPOS!$A$4:$G$801,MATCH($B29,COMPOS!$A$4:A$801,0),6))))</f>
        <v>0</v>
      </c>
      <c r="I29" s="279">
        <f t="shared" ref="I29:I30" si="2">SUM(F29:H29)</f>
        <v>11.81</v>
      </c>
      <c r="J29" s="276">
        <f t="shared" ref="J29:J30" si="3">+I29*E29</f>
        <v>51.8459</v>
      </c>
      <c r="O29" s="261"/>
    </row>
    <row r="30" spans="1:16" s="41" customFormat="1" ht="36">
      <c r="A30" s="251" t="s">
        <v>7</v>
      </c>
      <c r="B30" s="289">
        <v>92775</v>
      </c>
      <c r="C30" s="301" t="str">
        <f>(IF($A30="SINAPI",INDEX(SINAPI_NOV2020_NDES!$A$7:$H$6703,MATCH($B30,SINAPI_NOV2020_NDES!$A$7:$A$6703,0),2),IF($A30="GOINFRA",INDEX(#REF!,MATCH($B30,#REF!,0),2),(INDEX(COMPOS!$A$4:$G$390,MATCH($B30,COMPOS!$A$4:A$390,0),2)))))</f>
        <v>ARMAÇÃO DE PILAR OU VIGA DE UMA ESTRUTURA CONVENCIONAL DE CONCRETO ARMADO EM UMA EDIFICAÇÃO TÉRREA OU SOBRADO UTILIZANDO AÇO CA-60 DE 5,0 MM - MONTAGEM. AF_12/2015</v>
      </c>
      <c r="D30" s="274" t="str">
        <f>(IF($A30="SINAPI",INDEX(SINAPI_NOV2020_NDES!$A$7:$H$6790,MATCH($B30,SINAPI_NOV2020_NDES!$A$7:$A$6790,0),3),(INDEX(COMPOS!$A$4:$G$5000,MATCH($B30,COMPOS!$A$4:$A$5000,0),3))))</f>
        <v>KG</v>
      </c>
      <c r="E30" s="280">
        <v>11.35</v>
      </c>
      <c r="F30" s="279">
        <f>(IF($A30="SINAPI",INDEX(SINAPI_NOV2020_NDES!$A$7:$H$6703,MATCH($B30,SINAPI_NOV2020_NDES!$A$7:$A$6703,0),5),(INDEX(COMPOS!$A$4:$G$801,MATCH($B30,COMPOS!$A$4:A$801,0),4))))</f>
        <v>5.68</v>
      </c>
      <c r="G30" s="280">
        <f>(IF($A30="SINAPI",INDEX(SINAPI_NOV2020_NDES!$A$7:$H$6703,MATCH($B30,SINAPI_NOV2020_NDES!$A$7:$A$6703,0),6),(INDEX(COMPOS!$A$4:$G$801,MATCH($B30,COMPOS!$A$4:A$801,0),5))))</f>
        <v>8.75</v>
      </c>
      <c r="H30" s="280">
        <f>(IF($A30="SINAPI",INDEX(SINAPI_NOV2020_NDES!$A$7:$H$6703,MATCH($B30,SINAPI_NOV2020_NDES!$A$7:$A$6703,0),7),(INDEX(COMPOS!$A$4:$G$801,MATCH($B30,COMPOS!$A$4:A$801,0),6))))</f>
        <v>0</v>
      </c>
      <c r="I30" s="279">
        <f t="shared" si="2"/>
        <v>14.43</v>
      </c>
      <c r="J30" s="276">
        <f t="shared" si="3"/>
        <v>163.78049999999999</v>
      </c>
      <c r="O30" s="261"/>
    </row>
    <row r="31" spans="1:16" s="88" customFormat="1" ht="24" customHeight="1">
      <c r="A31" s="680" t="s">
        <v>6927</v>
      </c>
      <c r="B31" s="680"/>
      <c r="C31" s="680"/>
      <c r="D31" s="680"/>
      <c r="E31" s="680"/>
      <c r="F31" s="680"/>
      <c r="G31" s="680"/>
      <c r="H31" s="680"/>
      <c r="I31" s="680"/>
      <c r="J31" s="281">
        <f>SUM(J28:J30)</f>
        <v>1439.0318400000001</v>
      </c>
      <c r="K31" s="41"/>
      <c r="L31" s="41"/>
      <c r="M31" s="41"/>
      <c r="N31" s="41"/>
      <c r="O31" s="41"/>
      <c r="P31" s="41"/>
    </row>
    <row r="32" spans="1:16" s="41" customFormat="1" ht="12">
      <c r="A32" s="251"/>
      <c r="B32" s="299">
        <v>168</v>
      </c>
      <c r="C32" s="338" t="s">
        <v>607</v>
      </c>
      <c r="D32" s="274"/>
      <c r="E32" s="279"/>
      <c r="F32" s="275"/>
      <c r="G32" s="275"/>
      <c r="H32" s="275"/>
      <c r="I32" s="275"/>
      <c r="J32" s="275"/>
    </row>
    <row r="33" spans="1:16" s="41" customFormat="1" ht="12">
      <c r="A33" s="251" t="s">
        <v>6307</v>
      </c>
      <c r="B33" s="289">
        <v>307</v>
      </c>
      <c r="C33" s="301" t="str">
        <f>(IF($A33="SINAPI",INDEX(SINAPI_NOV2020_NDES!$A$7:$H$6703,MATCH($B33,SINAPI_NOV2020_NDES!$A$7:$A$6703,0),2),IF($A33="GOINFRA",INDEX(#REF!,MATCH($B33,#REF!,0),2),(INDEX(COMPOS!$A$4:$G$390,MATCH($B33,COMPOS!$A$4:A$390,0),2)))))</f>
        <v>FORMA CHAPA COMPENSADA 12MM – VIGA/PILAR U=3X (OBRAS CIVIS)</v>
      </c>
      <c r="D33" s="274" t="str">
        <f>(IF($A33="SINAPI",INDEX(SINAPI_NOV2020_NDES!$A$7:$H$6790,MATCH($B33,SINAPI_NOV2020_NDES!$A$7:$A$6790,0),3),(INDEX(COMPOS!$A$4:$G$5000,MATCH($B33,COMPOS!$A$4:$A$5000,0),3))))</f>
        <v>M2</v>
      </c>
      <c r="E33" s="280">
        <v>36.67</v>
      </c>
      <c r="F33" s="279">
        <f>(IF($A33="SINAPI",INDEX(SINAPI_NOV2020_NDES!$A$7:$H$6703,MATCH($B33,SINAPI_NOV2020_NDES!$A$7:$A$6703,0),5),(INDEX(COMPOS!$A$4:$G$801,MATCH($B33,COMPOS!$A$4:A$801,0),4))))</f>
        <v>49.396500000000003</v>
      </c>
      <c r="G33" s="280">
        <f>(IF($A33="SINAPI",INDEX(SINAPI_NOV2020_NDES!$A$7:$H$6703,MATCH($B33,SINAPI_NOV2020_NDES!$A$7:$A$6703,0),6),(INDEX(COMPOS!$A$4:$G$801,MATCH($B33,COMPOS!$A$4:A$801,0),5))))</f>
        <v>30.385095041322312</v>
      </c>
      <c r="H33" s="280">
        <f>(IF($A33="SINAPI",INDEX(SINAPI_NOV2020_NDES!$A$7:$H$6703,MATCH($B33,SINAPI_NOV2020_NDES!$A$7:$A$6703,0),7),(INDEX(COMPOS!$A$4:$G$801,MATCH($B33,COMPOS!$A$4:A$801,0),6))))</f>
        <v>0</v>
      </c>
      <c r="I33" s="279">
        <f>SUM(F33:H33)</f>
        <v>79.781595041322319</v>
      </c>
      <c r="J33" s="276">
        <f>+I33*E33</f>
        <v>2925.5910901652896</v>
      </c>
      <c r="O33" s="261"/>
    </row>
    <row r="34" spans="1:16" s="41" customFormat="1" ht="12">
      <c r="A34" s="251" t="s">
        <v>6307</v>
      </c>
      <c r="B34" s="289">
        <v>790</v>
      </c>
      <c r="C34" s="301" t="str">
        <f>(IF($A34="SINAPI",INDEX(SINAPI_NOV2020_NDES!$A$7:$H$6703,MATCH($B34,SINAPI_NOV2020_NDES!$A$7:$A$6703,0),2),IF($A34="GOINFRA",INDEX(#REF!,MATCH($B34,#REF!,0),2),(INDEX(COMPOS!$A$4:$G$390,MATCH($B34,COMPOS!$A$4:A$390,0),2)))))</f>
        <v>AÇO CA-60B - 4,2 MM - (OBRAS CIVIS)</v>
      </c>
      <c r="D34" s="274" t="str">
        <f>(IF($A34="SINAPI",INDEX(SINAPI_NOV2020_NDES!$A$7:$H$6790,MATCH($B34,SINAPI_NOV2020_NDES!$A$7:$A$6790,0),3),(INDEX(COMPOS!$A$4:$G$5000,MATCH($B34,COMPOS!$A$4:$A$5000,0),3))))</f>
        <v>KG</v>
      </c>
      <c r="E34" s="280">
        <v>18</v>
      </c>
      <c r="F34" s="279">
        <f>(IF($A34="SINAPI",INDEX(SINAPI_NOV2020_NDES!$A$7:$H$6703,MATCH($B34,SINAPI_NOV2020_NDES!$A$7:$A$6703,0),5),(INDEX(COMPOS!$A$4:$G$801,MATCH($B34,COMPOS!$A$4:A$801,0),4))))</f>
        <v>2.7629000000000001</v>
      </c>
      <c r="G34" s="280">
        <f>(IF($A34="SINAPI",INDEX(SINAPI_NOV2020_NDES!$A$7:$H$6703,MATCH($B34,SINAPI_NOV2020_NDES!$A$7:$A$6703,0),6),(INDEX(COMPOS!$A$4:$G$801,MATCH($B34,COMPOS!$A$4:A$801,0),5))))</f>
        <v>7.120000000000001</v>
      </c>
      <c r="H34" s="280">
        <f>(IF($A34="SINAPI",INDEX(SINAPI_NOV2020_NDES!$A$7:$H$6703,MATCH($B34,SINAPI_NOV2020_NDES!$A$7:$A$6703,0),7),(INDEX(COMPOS!$A$4:$G$801,MATCH($B34,COMPOS!$A$4:A$801,0),6))))</f>
        <v>0</v>
      </c>
      <c r="I34" s="279">
        <f>SUM(F34:H34)</f>
        <v>9.8829000000000011</v>
      </c>
      <c r="J34" s="276">
        <f>+I34*E34</f>
        <v>177.89220000000003</v>
      </c>
      <c r="O34" s="261"/>
    </row>
    <row r="35" spans="1:16" s="41" customFormat="1" ht="36">
      <c r="A35" s="251" t="s">
        <v>7</v>
      </c>
      <c r="B35" s="289">
        <v>92775</v>
      </c>
      <c r="C35" s="301" t="str">
        <f>(IF($A35="SINAPI",INDEX(SINAPI_NOV2020_NDES!$A$7:$H$6703,MATCH($B35,SINAPI_NOV2020_NDES!$A$7:$A$6703,0),2),IF($A35="GOINFRA",INDEX(#REF!,MATCH($B35,#REF!,0),2),(INDEX(COMPOS!$A$4:$G$390,MATCH($B35,COMPOS!$A$4:A$390,0),2)))))</f>
        <v>ARMAÇÃO DE PILAR OU VIGA DE UMA ESTRUTURA CONVENCIONAL DE CONCRETO ARMADO EM UMA EDIFICAÇÃO TÉRREA OU SOBRADO UTILIZANDO AÇO CA-60 DE 5,0 MM - MONTAGEM. AF_12/2015</v>
      </c>
      <c r="D35" s="274" t="str">
        <f>(IF($A35="SINAPI",INDEX(SINAPI_NOV2020_NDES!$A$7:$H$6790,MATCH($B35,SINAPI_NOV2020_NDES!$A$7:$A$6790,0),3),(INDEX(COMPOS!$A$4:$G$5000,MATCH($B35,COMPOS!$A$4:$A$5000,0),3))))</f>
        <v>KG</v>
      </c>
      <c r="E35" s="280">
        <v>25.61</v>
      </c>
      <c r="F35" s="279">
        <f>(IF($A35="SINAPI",INDEX(SINAPI_NOV2020_NDES!$A$7:$H$6703,MATCH($B35,SINAPI_NOV2020_NDES!$A$7:$A$6703,0),5),(INDEX(COMPOS!$A$4:$G$801,MATCH($B35,COMPOS!$A$4:A$801,0),4))))</f>
        <v>5.68</v>
      </c>
      <c r="G35" s="280">
        <f>(IF($A35="SINAPI",INDEX(SINAPI_NOV2020_NDES!$A$7:$H$6703,MATCH($B35,SINAPI_NOV2020_NDES!$A$7:$A$6703,0),6),(INDEX(COMPOS!$A$4:$G$801,MATCH($B35,COMPOS!$A$4:A$801,0),5))))</f>
        <v>8.75</v>
      </c>
      <c r="H35" s="280">
        <f>(IF($A35="SINAPI",INDEX(SINAPI_NOV2020_NDES!$A$7:$H$6703,MATCH($B35,SINAPI_NOV2020_NDES!$A$7:$A$6703,0),7),(INDEX(COMPOS!$A$4:$G$801,MATCH($B35,COMPOS!$A$4:A$801,0),6))))</f>
        <v>0</v>
      </c>
      <c r="I35" s="279">
        <f t="shared" ref="I35:I41" si="4">SUM(F35:H35)</f>
        <v>14.43</v>
      </c>
      <c r="J35" s="276">
        <f t="shared" ref="J35:J41" si="5">+I35*E35</f>
        <v>369.5523</v>
      </c>
      <c r="O35" s="261"/>
    </row>
    <row r="36" spans="1:16" s="41" customFormat="1" ht="36">
      <c r="A36" s="251" t="s">
        <v>7</v>
      </c>
      <c r="B36" s="289">
        <v>92776</v>
      </c>
      <c r="C36" s="301" t="str">
        <f>(IF($A36="SINAPI",INDEX(SINAPI_NOV2020_NDES!$A$7:$H$6703,MATCH($B36,SINAPI_NOV2020_NDES!$A$7:$A$6703,0),2),IF($A36="GOINFRA",INDEX(#REF!,MATCH($B36,#REF!,0),2),(INDEX(COMPOS!$A$4:$G$390,MATCH($B36,COMPOS!$A$4:A$390,0),2)))))</f>
        <v>ARMAÇÃO DE PILAR OU VIGA DE UMA ESTRUTURA CONVENCIONAL DE CONCRETO ARMADO EM UMA EDIFICAÇÃO TÉRREA OU SOBRADO UTILIZANDO AÇO CA-50 DE 6,3 MM - MONTAGEM. AF_12/2015</v>
      </c>
      <c r="D36" s="274" t="str">
        <f>(IF($A36="SINAPI",INDEX(SINAPI_NOV2020_NDES!$A$7:$H$6790,MATCH($B36,SINAPI_NOV2020_NDES!$A$7:$A$6790,0),3),(INDEX(COMPOS!$A$4:$G$5000,MATCH($B36,COMPOS!$A$4:$A$5000,0),3))))</f>
        <v>KG</v>
      </c>
      <c r="E36" s="280">
        <v>10</v>
      </c>
      <c r="F36" s="279">
        <f>(IF($A36="SINAPI",INDEX(SINAPI_NOV2020_NDES!$A$7:$H$6703,MATCH($B36,SINAPI_NOV2020_NDES!$A$7:$A$6703,0),5),(INDEX(COMPOS!$A$4:$G$801,MATCH($B36,COMPOS!$A$4:A$801,0),4))))</f>
        <v>4.0199999999999996</v>
      </c>
      <c r="G36" s="280">
        <f>(IF($A36="SINAPI",INDEX(SINAPI_NOV2020_NDES!$A$7:$H$6703,MATCH($B36,SINAPI_NOV2020_NDES!$A$7:$A$6703,0),6),(INDEX(COMPOS!$A$4:$G$801,MATCH($B36,COMPOS!$A$4:A$801,0),5))))</f>
        <v>9.0299999999999994</v>
      </c>
      <c r="H36" s="280">
        <f>(IF($A36="SINAPI",INDEX(SINAPI_NOV2020_NDES!$A$7:$H$6703,MATCH($B36,SINAPI_NOV2020_NDES!$A$7:$A$6703,0),7),(INDEX(COMPOS!$A$4:$G$801,MATCH($B36,COMPOS!$A$4:A$801,0),6))))</f>
        <v>0</v>
      </c>
      <c r="I36" s="279">
        <f t="shared" si="4"/>
        <v>13.049999999999999</v>
      </c>
      <c r="J36" s="276">
        <f t="shared" si="5"/>
        <v>130.5</v>
      </c>
      <c r="O36" s="261"/>
    </row>
    <row r="37" spans="1:16" s="41" customFormat="1" ht="36">
      <c r="A37" s="251" t="s">
        <v>7</v>
      </c>
      <c r="B37" s="289">
        <v>92777</v>
      </c>
      <c r="C37" s="301" t="str">
        <f>(IF($A37="SINAPI",INDEX(SINAPI_NOV2020_NDES!$A$7:$H$6703,MATCH($B37,SINAPI_NOV2020_NDES!$A$7:$A$6703,0),2),IF($A37="GOINFRA",INDEX(#REF!,MATCH($B37,#REF!,0),2),(INDEX(COMPOS!$A$4:$G$390,MATCH($B37,COMPOS!$A$4:A$390,0),2)))))</f>
        <v>ARMAÇÃO DE PILAR OU VIGA DE UMA ESTRUTURA CONVENCIONAL DE CONCRETO ARMADO EM UMA EDIFICAÇÃO TÉRREA OU SOBRADO UTILIZANDO AÇO CA-50 DE 8,0 MM - MONTAGEM. AF_12/2015</v>
      </c>
      <c r="D37" s="274" t="str">
        <f>(IF($A37="SINAPI",INDEX(SINAPI_NOV2020_NDES!$A$7:$H$6790,MATCH($B37,SINAPI_NOV2020_NDES!$A$7:$A$6790,0),3),(INDEX(COMPOS!$A$4:$G$5000,MATCH($B37,COMPOS!$A$4:$A$5000,0),3))))</f>
        <v>KG</v>
      </c>
      <c r="E37" s="280">
        <v>32.15</v>
      </c>
      <c r="F37" s="279">
        <f>(IF($A37="SINAPI",INDEX(SINAPI_NOV2020_NDES!$A$7:$H$6703,MATCH($B37,SINAPI_NOV2020_NDES!$A$7:$A$6703,0),5),(INDEX(COMPOS!$A$4:$G$801,MATCH($B37,COMPOS!$A$4:A$801,0),4))))</f>
        <v>2.82</v>
      </c>
      <c r="G37" s="280">
        <f>(IF($A37="SINAPI",INDEX(SINAPI_NOV2020_NDES!$A$7:$H$6703,MATCH($B37,SINAPI_NOV2020_NDES!$A$7:$A$6703,0),6),(INDEX(COMPOS!$A$4:$G$801,MATCH($B37,COMPOS!$A$4:A$801,0),5))))</f>
        <v>8.99</v>
      </c>
      <c r="H37" s="280">
        <f>(IF($A37="SINAPI",INDEX(SINAPI_NOV2020_NDES!$A$7:$H$6703,MATCH($B37,SINAPI_NOV2020_NDES!$A$7:$A$6703,0),7),(INDEX(COMPOS!$A$4:$G$801,MATCH($B37,COMPOS!$A$4:A$801,0),6))))</f>
        <v>0</v>
      </c>
      <c r="I37" s="279">
        <f t="shared" si="4"/>
        <v>11.81</v>
      </c>
      <c r="J37" s="276">
        <f t="shared" si="5"/>
        <v>379.69150000000002</v>
      </c>
      <c r="O37" s="261"/>
    </row>
    <row r="38" spans="1:16" s="41" customFormat="1" ht="36">
      <c r="A38" s="251" t="s">
        <v>7</v>
      </c>
      <c r="B38" s="289">
        <v>92778</v>
      </c>
      <c r="C38" s="301" t="str">
        <f>(IF($A38="SINAPI",INDEX(SINAPI_NOV2020_NDES!$A$7:$H$6703,MATCH($B38,SINAPI_NOV2020_NDES!$A$7:$A$6703,0),2),IF($A38="GOINFRA",INDEX(#REF!,MATCH($B38,#REF!,0),2),(INDEX(COMPOS!$A$4:$G$390,MATCH($B38,COMPOS!$A$4:A$390,0),2)))))</f>
        <v>ARMAÇÃO DE PILAR OU VIGA DE UMA ESTRUTURA CONVENCIONAL DE CONCRETO ARMADO EM UMA EDIFICAÇÃO TÉRREA OU SOBRADO UTILIZANDO AÇO CA-50 DE 10,0 MM - MONTAGEM. AF_12/2015</v>
      </c>
      <c r="D38" s="274" t="str">
        <f>(IF($A38="SINAPI",INDEX(SINAPI_NOV2020_NDES!$A$7:$H$6790,MATCH($B38,SINAPI_NOV2020_NDES!$A$7:$A$6790,0),3),(INDEX(COMPOS!$A$4:$G$5000,MATCH($B38,COMPOS!$A$4:$A$5000,0),3))))</f>
        <v>KG</v>
      </c>
      <c r="E38" s="280">
        <v>80</v>
      </c>
      <c r="F38" s="279">
        <f>(IF($A38="SINAPI",INDEX(SINAPI_NOV2020_NDES!$A$7:$H$6703,MATCH($B38,SINAPI_NOV2020_NDES!$A$7:$A$6703,0),5),(INDEX(COMPOS!$A$4:$G$801,MATCH($B38,COMPOS!$A$4:A$801,0),4))))</f>
        <v>2.04</v>
      </c>
      <c r="G38" s="280">
        <f>(IF($A38="SINAPI",INDEX(SINAPI_NOV2020_NDES!$A$7:$H$6703,MATCH($B38,SINAPI_NOV2020_NDES!$A$7:$A$6703,0),6),(INDEX(COMPOS!$A$4:$G$801,MATCH($B38,COMPOS!$A$4:A$801,0),5))))</f>
        <v>8.2799999999999994</v>
      </c>
      <c r="H38" s="280">
        <f>(IF($A38="SINAPI",INDEX(SINAPI_NOV2020_NDES!$A$7:$H$6703,MATCH($B38,SINAPI_NOV2020_NDES!$A$7:$A$6703,0),7),(INDEX(COMPOS!$A$4:$G$801,MATCH($B38,COMPOS!$A$4:A$801,0),6))))</f>
        <v>0</v>
      </c>
      <c r="I38" s="279">
        <f t="shared" si="4"/>
        <v>10.32</v>
      </c>
      <c r="J38" s="276">
        <f t="shared" si="5"/>
        <v>825.6</v>
      </c>
      <c r="O38" s="261"/>
    </row>
    <row r="39" spans="1:16" s="41" customFormat="1" ht="36">
      <c r="A39" s="251" t="s">
        <v>7</v>
      </c>
      <c r="B39" s="289">
        <v>92779</v>
      </c>
      <c r="C39" s="301" t="str">
        <f>(IF($A39="SINAPI",INDEX(SINAPI_NOV2020_NDES!$A$7:$H$6703,MATCH($B39,SINAPI_NOV2020_NDES!$A$7:$A$6703,0),2),IF($A39="GOINFRA",INDEX(#REF!,MATCH($B39,#REF!,0),2),(INDEX(COMPOS!$A$4:$G$390,MATCH($B39,COMPOS!$A$4:A$390,0),2)))))</f>
        <v>ARMAÇÃO DE PILAR OU VIGA DE UMA ESTRUTURA CONVENCIONAL DE CONCRETO ARMADO EM UMA EDIFICAÇÃO TÉRREA OU SOBRADO UTILIZANDO AÇO CA-50 DE 12,5 MM - MONTAGEM. AF_12/2015</v>
      </c>
      <c r="D39" s="274" t="str">
        <f>(IF($A39="SINAPI",INDEX(SINAPI_NOV2020_NDES!$A$7:$H$6790,MATCH($B39,SINAPI_NOV2020_NDES!$A$7:$A$6790,0),3),(INDEX(COMPOS!$A$4:$G$5000,MATCH($B39,COMPOS!$A$4:$A$5000,0),3))))</f>
        <v>KG</v>
      </c>
      <c r="E39" s="280">
        <v>2</v>
      </c>
      <c r="F39" s="279">
        <f>(IF($A39="SINAPI",INDEX(SINAPI_NOV2020_NDES!$A$7:$H$6703,MATCH($B39,SINAPI_NOV2020_NDES!$A$7:$A$6703,0),5),(INDEX(COMPOS!$A$4:$G$801,MATCH($B39,COMPOS!$A$4:A$801,0),4))))</f>
        <v>1.43</v>
      </c>
      <c r="G39" s="280">
        <f>(IF($A39="SINAPI",INDEX(SINAPI_NOV2020_NDES!$A$7:$H$6703,MATCH($B39,SINAPI_NOV2020_NDES!$A$7:$A$6703,0),6),(INDEX(COMPOS!$A$4:$G$801,MATCH($B39,COMPOS!$A$4:A$801,0),5))))</f>
        <v>7.13</v>
      </c>
      <c r="H39" s="280">
        <f>(IF($A39="SINAPI",INDEX(SINAPI_NOV2020_NDES!$A$7:$H$6703,MATCH($B39,SINAPI_NOV2020_NDES!$A$7:$A$6703,0),7),(INDEX(COMPOS!$A$4:$G$801,MATCH($B39,COMPOS!$A$4:A$801,0),6))))</f>
        <v>0</v>
      </c>
      <c r="I39" s="279">
        <f t="shared" si="4"/>
        <v>8.56</v>
      </c>
      <c r="J39" s="276">
        <f t="shared" si="5"/>
        <v>17.12</v>
      </c>
      <c r="O39" s="261"/>
    </row>
    <row r="40" spans="1:16" s="41" customFormat="1" ht="24">
      <c r="A40" s="251" t="s">
        <v>7</v>
      </c>
      <c r="B40" s="289">
        <v>94964</v>
      </c>
      <c r="C40" s="301" t="str">
        <f>(IF($A40="SINAPI",INDEX(SINAPI_NOV2020_NDES!$A$7:$H$6703,MATCH($B40,SINAPI_NOV2020_NDES!$A$7:$A$6703,0),2),IF($A40="GOINFRA",INDEX(#REF!,MATCH($B40,#REF!,0),2),(INDEX(COMPOS!$A$4:$G$390,MATCH($B40,COMPOS!$A$4:A$390,0),2)))))</f>
        <v>CONCRETO FCK = 20MPA, TRAÇO 1:2,7:3 (CIMENTO/ AREIA MÉDIA/ BRITA 1)  - PREPARO MECÂNICO COM BETONEIRA 400 L. AF_07/2016</v>
      </c>
      <c r="D40" s="274" t="str">
        <f>(IF($A40="SINAPI",INDEX(SINAPI_NOV2020_NDES!$A$7:$H$6790,MATCH($B40,SINAPI_NOV2020_NDES!$A$7:$A$6790,0),3),(INDEX(COMPOS!$A$4:$G$5000,MATCH($B40,COMPOS!$A$4:$A$5000,0),3))))</f>
        <v>M3</v>
      </c>
      <c r="E40" s="280">
        <v>2.2799999999999998</v>
      </c>
      <c r="F40" s="279">
        <f>(IF($A40="SINAPI",INDEX(SINAPI_NOV2020_NDES!$A$7:$H$6703,MATCH($B40,SINAPI_NOV2020_NDES!$A$7:$A$6703,0),5),(INDEX(COMPOS!$A$4:$G$801,MATCH($B40,COMPOS!$A$4:A$801,0),4))))</f>
        <v>59.69</v>
      </c>
      <c r="G40" s="280">
        <f>(IF($A40="SINAPI",INDEX(SINAPI_NOV2020_NDES!$A$7:$H$6703,MATCH($B40,SINAPI_NOV2020_NDES!$A$7:$A$6703,0),6),(INDEX(COMPOS!$A$4:$G$801,MATCH($B40,COMPOS!$A$4:A$801,0),5))))</f>
        <v>311.7</v>
      </c>
      <c r="H40" s="280">
        <f>(IF($A40="SINAPI",INDEX(SINAPI_NOV2020_NDES!$A$7:$H$6703,MATCH($B40,SINAPI_NOV2020_NDES!$A$7:$A$6703,0),7),(INDEX(COMPOS!$A$4:$G$801,MATCH($B40,COMPOS!$A$4:A$801,0),6))))</f>
        <v>0.56999999999999995</v>
      </c>
      <c r="I40" s="279">
        <f t="shared" si="4"/>
        <v>371.96</v>
      </c>
      <c r="J40" s="276">
        <f t="shared" si="5"/>
        <v>848.0687999999999</v>
      </c>
      <c r="O40" s="261"/>
    </row>
    <row r="41" spans="1:16" s="41" customFormat="1" ht="24">
      <c r="A41" s="251" t="s">
        <v>7</v>
      </c>
      <c r="B41" s="289">
        <v>92873</v>
      </c>
      <c r="C41" s="301" t="str">
        <f>(IF($A41="SINAPI",INDEX(SINAPI_NOV2020_NDES!$A$7:$H$6703,MATCH($B41,SINAPI_NOV2020_NDES!$A$7:$A$6703,0),2),IF($A41="GOINFRA",INDEX(#REF!,MATCH($B41,#REF!,0),2),(INDEX(COMPOS!$A$4:$G$390,MATCH($B41,COMPOS!$A$4:A$390,0),2)))))</f>
        <v>LANÇAMENTO COM USO DE BALDES, ADENSAMENTO E ACABAMENTO DE CONCRETO EM ESTRUTURAS. AF_12/2015</v>
      </c>
      <c r="D41" s="274" t="str">
        <f>(IF($A41="SINAPI",INDEX(SINAPI_NOV2020_NDES!$A$7:$H$6790,MATCH($B41,SINAPI_NOV2020_NDES!$A$7:$A$6790,0),3),(INDEX(COMPOS!$A$4:$G$5000,MATCH($B41,COMPOS!$A$4:$A$5000,0),3))))</f>
        <v>M3</v>
      </c>
      <c r="E41" s="280">
        <v>2.2799999999999998</v>
      </c>
      <c r="F41" s="279">
        <f>(IF($A41="SINAPI",INDEX(SINAPI_NOV2020_NDES!$A$7:$H$6703,MATCH($B41,SINAPI_NOV2020_NDES!$A$7:$A$6703,0),5),(INDEX(COMPOS!$A$4:$G$801,MATCH($B41,COMPOS!$A$4:A$801,0),4))))</f>
        <v>121.95</v>
      </c>
      <c r="G41" s="280">
        <f>(IF($A41="SINAPI",INDEX(SINAPI_NOV2020_NDES!$A$7:$H$6703,MATCH($B41,SINAPI_NOV2020_NDES!$A$7:$A$6703,0),6),(INDEX(COMPOS!$A$4:$G$801,MATCH($B41,COMPOS!$A$4:A$801,0),5))))</f>
        <v>41.44</v>
      </c>
      <c r="H41" s="280">
        <f>(IF($A41="SINAPI",INDEX(SINAPI_NOV2020_NDES!$A$7:$H$6703,MATCH($B41,SINAPI_NOV2020_NDES!$A$7:$A$6703,0),7),(INDEX(COMPOS!$A$4:$G$801,MATCH($B41,COMPOS!$A$4:A$801,0),6))))</f>
        <v>0.9</v>
      </c>
      <c r="I41" s="279">
        <f t="shared" si="4"/>
        <v>164.29</v>
      </c>
      <c r="J41" s="276">
        <f t="shared" si="5"/>
        <v>374.58119999999997</v>
      </c>
      <c r="O41" s="261"/>
    </row>
    <row r="42" spans="1:16" s="41" customFormat="1" ht="12">
      <c r="A42" s="251" t="s">
        <v>6307</v>
      </c>
      <c r="B42" s="289">
        <v>308</v>
      </c>
      <c r="C42" s="301" t="str">
        <f>(IF($A42="SINAPI",INDEX(SINAPI_NOV2020_NDES!$A$7:$H$6703,MATCH($B42,SINAPI_NOV2020_NDES!$A$7:$A$6703,0),2),IF($A42="GOINFRA",INDEX(#REF!,MATCH($B42,#REF!,0),2),(INDEX(COMPOS!$A$4:$G$390,MATCH($B42,COMPOS!$A$4:A$390,0),2)))))</f>
        <v>LAJE TRELIÇADA COM ENCHIMENTO EM EPS E CAP ESP. 4CM</v>
      </c>
      <c r="D42" s="274" t="str">
        <f>(IF($A42="SINAPI",INDEX(SINAPI_NOV2020_NDES!$A$7:$H$6790,MATCH($B42,SINAPI_NOV2020_NDES!$A$7:$A$6790,0),3),(INDEX(COMPOS!$A$4:$G$5000,MATCH($B42,COMPOS!$A$4:$A$5000,0),3))))</f>
        <v>M2</v>
      </c>
      <c r="E42" s="280">
        <v>13.12</v>
      </c>
      <c r="F42" s="279">
        <f>(IF($A42="SINAPI",INDEX(SINAPI_NOV2020_NDES!$A$7:$H$6703,MATCH($B42,SINAPI_NOV2020_NDES!$A$7:$A$6703,0),5),(INDEX(COMPOS!$A$4:$G$801,MATCH($B42,COMPOS!$A$4:A$801,0),4))))</f>
        <v>12.489490000000002</v>
      </c>
      <c r="G42" s="280">
        <f>(IF($A42="SINAPI",INDEX(SINAPI_NOV2020_NDES!$A$7:$H$6703,MATCH($B42,SINAPI_NOV2020_NDES!$A$7:$A$6703,0),6),(INDEX(COMPOS!$A$4:$G$801,MATCH($B42,COMPOS!$A$4:A$801,0),5))))</f>
        <v>114.6722</v>
      </c>
      <c r="H42" s="280">
        <f>(IF($A42="SINAPI",INDEX(SINAPI_NOV2020_NDES!$A$7:$H$6703,MATCH($B42,SINAPI_NOV2020_NDES!$A$7:$A$6703,0),7),(INDEX(COMPOS!$A$4:$G$801,MATCH($B42,COMPOS!$A$4:A$801,0),6))))</f>
        <v>0</v>
      </c>
      <c r="I42" s="279">
        <f>SUM(F42:H42)</f>
        <v>127.16169000000001</v>
      </c>
      <c r="J42" s="276">
        <f>+I42*E42</f>
        <v>1668.3613728</v>
      </c>
      <c r="O42" s="261"/>
    </row>
    <row r="43" spans="1:16" s="88" customFormat="1" ht="24" customHeight="1">
      <c r="A43" s="680" t="s">
        <v>6927</v>
      </c>
      <c r="B43" s="680"/>
      <c r="C43" s="680"/>
      <c r="D43" s="680"/>
      <c r="E43" s="680"/>
      <c r="F43" s="680"/>
      <c r="G43" s="680"/>
      <c r="H43" s="680"/>
      <c r="I43" s="680"/>
      <c r="J43" s="281">
        <f>SUM(J33:J42)</f>
        <v>7716.9584629652891</v>
      </c>
      <c r="K43" s="41"/>
      <c r="L43" s="41"/>
      <c r="M43" s="41"/>
      <c r="N43" s="41"/>
      <c r="O43" s="41"/>
      <c r="P43" s="41"/>
    </row>
    <row r="44" spans="1:16" s="41" customFormat="1" ht="12">
      <c r="A44" s="251"/>
      <c r="B44" s="299">
        <v>169</v>
      </c>
      <c r="C44" s="360" t="s">
        <v>605</v>
      </c>
      <c r="D44" s="274"/>
      <c r="E44" s="279"/>
      <c r="F44" s="275"/>
      <c r="G44" s="275"/>
      <c r="H44" s="275"/>
      <c r="I44" s="275"/>
      <c r="J44" s="275"/>
    </row>
    <row r="45" spans="1:16" s="41" customFormat="1" ht="12">
      <c r="A45" s="251" t="s">
        <v>6307</v>
      </c>
      <c r="B45" s="289">
        <v>312</v>
      </c>
      <c r="C45" s="301" t="str">
        <f>(IF($A45="SINAPI",INDEX(SINAPI_NOV2020_NDES!$A$7:$H$6703,MATCH($B45,SINAPI_NOV2020_NDES!$A$7:$A$6703,0),2),IF($A45="GOINFRA",INDEX(#REF!,MATCH($B45,#REF!,0),2),(INDEX(COMPOS!$A$4:$G$390,MATCH($B45,COMPOS!$A$4:A$390,0),2)))))</f>
        <v>BUCHA E ARRUELA METÁLICA ¾''</v>
      </c>
      <c r="D45" s="274" t="str">
        <f>(IF($A45="SINAPI",INDEX(SINAPI_NOV2020_NDES!$A$7:$H$6790,MATCH($B45,SINAPI_NOV2020_NDES!$A$7:$A$6790,0),3),(INDEX(COMPOS!$A$4:$G$5000,MATCH($B45,COMPOS!$A$4:$A$5000,0),3))))</f>
        <v>PR</v>
      </c>
      <c r="E45" s="280">
        <v>704</v>
      </c>
      <c r="F45" s="279">
        <f>(IF($A45="SINAPI",INDEX(SINAPI_NOV2020_NDES!$A$7:$H$6703,MATCH($B45,SINAPI_NOV2020_NDES!$A$7:$A$6703,0),5),(INDEX(COMPOS!$A$4:$G$801,MATCH($B45,COMPOS!$A$4:A$801,0),4))))</f>
        <v>0.38629999999999998</v>
      </c>
      <c r="G45" s="280">
        <f>(IF($A45="SINAPI",INDEX(SINAPI_NOV2020_NDES!$A$7:$H$6703,MATCH($B45,SINAPI_NOV2020_NDES!$A$7:$A$6703,0),6),(INDEX(COMPOS!$A$4:$G$801,MATCH($B45,COMPOS!$A$4:A$801,0),5))))</f>
        <v>1.1299999999999999</v>
      </c>
      <c r="H45" s="280">
        <f>(IF($A45="SINAPI",INDEX(SINAPI_NOV2020_NDES!$A$7:$H$6703,MATCH($B45,SINAPI_NOV2020_NDES!$A$7:$A$6703,0),7),(INDEX(COMPOS!$A$4:$G$801,MATCH($B45,COMPOS!$A$4:A$801,0),6))))</f>
        <v>0</v>
      </c>
      <c r="I45" s="279">
        <f>SUM(F45:H45)</f>
        <v>1.5162999999999998</v>
      </c>
      <c r="J45" s="276">
        <f>+I45*E45</f>
        <v>1067.4751999999999</v>
      </c>
      <c r="O45" s="261"/>
    </row>
    <row r="46" spans="1:16" s="41" customFormat="1" ht="24">
      <c r="A46" s="251" t="s">
        <v>7</v>
      </c>
      <c r="B46" s="289">
        <v>91927</v>
      </c>
      <c r="C46" s="301" t="str">
        <f>(IF($A46="SINAPI",INDEX(SINAPI_NOV2020_NDES!$A$7:$H$6703,MATCH($B46,SINAPI_NOV2020_NDES!$A$7:$A$6703,0),2),IF($A46="GOINFRA",INDEX(#REF!,MATCH($B46,#REF!,0),2),(INDEX(COMPOS!$A$4:$G$390,MATCH($B46,COMPOS!$A$4:A$390,0),2)))))</f>
        <v>CABO DE COBRE FLEXÍVEL ISOLADO, 2,5 MM², ANTI-CHAMA 0,6/1,0 KV, PARA CIRCUITOS TERMINAIS - FORNECIMENTO E INSTALAÇÃO. AF_12/2015</v>
      </c>
      <c r="D46" s="274" t="str">
        <f>(IF($A46="SINAPI",INDEX(SINAPI_NOV2020_NDES!$A$7:$H$6790,MATCH($B46,SINAPI_NOV2020_NDES!$A$7:$A$6790,0),3),(INDEX(COMPOS!$A$4:$G$5000,MATCH($B46,COMPOS!$A$4:$A$5000,0),3))))</f>
        <v>M</v>
      </c>
      <c r="E46" s="280">
        <v>5199.99</v>
      </c>
      <c r="F46" s="279">
        <f>(IF($A46="SINAPI",INDEX(SINAPI_NOV2020_NDES!$A$7:$H$6703,MATCH($B46,SINAPI_NOV2020_NDES!$A$7:$A$6703,0),5),(INDEX(COMPOS!$A$4:$G$801,MATCH($B46,COMPOS!$A$4:A$801,0),4))))</f>
        <v>0.88</v>
      </c>
      <c r="G46" s="280">
        <f>(IF($A46="SINAPI",INDEX(SINAPI_NOV2020_NDES!$A$7:$H$6703,MATCH($B46,SINAPI_NOV2020_NDES!$A$7:$A$6703,0),6),(INDEX(COMPOS!$A$4:$G$801,MATCH($B46,COMPOS!$A$4:A$801,0),5))))</f>
        <v>2.68</v>
      </c>
      <c r="H46" s="280">
        <f>(IF($A46="SINAPI",INDEX(SINAPI_NOV2020_NDES!$A$7:$H$6703,MATCH($B46,SINAPI_NOV2020_NDES!$A$7:$A$6703,0),7),(INDEX(COMPOS!$A$4:$G$801,MATCH($B46,COMPOS!$A$4:A$801,0),6))))</f>
        <v>0</v>
      </c>
      <c r="I46" s="279">
        <f t="shared" ref="I46:I74" si="6">SUM(F46:H46)</f>
        <v>3.56</v>
      </c>
      <c r="J46" s="276">
        <f t="shared" ref="J46:J74" si="7">+I46*E46</f>
        <v>18511.964400000001</v>
      </c>
      <c r="O46" s="261"/>
    </row>
    <row r="47" spans="1:16" s="41" customFormat="1" ht="24">
      <c r="A47" s="251" t="s">
        <v>7</v>
      </c>
      <c r="B47" s="289">
        <v>91929</v>
      </c>
      <c r="C47" s="301" t="str">
        <f>(IF($A47="SINAPI",INDEX(SINAPI_NOV2020_NDES!$A$7:$H$6703,MATCH($B47,SINAPI_NOV2020_NDES!$A$7:$A$6703,0),2),IF($A47="GOINFRA",INDEX(#REF!,MATCH($B47,#REF!,0),2),(INDEX(COMPOS!$A$4:$G$390,MATCH($B47,COMPOS!$A$4:A$390,0),2)))))</f>
        <v>CABO DE COBRE FLEXÍVEL ISOLADO, 4 MM², ANTI-CHAMA 0,6/1,0 KV, PARA CIRCUITOS TERMINAIS - FORNECIMENTO E INSTALAÇÃO. AF_12/2015</v>
      </c>
      <c r="D47" s="274" t="str">
        <f>(IF($A47="SINAPI",INDEX(SINAPI_NOV2020_NDES!$A$7:$H$6790,MATCH($B47,SINAPI_NOV2020_NDES!$A$7:$A$6790,0),3),(INDEX(COMPOS!$A$4:$G$5000,MATCH($B47,COMPOS!$A$4:$A$5000,0),3))))</f>
        <v>M</v>
      </c>
      <c r="E47" s="280">
        <v>2361.6999999999998</v>
      </c>
      <c r="F47" s="279">
        <f>(IF($A47="SINAPI",INDEX(SINAPI_NOV2020_NDES!$A$7:$H$6703,MATCH($B47,SINAPI_NOV2020_NDES!$A$7:$A$6703,0),5),(INDEX(COMPOS!$A$4:$G$801,MATCH($B47,COMPOS!$A$4:A$801,0),4))))</f>
        <v>1.17</v>
      </c>
      <c r="G47" s="280">
        <f>(IF($A47="SINAPI",INDEX(SINAPI_NOV2020_NDES!$A$7:$H$6703,MATCH($B47,SINAPI_NOV2020_NDES!$A$7:$A$6703,0),6),(INDEX(COMPOS!$A$4:$G$801,MATCH($B47,COMPOS!$A$4:A$801,0),5))))</f>
        <v>3.8</v>
      </c>
      <c r="H47" s="280">
        <f>(IF($A47="SINAPI",INDEX(SINAPI_NOV2020_NDES!$A$7:$H$6703,MATCH($B47,SINAPI_NOV2020_NDES!$A$7:$A$6703,0),7),(INDEX(COMPOS!$A$4:$G$801,MATCH($B47,COMPOS!$A$4:A$801,0),6))))</f>
        <v>0</v>
      </c>
      <c r="I47" s="279">
        <f t="shared" si="6"/>
        <v>4.97</v>
      </c>
      <c r="J47" s="276">
        <f t="shared" si="7"/>
        <v>11737.648999999998</v>
      </c>
      <c r="O47" s="261"/>
    </row>
    <row r="48" spans="1:16" s="41" customFormat="1" ht="24">
      <c r="A48" s="251" t="s">
        <v>7</v>
      </c>
      <c r="B48" s="289">
        <v>93657</v>
      </c>
      <c r="C48" s="301" t="str">
        <f>(IF($A48="SINAPI",INDEX(SINAPI_NOV2020_NDES!$A$7:$H$6703,MATCH($B48,SINAPI_NOV2020_NDES!$A$7:$A$6703,0),2),IF($A48="GOINFRA",INDEX(#REF!,MATCH($B48,#REF!,0),2),(INDEX(COMPOS!$A$4:$G$390,MATCH($B48,COMPOS!$A$4:A$390,0),2)))))</f>
        <v>DISJUNTOR MONOPOLAR TIPO DIN, CORRENTE NOMINAL DE 32A - FORNECIMENTO E INSTALAÇÃO. AF_10/2020</v>
      </c>
      <c r="D48" s="274" t="str">
        <f>(IF($A48="SINAPI",INDEX(SINAPI_NOV2020_NDES!$A$7:$H$6790,MATCH($B48,SINAPI_NOV2020_NDES!$A$7:$A$6790,0),3),(INDEX(COMPOS!$A$4:$G$5000,MATCH($B48,COMPOS!$A$4:$A$5000,0),3))))</f>
        <v>UN</v>
      </c>
      <c r="E48" s="280">
        <v>97</v>
      </c>
      <c r="F48" s="279">
        <f>(IF($A48="SINAPI",INDEX(SINAPI_NOV2020_NDES!$A$7:$H$6703,MATCH($B48,SINAPI_NOV2020_NDES!$A$7:$A$6703,0),5),(INDEX(COMPOS!$A$4:$G$801,MATCH($B48,COMPOS!$A$4:A$801,0),4))))</f>
        <v>2.67</v>
      </c>
      <c r="G48" s="280">
        <f>(IF($A48="SINAPI",INDEX(SINAPI_NOV2020_NDES!$A$7:$H$6703,MATCH($B48,SINAPI_NOV2020_NDES!$A$7:$A$6703,0),6),(INDEX(COMPOS!$A$4:$G$801,MATCH($B48,COMPOS!$A$4:A$801,0),5))))</f>
        <v>10.130000000000001</v>
      </c>
      <c r="H48" s="280">
        <f>(IF($A48="SINAPI",INDEX(SINAPI_NOV2020_NDES!$A$7:$H$6703,MATCH($B48,SINAPI_NOV2020_NDES!$A$7:$A$6703,0),7),(INDEX(COMPOS!$A$4:$G$801,MATCH($B48,COMPOS!$A$4:A$801,0),6))))</f>
        <v>0</v>
      </c>
      <c r="I48" s="279">
        <f t="shared" si="6"/>
        <v>12.8</v>
      </c>
      <c r="J48" s="276">
        <f t="shared" si="7"/>
        <v>1241.6000000000001</v>
      </c>
      <c r="O48" s="261"/>
    </row>
    <row r="49" spans="1:15" s="41" customFormat="1" ht="24">
      <c r="A49" s="251" t="s">
        <v>7</v>
      </c>
      <c r="B49" s="289">
        <v>93671</v>
      </c>
      <c r="C49" s="301" t="str">
        <f>(IF($A49="SINAPI",INDEX(SINAPI_NOV2020_NDES!$A$7:$H$6703,MATCH($B49,SINAPI_NOV2020_NDES!$A$7:$A$6703,0),2),IF($A49="GOINFRA",INDEX(#REF!,MATCH($B49,#REF!,0),2),(INDEX(COMPOS!$A$4:$G$390,MATCH($B49,COMPOS!$A$4:A$390,0),2)))))</f>
        <v>DISJUNTOR TRIPOLAR TIPO DIN, CORRENTE NOMINAL DE 32A - FORNECIMENTO E INSTALAÇÃO. AF_10/2020</v>
      </c>
      <c r="D49" s="274" t="str">
        <f>(IF($A49="SINAPI",INDEX(SINAPI_NOV2020_NDES!$A$7:$H$6790,MATCH($B49,SINAPI_NOV2020_NDES!$A$7:$A$6790,0),3),(INDEX(COMPOS!$A$4:$G$5000,MATCH($B49,COMPOS!$A$4:$A$5000,0),3))))</f>
        <v>UN</v>
      </c>
      <c r="E49" s="280">
        <v>4</v>
      </c>
      <c r="F49" s="279">
        <f>(IF($A49="SINAPI",INDEX(SINAPI_NOV2020_NDES!$A$7:$H$6703,MATCH($B49,SINAPI_NOV2020_NDES!$A$7:$A$6703,0),5),(INDEX(COMPOS!$A$4:$G$801,MATCH($B49,COMPOS!$A$4:A$801,0),4))))</f>
        <v>8.0399999999999991</v>
      </c>
      <c r="G49" s="280">
        <f>(IF($A49="SINAPI",INDEX(SINAPI_NOV2020_NDES!$A$7:$H$6703,MATCH($B49,SINAPI_NOV2020_NDES!$A$7:$A$6703,0),6),(INDEX(COMPOS!$A$4:$G$801,MATCH($B49,COMPOS!$A$4:A$801,0),5))))</f>
        <v>64.25</v>
      </c>
      <c r="H49" s="280">
        <f>(IF($A49="SINAPI",INDEX(SINAPI_NOV2020_NDES!$A$7:$H$6703,MATCH($B49,SINAPI_NOV2020_NDES!$A$7:$A$6703,0),7),(INDEX(COMPOS!$A$4:$G$801,MATCH($B49,COMPOS!$A$4:A$801,0),6))))</f>
        <v>0</v>
      </c>
      <c r="I49" s="279">
        <f t="shared" si="6"/>
        <v>72.289999999999992</v>
      </c>
      <c r="J49" s="276">
        <f t="shared" si="7"/>
        <v>289.15999999999997</v>
      </c>
      <c r="O49" s="261"/>
    </row>
    <row r="50" spans="1:15" s="41" customFormat="1" ht="24">
      <c r="A50" s="251" t="s">
        <v>7</v>
      </c>
      <c r="B50" s="289">
        <v>101894</v>
      </c>
      <c r="C50" s="301" t="str">
        <f>(IF($A50="SINAPI",INDEX(SINAPI_NOV2020_NDES!$A$7:$H$6703,MATCH($B50,SINAPI_NOV2020_NDES!$A$7:$A$6703,0),2),IF($A50="GOINFRA",INDEX(#REF!,MATCH($B50,#REF!,0),2),(INDEX(COMPOS!$A$4:$G$390,MATCH($B50,COMPOS!$A$4:A$390,0),2)))))</f>
        <v>DISJUNTOR TRIPOLAR TIPO NEMA, CORRENTE NOMINAL DE 60 ATÉ 100A - FORNECIMENTO E INSTALAÇÃO. AF_10/2020</v>
      </c>
      <c r="D50" s="274" t="str">
        <f>(IF($A50="SINAPI",INDEX(SINAPI_NOV2020_NDES!$A$7:$H$6790,MATCH($B50,SINAPI_NOV2020_NDES!$A$7:$A$6790,0),3),(INDEX(COMPOS!$A$4:$G$5000,MATCH($B50,COMPOS!$A$4:$A$5000,0),3))))</f>
        <v>UN</v>
      </c>
      <c r="E50" s="280">
        <v>3</v>
      </c>
      <c r="F50" s="279">
        <f>(IF($A50="SINAPI",INDEX(SINAPI_NOV2020_NDES!$A$7:$H$6703,MATCH($B50,SINAPI_NOV2020_NDES!$A$7:$A$6703,0),5),(INDEX(COMPOS!$A$4:$G$801,MATCH($B50,COMPOS!$A$4:A$801,0),4))))</f>
        <v>23.06</v>
      </c>
      <c r="G50" s="280">
        <f>(IF($A50="SINAPI",INDEX(SINAPI_NOV2020_NDES!$A$7:$H$6703,MATCH($B50,SINAPI_NOV2020_NDES!$A$7:$A$6703,0),6),(INDEX(COMPOS!$A$4:$G$801,MATCH($B50,COMPOS!$A$4:A$801,0),5))))</f>
        <v>114.94</v>
      </c>
      <c r="H50" s="280">
        <f>(IF($A50="SINAPI",INDEX(SINAPI_NOV2020_NDES!$A$7:$H$6703,MATCH($B50,SINAPI_NOV2020_NDES!$A$7:$A$6703,0),7),(INDEX(COMPOS!$A$4:$G$801,MATCH($B50,COMPOS!$A$4:A$801,0),6))))</f>
        <v>0</v>
      </c>
      <c r="I50" s="279">
        <f t="shared" si="6"/>
        <v>138</v>
      </c>
      <c r="J50" s="276">
        <f t="shared" si="7"/>
        <v>414</v>
      </c>
      <c r="O50" s="261"/>
    </row>
    <row r="51" spans="1:15" s="41" customFormat="1" ht="24">
      <c r="A51" s="251" t="s">
        <v>7</v>
      </c>
      <c r="B51" s="289">
        <v>101895</v>
      </c>
      <c r="C51" s="301" t="str">
        <f>(IF($A51="SINAPI",INDEX(SINAPI_NOV2020_NDES!$A$7:$H$6703,MATCH($B51,SINAPI_NOV2020_NDES!$A$7:$A$6703,0),2),IF($A51="GOINFRA",INDEX(#REF!,MATCH($B51,#REF!,0),2),(INDEX(COMPOS!$A$4:$G$390,MATCH($B51,COMPOS!$A$4:A$390,0),2)))))</f>
        <v>DISJUNTOR TERMOMAGNÉTICO TRIPOLAR , CORRENTE NOMINAL DE 125A - FORNECIMENTO E INSTALAÇÃO. AF_10/2020</v>
      </c>
      <c r="D51" s="274" t="str">
        <f>(IF($A51="SINAPI",INDEX(SINAPI_NOV2020_NDES!$A$7:$H$6790,MATCH($B51,SINAPI_NOV2020_NDES!$A$7:$A$6790,0),3),(INDEX(COMPOS!$A$4:$G$5000,MATCH($B51,COMPOS!$A$4:$A$5000,0),3))))</f>
        <v>UN</v>
      </c>
      <c r="E51" s="280">
        <v>1</v>
      </c>
      <c r="F51" s="279">
        <f>(IF($A51="SINAPI",INDEX(SINAPI_NOV2020_NDES!$A$7:$H$6703,MATCH($B51,SINAPI_NOV2020_NDES!$A$7:$A$6703,0),5),(INDEX(COMPOS!$A$4:$G$801,MATCH($B51,COMPOS!$A$4:A$801,0),4))))</f>
        <v>38.979999999999997</v>
      </c>
      <c r="G51" s="280">
        <f>(IF($A51="SINAPI",INDEX(SINAPI_NOV2020_NDES!$A$7:$H$6703,MATCH($B51,SINAPI_NOV2020_NDES!$A$7:$A$6703,0),6),(INDEX(COMPOS!$A$4:$G$801,MATCH($B51,COMPOS!$A$4:A$801,0),5))))</f>
        <v>343.7</v>
      </c>
      <c r="H51" s="280">
        <f>(IF($A51="SINAPI",INDEX(SINAPI_NOV2020_NDES!$A$7:$H$6703,MATCH($B51,SINAPI_NOV2020_NDES!$A$7:$A$6703,0),7),(INDEX(COMPOS!$A$4:$G$801,MATCH($B51,COMPOS!$A$4:A$801,0),6))))</f>
        <v>0</v>
      </c>
      <c r="I51" s="279">
        <f t="shared" si="6"/>
        <v>382.68</v>
      </c>
      <c r="J51" s="276">
        <f t="shared" si="7"/>
        <v>382.68</v>
      </c>
      <c r="O51" s="261"/>
    </row>
    <row r="52" spans="1:15" s="41" customFormat="1" ht="24">
      <c r="A52" s="251" t="s">
        <v>7</v>
      </c>
      <c r="B52" s="289">
        <v>96985</v>
      </c>
      <c r="C52" s="301" t="str">
        <f>(IF($A52="SINAPI",INDEX(SINAPI_NOV2020_NDES!$A$7:$H$6703,MATCH($B52,SINAPI_NOV2020_NDES!$A$7:$A$6703,0),2),IF($A52="GOINFRA",INDEX(#REF!,MATCH($B52,#REF!,0),2),(INDEX(COMPOS!$A$4:$G$390,MATCH($B52,COMPOS!$A$4:A$390,0),2)))))</f>
        <v>HASTE DE ATERRAMENTO 5/8  PARA SPDA - FORNECIMENTO E INSTALAÇÃO. AF_12/2017</v>
      </c>
      <c r="D52" s="274" t="str">
        <f>(IF($A52="SINAPI",INDEX(SINAPI_NOV2020_NDES!$A$7:$H$6790,MATCH($B52,SINAPI_NOV2020_NDES!$A$7:$A$6790,0),3),(INDEX(COMPOS!$A$4:$G$5000,MATCH($B52,COMPOS!$A$4:$A$5000,0),3))))</f>
        <v>UN</v>
      </c>
      <c r="E52" s="280">
        <v>10</v>
      </c>
      <c r="F52" s="279">
        <f>(IF($A52="SINAPI",INDEX(SINAPI_NOV2020_NDES!$A$7:$H$6703,MATCH($B52,SINAPI_NOV2020_NDES!$A$7:$A$6703,0),5),(INDEX(COMPOS!$A$4:$G$801,MATCH($B52,COMPOS!$A$4:A$801,0),4))))</f>
        <v>7.44</v>
      </c>
      <c r="G52" s="280">
        <f>(IF($A52="SINAPI",INDEX(SINAPI_NOV2020_NDES!$A$7:$H$6703,MATCH($B52,SINAPI_NOV2020_NDES!$A$7:$A$6703,0),6),(INDEX(COMPOS!$A$4:$G$801,MATCH($B52,COMPOS!$A$4:A$801,0),5))))</f>
        <v>38.17</v>
      </c>
      <c r="H52" s="280">
        <f>(IF($A52="SINAPI",INDEX(SINAPI_NOV2020_NDES!$A$7:$H$6703,MATCH($B52,SINAPI_NOV2020_NDES!$A$7:$A$6703,0),7),(INDEX(COMPOS!$A$4:$G$801,MATCH($B52,COMPOS!$A$4:A$801,0),6))))</f>
        <v>0</v>
      </c>
      <c r="I52" s="279">
        <f t="shared" si="6"/>
        <v>45.61</v>
      </c>
      <c r="J52" s="276">
        <f t="shared" si="7"/>
        <v>456.1</v>
      </c>
      <c r="O52" s="261"/>
    </row>
    <row r="53" spans="1:15" s="41" customFormat="1" ht="24">
      <c r="A53" s="251" t="s">
        <v>7</v>
      </c>
      <c r="B53" s="289">
        <v>91979</v>
      </c>
      <c r="C53" s="301" t="str">
        <f>(IF($A53="SINAPI",INDEX(SINAPI_NOV2020_NDES!$A$7:$H$6703,MATCH($B53,SINAPI_NOV2020_NDES!$A$7:$A$6703,0),2),IF($A53="GOINFRA",INDEX(#REF!,MATCH($B53,#REF!,0),2),(INDEX(COMPOS!$A$4:$G$390,MATCH($B53,COMPOS!$A$4:A$390,0),2)))))</f>
        <v>INTERRUPTOR INTERMEDIÁRIO (1 MÓDULO), 10A/250V, INCLUINDO SUPORTE E PLACA - FORNECIMENTO E INSTALAÇÃO. AF_09/2017</v>
      </c>
      <c r="D53" s="274" t="str">
        <f>(IF($A53="SINAPI",INDEX(SINAPI_NOV2020_NDES!$A$7:$H$6790,MATCH($B53,SINAPI_NOV2020_NDES!$A$7:$A$6790,0),3),(INDEX(COMPOS!$A$4:$G$5000,MATCH($B53,COMPOS!$A$4:$A$5000,0),3))))</f>
        <v>UN</v>
      </c>
      <c r="E53" s="280">
        <v>3</v>
      </c>
      <c r="F53" s="279">
        <f>(IF($A53="SINAPI",INDEX(SINAPI_NOV2020_NDES!$A$7:$H$6703,MATCH($B53,SINAPI_NOV2020_NDES!$A$7:$A$6703,0),5),(INDEX(COMPOS!$A$4:$G$801,MATCH($B53,COMPOS!$A$4:A$801,0),4))))</f>
        <v>13.65</v>
      </c>
      <c r="G53" s="280">
        <f>(IF($A53="SINAPI",INDEX(SINAPI_NOV2020_NDES!$A$7:$H$6703,MATCH($B53,SINAPI_NOV2020_NDES!$A$7:$A$6703,0),6),(INDEX(COMPOS!$A$4:$G$801,MATCH($B53,COMPOS!$A$4:A$801,0),5))))</f>
        <v>18.329999999999998</v>
      </c>
      <c r="H53" s="280">
        <f>(IF($A53="SINAPI",INDEX(SINAPI_NOV2020_NDES!$A$7:$H$6703,MATCH($B53,SINAPI_NOV2020_NDES!$A$7:$A$6703,0),7),(INDEX(COMPOS!$A$4:$G$801,MATCH($B53,COMPOS!$A$4:A$801,0),6))))</f>
        <v>0</v>
      </c>
      <c r="I53" s="279">
        <f t="shared" si="6"/>
        <v>31.979999999999997</v>
      </c>
      <c r="J53" s="276">
        <f t="shared" si="7"/>
        <v>95.94</v>
      </c>
      <c r="O53" s="261"/>
    </row>
    <row r="54" spans="1:15" s="41" customFormat="1" ht="24">
      <c r="A54" s="251" t="s">
        <v>7</v>
      </c>
      <c r="B54" s="289">
        <v>91955</v>
      </c>
      <c r="C54" s="301" t="str">
        <f>(IF($A54="SINAPI",INDEX(SINAPI_NOV2020_NDES!$A$7:$H$6703,MATCH($B54,SINAPI_NOV2020_NDES!$A$7:$A$6703,0),2),IF($A54="GOINFRA",INDEX(#REF!,MATCH($B54,#REF!,0),2),(INDEX(COMPOS!$A$4:$G$390,MATCH($B54,COMPOS!$A$4:A$390,0),2)))))</f>
        <v>INTERRUPTOR PARALELO (1 MÓDULO), 10A/250V, INCLUINDO SUPORTE E PLACA - FORNECIMENTO E INSTALAÇÃO. AF_12/2015</v>
      </c>
      <c r="D54" s="274" t="str">
        <f>(IF($A54="SINAPI",INDEX(SINAPI_NOV2020_NDES!$A$7:$H$6790,MATCH($B54,SINAPI_NOV2020_NDES!$A$7:$A$6790,0),3),(INDEX(COMPOS!$A$4:$G$5000,MATCH($B54,COMPOS!$A$4:$A$5000,0),3))))</f>
        <v>UN</v>
      </c>
      <c r="E54" s="280">
        <v>3</v>
      </c>
      <c r="F54" s="279">
        <f>(IF($A54="SINAPI",INDEX(SINAPI_NOV2020_NDES!$A$7:$H$6703,MATCH($B54,SINAPI_NOV2020_NDES!$A$7:$A$6703,0),5),(INDEX(COMPOS!$A$4:$G$801,MATCH($B54,COMPOS!$A$4:A$801,0),4))))</f>
        <v>11.24</v>
      </c>
      <c r="G54" s="280">
        <f>(IF($A54="SINAPI",INDEX(SINAPI_NOV2020_NDES!$A$7:$H$6703,MATCH($B54,SINAPI_NOV2020_NDES!$A$7:$A$6703,0),6),(INDEX(COMPOS!$A$4:$G$801,MATCH($B54,COMPOS!$A$4:A$801,0),5))))</f>
        <v>11.47</v>
      </c>
      <c r="H54" s="280">
        <f>(IF($A54="SINAPI",INDEX(SINAPI_NOV2020_NDES!$A$7:$H$6703,MATCH($B54,SINAPI_NOV2020_NDES!$A$7:$A$6703,0),7),(INDEX(COMPOS!$A$4:$G$801,MATCH($B54,COMPOS!$A$4:A$801,0),6))))</f>
        <v>0</v>
      </c>
      <c r="I54" s="279">
        <f t="shared" si="6"/>
        <v>22.71</v>
      </c>
      <c r="J54" s="276">
        <f t="shared" si="7"/>
        <v>68.13</v>
      </c>
      <c r="O54" s="261"/>
    </row>
    <row r="55" spans="1:15" s="41" customFormat="1" ht="24">
      <c r="A55" s="251" t="s">
        <v>7</v>
      </c>
      <c r="B55" s="289">
        <v>91961</v>
      </c>
      <c r="C55" s="301" t="str">
        <f>(IF($A55="SINAPI",INDEX(SINAPI_NOV2020_NDES!$A$7:$H$6703,MATCH($B55,SINAPI_NOV2020_NDES!$A$7:$A$6703,0),2),IF($A55="GOINFRA",INDEX(#REF!,MATCH($B55,#REF!,0),2),(INDEX(COMPOS!$A$4:$G$390,MATCH($B55,COMPOS!$A$4:A$390,0),2)))))</f>
        <v>INTERRUPTOR PARALELO (2 MÓDULOS), 10A/250V, INCLUINDO SUPORTE E PLACA - FORNECIMENTO E INSTALAÇÃO. AF_12/2015</v>
      </c>
      <c r="D55" s="274" t="str">
        <f>(IF($A55="SINAPI",INDEX(SINAPI_NOV2020_NDES!$A$7:$H$6790,MATCH($B55,SINAPI_NOV2020_NDES!$A$7:$A$6790,0),3),(INDEX(COMPOS!$A$4:$G$5000,MATCH($B55,COMPOS!$A$4:$A$5000,0),3))))</f>
        <v>UN</v>
      </c>
      <c r="E55" s="280">
        <v>7</v>
      </c>
      <c r="F55" s="279">
        <f>(IF($A55="SINAPI",INDEX(SINAPI_NOV2020_NDES!$A$7:$H$6703,MATCH($B55,SINAPI_NOV2020_NDES!$A$7:$A$6703,0),5),(INDEX(COMPOS!$A$4:$G$801,MATCH($B55,COMPOS!$A$4:A$801,0),4))))</f>
        <v>18.52</v>
      </c>
      <c r="G55" s="280">
        <f>(IF($A55="SINAPI",INDEX(SINAPI_NOV2020_NDES!$A$7:$H$6703,MATCH($B55,SINAPI_NOV2020_NDES!$A$7:$A$6703,0),6),(INDEX(COMPOS!$A$4:$G$801,MATCH($B55,COMPOS!$A$4:A$801,0),5))))</f>
        <v>19.16</v>
      </c>
      <c r="H55" s="280">
        <f>(IF($A55="SINAPI",INDEX(SINAPI_NOV2020_NDES!$A$7:$H$6703,MATCH($B55,SINAPI_NOV2020_NDES!$A$7:$A$6703,0),7),(INDEX(COMPOS!$A$4:$G$801,MATCH($B55,COMPOS!$A$4:A$801,0),6))))</f>
        <v>0</v>
      </c>
      <c r="I55" s="279">
        <f t="shared" si="6"/>
        <v>37.68</v>
      </c>
      <c r="J55" s="276">
        <f t="shared" si="7"/>
        <v>263.76</v>
      </c>
      <c r="O55" s="261"/>
    </row>
    <row r="56" spans="1:15" s="41" customFormat="1" ht="24">
      <c r="A56" s="251" t="s">
        <v>7</v>
      </c>
      <c r="B56" s="289">
        <v>91953</v>
      </c>
      <c r="C56" s="301" t="str">
        <f>(IF($A56="SINAPI",INDEX(SINAPI_NOV2020_NDES!$A$7:$H$6703,MATCH($B56,SINAPI_NOV2020_NDES!$A$7:$A$6703,0),2),IF($A56="GOINFRA",INDEX(#REF!,MATCH($B56,#REF!,0),2),(INDEX(COMPOS!$A$4:$G$390,MATCH($B56,COMPOS!$A$4:A$390,0),2)))))</f>
        <v>INTERRUPTOR SIMPLES (1 MÓDULO), 10A/250V, INCLUINDO SUPORTE E PLACA - FORNECIMENTO E INSTALAÇÃO. AF_12/2015</v>
      </c>
      <c r="D56" s="274" t="str">
        <f>(IF($A56="SINAPI",INDEX(SINAPI_NOV2020_NDES!$A$7:$H$6790,MATCH($B56,SINAPI_NOV2020_NDES!$A$7:$A$6790,0),3),(INDEX(COMPOS!$A$4:$G$5000,MATCH($B56,COMPOS!$A$4:$A$5000,0),3))))</f>
        <v>UN</v>
      </c>
      <c r="E56" s="280">
        <v>11</v>
      </c>
      <c r="F56" s="279">
        <f>(IF($A56="SINAPI",INDEX(SINAPI_NOV2020_NDES!$A$7:$H$6703,MATCH($B56,SINAPI_NOV2020_NDES!$A$7:$A$6703,0),5),(INDEX(COMPOS!$A$4:$G$801,MATCH($B56,COMPOS!$A$4:A$801,0),4))))</f>
        <v>8.7899999999999991</v>
      </c>
      <c r="G56" s="280">
        <f>(IF($A56="SINAPI",INDEX(SINAPI_NOV2020_NDES!$A$7:$H$6703,MATCH($B56,SINAPI_NOV2020_NDES!$A$7:$A$6703,0),6),(INDEX(COMPOS!$A$4:$G$801,MATCH($B56,COMPOS!$A$4:A$801,0),5))))</f>
        <v>9.4499999999999993</v>
      </c>
      <c r="H56" s="280">
        <f>(IF($A56="SINAPI",INDEX(SINAPI_NOV2020_NDES!$A$7:$H$6703,MATCH($B56,SINAPI_NOV2020_NDES!$A$7:$A$6703,0),7),(INDEX(COMPOS!$A$4:$G$801,MATCH($B56,COMPOS!$A$4:A$801,0),6))))</f>
        <v>0</v>
      </c>
      <c r="I56" s="279">
        <f t="shared" si="6"/>
        <v>18.239999999999998</v>
      </c>
      <c r="J56" s="276">
        <f t="shared" si="7"/>
        <v>200.64</v>
      </c>
      <c r="O56" s="261"/>
    </row>
    <row r="57" spans="1:15" s="41" customFormat="1" ht="24">
      <c r="A57" s="251" t="s">
        <v>7</v>
      </c>
      <c r="B57" s="289">
        <v>91959</v>
      </c>
      <c r="C57" s="301" t="str">
        <f>(IF($A57="SINAPI",INDEX(SINAPI_NOV2020_NDES!$A$7:$H$6703,MATCH($B57,SINAPI_NOV2020_NDES!$A$7:$A$6703,0),2),IF($A57="GOINFRA",INDEX(#REF!,MATCH($B57,#REF!,0),2),(INDEX(COMPOS!$A$4:$G$390,MATCH($B57,COMPOS!$A$4:A$390,0),2)))))</f>
        <v>INTERRUPTOR SIMPLES (2 MÓDULOS), 10A/250V, INCLUINDO SUPORTE E PLACA - FORNECIMENTO E INSTALAÇÃO. AF_12/2015</v>
      </c>
      <c r="D57" s="274" t="str">
        <f>(IF($A57="SINAPI",INDEX(SINAPI_NOV2020_NDES!$A$7:$H$6790,MATCH($B57,SINAPI_NOV2020_NDES!$A$7:$A$6790,0),3),(INDEX(COMPOS!$A$4:$G$5000,MATCH($B57,COMPOS!$A$4:$A$5000,0),3))))</f>
        <v>UN</v>
      </c>
      <c r="E57" s="280">
        <v>6</v>
      </c>
      <c r="F57" s="279">
        <f>(IF($A57="SINAPI",INDEX(SINAPI_NOV2020_NDES!$A$7:$H$6703,MATCH($B57,SINAPI_NOV2020_NDES!$A$7:$A$6703,0),5),(INDEX(COMPOS!$A$4:$G$801,MATCH($B57,COMPOS!$A$4:A$801,0),4))))</f>
        <v>13.65</v>
      </c>
      <c r="G57" s="280">
        <f>(IF($A57="SINAPI",INDEX(SINAPI_NOV2020_NDES!$A$7:$H$6703,MATCH($B57,SINAPI_NOV2020_NDES!$A$7:$A$6703,0),6),(INDEX(COMPOS!$A$4:$G$801,MATCH($B57,COMPOS!$A$4:A$801,0),5))))</f>
        <v>15.13</v>
      </c>
      <c r="H57" s="280">
        <f>(IF($A57="SINAPI",INDEX(SINAPI_NOV2020_NDES!$A$7:$H$6703,MATCH($B57,SINAPI_NOV2020_NDES!$A$7:$A$6703,0),7),(INDEX(COMPOS!$A$4:$G$801,MATCH($B57,COMPOS!$A$4:A$801,0),6))))</f>
        <v>0</v>
      </c>
      <c r="I57" s="279">
        <f t="shared" si="6"/>
        <v>28.78</v>
      </c>
      <c r="J57" s="276">
        <f t="shared" si="7"/>
        <v>172.68</v>
      </c>
      <c r="O57" s="261"/>
    </row>
    <row r="58" spans="1:15" s="41" customFormat="1" ht="12">
      <c r="A58" s="251" t="s">
        <v>6307</v>
      </c>
      <c r="B58" s="289">
        <v>727</v>
      </c>
      <c r="C58" s="301" t="str">
        <f>(IF($A58="SINAPI",INDEX(SINAPI_NOV2020_NDES!$A$7:$H$6703,MATCH($B58,SINAPI_NOV2020_NDES!$A$7:$A$6703,0),2),IF($A58="GOINFRA",INDEX(#REF!,MATCH($B58,#REF!,0),2),(INDEX(COMPOS!$A$4:$G$390,MATCH($B58,COMPOS!$A$4:A$390,0),2)))))</f>
        <v>LUMINARIA PARA JARDIM C/POSTE 2,5M, BASE CONC. E 02 GLOBOS/LEITOSOS</v>
      </c>
      <c r="D58" s="274" t="str">
        <f>(IF($A58="SINAPI",INDEX(SINAPI_NOV2020_NDES!$A$7:$H$6790,MATCH($B58,SINAPI_NOV2020_NDES!$A$7:$A$6790,0),3),(INDEX(COMPOS!$A$4:$G$5000,MATCH($B58,COMPOS!$A$4:$A$5000,0),3))))</f>
        <v>UN</v>
      </c>
      <c r="E58" s="280">
        <v>13</v>
      </c>
      <c r="F58" s="279">
        <f>(IF($A58="SINAPI",INDEX(SINAPI_NOV2020_NDES!$A$7:$H$6703,MATCH($B58,SINAPI_NOV2020_NDES!$A$7:$A$6703,0),5),(INDEX(COMPOS!$A$4:$G$801,MATCH($B58,COMPOS!$A$4:A$801,0),4))))</f>
        <v>112.92670400000002</v>
      </c>
      <c r="G58" s="280">
        <f>(IF($A58="SINAPI",INDEX(SINAPI_NOV2020_NDES!$A$7:$H$6703,MATCH($B58,SINAPI_NOV2020_NDES!$A$7:$A$6703,0),6),(INDEX(COMPOS!$A$4:$G$801,MATCH($B58,COMPOS!$A$4:A$801,0),5))))</f>
        <v>480.118448</v>
      </c>
      <c r="H58" s="280">
        <f>(IF($A58="SINAPI",INDEX(SINAPI_NOV2020_NDES!$A$7:$H$6703,MATCH($B58,SINAPI_NOV2020_NDES!$A$7:$A$6703,0),7),(INDEX(COMPOS!$A$4:$G$801,MATCH($B58,COMPOS!$A$4:A$801,0),6))))</f>
        <v>0</v>
      </c>
      <c r="I58" s="279">
        <f>SUM(F58:H58)</f>
        <v>593.04515200000003</v>
      </c>
      <c r="J58" s="276">
        <f>+I58*E58</f>
        <v>7709.5869760000005</v>
      </c>
      <c r="O58" s="261"/>
    </row>
    <row r="59" spans="1:15" s="41" customFormat="1" ht="12">
      <c r="A59" s="251" t="s">
        <v>6307</v>
      </c>
      <c r="B59" s="289">
        <v>779</v>
      </c>
      <c r="C59" s="301" t="str">
        <f>(IF($A59="SINAPI",INDEX(SINAPI_NOV2020_NDES!$A$7:$H$6703,MATCH($B59,SINAPI_NOV2020_NDES!$A$7:$A$6703,0),2),IF($A59="GOINFRA",INDEX(#REF!,MATCH($B59,#REF!,0),2),(INDEX(COMPOS!$A$4:$G$390,MATCH($B59,COMPOS!$A$4:A$390,0),2)))))</f>
        <v>INTERRUPTOR DIFERENCIAL RESIDUAL (DR) BIPOLAR 25A - 30mA</v>
      </c>
      <c r="D59" s="274" t="str">
        <f>(IF($A59="SINAPI",INDEX(SINAPI_NOV2020_NDES!$A$7:$H$6790,MATCH($B59,SINAPI_NOV2020_NDES!$A$7:$A$6790,0),3),(INDEX(COMPOS!$A$4:$G$5000,MATCH($B59,COMPOS!$A$4:$A$5000,0),3))))</f>
        <v>UN</v>
      </c>
      <c r="E59" s="280">
        <v>56</v>
      </c>
      <c r="F59" s="279">
        <f>(IF($A59="SINAPI",INDEX(SINAPI_NOV2020_NDES!$A$7:$H$6703,MATCH($B59,SINAPI_NOV2020_NDES!$A$7:$A$6703,0),5),(INDEX(COMPOS!$A$4:$G$801,MATCH($B59,COMPOS!$A$4:A$801,0),4))))</f>
        <v>23.177999999999997</v>
      </c>
      <c r="G59" s="280">
        <f>(IF($A59="SINAPI",INDEX(SINAPI_NOV2020_NDES!$A$7:$H$6703,MATCH($B59,SINAPI_NOV2020_NDES!$A$7:$A$6703,0),6),(INDEX(COMPOS!$A$4:$G$801,MATCH($B59,COMPOS!$A$4:A$801,0),5))))</f>
        <v>129.58000000000001</v>
      </c>
      <c r="H59" s="280">
        <f>(IF($A59="SINAPI",INDEX(SINAPI_NOV2020_NDES!$A$7:$H$6703,MATCH($B59,SINAPI_NOV2020_NDES!$A$7:$A$6703,0),7),(INDEX(COMPOS!$A$4:$G$801,MATCH($B59,COMPOS!$A$4:A$801,0),6))))</f>
        <v>0</v>
      </c>
      <c r="I59" s="279">
        <f>SUM(F59:H59)</f>
        <v>152.75800000000001</v>
      </c>
      <c r="J59" s="276">
        <f>+I59*E59</f>
        <v>8554.4480000000003</v>
      </c>
      <c r="O59" s="261"/>
    </row>
    <row r="60" spans="1:15" s="41" customFormat="1" ht="24">
      <c r="A60" s="251" t="s">
        <v>7</v>
      </c>
      <c r="B60" s="289">
        <v>91975</v>
      </c>
      <c r="C60" s="301" t="str">
        <f>(IF($A60="SINAPI",INDEX(SINAPI_NOV2020_NDES!$A$7:$H$6703,MATCH($B60,SINAPI_NOV2020_NDES!$A$7:$A$6703,0),2),IF($A60="GOINFRA",INDEX(#REF!,MATCH($B60,#REF!,0),2),(INDEX(COMPOS!$A$4:$G$390,MATCH($B60,COMPOS!$A$4:A$390,0),2)))))</f>
        <v>INTERRUPTOR SIMPLES (4 MÓDULOS), 10A/250V, INCLUINDO SUPORTE E PLACA - FORNECIMENTO E INSTALAÇÃO. AF_12/2015</v>
      </c>
      <c r="D60" s="274" t="str">
        <f>(IF($A60="SINAPI",INDEX(SINAPI_NOV2020_NDES!$A$7:$H$6790,MATCH($B60,SINAPI_NOV2020_NDES!$A$7:$A$6790,0),3),(INDEX(COMPOS!$A$4:$G$5000,MATCH($B60,COMPOS!$A$4:$A$5000,0),3))))</f>
        <v>UN</v>
      </c>
      <c r="E60" s="280">
        <v>1</v>
      </c>
      <c r="F60" s="279">
        <f>(IF($A60="SINAPI",INDEX(SINAPI_NOV2020_NDES!$A$7:$H$6703,MATCH($B60,SINAPI_NOV2020_NDES!$A$7:$A$6703,0),5),(INDEX(COMPOS!$A$4:$G$801,MATCH($B60,COMPOS!$A$4:A$801,0),4))))</f>
        <v>23.93</v>
      </c>
      <c r="G60" s="280">
        <f>(IF($A60="SINAPI",INDEX(SINAPI_NOV2020_NDES!$A$7:$H$6703,MATCH($B60,SINAPI_NOV2020_NDES!$A$7:$A$6703,0),6),(INDEX(COMPOS!$A$4:$G$801,MATCH($B60,COMPOS!$A$4:A$801,0),5))))</f>
        <v>29.07</v>
      </c>
      <c r="H60" s="280">
        <f>(IF($A60="SINAPI",INDEX(SINAPI_NOV2020_NDES!$A$7:$H$6703,MATCH($B60,SINAPI_NOV2020_NDES!$A$7:$A$6703,0),7),(INDEX(COMPOS!$A$4:$G$801,MATCH($B60,COMPOS!$A$4:A$801,0),6))))</f>
        <v>0</v>
      </c>
      <c r="I60" s="279">
        <f t="shared" si="6"/>
        <v>53</v>
      </c>
      <c r="J60" s="276">
        <f t="shared" si="7"/>
        <v>53</v>
      </c>
      <c r="O60" s="261"/>
    </row>
    <row r="61" spans="1:15" s="41" customFormat="1" ht="24">
      <c r="A61" s="251" t="s">
        <v>7</v>
      </c>
      <c r="B61" s="289">
        <v>91977</v>
      </c>
      <c r="C61" s="301" t="str">
        <f>(IF($A61="SINAPI",INDEX(SINAPI_NOV2020_NDES!$A$7:$H$6703,MATCH($B61,SINAPI_NOV2020_NDES!$A$7:$A$6703,0),2),IF($A61="GOINFRA",INDEX(#REF!,MATCH($B61,#REF!,0),2),(INDEX(COMPOS!$A$4:$G$390,MATCH($B61,COMPOS!$A$4:A$390,0),2)))))</f>
        <v>INTERRUPTOR SIMPLES (6 MÓDULOS), 10A/250V, INCLUINDO SUPORTE E PLACA - FORNECIMENTO E INSTALAÇÃO. AF_12/2015</v>
      </c>
      <c r="D61" s="274" t="str">
        <f>(IF($A61="SINAPI",INDEX(SINAPI_NOV2020_NDES!$A$7:$H$6790,MATCH($B61,SINAPI_NOV2020_NDES!$A$7:$A$6790,0),3),(INDEX(COMPOS!$A$4:$G$5000,MATCH($B61,COMPOS!$A$4:$A$5000,0),3))))</f>
        <v>UN</v>
      </c>
      <c r="E61" s="280">
        <v>8</v>
      </c>
      <c r="F61" s="279">
        <f>(IF($A61="SINAPI",INDEX(SINAPI_NOV2020_NDES!$A$7:$H$6703,MATCH($B61,SINAPI_NOV2020_NDES!$A$7:$A$6703,0),5),(INDEX(COMPOS!$A$4:$G$801,MATCH($B61,COMPOS!$A$4:A$801,0),4))))</f>
        <v>33.71</v>
      </c>
      <c r="G61" s="280">
        <f>(IF($A61="SINAPI",INDEX(SINAPI_NOV2020_NDES!$A$7:$H$6703,MATCH($B61,SINAPI_NOV2020_NDES!$A$7:$A$6703,0),6),(INDEX(COMPOS!$A$4:$G$801,MATCH($B61,COMPOS!$A$4:A$801,0),5))))</f>
        <v>40.450000000000003</v>
      </c>
      <c r="H61" s="280">
        <f>(IF($A61="SINAPI",INDEX(SINAPI_NOV2020_NDES!$A$7:$H$6703,MATCH($B61,SINAPI_NOV2020_NDES!$A$7:$A$6703,0),7),(INDEX(COMPOS!$A$4:$G$801,MATCH($B61,COMPOS!$A$4:A$801,0),6))))</f>
        <v>0</v>
      </c>
      <c r="I61" s="279">
        <f t="shared" si="6"/>
        <v>74.16</v>
      </c>
      <c r="J61" s="276">
        <f t="shared" si="7"/>
        <v>593.28</v>
      </c>
      <c r="O61" s="261"/>
    </row>
    <row r="62" spans="1:15" s="41" customFormat="1" ht="12">
      <c r="A62" s="251" t="s">
        <v>6307</v>
      </c>
      <c r="B62" s="289">
        <v>777</v>
      </c>
      <c r="C62" s="301" t="str">
        <f>(IF($A62="SINAPI",INDEX(SINAPI_NOV2020_NDES!$A$7:$H$6703,MATCH($B62,SINAPI_NOV2020_NDES!$A$7:$A$6703,0),2),IF($A62="GOINFRA",INDEX(#REF!,MATCH($B62,#REF!,0),2),(INDEX(COMPOS!$A$4:$G$390,MATCH($B62,COMPOS!$A$4:A$390,0),2)))))</f>
        <v>QUADRO DE DISTRIBUIÇÃO DE EMBUTIR METÁLICO CB 20E - 100A</v>
      </c>
      <c r="D62" s="274" t="str">
        <f>(IF($A62="SINAPI",INDEX(SINAPI_NOV2020_NDES!$A$7:$H$6790,MATCH($B62,SINAPI_NOV2020_NDES!$A$7:$A$6790,0),3),(INDEX(COMPOS!$A$4:$G$5000,MATCH($B62,COMPOS!$A$4:$A$5000,0),3))))</f>
        <v>UN</v>
      </c>
      <c r="E62" s="280">
        <v>8</v>
      </c>
      <c r="F62" s="279">
        <f>(IF($A62="SINAPI",INDEX(SINAPI_NOV2020_NDES!$A$7:$H$6703,MATCH($B62,SINAPI_NOV2020_NDES!$A$7:$A$6703,0),5),(INDEX(COMPOS!$A$4:$G$801,MATCH($B62,COMPOS!$A$4:A$801,0),4))))</f>
        <v>115.89</v>
      </c>
      <c r="G62" s="280">
        <f>(IF($A62="SINAPI",INDEX(SINAPI_NOV2020_NDES!$A$7:$H$6703,MATCH($B62,SINAPI_NOV2020_NDES!$A$7:$A$6703,0),6),(INDEX(COMPOS!$A$4:$G$801,MATCH($B62,COMPOS!$A$4:A$801,0),5))))</f>
        <v>366.2166666666667</v>
      </c>
      <c r="H62" s="280">
        <f>(IF($A62="SINAPI",INDEX(SINAPI_NOV2020_NDES!$A$7:$H$6703,MATCH($B62,SINAPI_NOV2020_NDES!$A$7:$A$6703,0),7),(INDEX(COMPOS!$A$4:$G$801,MATCH($B62,COMPOS!$A$4:A$801,0),6))))</f>
        <v>0</v>
      </c>
      <c r="I62" s="279">
        <f>SUM(F62:H62)</f>
        <v>482.10666666666668</v>
      </c>
      <c r="J62" s="276">
        <f>+I62*E62</f>
        <v>3856.8533333333335</v>
      </c>
      <c r="O62" s="261"/>
    </row>
    <row r="63" spans="1:15" s="41" customFormat="1" ht="12">
      <c r="A63" s="251" t="s">
        <v>6307</v>
      </c>
      <c r="B63" s="289">
        <v>748</v>
      </c>
      <c r="C63" s="301" t="str">
        <f>(IF($A63="SINAPI",INDEX(SINAPI_NOV2020_NDES!$A$7:$H$6703,MATCH($B63,SINAPI_NOV2020_NDES!$A$7:$A$6703,0),2),IF($A63="GOINFRA",INDEX(#REF!,MATCH($B63,#REF!,0),2),(INDEX(COMPOS!$A$4:$G$390,MATCH($B63,COMPOS!$A$4:A$390,0),2)))))</f>
        <v>TOMADA HEXAGONAL 2P + T - 20A - 250V (LINHA X OU EQUIVALENTE)</v>
      </c>
      <c r="D63" s="274" t="str">
        <f>(IF($A63="SINAPI",INDEX(SINAPI_NOV2020_NDES!$A$7:$H$6790,MATCH($B63,SINAPI_NOV2020_NDES!$A$7:$A$6790,0),3),(INDEX(COMPOS!$A$4:$G$5000,MATCH($B63,COMPOS!$A$4:$A$5000,0),3))))</f>
        <v>UN</v>
      </c>
      <c r="E63" s="280">
        <v>56</v>
      </c>
      <c r="F63" s="279">
        <f>(IF($A63="SINAPI",INDEX(SINAPI_NOV2020_NDES!$A$7:$H$6703,MATCH($B63,SINAPI_NOV2020_NDES!$A$7:$A$6703,0),5),(INDEX(COMPOS!$A$4:$G$801,MATCH($B63,COMPOS!$A$4:A$801,0),4))))</f>
        <v>11.2027</v>
      </c>
      <c r="G63" s="280">
        <f>(IF($A63="SINAPI",INDEX(SINAPI_NOV2020_NDES!$A$7:$H$6703,MATCH($B63,SINAPI_NOV2020_NDES!$A$7:$A$6703,0),6),(INDEX(COMPOS!$A$4:$G$801,MATCH($B63,COMPOS!$A$4:A$801,0),5))))</f>
        <v>10.58</v>
      </c>
      <c r="H63" s="280">
        <f>(IF($A63="SINAPI",INDEX(SINAPI_NOV2020_NDES!$A$7:$H$6703,MATCH($B63,SINAPI_NOV2020_NDES!$A$7:$A$6703,0),7),(INDEX(COMPOS!$A$4:$G$801,MATCH($B63,COMPOS!$A$4:A$801,0),6))))</f>
        <v>0</v>
      </c>
      <c r="I63" s="279">
        <f>SUM(F63:H63)</f>
        <v>21.782699999999998</v>
      </c>
      <c r="J63" s="276">
        <f>+I63*E63</f>
        <v>1219.8311999999999</v>
      </c>
      <c r="O63" s="261"/>
    </row>
    <row r="64" spans="1:15" s="41" customFormat="1" ht="24">
      <c r="A64" s="251" t="s">
        <v>7</v>
      </c>
      <c r="B64" s="289">
        <v>91996</v>
      </c>
      <c r="C64" s="301" t="str">
        <f>(IF($A64="SINAPI",INDEX(SINAPI_NOV2020_NDES!$A$7:$H$6703,MATCH($B64,SINAPI_NOV2020_NDES!$A$7:$A$6703,0),2),IF($A64="GOINFRA",INDEX(#REF!,MATCH($B64,#REF!,0),2),(INDEX(COMPOS!$A$4:$G$390,MATCH($B64,COMPOS!$A$4:A$390,0),2)))))</f>
        <v>TOMADA MÉDIA DE EMBUTIR (1 MÓDULO), 2P+T 10 A, INCLUINDO SUPORTE E PLACA - FORNECIMENTO E INSTALAÇÃO. AF_12/2015</v>
      </c>
      <c r="D64" s="274" t="str">
        <f>(IF($A64="SINAPI",INDEX(SINAPI_NOV2020_NDES!$A$7:$H$6790,MATCH($B64,SINAPI_NOV2020_NDES!$A$7:$A$6790,0),3),(INDEX(COMPOS!$A$4:$G$5000,MATCH($B64,COMPOS!$A$4:$A$5000,0),3))))</f>
        <v>UN</v>
      </c>
      <c r="E64" s="280">
        <v>74</v>
      </c>
      <c r="F64" s="279">
        <f>(IF($A64="SINAPI",INDEX(SINAPI_NOV2020_NDES!$A$7:$H$6703,MATCH($B64,SINAPI_NOV2020_NDES!$A$7:$A$6703,0),5),(INDEX(COMPOS!$A$4:$G$801,MATCH($B64,COMPOS!$A$4:A$801,0),4))))</f>
        <v>11.25</v>
      </c>
      <c r="G64" s="280">
        <f>(IF($A64="SINAPI",INDEX(SINAPI_NOV2020_NDES!$A$7:$H$6703,MATCH($B64,SINAPI_NOV2020_NDES!$A$7:$A$6703,0),6),(INDEX(COMPOS!$A$4:$G$801,MATCH($B64,COMPOS!$A$4:A$801,0),5))))</f>
        <v>10.78</v>
      </c>
      <c r="H64" s="280">
        <f>(IF($A64="SINAPI",INDEX(SINAPI_NOV2020_NDES!$A$7:$H$6703,MATCH($B64,SINAPI_NOV2020_NDES!$A$7:$A$6703,0),7),(INDEX(COMPOS!$A$4:$G$801,MATCH($B64,COMPOS!$A$4:A$801,0),6))))</f>
        <v>0</v>
      </c>
      <c r="I64" s="279">
        <f t="shared" si="6"/>
        <v>22.03</v>
      </c>
      <c r="J64" s="276">
        <f t="shared" si="7"/>
        <v>1630.22</v>
      </c>
      <c r="O64" s="261"/>
    </row>
    <row r="65" spans="1:1005" s="41" customFormat="1" ht="24">
      <c r="A65" s="251" t="s">
        <v>7</v>
      </c>
      <c r="B65" s="289">
        <v>97610</v>
      </c>
      <c r="C65" s="301" t="str">
        <f>(IF($A65="SINAPI",INDEX(SINAPI_NOV2020_NDES!$A$7:$H$6703,MATCH($B65,SINAPI_NOV2020_NDES!$A$7:$A$6703,0),2),IF($A65="GOINFRA",INDEX(#REF!,MATCH($B65,#REF!,0),2),(INDEX(COMPOS!$A$4:$G$390,MATCH($B65,COMPOS!$A$4:A$390,0),2)))))</f>
        <v>LÂMPADA COMPACTA DE LED 10 W, BASE E27 - FORNECIMENTO E INSTALAÇÃO. AF_02/2020</v>
      </c>
      <c r="D65" s="274" t="str">
        <f>(IF($A65="SINAPI",INDEX(SINAPI_NOV2020_NDES!$A$7:$H$6790,MATCH($B65,SINAPI_NOV2020_NDES!$A$7:$A$6790,0),3),(INDEX(COMPOS!$A$4:$G$5000,MATCH($B65,COMPOS!$A$4:$A$5000,0),3))))</f>
        <v>UN</v>
      </c>
      <c r="E65" s="280">
        <v>82</v>
      </c>
      <c r="F65" s="279">
        <f>(IF($A65="SINAPI",INDEX(SINAPI_NOV2020_NDES!$A$7:$H$6703,MATCH($B65,SINAPI_NOV2020_NDES!$A$7:$A$6703,0),5),(INDEX(COMPOS!$A$4:$G$801,MATCH($B65,COMPOS!$A$4:A$801,0),4))))</f>
        <v>3.7</v>
      </c>
      <c r="G65" s="280">
        <f>(IF($A65="SINAPI",INDEX(SINAPI_NOV2020_NDES!$A$7:$H$6703,MATCH($B65,SINAPI_NOV2020_NDES!$A$7:$A$6703,0),6),(INDEX(COMPOS!$A$4:$G$801,MATCH($B65,COMPOS!$A$4:A$801,0),5))))</f>
        <v>12.36</v>
      </c>
      <c r="H65" s="280">
        <f>(IF($A65="SINAPI",INDEX(SINAPI_NOV2020_NDES!$A$7:$H$6703,MATCH($B65,SINAPI_NOV2020_NDES!$A$7:$A$6703,0),7),(INDEX(COMPOS!$A$4:$G$801,MATCH($B65,COMPOS!$A$4:A$801,0),6))))</f>
        <v>0</v>
      </c>
      <c r="I65" s="279">
        <f t="shared" si="6"/>
        <v>16.059999999999999</v>
      </c>
      <c r="J65" s="276">
        <f t="shared" si="7"/>
        <v>1316.9199999999998</v>
      </c>
      <c r="O65" s="261"/>
    </row>
    <row r="66" spans="1:1005" s="41" customFormat="1" ht="24">
      <c r="A66" s="251" t="s">
        <v>7</v>
      </c>
      <c r="B66" s="289">
        <v>97610</v>
      </c>
      <c r="C66" s="301" t="str">
        <f>(IF($A66="SINAPI",INDEX(SINAPI_NOV2020_NDES!$A$7:$H$6703,MATCH($B66,SINAPI_NOV2020_NDES!$A$7:$A$6703,0),2),IF($A66="GOINFRA",INDEX(#REF!,MATCH($B66,#REF!,0),2),(INDEX(COMPOS!$A$4:$G$390,MATCH($B66,COMPOS!$A$4:A$390,0),2)))))</f>
        <v>LÂMPADA COMPACTA DE LED 10 W, BASE E27 - FORNECIMENTO E INSTALAÇÃO. AF_02/2020</v>
      </c>
      <c r="D66" s="274" t="str">
        <f>(IF($A66="SINAPI",INDEX(SINAPI_NOV2020_NDES!$A$7:$H$6790,MATCH($B66,SINAPI_NOV2020_NDES!$A$7:$A$6790,0),3),(INDEX(COMPOS!$A$4:$G$5000,MATCH($B66,COMPOS!$A$4:$A$5000,0),3))))</f>
        <v>UN</v>
      </c>
      <c r="E66" s="280">
        <v>8</v>
      </c>
      <c r="F66" s="279">
        <f>(IF($A66="SINAPI",INDEX(SINAPI_NOV2020_NDES!$A$7:$H$6703,MATCH($B66,SINAPI_NOV2020_NDES!$A$7:$A$6703,0),5),(INDEX(COMPOS!$A$4:$G$801,MATCH($B66,COMPOS!$A$4:A$801,0),4))))</f>
        <v>3.7</v>
      </c>
      <c r="G66" s="280">
        <f>(IF($A66="SINAPI",INDEX(SINAPI_NOV2020_NDES!$A$7:$H$6703,MATCH($B66,SINAPI_NOV2020_NDES!$A$7:$A$6703,0),6),(INDEX(COMPOS!$A$4:$G$801,MATCH($B66,COMPOS!$A$4:A$801,0),5))))</f>
        <v>12.36</v>
      </c>
      <c r="H66" s="280">
        <f>(IF($A66="SINAPI",INDEX(SINAPI_NOV2020_NDES!$A$7:$H$6703,MATCH($B66,SINAPI_NOV2020_NDES!$A$7:$A$6703,0),7),(INDEX(COMPOS!$A$4:$G$801,MATCH($B66,COMPOS!$A$4:A$801,0),6))))</f>
        <v>0</v>
      </c>
      <c r="I66" s="279">
        <f t="shared" si="6"/>
        <v>16.059999999999999</v>
      </c>
      <c r="J66" s="276">
        <f t="shared" si="7"/>
        <v>128.47999999999999</v>
      </c>
      <c r="O66" s="261"/>
    </row>
    <row r="67" spans="1:1005" s="41" customFormat="1" ht="36">
      <c r="A67" s="251" t="s">
        <v>7</v>
      </c>
      <c r="B67" s="289">
        <v>97608</v>
      </c>
      <c r="C67" s="301" t="str">
        <f>(IF($A67="SINAPI",INDEX(SINAPI_NOV2020_NDES!$A$7:$H$6703,MATCH($B67,SINAPI_NOV2020_NDES!$A$7:$A$6703,0),2),IF($A67="GOINFRA",INDEX(#REF!,MATCH($B67,#REF!,0),2),(INDEX(COMPOS!$A$4:$G$390,MATCH($B67,COMPOS!$A$4:A$390,0),2)))))</f>
        <v>LUMINÁRIA ARANDELA TIPO TARTARUGA, COM GRADE, DE SOBREPOR, COM 1 LÂMPADA FLUORESCENTE DE 15 W, SEM REATOR - FORNECIMENTO E INSTALAÇÃO. AF_02/2020</v>
      </c>
      <c r="D67" s="274" t="str">
        <f>(IF($A67="SINAPI",INDEX(SINAPI_NOV2020_NDES!$A$7:$H$6790,MATCH($B67,SINAPI_NOV2020_NDES!$A$7:$A$6790,0),3),(INDEX(COMPOS!$A$4:$G$5000,MATCH($B67,COMPOS!$A$4:$A$5000,0),3))))</f>
        <v>UN</v>
      </c>
      <c r="E67" s="280">
        <v>16</v>
      </c>
      <c r="F67" s="279">
        <f>(IF($A67="SINAPI",INDEX(SINAPI_NOV2020_NDES!$A$7:$H$6703,MATCH($B67,SINAPI_NOV2020_NDES!$A$7:$A$6703,0),5),(INDEX(COMPOS!$A$4:$G$801,MATCH($B67,COMPOS!$A$4:A$801,0),4))))</f>
        <v>12.33</v>
      </c>
      <c r="G67" s="280">
        <f>(IF($A67="SINAPI",INDEX(SINAPI_NOV2020_NDES!$A$7:$H$6703,MATCH($B67,SINAPI_NOV2020_NDES!$A$7:$A$6703,0),6),(INDEX(COMPOS!$A$4:$G$801,MATCH($B67,COMPOS!$A$4:A$801,0),5))))</f>
        <v>61.64</v>
      </c>
      <c r="H67" s="280">
        <f>(IF($A67="SINAPI",INDEX(SINAPI_NOV2020_NDES!$A$7:$H$6703,MATCH($B67,SINAPI_NOV2020_NDES!$A$7:$A$6703,0),7),(INDEX(COMPOS!$A$4:$G$801,MATCH($B67,COMPOS!$A$4:A$801,0),6))))</f>
        <v>0</v>
      </c>
      <c r="I67" s="279">
        <f t="shared" si="6"/>
        <v>73.97</v>
      </c>
      <c r="J67" s="276">
        <f t="shared" si="7"/>
        <v>1183.52</v>
      </c>
      <c r="O67" s="261"/>
    </row>
    <row r="68" spans="1:1005" s="41" customFormat="1" ht="36">
      <c r="A68" s="251" t="s">
        <v>7</v>
      </c>
      <c r="B68" s="289">
        <v>97608</v>
      </c>
      <c r="C68" s="301" t="str">
        <f>(IF($A68="SINAPI",INDEX(SINAPI_NOV2020_NDES!$A$7:$H$6703,MATCH($B68,SINAPI_NOV2020_NDES!$A$7:$A$6703,0),2),IF($A68="GOINFRA",INDEX(#REF!,MATCH($B68,#REF!,0),2),(INDEX(COMPOS!$A$4:$G$390,MATCH($B68,COMPOS!$A$4:A$390,0),2)))))</f>
        <v>LUMINÁRIA ARANDELA TIPO TARTARUGA, COM GRADE, DE SOBREPOR, COM 1 LÂMPADA FLUORESCENTE DE 15 W, SEM REATOR - FORNECIMENTO E INSTALAÇÃO. AF_02/2020</v>
      </c>
      <c r="D68" s="274" t="str">
        <f>(IF($A68="SINAPI",INDEX(SINAPI_NOV2020_NDES!$A$7:$H$6790,MATCH($B68,SINAPI_NOV2020_NDES!$A$7:$A$6790,0),3),(INDEX(COMPOS!$A$4:$G$5000,MATCH($B68,COMPOS!$A$4:$A$5000,0),3))))</f>
        <v>UN</v>
      </c>
      <c r="E68" s="280">
        <v>64</v>
      </c>
      <c r="F68" s="279">
        <f>(IF($A68="SINAPI",INDEX(SINAPI_NOV2020_NDES!$A$7:$H$6703,MATCH($B68,SINAPI_NOV2020_NDES!$A$7:$A$6703,0),5),(INDEX(COMPOS!$A$4:$G$801,MATCH($B68,COMPOS!$A$4:A$801,0),4))))</f>
        <v>12.33</v>
      </c>
      <c r="G68" s="280">
        <f>(IF($A68="SINAPI",INDEX(SINAPI_NOV2020_NDES!$A$7:$H$6703,MATCH($B68,SINAPI_NOV2020_NDES!$A$7:$A$6703,0),6),(INDEX(COMPOS!$A$4:$G$801,MATCH($B68,COMPOS!$A$4:A$801,0),5))))</f>
        <v>61.64</v>
      </c>
      <c r="H68" s="280">
        <f>(IF($A68="SINAPI",INDEX(SINAPI_NOV2020_NDES!$A$7:$H$6703,MATCH($B68,SINAPI_NOV2020_NDES!$A$7:$A$6703,0),7),(INDEX(COMPOS!$A$4:$G$801,MATCH($B68,COMPOS!$A$4:A$801,0),6))))</f>
        <v>0</v>
      </c>
      <c r="I68" s="279">
        <f t="shared" si="6"/>
        <v>73.97</v>
      </c>
      <c r="J68" s="276">
        <f t="shared" si="7"/>
        <v>4734.08</v>
      </c>
      <c r="O68" s="261"/>
    </row>
    <row r="69" spans="1:1005" s="41" customFormat="1" ht="12">
      <c r="A69" s="251" t="s">
        <v>6307</v>
      </c>
      <c r="B69" s="289">
        <v>315</v>
      </c>
      <c r="C69" s="301" t="str">
        <f>(IF($A69="SINAPI",INDEX(SINAPI_NOV2020_NDES!$A$7:$H$6703,MATCH($B69,SINAPI_NOV2020_NDES!$A$7:$A$6703,0),2),IF($A69="GOINFRA",INDEX(#REF!,MATCH($B69,#REF!,0),2),(INDEX(COMPOS!$A$4:$G$390,MATCH($B69,COMPOS!$A$4:A$390,0),2)))))</f>
        <v>LUMINÁRIA HERMÉTICA IP-65, PARA 02 LÂMPADAS</v>
      </c>
      <c r="D69" s="274" t="str">
        <f>(IF($A69="SINAPI",INDEX(SINAPI_NOV2020_NDES!$A$7:$H$6790,MATCH($B69,SINAPI_NOV2020_NDES!$A$7:$A$6790,0),3),(INDEX(COMPOS!$A$4:$G$5000,MATCH($B69,COMPOS!$A$4:$A$5000,0),3))))</f>
        <v>UN</v>
      </c>
      <c r="E69" s="280">
        <v>2</v>
      </c>
      <c r="F69" s="279">
        <f>(IF($A69="SINAPI",INDEX(SINAPI_NOV2020_NDES!$A$7:$H$6703,MATCH($B69,SINAPI_NOV2020_NDES!$A$7:$A$6703,0),5),(INDEX(COMPOS!$A$4:$G$801,MATCH($B69,COMPOS!$A$4:A$801,0),4))))</f>
        <v>25.132678000000002</v>
      </c>
      <c r="G69" s="280">
        <f>(IF($A69="SINAPI",INDEX(SINAPI_NOV2020_NDES!$A$7:$H$6703,MATCH($B69,SINAPI_NOV2020_NDES!$A$7:$A$6703,0),6),(INDEX(COMPOS!$A$4:$G$801,MATCH($B69,COMPOS!$A$4:A$801,0),5))))</f>
        <v>107.03</v>
      </c>
      <c r="H69" s="280">
        <f>(IF($A69="SINAPI",INDEX(SINAPI_NOV2020_NDES!$A$7:$H$6703,MATCH($B69,SINAPI_NOV2020_NDES!$A$7:$A$6703,0),7),(INDEX(COMPOS!$A$4:$G$801,MATCH($B69,COMPOS!$A$4:A$801,0),6))))</f>
        <v>0</v>
      </c>
      <c r="I69" s="279">
        <f>SUM(F69:H69)</f>
        <v>132.162678</v>
      </c>
      <c r="J69" s="276">
        <f>+I69*E69</f>
        <v>264.325356</v>
      </c>
      <c r="O69" s="261"/>
    </row>
    <row r="70" spans="1:1005" s="41" customFormat="1" ht="12">
      <c r="A70" s="251" t="s">
        <v>6307</v>
      </c>
      <c r="B70" s="289">
        <v>315</v>
      </c>
      <c r="C70" s="301" t="str">
        <f>(IF($A70="SINAPI",INDEX(SINAPI_NOV2020_NDES!$A$7:$H$6703,MATCH($B70,SINAPI_NOV2020_NDES!$A$7:$A$6703,0),2),IF($A70="GOINFRA",INDEX(#REF!,MATCH($B70,#REF!,0),2),(INDEX(COMPOS!$A$4:$G$390,MATCH($B70,COMPOS!$A$4:A$390,0),2)))))</f>
        <v>LUMINÁRIA HERMÉTICA IP-65, PARA 02 LÂMPADAS</v>
      </c>
      <c r="D70" s="274" t="str">
        <f>(IF($A70="SINAPI",INDEX(SINAPI_NOV2020_NDES!$A$7:$H$6790,MATCH($B70,SINAPI_NOV2020_NDES!$A$7:$A$6790,0),3),(INDEX(COMPOS!$A$4:$G$5000,MATCH($B70,COMPOS!$A$4:$A$5000,0),3))))</f>
        <v>UN</v>
      </c>
      <c r="E70" s="280">
        <v>45</v>
      </c>
      <c r="F70" s="279">
        <f>(IF($A70="SINAPI",INDEX(SINAPI_NOV2020_NDES!$A$7:$H$6703,MATCH($B70,SINAPI_NOV2020_NDES!$A$7:$A$6703,0),5),(INDEX(COMPOS!$A$4:$G$801,MATCH($B70,COMPOS!$A$4:A$801,0),4))))</f>
        <v>25.132678000000002</v>
      </c>
      <c r="G70" s="280">
        <f>(IF($A70="SINAPI",INDEX(SINAPI_NOV2020_NDES!$A$7:$H$6703,MATCH($B70,SINAPI_NOV2020_NDES!$A$7:$A$6703,0),6),(INDEX(COMPOS!$A$4:$G$801,MATCH($B70,COMPOS!$A$4:A$801,0),5))))</f>
        <v>107.03</v>
      </c>
      <c r="H70" s="280">
        <f>(IF($A70="SINAPI",INDEX(SINAPI_NOV2020_NDES!$A$7:$H$6703,MATCH($B70,SINAPI_NOV2020_NDES!$A$7:$A$6703,0),7),(INDEX(COMPOS!$A$4:$G$801,MATCH($B70,COMPOS!$A$4:A$801,0),6))))</f>
        <v>0</v>
      </c>
      <c r="I70" s="279">
        <f>SUM(F70:H70)</f>
        <v>132.162678</v>
      </c>
      <c r="J70" s="276">
        <f>+I70*E70</f>
        <v>5947.3205099999996</v>
      </c>
      <c r="O70" s="261"/>
    </row>
    <row r="71" spans="1:1005" s="41" customFormat="1" ht="24">
      <c r="A71" s="251" t="s">
        <v>7</v>
      </c>
      <c r="B71" s="289">
        <v>97592</v>
      </c>
      <c r="C71" s="301" t="str">
        <f>(IF($A71="SINAPI",INDEX(SINAPI_NOV2020_NDES!$A$7:$H$6703,MATCH($B71,SINAPI_NOV2020_NDES!$A$7:$A$6703,0),2),IF($A71="GOINFRA",INDEX(#REF!,MATCH($B71,#REF!,0),2),(INDEX(COMPOS!$A$4:$G$390,MATCH($B71,COMPOS!$A$4:A$390,0),2)))))</f>
        <v>LUMINÁRIA TIPO PLAFON, DE SOBREPOR, COM 1 LÂMPADA LED DE 12/13 W, SEM REATOR - FORNECIMENTO E INSTALAÇÃO. AF_02/2020</v>
      </c>
      <c r="D71" s="274" t="str">
        <f>(IF($A71="SINAPI",INDEX(SINAPI_NOV2020_NDES!$A$7:$H$6790,MATCH($B71,SINAPI_NOV2020_NDES!$A$7:$A$6790,0),3),(INDEX(COMPOS!$A$4:$G$5000,MATCH($B71,COMPOS!$A$4:$A$5000,0),3))))</f>
        <v>UN</v>
      </c>
      <c r="E71" s="280">
        <v>6</v>
      </c>
      <c r="F71" s="279">
        <f>(IF($A71="SINAPI",INDEX(SINAPI_NOV2020_NDES!$A$7:$H$6703,MATCH($B71,SINAPI_NOV2020_NDES!$A$7:$A$6703,0),5),(INDEX(COMPOS!$A$4:$G$801,MATCH($B71,COMPOS!$A$4:A$801,0),4))))</f>
        <v>11.98</v>
      </c>
      <c r="G71" s="280">
        <f>(IF($A71="SINAPI",INDEX(SINAPI_NOV2020_NDES!$A$7:$H$6703,MATCH($B71,SINAPI_NOV2020_NDES!$A$7:$A$6703,0),6),(INDEX(COMPOS!$A$4:$G$801,MATCH($B71,COMPOS!$A$4:A$801,0),5))))</f>
        <v>23.99</v>
      </c>
      <c r="H71" s="280">
        <f>(IF($A71="SINAPI",INDEX(SINAPI_NOV2020_NDES!$A$7:$H$6703,MATCH($B71,SINAPI_NOV2020_NDES!$A$7:$A$6703,0),7),(INDEX(COMPOS!$A$4:$G$801,MATCH($B71,COMPOS!$A$4:A$801,0),6))))</f>
        <v>0</v>
      </c>
      <c r="I71" s="279">
        <f t="shared" si="6"/>
        <v>35.97</v>
      </c>
      <c r="J71" s="276">
        <f t="shared" si="7"/>
        <v>215.82</v>
      </c>
      <c r="O71" s="261"/>
    </row>
    <row r="72" spans="1:1005" s="41" customFormat="1" ht="24">
      <c r="A72" s="251" t="s">
        <v>7</v>
      </c>
      <c r="B72" s="289">
        <v>97592</v>
      </c>
      <c r="C72" s="301" t="str">
        <f>(IF($A72="SINAPI",INDEX(SINAPI_NOV2020_NDES!$A$7:$H$6703,MATCH($B72,SINAPI_NOV2020_NDES!$A$7:$A$6703,0),2),IF($A72="GOINFRA",INDEX(#REF!,MATCH($B72,#REF!,0),2),(INDEX(COMPOS!$A$4:$G$390,MATCH($B72,COMPOS!$A$4:A$390,0),2)))))</f>
        <v>LUMINÁRIA TIPO PLAFON, DE SOBREPOR, COM 1 LÂMPADA LED DE 12/13 W, SEM REATOR - FORNECIMENTO E INSTALAÇÃO. AF_02/2020</v>
      </c>
      <c r="D72" s="274" t="str">
        <f>(IF($A72="SINAPI",INDEX(SINAPI_NOV2020_NDES!$A$7:$H$6790,MATCH($B72,SINAPI_NOV2020_NDES!$A$7:$A$6790,0),3),(INDEX(COMPOS!$A$4:$G$5000,MATCH($B72,COMPOS!$A$4:$A$5000,0),3))))</f>
        <v>UN</v>
      </c>
      <c r="E72" s="280">
        <v>2</v>
      </c>
      <c r="F72" s="279">
        <f>(IF($A72="SINAPI",INDEX(SINAPI_NOV2020_NDES!$A$7:$H$6703,MATCH($B72,SINAPI_NOV2020_NDES!$A$7:$A$6703,0),5),(INDEX(COMPOS!$A$4:$G$801,MATCH($B72,COMPOS!$A$4:A$801,0),4))))</f>
        <v>11.98</v>
      </c>
      <c r="G72" s="280">
        <f>(IF($A72="SINAPI",INDEX(SINAPI_NOV2020_NDES!$A$7:$H$6703,MATCH($B72,SINAPI_NOV2020_NDES!$A$7:$A$6703,0),6),(INDEX(COMPOS!$A$4:$G$801,MATCH($B72,COMPOS!$A$4:A$801,0),5))))</f>
        <v>23.99</v>
      </c>
      <c r="H72" s="280">
        <f>(IF($A72="SINAPI",INDEX(SINAPI_NOV2020_NDES!$A$7:$H$6703,MATCH($B72,SINAPI_NOV2020_NDES!$A$7:$A$6703,0),7),(INDEX(COMPOS!$A$4:$G$801,MATCH($B72,COMPOS!$A$4:A$801,0),6))))</f>
        <v>0</v>
      </c>
      <c r="I72" s="279">
        <f t="shared" si="6"/>
        <v>35.97</v>
      </c>
      <c r="J72" s="276">
        <f t="shared" si="7"/>
        <v>71.94</v>
      </c>
      <c r="O72" s="261"/>
    </row>
    <row r="73" spans="1:1005" s="41" customFormat="1" ht="24">
      <c r="A73" s="251" t="s">
        <v>7</v>
      </c>
      <c r="B73" s="289">
        <v>100902</v>
      </c>
      <c r="C73" s="301" t="str">
        <f>(IF($A73="SINAPI",INDEX(SINAPI_NOV2020_NDES!$A$7:$H$6703,MATCH($B73,SINAPI_NOV2020_NDES!$A$7:$A$6703,0),2),IF($A73="GOINFRA",INDEX(#REF!,MATCH($B73,#REF!,0),2),(INDEX(COMPOS!$A$4:$G$390,MATCH($B73,COMPOS!$A$4:A$390,0),2)))))</f>
        <v>LÂMPADA TUBULAR LED DE 9/10 W, BASE G13 - FORNECIMENTO E INSTALAÇÃO. AF_02/2020_P</v>
      </c>
      <c r="D73" s="274" t="str">
        <f>(IF($A73="SINAPI",INDEX(SINAPI_NOV2020_NDES!$A$7:$H$6790,MATCH($B73,SINAPI_NOV2020_NDES!$A$7:$A$6790,0),3),(INDEX(COMPOS!$A$4:$G$5000,MATCH($B73,COMPOS!$A$4:$A$5000,0),3))))</f>
        <v>UN</v>
      </c>
      <c r="E73" s="280">
        <v>4</v>
      </c>
      <c r="F73" s="279">
        <f>(IF($A73="SINAPI",INDEX(SINAPI_NOV2020_NDES!$A$7:$H$6703,MATCH($B73,SINAPI_NOV2020_NDES!$A$7:$A$6703,0),5),(INDEX(COMPOS!$A$4:$G$801,MATCH($B73,COMPOS!$A$4:A$801,0),4))))</f>
        <v>5.54</v>
      </c>
      <c r="G73" s="280">
        <f>(IF($A73="SINAPI",INDEX(SINAPI_NOV2020_NDES!$A$7:$H$6703,MATCH($B73,SINAPI_NOV2020_NDES!$A$7:$A$6703,0),6),(INDEX(COMPOS!$A$4:$G$801,MATCH($B73,COMPOS!$A$4:A$801,0),5))))</f>
        <v>18.260000000000002</v>
      </c>
      <c r="H73" s="280">
        <f>(IF($A73="SINAPI",INDEX(SINAPI_NOV2020_NDES!$A$7:$H$6703,MATCH($B73,SINAPI_NOV2020_NDES!$A$7:$A$6703,0),7),(INDEX(COMPOS!$A$4:$G$801,MATCH($B73,COMPOS!$A$4:A$801,0),6))))</f>
        <v>0</v>
      </c>
      <c r="I73" s="279">
        <f t="shared" si="6"/>
        <v>23.8</v>
      </c>
      <c r="J73" s="276">
        <f t="shared" si="7"/>
        <v>95.2</v>
      </c>
      <c r="O73" s="261"/>
    </row>
    <row r="74" spans="1:1005" s="41" customFormat="1" ht="24">
      <c r="A74" s="251" t="s">
        <v>7</v>
      </c>
      <c r="B74" s="289">
        <v>100903</v>
      </c>
      <c r="C74" s="301" t="str">
        <f>(IF($A74="SINAPI",INDEX(SINAPI_NOV2020_NDES!$A$7:$H$6703,MATCH($B74,SINAPI_NOV2020_NDES!$A$7:$A$6703,0),2),IF($A74="GOINFRA",INDEX(#REF!,MATCH($B74,#REF!,0),2),(INDEX(COMPOS!$A$4:$G$390,MATCH($B74,COMPOS!$A$4:A$390,0),2)))))</f>
        <v>LÂMPADA TUBULAR LED DE 18/20 W, BASE G13 - FORNECIMENTO E INSTALAÇÃO. AF_02/2020_P</v>
      </c>
      <c r="D74" s="274" t="str">
        <f>(IF($A74="SINAPI",INDEX(SINAPI_NOV2020_NDES!$A$7:$H$6790,MATCH($B74,SINAPI_NOV2020_NDES!$A$7:$A$6790,0),3),(INDEX(COMPOS!$A$4:$G$5000,MATCH($B74,COMPOS!$A$4:$A$5000,0),3))))</f>
        <v>UN</v>
      </c>
      <c r="E74" s="280">
        <v>90</v>
      </c>
      <c r="F74" s="279">
        <f>(IF($A74="SINAPI",INDEX(SINAPI_NOV2020_NDES!$A$7:$H$6703,MATCH($B74,SINAPI_NOV2020_NDES!$A$7:$A$6703,0),5),(INDEX(COMPOS!$A$4:$G$801,MATCH($B74,COMPOS!$A$4:A$801,0),4))))</f>
        <v>5.54</v>
      </c>
      <c r="G74" s="280">
        <f>(IF($A74="SINAPI",INDEX(SINAPI_NOV2020_NDES!$A$7:$H$6703,MATCH($B74,SINAPI_NOV2020_NDES!$A$7:$A$6703,0),6),(INDEX(COMPOS!$A$4:$G$801,MATCH($B74,COMPOS!$A$4:A$801,0),5))))</f>
        <v>23.44</v>
      </c>
      <c r="H74" s="280">
        <f>(IF($A74="SINAPI",INDEX(SINAPI_NOV2020_NDES!$A$7:$H$6703,MATCH($B74,SINAPI_NOV2020_NDES!$A$7:$A$6703,0),7),(INDEX(COMPOS!$A$4:$G$801,MATCH($B74,COMPOS!$A$4:A$801,0),6))))</f>
        <v>0</v>
      </c>
      <c r="I74" s="279">
        <f t="shared" si="6"/>
        <v>28.98</v>
      </c>
      <c r="J74" s="276">
        <f t="shared" si="7"/>
        <v>2608.1999999999998</v>
      </c>
      <c r="O74" s="261"/>
    </row>
    <row r="75" spans="1:1005" s="41" customFormat="1" ht="12">
      <c r="A75" s="251" t="s">
        <v>6307</v>
      </c>
      <c r="B75" s="289">
        <v>760</v>
      </c>
      <c r="C75" s="301" t="str">
        <f>(IF($A75="SINAPI",INDEX(SINAPI_NOV2020_NDES!$A$7:$H$6703,MATCH($B75,SINAPI_NOV2020_NDES!$A$7:$A$6703,0),2),IF($A75="GOINFRA",INDEX(#REF!,MATCH($B75,#REF!,0),2),(INDEX(COMPOS!$A$4:$G$390,MATCH($B75,COMPOS!$A$4:A$390,0),2)))))</f>
        <v>LAMPADA LED 18 W BIVOLT BRANCA, FORMATO TRADICIONAL (BASE E27)</v>
      </c>
      <c r="D75" s="274" t="str">
        <f>(IF($A75="SINAPI",INDEX(SINAPI_NOV2020_NDES!$A$7:$H$6790,MATCH($B75,SINAPI_NOV2020_NDES!$A$7:$A$6790,0),3),(INDEX(COMPOS!$A$4:$G$5000,MATCH($B75,COMPOS!$A$4:$A$5000,0),3))))</f>
        <v>UN</v>
      </c>
      <c r="E75" s="280">
        <v>26</v>
      </c>
      <c r="F75" s="279">
        <f>(IF($A75="SINAPI",INDEX(SINAPI_NOV2020_NDES!$A$7:$H$6703,MATCH($B75,SINAPI_NOV2020_NDES!$A$7:$A$6703,0),5),(INDEX(COMPOS!$A$4:$G$801,MATCH($B75,COMPOS!$A$4:A$801,0),4))))</f>
        <v>3.0903999999999998</v>
      </c>
      <c r="G75" s="280">
        <f>(IF($A75="SINAPI",INDEX(SINAPI_NOV2020_NDES!$A$7:$H$6703,MATCH($B75,SINAPI_NOV2020_NDES!$A$7:$A$6703,0),6),(INDEX(COMPOS!$A$4:$G$801,MATCH($B75,COMPOS!$A$4:A$801,0),5))))</f>
        <v>23.94</v>
      </c>
      <c r="H75" s="280">
        <f>(IF($A75="SINAPI",INDEX(SINAPI_NOV2020_NDES!$A$7:$H$6703,MATCH($B75,SINAPI_NOV2020_NDES!$A$7:$A$6703,0),7),(INDEX(COMPOS!$A$4:$G$801,MATCH($B75,COMPOS!$A$4:A$801,0),6))))</f>
        <v>0</v>
      </c>
      <c r="I75" s="279">
        <f>SUM(F75:H75)</f>
        <v>27.0304</v>
      </c>
      <c r="J75" s="276">
        <f>+I75*E75</f>
        <v>702.79039999999998</v>
      </c>
      <c r="O75" s="261"/>
    </row>
    <row r="76" spans="1:1005">
      <c r="A76" s="251"/>
      <c r="B76" s="299"/>
      <c r="C76" s="333" t="s">
        <v>6967</v>
      </c>
      <c r="D76" s="274"/>
      <c r="E76" s="279"/>
      <c r="F76" s="275"/>
      <c r="G76" s="275"/>
      <c r="H76" s="275"/>
      <c r="I76" s="275"/>
      <c r="J76" s="275"/>
      <c r="K76" s="41"/>
      <c r="L76" s="41"/>
      <c r="M76" s="41"/>
      <c r="N76" s="41"/>
      <c r="O76" s="41"/>
      <c r="P76" s="41"/>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c r="IW76" s="14"/>
      <c r="IX76" s="14"/>
      <c r="IY76" s="14"/>
      <c r="IZ76" s="14"/>
      <c r="JA76" s="14"/>
      <c r="JB76" s="14"/>
      <c r="JC76" s="14"/>
      <c r="JD76" s="14"/>
      <c r="JE76" s="14"/>
      <c r="JF76" s="14"/>
      <c r="JG76" s="14"/>
      <c r="JH76" s="14"/>
      <c r="JI76" s="14"/>
      <c r="JJ76" s="14"/>
      <c r="JK76" s="14"/>
      <c r="JL76" s="14"/>
      <c r="JM76" s="14"/>
      <c r="JN76" s="14"/>
      <c r="JO76" s="14"/>
      <c r="JP76" s="14"/>
      <c r="JQ76" s="14"/>
      <c r="JR76" s="14"/>
      <c r="JS76" s="14"/>
      <c r="JT76" s="14"/>
      <c r="JU76" s="14"/>
      <c r="JV76" s="14"/>
      <c r="JW76" s="14"/>
      <c r="JX76" s="14"/>
      <c r="JY76" s="14"/>
      <c r="JZ76" s="14"/>
      <c r="KA76" s="14"/>
      <c r="KB76" s="14"/>
      <c r="KC76" s="14"/>
      <c r="KD76" s="14"/>
      <c r="KE76" s="14"/>
      <c r="KF76" s="14"/>
      <c r="KG76" s="14"/>
      <c r="KH76" s="14"/>
      <c r="KI76" s="14"/>
      <c r="KJ76" s="14"/>
      <c r="KK76" s="14"/>
      <c r="KL76" s="14"/>
      <c r="KM76" s="14"/>
      <c r="KN76" s="14"/>
      <c r="KO76" s="14"/>
      <c r="KP76" s="14"/>
      <c r="KQ76" s="14"/>
      <c r="KR76" s="14"/>
      <c r="KS76" s="14"/>
      <c r="KT76" s="14"/>
      <c r="KU76" s="14"/>
      <c r="KV76" s="14"/>
      <c r="KW76" s="14"/>
      <c r="KX76" s="14"/>
      <c r="KY76" s="14"/>
      <c r="KZ76" s="14"/>
      <c r="LA76" s="14"/>
      <c r="LB76" s="14"/>
      <c r="LC76" s="14"/>
      <c r="LD76" s="14"/>
      <c r="LE76" s="14"/>
      <c r="LF76" s="14"/>
      <c r="LG76" s="14"/>
      <c r="LH76" s="14"/>
      <c r="LI76" s="14"/>
      <c r="LJ76" s="14"/>
      <c r="LK76" s="14"/>
      <c r="LL76" s="14"/>
      <c r="LM76" s="14"/>
      <c r="LN76" s="14"/>
      <c r="LO76" s="14"/>
      <c r="LP76" s="14"/>
      <c r="LQ76" s="14"/>
      <c r="LR76" s="14"/>
      <c r="LS76" s="14"/>
      <c r="LT76" s="14"/>
      <c r="LU76" s="14"/>
      <c r="LV76" s="14"/>
      <c r="LW76" s="14"/>
      <c r="LX76" s="14"/>
      <c r="LY76" s="14"/>
      <c r="LZ76" s="14"/>
      <c r="MA76" s="14"/>
      <c r="MB76" s="14"/>
      <c r="MC76" s="14"/>
      <c r="MD76" s="14"/>
      <c r="ME76" s="14"/>
      <c r="MF76" s="14"/>
      <c r="MG76" s="14"/>
      <c r="MH76" s="14"/>
      <c r="MI76" s="14"/>
      <c r="MJ76" s="14"/>
      <c r="MK76" s="14"/>
      <c r="ML76" s="14"/>
      <c r="MM76" s="14"/>
      <c r="MN76" s="14"/>
      <c r="MO76" s="14"/>
      <c r="MP76" s="14"/>
      <c r="MQ76" s="14"/>
      <c r="MR76" s="14"/>
      <c r="MS76" s="14"/>
      <c r="MT76" s="14"/>
      <c r="MU76" s="14"/>
      <c r="MV76" s="14"/>
      <c r="MW76" s="14"/>
      <c r="MX76" s="14"/>
      <c r="MY76" s="14"/>
      <c r="MZ76" s="14"/>
      <c r="NA76" s="14"/>
      <c r="NB76" s="14"/>
      <c r="NC76" s="14"/>
      <c r="ND76" s="14"/>
      <c r="NE76" s="14"/>
      <c r="NF76" s="14"/>
      <c r="NG76" s="14"/>
      <c r="NH76" s="14"/>
      <c r="NI76" s="14"/>
      <c r="NJ76" s="14"/>
      <c r="NK76" s="14"/>
      <c r="NL76" s="14"/>
      <c r="NM76" s="14"/>
      <c r="NN76" s="14"/>
      <c r="NO76" s="14"/>
      <c r="NP76" s="14"/>
      <c r="NQ76" s="14"/>
      <c r="NR76" s="14"/>
      <c r="NS76" s="14"/>
      <c r="NT76" s="14"/>
      <c r="NU76" s="14"/>
      <c r="NV76" s="14"/>
      <c r="NW76" s="14"/>
      <c r="NX76" s="14"/>
      <c r="NY76" s="14"/>
      <c r="NZ76" s="14"/>
      <c r="OA76" s="14"/>
      <c r="OB76" s="14"/>
      <c r="OC76" s="14"/>
      <c r="OD76" s="14"/>
      <c r="OE76" s="14"/>
      <c r="OF76" s="14"/>
      <c r="OG76" s="14"/>
      <c r="OH76" s="14"/>
      <c r="OI76" s="14"/>
      <c r="OJ76" s="14"/>
      <c r="OK76" s="14"/>
      <c r="OL76" s="14"/>
      <c r="OM76" s="14"/>
      <c r="ON76" s="14"/>
      <c r="OO76" s="14"/>
      <c r="OP76" s="14"/>
      <c r="OQ76" s="14"/>
      <c r="OR76" s="14"/>
      <c r="OS76" s="14"/>
      <c r="OT76" s="14"/>
      <c r="OU76" s="14"/>
      <c r="OV76" s="14"/>
      <c r="OW76" s="14"/>
      <c r="OX76" s="14"/>
      <c r="OY76" s="14"/>
      <c r="OZ76" s="14"/>
      <c r="PA76" s="14"/>
      <c r="PB76" s="14"/>
      <c r="PC76" s="14"/>
      <c r="PD76" s="14"/>
      <c r="PE76" s="14"/>
      <c r="PF76" s="14"/>
      <c r="PG76" s="14"/>
      <c r="PH76" s="14"/>
      <c r="PI76" s="14"/>
      <c r="PJ76" s="14"/>
      <c r="PK76" s="14"/>
      <c r="PL76" s="14"/>
      <c r="PM76" s="14"/>
      <c r="PN76" s="14"/>
      <c r="PO76" s="14"/>
      <c r="PP76" s="14"/>
      <c r="PQ76" s="14"/>
      <c r="PR76" s="14"/>
      <c r="PS76" s="14"/>
      <c r="PT76" s="14"/>
      <c r="PU76" s="14"/>
      <c r="PV76" s="14"/>
      <c r="PW76" s="14"/>
      <c r="PX76" s="14"/>
      <c r="PY76" s="14"/>
      <c r="PZ76" s="14"/>
      <c r="QA76" s="14"/>
      <c r="QB76" s="14"/>
      <c r="QC76" s="14"/>
      <c r="QD76" s="14"/>
      <c r="QE76" s="14"/>
      <c r="QF76" s="14"/>
      <c r="QG76" s="14"/>
      <c r="QH76" s="14"/>
      <c r="QI76" s="14"/>
      <c r="QJ76" s="14"/>
      <c r="QK76" s="14"/>
      <c r="QL76" s="14"/>
      <c r="QM76" s="14"/>
      <c r="QN76" s="14"/>
      <c r="QO76" s="14"/>
      <c r="QP76" s="14"/>
      <c r="QQ76" s="14"/>
      <c r="QR76" s="14"/>
      <c r="QS76" s="14"/>
      <c r="QT76" s="14"/>
      <c r="QU76" s="14"/>
      <c r="QV76" s="14"/>
      <c r="QW76" s="14"/>
      <c r="QX76" s="14"/>
      <c r="QY76" s="14"/>
      <c r="QZ76" s="14"/>
      <c r="RA76" s="14"/>
      <c r="RB76" s="14"/>
      <c r="RC76" s="14"/>
      <c r="RD76" s="14"/>
      <c r="RE76" s="14"/>
      <c r="RF76" s="14"/>
      <c r="RG76" s="14"/>
      <c r="RH76" s="14"/>
      <c r="RI76" s="14"/>
      <c r="RJ76" s="14"/>
      <c r="RK76" s="14"/>
      <c r="RL76" s="14"/>
      <c r="RM76" s="14"/>
      <c r="RN76" s="14"/>
      <c r="RO76" s="14"/>
      <c r="RP76" s="14"/>
      <c r="RQ76" s="14"/>
      <c r="RR76" s="14"/>
      <c r="RS76" s="14"/>
      <c r="RT76" s="14"/>
      <c r="RU76" s="14"/>
      <c r="RV76" s="14"/>
      <c r="RW76" s="14"/>
      <c r="RX76" s="14"/>
      <c r="RY76" s="14"/>
      <c r="RZ76" s="14"/>
      <c r="SA76" s="14"/>
      <c r="SB76" s="14"/>
      <c r="SC76" s="14"/>
      <c r="SD76" s="14"/>
      <c r="SE76" s="14"/>
      <c r="SF76" s="14"/>
      <c r="SG76" s="14"/>
      <c r="SH76" s="14"/>
      <c r="SI76" s="14"/>
      <c r="SJ76" s="14"/>
      <c r="SK76" s="14"/>
      <c r="SL76" s="14"/>
      <c r="SM76" s="14"/>
      <c r="SN76" s="14"/>
      <c r="SO76" s="14"/>
      <c r="SP76" s="14"/>
      <c r="SQ76" s="14"/>
      <c r="SR76" s="14"/>
      <c r="SS76" s="14"/>
      <c r="ST76" s="14"/>
      <c r="SU76" s="14"/>
      <c r="SV76" s="14"/>
      <c r="SW76" s="14"/>
      <c r="SX76" s="14"/>
      <c r="SY76" s="14"/>
      <c r="SZ76" s="14"/>
      <c r="TA76" s="14"/>
      <c r="TB76" s="14"/>
      <c r="TC76" s="14"/>
      <c r="TD76" s="14"/>
      <c r="TE76" s="14"/>
      <c r="TF76" s="14"/>
      <c r="TG76" s="14"/>
      <c r="TH76" s="14"/>
      <c r="TI76" s="14"/>
      <c r="TJ76" s="14"/>
      <c r="TK76" s="14"/>
      <c r="TL76" s="14"/>
      <c r="TM76" s="14"/>
      <c r="TN76" s="14"/>
      <c r="TO76" s="14"/>
      <c r="TP76" s="14"/>
      <c r="TQ76" s="14"/>
      <c r="TR76" s="14"/>
      <c r="TS76" s="14"/>
      <c r="TT76" s="14"/>
      <c r="TU76" s="14"/>
      <c r="TV76" s="14"/>
      <c r="TW76" s="14"/>
      <c r="TX76" s="14"/>
      <c r="TY76" s="14"/>
      <c r="TZ76" s="14"/>
      <c r="UA76" s="14"/>
      <c r="UB76" s="14"/>
      <c r="UC76" s="14"/>
      <c r="UD76" s="14"/>
      <c r="UE76" s="14"/>
      <c r="UF76" s="14"/>
      <c r="UG76" s="14"/>
      <c r="UH76" s="14"/>
      <c r="UI76" s="14"/>
      <c r="UJ76" s="14"/>
      <c r="UK76" s="14"/>
      <c r="UL76" s="14"/>
      <c r="UM76" s="14"/>
      <c r="UN76" s="14"/>
      <c r="UO76" s="14"/>
      <c r="UP76" s="14"/>
      <c r="UQ76" s="14"/>
      <c r="UR76" s="14"/>
      <c r="US76" s="14"/>
      <c r="UT76" s="14"/>
      <c r="UU76" s="14"/>
      <c r="UV76" s="14"/>
      <c r="UW76" s="14"/>
      <c r="UX76" s="14"/>
      <c r="UY76" s="14"/>
      <c r="UZ76" s="14"/>
      <c r="VA76" s="14"/>
      <c r="VB76" s="14"/>
      <c r="VC76" s="14"/>
      <c r="VD76" s="14"/>
      <c r="VE76" s="14"/>
      <c r="VF76" s="14"/>
      <c r="VG76" s="14"/>
      <c r="VH76" s="14"/>
      <c r="VI76" s="14"/>
      <c r="VJ76" s="14"/>
      <c r="VK76" s="14"/>
      <c r="VL76" s="14"/>
      <c r="VM76" s="14"/>
      <c r="VN76" s="14"/>
      <c r="VO76" s="14"/>
      <c r="VP76" s="14"/>
      <c r="VQ76" s="14"/>
      <c r="VR76" s="14"/>
      <c r="VS76" s="14"/>
      <c r="VT76" s="14"/>
      <c r="VU76" s="14"/>
      <c r="VV76" s="14"/>
      <c r="VW76" s="14"/>
      <c r="VX76" s="14"/>
      <c r="VY76" s="14"/>
      <c r="VZ76" s="14"/>
      <c r="WA76" s="14"/>
      <c r="WB76" s="14"/>
      <c r="WC76" s="14"/>
      <c r="WD76" s="14"/>
      <c r="WE76" s="14"/>
      <c r="WF76" s="14"/>
      <c r="WG76" s="14"/>
      <c r="WH76" s="14"/>
      <c r="WI76" s="14"/>
      <c r="WJ76" s="14"/>
      <c r="WK76" s="14"/>
      <c r="WL76" s="14"/>
      <c r="WM76" s="14"/>
      <c r="WN76" s="14"/>
      <c r="WO76" s="14"/>
      <c r="WP76" s="14"/>
      <c r="WQ76" s="14"/>
      <c r="WR76" s="14"/>
      <c r="WS76" s="14"/>
      <c r="WT76" s="14"/>
      <c r="WU76" s="14"/>
      <c r="WV76" s="14"/>
      <c r="WW76" s="14"/>
      <c r="WX76" s="14"/>
      <c r="WY76" s="14"/>
      <c r="WZ76" s="14"/>
      <c r="XA76" s="14"/>
      <c r="XB76" s="14"/>
      <c r="XC76" s="14"/>
      <c r="XD76" s="14"/>
      <c r="XE76" s="14"/>
      <c r="XF76" s="14"/>
      <c r="XG76" s="14"/>
      <c r="XH76" s="14"/>
      <c r="XI76" s="14"/>
      <c r="XJ76" s="14"/>
      <c r="XK76" s="14"/>
      <c r="XL76" s="14"/>
      <c r="XM76" s="14"/>
      <c r="XN76" s="14"/>
      <c r="XO76" s="14"/>
      <c r="XP76" s="14"/>
      <c r="XQ76" s="14"/>
      <c r="XR76" s="14"/>
      <c r="XS76" s="14"/>
      <c r="XT76" s="14"/>
      <c r="XU76" s="14"/>
      <c r="XV76" s="14"/>
      <c r="XW76" s="14"/>
      <c r="XX76" s="14"/>
      <c r="XY76" s="14"/>
      <c r="XZ76" s="14"/>
      <c r="YA76" s="14"/>
      <c r="YB76" s="14"/>
      <c r="YC76" s="14"/>
      <c r="YD76" s="14"/>
      <c r="YE76" s="14"/>
      <c r="YF76" s="14"/>
      <c r="YG76" s="14"/>
      <c r="YH76" s="14"/>
      <c r="YI76" s="14"/>
      <c r="YJ76" s="14"/>
      <c r="YK76" s="14"/>
      <c r="YL76" s="14"/>
      <c r="YM76" s="14"/>
      <c r="YN76" s="14"/>
      <c r="YO76" s="14"/>
      <c r="YP76" s="14"/>
      <c r="YQ76" s="14"/>
      <c r="YR76" s="14"/>
      <c r="YS76" s="14"/>
      <c r="YT76" s="14"/>
      <c r="YU76" s="14"/>
      <c r="YV76" s="14"/>
      <c r="YW76" s="14"/>
      <c r="YX76" s="14"/>
      <c r="YY76" s="14"/>
      <c r="YZ76" s="14"/>
      <c r="ZA76" s="14"/>
      <c r="ZB76" s="14"/>
      <c r="ZC76" s="14"/>
      <c r="ZD76" s="14"/>
      <c r="ZE76" s="14"/>
      <c r="ZF76" s="14"/>
      <c r="ZG76" s="14"/>
      <c r="ZH76" s="14"/>
      <c r="ZI76" s="14"/>
      <c r="ZJ76" s="14"/>
      <c r="ZK76" s="14"/>
      <c r="ZL76" s="14"/>
      <c r="ZM76" s="14"/>
      <c r="ZN76" s="14"/>
      <c r="ZO76" s="14"/>
      <c r="ZP76" s="14"/>
      <c r="ZQ76" s="14"/>
      <c r="ZR76" s="14"/>
      <c r="ZS76" s="14"/>
      <c r="ZT76" s="14"/>
      <c r="ZU76" s="14"/>
      <c r="ZV76" s="14"/>
      <c r="ZW76" s="14"/>
      <c r="ZX76" s="14"/>
      <c r="ZY76" s="14"/>
      <c r="ZZ76" s="14"/>
      <c r="AAA76" s="14"/>
      <c r="AAB76" s="14"/>
      <c r="AAC76" s="14"/>
      <c r="AAD76" s="14"/>
      <c r="AAE76" s="14"/>
      <c r="AAF76" s="14"/>
      <c r="AAG76" s="14"/>
      <c r="AAH76" s="14"/>
      <c r="AAI76" s="14"/>
      <c r="AAJ76" s="14"/>
      <c r="AAK76" s="14"/>
      <c r="AAL76" s="14"/>
      <c r="AAM76" s="14"/>
      <c r="AAN76" s="14"/>
      <c r="AAO76" s="14"/>
      <c r="AAP76" s="14"/>
      <c r="AAQ76" s="14"/>
      <c r="AAR76" s="14"/>
      <c r="AAS76" s="14"/>
      <c r="AAT76" s="14"/>
      <c r="AAU76" s="14"/>
      <c r="AAV76" s="14"/>
      <c r="AAW76" s="14"/>
      <c r="AAX76" s="14"/>
      <c r="AAY76" s="14"/>
      <c r="AAZ76" s="14"/>
      <c r="ABA76" s="14"/>
      <c r="ABB76" s="14"/>
      <c r="ABC76" s="14"/>
      <c r="ABD76" s="14"/>
      <c r="ABE76" s="14"/>
      <c r="ABF76" s="14"/>
      <c r="ABG76" s="14"/>
      <c r="ABH76" s="14"/>
      <c r="ABI76" s="14"/>
      <c r="ABJ76" s="14"/>
      <c r="ABK76" s="14"/>
      <c r="ABL76" s="14"/>
      <c r="ABM76" s="14"/>
      <c r="ABN76" s="14"/>
      <c r="ABO76" s="14"/>
      <c r="ABP76" s="14"/>
      <c r="ABQ76" s="14"/>
      <c r="ABR76" s="14"/>
      <c r="ABS76" s="14"/>
      <c r="ABT76" s="14"/>
      <c r="ABU76" s="14"/>
      <c r="ABV76" s="14"/>
      <c r="ABW76" s="14"/>
      <c r="ABX76" s="14"/>
      <c r="ABY76" s="14"/>
      <c r="ABZ76" s="14"/>
      <c r="ACA76" s="14"/>
      <c r="ACB76" s="14"/>
      <c r="ACC76" s="14"/>
      <c r="ACD76" s="14"/>
      <c r="ACE76" s="14"/>
      <c r="ACF76" s="14"/>
      <c r="ACG76" s="14"/>
      <c r="ACH76" s="14"/>
      <c r="ACI76" s="14"/>
      <c r="ACJ76" s="14"/>
      <c r="ACK76" s="14"/>
      <c r="ACL76" s="14"/>
      <c r="ACM76" s="14"/>
      <c r="ACN76" s="14"/>
      <c r="ACO76" s="14"/>
      <c r="ACP76" s="14"/>
      <c r="ACQ76" s="14"/>
      <c r="ACR76" s="14"/>
      <c r="ACS76" s="14"/>
      <c r="ACT76" s="14"/>
      <c r="ACU76" s="14"/>
      <c r="ACV76" s="14"/>
      <c r="ACW76" s="14"/>
      <c r="ACX76" s="14"/>
      <c r="ACY76" s="14"/>
      <c r="ACZ76" s="14"/>
      <c r="ADA76" s="14"/>
      <c r="ADB76" s="14"/>
      <c r="ADC76" s="14"/>
      <c r="ADD76" s="14"/>
      <c r="ADE76" s="14"/>
      <c r="ADF76" s="14"/>
      <c r="ADG76" s="14"/>
      <c r="ADH76" s="14"/>
      <c r="ADI76" s="14"/>
      <c r="ADJ76" s="14"/>
      <c r="ADK76" s="14"/>
      <c r="ADL76" s="14"/>
      <c r="ADM76" s="14"/>
      <c r="ADN76" s="14"/>
      <c r="ADO76" s="14"/>
      <c r="ADP76" s="14"/>
      <c r="ADQ76" s="14"/>
      <c r="ADR76" s="14"/>
      <c r="ADS76" s="14"/>
      <c r="ADT76" s="14"/>
      <c r="ADU76" s="14"/>
      <c r="ADV76" s="14"/>
      <c r="ADW76" s="14"/>
      <c r="ADX76" s="14"/>
      <c r="ADY76" s="14"/>
      <c r="ADZ76" s="14"/>
      <c r="AEA76" s="14"/>
      <c r="AEB76" s="14"/>
      <c r="AEC76" s="14"/>
      <c r="AED76" s="14"/>
      <c r="AEE76" s="14"/>
      <c r="AEF76" s="14"/>
      <c r="AEG76" s="14"/>
      <c r="AEH76" s="14"/>
      <c r="AEI76" s="14"/>
      <c r="AEJ76" s="14"/>
      <c r="AEK76" s="14"/>
      <c r="AEL76" s="14"/>
      <c r="AEM76" s="14"/>
      <c r="AEN76" s="14"/>
      <c r="AEO76" s="14"/>
      <c r="AEP76" s="14"/>
      <c r="AEQ76" s="14"/>
      <c r="AER76" s="14"/>
      <c r="AES76" s="14"/>
      <c r="AET76" s="14"/>
      <c r="AEU76" s="14"/>
      <c r="AEV76" s="14"/>
      <c r="AEW76" s="14"/>
      <c r="AEX76" s="14"/>
      <c r="AEY76" s="14"/>
      <c r="AEZ76" s="14"/>
      <c r="AFA76" s="14"/>
      <c r="AFB76" s="14"/>
      <c r="AFC76" s="14"/>
      <c r="AFD76" s="14"/>
      <c r="AFE76" s="14"/>
      <c r="AFF76" s="14"/>
      <c r="AFG76" s="14"/>
      <c r="AFH76" s="14"/>
      <c r="AFI76" s="14"/>
      <c r="AFJ76" s="14"/>
      <c r="AFK76" s="14"/>
      <c r="AFL76" s="14"/>
      <c r="AFM76" s="14"/>
      <c r="AFN76" s="14"/>
      <c r="AFO76" s="14"/>
      <c r="AFP76" s="14"/>
      <c r="AFQ76" s="14"/>
      <c r="AFR76" s="14"/>
      <c r="AFS76" s="14"/>
      <c r="AFT76" s="14"/>
      <c r="AFU76" s="14"/>
      <c r="AFV76" s="14"/>
      <c r="AFW76" s="14"/>
      <c r="AFX76" s="14"/>
      <c r="AFY76" s="14"/>
      <c r="AFZ76" s="14"/>
      <c r="AGA76" s="14"/>
      <c r="AGB76" s="14"/>
      <c r="AGC76" s="14"/>
      <c r="AGD76" s="14"/>
      <c r="AGE76" s="14"/>
      <c r="AGF76" s="14"/>
      <c r="AGG76" s="14"/>
      <c r="AGH76" s="14"/>
      <c r="AGI76" s="14"/>
      <c r="AGJ76" s="14"/>
      <c r="AGK76" s="14"/>
      <c r="AGL76" s="14"/>
      <c r="AGM76" s="14"/>
      <c r="AGN76" s="14"/>
      <c r="AGO76" s="14"/>
      <c r="AGP76" s="14"/>
      <c r="AGQ76" s="14"/>
      <c r="AGR76" s="14"/>
      <c r="AGS76" s="14"/>
      <c r="AGT76" s="14"/>
      <c r="AGU76" s="14"/>
      <c r="AGV76" s="14"/>
      <c r="AGW76" s="14"/>
      <c r="AGX76" s="14"/>
      <c r="AGY76" s="14"/>
      <c r="AGZ76" s="14"/>
      <c r="AHA76" s="14"/>
      <c r="AHB76" s="14"/>
      <c r="AHC76" s="14"/>
      <c r="AHD76" s="14"/>
      <c r="AHE76" s="14"/>
      <c r="AHF76" s="14"/>
      <c r="AHG76" s="14"/>
      <c r="AHH76" s="14"/>
      <c r="AHI76" s="14"/>
      <c r="AHJ76" s="14"/>
      <c r="AHK76" s="14"/>
      <c r="AHL76" s="14"/>
      <c r="AHM76" s="14"/>
      <c r="AHN76" s="14"/>
      <c r="AHO76" s="14"/>
      <c r="AHP76" s="14"/>
      <c r="AHQ76" s="14"/>
      <c r="AHR76" s="14"/>
      <c r="AHS76" s="14"/>
      <c r="AHT76" s="14"/>
      <c r="AHU76" s="14"/>
      <c r="AHV76" s="14"/>
      <c r="AHW76" s="14"/>
      <c r="AHX76" s="14"/>
      <c r="AHY76" s="14"/>
      <c r="AHZ76" s="14"/>
      <c r="AIA76" s="14"/>
      <c r="AIB76" s="14"/>
      <c r="AIC76" s="14"/>
      <c r="AID76" s="14"/>
      <c r="AIE76" s="14"/>
      <c r="AIF76" s="14"/>
      <c r="AIG76" s="14"/>
      <c r="AIH76" s="14"/>
      <c r="AII76" s="14"/>
      <c r="AIJ76" s="14"/>
      <c r="AIK76" s="14"/>
      <c r="AIL76" s="14"/>
      <c r="AIM76" s="14"/>
      <c r="AIN76" s="14"/>
      <c r="AIO76" s="14"/>
      <c r="AIP76" s="14"/>
      <c r="AIQ76" s="14"/>
      <c r="AIR76" s="14"/>
      <c r="AIS76" s="14"/>
      <c r="AIT76" s="14"/>
      <c r="AIU76" s="14"/>
      <c r="AIV76" s="14"/>
      <c r="AIW76" s="14"/>
      <c r="AIX76" s="14"/>
      <c r="AIY76" s="14"/>
      <c r="AIZ76" s="14"/>
      <c r="AJA76" s="14"/>
      <c r="AJB76" s="14"/>
      <c r="AJC76" s="14"/>
      <c r="AJD76" s="14"/>
      <c r="AJE76" s="14"/>
      <c r="AJF76" s="14"/>
      <c r="AJG76" s="14"/>
      <c r="AJH76" s="14"/>
      <c r="AJI76" s="14"/>
      <c r="AJJ76" s="14"/>
      <c r="AJK76" s="14"/>
      <c r="AJL76" s="14"/>
      <c r="AJM76" s="14"/>
      <c r="AJN76" s="14"/>
      <c r="AJO76" s="14"/>
      <c r="AJP76" s="14"/>
      <c r="AJQ76" s="14"/>
      <c r="AJR76" s="14"/>
      <c r="AJS76" s="14"/>
      <c r="AJT76" s="14"/>
      <c r="AJU76" s="14"/>
      <c r="AJV76" s="14"/>
      <c r="AJW76" s="14"/>
      <c r="AJX76" s="14"/>
      <c r="AJY76" s="14"/>
      <c r="AJZ76" s="14"/>
      <c r="AKA76" s="14"/>
      <c r="AKB76" s="14"/>
      <c r="AKC76" s="14"/>
      <c r="AKD76" s="14"/>
      <c r="AKE76" s="14"/>
      <c r="AKF76" s="14"/>
      <c r="AKG76" s="14"/>
      <c r="AKH76" s="14"/>
      <c r="AKI76" s="14"/>
      <c r="AKJ76" s="14"/>
      <c r="AKK76" s="14"/>
      <c r="AKL76" s="14"/>
      <c r="AKM76" s="14"/>
      <c r="AKN76" s="14"/>
      <c r="AKO76" s="14"/>
      <c r="AKP76" s="14"/>
      <c r="AKQ76" s="14"/>
      <c r="AKR76" s="14"/>
      <c r="AKS76" s="14"/>
      <c r="AKT76" s="14"/>
      <c r="AKU76" s="14"/>
      <c r="AKV76" s="14"/>
      <c r="AKW76" s="14"/>
      <c r="AKX76" s="14"/>
      <c r="AKY76" s="14"/>
      <c r="AKZ76" s="14"/>
      <c r="ALA76" s="14"/>
      <c r="ALB76" s="14"/>
      <c r="ALC76" s="14"/>
      <c r="ALD76" s="14"/>
      <c r="ALE76" s="14"/>
      <c r="ALF76" s="14"/>
      <c r="ALG76" s="14"/>
      <c r="ALH76" s="14"/>
      <c r="ALI76" s="42"/>
      <c r="ALJ76" s="42"/>
      <c r="ALK76" s="42"/>
      <c r="ALL76" s="42"/>
      <c r="ALM76" s="42"/>
      <c r="ALN76" s="42"/>
      <c r="ALO76" s="42"/>
      <c r="ALP76" s="42"/>
      <c r="ALQ76" s="42"/>
    </row>
    <row r="77" spans="1:1005" s="41" customFormat="1" ht="12">
      <c r="A77" s="251" t="s">
        <v>6307</v>
      </c>
      <c r="B77" s="289">
        <v>842</v>
      </c>
      <c r="C77" s="301" t="str">
        <f>(IF($A77="SINAPI",INDEX(SINAPI_NOV2020_NDES!$A$7:$H$6703,MATCH($B77,SINAPI_NOV2020_NDES!$A$7:$A$6703,0),2),IF($A77="GOINFRA",INDEX(#REF!,MATCH($B77,#REF!,0),2),(INDEX(COMPOS!$A$4:$G$3900,MATCH($B77,COMPOS!$A$4:A$3900,0),2)))))</f>
        <v>CAIXA METALICA QUADRADA 4"X4"X2"</v>
      </c>
      <c r="D77" s="274" t="str">
        <f>(IF($A77="SINAPI",INDEX(SINAPI_NOV2020_NDES!$A$7:$H$6790,MATCH($B77,SINAPI_NOV2020_NDES!$A$7:$A$6790,0),3),(INDEX(COMPOS!$A$4:$G$5000,MATCH($B77,COMPOS!$A$4:$A$5000,0),3))))</f>
        <v>UN</v>
      </c>
      <c r="E77" s="280">
        <v>2</v>
      </c>
      <c r="F77" s="279">
        <f>(IF($A77="SINAPI",INDEX(SINAPI_NOV2020_NDES!$A$7:$H$6703,MATCH($B77,SINAPI_NOV2020_NDES!$A$7:$A$6703,0),5),(INDEX(COMPOS!$A$4:$G$801,MATCH($B77,COMPOS!$A$4:A$801,0),4))))</f>
        <v>5.7944999999999993</v>
      </c>
      <c r="G77" s="280">
        <f>(IF($A77="SINAPI",INDEX(SINAPI_NOV2020_NDES!$A$7:$H$6703,MATCH($B77,SINAPI_NOV2020_NDES!$A$7:$A$6703,0),6),(INDEX(COMPOS!$A$4:$G$801,MATCH($B77,COMPOS!$A$4:A$801,0),5))))</f>
        <v>2.1800000000000002</v>
      </c>
      <c r="H77" s="280">
        <f>(IF($A77="SINAPI",INDEX(SINAPI_NOV2020_NDES!$A$7:$H$6703,MATCH($B77,SINAPI_NOV2020_NDES!$A$7:$A$6703,0),7),(INDEX(COMPOS!$A$4:$G$801,MATCH($B77,COMPOS!$A$4:A$801,0),6))))</f>
        <v>0</v>
      </c>
      <c r="I77" s="279">
        <f>SUM(F77:H77)</f>
        <v>7.974499999999999</v>
      </c>
      <c r="J77" s="276">
        <f>+I77*E77</f>
        <v>15.948999999999998</v>
      </c>
      <c r="O77" s="261"/>
    </row>
    <row r="78" spans="1:1005" s="41" customFormat="1" ht="12">
      <c r="A78" s="251" t="s">
        <v>6307</v>
      </c>
      <c r="B78" s="289">
        <v>843</v>
      </c>
      <c r="C78" s="301" t="str">
        <f>(IF($A78="SINAPI",INDEX(SINAPI_NOV2020_NDES!$A$7:$H$6703,MATCH($B78,SINAPI_NOV2020_NDES!$A$7:$A$6703,0),2),IF($A78="GOINFRA",INDEX(#REF!,MATCH($B78,#REF!,0),2),(INDEX(COMPOS!$A$4:$G$3900,MATCH($B78,COMPOS!$A$4:A$3900,0),2)))))</f>
        <v>CAIXA METALICA RET. 4" X 2" X 2"</v>
      </c>
      <c r="D78" s="274" t="str">
        <f>(IF($A78="SINAPI",INDEX(SINAPI_NOV2020_NDES!$A$7:$H$6790,MATCH($B78,SINAPI_NOV2020_NDES!$A$7:$A$6790,0),3),(INDEX(COMPOS!$A$4:$G$5000,MATCH($B78,COMPOS!$A$4:$A$5000,0),3))))</f>
        <v>UN</v>
      </c>
      <c r="E78" s="280">
        <v>7</v>
      </c>
      <c r="F78" s="279">
        <f>(IF($A78="SINAPI",INDEX(SINAPI_NOV2020_NDES!$A$7:$H$6703,MATCH($B78,SINAPI_NOV2020_NDES!$A$7:$A$6703,0),5),(INDEX(COMPOS!$A$4:$G$801,MATCH($B78,COMPOS!$A$4:A$801,0),4))))</f>
        <v>5.7944999999999993</v>
      </c>
      <c r="G78" s="280">
        <f>(IF($A78="SINAPI",INDEX(SINAPI_NOV2020_NDES!$A$7:$H$6703,MATCH($B78,SINAPI_NOV2020_NDES!$A$7:$A$6703,0),6),(INDEX(COMPOS!$A$4:$G$801,MATCH($B78,COMPOS!$A$4:A$801,0),5))))</f>
        <v>1.03</v>
      </c>
      <c r="H78" s="280">
        <f>(IF($A78="SINAPI",INDEX(SINAPI_NOV2020_NDES!$A$7:$H$6703,MATCH($B78,SINAPI_NOV2020_NDES!$A$7:$A$6703,0),7),(INDEX(COMPOS!$A$4:$G$801,MATCH($B78,COMPOS!$A$4:A$801,0),6))))</f>
        <v>0</v>
      </c>
      <c r="I78" s="279">
        <f>SUM(F78:H78)</f>
        <v>6.8244999999999996</v>
      </c>
      <c r="J78" s="276">
        <f>+I78*E78</f>
        <v>47.771499999999996</v>
      </c>
      <c r="O78" s="261"/>
    </row>
    <row r="79" spans="1:1005" s="41" customFormat="1" ht="24">
      <c r="A79" s="251" t="s">
        <v>7</v>
      </c>
      <c r="B79" s="289">
        <v>98295</v>
      </c>
      <c r="C79" s="301" t="str">
        <f>(IF($A79="SINAPI",INDEX(SINAPI_NOV2020_NDES!$A$7:$H$6703,MATCH($B79,SINAPI_NOV2020_NDES!$A$7:$A$6703,0),2),IF($A79="GOINFRA",INDEX(#REF!,MATCH($B79,#REF!,0),2),(INDEX(COMPOS!$A$4:$G$3900,MATCH($B79,COMPOS!$A$4:A$3900,0),2)))))</f>
        <v>CABO ELETRÔNICO CATEGORIA 5E, INSTALADO EM EDIFICAÇÃO INSTITUCIONAL - FORNECIMENTO E INSTALAÇÃO. AF_11/2019</v>
      </c>
      <c r="D79" s="274" t="str">
        <f>(IF($A79="SINAPI",INDEX(SINAPI_NOV2020_NDES!$A$7:$H$6790,MATCH($B79,SINAPI_NOV2020_NDES!$A$7:$A$6790,0),3),(INDEX(COMPOS!$A$4:$G$5000,MATCH($B79,COMPOS!$A$4:$A$5000,0),3))))</f>
        <v>M</v>
      </c>
      <c r="E79" s="280">
        <v>215.6</v>
      </c>
      <c r="F79" s="279">
        <f>(IF($A79="SINAPI",INDEX(SINAPI_NOV2020_NDES!$A$7:$H$6703,MATCH($B79,SINAPI_NOV2020_NDES!$A$7:$A$6703,0),5),(INDEX(COMPOS!$A$4:$G$801,MATCH($B79,COMPOS!$A$4:A$801,0),4))))</f>
        <v>7.0000000000000007E-2</v>
      </c>
      <c r="G79" s="280">
        <f>(IF($A79="SINAPI",INDEX(SINAPI_NOV2020_NDES!$A$7:$H$6703,MATCH($B79,SINAPI_NOV2020_NDES!$A$7:$A$6703,0),6),(INDEX(COMPOS!$A$4:$G$801,MATCH($B79,COMPOS!$A$4:A$801,0),5))))</f>
        <v>1.1299999999999999</v>
      </c>
      <c r="H79" s="280">
        <f>(IF($A79="SINAPI",INDEX(SINAPI_NOV2020_NDES!$A$7:$H$6703,MATCH($B79,SINAPI_NOV2020_NDES!$A$7:$A$6703,0),7),(INDEX(COMPOS!$A$4:$G$801,MATCH($B79,COMPOS!$A$4:A$801,0),6))))</f>
        <v>0</v>
      </c>
      <c r="I79" s="279">
        <f t="shared" ref="I79:I93" si="8">SUM(F79:H79)</f>
        <v>1.2</v>
      </c>
      <c r="J79" s="276">
        <f t="shared" ref="J79:J93" si="9">+I79*E79</f>
        <v>258.71999999999997</v>
      </c>
      <c r="O79" s="261"/>
    </row>
    <row r="80" spans="1:1005" s="41" customFormat="1" ht="12">
      <c r="A80" s="251" t="s">
        <v>6307</v>
      </c>
      <c r="B80" s="289">
        <v>825</v>
      </c>
      <c r="C80" s="301" t="str">
        <f>(IF($A80="SINAPI",INDEX(SINAPI_NOV2020_NDES!$A$7:$H$6703,MATCH($B80,SINAPI_NOV2020_NDES!$A$7:$A$6703,0),2),IF($A80="GOINFRA",INDEX(#REF!,MATCH($B80,#REF!,0),2),(INDEX(COMPOS!$A$4:$G$3900,MATCH($B80,COMPOS!$A$4:A$3900,0),2)))))</f>
        <v>ELETRODUTO DE PVC RIGIDO DIAMETRO 3/4"</v>
      </c>
      <c r="D80" s="274" t="str">
        <f>(IF($A80="SINAPI",INDEX(SINAPI_NOV2020_NDES!$A$7:$H$6790,MATCH($B80,SINAPI_NOV2020_NDES!$A$7:$A$6790,0),3),(INDEX(COMPOS!$A$4:$G$5000,MATCH($B80,COMPOS!$A$4:$A$5000,0),3))))</f>
        <v>M</v>
      </c>
      <c r="E80" s="280">
        <v>1120.9000000000001</v>
      </c>
      <c r="F80" s="279">
        <f>(IF($A80="SINAPI",INDEX(SINAPI_NOV2020_NDES!$A$7:$H$6703,MATCH($B80,SINAPI_NOV2020_NDES!$A$7:$A$6703,0),5),(INDEX(COMPOS!$A$4:$G$801,MATCH($B80,COMPOS!$A$4:A$801,0),4))))</f>
        <v>6.5670999999999999</v>
      </c>
      <c r="G80" s="280">
        <f>(IF($A80="SINAPI",INDEX(SINAPI_NOV2020_NDES!$A$7:$H$6703,MATCH($B80,SINAPI_NOV2020_NDES!$A$7:$A$6703,0),6),(INDEX(COMPOS!$A$4:$G$801,MATCH($B80,COMPOS!$A$4:A$801,0),5))))</f>
        <v>2.16</v>
      </c>
      <c r="H80" s="280">
        <f>(IF($A80="SINAPI",INDEX(SINAPI_NOV2020_NDES!$A$7:$H$6703,MATCH($B80,SINAPI_NOV2020_NDES!$A$7:$A$6703,0),7),(INDEX(COMPOS!$A$4:$G$801,MATCH($B80,COMPOS!$A$4:A$801,0),6))))</f>
        <v>0</v>
      </c>
      <c r="I80" s="279">
        <f t="shared" ref="I80:I92" si="10">SUM(F80:H80)</f>
        <v>8.7271000000000001</v>
      </c>
      <c r="J80" s="276">
        <f t="shared" ref="J80:J92" si="11">+I80*E80</f>
        <v>9782.2063900000012</v>
      </c>
      <c r="O80" s="261"/>
    </row>
    <row r="81" spans="1:15" s="41" customFormat="1" ht="12">
      <c r="A81" s="251" t="s">
        <v>6307</v>
      </c>
      <c r="B81" s="289">
        <v>846</v>
      </c>
      <c r="C81" s="301" t="str">
        <f>(IF($A81="SINAPI",INDEX(SINAPI_NOV2020_NDES!$A$7:$H$6703,MATCH($B81,SINAPI_NOV2020_NDES!$A$7:$A$6703,0),2),IF($A81="GOINFRA",INDEX(#REF!,MATCH($B81,#REF!,0),2),(INDEX(COMPOS!$A$4:$G$3900,MATCH($B81,COMPOS!$A$4:A$3900,0),2)))))</f>
        <v>ELETRODUTO DE PVC RIGIDO DIAMETRO 1.1/4"</v>
      </c>
      <c r="D81" s="274" t="str">
        <f>(IF($A81="SINAPI",INDEX(SINAPI_NOV2020_NDES!$A$7:$H$6790,MATCH($B81,SINAPI_NOV2020_NDES!$A$7:$A$6790,0),3),(INDEX(COMPOS!$A$4:$G$5000,MATCH($B81,COMPOS!$A$4:$A$5000,0),3))))</f>
        <v>M</v>
      </c>
      <c r="E81" s="280">
        <v>227.6</v>
      </c>
      <c r="F81" s="279">
        <f>(IF($A81="SINAPI",INDEX(SINAPI_NOV2020_NDES!$A$7:$H$6703,MATCH($B81,SINAPI_NOV2020_NDES!$A$7:$A$6703,0),5),(INDEX(COMPOS!$A$4:$G$801,MATCH($B81,COMPOS!$A$4:A$801,0),4))))</f>
        <v>16.224599999999999</v>
      </c>
      <c r="G81" s="280">
        <f>(IF($A81="SINAPI",INDEX(SINAPI_NOV2020_NDES!$A$7:$H$6703,MATCH($B81,SINAPI_NOV2020_NDES!$A$7:$A$6703,0),6),(INDEX(COMPOS!$A$4:$G$801,MATCH($B81,COMPOS!$A$4:A$801,0),5))))</f>
        <v>4.5</v>
      </c>
      <c r="H81" s="280">
        <f>(IF($A81="SINAPI",INDEX(SINAPI_NOV2020_NDES!$A$7:$H$6703,MATCH($B81,SINAPI_NOV2020_NDES!$A$7:$A$6703,0),7),(INDEX(COMPOS!$A$4:$G$801,MATCH($B81,COMPOS!$A$4:A$801,0),6))))</f>
        <v>0</v>
      </c>
      <c r="I81" s="279">
        <f t="shared" si="10"/>
        <v>20.724599999999999</v>
      </c>
      <c r="J81" s="276">
        <f t="shared" si="11"/>
        <v>4716.91896</v>
      </c>
      <c r="O81" s="261"/>
    </row>
    <row r="82" spans="1:15" s="41" customFormat="1" ht="12">
      <c r="A82" s="251" t="s">
        <v>6307</v>
      </c>
      <c r="B82" s="289">
        <v>831</v>
      </c>
      <c r="C82" s="301" t="str">
        <f>(IF($A82="SINAPI",INDEX(SINAPI_NOV2020_NDES!$A$7:$H$6703,MATCH($B82,SINAPI_NOV2020_NDES!$A$7:$A$6703,0),2),IF($A82="GOINFRA",INDEX(#REF!,MATCH($B82,#REF!,0),2),(INDEX(COMPOS!$A$4:$G$3900,MATCH($B82,COMPOS!$A$4:A$3900,0),2)))))</f>
        <v>LUVA PVC ROSQUEAVEL DIAMETRO 1.1/4"</v>
      </c>
      <c r="D82" s="274" t="str">
        <f>(IF($A82="SINAPI",INDEX(SINAPI_NOV2020_NDES!$A$7:$H$6790,MATCH($B82,SINAPI_NOV2020_NDES!$A$7:$A$6790,0),3),(INDEX(COMPOS!$A$4:$G$5000,MATCH($B82,COMPOS!$A$4:$A$5000,0),3))))</f>
        <v>UN</v>
      </c>
      <c r="E82" s="280">
        <v>75</v>
      </c>
      <c r="F82" s="279">
        <f>(IF($A82="SINAPI",INDEX(SINAPI_NOV2020_NDES!$A$7:$H$6703,MATCH($B82,SINAPI_NOV2020_NDES!$A$7:$A$6703,0),5),(INDEX(COMPOS!$A$4:$G$801,MATCH($B82,COMPOS!$A$4:A$801,0),4))))</f>
        <v>2.7041000000000004</v>
      </c>
      <c r="G82" s="280">
        <f>(IF($A82="SINAPI",INDEX(SINAPI_NOV2020_NDES!$A$7:$H$6703,MATCH($B82,SINAPI_NOV2020_NDES!$A$7:$A$6703,0),6),(INDEX(COMPOS!$A$4:$G$801,MATCH($B82,COMPOS!$A$4:A$801,0),5))))</f>
        <v>1.0900000000000001</v>
      </c>
      <c r="H82" s="280">
        <f>(IF($A82="SINAPI",INDEX(SINAPI_NOV2020_NDES!$A$7:$H$6703,MATCH($B82,SINAPI_NOV2020_NDES!$A$7:$A$6703,0),7),(INDEX(COMPOS!$A$4:$G$801,MATCH($B82,COMPOS!$A$4:A$801,0),6))))</f>
        <v>0</v>
      </c>
      <c r="I82" s="279">
        <f t="shared" si="10"/>
        <v>3.7941000000000003</v>
      </c>
      <c r="J82" s="276">
        <f t="shared" si="11"/>
        <v>284.5575</v>
      </c>
      <c r="O82" s="261"/>
    </row>
    <row r="83" spans="1:15" s="41" customFormat="1" ht="12">
      <c r="A83" s="251" t="s">
        <v>6307</v>
      </c>
      <c r="B83" s="289">
        <v>828</v>
      </c>
      <c r="C83" s="301" t="str">
        <f>(IF($A83="SINAPI",INDEX(SINAPI_NOV2020_NDES!$A$7:$H$6703,MATCH($B83,SINAPI_NOV2020_NDES!$A$7:$A$6703,0),2),IF($A83="GOINFRA",INDEX(#REF!,MATCH($B83,#REF!,0),2),(INDEX(COMPOS!$A$4:$G$3900,MATCH($B83,COMPOS!$A$4:A$3900,0),2)))))</f>
        <v>LUVA PVC ROSQUEAVEL DIAMETRO 3/4"</v>
      </c>
      <c r="D83" s="274" t="str">
        <f>(IF($A83="SINAPI",INDEX(SINAPI_NOV2020_NDES!$A$7:$H$6790,MATCH($B83,SINAPI_NOV2020_NDES!$A$7:$A$6790,0),3),(INDEX(COMPOS!$A$4:$G$5000,MATCH($B83,COMPOS!$A$4:$A$5000,0),3))))</f>
        <v>UN</v>
      </c>
      <c r="E83" s="280">
        <v>374</v>
      </c>
      <c r="F83" s="279">
        <f>(IF($A83="SINAPI",INDEX(SINAPI_NOV2020_NDES!$A$7:$H$6703,MATCH($B83,SINAPI_NOV2020_NDES!$A$7:$A$6703,0),5),(INDEX(COMPOS!$A$4:$G$801,MATCH($B83,COMPOS!$A$4:A$801,0),4))))</f>
        <v>1.1589</v>
      </c>
      <c r="G83" s="280">
        <f>(IF($A83="SINAPI",INDEX(SINAPI_NOV2020_NDES!$A$7:$H$6703,MATCH($B83,SINAPI_NOV2020_NDES!$A$7:$A$6703,0),6),(INDEX(COMPOS!$A$4:$G$801,MATCH($B83,COMPOS!$A$4:A$801,0),5))))</f>
        <v>0.5</v>
      </c>
      <c r="H83" s="280">
        <f>(IF($A83="SINAPI",INDEX(SINAPI_NOV2020_NDES!$A$7:$H$6703,MATCH($B83,SINAPI_NOV2020_NDES!$A$7:$A$6703,0),7),(INDEX(COMPOS!$A$4:$G$801,MATCH($B83,COMPOS!$A$4:A$801,0),6))))</f>
        <v>0</v>
      </c>
      <c r="I83" s="279">
        <f t="shared" si="10"/>
        <v>1.6589</v>
      </c>
      <c r="J83" s="276">
        <f t="shared" si="11"/>
        <v>620.42859999999996</v>
      </c>
      <c r="O83" s="261"/>
    </row>
    <row r="84" spans="1:15" s="41" customFormat="1" ht="12">
      <c r="A84" s="251" t="s">
        <v>6307</v>
      </c>
      <c r="B84" s="289">
        <v>835</v>
      </c>
      <c r="C84" s="301" t="str">
        <f>(IF($A84="SINAPI",INDEX(SINAPI_NOV2020_NDES!$A$7:$H$6703,MATCH($B84,SINAPI_NOV2020_NDES!$A$7:$A$6703,0),2),IF($A84="GOINFRA",INDEX(#REF!,MATCH($B84,#REF!,0),2),(INDEX(COMPOS!$A$4:$G$3900,MATCH($B84,COMPOS!$A$4:A$3900,0),2)))))</f>
        <v>BUCHA E ARRUELA METALICA DIAM. 1.1/4"</v>
      </c>
      <c r="D84" s="274" t="str">
        <f>(IF($A84="SINAPI",INDEX(SINAPI_NOV2020_NDES!$A$7:$H$6790,MATCH($B84,SINAPI_NOV2020_NDES!$A$7:$A$6790,0),3),(INDEX(COMPOS!$A$4:$G$5000,MATCH($B84,COMPOS!$A$4:$A$5000,0),3))))</f>
        <v>UN</v>
      </c>
      <c r="E84" s="280">
        <v>31</v>
      </c>
      <c r="F84" s="279">
        <f>(IF($A84="SINAPI",INDEX(SINAPI_NOV2020_NDES!$A$7:$H$6703,MATCH($B84,SINAPI_NOV2020_NDES!$A$7:$A$6703,0),5),(INDEX(COMPOS!$A$4:$G$801,MATCH($B84,COMPOS!$A$4:A$801,0),4))))</f>
        <v>11.588999999999999</v>
      </c>
      <c r="G84" s="280">
        <f>(IF($A84="SINAPI",INDEX(SINAPI_NOV2020_NDES!$A$7:$H$6703,MATCH($B84,SINAPI_NOV2020_NDES!$A$7:$A$6703,0),6),(INDEX(COMPOS!$A$4:$G$801,MATCH($B84,COMPOS!$A$4:A$801,0),5))))</f>
        <v>2.29</v>
      </c>
      <c r="H84" s="280">
        <f>(IF($A84="SINAPI",INDEX(SINAPI_NOV2020_NDES!$A$7:$H$6703,MATCH($B84,SINAPI_NOV2020_NDES!$A$7:$A$6703,0),7),(INDEX(COMPOS!$A$4:$G$801,MATCH($B84,COMPOS!$A$4:A$801,0),6))))</f>
        <v>0</v>
      </c>
      <c r="I84" s="279">
        <f t="shared" si="10"/>
        <v>13.878999999999998</v>
      </c>
      <c r="J84" s="276">
        <f t="shared" si="11"/>
        <v>430.24899999999991</v>
      </c>
      <c r="O84" s="261"/>
    </row>
    <row r="85" spans="1:15" s="41" customFormat="1" ht="12">
      <c r="A85" s="251" t="s">
        <v>6307</v>
      </c>
      <c r="B85" s="289">
        <v>841</v>
      </c>
      <c r="C85" s="301" t="str">
        <f>(IF($A85="SINAPI",INDEX(SINAPI_NOV2020_NDES!$A$7:$H$6703,MATCH($B85,SINAPI_NOV2020_NDES!$A$7:$A$6703,0),2),IF($A85="GOINFRA",INDEX(#REF!,MATCH($B85,#REF!,0),2),(INDEX(COMPOS!$A$4:$G$3900,MATCH($B85,COMPOS!$A$4:A$3900,0),2)))))</f>
        <v>CAIXA DISTRIBUIÇÃO TELEFÔNICA DE EMBUTIR 40X40X12 CM</v>
      </c>
      <c r="D85" s="274" t="str">
        <f>(IF($A85="SINAPI",INDEX(SINAPI_NOV2020_NDES!$A$7:$H$6790,MATCH($B85,SINAPI_NOV2020_NDES!$A$7:$A$6790,0),3),(INDEX(COMPOS!$A$4:$G$5000,MATCH($B85,COMPOS!$A$4:$A$5000,0),3))))</f>
        <v>UN</v>
      </c>
      <c r="E85" s="280">
        <v>3</v>
      </c>
      <c r="F85" s="279">
        <f>(IF($A85="SINAPI",INDEX(SINAPI_NOV2020_NDES!$A$7:$H$6703,MATCH($B85,SINAPI_NOV2020_NDES!$A$7:$A$6703,0),5),(INDEX(COMPOS!$A$4:$G$801,MATCH($B85,COMPOS!$A$4:A$801,0),4))))</f>
        <v>77.259999999999991</v>
      </c>
      <c r="G85" s="280">
        <f>(IF($A85="SINAPI",INDEX(SINAPI_NOV2020_NDES!$A$7:$H$6703,MATCH($B85,SINAPI_NOV2020_NDES!$A$7:$A$6703,0),6),(INDEX(COMPOS!$A$4:$G$801,MATCH($B85,COMPOS!$A$4:A$801,0),5))))</f>
        <v>88.55</v>
      </c>
      <c r="H85" s="280">
        <f>(IF($A85="SINAPI",INDEX(SINAPI_NOV2020_NDES!$A$7:$H$6703,MATCH($B85,SINAPI_NOV2020_NDES!$A$7:$A$6703,0),7),(INDEX(COMPOS!$A$4:$G$801,MATCH($B85,COMPOS!$A$4:A$801,0),6))))</f>
        <v>0</v>
      </c>
      <c r="I85" s="279">
        <f t="shared" si="10"/>
        <v>165.81</v>
      </c>
      <c r="J85" s="276">
        <f t="shared" si="11"/>
        <v>497.43</v>
      </c>
      <c r="O85" s="261"/>
    </row>
    <row r="86" spans="1:15" s="41" customFormat="1" ht="12">
      <c r="A86" s="251" t="s">
        <v>6307</v>
      </c>
      <c r="B86" s="289">
        <v>320</v>
      </c>
      <c r="C86" s="301" t="str">
        <f>(IF($A86="SINAPI",INDEX(SINAPI_NOV2020_NDES!$A$7:$H$6703,MATCH($B86,SINAPI_NOV2020_NDES!$A$7:$A$6703,0),2),IF($A86="GOINFRA",INDEX(#REF!,MATCH($B86,#REF!,0),2),(INDEX(COMPOS!$A$4:$G$3900,MATCH($B86,COMPOS!$A$4:A$3900,0),2)))))</f>
        <v>CAIXA DE PASSAGEM 35X60X50CM FUNDO DE CONCRETO PARA TAMPA R1</v>
      </c>
      <c r="D86" s="274" t="str">
        <f>(IF($A86="SINAPI",INDEX(SINAPI_NOV2020_NDES!$A$7:$H$6790,MATCH($B86,SINAPI_NOV2020_NDES!$A$7:$A$6790,0),3),(INDEX(COMPOS!$A$4:$G$5000,MATCH($B86,COMPOS!$A$4:$A$5000,0),3))))</f>
        <v>UN</v>
      </c>
      <c r="E86" s="280">
        <v>3</v>
      </c>
      <c r="F86" s="279">
        <f>(IF($A86="SINAPI",INDEX(SINAPI_NOV2020_NDES!$A$7:$H$6703,MATCH($B86,SINAPI_NOV2020_NDES!$A$7:$A$6703,0),5),(INDEX(COMPOS!$A$4:$G$801,MATCH($B86,COMPOS!$A$4:A$801,0),4))))</f>
        <v>154.60165099999998</v>
      </c>
      <c r="G86" s="280">
        <f>(IF($A86="SINAPI",INDEX(SINAPI_NOV2020_NDES!$A$7:$H$6703,MATCH($B86,SINAPI_NOV2020_NDES!$A$7:$A$6703,0),6),(INDEX(COMPOS!$A$4:$G$801,MATCH($B86,COMPOS!$A$4:A$801,0),5))))</f>
        <v>104.76597111570248</v>
      </c>
      <c r="H86" s="280">
        <f>(IF($A86="SINAPI",INDEX(SINAPI_NOV2020_NDES!$A$7:$H$6703,MATCH($B86,SINAPI_NOV2020_NDES!$A$7:$A$6703,0),7),(INDEX(COMPOS!$A$4:$G$801,MATCH($B86,COMPOS!$A$4:A$801,0),6))))</f>
        <v>0</v>
      </c>
      <c r="I86" s="279">
        <f t="shared" si="10"/>
        <v>259.36762211570249</v>
      </c>
      <c r="J86" s="276">
        <f t="shared" si="11"/>
        <v>778.10286634710747</v>
      </c>
      <c r="O86" s="261"/>
    </row>
    <row r="87" spans="1:15" s="41" customFormat="1" ht="12">
      <c r="A87" s="251" t="s">
        <v>6307</v>
      </c>
      <c r="B87" s="289">
        <v>372</v>
      </c>
      <c r="C87" s="301" t="str">
        <f>(IF($A87="SINAPI",INDEX(SINAPI_NOV2020_NDES!$A$7:$H$6703,MATCH($B87,SINAPI_NOV2020_NDES!$A$7:$A$6703,0),2),IF($A87="GOINFRA",INDEX(#REF!,MATCH($B87,#REF!,0),2),(INDEX(COMPOS!$A$4:$G$3900,MATCH($B87,COMPOS!$A$4:A$3900,0),2)))))</f>
        <v>TAMPA DE Fo.Fo. R1 COM BASE</v>
      </c>
      <c r="D87" s="274" t="str">
        <f>(IF($A87="SINAPI",INDEX(SINAPI_NOV2020_NDES!$A$7:$H$6790,MATCH($B87,SINAPI_NOV2020_NDES!$A$7:$A$6790,0),3),(INDEX(COMPOS!$A$4:$G$5000,MATCH($B87,COMPOS!$A$4:$A$5000,0),3))))</f>
        <v>UN</v>
      </c>
      <c r="E87" s="280">
        <v>3</v>
      </c>
      <c r="F87" s="279">
        <f>(IF($A87="SINAPI",INDEX(SINAPI_NOV2020_NDES!$A$7:$H$6703,MATCH($B87,SINAPI_NOV2020_NDES!$A$7:$A$6703,0),5),(INDEX(COMPOS!$A$4:$G$801,MATCH($B87,COMPOS!$A$4:A$801,0),4))))</f>
        <v>3.863</v>
      </c>
      <c r="G87" s="280">
        <f>(IF($A87="SINAPI",INDEX(SINAPI_NOV2020_NDES!$A$7:$H$6703,MATCH($B87,SINAPI_NOV2020_NDES!$A$7:$A$6703,0),6),(INDEX(COMPOS!$A$4:$G$801,MATCH($B87,COMPOS!$A$4:A$801,0),5))))</f>
        <v>207.66</v>
      </c>
      <c r="H87" s="280">
        <f>(IF($A87="SINAPI",INDEX(SINAPI_NOV2020_NDES!$A$7:$H$6703,MATCH($B87,SINAPI_NOV2020_NDES!$A$7:$A$6703,0),7),(INDEX(COMPOS!$A$4:$G$801,MATCH($B87,COMPOS!$A$4:A$801,0),6))))</f>
        <v>0</v>
      </c>
      <c r="I87" s="279">
        <f t="shared" si="10"/>
        <v>211.523</v>
      </c>
      <c r="J87" s="276">
        <f t="shared" si="11"/>
        <v>634.56899999999996</v>
      </c>
      <c r="O87" s="261"/>
    </row>
    <row r="88" spans="1:15" s="41" customFormat="1" ht="12">
      <c r="A88" s="251" t="s">
        <v>6307</v>
      </c>
      <c r="B88" s="289">
        <v>548</v>
      </c>
      <c r="C88" s="301" t="str">
        <f>(IF($A88="SINAPI",INDEX(SINAPI_NOV2020_NDES!$A$7:$H$6703,MATCH($B88,SINAPI_NOV2020_NDES!$A$7:$A$6703,0),2),IF($A88="GOINFRA",INDEX(#REF!,MATCH($B88,#REF!,0),2),(INDEX(COMPOS!$A$4:$G$3900,MATCH($B88,COMPOS!$A$4:A$3900,0),2)))))</f>
        <v>TOMADA LÓGICA RJ-45 CAT. 6 (LINHA X OU EQUIVALENTE) - 01 UN</v>
      </c>
      <c r="D88" s="274" t="str">
        <f>(IF($A88="SINAPI",INDEX(SINAPI_NOV2020_NDES!$A$7:$H$6790,MATCH($B88,SINAPI_NOV2020_NDES!$A$7:$A$6790,0),3),(INDEX(COMPOS!$A$4:$G$5000,MATCH($B88,COMPOS!$A$4:$A$5000,0),3))))</f>
        <v>UN</v>
      </c>
      <c r="E88" s="280">
        <v>7</v>
      </c>
      <c r="F88" s="279">
        <f>(IF($A88="SINAPI",INDEX(SINAPI_NOV2020_NDES!$A$7:$H$6703,MATCH($B88,SINAPI_NOV2020_NDES!$A$7:$A$6703,0),5),(INDEX(COMPOS!$A$4:$G$801,MATCH($B88,COMPOS!$A$4:A$801,0),4))))</f>
        <v>14.293099999999999</v>
      </c>
      <c r="G88" s="280">
        <f>(IF($A88="SINAPI",INDEX(SINAPI_NOV2020_NDES!$A$7:$H$6703,MATCH($B88,SINAPI_NOV2020_NDES!$A$7:$A$6703,0),6),(INDEX(COMPOS!$A$4:$G$801,MATCH($B88,COMPOS!$A$4:A$801,0),5))))</f>
        <v>12.69</v>
      </c>
      <c r="H88" s="280">
        <f>(IF($A88="SINAPI",INDEX(SINAPI_NOV2020_NDES!$A$7:$H$6703,MATCH($B88,SINAPI_NOV2020_NDES!$A$7:$A$6703,0),7),(INDEX(COMPOS!$A$4:$G$801,MATCH($B88,COMPOS!$A$4:A$801,0),6))))</f>
        <v>0</v>
      </c>
      <c r="I88" s="279">
        <f t="shared" si="10"/>
        <v>26.9831</v>
      </c>
      <c r="J88" s="276">
        <f t="shared" si="11"/>
        <v>188.8817</v>
      </c>
      <c r="O88" s="261"/>
    </row>
    <row r="89" spans="1:15" s="41" customFormat="1" ht="24">
      <c r="A89" s="251" t="s">
        <v>6307</v>
      </c>
      <c r="B89" s="289">
        <v>549</v>
      </c>
      <c r="C89" s="301" t="str">
        <f>(IF($A89="SINAPI",INDEX(SINAPI_NOV2020_NDES!$A$7:$H$6703,MATCH($B89,SINAPI_NOV2020_NDES!$A$7:$A$6703,0),2),IF($A89="GOINFRA",INDEX(#REF!,MATCH($B89,#REF!,0),2),(INDEX(COMPOS!$A$4:$G$3900,MATCH($B89,COMPOS!$A$4:A$3900,0),2)))))</f>
        <v>SUPORTE DE TOMADA TELEFÔNICA TIPO RJ-45 2 POSIÇÕES 14,7x19,3mm - R-130 DA MOPA ou equivalente de mesmo padrão de qualidade</v>
      </c>
      <c r="D89" s="274" t="str">
        <f>(IF($A89="SINAPI",INDEX(SINAPI_NOV2020_NDES!$A$7:$H$6790,MATCH($B89,SINAPI_NOV2020_NDES!$A$7:$A$6790,0),3),(INDEX(COMPOS!$A$4:$G$5000,MATCH($B89,COMPOS!$A$4:$A$5000,0),3))))</f>
        <v>UN</v>
      </c>
      <c r="E89" s="280">
        <v>2</v>
      </c>
      <c r="F89" s="279">
        <f>(IF($A89="SINAPI",INDEX(SINAPI_NOV2020_NDES!$A$7:$H$6703,MATCH($B89,SINAPI_NOV2020_NDES!$A$7:$A$6703,0),5),(INDEX(COMPOS!$A$4:$G$801,MATCH($B89,COMPOS!$A$4:A$801,0),4))))</f>
        <v>3.863</v>
      </c>
      <c r="G89" s="280">
        <f>(IF($A89="SINAPI",INDEX(SINAPI_NOV2020_NDES!$A$7:$H$6703,MATCH($B89,SINAPI_NOV2020_NDES!$A$7:$A$6703,0),6),(INDEX(COMPOS!$A$4:$G$801,MATCH($B89,COMPOS!$A$4:A$801,0),5))))</f>
        <v>32.56</v>
      </c>
      <c r="H89" s="280">
        <f>(IF($A89="SINAPI",INDEX(SINAPI_NOV2020_NDES!$A$7:$H$6703,MATCH($B89,SINAPI_NOV2020_NDES!$A$7:$A$6703,0),7),(INDEX(COMPOS!$A$4:$G$801,MATCH($B89,COMPOS!$A$4:A$801,0),6))))</f>
        <v>0</v>
      </c>
      <c r="I89" s="279">
        <f t="shared" si="10"/>
        <v>36.423000000000002</v>
      </c>
      <c r="J89" s="276">
        <f t="shared" si="11"/>
        <v>72.846000000000004</v>
      </c>
      <c r="O89" s="261"/>
    </row>
    <row r="90" spans="1:15" s="41" customFormat="1" ht="12">
      <c r="A90" s="251" t="s">
        <v>6307</v>
      </c>
      <c r="B90" s="289">
        <v>872</v>
      </c>
      <c r="C90" s="301" t="str">
        <f>(IF($A90="SINAPI",INDEX(SINAPI_NOV2020_NDES!$A$7:$H$6703,MATCH($B90,SINAPI_NOV2020_NDES!$A$7:$A$6703,0),2),IF($A90="GOINFRA",INDEX(#REF!,MATCH($B90,#REF!,0),2),(INDEX(COMPOS!$A$4:$G$3900,MATCH($B90,COMPOS!$A$4:A$3900,0),2)))))</f>
        <v>CONDULETE PARA PONTO DE SOM NO TETO</v>
      </c>
      <c r="D90" s="274" t="str">
        <f>(IF($A90="SINAPI",INDEX(SINAPI_NOV2020_NDES!$A$7:$H$6790,MATCH($B90,SINAPI_NOV2020_NDES!$A$7:$A$6790,0),3),(INDEX(COMPOS!$A$4:$G$5000,MATCH($B90,COMPOS!$A$4:$A$5000,0),3))))</f>
        <v>UN</v>
      </c>
      <c r="E90" s="280">
        <v>31</v>
      </c>
      <c r="F90" s="279">
        <f>(IF($A90="SINAPI",INDEX(SINAPI_NOV2020_NDES!$A$7:$H$6703,MATCH($B90,SINAPI_NOV2020_NDES!$A$7:$A$6703,0),5),(INDEX(COMPOS!$A$4:$G$801,MATCH($B90,COMPOS!$A$4:A$801,0),4))))</f>
        <v>13.1342</v>
      </c>
      <c r="G90" s="280">
        <f>(IF($A90="SINAPI",INDEX(SINAPI_NOV2020_NDES!$A$7:$H$6703,MATCH($B90,SINAPI_NOV2020_NDES!$A$7:$A$6703,0),6),(INDEX(COMPOS!$A$4:$G$801,MATCH($B90,COMPOS!$A$4:A$801,0),5))))</f>
        <v>4.71</v>
      </c>
      <c r="H90" s="280">
        <f>(IF($A90="SINAPI",INDEX(SINAPI_NOV2020_NDES!$A$7:$H$6703,MATCH($B90,SINAPI_NOV2020_NDES!$A$7:$A$6703,0),7),(INDEX(COMPOS!$A$4:$G$801,MATCH($B90,COMPOS!$A$4:A$801,0),6))))</f>
        <v>0</v>
      </c>
      <c r="I90" s="279">
        <f t="shared" si="10"/>
        <v>17.844200000000001</v>
      </c>
      <c r="J90" s="276">
        <f t="shared" si="11"/>
        <v>553.17020000000002</v>
      </c>
      <c r="O90" s="261"/>
    </row>
    <row r="91" spans="1:15" s="41" customFormat="1" ht="12">
      <c r="A91" s="251" t="s">
        <v>6307</v>
      </c>
      <c r="B91" s="289">
        <v>873</v>
      </c>
      <c r="C91" s="301" t="str">
        <f>(IF($A91="SINAPI",INDEX(SINAPI_NOV2020_NDES!$A$7:$H$6703,MATCH($B91,SINAPI_NOV2020_NDES!$A$7:$A$6703,0),2),IF($A91="GOINFRA",INDEX(#REF!,MATCH($B91,#REF!,0),2),(INDEX(COMPOS!$A$4:$G$3900,MATCH($B91,COMPOS!$A$4:A$3900,0),2)))))</f>
        <v>CONDULETE PARA PONTO DE CÂMERA</v>
      </c>
      <c r="D91" s="274" t="str">
        <f>(IF($A91="SINAPI",INDEX(SINAPI_NOV2020_NDES!$A$7:$H$6790,MATCH($B91,SINAPI_NOV2020_NDES!$A$7:$A$6790,0),3),(INDEX(COMPOS!$A$4:$G$5000,MATCH($B91,COMPOS!$A$4:$A$5000,0),3))))</f>
        <v>UN</v>
      </c>
      <c r="E91" s="280">
        <v>30</v>
      </c>
      <c r="F91" s="279">
        <f>(IF($A91="SINAPI",INDEX(SINAPI_NOV2020_NDES!$A$7:$H$6703,MATCH($B91,SINAPI_NOV2020_NDES!$A$7:$A$6703,0),5),(INDEX(COMPOS!$A$4:$G$801,MATCH($B91,COMPOS!$A$4:A$801,0),4))))</f>
        <v>13.1342</v>
      </c>
      <c r="G91" s="280">
        <f>(IF($A91="SINAPI",INDEX(SINAPI_NOV2020_NDES!$A$7:$H$6703,MATCH($B91,SINAPI_NOV2020_NDES!$A$7:$A$6703,0),6),(INDEX(COMPOS!$A$4:$G$801,MATCH($B91,COMPOS!$A$4:A$801,0),5))))</f>
        <v>4.71</v>
      </c>
      <c r="H91" s="280">
        <f>(IF($A91="SINAPI",INDEX(SINAPI_NOV2020_NDES!$A$7:$H$6703,MATCH($B91,SINAPI_NOV2020_NDES!$A$7:$A$6703,0),7),(INDEX(COMPOS!$A$4:$G$801,MATCH($B91,COMPOS!$A$4:A$801,0),6))))</f>
        <v>0</v>
      </c>
      <c r="I91" s="279">
        <f t="shared" si="10"/>
        <v>17.844200000000001</v>
      </c>
      <c r="J91" s="276">
        <f t="shared" si="11"/>
        <v>535.32600000000002</v>
      </c>
      <c r="O91" s="261"/>
    </row>
    <row r="92" spans="1:15" s="41" customFormat="1" ht="12">
      <c r="A92" s="251" t="s">
        <v>6307</v>
      </c>
      <c r="B92" s="289">
        <v>452</v>
      </c>
      <c r="C92" s="301" t="str">
        <f>(IF($A92="SINAPI",INDEX(SINAPI_NOV2020_NDES!$A$7:$H$6703,MATCH($B92,SINAPI_NOV2020_NDES!$A$7:$A$6703,0),2),IF($A92="GOINFRA",INDEX(#REF!,MATCH($B92,#REF!,0),2),(INDEX(COMPOS!$A$4:$G$3900,MATCH($B92,COMPOS!$A$4:A$3900,0),2)))))</f>
        <v>CABO STP - 4 PARES</v>
      </c>
      <c r="D92" s="274" t="str">
        <f>(IF($A92="SINAPI",INDEX(SINAPI_NOV2020_NDES!$A$7:$H$6790,MATCH($B92,SINAPI_NOV2020_NDES!$A$7:$A$6790,0),3),(INDEX(COMPOS!$A$4:$G$5000,MATCH($B92,COMPOS!$A$4:$A$5000,0),3))))</f>
        <v>M</v>
      </c>
      <c r="E92" s="280">
        <v>938</v>
      </c>
      <c r="F92" s="279">
        <f>(IF($A92="SINAPI",INDEX(SINAPI_NOV2020_NDES!$A$7:$H$6703,MATCH($B92,SINAPI_NOV2020_NDES!$A$7:$A$6703,0),5),(INDEX(COMPOS!$A$4:$G$801,MATCH($B92,COMPOS!$A$4:A$801,0),4))))</f>
        <v>5.6438430000000004</v>
      </c>
      <c r="G92" s="280">
        <f>(IF($A92="SINAPI",INDEX(SINAPI_NOV2020_NDES!$A$7:$H$6703,MATCH($B92,SINAPI_NOV2020_NDES!$A$7:$A$6703,0),6),(INDEX(COMPOS!$A$4:$G$801,MATCH($B92,COMPOS!$A$4:A$801,0),5))))</f>
        <v>2.0033333333333334</v>
      </c>
      <c r="H92" s="280">
        <f>(IF($A92="SINAPI",INDEX(SINAPI_NOV2020_NDES!$A$7:$H$6703,MATCH($B92,SINAPI_NOV2020_NDES!$A$7:$A$6703,0),7),(INDEX(COMPOS!$A$4:$G$801,MATCH($B92,COMPOS!$A$4:A$801,0),6))))</f>
        <v>0</v>
      </c>
      <c r="I92" s="279">
        <f t="shared" si="10"/>
        <v>7.6471763333333342</v>
      </c>
      <c r="J92" s="276">
        <f t="shared" si="11"/>
        <v>7173.0514006666672</v>
      </c>
      <c r="O92" s="261"/>
    </row>
    <row r="93" spans="1:15" s="41" customFormat="1" ht="12">
      <c r="A93" s="251" t="s">
        <v>6307</v>
      </c>
      <c r="B93" s="289">
        <v>45</v>
      </c>
      <c r="C93" s="301" t="str">
        <f>(IF($A93="SINAPI",INDEX(SINAPI_NOV2020_NDES!$A$7:$H$6703,MATCH($B93,SINAPI_NOV2020_NDES!$A$7:$A$6703,0),2),IF($A93="GOINFRA",INDEX(#REF!,MATCH($B93,#REF!,0),2),(INDEX(COMPOS!$A$4:$G$3900,MATCH($B93,COMPOS!$A$4:A$3900,0),2)))))</f>
        <v>CABO RGC 59-75 OHMS</v>
      </c>
      <c r="D93" s="274" t="str">
        <f>(IF($A93="SINAPI",INDEX(SINAPI_NOV2020_NDES!$A$7:$H$6790,MATCH($B93,SINAPI_NOV2020_NDES!$A$7:$A$6790,0),3),(INDEX(COMPOS!$A$4:$G$5000,MATCH($B93,COMPOS!$A$4:$A$5000,0),3))))</f>
        <v>M</v>
      </c>
      <c r="E93" s="280">
        <v>2370</v>
      </c>
      <c r="F93" s="279">
        <f>(IF($A93="SINAPI",INDEX(SINAPI_NOV2020_NDES!$A$7:$H$6703,MATCH($B93,SINAPI_NOV2020_NDES!$A$7:$A$6703,0),5),(INDEX(COMPOS!$A$4:$G$801,MATCH($B93,COMPOS!$A$4:A$801,0),4))))</f>
        <v>2.7041000000000004</v>
      </c>
      <c r="G93" s="280">
        <f>(IF($A93="SINAPI",INDEX(SINAPI_NOV2020_NDES!$A$7:$H$6703,MATCH($B93,SINAPI_NOV2020_NDES!$A$7:$A$6703,0),6),(INDEX(COMPOS!$A$4:$G$801,MATCH($B93,COMPOS!$A$4:A$801,0),5))))</f>
        <v>1.2036</v>
      </c>
      <c r="H93" s="280">
        <f>(IF($A93="SINAPI",INDEX(SINAPI_NOV2020_NDES!$A$7:$H$6703,MATCH($B93,SINAPI_NOV2020_NDES!$A$7:$A$6703,0),7),(INDEX(COMPOS!$A$4:$G$801,MATCH($B93,COMPOS!$A$4:A$801,0),6))))</f>
        <v>0</v>
      </c>
      <c r="I93" s="279">
        <f t="shared" si="8"/>
        <v>3.9077000000000002</v>
      </c>
      <c r="J93" s="276">
        <f t="shared" si="9"/>
        <v>9261.2489999999998</v>
      </c>
      <c r="O93" s="261"/>
    </row>
    <row r="94" spans="1:15" s="41" customFormat="1" ht="12">
      <c r="A94" s="251" t="s">
        <v>6307</v>
      </c>
      <c r="B94" s="289">
        <v>136</v>
      </c>
      <c r="C94" s="301" t="str">
        <f>(IF($A94="SINAPI",INDEX(SINAPI_NOV2020_NDES!$A$7:$H$6703,MATCH($B94,SINAPI_NOV2020_NDES!$A$7:$A$6703,0),2),IF($A94="GOINFRA",INDEX(#REF!,MATCH($B94,#REF!,0),2),(INDEX(COMPOS!$A$4:$G$3900,MATCH($B94,COMPOS!$A$4:A$3900,0),2)))))</f>
        <v>POTENCIÔMETRO PARA SISTEMA DE SONORIZAÇÃO</v>
      </c>
      <c r="D94" s="274" t="str">
        <f>(IF($A94="SINAPI",INDEX(SINAPI_NOV2020_NDES!$A$7:$H$6790,MATCH($B94,SINAPI_NOV2020_NDES!$A$7:$A$6790,0),3),(INDEX(COMPOS!$A$4:$G$5000,MATCH($B94,COMPOS!$A$4:$A$5000,0),3))))</f>
        <v>UN</v>
      </c>
      <c r="E94" s="280">
        <v>3</v>
      </c>
      <c r="F94" s="279">
        <f>(IF($A94="SINAPI",INDEX(SINAPI_NOV2020_NDES!$A$7:$H$6703,MATCH($B94,SINAPI_NOV2020_NDES!$A$7:$A$6703,0),5),(INDEX(COMPOS!$A$4:$G$801,MATCH($B94,COMPOS!$A$4:A$801,0),4))))</f>
        <v>9.8699650000000005</v>
      </c>
      <c r="G94" s="280">
        <f>(IF($A94="SINAPI",INDEX(SINAPI_NOV2020_NDES!$A$7:$H$6703,MATCH($B94,SINAPI_NOV2020_NDES!$A$7:$A$6703,0),6),(INDEX(COMPOS!$A$4:$G$801,MATCH($B94,COMPOS!$A$4:A$801,0),5))))</f>
        <v>4.53</v>
      </c>
      <c r="H94" s="280">
        <f>(IF($A94="SINAPI",INDEX(SINAPI_NOV2020_NDES!$A$7:$H$6703,MATCH($B94,SINAPI_NOV2020_NDES!$A$7:$A$6703,0),7),(INDEX(COMPOS!$A$4:$G$801,MATCH($B94,COMPOS!$A$4:A$801,0),6))))</f>
        <v>0</v>
      </c>
      <c r="I94" s="279">
        <f>SUM(F94:H94)</f>
        <v>14.399965000000002</v>
      </c>
      <c r="J94" s="276">
        <f>+I94*E94</f>
        <v>43.199895000000005</v>
      </c>
      <c r="O94" s="261"/>
    </row>
    <row r="95" spans="1:15" s="41" customFormat="1" ht="12">
      <c r="A95" s="251"/>
      <c r="B95" s="289"/>
      <c r="C95" s="301" t="s">
        <v>6946</v>
      </c>
      <c r="D95" s="274"/>
      <c r="E95" s="280"/>
      <c r="F95" s="279"/>
      <c r="G95" s="280"/>
      <c r="H95" s="280"/>
      <c r="I95" s="279"/>
      <c r="J95" s="276"/>
      <c r="O95" s="261"/>
    </row>
    <row r="96" spans="1:15" s="41" customFormat="1" ht="24">
      <c r="A96" s="251" t="s">
        <v>7</v>
      </c>
      <c r="B96" s="289">
        <v>96973</v>
      </c>
      <c r="C96" s="301" t="str">
        <f>(IF($A96="SINAPI",INDEX(SINAPI_NOV2020_NDES!$A$7:$H$6703,MATCH($B96,SINAPI_NOV2020_NDES!$A$7:$A$6703,0),2),IF($A96="GOINFRA",INDEX(#REF!,MATCH($B96,#REF!,0),2),(INDEX(COMPOS!$A$4:$G$3900,MATCH($B96,COMPOS!$A$4:A$3900,0),2)))))</f>
        <v>CORDOALHA DE COBRE NU 35 MM², NÃO ENTERRADA, COM ISOLADOR - FORNECIMENTO E INSTALAÇÃO. AF_12/2017</v>
      </c>
      <c r="D96" s="274" t="str">
        <f>(IF($A96="SINAPI",INDEX(SINAPI_NOV2020_NDES!$A$7:$H$6790,MATCH($B96,SINAPI_NOV2020_NDES!$A$7:$A$6790,0),3),(INDEX(COMPOS!$A$4:$G$5000,MATCH($B96,COMPOS!$A$4:$A$5000,0),3))))</f>
        <v>M</v>
      </c>
      <c r="E96" s="280">
        <v>600</v>
      </c>
      <c r="F96" s="279">
        <f>(IF($A96="SINAPI",INDEX(SINAPI_NOV2020_NDES!$A$7:$H$6703,MATCH($B96,SINAPI_NOV2020_NDES!$A$7:$A$6703,0),5),(INDEX(COMPOS!$A$4:$G$801,MATCH($B96,COMPOS!$A$4:A$801,0),4))))</f>
        <v>12.12</v>
      </c>
      <c r="G96" s="280">
        <f>(IF($A96="SINAPI",INDEX(SINAPI_NOV2020_NDES!$A$7:$H$6703,MATCH($B96,SINAPI_NOV2020_NDES!$A$7:$A$6703,0),6),(INDEX(COMPOS!$A$4:$G$801,MATCH($B96,COMPOS!$A$4:A$801,0),5))))</f>
        <v>32.340000000000003</v>
      </c>
      <c r="H96" s="280">
        <f>(IF($A96="SINAPI",INDEX(SINAPI_NOV2020_NDES!$A$7:$H$6703,MATCH($B96,SINAPI_NOV2020_NDES!$A$7:$A$6703,0),7),(INDEX(COMPOS!$A$4:$G$801,MATCH($B96,COMPOS!$A$4:A$801,0),6))))</f>
        <v>0</v>
      </c>
      <c r="I96" s="279">
        <f t="shared" ref="I96" si="12">SUM(F96:H96)</f>
        <v>44.46</v>
      </c>
      <c r="J96" s="276">
        <f t="shared" ref="J96:J110" si="13">+I96*E96</f>
        <v>26676</v>
      </c>
      <c r="O96" s="261"/>
    </row>
    <row r="97" spans="1:15" s="41" customFormat="1" ht="24">
      <c r="A97" s="251" t="s">
        <v>7</v>
      </c>
      <c r="B97" s="289">
        <v>96974</v>
      </c>
      <c r="C97" s="301" t="str">
        <f>(IF($A97="SINAPI",INDEX(SINAPI_NOV2020_NDES!$A$7:$H$6703,MATCH($B97,SINAPI_NOV2020_NDES!$A$7:$A$6703,0),2),IF($A97="GOINFRA",INDEX(#REF!,MATCH($B97,#REF!,0),2),(INDEX(COMPOS!$A$4:$G$3900,MATCH($B97,COMPOS!$A$4:A$3900,0),2)))))</f>
        <v>CORDOALHA DE COBRE NU 50 MM², NÃO ENTERRADA, COM ISOLADOR - FORNECIMENTO E INSTALAÇÃO. AF_12/2017</v>
      </c>
      <c r="D97" s="274" t="str">
        <f>(IF($A97="SINAPI",INDEX(SINAPI_NOV2020_NDES!$A$7:$H$6790,MATCH($B97,SINAPI_NOV2020_NDES!$A$7:$A$6790,0),3),(INDEX(COMPOS!$A$4:$G$5000,MATCH($B97,COMPOS!$A$4:$A$5000,0),3))))</f>
        <v>M</v>
      </c>
      <c r="E97" s="280">
        <v>300</v>
      </c>
      <c r="F97" s="279">
        <f>(IF($A97="SINAPI",INDEX(SINAPI_NOV2020_NDES!$A$7:$H$6703,MATCH($B97,SINAPI_NOV2020_NDES!$A$7:$A$6703,0),5),(INDEX(COMPOS!$A$4:$G$801,MATCH($B97,COMPOS!$A$4:A$801,0),4))))</f>
        <v>14.24</v>
      </c>
      <c r="G97" s="280">
        <f>(IF($A97="SINAPI",INDEX(SINAPI_NOV2020_NDES!$A$7:$H$6703,MATCH($B97,SINAPI_NOV2020_NDES!$A$7:$A$6703,0),6),(INDEX(COMPOS!$A$4:$G$801,MATCH($B97,COMPOS!$A$4:A$801,0),5))))</f>
        <v>42.67</v>
      </c>
      <c r="H97" s="280">
        <f>(IF($A97="SINAPI",INDEX(SINAPI_NOV2020_NDES!$A$7:$H$6703,MATCH($B97,SINAPI_NOV2020_NDES!$A$7:$A$6703,0),7),(INDEX(COMPOS!$A$4:$G$801,MATCH($B97,COMPOS!$A$4:A$801,0),6))))</f>
        <v>0</v>
      </c>
      <c r="I97" s="279">
        <f t="shared" ref="I97:I110" si="14">SUM(F97:H97)</f>
        <v>56.910000000000004</v>
      </c>
      <c r="J97" s="276">
        <f t="shared" si="13"/>
        <v>17073</v>
      </c>
      <c r="O97" s="261"/>
    </row>
    <row r="98" spans="1:15" s="41" customFormat="1" ht="12">
      <c r="A98" s="251" t="s">
        <v>6307</v>
      </c>
      <c r="B98" s="289">
        <v>714</v>
      </c>
      <c r="C98" s="301" t="str">
        <f>(IF($A98="SINAPI",INDEX(SINAPI_NOV2020_NDES!$A$7:$H$6703,MATCH($B98,SINAPI_NOV2020_NDES!$A$7:$A$6703,0),2),IF($A98="GOINFRA",INDEX(#REF!,MATCH($B98,#REF!,0),2),(INDEX(COMPOS!$A$4:$G$3900,MATCH($B98,COMPOS!$A$4:A$3900,0),2)))))</f>
        <v>CONECTOR DE COMPRESSÃO FORMATO H PARA CABO 25 A 70 MM2</v>
      </c>
      <c r="D98" s="274" t="str">
        <f>(IF($A98="SINAPI",INDEX(SINAPI_NOV2020_NDES!$A$7:$H$6790,MATCH($B98,SINAPI_NOV2020_NDES!$A$7:$A$6790,0),3),(INDEX(COMPOS!$A$4:$G$5000,MATCH($B98,COMPOS!$A$4:$A$5000,0),3))))</f>
        <v>UN</v>
      </c>
      <c r="E98" s="280">
        <v>50</v>
      </c>
      <c r="F98" s="279">
        <f>(IF($A98="SINAPI",INDEX(SINAPI_NOV2020_NDES!$A$7:$H$6703,MATCH($B98,SINAPI_NOV2020_NDES!$A$7:$A$6703,0),5),(INDEX(COMPOS!$A$4:$G$801,MATCH($B98,COMPOS!$A$4:A$801,0),4))))</f>
        <v>15.452</v>
      </c>
      <c r="G98" s="280">
        <f>(IF($A98="SINAPI",INDEX(SINAPI_NOV2020_NDES!$A$7:$H$6703,MATCH($B98,SINAPI_NOV2020_NDES!$A$7:$A$6703,0),6),(INDEX(COMPOS!$A$4:$G$801,MATCH($B98,COMPOS!$A$4:A$801,0),5))))</f>
        <v>5.0599999999999996</v>
      </c>
      <c r="H98" s="280">
        <f>(IF($A98="SINAPI",INDEX(SINAPI_NOV2020_NDES!$A$7:$H$6703,MATCH($B98,SINAPI_NOV2020_NDES!$A$7:$A$6703,0),7),(INDEX(COMPOS!$A$4:$G$801,MATCH($B98,COMPOS!$A$4:A$801,0),6))))</f>
        <v>0</v>
      </c>
      <c r="I98" s="279">
        <f t="shared" ref="I98:I105" si="15">SUM(F98:H98)</f>
        <v>20.512</v>
      </c>
      <c r="J98" s="276">
        <f t="shared" ref="J98:J105" si="16">+I98*E98</f>
        <v>1025.5999999999999</v>
      </c>
      <c r="O98" s="261"/>
    </row>
    <row r="99" spans="1:15" s="41" customFormat="1" ht="12">
      <c r="A99" s="251" t="s">
        <v>6307</v>
      </c>
      <c r="B99" s="289">
        <v>42</v>
      </c>
      <c r="C99" s="301" t="str">
        <f>(IF($A99="SINAPI",INDEX(SINAPI_NOV2020_NDES!$A$7:$H$6703,MATCH($B99,SINAPI_NOV2020_NDES!$A$7:$A$6703,0),2),IF($A99="GOINFRA",INDEX(#REF!,MATCH($B99,#REF!,0),2),(INDEX(COMPOS!$A$4:$G$3900,MATCH($B99,COMPOS!$A$4:A$3900,0),2)))))</f>
        <v>SOLDA EXOTÉRMICA TAMANHO 115G</v>
      </c>
      <c r="D99" s="274" t="str">
        <f>(IF($A99="SINAPI",INDEX(SINAPI_NOV2020_NDES!$A$7:$H$6790,MATCH($B99,SINAPI_NOV2020_NDES!$A$7:$A$6790,0),3),(INDEX(COMPOS!$A$4:$G$5000,MATCH($B99,COMPOS!$A$4:$A$5000,0),3))))</f>
        <v>UN</v>
      </c>
      <c r="E99" s="280">
        <v>60</v>
      </c>
      <c r="F99" s="279">
        <f>(IF($A99="SINAPI",INDEX(SINAPI_NOV2020_NDES!$A$7:$H$6703,MATCH($B99,SINAPI_NOV2020_NDES!$A$7:$A$6703,0),5),(INDEX(COMPOS!$A$4:$G$801,MATCH($B99,COMPOS!$A$4:A$801,0),4))))</f>
        <v>2.1414880000000003</v>
      </c>
      <c r="G99" s="280">
        <f>(IF($A99="SINAPI",INDEX(SINAPI_NOV2020_NDES!$A$7:$H$6703,MATCH($B99,SINAPI_NOV2020_NDES!$A$7:$A$6703,0),6),(INDEX(COMPOS!$A$4:$G$801,MATCH($B99,COMPOS!$A$4:A$801,0),5))))</f>
        <v>7.91</v>
      </c>
      <c r="H99" s="280">
        <f>(IF($A99="SINAPI",INDEX(SINAPI_NOV2020_NDES!$A$7:$H$6703,MATCH($B99,SINAPI_NOV2020_NDES!$A$7:$A$6703,0),7),(INDEX(COMPOS!$A$4:$G$801,MATCH($B99,COMPOS!$A$4:A$801,0),6))))</f>
        <v>0</v>
      </c>
      <c r="I99" s="279">
        <f t="shared" si="15"/>
        <v>10.051488000000001</v>
      </c>
      <c r="J99" s="276">
        <f t="shared" si="16"/>
        <v>603.08928000000003</v>
      </c>
      <c r="O99" s="261"/>
    </row>
    <row r="100" spans="1:15" s="41" customFormat="1" ht="12">
      <c r="A100" s="251" t="s">
        <v>6307</v>
      </c>
      <c r="B100" s="289">
        <v>537</v>
      </c>
      <c r="C100" s="301" t="str">
        <f>(IF($A100="SINAPI",INDEX(SINAPI_NOV2020_NDES!$A$7:$H$6703,MATCH($B100,SINAPI_NOV2020_NDES!$A$7:$A$6703,0),2),IF($A100="GOINFRA",INDEX(#REF!,MATCH($B100,#REF!,0),2),(INDEX(COMPOS!$A$4:$G$3900,MATCH($B100,COMPOS!$A$4:A$3900,0),2)))))</f>
        <v>ABRAÇADEIRA TIPO D 1" COM CUNHA</v>
      </c>
      <c r="D100" s="274" t="str">
        <f>(IF($A100="SINAPI",INDEX(SINAPI_NOV2020_NDES!$A$7:$H$6790,MATCH($B100,SINAPI_NOV2020_NDES!$A$7:$A$6790,0),3),(INDEX(COMPOS!$A$4:$G$5000,MATCH($B100,COMPOS!$A$4:$A$5000,0),3))))</f>
        <v>UN</v>
      </c>
      <c r="E100" s="280">
        <v>80</v>
      </c>
      <c r="F100" s="279">
        <f>(IF($A100="SINAPI",INDEX(SINAPI_NOV2020_NDES!$A$7:$H$6703,MATCH($B100,SINAPI_NOV2020_NDES!$A$7:$A$6703,0),5),(INDEX(COMPOS!$A$4:$G$801,MATCH($B100,COMPOS!$A$4:A$801,0),4))))</f>
        <v>0.38629999999999998</v>
      </c>
      <c r="G100" s="280">
        <f>(IF($A100="SINAPI",INDEX(SINAPI_NOV2020_NDES!$A$7:$H$6703,MATCH($B100,SINAPI_NOV2020_NDES!$A$7:$A$6703,0),6),(INDEX(COMPOS!$A$4:$G$801,MATCH($B100,COMPOS!$A$4:A$801,0),5))))</f>
        <v>0.56999999999999995</v>
      </c>
      <c r="H100" s="280">
        <f>(IF($A100="SINAPI",INDEX(SINAPI_NOV2020_NDES!$A$7:$H$6703,MATCH($B100,SINAPI_NOV2020_NDES!$A$7:$A$6703,0),7),(INDEX(COMPOS!$A$4:$G$801,MATCH($B100,COMPOS!$A$4:A$801,0),6))))</f>
        <v>0</v>
      </c>
      <c r="I100" s="279">
        <f t="shared" si="15"/>
        <v>0.95629999999999993</v>
      </c>
      <c r="J100" s="276">
        <f t="shared" si="16"/>
        <v>76.503999999999991</v>
      </c>
      <c r="O100" s="261"/>
    </row>
    <row r="101" spans="1:15" s="41" customFormat="1" ht="12">
      <c r="A101" s="251" t="s">
        <v>6307</v>
      </c>
      <c r="B101" s="289">
        <v>538</v>
      </c>
      <c r="C101" s="301" t="str">
        <f>(IF($A101="SINAPI",INDEX(SINAPI_NOV2020_NDES!$A$7:$H$6703,MATCH($B101,SINAPI_NOV2020_NDES!$A$7:$A$6703,0),2),IF($A101="GOINFRA",INDEX(#REF!,MATCH($B101,#REF!,0),2),(INDEX(COMPOS!$A$4:$G$3900,MATCH($B101,COMPOS!$A$4:A$3900,0),2)))))</f>
        <v>CAIXA DE INSPEÇÃO SUSPENSA</v>
      </c>
      <c r="D101" s="274" t="str">
        <f>(IF($A101="SINAPI",INDEX(SINAPI_NOV2020_NDES!$A$7:$H$6790,MATCH($B101,SINAPI_NOV2020_NDES!$A$7:$A$6790,0),3),(INDEX(COMPOS!$A$4:$G$5000,MATCH($B101,COMPOS!$A$4:$A$5000,0),3))))</f>
        <v>UN</v>
      </c>
      <c r="E101" s="280">
        <v>20</v>
      </c>
      <c r="F101" s="279">
        <f>(IF($A101="SINAPI",INDEX(SINAPI_NOV2020_NDES!$A$7:$H$6703,MATCH($B101,SINAPI_NOV2020_NDES!$A$7:$A$6703,0),5),(INDEX(COMPOS!$A$4:$G$801,MATCH($B101,COMPOS!$A$4:A$801,0),4))))</f>
        <v>5.7944999999999993</v>
      </c>
      <c r="G101" s="280">
        <f>(IF($A101="SINAPI",INDEX(SINAPI_NOV2020_NDES!$A$7:$H$6703,MATCH($B101,SINAPI_NOV2020_NDES!$A$7:$A$6703,0),6),(INDEX(COMPOS!$A$4:$G$801,MATCH($B101,COMPOS!$A$4:A$801,0),5))))</f>
        <v>76.625</v>
      </c>
      <c r="H101" s="280">
        <f>(IF($A101="SINAPI",INDEX(SINAPI_NOV2020_NDES!$A$7:$H$6703,MATCH($B101,SINAPI_NOV2020_NDES!$A$7:$A$6703,0),7),(INDEX(COMPOS!$A$4:$G$801,MATCH($B101,COMPOS!$A$4:A$801,0),6))))</f>
        <v>0</v>
      </c>
      <c r="I101" s="279">
        <f t="shared" si="15"/>
        <v>82.419499999999999</v>
      </c>
      <c r="J101" s="276">
        <f t="shared" si="16"/>
        <v>1648.3899999999999</v>
      </c>
      <c r="O101" s="261"/>
    </row>
    <row r="102" spans="1:15" s="41" customFormat="1" ht="12">
      <c r="A102" s="251" t="s">
        <v>6307</v>
      </c>
      <c r="B102" s="289">
        <v>639</v>
      </c>
      <c r="C102" s="301" t="str">
        <f>(IF($A102="SINAPI",INDEX(SINAPI_NOV2020_NDES!$A$7:$H$6703,MATCH($B102,SINAPI_NOV2020_NDES!$A$7:$A$6703,0),2),IF($A102="GOINFRA",INDEX(#REF!,MATCH($B102,#REF!,0),2),(INDEX(COMPOS!$A$4:$G$3900,MATCH($B102,COMPOS!$A$4:A$3900,0),2)))))</f>
        <v>CONJUNTO PARA ESTAIS RÍGIDO + ABRAÇADEIRA 2" 3M</v>
      </c>
      <c r="D102" s="274" t="str">
        <f>(IF($A102="SINAPI",INDEX(SINAPI_NOV2020_NDES!$A$7:$H$6790,MATCH($B102,SINAPI_NOV2020_NDES!$A$7:$A$6790,0),3),(INDEX(COMPOS!$A$4:$G$5000,MATCH($B102,COMPOS!$A$4:$A$5000,0),3))))</f>
        <v>UN</v>
      </c>
      <c r="E102" s="280">
        <v>6</v>
      </c>
      <c r="F102" s="279">
        <f>(IF($A102="SINAPI",INDEX(SINAPI_NOV2020_NDES!$A$7:$H$6703,MATCH($B102,SINAPI_NOV2020_NDES!$A$7:$A$6703,0),5),(INDEX(COMPOS!$A$4:$G$801,MATCH($B102,COMPOS!$A$4:A$801,0),4))))</f>
        <v>18.001580000000001</v>
      </c>
      <c r="G102" s="280">
        <f>(IF($A102="SINAPI",INDEX(SINAPI_NOV2020_NDES!$A$7:$H$6703,MATCH($B102,SINAPI_NOV2020_NDES!$A$7:$A$6703,0),6),(INDEX(COMPOS!$A$4:$G$801,MATCH($B102,COMPOS!$A$4:A$801,0),5))))</f>
        <v>384.24</v>
      </c>
      <c r="H102" s="280">
        <f>(IF($A102="SINAPI",INDEX(SINAPI_NOV2020_NDES!$A$7:$H$6703,MATCH($B102,SINAPI_NOV2020_NDES!$A$7:$A$6703,0),7),(INDEX(COMPOS!$A$4:$G$801,MATCH($B102,COMPOS!$A$4:A$801,0),6))))</f>
        <v>0</v>
      </c>
      <c r="I102" s="279">
        <f t="shared" si="15"/>
        <v>402.24158</v>
      </c>
      <c r="J102" s="276">
        <f t="shared" si="16"/>
        <v>2413.4494800000002</v>
      </c>
      <c r="O102" s="261"/>
    </row>
    <row r="103" spans="1:15" s="41" customFormat="1" ht="12">
      <c r="A103" s="251" t="s">
        <v>6307</v>
      </c>
      <c r="B103" s="289">
        <v>541</v>
      </c>
      <c r="C103" s="301" t="str">
        <f>(IF($A103="SINAPI",INDEX(SINAPI_NOV2020_NDES!$A$7:$H$6703,MATCH($B103,SINAPI_NOV2020_NDES!$A$7:$A$6703,0),2),IF($A103="GOINFRA",INDEX(#REF!,MATCH($B103,#REF!,0),2),(INDEX(COMPOS!$A$4:$G$3900,MATCH($B103,COMPOS!$A$4:A$3900,0),2)))))</f>
        <v>ABRACADEIRA-GUIA REFORCADA 2" DUAS DESCIDAS</v>
      </c>
      <c r="D103" s="274" t="str">
        <f>(IF($A103="SINAPI",INDEX(SINAPI_NOV2020_NDES!$A$7:$H$6790,MATCH($B103,SINAPI_NOV2020_NDES!$A$7:$A$6790,0),3),(INDEX(COMPOS!$A$4:$G$5000,MATCH($B103,COMPOS!$A$4:$A$5000,0),3))))</f>
        <v>UN</v>
      </c>
      <c r="E103" s="280">
        <v>6</v>
      </c>
      <c r="F103" s="279">
        <f>(IF($A103="SINAPI",INDEX(SINAPI_NOV2020_NDES!$A$7:$H$6703,MATCH($B103,SINAPI_NOV2020_NDES!$A$7:$A$6703,0),5),(INDEX(COMPOS!$A$4:$G$801,MATCH($B103,COMPOS!$A$4:A$801,0),4))))</f>
        <v>12.222532000000001</v>
      </c>
      <c r="G103" s="280">
        <f>(IF($A103="SINAPI",INDEX(SINAPI_NOV2020_NDES!$A$7:$H$6703,MATCH($B103,SINAPI_NOV2020_NDES!$A$7:$A$6703,0),6),(INDEX(COMPOS!$A$4:$G$801,MATCH($B103,COMPOS!$A$4:A$801,0),5))))</f>
        <v>63.305</v>
      </c>
      <c r="H103" s="280">
        <f>(IF($A103="SINAPI",INDEX(SINAPI_NOV2020_NDES!$A$7:$H$6703,MATCH($B103,SINAPI_NOV2020_NDES!$A$7:$A$6703,0),7),(INDEX(COMPOS!$A$4:$G$801,MATCH($B103,COMPOS!$A$4:A$801,0),6))))</f>
        <v>0</v>
      </c>
      <c r="I103" s="279">
        <f t="shared" si="15"/>
        <v>75.527532000000008</v>
      </c>
      <c r="J103" s="276">
        <f t="shared" si="16"/>
        <v>453.16519200000005</v>
      </c>
      <c r="O103" s="261"/>
    </row>
    <row r="104" spans="1:15" s="41" customFormat="1" ht="12">
      <c r="A104" s="251" t="s">
        <v>6307</v>
      </c>
      <c r="B104" s="289">
        <v>771</v>
      </c>
      <c r="C104" s="301" t="str">
        <f>(IF($A104="SINAPI",INDEX(SINAPI_NOV2020_NDES!$A$7:$H$6703,MATCH($B104,SINAPI_NOV2020_NDES!$A$7:$A$6703,0),2),IF($A104="GOINFRA",INDEX(#REF!,MATCH($B104,#REF!,0),2),(INDEX(COMPOS!$A$4:$G$3900,MATCH($B104,COMPOS!$A$4:A$3900,0),2)))))</f>
        <v>BASE METÁLICA PARA MASTRO 2"</v>
      </c>
      <c r="D104" s="274" t="str">
        <f>(IF($A104="SINAPI",INDEX(SINAPI_NOV2020_NDES!$A$7:$H$6790,MATCH($B104,SINAPI_NOV2020_NDES!$A$7:$A$6790,0),3),(INDEX(COMPOS!$A$4:$G$5000,MATCH($B104,COMPOS!$A$4:$A$5000,0),3))))</f>
        <v>UN</v>
      </c>
      <c r="E104" s="280">
        <v>6</v>
      </c>
      <c r="F104" s="279">
        <f>(IF($A104="SINAPI",INDEX(SINAPI_NOV2020_NDES!$A$7:$H$6703,MATCH($B104,SINAPI_NOV2020_NDES!$A$7:$A$6703,0),5),(INDEX(COMPOS!$A$4:$G$801,MATCH($B104,COMPOS!$A$4:A$801,0),4))))</f>
        <v>51.505378999999991</v>
      </c>
      <c r="G104" s="280">
        <f>(IF($A104="SINAPI",INDEX(SINAPI_NOV2020_NDES!$A$7:$H$6703,MATCH($B104,SINAPI_NOV2020_NDES!$A$7:$A$6703,0),6),(INDEX(COMPOS!$A$4:$G$801,MATCH($B104,COMPOS!$A$4:A$801,0),5))))</f>
        <v>65.47</v>
      </c>
      <c r="H104" s="280">
        <f>(IF($A104="SINAPI",INDEX(SINAPI_NOV2020_NDES!$A$7:$H$6703,MATCH($B104,SINAPI_NOV2020_NDES!$A$7:$A$6703,0),7),(INDEX(COMPOS!$A$4:$G$801,MATCH($B104,COMPOS!$A$4:A$801,0),6))))</f>
        <v>0</v>
      </c>
      <c r="I104" s="279">
        <f t="shared" si="15"/>
        <v>116.97537899999999</v>
      </c>
      <c r="J104" s="276">
        <f t="shared" si="16"/>
        <v>701.85227399999997</v>
      </c>
      <c r="O104" s="261"/>
    </row>
    <row r="105" spans="1:15" s="41" customFormat="1" ht="12">
      <c r="A105" s="251" t="s">
        <v>6307</v>
      </c>
      <c r="B105" s="289">
        <v>640</v>
      </c>
      <c r="C105" s="301" t="str">
        <f>(IF($A105="SINAPI",INDEX(SINAPI_NOV2020_NDES!$A$7:$H$6703,MATCH($B105,SINAPI_NOV2020_NDES!$A$7:$A$6703,0),2),IF($A105="GOINFRA",INDEX(#REF!,MATCH($B105,#REF!,0),2),(INDEX(COMPOS!$A$4:$G$3900,MATCH($B105,COMPOS!$A$4:A$3900,0),2)))))</f>
        <v>CONJUNTO PARA ESTAIS RÍGIDO + ABRAÇADEIRA 2" 3M</v>
      </c>
      <c r="D105" s="274" t="str">
        <f>(IF($A105="SINAPI",INDEX(SINAPI_NOV2020_NDES!$A$7:$H$6790,MATCH($B105,SINAPI_NOV2020_NDES!$A$7:$A$6790,0),3),(INDEX(COMPOS!$A$4:$G$5000,MATCH($B105,COMPOS!$A$4:$A$5000,0),3))))</f>
        <v>UN</v>
      </c>
      <c r="E105" s="280">
        <v>20</v>
      </c>
      <c r="F105" s="279">
        <f>(IF($A105="SINAPI",INDEX(SINAPI_NOV2020_NDES!$A$7:$H$6703,MATCH($B105,SINAPI_NOV2020_NDES!$A$7:$A$6703,0),5),(INDEX(COMPOS!$A$4:$G$801,MATCH($B105,COMPOS!$A$4:A$801,0),4))))</f>
        <v>12.462038</v>
      </c>
      <c r="G105" s="280">
        <f>(IF($A105="SINAPI",INDEX(SINAPI_NOV2020_NDES!$A$7:$H$6703,MATCH($B105,SINAPI_NOV2020_NDES!$A$7:$A$6703,0),6),(INDEX(COMPOS!$A$4:$G$801,MATCH($B105,COMPOS!$A$4:A$801,0),5))))</f>
        <v>222.64000000000001</v>
      </c>
      <c r="H105" s="280">
        <f>(IF($A105="SINAPI",INDEX(SINAPI_NOV2020_NDES!$A$7:$H$6703,MATCH($B105,SINAPI_NOV2020_NDES!$A$7:$A$6703,0),7),(INDEX(COMPOS!$A$4:$G$801,MATCH($B105,COMPOS!$A$4:A$801,0),6))))</f>
        <v>0</v>
      </c>
      <c r="I105" s="279">
        <f t="shared" si="15"/>
        <v>235.10203800000002</v>
      </c>
      <c r="J105" s="276">
        <f t="shared" si="16"/>
        <v>4702.0407600000008</v>
      </c>
      <c r="O105" s="261"/>
    </row>
    <row r="106" spans="1:15" s="41" customFormat="1" ht="24">
      <c r="A106" s="251" t="s">
        <v>7</v>
      </c>
      <c r="B106" s="289">
        <v>96985</v>
      </c>
      <c r="C106" s="301" t="str">
        <f>(IF($A106="SINAPI",INDEX(SINAPI_NOV2020_NDES!$A$7:$H$6703,MATCH($B106,SINAPI_NOV2020_NDES!$A$7:$A$6703,0),2),IF($A106="GOINFRA",INDEX(#REF!,MATCH($B106,#REF!,0),2),(INDEX(COMPOS!$A$4:$G$3900,MATCH($B106,COMPOS!$A$4:A$3900,0),2)))))</f>
        <v>HASTE DE ATERRAMENTO 5/8  PARA SPDA - FORNECIMENTO E INSTALAÇÃO. AF_12/2017</v>
      </c>
      <c r="D106" s="274" t="str">
        <f>(IF($A106="SINAPI",INDEX(SINAPI_NOV2020_NDES!$A$7:$H$6790,MATCH($B106,SINAPI_NOV2020_NDES!$A$7:$A$6790,0),3),(INDEX(COMPOS!$A$4:$G$5000,MATCH($B106,COMPOS!$A$4:$A$5000,0),3))))</f>
        <v>UN</v>
      </c>
      <c r="E106" s="280">
        <v>30</v>
      </c>
      <c r="F106" s="279">
        <f>(IF($A106="SINAPI",INDEX(SINAPI_NOV2020_NDES!$A$7:$H$6703,MATCH($B106,SINAPI_NOV2020_NDES!$A$7:$A$6703,0),5),(INDEX(COMPOS!$A$4:$G$801,MATCH($B106,COMPOS!$A$4:A$801,0),4))))</f>
        <v>7.44</v>
      </c>
      <c r="G106" s="280">
        <f>(IF($A106="SINAPI",INDEX(SINAPI_NOV2020_NDES!$A$7:$H$6703,MATCH($B106,SINAPI_NOV2020_NDES!$A$7:$A$6703,0),6),(INDEX(COMPOS!$A$4:$G$801,MATCH($B106,COMPOS!$A$4:A$801,0),5))))</f>
        <v>38.17</v>
      </c>
      <c r="H106" s="280">
        <f>(IF($A106="SINAPI",INDEX(SINAPI_NOV2020_NDES!$A$7:$H$6703,MATCH($B106,SINAPI_NOV2020_NDES!$A$7:$A$6703,0),7),(INDEX(COMPOS!$A$4:$G$801,MATCH($B106,COMPOS!$A$4:A$801,0),6))))</f>
        <v>0</v>
      </c>
      <c r="I106" s="279">
        <f t="shared" si="14"/>
        <v>45.61</v>
      </c>
      <c r="J106" s="276">
        <f t="shared" si="13"/>
        <v>1368.3</v>
      </c>
      <c r="O106" s="261"/>
    </row>
    <row r="107" spans="1:15" s="41" customFormat="1" ht="12">
      <c r="A107" s="251" t="s">
        <v>6307</v>
      </c>
      <c r="B107" s="289">
        <v>471</v>
      </c>
      <c r="C107" s="301" t="str">
        <f>(IF($A107="SINAPI",INDEX(SINAPI_NOV2020_NDES!$A$7:$H$6703,MATCH($B107,SINAPI_NOV2020_NDES!$A$7:$A$6703,0),2),IF($A107="GOINFRA",INDEX(#REF!,MATCH($B107,#REF!,0),2),(INDEX(COMPOS!$A$4:$G$3900,MATCH($B107,COMPOS!$A$4:A$3900,0),2)))))</f>
        <v>CAIXA DE PASSAGEM 20X20X25 FUNDO BRITA COM TAMPA</v>
      </c>
      <c r="D107" s="274" t="str">
        <f>(IF($A107="SINAPI",INDEX(SINAPI_NOV2020_NDES!$A$7:$H$6790,MATCH($B107,SINAPI_NOV2020_NDES!$A$7:$A$6790,0),3),(INDEX(COMPOS!$A$4:$G$5000,MATCH($B107,COMPOS!$A$4:$A$5000,0),3))))</f>
        <v>UN</v>
      </c>
      <c r="E107" s="280">
        <v>30</v>
      </c>
      <c r="F107" s="279">
        <f>(IF($A107="SINAPI",INDEX(SINAPI_NOV2020_NDES!$A$7:$H$6703,MATCH($B107,SINAPI_NOV2020_NDES!$A$7:$A$6703,0),5),(INDEX(COMPOS!$A$4:$G$801,MATCH($B107,COMPOS!$A$4:A$801,0),4))))</f>
        <v>39.464161000000004</v>
      </c>
      <c r="G107" s="280">
        <f>(IF($A107="SINAPI",INDEX(SINAPI_NOV2020_NDES!$A$7:$H$6703,MATCH($B107,SINAPI_NOV2020_NDES!$A$7:$A$6703,0),6),(INDEX(COMPOS!$A$4:$G$801,MATCH($B107,COMPOS!$A$4:A$801,0),5))))</f>
        <v>28.903701999999999</v>
      </c>
      <c r="H107" s="280">
        <f>(IF($A107="SINAPI",INDEX(SINAPI_NOV2020_NDES!$A$7:$H$6703,MATCH($B107,SINAPI_NOV2020_NDES!$A$7:$A$6703,0),7),(INDEX(COMPOS!$A$4:$G$801,MATCH($B107,COMPOS!$A$4:A$801,0),6))))</f>
        <v>0</v>
      </c>
      <c r="I107" s="279">
        <f>SUM(F107:H107)</f>
        <v>68.367863</v>
      </c>
      <c r="J107" s="276">
        <f>+I107*E107</f>
        <v>2051.0358900000001</v>
      </c>
      <c r="O107" s="261"/>
    </row>
    <row r="108" spans="1:15" s="41" customFormat="1" ht="24">
      <c r="A108" s="251" t="s">
        <v>7</v>
      </c>
      <c r="B108" s="289">
        <v>96989</v>
      </c>
      <c r="C108" s="301" t="str">
        <f>(IF($A108="SINAPI",INDEX(SINAPI_NOV2020_NDES!$A$7:$H$6703,MATCH($B108,SINAPI_NOV2020_NDES!$A$7:$A$6703,0),2),IF($A108="GOINFRA",INDEX(#REF!,MATCH($B108,#REF!,0),2),(INDEX(COMPOS!$A$4:$G$3900,MATCH($B108,COMPOS!$A$4:A$3900,0),2)))))</f>
        <v>CAPTOR TIPO FRANKLIN PARA SPDA - FORNECIMENTO E INSTALAÇÃO. AF_12/2017</v>
      </c>
      <c r="D108" s="274" t="str">
        <f>(IF($A108="SINAPI",INDEX(SINAPI_NOV2020_NDES!$A$7:$H$6790,MATCH($B108,SINAPI_NOV2020_NDES!$A$7:$A$6790,0),3),(INDEX(COMPOS!$A$4:$G$5000,MATCH($B108,COMPOS!$A$4:$A$5000,0),3))))</f>
        <v>UN</v>
      </c>
      <c r="E108" s="280">
        <v>6</v>
      </c>
      <c r="F108" s="279">
        <f>(IF($A108="SINAPI",INDEX(SINAPI_NOV2020_NDES!$A$7:$H$6703,MATCH($B108,SINAPI_NOV2020_NDES!$A$7:$A$6703,0),5),(INDEX(COMPOS!$A$4:$G$801,MATCH($B108,COMPOS!$A$4:A$801,0),4))))</f>
        <v>3.7</v>
      </c>
      <c r="G108" s="280">
        <f>(IF($A108="SINAPI",INDEX(SINAPI_NOV2020_NDES!$A$7:$H$6703,MATCH($B108,SINAPI_NOV2020_NDES!$A$7:$A$6703,0),6),(INDEX(COMPOS!$A$4:$G$801,MATCH($B108,COMPOS!$A$4:A$801,0),5))))</f>
        <v>89.17</v>
      </c>
      <c r="H108" s="280">
        <f>(IF($A108="SINAPI",INDEX(SINAPI_NOV2020_NDES!$A$7:$H$6703,MATCH($B108,SINAPI_NOV2020_NDES!$A$7:$A$6703,0),7),(INDEX(COMPOS!$A$4:$G$801,MATCH($B108,COMPOS!$A$4:A$801,0),6))))</f>
        <v>0</v>
      </c>
      <c r="I108" s="279">
        <f t="shared" si="14"/>
        <v>92.87</v>
      </c>
      <c r="J108" s="276">
        <f t="shared" si="13"/>
        <v>557.22</v>
      </c>
      <c r="O108" s="261"/>
    </row>
    <row r="109" spans="1:15" s="41" customFormat="1" ht="12">
      <c r="A109" s="251" t="s">
        <v>6307</v>
      </c>
      <c r="B109" s="289">
        <v>536</v>
      </c>
      <c r="C109" s="301" t="str">
        <f>(IF($A109="SINAPI",INDEX(SINAPI_NOV2020_NDES!$A$7:$H$6703,MATCH($B109,SINAPI_NOV2020_NDES!$A$7:$A$6703,0),2),IF($A109="GOINFRA",INDEX(#REF!,MATCH($B109,#REF!,0),2),(INDEX(COMPOS!$A$4:$G$3900,MATCH($B109,COMPOS!$A$4:A$3900,0),2)))))</f>
        <v>PARAFUSO SEXTAVADO D=1/4" X 5/8" COM BUCHA S-11</v>
      </c>
      <c r="D109" s="274" t="str">
        <f>(IF($A109="SINAPI",INDEX(SINAPI_NOV2020_NDES!$A$7:$H$6790,MATCH($B109,SINAPI_NOV2020_NDES!$A$7:$A$6790,0),3),(INDEX(COMPOS!$A$4:$G$5000,MATCH($B109,COMPOS!$A$4:$A$5000,0),3))))</f>
        <v>UN</v>
      </c>
      <c r="E109" s="280">
        <v>400</v>
      </c>
      <c r="F109" s="279">
        <f>(IF($A109="SINAPI",INDEX(SINAPI_NOV2020_NDES!$A$7:$H$6703,MATCH($B109,SINAPI_NOV2020_NDES!$A$7:$A$6703,0),5),(INDEX(COMPOS!$A$4:$G$801,MATCH($B109,COMPOS!$A$4:A$801,0),4))))</f>
        <v>1.027558</v>
      </c>
      <c r="G109" s="280">
        <f>(IF($A109="SINAPI",INDEX(SINAPI_NOV2020_NDES!$A$7:$H$6703,MATCH($B109,SINAPI_NOV2020_NDES!$A$7:$A$6703,0),6),(INDEX(COMPOS!$A$4:$G$801,MATCH($B109,COMPOS!$A$4:A$801,0),5))))</f>
        <v>0.48</v>
      </c>
      <c r="H109" s="280">
        <f>(IF($A109="SINAPI",INDEX(SINAPI_NOV2020_NDES!$A$7:$H$6703,MATCH($B109,SINAPI_NOV2020_NDES!$A$7:$A$6703,0),7),(INDEX(COMPOS!$A$4:$G$801,MATCH($B109,COMPOS!$A$4:A$801,0),6))))</f>
        <v>0</v>
      </c>
      <c r="I109" s="279">
        <f>SUM(F109:H109)</f>
        <v>1.507558</v>
      </c>
      <c r="J109" s="276">
        <f>+I109*E109</f>
        <v>603.02319999999997</v>
      </c>
      <c r="O109" s="261"/>
    </row>
    <row r="110" spans="1:15" s="41" customFormat="1" ht="24">
      <c r="A110" s="251" t="s">
        <v>7</v>
      </c>
      <c r="B110" s="289">
        <v>95731</v>
      </c>
      <c r="C110" s="301" t="str">
        <f>(IF($A110="SINAPI",INDEX(SINAPI_NOV2020_NDES!$A$7:$H$6703,MATCH($B110,SINAPI_NOV2020_NDES!$A$7:$A$6703,0),2),IF($A110="GOINFRA",INDEX(#REF!,MATCH($B110,#REF!,0),2),(INDEX(COMPOS!$A$4:$G$3900,MATCH($B110,COMPOS!$A$4:A$3900,0),2)))))</f>
        <v>ELETRODUTO RÍGIDO SOLDÁVEL, PVC, DN 32 MM (1), APARENTE, INSTALADO EM PAREDE - FORNECIMENTO E INSTALAÇÃO. AF_11/2016_P</v>
      </c>
      <c r="D110" s="274" t="str">
        <f>(IF($A110="SINAPI",INDEX(SINAPI_NOV2020_NDES!$A$7:$H$6790,MATCH($B110,SINAPI_NOV2020_NDES!$A$7:$A$6790,0),3),(INDEX(COMPOS!$A$4:$G$5000,MATCH($B110,COMPOS!$A$4:$A$5000,0),3))))</f>
        <v>M</v>
      </c>
      <c r="E110" s="280">
        <v>50</v>
      </c>
      <c r="F110" s="279">
        <f>(IF($A110="SINAPI",INDEX(SINAPI_NOV2020_NDES!$A$7:$H$6703,MATCH($B110,SINAPI_NOV2020_NDES!$A$7:$A$6703,0),5),(INDEX(COMPOS!$A$4:$G$801,MATCH($B110,COMPOS!$A$4:A$801,0),4))))</f>
        <v>4.1100000000000003</v>
      </c>
      <c r="G110" s="280">
        <f>(IF($A110="SINAPI",INDEX(SINAPI_NOV2020_NDES!$A$7:$H$6703,MATCH($B110,SINAPI_NOV2020_NDES!$A$7:$A$6703,0),6),(INDEX(COMPOS!$A$4:$G$801,MATCH($B110,COMPOS!$A$4:A$801,0),5))))</f>
        <v>3.63</v>
      </c>
      <c r="H110" s="280">
        <f>(IF($A110="SINAPI",INDEX(SINAPI_NOV2020_NDES!$A$7:$H$6703,MATCH($B110,SINAPI_NOV2020_NDES!$A$7:$A$6703,0),7),(INDEX(COMPOS!$A$4:$G$801,MATCH($B110,COMPOS!$A$4:A$801,0),6))))</f>
        <v>0</v>
      </c>
      <c r="I110" s="279">
        <f t="shared" si="14"/>
        <v>7.74</v>
      </c>
      <c r="J110" s="276">
        <f t="shared" si="13"/>
        <v>387</v>
      </c>
      <c r="O110" s="261"/>
    </row>
    <row r="111" spans="1:15" s="41" customFormat="1" ht="12">
      <c r="A111" s="251" t="s">
        <v>6307</v>
      </c>
      <c r="B111" s="289">
        <v>776</v>
      </c>
      <c r="C111" s="301" t="str">
        <f>(IF($A111="SINAPI",INDEX(SINAPI_NOV2020_NDES!$A$7:$H$6703,MATCH($B111,SINAPI_NOV2020_NDES!$A$7:$A$6703,0),2),IF($A111="GOINFRA",INDEX(#REF!,MATCH($B111,#REF!,0),2),(INDEX(COMPOS!$A$4:$G$3900,MATCH($B111,COMPOS!$A$4:A$3900,0),2)))))</f>
        <v>SUPORTE ISOLADOR SIMPLES</v>
      </c>
      <c r="D111" s="274" t="str">
        <f>(IF($A111="SINAPI",INDEX(SINAPI_NOV2020_NDES!$A$7:$H$6790,MATCH($B111,SINAPI_NOV2020_NDES!$A$7:$A$6790,0),3),(INDEX(COMPOS!$A$4:$G$5000,MATCH($B111,COMPOS!$A$4:$A$5000,0),3))))</f>
        <v>UN</v>
      </c>
      <c r="E111" s="280">
        <v>200</v>
      </c>
      <c r="F111" s="279">
        <f>(IF($A111="SINAPI",INDEX(SINAPI_NOV2020_NDES!$A$7:$H$6703,MATCH($B111,SINAPI_NOV2020_NDES!$A$7:$A$6703,0),5),(INDEX(COMPOS!$A$4:$G$801,MATCH($B111,COMPOS!$A$4:A$801,0),4))))</f>
        <v>13.520499999999998</v>
      </c>
      <c r="G111" s="280">
        <f>(IF($A111="SINAPI",INDEX(SINAPI_NOV2020_NDES!$A$7:$H$6703,MATCH($B111,SINAPI_NOV2020_NDES!$A$7:$A$6703,0),6),(INDEX(COMPOS!$A$4:$G$801,MATCH($B111,COMPOS!$A$4:A$801,0),5))))</f>
        <v>5.38</v>
      </c>
      <c r="H111" s="280">
        <f>(IF($A111="SINAPI",INDEX(SINAPI_NOV2020_NDES!$A$7:$H$6703,MATCH($B111,SINAPI_NOV2020_NDES!$A$7:$A$6703,0),7),(INDEX(COMPOS!$A$4:$G$801,MATCH($B111,COMPOS!$A$4:A$801,0),6))))</f>
        <v>0</v>
      </c>
      <c r="I111" s="279">
        <f>SUM(F111:H111)</f>
        <v>18.900499999999997</v>
      </c>
      <c r="J111" s="276">
        <f>+I111*E111</f>
        <v>3780.0999999999995</v>
      </c>
      <c r="O111" s="261"/>
    </row>
    <row r="112" spans="1:15" s="41" customFormat="1" ht="12">
      <c r="A112" s="251" t="s">
        <v>6307</v>
      </c>
      <c r="B112" s="289">
        <v>542</v>
      </c>
      <c r="C112" s="301" t="str">
        <f>(IF($A112="SINAPI",INDEX(SINAPI_NOV2020_NDES!$A$7:$H$6703,MATCH($B112,SINAPI_NOV2020_NDES!$A$7:$A$6703,0),2),IF($A112="GOINFRA",INDEX(#REF!,MATCH($B112,#REF!,0),2),(INDEX(COMPOS!$A$4:$G$3900,MATCH($B112,COMPOS!$A$4:A$3900,0),2)))))</f>
        <v>SUPORTE ISOLADOR SIMPLES PARA BEIRAL</v>
      </c>
      <c r="D112" s="274" t="str">
        <f>(IF($A112="SINAPI",INDEX(SINAPI_NOV2020_NDES!$A$7:$H$6790,MATCH($B112,SINAPI_NOV2020_NDES!$A$7:$A$6790,0),3),(INDEX(COMPOS!$A$4:$G$5000,MATCH($B112,COMPOS!$A$4:$A$5000,0),3))))</f>
        <v>UN</v>
      </c>
      <c r="E112" s="280">
        <v>12</v>
      </c>
      <c r="F112" s="279">
        <f>(IF($A112="SINAPI",INDEX(SINAPI_NOV2020_NDES!$A$7:$H$6703,MATCH($B112,SINAPI_NOV2020_NDES!$A$7:$A$6703,0),5),(INDEX(COMPOS!$A$4:$G$801,MATCH($B112,COMPOS!$A$4:A$801,0),4))))</f>
        <v>13.520499999999998</v>
      </c>
      <c r="G112" s="280">
        <f>(IF($A112="SINAPI",INDEX(SINAPI_NOV2020_NDES!$A$7:$H$6703,MATCH($B112,SINAPI_NOV2020_NDES!$A$7:$A$6703,0),6),(INDEX(COMPOS!$A$4:$G$801,MATCH($B112,COMPOS!$A$4:A$801,0),5))))</f>
        <v>52.99</v>
      </c>
      <c r="H112" s="280">
        <f>(IF($A112="SINAPI",INDEX(SINAPI_NOV2020_NDES!$A$7:$H$6703,MATCH($B112,SINAPI_NOV2020_NDES!$A$7:$A$6703,0),7),(INDEX(COMPOS!$A$4:$G$801,MATCH($B112,COMPOS!$A$4:A$801,0),6))))</f>
        <v>0</v>
      </c>
      <c r="I112" s="279">
        <f>SUM(F112:H112)</f>
        <v>66.510500000000008</v>
      </c>
      <c r="J112" s="276">
        <f>+I112*E112</f>
        <v>798.12600000000009</v>
      </c>
      <c r="O112" s="261"/>
    </row>
    <row r="113" spans="1:16" s="41" customFormat="1" ht="12">
      <c r="A113" s="251" t="s">
        <v>6307</v>
      </c>
      <c r="B113" s="289">
        <v>543</v>
      </c>
      <c r="C113" s="301" t="str">
        <f>(IF($A113="SINAPI",INDEX(SINAPI_NOV2020_NDES!$A$7:$H$6703,MATCH($B113,SINAPI_NOV2020_NDES!$A$7:$A$6703,0),2),IF($A113="GOINFRA",INDEX(#REF!,MATCH($B113,#REF!,0),2),(INDEX(COMPOS!$A$4:$G$3900,MATCH($B113,COMPOS!$A$4:A$3900,0),2)))))</f>
        <v>TERMINAL AÉREO 5/8" X 350MM</v>
      </c>
      <c r="D113" s="274" t="str">
        <f>(IF($A113="SINAPI",INDEX(SINAPI_NOV2020_NDES!$A$7:$H$6790,MATCH($B113,SINAPI_NOV2020_NDES!$A$7:$A$6790,0),3),(INDEX(COMPOS!$A$4:$G$5000,MATCH($B113,COMPOS!$A$4:$A$5000,0),3))))</f>
        <v>UN</v>
      </c>
      <c r="E113" s="280">
        <v>70</v>
      </c>
      <c r="F113" s="279">
        <f>(IF($A113="SINAPI",INDEX(SINAPI_NOV2020_NDES!$A$7:$H$6703,MATCH($B113,SINAPI_NOV2020_NDES!$A$7:$A$6703,0),5),(INDEX(COMPOS!$A$4:$G$801,MATCH($B113,COMPOS!$A$4:A$801,0),4))))</f>
        <v>13.520499999999998</v>
      </c>
      <c r="G113" s="280">
        <f>(IF($A113="SINAPI",INDEX(SINAPI_NOV2020_NDES!$A$7:$H$6703,MATCH($B113,SINAPI_NOV2020_NDES!$A$7:$A$6703,0),6),(INDEX(COMPOS!$A$4:$G$801,MATCH($B113,COMPOS!$A$4:A$801,0),5))))</f>
        <v>9.27</v>
      </c>
      <c r="H113" s="280">
        <f>(IF($A113="SINAPI",INDEX(SINAPI_NOV2020_NDES!$A$7:$H$6703,MATCH($B113,SINAPI_NOV2020_NDES!$A$7:$A$6703,0),7),(INDEX(COMPOS!$A$4:$G$801,MATCH($B113,COMPOS!$A$4:A$801,0),6))))</f>
        <v>0</v>
      </c>
      <c r="I113" s="279">
        <f>SUM(F113:H113)</f>
        <v>22.790499999999998</v>
      </c>
      <c r="J113" s="276">
        <f>+I113*E113</f>
        <v>1595.3349999999998</v>
      </c>
      <c r="O113" s="261"/>
    </row>
    <row r="114" spans="1:16" s="41" customFormat="1" ht="12">
      <c r="A114" s="251" t="s">
        <v>6307</v>
      </c>
      <c r="B114" s="289">
        <v>544</v>
      </c>
      <c r="C114" s="301" t="str">
        <f>(IF($A114="SINAPI",INDEX(SINAPI_NOV2020_NDES!$A$7:$H$6703,MATCH($B114,SINAPI_NOV2020_NDES!$A$7:$A$6703,0),2),IF($A114="GOINFRA",INDEX(#REF!,MATCH($B114,#REF!,0),2),(INDEX(COMPOS!$A$4:$G$3900,MATCH($B114,COMPOS!$A$4:A$3900,0),2)))))</f>
        <v>MASTRO TELESCÓPICO 5M (4M X ∅ 2" + 1M X ∅ 1.1/2")</v>
      </c>
      <c r="D114" s="274" t="str">
        <f>(IF($A114="SINAPI",INDEX(SINAPI_NOV2020_NDES!$A$7:$H$6790,MATCH($B114,SINAPI_NOV2020_NDES!$A$7:$A$6790,0),3),(INDEX(COMPOS!$A$4:$G$5000,MATCH($B114,COMPOS!$A$4:$A$5000,0),3))))</f>
        <v>UN</v>
      </c>
      <c r="E114" s="280">
        <v>6</v>
      </c>
      <c r="F114" s="279">
        <f>(IF($A114="SINAPI",INDEX(SINAPI_NOV2020_NDES!$A$7:$H$6703,MATCH($B114,SINAPI_NOV2020_NDES!$A$7:$A$6703,0),5),(INDEX(COMPOS!$A$4:$G$801,MATCH($B114,COMPOS!$A$4:A$801,0),4))))</f>
        <v>21.645972999999998</v>
      </c>
      <c r="G114" s="280">
        <f>(IF($A114="SINAPI",INDEX(SINAPI_NOV2020_NDES!$A$7:$H$6703,MATCH($B114,SINAPI_NOV2020_NDES!$A$7:$A$6703,0),6),(INDEX(COMPOS!$A$4:$G$801,MATCH($B114,COMPOS!$A$4:A$801,0),5))))</f>
        <v>399.61157259999999</v>
      </c>
      <c r="H114" s="280">
        <f>(IF($A114="SINAPI",INDEX(SINAPI_NOV2020_NDES!$A$7:$H$6703,MATCH($B114,SINAPI_NOV2020_NDES!$A$7:$A$6703,0),7),(INDEX(COMPOS!$A$4:$G$801,MATCH($B114,COMPOS!$A$4:A$801,0),6))))</f>
        <v>0</v>
      </c>
      <c r="I114" s="279">
        <f>SUM(F114:H114)</f>
        <v>421.25754559999996</v>
      </c>
      <c r="J114" s="276">
        <f>+I114*E114</f>
        <v>2527.5452735999997</v>
      </c>
      <c r="O114" s="261"/>
    </row>
    <row r="115" spans="1:16" s="88" customFormat="1" ht="24" customHeight="1">
      <c r="A115" s="680" t="s">
        <v>6927</v>
      </c>
      <c r="B115" s="680"/>
      <c r="C115" s="680"/>
      <c r="D115" s="680"/>
      <c r="E115" s="680"/>
      <c r="F115" s="680"/>
      <c r="G115" s="680"/>
      <c r="H115" s="680"/>
      <c r="I115" s="680"/>
      <c r="J115" s="281">
        <f>SUM(J45:J114)</f>
        <v>180722.99773694706</v>
      </c>
      <c r="K115" s="41"/>
      <c r="L115" s="41"/>
      <c r="M115" s="41"/>
      <c r="N115" s="41"/>
      <c r="O115" s="41"/>
      <c r="P115" s="41"/>
    </row>
    <row r="116" spans="1:16" s="41" customFormat="1" ht="12">
      <c r="A116" s="251"/>
      <c r="B116" s="299">
        <v>170</v>
      </c>
      <c r="C116" s="338" t="s">
        <v>604</v>
      </c>
      <c r="D116" s="274"/>
      <c r="E116" s="279"/>
      <c r="F116" s="275"/>
      <c r="G116" s="275"/>
      <c r="H116" s="275"/>
      <c r="I116" s="275"/>
      <c r="J116" s="275"/>
    </row>
    <row r="117" spans="1:16" s="41" customFormat="1" ht="24">
      <c r="A117" s="252" t="s">
        <v>7</v>
      </c>
      <c r="B117" s="293">
        <v>95469</v>
      </c>
      <c r="C117" s="301" t="str">
        <f>(IF($A117="SINAPI",INDEX(SINAPI_NOV2020_NDES!$A$7:$H$6703,MATCH($B117,SINAPI_NOV2020_NDES!$A$7:$A$6703,0),2),IF($A117="GOINFRA",INDEX(#REF!,MATCH($B117,#REF!,0),2),(INDEX(COMPOS!$A$4:$G$390,MATCH($B117,COMPOS!$A$4:A$390,0),2)))))</f>
        <v>VASO SANITARIO SIFONADO CONVENCIONAL COM  LOUÇA BRANCA - FORNECIMENTO E INSTALAÇÃO. AF_01/2020</v>
      </c>
      <c r="D117" s="274" t="str">
        <f>(IF($A117="SINAPI",INDEX(SINAPI_NOV2020_NDES!$A$7:$H$6790,MATCH($B117,SINAPI_NOV2020_NDES!$A$7:$A$6790,0),3),(INDEX(COMPOS!$A$4:$G$5000,MATCH($B117,COMPOS!$A$4:$A$5000,0),3))))</f>
        <v>UN</v>
      </c>
      <c r="E117" s="362">
        <v>53</v>
      </c>
      <c r="F117" s="279">
        <f>(IF($A117="SINAPI",INDEX(SINAPI_NOV2020_NDES!$A$7:$H$6703,MATCH($B117,SINAPI_NOV2020_NDES!$A$7:$A$6703,0),5),(INDEX(COMPOS!$A$4:$G$801,MATCH($B117,COMPOS!$A$4:A$801,0),4))))</f>
        <v>12.19</v>
      </c>
      <c r="G117" s="280">
        <f>(IF($A117="SINAPI",INDEX(SINAPI_NOV2020_NDES!$A$7:$H$6703,MATCH($B117,SINAPI_NOV2020_NDES!$A$7:$A$6703,0),6),(INDEX(COMPOS!$A$4:$G$801,MATCH($B117,COMPOS!$A$4:A$801,0),5))))</f>
        <v>155.57</v>
      </c>
      <c r="H117" s="280">
        <f>(IF($A117="SINAPI",INDEX(SINAPI_NOV2020_NDES!$A$7:$H$6703,MATCH($B117,SINAPI_NOV2020_NDES!$A$7:$A$6703,0),7),(INDEX(COMPOS!$A$4:$G$801,MATCH($B117,COMPOS!$A$4:A$801,0),6))))</f>
        <v>0</v>
      </c>
      <c r="I117" s="279">
        <f t="shared" ref="I117" si="17">SUM(F117:H117)</f>
        <v>167.76</v>
      </c>
      <c r="J117" s="276">
        <f t="shared" ref="J117" si="18">+I117*E117</f>
        <v>8891.2799999999988</v>
      </c>
    </row>
    <row r="118" spans="1:16" s="41" customFormat="1" ht="12">
      <c r="A118" s="252" t="s">
        <v>6307</v>
      </c>
      <c r="B118" s="293">
        <v>323</v>
      </c>
      <c r="C118" s="301" t="str">
        <f>(IF($A118="SINAPI",INDEX(SINAPI_NOV2020_NDES!$A$7:$H$6703,MATCH($B118,SINAPI_NOV2020_NDES!$A$7:$A$6703,0),2),IF($A118="GOINFRA",INDEX(#REF!,MATCH($B118,#REF!,0),2),(INDEX(COMPOS!$A$4:$G$390,MATCH($B118,COMPOS!$A$4:A$390,0),2)))))</f>
        <v>TUBO PARA VÁLVULA DE DESCARGA CURTO 1.1/4''</v>
      </c>
      <c r="D118" s="274" t="str">
        <f>(IF($A118="SINAPI",INDEX(SINAPI_NOV2020_NDES!$A$7:$H$6790,MATCH($B118,SINAPI_NOV2020_NDES!$A$7:$A$6790,0),3),(INDEX(COMPOS!$A$4:$G$5000,MATCH($B118,COMPOS!$A$4:$A$5000,0),3))))</f>
        <v>UN</v>
      </c>
      <c r="E118" s="362">
        <v>10</v>
      </c>
      <c r="F118" s="279">
        <f>(IF($A118="SINAPI",INDEX(SINAPI_NOV2020_NDES!$A$7:$H$6703,MATCH($B118,SINAPI_NOV2020_NDES!$A$7:$A$6703,0),5),(INDEX(COMPOS!$A$4:$G$801,MATCH($B118,COMPOS!$A$4:A$801,0),4))))</f>
        <v>11.9808</v>
      </c>
      <c r="G118" s="280">
        <f>(IF($A118="SINAPI",INDEX(SINAPI_NOV2020_NDES!$A$7:$H$6703,MATCH($B118,SINAPI_NOV2020_NDES!$A$7:$A$6703,0),6),(INDEX(COMPOS!$A$4:$G$801,MATCH($B118,COMPOS!$A$4:A$801,0),5))))</f>
        <v>5.94</v>
      </c>
      <c r="H118" s="280">
        <f>(IF($A118="SINAPI",INDEX(SINAPI_NOV2020_NDES!$A$7:$H$6703,MATCH($B118,SINAPI_NOV2020_NDES!$A$7:$A$6703,0),7),(INDEX(COMPOS!$A$4:$G$801,MATCH($B118,COMPOS!$A$4:A$801,0),6))))</f>
        <v>0</v>
      </c>
      <c r="I118" s="279">
        <f>SUM(F118:H118)</f>
        <v>17.9208</v>
      </c>
      <c r="J118" s="276">
        <f>+I118*E118</f>
        <v>179.208</v>
      </c>
    </row>
    <row r="119" spans="1:16" s="41" customFormat="1" ht="12">
      <c r="A119" s="252" t="s">
        <v>6307</v>
      </c>
      <c r="B119" s="293">
        <v>324</v>
      </c>
      <c r="C119" s="301" t="str">
        <f>(IF($A119="SINAPI",INDEX(SINAPI_NOV2020_NDES!$A$7:$H$6703,MATCH($B119,SINAPI_NOV2020_NDES!$A$7:$A$6703,0),2),IF($A119="GOINFRA",INDEX(#REF!,MATCH($B119,#REF!,0),2),(INDEX(COMPOS!$A$4:$G$390,MATCH($B119,COMPOS!$A$4:A$390,0),2)))))</f>
        <v>TUBO DE LIGAÇÃO PVC CROMADO 1.1/2'' – ESPUDE (ENTRADA)</v>
      </c>
      <c r="D119" s="274" t="str">
        <f>(IF($A119="SINAPI",INDEX(SINAPI_NOV2020_NDES!$A$7:$H$6790,MATCH($B119,SINAPI_NOV2020_NDES!$A$7:$A$6790,0),3),(INDEX(COMPOS!$A$4:$G$5000,MATCH($B119,COMPOS!$A$4:$A$5000,0),3))))</f>
        <v>UN</v>
      </c>
      <c r="E119" s="362">
        <v>53</v>
      </c>
      <c r="F119" s="279">
        <f>(IF($A119="SINAPI",INDEX(SINAPI_NOV2020_NDES!$A$7:$H$6703,MATCH($B119,SINAPI_NOV2020_NDES!$A$7:$A$6703,0),5),(INDEX(COMPOS!$A$4:$G$801,MATCH($B119,COMPOS!$A$4:A$801,0),4))))</f>
        <v>5.2416</v>
      </c>
      <c r="G119" s="280">
        <f>(IF($A119="SINAPI",INDEX(SINAPI_NOV2020_NDES!$A$7:$H$6703,MATCH($B119,SINAPI_NOV2020_NDES!$A$7:$A$6703,0),6),(INDEX(COMPOS!$A$4:$G$801,MATCH($B119,COMPOS!$A$4:A$801,0),5))))</f>
        <v>5.89</v>
      </c>
      <c r="H119" s="280">
        <f>(IF($A119="SINAPI",INDEX(SINAPI_NOV2020_NDES!$A$7:$H$6703,MATCH($B119,SINAPI_NOV2020_NDES!$A$7:$A$6703,0),7),(INDEX(COMPOS!$A$4:$G$801,MATCH($B119,COMPOS!$A$4:A$801,0),6))))</f>
        <v>0</v>
      </c>
      <c r="I119" s="279">
        <f>SUM(F119:H119)</f>
        <v>11.131599999999999</v>
      </c>
      <c r="J119" s="276">
        <f>+I119*E119</f>
        <v>589.97479999999996</v>
      </c>
    </row>
    <row r="120" spans="1:16" s="41" customFormat="1" ht="24">
      <c r="A120" s="252" t="s">
        <v>6307</v>
      </c>
      <c r="B120" s="293">
        <v>334</v>
      </c>
      <c r="C120" s="301" t="str">
        <f>(IF($A120="SINAPI",INDEX(SINAPI_NOV2020_NDES!$A$7:$H$6703,MATCH($B120,SINAPI_NOV2020_NDES!$A$7:$A$6703,0),2),IF($A120="GOINFRA",INDEX(#REF!,MATCH($B120,#REF!,0),2),(INDEX(COMPOS!$A$4:$G$390,MATCH($B120,COMPOS!$A$4:A$390,0),2)))))</f>
        <v>VÁLVULA DE DESCARGA DUPLO ACIONAMENTO COM ACABAMENTO ANTI-VANDALISMO</v>
      </c>
      <c r="D120" s="274" t="str">
        <f>(IF($A120="SINAPI",INDEX(SINAPI_NOV2020_NDES!$A$7:$H$6790,MATCH($B120,SINAPI_NOV2020_NDES!$A$7:$A$6790,0),3),(INDEX(COMPOS!$A$4:$G$5000,MATCH($B120,COMPOS!$A$4:$A$5000,0),3))))</f>
        <v>UN</v>
      </c>
      <c r="E120" s="362">
        <v>10</v>
      </c>
      <c r="F120" s="279">
        <f>(IF($A120="SINAPI",INDEX(SINAPI_NOV2020_NDES!$A$7:$H$6703,MATCH($B120,SINAPI_NOV2020_NDES!$A$7:$A$6703,0),5),(INDEX(COMPOS!$A$4:$G$801,MATCH($B120,COMPOS!$A$4:A$801,0),4))))</f>
        <v>60.95232</v>
      </c>
      <c r="G120" s="280">
        <f>(IF($A120="SINAPI",INDEX(SINAPI_NOV2020_NDES!$A$7:$H$6703,MATCH($B120,SINAPI_NOV2020_NDES!$A$7:$A$6703,0),6),(INDEX(COMPOS!$A$4:$G$801,MATCH($B120,COMPOS!$A$4:A$801,0),5))))</f>
        <v>188.76320000000001</v>
      </c>
      <c r="H120" s="280">
        <f>(IF($A120="SINAPI",INDEX(SINAPI_NOV2020_NDES!$A$7:$H$6703,MATCH($B120,SINAPI_NOV2020_NDES!$A$7:$A$6703,0),7),(INDEX(COMPOS!$A$4:$G$801,MATCH($B120,COMPOS!$A$4:A$801,0),6))))</f>
        <v>0</v>
      </c>
      <c r="I120" s="279">
        <f>SUM(F120:H120)</f>
        <v>249.71552000000003</v>
      </c>
      <c r="J120" s="276">
        <f>+I120*E120</f>
        <v>2497.1552000000001</v>
      </c>
    </row>
    <row r="121" spans="1:16" s="41" customFormat="1" ht="12">
      <c r="A121" s="252" t="s">
        <v>6307</v>
      </c>
      <c r="B121" s="293">
        <v>812</v>
      </c>
      <c r="C121" s="301" t="str">
        <f>(IF($A121="SINAPI",INDEX(SINAPI_NOV2020_NDES!$A$7:$H$6703,MATCH($B121,SINAPI_NOV2020_NDES!$A$7:$A$6703,0),2),IF($A121="GOINFRA",INDEX(#REF!,MATCH($B121,#REF!,0),2),(INDEX(COMPOS!$A$4:$G$390,MATCH($B121,COMPOS!$A$4:A$390,0),2)))))</f>
        <v>ACABAMENTO DE VÁLVULA DE DESCARGA CROMADO ANTIVANDALISMO</v>
      </c>
      <c r="D121" s="274" t="str">
        <f>(IF($A121="SINAPI",INDEX(SINAPI_NOV2020_NDES!$A$7:$H$6790,MATCH($B121,SINAPI_NOV2020_NDES!$A$7:$A$6790,0),3),(INDEX(COMPOS!$A$4:$G$5000,MATCH($B121,COMPOS!$A$4:$A$5000,0),3))))</f>
        <v>UN</v>
      </c>
      <c r="E121" s="362">
        <f>53-10-24-2</f>
        <v>17</v>
      </c>
      <c r="F121" s="279">
        <f>(IF($A121="SINAPI",INDEX(SINAPI_NOV2020_NDES!$A$7:$H$6703,MATCH($B121,SINAPI_NOV2020_NDES!$A$7:$A$6703,0),5),(INDEX(COMPOS!$A$4:$G$801,MATCH($B121,COMPOS!$A$4:A$801,0),4))))</f>
        <v>12.805470000000001</v>
      </c>
      <c r="G121" s="280">
        <f>(IF($A121="SINAPI",INDEX(SINAPI_NOV2020_NDES!$A$7:$H$6703,MATCH($B121,SINAPI_NOV2020_NDES!$A$7:$A$6703,0),6),(INDEX(COMPOS!$A$4:$G$801,MATCH($B121,COMPOS!$A$4:A$801,0),5))))</f>
        <v>264.59666666666664</v>
      </c>
      <c r="H121" s="280">
        <f>(IF($A121="SINAPI",INDEX(SINAPI_NOV2020_NDES!$A$7:$H$6703,MATCH($B121,SINAPI_NOV2020_NDES!$A$7:$A$6703,0),7),(INDEX(COMPOS!$A$4:$G$801,MATCH($B121,COMPOS!$A$4:A$801,0),6))))</f>
        <v>0</v>
      </c>
      <c r="I121" s="279">
        <f>SUM(F121:H121)</f>
        <v>277.40213666666665</v>
      </c>
      <c r="J121" s="276">
        <f>+I121*E121</f>
        <v>4715.836323333333</v>
      </c>
    </row>
    <row r="122" spans="1:16" s="41" customFormat="1" ht="12">
      <c r="A122" s="252" t="s">
        <v>6307</v>
      </c>
      <c r="B122" s="293">
        <v>791</v>
      </c>
      <c r="C122" s="301" t="str">
        <f>(IF($A122="SINAPI",INDEX(SINAPI_NOV2020_NDES!$A$7:$H$6703,MATCH($B122,SINAPI_NOV2020_NDES!$A$7:$A$6703,0),2),IF($A122="GOINFRA",INDEX(#REF!,MATCH($B122,#REF!,0),2),(INDEX(COMPOS!$A$4:$G$390,MATCH($B122,COMPOS!$A$4:A$390,0),2)))))</f>
        <v>ANEL DE VEDAÇÃO PARA VASO SANITÁRIO</v>
      </c>
      <c r="D122" s="274" t="str">
        <f>(IF($A122="SINAPI",INDEX(SINAPI_NOV2020_NDES!$A$7:$H$6790,MATCH($B122,SINAPI_NOV2020_NDES!$A$7:$A$6790,0),3),(INDEX(COMPOS!$A$4:$G$5000,MATCH($B122,COMPOS!$A$4:$A$5000,0),3))))</f>
        <v>UN</v>
      </c>
      <c r="E122" s="362">
        <v>53</v>
      </c>
      <c r="F122" s="279">
        <f>(IF($A122="SINAPI",INDEX(SINAPI_NOV2020_NDES!$A$7:$H$6703,MATCH($B122,SINAPI_NOV2020_NDES!$A$7:$A$6703,0),5),(INDEX(COMPOS!$A$4:$G$801,MATCH($B122,COMPOS!$A$4:A$801,0),4))))</f>
        <v>5.6159999999999997</v>
      </c>
      <c r="G122" s="280">
        <f>(IF($A122="SINAPI",INDEX(SINAPI_NOV2020_NDES!$A$7:$H$6703,MATCH($B122,SINAPI_NOV2020_NDES!$A$7:$A$6703,0),6),(INDEX(COMPOS!$A$4:$G$801,MATCH($B122,COMPOS!$A$4:A$801,0),5))))</f>
        <v>1.69</v>
      </c>
      <c r="H122" s="280">
        <f>(IF($A122="SINAPI",INDEX(SINAPI_NOV2020_NDES!$A$7:$H$6703,MATCH($B122,SINAPI_NOV2020_NDES!$A$7:$A$6703,0),7),(INDEX(COMPOS!$A$4:$G$801,MATCH($B122,COMPOS!$A$4:A$801,0),6))))</f>
        <v>0</v>
      </c>
      <c r="I122" s="279">
        <f>SUM(F122:H122)</f>
        <v>7.3059999999999992</v>
      </c>
      <c r="J122" s="276">
        <f>+I122*E122</f>
        <v>387.21799999999996</v>
      </c>
    </row>
    <row r="123" spans="1:16" s="41" customFormat="1" ht="24">
      <c r="A123" s="252" t="s">
        <v>7</v>
      </c>
      <c r="B123" s="293">
        <v>86901</v>
      </c>
      <c r="C123" s="301" t="str">
        <f>(IF($A123="SINAPI",INDEX(SINAPI_NOV2020_NDES!$A$7:$H$6703,MATCH($B123,SINAPI_NOV2020_NDES!$A$7:$A$6703,0),2),IF($A123="GOINFRA",INDEX(#REF!,MATCH($B123,#REF!,0),2),(INDEX(COMPOS!$A$4:$G$390,MATCH($B123,COMPOS!$A$4:A$390,0),2)))))</f>
        <v>CUBA DE EMBUTIR OVAL EM LOUÇA BRANCA, 35 X 50CM OU EQUIVALENTE - FORNECIMENTO E INSTALAÇÃO. AF_01/2020</v>
      </c>
      <c r="D123" s="274" t="str">
        <f>(IF($A123="SINAPI",INDEX(SINAPI_NOV2020_NDES!$A$7:$H$6790,MATCH($B123,SINAPI_NOV2020_NDES!$A$7:$A$6790,0),3),(INDEX(COMPOS!$A$4:$G$5000,MATCH($B123,COMPOS!$A$4:$A$5000,0),3))))</f>
        <v>UN</v>
      </c>
      <c r="E123" s="362">
        <v>53</v>
      </c>
      <c r="F123" s="279">
        <f>(IF($A123="SINAPI",INDEX(SINAPI_NOV2020_NDES!$A$7:$H$6703,MATCH($B123,SINAPI_NOV2020_NDES!$A$7:$A$6703,0),5),(INDEX(COMPOS!$A$4:$G$801,MATCH($B123,COMPOS!$A$4:A$801,0),4))))</f>
        <v>16.93</v>
      </c>
      <c r="G123" s="280">
        <f>(IF($A123="SINAPI",INDEX(SINAPI_NOV2020_NDES!$A$7:$H$6703,MATCH($B123,SINAPI_NOV2020_NDES!$A$7:$A$6703,0),6),(INDEX(COMPOS!$A$4:$G$801,MATCH($B123,COMPOS!$A$4:A$801,0),5))))</f>
        <v>98.56</v>
      </c>
      <c r="H123" s="280">
        <f>(IF($A123="SINAPI",INDEX(SINAPI_NOV2020_NDES!$A$7:$H$6703,MATCH($B123,SINAPI_NOV2020_NDES!$A$7:$A$6703,0),7),(INDEX(COMPOS!$A$4:$G$801,MATCH($B123,COMPOS!$A$4:A$801,0),6))))</f>
        <v>0</v>
      </c>
      <c r="I123" s="279">
        <f t="shared" ref="I123:I161" si="19">SUM(F123:H123)</f>
        <v>115.49000000000001</v>
      </c>
      <c r="J123" s="276">
        <f t="shared" ref="J123:J161" si="20">+I123*E123</f>
        <v>6120.97</v>
      </c>
    </row>
    <row r="124" spans="1:16" s="41" customFormat="1" ht="24">
      <c r="A124" s="252" t="s">
        <v>7</v>
      </c>
      <c r="B124" s="293">
        <v>86879</v>
      </c>
      <c r="C124" s="301" t="str">
        <f>(IF($A124="SINAPI",INDEX(SINAPI_NOV2020_NDES!$A$7:$H$6703,MATCH($B124,SINAPI_NOV2020_NDES!$A$7:$A$6703,0),2),IF($A124="GOINFRA",INDEX(#REF!,MATCH($B124,#REF!,0),2),(INDEX(COMPOS!$A$4:$G$390,MATCH($B124,COMPOS!$A$4:A$390,0),2)))))</f>
        <v>VÁLVULA EM PLÁSTICO 1 PARA PIA, TANQUE OU LAVATÓRIO, COM OU SEM LADRÃO - FORNECIMENTO E INSTALAÇÃO. AF_01/2020</v>
      </c>
      <c r="D124" s="274" t="str">
        <f>(IF($A124="SINAPI",INDEX(SINAPI_NOV2020_NDES!$A$7:$H$6790,MATCH($B124,SINAPI_NOV2020_NDES!$A$7:$A$6790,0),3),(INDEX(COMPOS!$A$4:$G$5000,MATCH($B124,COMPOS!$A$4:$A$5000,0),3))))</f>
        <v>UN</v>
      </c>
      <c r="E124" s="362">
        <v>53</v>
      </c>
      <c r="F124" s="279">
        <f>(IF($A124="SINAPI",INDEX(SINAPI_NOV2020_NDES!$A$7:$H$6703,MATCH($B124,SINAPI_NOV2020_NDES!$A$7:$A$6703,0),5),(INDEX(COMPOS!$A$4:$G$801,MATCH($B124,COMPOS!$A$4:A$801,0),4))))</f>
        <v>2.52</v>
      </c>
      <c r="G124" s="280">
        <f>(IF($A124="SINAPI",INDEX(SINAPI_NOV2020_NDES!$A$7:$H$6703,MATCH($B124,SINAPI_NOV2020_NDES!$A$7:$A$6703,0),6),(INDEX(COMPOS!$A$4:$G$801,MATCH($B124,COMPOS!$A$4:A$801,0),5))))</f>
        <v>3.31</v>
      </c>
      <c r="H124" s="280">
        <f>(IF($A124="SINAPI",INDEX(SINAPI_NOV2020_NDES!$A$7:$H$6703,MATCH($B124,SINAPI_NOV2020_NDES!$A$7:$A$6703,0),7),(INDEX(COMPOS!$A$4:$G$801,MATCH($B124,COMPOS!$A$4:A$801,0),6))))</f>
        <v>0</v>
      </c>
      <c r="I124" s="279">
        <f t="shared" si="19"/>
        <v>5.83</v>
      </c>
      <c r="J124" s="276">
        <f t="shared" si="20"/>
        <v>308.99</v>
      </c>
    </row>
    <row r="125" spans="1:16" s="41" customFormat="1" ht="24">
      <c r="A125" s="252" t="s">
        <v>7</v>
      </c>
      <c r="B125" s="293">
        <v>86906</v>
      </c>
      <c r="C125" s="301" t="str">
        <f>(IF($A125="SINAPI",INDEX(SINAPI_NOV2020_NDES!$A$7:$H$6703,MATCH($B125,SINAPI_NOV2020_NDES!$A$7:$A$6703,0),2),IF($A125="GOINFRA",INDEX(#REF!,MATCH($B125,#REF!,0),2),(INDEX(COMPOS!$A$4:$G$390,MATCH($B125,COMPOS!$A$4:A$390,0),2)))))</f>
        <v>TORNEIRA CROMADA DE MESA, 1/2 OU 3/4, PARA LAVATÓRIO, PADRÃO POPULAR - FORNECIMENTO E INSTALAÇÃO. AF_01/2020</v>
      </c>
      <c r="D125" s="274" t="str">
        <f>(IF($A125="SINAPI",INDEX(SINAPI_NOV2020_NDES!$A$7:$H$6790,MATCH($B125,SINAPI_NOV2020_NDES!$A$7:$A$6790,0),3),(INDEX(COMPOS!$A$4:$G$5000,MATCH($B125,COMPOS!$A$4:$A$5000,0),3))))</f>
        <v>UN</v>
      </c>
      <c r="E125" s="362">
        <v>59</v>
      </c>
      <c r="F125" s="279">
        <f>(IF($A125="SINAPI",INDEX(SINAPI_NOV2020_NDES!$A$7:$H$6703,MATCH($B125,SINAPI_NOV2020_NDES!$A$7:$A$6703,0),5),(INDEX(COMPOS!$A$4:$G$801,MATCH($B125,COMPOS!$A$4:A$801,0),4))))</f>
        <v>1.94</v>
      </c>
      <c r="G125" s="280">
        <f>(IF($A125="SINAPI",INDEX(SINAPI_NOV2020_NDES!$A$7:$H$6703,MATCH($B125,SINAPI_NOV2020_NDES!$A$7:$A$6703,0),6),(INDEX(COMPOS!$A$4:$G$801,MATCH($B125,COMPOS!$A$4:A$801,0),5))))</f>
        <v>41.22</v>
      </c>
      <c r="H125" s="280">
        <f>(IF($A125="SINAPI",INDEX(SINAPI_NOV2020_NDES!$A$7:$H$6703,MATCH($B125,SINAPI_NOV2020_NDES!$A$7:$A$6703,0),7),(INDEX(COMPOS!$A$4:$G$801,MATCH($B125,COMPOS!$A$4:A$801,0),6))))</f>
        <v>0</v>
      </c>
      <c r="I125" s="279">
        <f t="shared" si="19"/>
        <v>43.16</v>
      </c>
      <c r="J125" s="276">
        <f t="shared" si="20"/>
        <v>2546.4399999999996</v>
      </c>
    </row>
    <row r="126" spans="1:16" s="41" customFormat="1" ht="24">
      <c r="A126" s="252" t="s">
        <v>7</v>
      </c>
      <c r="B126" s="293">
        <v>86885</v>
      </c>
      <c r="C126" s="301" t="str">
        <f>(IF($A126="SINAPI",INDEX(SINAPI_NOV2020_NDES!$A$7:$H$6703,MATCH($B126,SINAPI_NOV2020_NDES!$A$7:$A$6703,0),2),IF($A126="GOINFRA",INDEX(#REF!,MATCH($B126,#REF!,0),2),(INDEX(COMPOS!$A$4:$G$390,MATCH($B126,COMPOS!$A$4:A$390,0),2)))))</f>
        <v>ENGATE FLEXÍVEL EM PLÁSTICO BRANCO, 1/2 X 40CM - FORNECIMENTO E INSTALAÇÃO. AF_01/2020</v>
      </c>
      <c r="D126" s="274" t="str">
        <f>(IF($A126="SINAPI",INDEX(SINAPI_NOV2020_NDES!$A$7:$H$6790,MATCH($B126,SINAPI_NOV2020_NDES!$A$7:$A$6790,0),3),(INDEX(COMPOS!$A$4:$G$5000,MATCH($B126,COMPOS!$A$4:$A$5000,0),3))))</f>
        <v>UN</v>
      </c>
      <c r="E126" s="362">
        <v>59</v>
      </c>
      <c r="F126" s="279">
        <f>(IF($A126="SINAPI",INDEX(SINAPI_NOV2020_NDES!$A$7:$H$6703,MATCH($B126,SINAPI_NOV2020_NDES!$A$7:$A$6703,0),5),(INDEX(COMPOS!$A$4:$G$801,MATCH($B126,COMPOS!$A$4:A$801,0),4))))</f>
        <v>3.12</v>
      </c>
      <c r="G126" s="280">
        <f>(IF($A126="SINAPI",INDEX(SINAPI_NOV2020_NDES!$A$7:$H$6703,MATCH($B126,SINAPI_NOV2020_NDES!$A$7:$A$6703,0),6),(INDEX(COMPOS!$A$4:$G$801,MATCH($B126,COMPOS!$A$4:A$801,0),5))))</f>
        <v>6.03</v>
      </c>
      <c r="H126" s="280">
        <f>(IF($A126="SINAPI",INDEX(SINAPI_NOV2020_NDES!$A$7:$H$6703,MATCH($B126,SINAPI_NOV2020_NDES!$A$7:$A$6703,0),7),(INDEX(COMPOS!$A$4:$G$801,MATCH($B126,COMPOS!$A$4:A$801,0),6))))</f>
        <v>0</v>
      </c>
      <c r="I126" s="279">
        <f t="shared" si="19"/>
        <v>9.15</v>
      </c>
      <c r="J126" s="276">
        <f t="shared" si="20"/>
        <v>539.85</v>
      </c>
    </row>
    <row r="127" spans="1:16" s="41" customFormat="1" ht="24">
      <c r="A127" s="252" t="s">
        <v>7</v>
      </c>
      <c r="B127" s="293">
        <v>100860</v>
      </c>
      <c r="C127" s="301" t="str">
        <f>(IF($A127="SINAPI",INDEX(SINAPI_NOV2020_NDES!$A$7:$H$6703,MATCH($B127,SINAPI_NOV2020_NDES!$A$7:$A$6703,0),2),IF($A127="GOINFRA",INDEX(#REF!,MATCH($B127,#REF!,0),2),(INDEX(COMPOS!$A$4:$G$390,MATCH($B127,COMPOS!$A$4:A$390,0),2)))))</f>
        <v>CHUVEIRO ELÉTRICO COMUM CORPO PLÁSTICO, TIPO DUCHA  FORNECIMENTO E INSTALAÇÃO. AF_01/2020</v>
      </c>
      <c r="D127" s="274" t="str">
        <f>(IF($A127="SINAPI",INDEX(SINAPI_NOV2020_NDES!$A$7:$H$6790,MATCH($B127,SINAPI_NOV2020_NDES!$A$7:$A$6790,0),3),(INDEX(COMPOS!$A$4:$G$5000,MATCH($B127,COMPOS!$A$4:$A$5000,0),3))))</f>
        <v>UN</v>
      </c>
      <c r="E127" s="362">
        <v>53</v>
      </c>
      <c r="F127" s="279">
        <f>(IF($A127="SINAPI",INDEX(SINAPI_NOV2020_NDES!$A$7:$H$6703,MATCH($B127,SINAPI_NOV2020_NDES!$A$7:$A$6703,0),5),(INDEX(COMPOS!$A$4:$G$801,MATCH($B127,COMPOS!$A$4:A$801,0),4))))</f>
        <v>9.1199999999999992</v>
      </c>
      <c r="G127" s="280">
        <f>(IF($A127="SINAPI",INDEX(SINAPI_NOV2020_NDES!$A$7:$H$6703,MATCH($B127,SINAPI_NOV2020_NDES!$A$7:$A$6703,0),6),(INDEX(COMPOS!$A$4:$G$801,MATCH($B127,COMPOS!$A$4:A$801,0),5))))</f>
        <v>57.45</v>
      </c>
      <c r="H127" s="280">
        <f>(IF($A127="SINAPI",INDEX(SINAPI_NOV2020_NDES!$A$7:$H$6703,MATCH($B127,SINAPI_NOV2020_NDES!$A$7:$A$6703,0),7),(INDEX(COMPOS!$A$4:$G$801,MATCH($B127,COMPOS!$A$4:A$801,0),6))))</f>
        <v>0</v>
      </c>
      <c r="I127" s="279">
        <f t="shared" si="19"/>
        <v>66.570000000000007</v>
      </c>
      <c r="J127" s="276">
        <f t="shared" si="20"/>
        <v>3528.2100000000005</v>
      </c>
    </row>
    <row r="128" spans="1:16" s="41" customFormat="1" ht="24">
      <c r="A128" s="252" t="s">
        <v>7</v>
      </c>
      <c r="B128" s="293">
        <v>86876</v>
      </c>
      <c r="C128" s="301" t="str">
        <f>(IF($A128="SINAPI",INDEX(SINAPI_NOV2020_NDES!$A$7:$H$6703,MATCH($B128,SINAPI_NOV2020_NDES!$A$7:$A$6703,0),2),IF($A128="GOINFRA",INDEX(#REF!,MATCH($B128,#REF!,0),2),(INDEX(COMPOS!$A$4:$G$390,MATCH($B128,COMPOS!$A$4:A$390,0),2)))))</f>
        <v>TANQUE DE MÁRMORE SINTÉTICO SUSPENSO, 22L OU EQUIVALENTE - FORNECIMENTO E INSTALAÇÃO. AF_01/2020</v>
      </c>
      <c r="D128" s="274" t="str">
        <f>(IF($A128="SINAPI",INDEX(SINAPI_NOV2020_NDES!$A$7:$H$6790,MATCH($B128,SINAPI_NOV2020_NDES!$A$7:$A$6790,0),3),(INDEX(COMPOS!$A$4:$G$5000,MATCH($B128,COMPOS!$A$4:$A$5000,0),3))))</f>
        <v>UN</v>
      </c>
      <c r="E128" s="362">
        <v>12</v>
      </c>
      <c r="F128" s="279">
        <f>(IF($A128="SINAPI",INDEX(SINAPI_NOV2020_NDES!$A$7:$H$6703,MATCH($B128,SINAPI_NOV2020_NDES!$A$7:$A$6703,0),5),(INDEX(COMPOS!$A$4:$G$801,MATCH($B128,COMPOS!$A$4:A$801,0),4))))</f>
        <v>15.49</v>
      </c>
      <c r="G128" s="280">
        <f>(IF($A128="SINAPI",INDEX(SINAPI_NOV2020_NDES!$A$7:$H$6703,MATCH($B128,SINAPI_NOV2020_NDES!$A$7:$A$6703,0),6),(INDEX(COMPOS!$A$4:$G$801,MATCH($B128,COMPOS!$A$4:A$801,0),5))))</f>
        <v>201.48</v>
      </c>
      <c r="H128" s="280">
        <f>(IF($A128="SINAPI",INDEX(SINAPI_NOV2020_NDES!$A$7:$H$6703,MATCH($B128,SINAPI_NOV2020_NDES!$A$7:$A$6703,0),7),(INDEX(COMPOS!$A$4:$G$801,MATCH($B128,COMPOS!$A$4:A$801,0),6))))</f>
        <v>0</v>
      </c>
      <c r="I128" s="279">
        <f t="shared" si="19"/>
        <v>216.97</v>
      </c>
      <c r="J128" s="276">
        <f t="shared" si="20"/>
        <v>2603.64</v>
      </c>
    </row>
    <row r="129" spans="1:10" s="41" customFormat="1" ht="24">
      <c r="A129" s="252" t="s">
        <v>7</v>
      </c>
      <c r="B129" s="293">
        <v>86914</v>
      </c>
      <c r="C129" s="301" t="str">
        <f>(IF($A129="SINAPI",INDEX(SINAPI_NOV2020_NDES!$A$7:$H$6703,MATCH($B129,SINAPI_NOV2020_NDES!$A$7:$A$6703,0),2),IF($A129="GOINFRA",INDEX(#REF!,MATCH($B129,#REF!,0),2),(INDEX(COMPOS!$A$4:$G$390,MATCH($B129,COMPOS!$A$4:A$390,0),2)))))</f>
        <v>TORNEIRA CROMADA 1/2 OU 3/4 PARA TANQUE, PADRÃO MÉDIO - FORNECIMENTO E INSTALAÇÃO. AF_01/2020</v>
      </c>
      <c r="D129" s="274" t="str">
        <f>(IF($A129="SINAPI",INDEX(SINAPI_NOV2020_NDES!$A$7:$H$6790,MATCH($B129,SINAPI_NOV2020_NDES!$A$7:$A$6790,0),3),(INDEX(COMPOS!$A$4:$G$5000,MATCH($B129,COMPOS!$A$4:$A$5000,0),3))))</f>
        <v>UN</v>
      </c>
      <c r="E129" s="362">
        <v>12</v>
      </c>
      <c r="F129" s="279">
        <f>(IF($A129="SINAPI",INDEX(SINAPI_NOV2020_NDES!$A$7:$H$6703,MATCH($B129,SINAPI_NOV2020_NDES!$A$7:$A$6703,0),5),(INDEX(COMPOS!$A$4:$G$801,MATCH($B129,COMPOS!$A$4:A$801,0),4))))</f>
        <v>3.1</v>
      </c>
      <c r="G129" s="280">
        <f>(IF($A129="SINAPI",INDEX(SINAPI_NOV2020_NDES!$A$7:$H$6703,MATCH($B129,SINAPI_NOV2020_NDES!$A$7:$A$6703,0),6),(INDEX(COMPOS!$A$4:$G$801,MATCH($B129,COMPOS!$A$4:A$801,0),5))))</f>
        <v>30.59</v>
      </c>
      <c r="H129" s="280">
        <f>(IF($A129="SINAPI",INDEX(SINAPI_NOV2020_NDES!$A$7:$H$6703,MATCH($B129,SINAPI_NOV2020_NDES!$A$7:$A$6703,0),7),(INDEX(COMPOS!$A$4:$G$801,MATCH($B129,COMPOS!$A$4:A$801,0),6))))</f>
        <v>0</v>
      </c>
      <c r="I129" s="279">
        <f t="shared" si="19"/>
        <v>33.69</v>
      </c>
      <c r="J129" s="276">
        <f t="shared" si="20"/>
        <v>404.28</v>
      </c>
    </row>
    <row r="130" spans="1:10" s="41" customFormat="1" ht="12">
      <c r="A130" s="252" t="s">
        <v>6307</v>
      </c>
      <c r="B130" s="293">
        <v>784</v>
      </c>
      <c r="C130" s="301" t="str">
        <f>(IF($A130="SINAPI",INDEX(SINAPI_NOV2020_NDES!$A$7:$H$6703,MATCH($B130,SINAPI_NOV2020_NDES!$A$7:$A$6703,0),2),IF($A130="GOINFRA",INDEX(#REF!,MATCH($B130,#REF!,0),2),(INDEX(COMPOS!$A$4:$G$390,MATCH($B130,COMPOS!$A$4:A$390,0),2)))))</f>
        <v>TORNEIRA DE JARDIM COM BICO PARA MANGUEIRA DIÂMETRO DE 1/2" E 3/4"</v>
      </c>
      <c r="D130" s="274" t="str">
        <f>(IF($A130="SINAPI",INDEX(SINAPI_NOV2020_NDES!$A$7:$H$6790,MATCH($B130,SINAPI_NOV2020_NDES!$A$7:$A$6790,0),3),(INDEX(COMPOS!$A$4:$G$5000,MATCH($B130,COMPOS!$A$4:$A$5000,0),3))))</f>
        <v>UN</v>
      </c>
      <c r="E130" s="362">
        <v>1</v>
      </c>
      <c r="F130" s="279">
        <f>(IF($A130="SINAPI",INDEX(SINAPI_NOV2020_NDES!$A$7:$H$6703,MATCH($B130,SINAPI_NOV2020_NDES!$A$7:$A$6703,0),5),(INDEX(COMPOS!$A$4:$G$801,MATCH($B130,COMPOS!$A$4:A$801,0),4))))</f>
        <v>7.4880000000000004</v>
      </c>
      <c r="G130" s="280">
        <f>(IF($A130="SINAPI",INDEX(SINAPI_NOV2020_NDES!$A$7:$H$6703,MATCH($B130,SINAPI_NOV2020_NDES!$A$7:$A$6703,0),6),(INDEX(COMPOS!$A$4:$G$801,MATCH($B130,COMPOS!$A$4:A$801,0),5))))</f>
        <v>47.52</v>
      </c>
      <c r="H130" s="280">
        <f>(IF($A130="SINAPI",INDEX(SINAPI_NOV2020_NDES!$A$7:$H$6703,MATCH($B130,SINAPI_NOV2020_NDES!$A$7:$A$6703,0),7),(INDEX(COMPOS!$A$4:$G$801,MATCH($B130,COMPOS!$A$4:A$801,0),6))))</f>
        <v>0</v>
      </c>
      <c r="I130" s="279">
        <f>SUM(F130:H130)</f>
        <v>55.008000000000003</v>
      </c>
      <c r="J130" s="276">
        <f>+I130*E130</f>
        <v>55.008000000000003</v>
      </c>
    </row>
    <row r="131" spans="1:10" s="41" customFormat="1" ht="24">
      <c r="A131" s="252" t="s">
        <v>7</v>
      </c>
      <c r="B131" s="293">
        <v>86877</v>
      </c>
      <c r="C131" s="301" t="str">
        <f>(IF($A131="SINAPI",INDEX(SINAPI_NOV2020_NDES!$A$7:$H$6703,MATCH($B131,SINAPI_NOV2020_NDES!$A$7:$A$6703,0),2),IF($A131="GOINFRA",INDEX(#REF!,MATCH($B131,#REF!,0),2),(INDEX(COMPOS!$A$4:$G$390,MATCH($B131,COMPOS!$A$4:A$390,0),2)))))</f>
        <v>VÁLVULA EM METAL CROMADO 1.1/2 X 1.1/2 PARA TANQUE OU LAVATÓRIO, COM OU SEM LADRÃO - FORNECIMENTO E INSTALAÇÃO. AF_01/2020</v>
      </c>
      <c r="D131" s="274" t="str">
        <f>(IF($A131="SINAPI",INDEX(SINAPI_NOV2020_NDES!$A$7:$H$6790,MATCH($B131,SINAPI_NOV2020_NDES!$A$7:$A$6790,0),3),(INDEX(COMPOS!$A$4:$G$5000,MATCH($B131,COMPOS!$A$4:$A$5000,0),3))))</f>
        <v>UN</v>
      </c>
      <c r="E131" s="362">
        <v>12</v>
      </c>
      <c r="F131" s="279">
        <f>(IF($A131="SINAPI",INDEX(SINAPI_NOV2020_NDES!$A$7:$H$6703,MATCH($B131,SINAPI_NOV2020_NDES!$A$7:$A$6703,0),5),(INDEX(COMPOS!$A$4:$G$801,MATCH($B131,COMPOS!$A$4:A$801,0),4))))</f>
        <v>3.54</v>
      </c>
      <c r="G131" s="280">
        <f>(IF($A131="SINAPI",INDEX(SINAPI_NOV2020_NDES!$A$7:$H$6703,MATCH($B131,SINAPI_NOV2020_NDES!$A$7:$A$6703,0),6),(INDEX(COMPOS!$A$4:$G$801,MATCH($B131,COMPOS!$A$4:A$801,0),5))))</f>
        <v>19.5</v>
      </c>
      <c r="H131" s="280">
        <f>(IF($A131="SINAPI",INDEX(SINAPI_NOV2020_NDES!$A$7:$H$6703,MATCH($B131,SINAPI_NOV2020_NDES!$A$7:$A$6703,0),7),(INDEX(COMPOS!$A$4:$G$801,MATCH($B131,COMPOS!$A$4:A$801,0),6))))</f>
        <v>0</v>
      </c>
      <c r="I131" s="279">
        <f t="shared" si="19"/>
        <v>23.04</v>
      </c>
      <c r="J131" s="276">
        <f t="shared" si="20"/>
        <v>276.48</v>
      </c>
    </row>
    <row r="132" spans="1:10" s="41" customFormat="1" ht="36">
      <c r="A132" s="252" t="s">
        <v>7</v>
      </c>
      <c r="B132" s="293">
        <v>94497</v>
      </c>
      <c r="C132" s="301" t="str">
        <f>(IF($A132="SINAPI",INDEX(SINAPI_NOV2020_NDES!$A$7:$H$6703,MATCH($B132,SINAPI_NOV2020_NDES!$A$7:$A$6703,0),2),IF($A132="GOINFRA",INDEX(#REF!,MATCH($B132,#REF!,0),2),(INDEX(COMPOS!$A$4:$G$390,MATCH($B132,COMPOS!$A$4:A$390,0),2)))))</f>
        <v>REGISTRO DE GAVETA BRUTO, LATÃO, ROSCÁVEL, 1 1/2, INSTALADO EM RESERVAÇÃO DE ÁGUA DE EDIFICAÇÃO QUE POSSUA RESERVATÓRIO DE FIBRA/FIBROCIMENTO  FORNECIMENTO E INSTALAÇÃO. AF_06/2016</v>
      </c>
      <c r="D132" s="274" t="str">
        <f>(IF($A132="SINAPI",INDEX(SINAPI_NOV2020_NDES!$A$7:$H$6790,MATCH($B132,SINAPI_NOV2020_NDES!$A$7:$A$6790,0),3),(INDEX(COMPOS!$A$4:$G$5000,MATCH($B132,COMPOS!$A$4:$A$5000,0),3))))</f>
        <v>UN</v>
      </c>
      <c r="E132" s="362">
        <v>10</v>
      </c>
      <c r="F132" s="279">
        <f>(IF($A132="SINAPI",INDEX(SINAPI_NOV2020_NDES!$A$7:$H$6703,MATCH($B132,SINAPI_NOV2020_NDES!$A$7:$A$6703,0),5),(INDEX(COMPOS!$A$4:$G$801,MATCH($B132,COMPOS!$A$4:A$801,0),4))))</f>
        <v>23.01</v>
      </c>
      <c r="G132" s="280">
        <f>(IF($A132="SINAPI",INDEX(SINAPI_NOV2020_NDES!$A$7:$H$6703,MATCH($B132,SINAPI_NOV2020_NDES!$A$7:$A$6703,0),6),(INDEX(COMPOS!$A$4:$G$801,MATCH($B132,COMPOS!$A$4:A$801,0),5))))</f>
        <v>60.93</v>
      </c>
      <c r="H132" s="280">
        <f>(IF($A132="SINAPI",INDEX(SINAPI_NOV2020_NDES!$A$7:$H$6703,MATCH($B132,SINAPI_NOV2020_NDES!$A$7:$A$6703,0),7),(INDEX(COMPOS!$A$4:$G$801,MATCH($B132,COMPOS!$A$4:A$801,0),6))))</f>
        <v>0</v>
      </c>
      <c r="I132" s="279">
        <f t="shared" si="19"/>
        <v>83.94</v>
      </c>
      <c r="J132" s="276">
        <f t="shared" si="20"/>
        <v>839.4</v>
      </c>
    </row>
    <row r="133" spans="1:10" s="41" customFormat="1" ht="36">
      <c r="A133" s="252" t="s">
        <v>7</v>
      </c>
      <c r="B133" s="293">
        <v>94498</v>
      </c>
      <c r="C133" s="301" t="str">
        <f>(IF($A133="SINAPI",INDEX(SINAPI_NOV2020_NDES!$A$7:$H$6703,MATCH($B133,SINAPI_NOV2020_NDES!$A$7:$A$6703,0),2),IF($A133="GOINFRA",INDEX(#REF!,MATCH($B133,#REF!,0),2),(INDEX(COMPOS!$A$4:$G$390,MATCH($B133,COMPOS!$A$4:A$390,0),2)))))</f>
        <v>REGISTRO DE GAVETA BRUTO, LATÃO, ROSCÁVEL, 2, INSTALADO EM RESERVAÇÃO DE ÁGUA DE EDIFICAÇÃO QUE POSSUA RESERVATÓRIO DE FIBRA/FIBROCIMENTO  FORNECIMENTO E INSTALAÇÃO. AF_06/2016</v>
      </c>
      <c r="D133" s="274" t="str">
        <f>(IF($A133="SINAPI",INDEX(SINAPI_NOV2020_NDES!$A$7:$H$6790,MATCH($B133,SINAPI_NOV2020_NDES!$A$7:$A$6790,0),3),(INDEX(COMPOS!$A$4:$G$5000,MATCH($B133,COMPOS!$A$4:$A$5000,0),3))))</f>
        <v>UN</v>
      </c>
      <c r="E133" s="362">
        <v>2</v>
      </c>
      <c r="F133" s="279">
        <f>(IF($A133="SINAPI",INDEX(SINAPI_NOV2020_NDES!$A$7:$H$6703,MATCH($B133,SINAPI_NOV2020_NDES!$A$7:$A$6703,0),5),(INDEX(COMPOS!$A$4:$G$801,MATCH($B133,COMPOS!$A$4:A$801,0),4))))</f>
        <v>23.86</v>
      </c>
      <c r="G133" s="280">
        <f>(IF($A133="SINAPI",INDEX(SINAPI_NOV2020_NDES!$A$7:$H$6703,MATCH($B133,SINAPI_NOV2020_NDES!$A$7:$A$6703,0),6),(INDEX(COMPOS!$A$4:$G$801,MATCH($B133,COMPOS!$A$4:A$801,0),5))))</f>
        <v>82.69</v>
      </c>
      <c r="H133" s="280">
        <f>(IF($A133="SINAPI",INDEX(SINAPI_NOV2020_NDES!$A$7:$H$6703,MATCH($B133,SINAPI_NOV2020_NDES!$A$7:$A$6703,0),7),(INDEX(COMPOS!$A$4:$G$801,MATCH($B133,COMPOS!$A$4:A$801,0),6))))</f>
        <v>0</v>
      </c>
      <c r="I133" s="279">
        <f t="shared" si="19"/>
        <v>106.55</v>
      </c>
      <c r="J133" s="276">
        <f t="shared" si="20"/>
        <v>213.1</v>
      </c>
    </row>
    <row r="134" spans="1:10" s="41" customFormat="1" ht="36">
      <c r="A134" s="252" t="s">
        <v>7</v>
      </c>
      <c r="B134" s="293">
        <v>94500</v>
      </c>
      <c r="C134" s="301" t="str">
        <f>(IF($A134="SINAPI",INDEX(SINAPI_NOV2020_NDES!$A$7:$H$6703,MATCH($B134,SINAPI_NOV2020_NDES!$A$7:$A$6703,0),2),IF($A134="GOINFRA",INDEX(#REF!,MATCH($B134,#REF!,0),2),(INDEX(COMPOS!$A$4:$G$390,MATCH($B134,COMPOS!$A$4:A$390,0),2)))))</f>
        <v>REGISTRO DE GAVETA BRUTO, LATÃO, ROSCÁVEL, 3, INSTALADO EM RESERVAÇÃO DE ÁGUA DE EDIFICAÇÃO QUE POSSUA RESERVATÓRIO DE FIBRA/FIBROCIMENTO  FORNECIMENTO E INSTALAÇÃO. AF_06/2016</v>
      </c>
      <c r="D134" s="274" t="str">
        <f>(IF($A134="SINAPI",INDEX(SINAPI_NOV2020_NDES!$A$7:$H$6790,MATCH($B134,SINAPI_NOV2020_NDES!$A$7:$A$6790,0),3),(INDEX(COMPOS!$A$4:$G$5000,MATCH($B134,COMPOS!$A$4:$A$5000,0),3))))</f>
        <v>UN</v>
      </c>
      <c r="E134" s="362">
        <v>1</v>
      </c>
      <c r="F134" s="279">
        <f>(IF($A134="SINAPI",INDEX(SINAPI_NOV2020_NDES!$A$7:$H$6703,MATCH($B134,SINAPI_NOV2020_NDES!$A$7:$A$6703,0),5),(INDEX(COMPOS!$A$4:$G$801,MATCH($B134,COMPOS!$A$4:A$801,0),4))))</f>
        <v>24.69</v>
      </c>
      <c r="G134" s="280">
        <f>(IF($A134="SINAPI",INDEX(SINAPI_NOV2020_NDES!$A$7:$H$6703,MATCH($B134,SINAPI_NOV2020_NDES!$A$7:$A$6703,0),6),(INDEX(COMPOS!$A$4:$G$801,MATCH($B134,COMPOS!$A$4:A$801,0),5))))</f>
        <v>197.15</v>
      </c>
      <c r="H134" s="280">
        <f>(IF($A134="SINAPI",INDEX(SINAPI_NOV2020_NDES!$A$7:$H$6703,MATCH($B134,SINAPI_NOV2020_NDES!$A$7:$A$6703,0),7),(INDEX(COMPOS!$A$4:$G$801,MATCH($B134,COMPOS!$A$4:A$801,0),6))))</f>
        <v>0</v>
      </c>
      <c r="I134" s="279">
        <f t="shared" si="19"/>
        <v>221.84</v>
      </c>
      <c r="J134" s="276">
        <f t="shared" si="20"/>
        <v>221.84</v>
      </c>
    </row>
    <row r="135" spans="1:10" s="41" customFormat="1" ht="36">
      <c r="A135" s="252" t="s">
        <v>7</v>
      </c>
      <c r="B135" s="293">
        <v>89985</v>
      </c>
      <c r="C135" s="301" t="str">
        <f>(IF($A135="SINAPI",INDEX(SINAPI_NOV2020_NDES!$A$7:$H$6703,MATCH($B135,SINAPI_NOV2020_NDES!$A$7:$A$6703,0),2),IF($A135="GOINFRA",INDEX(#REF!,MATCH($B135,#REF!,0),2),(INDEX(COMPOS!$A$4:$G$390,MATCH($B135,COMPOS!$A$4:A$390,0),2)))))</f>
        <v>REGISTRO DE PRESSÃO BRUTO, LATÃO, ROSCÁVEL, 3/4", COM ACABAMENTO E CANOPLA CROMADOS. FORNECIDO E INSTALADO EM RAMAL DE ÁGUA. AF_12/2014</v>
      </c>
      <c r="D135" s="274" t="str">
        <f>(IF($A135="SINAPI",INDEX(SINAPI_NOV2020_NDES!$A$7:$H$6790,MATCH($B135,SINAPI_NOV2020_NDES!$A$7:$A$6790,0),3),(INDEX(COMPOS!$A$4:$G$5000,MATCH($B135,COMPOS!$A$4:$A$5000,0),3))))</f>
        <v>UN</v>
      </c>
      <c r="E135" s="362">
        <v>10</v>
      </c>
      <c r="F135" s="279">
        <f>(IF($A135="SINAPI",INDEX(SINAPI_NOV2020_NDES!$A$7:$H$6703,MATCH($B135,SINAPI_NOV2020_NDES!$A$7:$A$6703,0),5),(INDEX(COMPOS!$A$4:$G$801,MATCH($B135,COMPOS!$A$4:A$801,0),4))))</f>
        <v>7.89</v>
      </c>
      <c r="G135" s="280">
        <f>(IF($A135="SINAPI",INDEX(SINAPI_NOV2020_NDES!$A$7:$H$6703,MATCH($B135,SINAPI_NOV2020_NDES!$A$7:$A$6703,0),6),(INDEX(COMPOS!$A$4:$G$801,MATCH($B135,COMPOS!$A$4:A$801,0),5))))</f>
        <v>48.24</v>
      </c>
      <c r="H135" s="280">
        <f>(IF($A135="SINAPI",INDEX(SINAPI_NOV2020_NDES!$A$7:$H$6703,MATCH($B135,SINAPI_NOV2020_NDES!$A$7:$A$6703,0),7),(INDEX(COMPOS!$A$4:$G$801,MATCH($B135,COMPOS!$A$4:A$801,0),6))))</f>
        <v>0</v>
      </c>
      <c r="I135" s="279">
        <f t="shared" si="19"/>
        <v>56.13</v>
      </c>
      <c r="J135" s="276">
        <f t="shared" si="20"/>
        <v>561.30000000000007</v>
      </c>
    </row>
    <row r="136" spans="1:10" s="41" customFormat="1" ht="12">
      <c r="A136" s="252" t="s">
        <v>6307</v>
      </c>
      <c r="B136" s="293">
        <v>788</v>
      </c>
      <c r="C136" s="301" t="str">
        <f>(IF($A136="SINAPI",INDEX(SINAPI_NOV2020_NDES!$A$7:$H$6703,MATCH($B136,SINAPI_NOV2020_NDES!$A$7:$A$6703,0),2),IF($A136="GOINFRA",INDEX(#REF!,MATCH($B136,#REF!,0),2),(INDEX(COMPOS!$A$4:$G$390,MATCH($B136,COMPOS!$A$4:A$390,0),2)))))</f>
        <v>ACABAMENTO PARA REGISTRO DE GAVETA 3/4"</v>
      </c>
      <c r="D136" s="274" t="str">
        <f>(IF($A136="SINAPI",INDEX(SINAPI_NOV2020_NDES!$A$7:$H$6790,MATCH($B136,SINAPI_NOV2020_NDES!$A$7:$A$6790,0),3),(INDEX(COMPOS!$A$4:$G$5000,MATCH($B136,COMPOS!$A$4:$A$5000,0),3))))</f>
        <v>UN</v>
      </c>
      <c r="E136" s="362">
        <v>49</v>
      </c>
      <c r="F136" s="279">
        <f>(IF($A136="SINAPI",INDEX(SINAPI_NOV2020_NDES!$A$7:$H$6703,MATCH($B136,SINAPI_NOV2020_NDES!$A$7:$A$6703,0),5),(INDEX(COMPOS!$A$4:$G$801,MATCH($B136,COMPOS!$A$4:A$801,0),4))))</f>
        <v>2.9952000000000001</v>
      </c>
      <c r="G136" s="280">
        <f>(IF($A136="SINAPI",INDEX(SINAPI_NOV2020_NDES!$A$7:$H$6703,MATCH($B136,SINAPI_NOV2020_NDES!$A$7:$A$6703,0),6),(INDEX(COMPOS!$A$4:$G$801,MATCH($B136,COMPOS!$A$4:A$801,0),5))))</f>
        <v>18.329999999999998</v>
      </c>
      <c r="H136" s="280">
        <f>(IF($A136="SINAPI",INDEX(SINAPI_NOV2020_NDES!$A$7:$H$6703,MATCH($B136,SINAPI_NOV2020_NDES!$A$7:$A$6703,0),7),(INDEX(COMPOS!$A$4:$G$801,MATCH($B136,COMPOS!$A$4:A$801,0),6))))</f>
        <v>0</v>
      </c>
      <c r="I136" s="279">
        <f>SUM(F136:H136)</f>
        <v>21.325199999999999</v>
      </c>
      <c r="J136" s="276">
        <f>+I136*E136</f>
        <v>1044.9348</v>
      </c>
    </row>
    <row r="137" spans="1:10" s="41" customFormat="1" ht="24">
      <c r="A137" s="252" t="s">
        <v>7</v>
      </c>
      <c r="B137" s="293">
        <v>89446</v>
      </c>
      <c r="C137" s="301" t="str">
        <f>(IF($A137="SINAPI",INDEX(SINAPI_NOV2020_NDES!$A$7:$H$6703,MATCH($B137,SINAPI_NOV2020_NDES!$A$7:$A$6703,0),2),IF($A137="GOINFRA",INDEX(#REF!,MATCH($B137,#REF!,0),2),(INDEX(COMPOS!$A$4:$G$390,MATCH($B137,COMPOS!$A$4:A$390,0),2)))))</f>
        <v>TUBO, PVC, SOLDÁVEL, DN 25MM, INSTALADO EM PRUMADA DE ÁGUA - FORNECIMENTO E INSTALAÇÃO. AF_12/2014</v>
      </c>
      <c r="D137" s="274" t="str">
        <f>(IF($A137="SINAPI",INDEX(SINAPI_NOV2020_NDES!$A$7:$H$6790,MATCH($B137,SINAPI_NOV2020_NDES!$A$7:$A$6790,0),3),(INDEX(COMPOS!$A$4:$G$5000,MATCH($B137,COMPOS!$A$4:$A$5000,0),3))))</f>
        <v>M</v>
      </c>
      <c r="E137" s="362">
        <f>4.74*10</f>
        <v>47.400000000000006</v>
      </c>
      <c r="F137" s="279">
        <f>(IF($A137="SINAPI",INDEX(SINAPI_NOV2020_NDES!$A$7:$H$6703,MATCH($B137,SINAPI_NOV2020_NDES!$A$7:$A$6703,0),5),(INDEX(COMPOS!$A$4:$G$801,MATCH($B137,COMPOS!$A$4:A$801,0),4))))</f>
        <v>0.45</v>
      </c>
      <c r="G137" s="280">
        <f>(IF($A137="SINAPI",INDEX(SINAPI_NOV2020_NDES!$A$7:$H$6703,MATCH($B137,SINAPI_NOV2020_NDES!$A$7:$A$6703,0),6),(INDEX(COMPOS!$A$4:$G$801,MATCH($B137,COMPOS!$A$4:A$801,0),5))))</f>
        <v>3.33</v>
      </c>
      <c r="H137" s="280">
        <f>(IF($A137="SINAPI",INDEX(SINAPI_NOV2020_NDES!$A$7:$H$6703,MATCH($B137,SINAPI_NOV2020_NDES!$A$7:$A$6703,0),7),(INDEX(COMPOS!$A$4:$G$801,MATCH($B137,COMPOS!$A$4:A$801,0),6))))</f>
        <v>0</v>
      </c>
      <c r="I137" s="279">
        <f t="shared" si="19"/>
        <v>3.7800000000000002</v>
      </c>
      <c r="J137" s="276">
        <f t="shared" si="20"/>
        <v>179.17200000000003</v>
      </c>
    </row>
    <row r="138" spans="1:10" s="41" customFormat="1" ht="24">
      <c r="A138" s="252" t="s">
        <v>7</v>
      </c>
      <c r="B138" s="293">
        <v>89449</v>
      </c>
      <c r="C138" s="301" t="str">
        <f>(IF($A138="SINAPI",INDEX(SINAPI_NOV2020_NDES!$A$7:$H$6703,MATCH($B138,SINAPI_NOV2020_NDES!$A$7:$A$6703,0),2),IF($A138="GOINFRA",INDEX(#REF!,MATCH($B138,#REF!,0),2),(INDEX(COMPOS!$A$4:$G$390,MATCH($B138,COMPOS!$A$4:A$390,0),2)))))</f>
        <v>TUBO, PVC, SOLDÁVEL, DN 50MM, INSTALADO EM PRUMADA DE ÁGUA - FORNECIMENTO E INSTALAÇÃO. AF_12/2014</v>
      </c>
      <c r="D138" s="274" t="str">
        <f>(IF($A138="SINAPI",INDEX(SINAPI_NOV2020_NDES!$A$7:$H$6790,MATCH($B138,SINAPI_NOV2020_NDES!$A$7:$A$6790,0),3),(INDEX(COMPOS!$A$4:$G$5000,MATCH($B138,COMPOS!$A$4:$A$5000,0),3))))</f>
        <v>M</v>
      </c>
      <c r="E138" s="362">
        <v>28.5</v>
      </c>
      <c r="F138" s="279">
        <f>(IF($A138="SINAPI",INDEX(SINAPI_NOV2020_NDES!$A$7:$H$6703,MATCH($B138,SINAPI_NOV2020_NDES!$A$7:$A$6703,0),5),(INDEX(COMPOS!$A$4:$G$801,MATCH($B138,COMPOS!$A$4:A$801,0),4))))</f>
        <v>0.82</v>
      </c>
      <c r="G138" s="280">
        <f>(IF($A138="SINAPI",INDEX(SINAPI_NOV2020_NDES!$A$7:$H$6703,MATCH($B138,SINAPI_NOV2020_NDES!$A$7:$A$6703,0),6),(INDEX(COMPOS!$A$4:$G$801,MATCH($B138,COMPOS!$A$4:A$801,0),5))))</f>
        <v>12.26</v>
      </c>
      <c r="H138" s="280">
        <f>(IF($A138="SINAPI",INDEX(SINAPI_NOV2020_NDES!$A$7:$H$6703,MATCH($B138,SINAPI_NOV2020_NDES!$A$7:$A$6703,0),7),(INDEX(COMPOS!$A$4:$G$801,MATCH($B138,COMPOS!$A$4:A$801,0),6))))</f>
        <v>0</v>
      </c>
      <c r="I138" s="279">
        <f t="shared" si="19"/>
        <v>13.08</v>
      </c>
      <c r="J138" s="276">
        <f t="shared" si="20"/>
        <v>372.78000000000003</v>
      </c>
    </row>
    <row r="139" spans="1:10" s="41" customFormat="1" ht="24">
      <c r="A139" s="252" t="s">
        <v>7</v>
      </c>
      <c r="B139" s="293">
        <v>89450</v>
      </c>
      <c r="C139" s="301" t="str">
        <f>(IF($A139="SINAPI",INDEX(SINAPI_NOV2020_NDES!$A$7:$H$6703,MATCH($B139,SINAPI_NOV2020_NDES!$A$7:$A$6703,0),2),IF($A139="GOINFRA",INDEX(#REF!,MATCH($B139,#REF!,0),2),(INDEX(COMPOS!$A$4:$G$390,MATCH($B139,COMPOS!$A$4:A$390,0),2)))))</f>
        <v>TUBO, PVC, SOLDÁVEL, DN 60MM, INSTALADO EM PRUMADA DE ÁGUA - FORNECIMENTO E INSTALAÇÃO. AF_12/2014</v>
      </c>
      <c r="D139" s="274" t="str">
        <f>(IF($A139="SINAPI",INDEX(SINAPI_NOV2020_NDES!$A$7:$H$6790,MATCH($B139,SINAPI_NOV2020_NDES!$A$7:$A$6790,0),3),(INDEX(COMPOS!$A$4:$G$5000,MATCH($B139,COMPOS!$A$4:$A$5000,0),3))))</f>
        <v>M</v>
      </c>
      <c r="E139" s="362">
        <v>8</v>
      </c>
      <c r="F139" s="279">
        <f>(IF($A139="SINAPI",INDEX(SINAPI_NOV2020_NDES!$A$7:$H$6703,MATCH($B139,SINAPI_NOV2020_NDES!$A$7:$A$6703,0),5),(INDEX(COMPOS!$A$4:$G$801,MATCH($B139,COMPOS!$A$4:A$801,0),4))))</f>
        <v>0.97</v>
      </c>
      <c r="G139" s="280">
        <f>(IF($A139="SINAPI",INDEX(SINAPI_NOV2020_NDES!$A$7:$H$6703,MATCH($B139,SINAPI_NOV2020_NDES!$A$7:$A$6703,0),6),(INDEX(COMPOS!$A$4:$G$801,MATCH($B139,COMPOS!$A$4:A$801,0),5))))</f>
        <v>20.55</v>
      </c>
      <c r="H139" s="280">
        <f>(IF($A139="SINAPI",INDEX(SINAPI_NOV2020_NDES!$A$7:$H$6703,MATCH($B139,SINAPI_NOV2020_NDES!$A$7:$A$6703,0),7),(INDEX(COMPOS!$A$4:$G$801,MATCH($B139,COMPOS!$A$4:A$801,0),6))))</f>
        <v>0</v>
      </c>
      <c r="I139" s="279">
        <f t="shared" si="19"/>
        <v>21.52</v>
      </c>
      <c r="J139" s="276">
        <f t="shared" si="20"/>
        <v>172.16</v>
      </c>
    </row>
    <row r="140" spans="1:10" s="41" customFormat="1" ht="24">
      <c r="A140" s="252" t="s">
        <v>7</v>
      </c>
      <c r="B140" s="293">
        <v>89451</v>
      </c>
      <c r="C140" s="301" t="str">
        <f>(IF($A140="SINAPI",INDEX(SINAPI_NOV2020_NDES!$A$7:$H$6703,MATCH($B140,SINAPI_NOV2020_NDES!$A$7:$A$6703,0),2),IF($A140="GOINFRA",INDEX(#REF!,MATCH($B140,#REF!,0),2),(INDEX(COMPOS!$A$4:$G$390,MATCH($B140,COMPOS!$A$4:A$390,0),2)))))</f>
        <v>TUBO, PVC, SOLDÁVEL, DN 75MM, INSTALADO EM PRUMADA DE ÁGUA - FORNECIMENTO E INSTALAÇÃO. AF_12/2014</v>
      </c>
      <c r="D140" s="274" t="str">
        <f>(IF($A140="SINAPI",INDEX(SINAPI_NOV2020_NDES!$A$7:$H$6790,MATCH($B140,SINAPI_NOV2020_NDES!$A$7:$A$6790,0),3),(INDEX(COMPOS!$A$4:$G$5000,MATCH($B140,COMPOS!$A$4:$A$5000,0),3))))</f>
        <v>M</v>
      </c>
      <c r="E140" s="362">
        <v>5</v>
      </c>
      <c r="F140" s="279">
        <f>(IF($A140="SINAPI",INDEX(SINAPI_NOV2020_NDES!$A$7:$H$6703,MATCH($B140,SINAPI_NOV2020_NDES!$A$7:$A$6703,0),5),(INDEX(COMPOS!$A$4:$G$801,MATCH($B140,COMPOS!$A$4:A$801,0),4))))</f>
        <v>1.2</v>
      </c>
      <c r="G140" s="280">
        <f>(IF($A140="SINAPI",INDEX(SINAPI_NOV2020_NDES!$A$7:$H$6703,MATCH($B140,SINAPI_NOV2020_NDES!$A$7:$A$6703,0),6),(INDEX(COMPOS!$A$4:$G$801,MATCH($B140,COMPOS!$A$4:A$801,0),5))))</f>
        <v>34.29</v>
      </c>
      <c r="H140" s="280">
        <f>(IF($A140="SINAPI",INDEX(SINAPI_NOV2020_NDES!$A$7:$H$6703,MATCH($B140,SINAPI_NOV2020_NDES!$A$7:$A$6703,0),7),(INDEX(COMPOS!$A$4:$G$801,MATCH($B140,COMPOS!$A$4:A$801,0),6))))</f>
        <v>0</v>
      </c>
      <c r="I140" s="279">
        <f t="shared" si="19"/>
        <v>35.49</v>
      </c>
      <c r="J140" s="276">
        <f t="shared" si="20"/>
        <v>177.45000000000002</v>
      </c>
    </row>
    <row r="141" spans="1:10" s="41" customFormat="1" ht="36">
      <c r="A141" s="252" t="s">
        <v>7</v>
      </c>
      <c r="B141" s="293">
        <v>89429</v>
      </c>
      <c r="C141" s="301" t="str">
        <f>(IF($A141="SINAPI",INDEX(SINAPI_NOV2020_NDES!$A$7:$H$6703,MATCH($B141,SINAPI_NOV2020_NDES!$A$7:$A$6703,0),2),IF($A141="GOINFRA",INDEX(#REF!,MATCH($B141,#REF!,0),2),(INDEX(COMPOS!$A$4:$G$390,MATCH($B141,COMPOS!$A$4:A$390,0),2)))))</f>
        <v>ADAPTADOR CURTO COM BOLSA E ROSCA PARA REGISTRO, PVC, SOLDÁVEL, DN 25MM X 3/4, INSTALADO EM RAMAL DE DISTRIBUIÇÃO DE ÁGUA - FORNECIMENTO E INSTALAÇÃO. AF_12/2014</v>
      </c>
      <c r="D141" s="274" t="str">
        <f>(IF($A141="SINAPI",INDEX(SINAPI_NOV2020_NDES!$A$7:$H$6790,MATCH($B141,SINAPI_NOV2020_NDES!$A$7:$A$6790,0),3),(INDEX(COMPOS!$A$4:$G$5000,MATCH($B141,COMPOS!$A$4:$A$5000,0),3))))</f>
        <v>UN</v>
      </c>
      <c r="E141" s="362">
        <v>20</v>
      </c>
      <c r="F141" s="279">
        <f>(IF($A141="SINAPI",INDEX(SINAPI_NOV2020_NDES!$A$7:$H$6703,MATCH($B141,SINAPI_NOV2020_NDES!$A$7:$A$6703,0),5),(INDEX(COMPOS!$A$4:$G$801,MATCH($B141,COMPOS!$A$4:A$801,0),4))))</f>
        <v>1.77</v>
      </c>
      <c r="G141" s="280">
        <f>(IF($A141="SINAPI",INDEX(SINAPI_NOV2020_NDES!$A$7:$H$6703,MATCH($B141,SINAPI_NOV2020_NDES!$A$7:$A$6703,0),6),(INDEX(COMPOS!$A$4:$G$801,MATCH($B141,COMPOS!$A$4:A$801,0),5))))</f>
        <v>2.0699999999999998</v>
      </c>
      <c r="H141" s="280">
        <f>(IF($A141="SINAPI",INDEX(SINAPI_NOV2020_NDES!$A$7:$H$6703,MATCH($B141,SINAPI_NOV2020_NDES!$A$7:$A$6703,0),7),(INDEX(COMPOS!$A$4:$G$801,MATCH($B141,COMPOS!$A$4:A$801,0),6))))</f>
        <v>0</v>
      </c>
      <c r="I141" s="279">
        <f t="shared" si="19"/>
        <v>3.84</v>
      </c>
      <c r="J141" s="276">
        <f t="shared" si="20"/>
        <v>76.8</v>
      </c>
    </row>
    <row r="142" spans="1:10" s="41" customFormat="1" ht="36">
      <c r="A142" s="252" t="s">
        <v>7</v>
      </c>
      <c r="B142" s="293">
        <v>89596</v>
      </c>
      <c r="C142" s="301" t="str">
        <f>(IF($A142="SINAPI",INDEX(SINAPI_NOV2020_NDES!$A$7:$H$6703,MATCH($B142,SINAPI_NOV2020_NDES!$A$7:$A$6703,0),2),IF($A142="GOINFRA",INDEX(#REF!,MATCH($B142,#REF!,0),2),(INDEX(COMPOS!$A$4:$G$390,MATCH($B142,COMPOS!$A$4:A$390,0),2)))))</f>
        <v>ADAPTADOR CURTO COM BOLSA E ROSCA PARA REGISTRO, PVC, SOLDÁVEL, DN 50MM X 1.1/2, INSTALADO EM PRUMADA DE ÁGUA - FORNECIMENTO E INSTALAÇÃO. AF_12/2014</v>
      </c>
      <c r="D142" s="274" t="str">
        <f>(IF($A142="SINAPI",INDEX(SINAPI_NOV2020_NDES!$A$7:$H$6790,MATCH($B142,SINAPI_NOV2020_NDES!$A$7:$A$6790,0),3),(INDEX(COMPOS!$A$4:$G$5000,MATCH($B142,COMPOS!$A$4:$A$5000,0),3))))</f>
        <v>UN</v>
      </c>
      <c r="E142" s="362">
        <v>10</v>
      </c>
      <c r="F142" s="279">
        <f>(IF($A142="SINAPI",INDEX(SINAPI_NOV2020_NDES!$A$7:$H$6703,MATCH($B142,SINAPI_NOV2020_NDES!$A$7:$A$6703,0),5),(INDEX(COMPOS!$A$4:$G$801,MATCH($B142,COMPOS!$A$4:A$801,0),4))))</f>
        <v>2.1</v>
      </c>
      <c r="G142" s="280">
        <f>(IF($A142="SINAPI",INDEX(SINAPI_NOV2020_NDES!$A$7:$H$6703,MATCH($B142,SINAPI_NOV2020_NDES!$A$7:$A$6703,0),6),(INDEX(COMPOS!$A$4:$G$801,MATCH($B142,COMPOS!$A$4:A$801,0),5))))</f>
        <v>6.46</v>
      </c>
      <c r="H142" s="280">
        <f>(IF($A142="SINAPI",INDEX(SINAPI_NOV2020_NDES!$A$7:$H$6703,MATCH($B142,SINAPI_NOV2020_NDES!$A$7:$A$6703,0),7),(INDEX(COMPOS!$A$4:$G$801,MATCH($B142,COMPOS!$A$4:A$801,0),6))))</f>
        <v>0</v>
      </c>
      <c r="I142" s="279">
        <f t="shared" si="19"/>
        <v>8.56</v>
      </c>
      <c r="J142" s="276">
        <f t="shared" si="20"/>
        <v>85.600000000000009</v>
      </c>
    </row>
    <row r="143" spans="1:10" s="41" customFormat="1" ht="36">
      <c r="A143" s="252" t="s">
        <v>7</v>
      </c>
      <c r="B143" s="293">
        <v>89610</v>
      </c>
      <c r="C143" s="301" t="str">
        <f>(IF($A143="SINAPI",INDEX(SINAPI_NOV2020_NDES!$A$7:$H$6703,MATCH($B143,SINAPI_NOV2020_NDES!$A$7:$A$6703,0),2),IF($A143="GOINFRA",INDEX(#REF!,MATCH($B143,#REF!,0),2),(INDEX(COMPOS!$A$4:$G$390,MATCH($B143,COMPOS!$A$4:A$390,0),2)))))</f>
        <v>ADAPTADOR CURTO COM BOLSA E ROSCA PARA REGISTRO, PVC, SOLDÁVEL, DN 60MM X 2, INSTALADO EM PRUMADA DE ÁGUA - FORNECIMENTO E INSTALAÇÃO. AF_12/2014</v>
      </c>
      <c r="D143" s="274" t="str">
        <f>(IF($A143="SINAPI",INDEX(SINAPI_NOV2020_NDES!$A$7:$H$6790,MATCH($B143,SINAPI_NOV2020_NDES!$A$7:$A$6790,0),3),(INDEX(COMPOS!$A$4:$G$5000,MATCH($B143,COMPOS!$A$4:$A$5000,0),3))))</f>
        <v>UN</v>
      </c>
      <c r="E143" s="362">
        <v>4</v>
      </c>
      <c r="F143" s="279">
        <f>(IF($A143="SINAPI",INDEX(SINAPI_NOV2020_NDES!$A$7:$H$6703,MATCH($B143,SINAPI_NOV2020_NDES!$A$7:$A$6703,0),5),(INDEX(COMPOS!$A$4:$G$801,MATCH($B143,COMPOS!$A$4:A$801,0),4))))</f>
        <v>2.4700000000000002</v>
      </c>
      <c r="G143" s="280">
        <f>(IF($A143="SINAPI",INDEX(SINAPI_NOV2020_NDES!$A$7:$H$6703,MATCH($B143,SINAPI_NOV2020_NDES!$A$7:$A$6703,0),6),(INDEX(COMPOS!$A$4:$G$801,MATCH($B143,COMPOS!$A$4:A$801,0),5))))</f>
        <v>13.53</v>
      </c>
      <c r="H143" s="280">
        <f>(IF($A143="SINAPI",INDEX(SINAPI_NOV2020_NDES!$A$7:$H$6703,MATCH($B143,SINAPI_NOV2020_NDES!$A$7:$A$6703,0),7),(INDEX(COMPOS!$A$4:$G$801,MATCH($B143,COMPOS!$A$4:A$801,0),6))))</f>
        <v>0</v>
      </c>
      <c r="I143" s="279">
        <f t="shared" si="19"/>
        <v>16</v>
      </c>
      <c r="J143" s="276">
        <f t="shared" si="20"/>
        <v>64</v>
      </c>
    </row>
    <row r="144" spans="1:10" s="41" customFormat="1" ht="36">
      <c r="A144" s="252" t="s">
        <v>6307</v>
      </c>
      <c r="B144" s="293">
        <v>258</v>
      </c>
      <c r="C144" s="301" t="str">
        <f>(IF($A144="SINAPI",INDEX(SINAPI_NOV2020_NDES!$A$7:$H$6703,MATCH($B144,SINAPI_NOV2020_NDES!$A$7:$A$6703,0),2),IF($A144="GOINFRA",INDEX(#REF!,MATCH($B144,#REF!,0),2),(INDEX(COMPOS!$A$4:$G$390,MATCH($B144,COMPOS!$A$4:A$390,0),2)))))</f>
        <v>BUCHA DE REDUCAO DE PVC, SOLDAVEL, CURTA, COM 75 X 60 MM, PARA AGUA FRIA UN 13,27
PREDIAL</v>
      </c>
      <c r="D144" s="274" t="str">
        <f>(IF($A144="SINAPI",INDEX(SINAPI_NOV2020_NDES!$A$7:$H$6790,MATCH($B144,SINAPI_NOV2020_NDES!$A$7:$A$6790,0),3),(INDEX(COMPOS!$A$4:$G$5000,MATCH($B144,COMPOS!$A$4:$A$5000,0),3))))</f>
        <v>UN</v>
      </c>
      <c r="E144" s="362">
        <v>2</v>
      </c>
      <c r="F144" s="279">
        <f>(IF($A144="SINAPI",INDEX(SINAPI_NOV2020_NDES!$A$7:$H$6703,MATCH($B144,SINAPI_NOV2020_NDES!$A$7:$A$6703,0),5),(INDEX(COMPOS!$A$4:$G$801,MATCH($B144,COMPOS!$A$4:A$801,0),4))))</f>
        <v>6.9264000000000001</v>
      </c>
      <c r="G144" s="280">
        <f>(IF($A144="SINAPI",INDEX(SINAPI_NOV2020_NDES!$A$7:$H$6703,MATCH($B144,SINAPI_NOV2020_NDES!$A$7:$A$6703,0),6),(INDEX(COMPOS!$A$4:$G$801,MATCH($B144,COMPOS!$A$4:A$801,0),5))))</f>
        <v>13.27</v>
      </c>
      <c r="H144" s="280">
        <f>(IF($A144="SINAPI",INDEX(SINAPI_NOV2020_NDES!$A$7:$H$6703,MATCH($B144,SINAPI_NOV2020_NDES!$A$7:$A$6703,0),7),(INDEX(COMPOS!$A$4:$G$801,MATCH($B144,COMPOS!$A$4:A$801,0),6))))</f>
        <v>0</v>
      </c>
      <c r="I144" s="279">
        <f>SUM(F144:H144)</f>
        <v>20.196400000000001</v>
      </c>
      <c r="J144" s="276">
        <f>+I144*E144</f>
        <v>40.392800000000001</v>
      </c>
    </row>
    <row r="145" spans="1:10" s="41" customFormat="1" ht="24">
      <c r="A145" s="252" t="s">
        <v>6307</v>
      </c>
      <c r="B145" s="293">
        <v>257</v>
      </c>
      <c r="C145" s="301" t="str">
        <f>(IF($A145="SINAPI",INDEX(SINAPI_NOV2020_NDES!$A$7:$H$6703,MATCH($B145,SINAPI_NOV2020_NDES!$A$7:$A$6703,0),2),IF($A145="GOINFRA",INDEX(#REF!,MATCH($B145,#REF!,0),2),(INDEX(COMPOS!$A$4:$G$390,MATCH($B145,COMPOS!$A$4:A$390,0),2)))))</f>
        <v>BUCHA DE REDUCAO DE PVC, SOLDAVEL, CURTA, COM 60 X 50 MM, PARA AGUA FRIA PREDIAL</v>
      </c>
      <c r="D145" s="274" t="str">
        <f>(IF($A145="SINAPI",INDEX(SINAPI_NOV2020_NDES!$A$7:$H$6790,MATCH($B145,SINAPI_NOV2020_NDES!$A$7:$A$6790,0),3),(INDEX(COMPOS!$A$4:$G$5000,MATCH($B145,COMPOS!$A$4:$A$5000,0),3))))</f>
        <v>UN</v>
      </c>
      <c r="E145" s="362">
        <v>6</v>
      </c>
      <c r="F145" s="279">
        <f>(IF($A145="SINAPI",INDEX(SINAPI_NOV2020_NDES!$A$7:$H$6703,MATCH($B145,SINAPI_NOV2020_NDES!$A$7:$A$6703,0),5),(INDEX(COMPOS!$A$4:$G$801,MATCH($B145,COMPOS!$A$4:A$801,0),4))))</f>
        <v>6.7392000000000003</v>
      </c>
      <c r="G145" s="280">
        <f>(IF($A145="SINAPI",INDEX(SINAPI_NOV2020_NDES!$A$7:$H$6703,MATCH($B145,SINAPI_NOV2020_NDES!$A$7:$A$6703,0),6),(INDEX(COMPOS!$A$4:$G$801,MATCH($B145,COMPOS!$A$4:A$801,0),5))))</f>
        <v>4.4000000000000004</v>
      </c>
      <c r="H145" s="280">
        <f>(IF($A145="SINAPI",INDEX(SINAPI_NOV2020_NDES!$A$7:$H$6703,MATCH($B145,SINAPI_NOV2020_NDES!$A$7:$A$6703,0),7),(INDEX(COMPOS!$A$4:$G$801,MATCH($B145,COMPOS!$A$4:A$801,0),6))))</f>
        <v>0</v>
      </c>
      <c r="I145" s="279">
        <f>SUM(F145:H145)</f>
        <v>11.139200000000001</v>
      </c>
      <c r="J145" s="276">
        <f>+I145*E145</f>
        <v>66.8352</v>
      </c>
    </row>
    <row r="146" spans="1:10" s="41" customFormat="1" ht="12">
      <c r="A146" s="252" t="s">
        <v>6307</v>
      </c>
      <c r="B146" s="293">
        <v>441</v>
      </c>
      <c r="C146" s="301" t="str">
        <f>(IF($A146="SINAPI",INDEX(SINAPI_NOV2020_NDES!$A$7:$H$6703,MATCH($B146,SINAPI_NOV2020_NDES!$A$7:$A$6703,0),2),IF($A146="GOINFRA",INDEX(#REF!,MATCH($B146,#REF!,0),2),(INDEX(COMPOS!$A$4:$G$390,MATCH($B146,COMPOS!$A$4:A$390,0),2)))))</f>
        <v>NIPLE DE LATÃO DE 3/4" NPT X 1/4" NPT</v>
      </c>
      <c r="D146" s="274" t="str">
        <f>(IF($A146="SINAPI",INDEX(SINAPI_NOV2020_NDES!$A$7:$H$6790,MATCH($B146,SINAPI_NOV2020_NDES!$A$7:$A$6790,0),3),(INDEX(COMPOS!$A$4:$G$5000,MATCH($B146,COMPOS!$A$4:$A$5000,0),3))))</f>
        <v>UN</v>
      </c>
      <c r="E146" s="362">
        <v>20</v>
      </c>
      <c r="F146" s="279">
        <f>(IF($A146="SINAPI",INDEX(SINAPI_NOV2020_NDES!$A$7:$H$6703,MATCH($B146,SINAPI_NOV2020_NDES!$A$7:$A$6703,0),5),(INDEX(COMPOS!$A$4:$G$801,MATCH($B146,COMPOS!$A$4:A$801,0),4))))</f>
        <v>5.9904000000000002</v>
      </c>
      <c r="G146" s="280">
        <f>(IF($A146="SINAPI",INDEX(SINAPI_NOV2020_NDES!$A$7:$H$6703,MATCH($B146,SINAPI_NOV2020_NDES!$A$7:$A$6703,0),6),(INDEX(COMPOS!$A$4:$G$801,MATCH($B146,COMPOS!$A$4:A$801,0),5))))</f>
        <v>15.09</v>
      </c>
      <c r="H146" s="280">
        <f>(IF($A146="SINAPI",INDEX(SINAPI_NOV2020_NDES!$A$7:$H$6703,MATCH($B146,SINAPI_NOV2020_NDES!$A$7:$A$6703,0),7),(INDEX(COMPOS!$A$4:$G$801,MATCH($B146,COMPOS!$A$4:A$801,0),6))))</f>
        <v>0</v>
      </c>
      <c r="I146" s="279">
        <f>SUM(F146:H146)</f>
        <v>21.080400000000001</v>
      </c>
      <c r="J146" s="276">
        <f>+I146*E146</f>
        <v>421.608</v>
      </c>
    </row>
    <row r="147" spans="1:10" s="41" customFormat="1" ht="24">
      <c r="A147" s="252" t="s">
        <v>7</v>
      </c>
      <c r="B147" s="293">
        <v>89502</v>
      </c>
      <c r="C147" s="301" t="str">
        <f>(IF($A147="SINAPI",INDEX(SINAPI_NOV2020_NDES!$A$7:$H$6703,MATCH($B147,SINAPI_NOV2020_NDES!$A$7:$A$6703,0),2),IF($A147="GOINFRA",INDEX(#REF!,MATCH($B147,#REF!,0),2),(INDEX(COMPOS!$A$4:$G$390,MATCH($B147,COMPOS!$A$4:A$390,0),2)))))</f>
        <v>JOELHO 45 GRAUS, PVC, SOLDÁVEL, DN 50MM, INSTALADO EM PRUMADA DE ÁGUA - FORNECIMENTO E INSTALAÇÃO. AF_12/2014</v>
      </c>
      <c r="D147" s="274" t="str">
        <f>(IF($A147="SINAPI",INDEX(SINAPI_NOV2020_NDES!$A$7:$H$6790,MATCH($B147,SINAPI_NOV2020_NDES!$A$7:$A$6790,0),3),(INDEX(COMPOS!$A$4:$G$5000,MATCH($B147,COMPOS!$A$4:$A$5000,0),3))))</f>
        <v>UN</v>
      </c>
      <c r="E147" s="362">
        <v>2</v>
      </c>
      <c r="F147" s="279">
        <f>(IF($A147="SINAPI",INDEX(SINAPI_NOV2020_NDES!$A$7:$H$6703,MATCH($B147,SINAPI_NOV2020_NDES!$A$7:$A$6703,0),5),(INDEX(COMPOS!$A$4:$G$801,MATCH($B147,COMPOS!$A$4:A$801,0),4))))</f>
        <v>3.16</v>
      </c>
      <c r="G147" s="280">
        <f>(IF($A147="SINAPI",INDEX(SINAPI_NOV2020_NDES!$A$7:$H$6703,MATCH($B147,SINAPI_NOV2020_NDES!$A$7:$A$6703,0),6),(INDEX(COMPOS!$A$4:$G$801,MATCH($B147,COMPOS!$A$4:A$801,0),5))))</f>
        <v>9.17</v>
      </c>
      <c r="H147" s="280">
        <f>(IF($A147="SINAPI",INDEX(SINAPI_NOV2020_NDES!$A$7:$H$6703,MATCH($B147,SINAPI_NOV2020_NDES!$A$7:$A$6703,0),7),(INDEX(COMPOS!$A$4:$G$801,MATCH($B147,COMPOS!$A$4:A$801,0),6))))</f>
        <v>0</v>
      </c>
      <c r="I147" s="279">
        <f t="shared" si="19"/>
        <v>12.33</v>
      </c>
      <c r="J147" s="276">
        <f t="shared" si="20"/>
        <v>24.66</v>
      </c>
    </row>
    <row r="148" spans="1:10" s="41" customFormat="1" ht="24">
      <c r="A148" s="252" t="s">
        <v>7</v>
      </c>
      <c r="B148" s="293">
        <v>89506</v>
      </c>
      <c r="C148" s="301" t="str">
        <f>(IF($A148="SINAPI",INDEX(SINAPI_NOV2020_NDES!$A$7:$H$6703,MATCH($B148,SINAPI_NOV2020_NDES!$A$7:$A$6703,0),2),IF($A148="GOINFRA",INDEX(#REF!,MATCH($B148,#REF!,0),2),(INDEX(COMPOS!$A$4:$G$390,MATCH($B148,COMPOS!$A$4:A$390,0),2)))))</f>
        <v>JOELHO 45 GRAUS, PVC, SOLDÁVEL, DN 60MM, INSTALADO EM PRUMADA DE ÁGUA - FORNECIMENTO E INSTALAÇÃO. AF_12/2014</v>
      </c>
      <c r="D148" s="274" t="str">
        <f>(IF($A148="SINAPI",INDEX(SINAPI_NOV2020_NDES!$A$7:$H$6790,MATCH($B148,SINAPI_NOV2020_NDES!$A$7:$A$6790,0),3),(INDEX(COMPOS!$A$4:$G$5000,MATCH($B148,COMPOS!$A$4:$A$5000,0),3))))</f>
        <v>UN</v>
      </c>
      <c r="E148" s="362">
        <v>1</v>
      </c>
      <c r="F148" s="279">
        <f>(IF($A148="SINAPI",INDEX(SINAPI_NOV2020_NDES!$A$7:$H$6703,MATCH($B148,SINAPI_NOV2020_NDES!$A$7:$A$6703,0),5),(INDEX(COMPOS!$A$4:$G$801,MATCH($B148,COMPOS!$A$4:A$801,0),4))))</f>
        <v>3.7</v>
      </c>
      <c r="G148" s="280">
        <f>(IF($A148="SINAPI",INDEX(SINAPI_NOV2020_NDES!$A$7:$H$6703,MATCH($B148,SINAPI_NOV2020_NDES!$A$7:$A$6703,0),6),(INDEX(COMPOS!$A$4:$G$801,MATCH($B148,COMPOS!$A$4:A$801,0),5))))</f>
        <v>27.4</v>
      </c>
      <c r="H148" s="280">
        <f>(IF($A148="SINAPI",INDEX(SINAPI_NOV2020_NDES!$A$7:$H$6703,MATCH($B148,SINAPI_NOV2020_NDES!$A$7:$A$6703,0),7),(INDEX(COMPOS!$A$4:$G$801,MATCH($B148,COMPOS!$A$4:A$801,0),6))))</f>
        <v>0</v>
      </c>
      <c r="I148" s="279">
        <f t="shared" si="19"/>
        <v>31.099999999999998</v>
      </c>
      <c r="J148" s="276">
        <f t="shared" si="20"/>
        <v>31.099999999999998</v>
      </c>
    </row>
    <row r="149" spans="1:10" s="41" customFormat="1" ht="24">
      <c r="A149" s="252" t="s">
        <v>7</v>
      </c>
      <c r="B149" s="293">
        <v>89408</v>
      </c>
      <c r="C149" s="301" t="str">
        <f>(IF($A149="SINAPI",INDEX(SINAPI_NOV2020_NDES!$A$7:$H$6703,MATCH($B149,SINAPI_NOV2020_NDES!$A$7:$A$6703,0),2),IF($A149="GOINFRA",INDEX(#REF!,MATCH($B149,#REF!,0),2),(INDEX(COMPOS!$A$4:$G$390,MATCH($B149,COMPOS!$A$4:A$390,0),2)))))</f>
        <v>JOELHO 90 GRAUS, PVC, SOLDÁVEL, DN 25MM, INSTALADO EM RAMAL DE DISTRIBUIÇÃO DE ÁGUA - FORNECIMENTO E INSTALAÇÃO. AF_12/2014</v>
      </c>
      <c r="D149" s="274" t="str">
        <f>(IF($A149="SINAPI",INDEX(SINAPI_NOV2020_NDES!$A$7:$H$6790,MATCH($B149,SINAPI_NOV2020_NDES!$A$7:$A$6790,0),3),(INDEX(COMPOS!$A$4:$G$5000,MATCH($B149,COMPOS!$A$4:$A$5000,0),3))))</f>
        <v>UN</v>
      </c>
      <c r="E149" s="362">
        <v>20</v>
      </c>
      <c r="F149" s="279">
        <f>(IF($A149="SINAPI",INDEX(SINAPI_NOV2020_NDES!$A$7:$H$6703,MATCH($B149,SINAPI_NOV2020_NDES!$A$7:$A$6703,0),5),(INDEX(COMPOS!$A$4:$G$801,MATCH($B149,COMPOS!$A$4:A$801,0),4))))</f>
        <v>2.65</v>
      </c>
      <c r="G149" s="280">
        <f>(IF($A149="SINAPI",INDEX(SINAPI_NOV2020_NDES!$A$7:$H$6703,MATCH($B149,SINAPI_NOV2020_NDES!$A$7:$A$6703,0),6),(INDEX(COMPOS!$A$4:$G$801,MATCH($B149,COMPOS!$A$4:A$801,0),5))))</f>
        <v>2.19</v>
      </c>
      <c r="H149" s="280">
        <f>(IF($A149="SINAPI",INDEX(SINAPI_NOV2020_NDES!$A$7:$H$6703,MATCH($B149,SINAPI_NOV2020_NDES!$A$7:$A$6703,0),7),(INDEX(COMPOS!$A$4:$G$801,MATCH($B149,COMPOS!$A$4:A$801,0),6))))</f>
        <v>0</v>
      </c>
      <c r="I149" s="279">
        <f t="shared" si="19"/>
        <v>4.84</v>
      </c>
      <c r="J149" s="276">
        <f t="shared" si="20"/>
        <v>96.8</v>
      </c>
    </row>
    <row r="150" spans="1:10" s="41" customFormat="1" ht="24">
      <c r="A150" s="252" t="s">
        <v>7</v>
      </c>
      <c r="B150" s="293">
        <v>89501</v>
      </c>
      <c r="C150" s="301" t="str">
        <f>(IF($A150="SINAPI",INDEX(SINAPI_NOV2020_NDES!$A$7:$H$6703,MATCH($B150,SINAPI_NOV2020_NDES!$A$7:$A$6703,0),2),IF($A150="GOINFRA",INDEX(#REF!,MATCH($B150,#REF!,0),2),(INDEX(COMPOS!$A$4:$G$390,MATCH($B150,COMPOS!$A$4:A$390,0),2)))))</f>
        <v>JOELHO 90 GRAUS, PVC, SOLDÁVEL, DN 50MM, INSTALADO EM PRUMADA DE ÁGUA - FORNECIMENTO E INSTALAÇÃO. AF_12/2014</v>
      </c>
      <c r="D150" s="274" t="str">
        <f>(IF($A150="SINAPI",INDEX(SINAPI_NOV2020_NDES!$A$7:$H$6790,MATCH($B150,SINAPI_NOV2020_NDES!$A$7:$A$6790,0),3),(INDEX(COMPOS!$A$4:$G$5000,MATCH($B150,COMPOS!$A$4:$A$5000,0),3))))</f>
        <v>UN</v>
      </c>
      <c r="E150" s="362">
        <v>2</v>
      </c>
      <c r="F150" s="279">
        <f>(IF($A150="SINAPI",INDEX(SINAPI_NOV2020_NDES!$A$7:$H$6703,MATCH($B150,SINAPI_NOV2020_NDES!$A$7:$A$6703,0),5),(INDEX(COMPOS!$A$4:$G$801,MATCH($B150,COMPOS!$A$4:A$801,0),4))))</f>
        <v>3.16</v>
      </c>
      <c r="G150" s="280">
        <f>(IF($A150="SINAPI",INDEX(SINAPI_NOV2020_NDES!$A$7:$H$6703,MATCH($B150,SINAPI_NOV2020_NDES!$A$7:$A$6703,0),6),(INDEX(COMPOS!$A$4:$G$801,MATCH($B150,COMPOS!$A$4:A$801,0),5))))</f>
        <v>7.73</v>
      </c>
      <c r="H150" s="280">
        <f>(IF($A150="SINAPI",INDEX(SINAPI_NOV2020_NDES!$A$7:$H$6703,MATCH($B150,SINAPI_NOV2020_NDES!$A$7:$A$6703,0),7),(INDEX(COMPOS!$A$4:$G$801,MATCH($B150,COMPOS!$A$4:A$801,0),6))))</f>
        <v>0</v>
      </c>
      <c r="I150" s="279">
        <f t="shared" si="19"/>
        <v>10.89</v>
      </c>
      <c r="J150" s="276">
        <f t="shared" si="20"/>
        <v>21.78</v>
      </c>
    </row>
    <row r="151" spans="1:10" s="41" customFormat="1" ht="24">
      <c r="A151" s="252" t="s">
        <v>7</v>
      </c>
      <c r="B151" s="293">
        <v>89505</v>
      </c>
      <c r="C151" s="301" t="str">
        <f>(IF($A151="SINAPI",INDEX(SINAPI_NOV2020_NDES!$A$7:$H$6703,MATCH($B151,SINAPI_NOV2020_NDES!$A$7:$A$6703,0),2),IF($A151="GOINFRA",INDEX(#REF!,MATCH($B151,#REF!,0),2),(INDEX(COMPOS!$A$4:$G$390,MATCH($B151,COMPOS!$A$4:A$390,0),2)))))</f>
        <v>JOELHO 90 GRAUS, PVC, SOLDÁVEL, DN 60MM, INSTALADO EM PRUMADA DE ÁGUA - FORNECIMENTO E INSTALAÇÃO. AF_12/2014</v>
      </c>
      <c r="D151" s="274" t="str">
        <f>(IF($A151="SINAPI",INDEX(SINAPI_NOV2020_NDES!$A$7:$H$6790,MATCH($B151,SINAPI_NOV2020_NDES!$A$7:$A$6790,0),3),(INDEX(COMPOS!$A$4:$G$5000,MATCH($B151,COMPOS!$A$4:$A$5000,0),3))))</f>
        <v>UN</v>
      </c>
      <c r="E151" s="362">
        <v>1</v>
      </c>
      <c r="F151" s="279">
        <f>(IF($A151="SINAPI",INDEX(SINAPI_NOV2020_NDES!$A$7:$H$6703,MATCH($B151,SINAPI_NOV2020_NDES!$A$7:$A$6703,0),5),(INDEX(COMPOS!$A$4:$G$801,MATCH($B151,COMPOS!$A$4:A$801,0),4))))</f>
        <v>3.71</v>
      </c>
      <c r="G151" s="280">
        <f>(IF($A151="SINAPI",INDEX(SINAPI_NOV2020_NDES!$A$7:$H$6703,MATCH($B151,SINAPI_NOV2020_NDES!$A$7:$A$6703,0),6),(INDEX(COMPOS!$A$4:$G$801,MATCH($B151,COMPOS!$A$4:A$801,0),5))))</f>
        <v>23.96</v>
      </c>
      <c r="H151" s="280">
        <f>(IF($A151="SINAPI",INDEX(SINAPI_NOV2020_NDES!$A$7:$H$6703,MATCH($B151,SINAPI_NOV2020_NDES!$A$7:$A$6703,0),7),(INDEX(COMPOS!$A$4:$G$801,MATCH($B151,COMPOS!$A$4:A$801,0),6))))</f>
        <v>0</v>
      </c>
      <c r="I151" s="279">
        <f t="shared" si="19"/>
        <v>27.67</v>
      </c>
      <c r="J151" s="276">
        <f t="shared" si="20"/>
        <v>27.67</v>
      </c>
    </row>
    <row r="152" spans="1:10" s="41" customFormat="1" ht="24">
      <c r="A152" s="252" t="s">
        <v>7</v>
      </c>
      <c r="B152" s="293">
        <v>89513</v>
      </c>
      <c r="C152" s="301" t="str">
        <f>(IF($A152="SINAPI",INDEX(SINAPI_NOV2020_NDES!$A$7:$H$6703,MATCH($B152,SINAPI_NOV2020_NDES!$A$7:$A$6703,0),2),IF($A152="GOINFRA",INDEX(#REF!,MATCH($B152,#REF!,0),2),(INDEX(COMPOS!$A$4:$G$390,MATCH($B152,COMPOS!$A$4:A$390,0),2)))))</f>
        <v>JOELHO 90 GRAUS, PVC, SOLDÁVEL, DN 75MM, INSTALADO EM PRUMADA DE ÁGUA - FORNECIMENTO E INSTALAÇÃO. AF_12/2014</v>
      </c>
      <c r="D152" s="274" t="str">
        <f>(IF($A152="SINAPI",INDEX(SINAPI_NOV2020_NDES!$A$7:$H$6790,MATCH($B152,SINAPI_NOV2020_NDES!$A$7:$A$6790,0),3),(INDEX(COMPOS!$A$4:$G$5000,MATCH($B152,COMPOS!$A$4:$A$5000,0),3))))</f>
        <v>UN</v>
      </c>
      <c r="E152" s="362">
        <v>2</v>
      </c>
      <c r="F152" s="279">
        <f>(IF($A152="SINAPI",INDEX(SINAPI_NOV2020_NDES!$A$7:$H$6703,MATCH($B152,SINAPI_NOV2020_NDES!$A$7:$A$6703,0),5),(INDEX(COMPOS!$A$4:$G$801,MATCH($B152,COMPOS!$A$4:A$801,0),4))))</f>
        <v>4.5599999999999996</v>
      </c>
      <c r="G152" s="280">
        <f>(IF($A152="SINAPI",INDEX(SINAPI_NOV2020_NDES!$A$7:$H$6703,MATCH($B152,SINAPI_NOV2020_NDES!$A$7:$A$6703,0),6),(INDEX(COMPOS!$A$4:$G$801,MATCH($B152,COMPOS!$A$4:A$801,0),5))))</f>
        <v>80.88</v>
      </c>
      <c r="H152" s="280">
        <f>(IF($A152="SINAPI",INDEX(SINAPI_NOV2020_NDES!$A$7:$H$6703,MATCH($B152,SINAPI_NOV2020_NDES!$A$7:$A$6703,0),7),(INDEX(COMPOS!$A$4:$G$801,MATCH($B152,COMPOS!$A$4:A$801,0),6))))</f>
        <v>0</v>
      </c>
      <c r="I152" s="279">
        <f t="shared" si="19"/>
        <v>85.44</v>
      </c>
      <c r="J152" s="276">
        <f t="shared" si="20"/>
        <v>170.88</v>
      </c>
    </row>
    <row r="153" spans="1:10" s="41" customFormat="1" ht="24">
      <c r="A153" s="252" t="s">
        <v>7</v>
      </c>
      <c r="B153" s="293">
        <v>89440</v>
      </c>
      <c r="C153" s="301" t="str">
        <f>(IF($A153="SINAPI",INDEX(SINAPI_NOV2020_NDES!$A$7:$H$6703,MATCH($B153,SINAPI_NOV2020_NDES!$A$7:$A$6703,0),2),IF($A153="GOINFRA",INDEX(#REF!,MATCH($B153,#REF!,0),2),(INDEX(COMPOS!$A$4:$G$390,MATCH($B153,COMPOS!$A$4:A$390,0),2)))))</f>
        <v>TE, PVC, SOLDÁVEL, DN 25MM, INSTALADO EM RAMAL DE DISTRIBUIÇÃO DE ÁGUA - FORNECIMENTO E INSTALAÇÃO. AF_12/2014</v>
      </c>
      <c r="D153" s="274" t="str">
        <f>(IF($A153="SINAPI",INDEX(SINAPI_NOV2020_NDES!$A$7:$H$6790,MATCH($B153,SINAPI_NOV2020_NDES!$A$7:$A$6790,0),3),(INDEX(COMPOS!$A$4:$G$5000,MATCH($B153,COMPOS!$A$4:$A$5000,0),3))))</f>
        <v>UN</v>
      </c>
      <c r="E153" s="362">
        <v>10</v>
      </c>
      <c r="F153" s="279">
        <f>(IF($A153="SINAPI",INDEX(SINAPI_NOV2020_NDES!$A$7:$H$6703,MATCH($B153,SINAPI_NOV2020_NDES!$A$7:$A$6703,0),5),(INDEX(COMPOS!$A$4:$G$801,MATCH($B153,COMPOS!$A$4:A$801,0),4))))</f>
        <v>3.53</v>
      </c>
      <c r="G153" s="280">
        <f>(IF($A153="SINAPI",INDEX(SINAPI_NOV2020_NDES!$A$7:$H$6703,MATCH($B153,SINAPI_NOV2020_NDES!$A$7:$A$6703,0),6),(INDEX(COMPOS!$A$4:$G$801,MATCH($B153,COMPOS!$A$4:A$801,0),5))))</f>
        <v>3.33</v>
      </c>
      <c r="H153" s="280">
        <f>(IF($A153="SINAPI",INDEX(SINAPI_NOV2020_NDES!$A$7:$H$6703,MATCH($B153,SINAPI_NOV2020_NDES!$A$7:$A$6703,0),7),(INDEX(COMPOS!$A$4:$G$801,MATCH($B153,COMPOS!$A$4:A$801,0),6))))</f>
        <v>0</v>
      </c>
      <c r="I153" s="279">
        <f t="shared" si="19"/>
        <v>6.8599999999999994</v>
      </c>
      <c r="J153" s="276">
        <f t="shared" si="20"/>
        <v>68.599999999999994</v>
      </c>
    </row>
    <row r="154" spans="1:10" s="41" customFormat="1" ht="24">
      <c r="A154" s="252" t="s">
        <v>7</v>
      </c>
      <c r="B154" s="293">
        <v>89625</v>
      </c>
      <c r="C154" s="301" t="str">
        <f>(IF($A154="SINAPI",INDEX(SINAPI_NOV2020_NDES!$A$7:$H$6703,MATCH($B154,SINAPI_NOV2020_NDES!$A$7:$A$6703,0),2),IF($A154="GOINFRA",INDEX(#REF!,MATCH($B154,#REF!,0),2),(INDEX(COMPOS!$A$4:$G$390,MATCH($B154,COMPOS!$A$4:A$390,0),2)))))</f>
        <v>TE, PVC, SOLDÁVEL, DN 50MM, INSTALADO EM PRUMADA DE ÁGUA - FORNECIMENTO E INSTALAÇÃO. AF_12/2014</v>
      </c>
      <c r="D154" s="274" t="str">
        <f>(IF($A154="SINAPI",INDEX(SINAPI_NOV2020_NDES!$A$7:$H$6790,MATCH($B154,SINAPI_NOV2020_NDES!$A$7:$A$6790,0),3),(INDEX(COMPOS!$A$4:$G$5000,MATCH($B154,COMPOS!$A$4:$A$5000,0),3))))</f>
        <v>UN</v>
      </c>
      <c r="E154" s="362">
        <v>14</v>
      </c>
      <c r="F154" s="279">
        <f>(IF($A154="SINAPI",INDEX(SINAPI_NOV2020_NDES!$A$7:$H$6703,MATCH($B154,SINAPI_NOV2020_NDES!$A$7:$A$6703,0),5),(INDEX(COMPOS!$A$4:$G$801,MATCH($B154,COMPOS!$A$4:A$801,0),4))))</f>
        <v>4.2</v>
      </c>
      <c r="G154" s="280">
        <f>(IF($A154="SINAPI",INDEX(SINAPI_NOV2020_NDES!$A$7:$H$6703,MATCH($B154,SINAPI_NOV2020_NDES!$A$7:$A$6703,0),6),(INDEX(COMPOS!$A$4:$G$801,MATCH($B154,COMPOS!$A$4:A$801,0),5))))</f>
        <v>12.77</v>
      </c>
      <c r="H154" s="280">
        <f>(IF($A154="SINAPI",INDEX(SINAPI_NOV2020_NDES!$A$7:$H$6703,MATCH($B154,SINAPI_NOV2020_NDES!$A$7:$A$6703,0),7),(INDEX(COMPOS!$A$4:$G$801,MATCH($B154,COMPOS!$A$4:A$801,0),6))))</f>
        <v>0</v>
      </c>
      <c r="I154" s="279">
        <f t="shared" si="19"/>
        <v>16.97</v>
      </c>
      <c r="J154" s="276">
        <f t="shared" si="20"/>
        <v>237.57999999999998</v>
      </c>
    </row>
    <row r="155" spans="1:10" s="41" customFormat="1" ht="24">
      <c r="A155" s="252" t="s">
        <v>7</v>
      </c>
      <c r="B155" s="293">
        <v>89628</v>
      </c>
      <c r="C155" s="301" t="str">
        <f>(IF($A155="SINAPI",INDEX(SINAPI_NOV2020_NDES!$A$7:$H$6703,MATCH($B155,SINAPI_NOV2020_NDES!$A$7:$A$6703,0),2),IF($A155="GOINFRA",INDEX(#REF!,MATCH($B155,#REF!,0),2),(INDEX(COMPOS!$A$4:$G$390,MATCH($B155,COMPOS!$A$4:A$390,0),2)))))</f>
        <v>TE, PVC, SOLDÁVEL, DN 60MM, INSTALADO EM PRUMADA DE ÁGUA - FORNECIMENTO E INSTALAÇÃO. AF_12/2014</v>
      </c>
      <c r="D155" s="274" t="str">
        <f>(IF($A155="SINAPI",INDEX(SINAPI_NOV2020_NDES!$A$7:$H$6790,MATCH($B155,SINAPI_NOV2020_NDES!$A$7:$A$6790,0),3),(INDEX(COMPOS!$A$4:$G$5000,MATCH($B155,COMPOS!$A$4:$A$5000,0),3))))</f>
        <v>UN</v>
      </c>
      <c r="E155" s="362">
        <v>5</v>
      </c>
      <c r="F155" s="279">
        <f>(IF($A155="SINAPI",INDEX(SINAPI_NOV2020_NDES!$A$7:$H$6703,MATCH($B155,SINAPI_NOV2020_NDES!$A$7:$A$6703,0),5),(INDEX(COMPOS!$A$4:$G$801,MATCH($B155,COMPOS!$A$4:A$801,0),4))))</f>
        <v>4.9400000000000004</v>
      </c>
      <c r="G155" s="280">
        <f>(IF($A155="SINAPI",INDEX(SINAPI_NOV2020_NDES!$A$7:$H$6703,MATCH($B155,SINAPI_NOV2020_NDES!$A$7:$A$6703,0),6),(INDEX(COMPOS!$A$4:$G$801,MATCH($B155,COMPOS!$A$4:A$801,0),5))))</f>
        <v>30.48</v>
      </c>
      <c r="H155" s="280">
        <f>(IF($A155="SINAPI",INDEX(SINAPI_NOV2020_NDES!$A$7:$H$6703,MATCH($B155,SINAPI_NOV2020_NDES!$A$7:$A$6703,0),7),(INDEX(COMPOS!$A$4:$G$801,MATCH($B155,COMPOS!$A$4:A$801,0),6))))</f>
        <v>0</v>
      </c>
      <c r="I155" s="279">
        <f t="shared" si="19"/>
        <v>35.42</v>
      </c>
      <c r="J155" s="276">
        <f t="shared" si="20"/>
        <v>177.10000000000002</v>
      </c>
    </row>
    <row r="156" spans="1:10" s="41" customFormat="1" ht="24">
      <c r="A156" s="252" t="s">
        <v>7</v>
      </c>
      <c r="B156" s="293">
        <v>89627</v>
      </c>
      <c r="C156" s="301" t="str">
        <f>(IF($A156="SINAPI",INDEX(SINAPI_NOV2020_NDES!$A$7:$H$6703,MATCH($B156,SINAPI_NOV2020_NDES!$A$7:$A$6703,0),2),IF($A156="GOINFRA",INDEX(#REF!,MATCH($B156,#REF!,0),2),(INDEX(COMPOS!$A$4:$G$390,MATCH($B156,COMPOS!$A$4:A$390,0),2)))))</f>
        <v>TÊ DE REDUÇÃO, PVC, SOLDÁVEL, DN 50MM X 25MM, INSTALADO EM PRUMADA DE ÁGUA - FORNECIMENTO E INSTALAÇÃO. AF_12/2014</v>
      </c>
      <c r="D156" s="274" t="str">
        <f>(IF($A156="SINAPI",INDEX(SINAPI_NOV2020_NDES!$A$7:$H$6790,MATCH($B156,SINAPI_NOV2020_NDES!$A$7:$A$6790,0),3),(INDEX(COMPOS!$A$4:$G$5000,MATCH($B156,COMPOS!$A$4:$A$5000,0),3))))</f>
        <v>UN</v>
      </c>
      <c r="E156" s="362">
        <v>10</v>
      </c>
      <c r="F156" s="279">
        <f>(IF($A156="SINAPI",INDEX(SINAPI_NOV2020_NDES!$A$7:$H$6703,MATCH($B156,SINAPI_NOV2020_NDES!$A$7:$A$6703,0),5),(INDEX(COMPOS!$A$4:$G$801,MATCH($B156,COMPOS!$A$4:A$801,0),4))))</f>
        <v>4.2</v>
      </c>
      <c r="G156" s="280">
        <f>(IF($A156="SINAPI",INDEX(SINAPI_NOV2020_NDES!$A$7:$H$6703,MATCH($B156,SINAPI_NOV2020_NDES!$A$7:$A$6703,0),6),(INDEX(COMPOS!$A$4:$G$801,MATCH($B156,COMPOS!$A$4:A$801,0),5))))</f>
        <v>11.83</v>
      </c>
      <c r="H156" s="280">
        <f>(IF($A156="SINAPI",INDEX(SINAPI_NOV2020_NDES!$A$7:$H$6703,MATCH($B156,SINAPI_NOV2020_NDES!$A$7:$A$6703,0),7),(INDEX(COMPOS!$A$4:$G$801,MATCH($B156,COMPOS!$A$4:A$801,0),6))))</f>
        <v>0</v>
      </c>
      <c r="I156" s="279">
        <f t="shared" si="19"/>
        <v>16.03</v>
      </c>
      <c r="J156" s="276">
        <f t="shared" si="20"/>
        <v>160.30000000000001</v>
      </c>
    </row>
    <row r="157" spans="1:10" s="41" customFormat="1" ht="36">
      <c r="A157" s="252" t="s">
        <v>7</v>
      </c>
      <c r="B157" s="293">
        <v>90373</v>
      </c>
      <c r="C157" s="301" t="str">
        <f>(IF($A157="SINAPI",INDEX(SINAPI_NOV2020_NDES!$A$7:$H$6703,MATCH($B157,SINAPI_NOV2020_NDES!$A$7:$A$6703,0),2),IF($A157="GOINFRA",INDEX(#REF!,MATCH($B157,#REF!,0),2),(INDEX(COMPOS!$A$4:$G$390,MATCH($B157,COMPOS!$A$4:A$390,0),2)))))</f>
        <v>JOELHO 90 GRAUS COM BUCHA DE LATÃO, PVC, SOLDÁVEL, DN 25MM, X 1/2 INSTALADO EM RAMAL OU SUB-RAMAL DE ÁGUA - FORNECIMENTO E INSTALAÇÃO. AF_12/2014</v>
      </c>
      <c r="D157" s="274" t="str">
        <f>(IF($A157="SINAPI",INDEX(SINAPI_NOV2020_NDES!$A$7:$H$6790,MATCH($B157,SINAPI_NOV2020_NDES!$A$7:$A$6790,0),3),(INDEX(COMPOS!$A$4:$G$5000,MATCH($B157,COMPOS!$A$4:$A$5000,0),3))))</f>
        <v>UN</v>
      </c>
      <c r="E157" s="362">
        <v>20</v>
      </c>
      <c r="F157" s="279">
        <f>(IF($A157="SINAPI",INDEX(SINAPI_NOV2020_NDES!$A$7:$H$6703,MATCH($B157,SINAPI_NOV2020_NDES!$A$7:$A$6703,0),5),(INDEX(COMPOS!$A$4:$G$801,MATCH($B157,COMPOS!$A$4:A$801,0),4))))</f>
        <v>4.38</v>
      </c>
      <c r="G157" s="280">
        <f>(IF($A157="SINAPI",INDEX(SINAPI_NOV2020_NDES!$A$7:$H$6703,MATCH($B157,SINAPI_NOV2020_NDES!$A$7:$A$6703,0),6),(INDEX(COMPOS!$A$4:$G$801,MATCH($B157,COMPOS!$A$4:A$801,0),5))))</f>
        <v>7.12</v>
      </c>
      <c r="H157" s="280">
        <f>(IF($A157="SINAPI",INDEX(SINAPI_NOV2020_NDES!$A$7:$H$6703,MATCH($B157,SINAPI_NOV2020_NDES!$A$7:$A$6703,0),7),(INDEX(COMPOS!$A$4:$G$801,MATCH($B157,COMPOS!$A$4:A$801,0),6))))</f>
        <v>0</v>
      </c>
      <c r="I157" s="279">
        <f t="shared" si="19"/>
        <v>11.5</v>
      </c>
      <c r="J157" s="276">
        <f t="shared" si="20"/>
        <v>230</v>
      </c>
    </row>
    <row r="158" spans="1:10" s="41" customFormat="1" ht="12">
      <c r="A158" s="252" t="s">
        <v>6307</v>
      </c>
      <c r="B158" s="293">
        <v>41</v>
      </c>
      <c r="C158" s="301" t="str">
        <f>(IF($A158="SINAPI",INDEX(SINAPI_NOV2020_NDES!$A$7:$H$6703,MATCH($B158,SINAPI_NOV2020_NDES!$A$7:$A$6703,0),2),IF($A158="GOINFRA",INDEX(#REF!,MATCH($B158,#REF!,0),2),(INDEX(COMPOS!$A$4:$G$390,MATCH($B158,COMPOS!$A$4:A$390,0),2)))))</f>
        <v>CAIXA DE PASSAGEM 70X70X80 CM FUNDO DE BRITA SEM TAMPA</v>
      </c>
      <c r="D158" s="274" t="str">
        <f>(IF($A158="SINAPI",INDEX(SINAPI_NOV2020_NDES!$A$7:$H$6790,MATCH($B158,SINAPI_NOV2020_NDES!$A$7:$A$6790,0),3),(INDEX(COMPOS!$A$4:$G$5000,MATCH($B158,COMPOS!$A$4:$A$5000,0),3))))</f>
        <v>UN</v>
      </c>
      <c r="E158" s="362">
        <v>2</v>
      </c>
      <c r="F158" s="279">
        <f>(IF($A158="SINAPI",INDEX(SINAPI_NOV2020_NDES!$A$7:$H$6703,MATCH($B158,SINAPI_NOV2020_NDES!$A$7:$A$6703,0),5),(INDEX(COMPOS!$A$4:$G$801,MATCH($B158,COMPOS!$A$4:A$801,0),4))))</f>
        <v>308.72905900000001</v>
      </c>
      <c r="G158" s="280">
        <f>(IF($A158="SINAPI",INDEX(SINAPI_NOV2020_NDES!$A$7:$H$6703,MATCH($B158,SINAPI_NOV2020_NDES!$A$7:$A$6703,0),6),(INDEX(COMPOS!$A$4:$G$801,MATCH($B158,COMPOS!$A$4:A$801,0),5))))</f>
        <v>181.59303067598</v>
      </c>
      <c r="H158" s="280">
        <f>(IF($A158="SINAPI",INDEX(SINAPI_NOV2020_NDES!$A$7:$H$6703,MATCH($B158,SINAPI_NOV2020_NDES!$A$7:$A$6703,0),7),(INDEX(COMPOS!$A$4:$G$801,MATCH($B158,COMPOS!$A$4:A$801,0),6))))</f>
        <v>0</v>
      </c>
      <c r="I158" s="279">
        <f>SUM(F158:H158)</f>
        <v>490.32208967598001</v>
      </c>
      <c r="J158" s="276">
        <f>+I158*E158</f>
        <v>980.64417935196002</v>
      </c>
    </row>
    <row r="159" spans="1:10" s="41" customFormat="1" ht="12">
      <c r="A159" s="252" t="s">
        <v>6307</v>
      </c>
      <c r="B159" s="293">
        <v>787</v>
      </c>
      <c r="C159" s="301" t="str">
        <f>(IF($A159="SINAPI",INDEX(SINAPI_NOV2020_NDES!$A$7:$H$6703,MATCH($B159,SINAPI_NOV2020_NDES!$A$7:$A$6703,0),2),IF($A159="GOINFRA",INDEX(#REF!,MATCH($B159,#REF!,0),2),(INDEX(COMPOS!$A$4:$G$390,MATCH($B159,COMPOS!$A$4:A$390,0),2)))))</f>
        <v>ACABAMENTO PARA VÁLVULA DE DESCARGA</v>
      </c>
      <c r="D159" s="274" t="str">
        <f>(IF($A159="SINAPI",INDEX(SINAPI_NOV2020_NDES!$A$7:$H$6790,MATCH($B159,SINAPI_NOV2020_NDES!$A$7:$A$6790,0),3),(INDEX(COMPOS!$A$4:$G$5000,MATCH($B159,COMPOS!$A$4:$A$5000,0),3))))</f>
        <v>UN</v>
      </c>
      <c r="E159" s="362">
        <v>2</v>
      </c>
      <c r="F159" s="279">
        <f>(IF($A159="SINAPI",INDEX(SINAPI_NOV2020_NDES!$A$7:$H$6703,MATCH($B159,SINAPI_NOV2020_NDES!$A$7:$A$6703,0),5),(INDEX(COMPOS!$A$4:$G$801,MATCH($B159,COMPOS!$A$4:A$801,0),4))))</f>
        <v>2.9952000000000001</v>
      </c>
      <c r="G159" s="280">
        <f>(IF($A159="SINAPI",INDEX(SINAPI_NOV2020_NDES!$A$7:$H$6703,MATCH($B159,SINAPI_NOV2020_NDES!$A$7:$A$6703,0),6),(INDEX(COMPOS!$A$4:$G$801,MATCH($B159,COMPOS!$A$4:A$801,0),5))))</f>
        <v>64.320000000000007</v>
      </c>
      <c r="H159" s="280">
        <f>(IF($A159="SINAPI",INDEX(SINAPI_NOV2020_NDES!$A$7:$H$6703,MATCH($B159,SINAPI_NOV2020_NDES!$A$7:$A$6703,0),7),(INDEX(COMPOS!$A$4:$G$801,MATCH($B159,COMPOS!$A$4:A$801,0),6))))</f>
        <v>0</v>
      </c>
      <c r="I159" s="279">
        <f>SUM(F159:H159)</f>
        <v>67.315200000000004</v>
      </c>
      <c r="J159" s="276">
        <f>+I159*E159</f>
        <v>134.63040000000001</v>
      </c>
    </row>
    <row r="160" spans="1:10" s="41" customFormat="1" ht="12">
      <c r="A160" s="252" t="s">
        <v>6307</v>
      </c>
      <c r="B160" s="293">
        <v>380</v>
      </c>
      <c r="C160" s="301" t="str">
        <f>(IF($A160="SINAPI",INDEX(SINAPI_NOV2020_NDES!$A$7:$H$6703,MATCH($B160,SINAPI_NOV2020_NDES!$A$7:$A$6703,0),2),IF($A160="GOINFRA",INDEX(#REF!,MATCH($B160,#REF!,0),2),(INDEX(COMPOS!$A$4:$G$390,MATCH($B160,COMPOS!$A$4:A$390,0),2)))))</f>
        <v>ALARME SONORO LINHA ACESSIBILIDADE</v>
      </c>
      <c r="D160" s="274" t="str">
        <f>(IF($A160="SINAPI",INDEX(SINAPI_NOV2020_NDES!$A$7:$H$6790,MATCH($B160,SINAPI_NOV2020_NDES!$A$7:$A$6790,0),3),(INDEX(COMPOS!$A$4:$G$5000,MATCH($B160,COMPOS!$A$4:$A$5000,0),3))))</f>
        <v>UN</v>
      </c>
      <c r="E160" s="362">
        <v>2</v>
      </c>
      <c r="F160" s="279">
        <f>(IF($A160="SINAPI",INDEX(SINAPI_NOV2020_NDES!$A$7:$H$6703,MATCH($B160,SINAPI_NOV2020_NDES!$A$7:$A$6703,0),5),(INDEX(COMPOS!$A$4:$G$801,MATCH($B160,COMPOS!$A$4:A$801,0),4))))</f>
        <v>8.1122999999999994</v>
      </c>
      <c r="G160" s="280">
        <f>(IF($A160="SINAPI",INDEX(SINAPI_NOV2020_NDES!$A$7:$H$6703,MATCH($B160,SINAPI_NOV2020_NDES!$A$7:$A$6703,0),6),(INDEX(COMPOS!$A$4:$G$801,MATCH($B160,COMPOS!$A$4:A$801,0),5))))</f>
        <v>146.63</v>
      </c>
      <c r="H160" s="280">
        <f>(IF($A160="SINAPI",INDEX(SINAPI_NOV2020_NDES!$A$7:$H$6703,MATCH($B160,SINAPI_NOV2020_NDES!$A$7:$A$6703,0),7),(INDEX(COMPOS!$A$4:$G$801,MATCH($B160,COMPOS!$A$4:A$801,0),6))))</f>
        <v>0</v>
      </c>
      <c r="I160" s="279">
        <f>SUM(F160:H160)</f>
        <v>154.7423</v>
      </c>
      <c r="J160" s="276">
        <f>+I160*E160</f>
        <v>309.4846</v>
      </c>
    </row>
    <row r="161" spans="1:16" s="41" customFormat="1" ht="24">
      <c r="A161" s="252" t="s">
        <v>7</v>
      </c>
      <c r="B161" s="293">
        <v>100875</v>
      </c>
      <c r="C161" s="301" t="str">
        <f>(IF($A161="SINAPI",INDEX(SINAPI_NOV2020_NDES!$A$7:$H$6703,MATCH($B161,SINAPI_NOV2020_NDES!$A$7:$A$6703,0),2),IF($A161="GOINFRA",INDEX(#REF!,MATCH($B161,#REF!,0),2),(INDEX(COMPOS!$A$4:$G$390,MATCH($B161,COMPOS!$A$4:A$390,0),2)))))</f>
        <v>BANCO ARTICULADO, EM ACO INOX, PARA PCD, FIXADO NA PAREDE - FORNECIMENTO E INSTALAÇÃO. AF_01/2020</v>
      </c>
      <c r="D161" s="274" t="str">
        <f>(IF($A161="SINAPI",INDEX(SINAPI_NOV2020_NDES!$A$7:$H$6790,MATCH($B161,SINAPI_NOV2020_NDES!$A$7:$A$6790,0),3),(INDEX(COMPOS!$A$4:$G$5000,MATCH($B161,COMPOS!$A$4:$A$5000,0),3))))</f>
        <v>UN</v>
      </c>
      <c r="E161" s="362">
        <v>2</v>
      </c>
      <c r="F161" s="279">
        <f>(IF($A161="SINAPI",INDEX(SINAPI_NOV2020_NDES!$A$7:$H$6703,MATCH($B161,SINAPI_NOV2020_NDES!$A$7:$A$6703,0),5),(INDEX(COMPOS!$A$4:$G$801,MATCH($B161,COMPOS!$A$4:A$801,0),4))))</f>
        <v>25.82</v>
      </c>
      <c r="G161" s="280">
        <f>(IF($A161="SINAPI",INDEX(SINAPI_NOV2020_NDES!$A$7:$H$6703,MATCH($B161,SINAPI_NOV2020_NDES!$A$7:$A$6703,0),6),(INDEX(COMPOS!$A$4:$G$801,MATCH($B161,COMPOS!$A$4:A$801,0),5))))</f>
        <v>763.68</v>
      </c>
      <c r="H161" s="280">
        <f>(IF($A161="SINAPI",INDEX(SINAPI_NOV2020_NDES!$A$7:$H$6703,MATCH($B161,SINAPI_NOV2020_NDES!$A$7:$A$6703,0),7),(INDEX(COMPOS!$A$4:$G$801,MATCH($B161,COMPOS!$A$4:A$801,0),6))))</f>
        <v>0</v>
      </c>
      <c r="I161" s="279">
        <f t="shared" si="19"/>
        <v>789.5</v>
      </c>
      <c r="J161" s="276">
        <f t="shared" si="20"/>
        <v>1579</v>
      </c>
    </row>
    <row r="162" spans="1:16" s="41" customFormat="1" ht="12">
      <c r="A162" s="252" t="s">
        <v>6307</v>
      </c>
      <c r="B162" s="293">
        <v>412</v>
      </c>
      <c r="C162" s="301" t="str">
        <f>(IF($A162="SINAPI",INDEX(SINAPI_NOV2020_NDES!$A$7:$H$6703,MATCH($B162,SINAPI_NOV2020_NDES!$A$7:$A$6703,0),2),IF($A162="GOINFRA",INDEX(#REF!,MATCH($B162,#REF!,0),2),(INDEX(COMPOS!$A$4:$G$3900,MATCH($B162,COMPOS!$A$4:A$3900,0),2)))))</f>
        <v>GRELHA QUADRADA BRANCA DIAM. 150 MM</v>
      </c>
      <c r="D162" s="274" t="str">
        <f>(IF($A162="SINAPI",INDEX(SINAPI_NOV2020_NDES!$A$7:$H$6790,MATCH($B162,SINAPI_NOV2020_NDES!$A$7:$A$6790,0),3),(INDEX(COMPOS!$A$4:$G$5000,MATCH($B162,COMPOS!$A$4:$A$5000,0),3))))</f>
        <v>UN</v>
      </c>
      <c r="E162" s="362">
        <v>60</v>
      </c>
      <c r="F162" s="279">
        <f>(IF($A162="SINAPI",INDEX(SINAPI_NOV2020_NDES!$A$7:$H$6703,MATCH($B162,SINAPI_NOV2020_NDES!$A$7:$A$6703,0),5),(INDEX(COMPOS!$A$4:$G$801,MATCH($B162,COMPOS!$A$4:A$801,0),4))))</f>
        <v>2.9952000000000001</v>
      </c>
      <c r="G162" s="280">
        <f>(IF($A162="SINAPI",INDEX(SINAPI_NOV2020_NDES!$A$7:$H$6703,MATCH($B162,SINAPI_NOV2020_NDES!$A$7:$A$6703,0),6),(INDEX(COMPOS!$A$4:$G$801,MATCH($B162,COMPOS!$A$4:A$801,0),5))))</f>
        <v>3.64</v>
      </c>
      <c r="H162" s="280">
        <f>(IF($A162="SINAPI",INDEX(SINAPI_NOV2020_NDES!$A$7:$H$6703,MATCH($B162,SINAPI_NOV2020_NDES!$A$7:$A$6703,0),7),(INDEX(COMPOS!$A$4:$G$801,MATCH($B162,COMPOS!$A$4:A$801,0),6))))</f>
        <v>0</v>
      </c>
      <c r="I162" s="279">
        <f>SUM(F162:H162)</f>
        <v>6.6352000000000002</v>
      </c>
      <c r="J162" s="276">
        <f>+I162*E162</f>
        <v>398.11200000000002</v>
      </c>
    </row>
    <row r="163" spans="1:16" s="41" customFormat="1" ht="12">
      <c r="A163" s="252" t="s">
        <v>6307</v>
      </c>
      <c r="B163" s="293">
        <v>379</v>
      </c>
      <c r="C163" s="301" t="str">
        <f>(IF($A163="SINAPI",INDEX(SINAPI_NOV2020_NDES!$A$7:$H$6703,MATCH($B163,SINAPI_NOV2020_NDES!$A$7:$A$6703,0),2),IF($A163="GOINFRA",INDEX(#REF!,MATCH($B163,#REF!,0),2),(INDEX(COMPOS!$A$4:$G$390,MATCH($B163,COMPOS!$A$4:A$390,0),2)))))</f>
        <v>PORTA GRELHA QUADRADA PVC CROMADO, DIAM. 150MM</v>
      </c>
      <c r="D163" s="274" t="str">
        <f>(IF($A163="SINAPI",INDEX(SINAPI_NOV2020_NDES!$A$7:$H$6790,MATCH($B163,SINAPI_NOV2020_NDES!$A$7:$A$6790,0),3),(INDEX(COMPOS!$A$4:$G$5000,MATCH($B163,COMPOS!$A$4:$A$5000,0),3))))</f>
        <v>UN</v>
      </c>
      <c r="E163" s="362">
        <v>60</v>
      </c>
      <c r="F163" s="279">
        <f>(IF($A163="SINAPI",INDEX(SINAPI_NOV2020_NDES!$A$7:$H$6703,MATCH($B163,SINAPI_NOV2020_NDES!$A$7:$A$6703,0),5),(INDEX(COMPOS!$A$4:$G$801,MATCH($B163,COMPOS!$A$4:A$801,0),4))))</f>
        <v>3.7440000000000002</v>
      </c>
      <c r="G163" s="280">
        <f>(IF($A163="SINAPI",INDEX(SINAPI_NOV2020_NDES!$A$7:$H$6703,MATCH($B163,SINAPI_NOV2020_NDES!$A$7:$A$6703,0),6),(INDEX(COMPOS!$A$4:$G$801,MATCH($B163,COMPOS!$A$4:A$801,0),5))))</f>
        <v>6.36</v>
      </c>
      <c r="H163" s="280">
        <f>(IF($A163="SINAPI",INDEX(SINAPI_NOV2020_NDES!$A$7:$H$6703,MATCH($B163,SINAPI_NOV2020_NDES!$A$7:$A$6703,0),7),(INDEX(COMPOS!$A$4:$G$801,MATCH($B163,COMPOS!$A$4:A$801,0),6))))</f>
        <v>0</v>
      </c>
      <c r="I163" s="279">
        <f>SUM(F163:H163)</f>
        <v>10.104000000000001</v>
      </c>
      <c r="J163" s="276">
        <f>+I163*E163</f>
        <v>606.24</v>
      </c>
    </row>
    <row r="164" spans="1:16" s="88" customFormat="1" ht="24" customHeight="1">
      <c r="A164" s="680" t="s">
        <v>6927</v>
      </c>
      <c r="B164" s="680"/>
      <c r="C164" s="680"/>
      <c r="D164" s="680"/>
      <c r="E164" s="680"/>
      <c r="F164" s="680"/>
      <c r="G164" s="680"/>
      <c r="H164" s="680"/>
      <c r="I164" s="680"/>
      <c r="J164" s="281">
        <f>SUM(J117:J163)</f>
        <v>43436.494302685307</v>
      </c>
      <c r="K164" s="41"/>
      <c r="L164" s="41"/>
      <c r="M164" s="41"/>
      <c r="N164" s="41"/>
      <c r="O164" s="41"/>
      <c r="P164" s="41"/>
    </row>
    <row r="165" spans="1:16" s="41" customFormat="1" ht="12">
      <c r="A165" s="251"/>
      <c r="B165" s="299">
        <v>172</v>
      </c>
      <c r="C165" s="338" t="s">
        <v>602</v>
      </c>
      <c r="D165" s="305"/>
      <c r="E165" s="279"/>
      <c r="F165" s="275"/>
      <c r="G165" s="275"/>
      <c r="H165" s="275"/>
      <c r="I165" s="275"/>
      <c r="J165" s="275"/>
    </row>
    <row r="166" spans="1:16" s="41" customFormat="1" ht="36">
      <c r="A166" s="252" t="s">
        <v>7</v>
      </c>
      <c r="B166" s="293">
        <v>87454</v>
      </c>
      <c r="C166" s="301" t="str">
        <f>(IF($A166="SINAPI",INDEX(SINAPI_NOV2020_NDES!$A$7:$H$6703,MATCH($B166,SINAPI_NOV2020_NDES!$A$7:$A$6703,0),2),IF($A166="GOINFRA",INDEX(#REF!,MATCH($B166,#REF!,0),2),(INDEX(COMPOS!$A$4:$G$390,MATCH($B166,COMPOS!$A$4:A$390,0),2)))))</f>
        <v>ALVENARIA DE VEDAÇÃO DE BLOCOS VAZADOS DE CONCRETO DE 9X19X39CM (ESPESSURA 9CM) DE PAREDES COM ÁREA LÍQUIDA MAIOR OU IGUAL A 6M² SEM VÃOS E ARGAMASSA DE ASSENTAMENTO COM PREPARO MANUAL. AF_06/2014</v>
      </c>
      <c r="D166" s="274" t="str">
        <f>(IF($A166="SINAPI",INDEX(SINAPI_NOV2020_NDES!$A$7:$H$6790,MATCH($B166,SINAPI_NOV2020_NDES!$A$7:$A$6790,0),3),(INDEX(COMPOS!$A$4:$G$5000,MATCH($B166,COMPOS!$A$4:$A$5000,0),3))))</f>
        <v>M2</v>
      </c>
      <c r="E166" s="362">
        <f>1.8*4.3*2+177.66</f>
        <v>193.14</v>
      </c>
      <c r="F166" s="279">
        <f>(IF($A166="SINAPI",INDEX(SINAPI_NOV2020_NDES!$A$7:$H$6703,MATCH($B166,SINAPI_NOV2020_NDES!$A$7:$A$6703,0),5),(INDEX(COMPOS!$A$4:$G$801,MATCH($B166,COMPOS!$A$4:A$801,0),4))))</f>
        <v>14.95</v>
      </c>
      <c r="G166" s="280">
        <f>(IF($A166="SINAPI",INDEX(SINAPI_NOV2020_NDES!$A$7:$H$6703,MATCH($B166,SINAPI_NOV2020_NDES!$A$7:$A$6703,0),6),(INDEX(COMPOS!$A$4:$G$801,MATCH($B166,COMPOS!$A$4:A$801,0),5))))</f>
        <v>33.700000000000003</v>
      </c>
      <c r="H166" s="280">
        <f>(IF($A166="SINAPI",INDEX(SINAPI_NOV2020_NDES!$A$7:$H$6703,MATCH($B166,SINAPI_NOV2020_NDES!$A$7:$A$6703,0),7),(INDEX(COMPOS!$A$4:$G$801,MATCH($B166,COMPOS!$A$4:A$801,0),6))))</f>
        <v>0</v>
      </c>
      <c r="I166" s="279">
        <f t="shared" ref="I166" si="21">SUM(F166:H166)</f>
        <v>48.650000000000006</v>
      </c>
      <c r="J166" s="276">
        <f t="shared" ref="J166" si="22">+I166*E166</f>
        <v>9396.2610000000004</v>
      </c>
    </row>
    <row r="167" spans="1:16" s="41" customFormat="1" ht="48">
      <c r="A167" s="252" t="s">
        <v>7</v>
      </c>
      <c r="B167" s="293">
        <v>87503</v>
      </c>
      <c r="C167" s="301" t="str">
        <f>(IF($A167="SINAPI",INDEX(SINAPI_NOV2020_NDES!$A$7:$H$6703,MATCH($B167,SINAPI_NOV2020_NDES!$A$7:$A$6703,0),2),IF($A167="GOINFRA",INDEX(#REF!,MATCH($B167,#REF!,0),2),(INDEX(COMPOS!$A$4:$G$390,MATCH($B167,COMPOS!$A$4:A$390,0),2)))))</f>
        <v>ALVENARIA DE VEDAÇÃO DE BLOCOS CERÂMICOS FURADOS NA HORIZONTAL DE 9X19X19CM (ESPESSURA 9CM) DE PAREDES COM ÁREA LÍQUIDA MAIOR OU IGUAL A 6M² SEM VÃOS E ARGAMASSA DE ASSENTAMENTO COM PREPARO EM BETONEIRA. AF_06/2014</v>
      </c>
      <c r="D167" s="274" t="str">
        <f>(IF($A167="SINAPI",INDEX(SINAPI_NOV2020_NDES!$A$7:$H$6790,MATCH($B167,SINAPI_NOV2020_NDES!$A$7:$A$6790,0),3),(INDEX(COMPOS!$A$4:$G$5000,MATCH($B167,COMPOS!$A$4:$A$5000,0),3))))</f>
        <v>M2</v>
      </c>
      <c r="E167" s="362">
        <f>34.5*0.19+0.75*0.8*4+9.89</f>
        <v>18.844999999999999</v>
      </c>
      <c r="F167" s="279">
        <f>(IF($A167="SINAPI",INDEX(SINAPI_NOV2020_NDES!$A$7:$H$6703,MATCH($B167,SINAPI_NOV2020_NDES!$A$7:$A$6703,0),5),(INDEX(COMPOS!$A$4:$G$801,MATCH($B167,COMPOS!$A$4:A$801,0),4))))</f>
        <v>31.67</v>
      </c>
      <c r="G167" s="280">
        <f>(IF($A167="SINAPI",INDEX(SINAPI_NOV2020_NDES!$A$7:$H$6703,MATCH($B167,SINAPI_NOV2020_NDES!$A$7:$A$6703,0),6),(INDEX(COMPOS!$A$4:$G$801,MATCH($B167,COMPOS!$A$4:A$801,0),5))))</f>
        <v>32.130000000000003</v>
      </c>
      <c r="H167" s="280">
        <f>(IF($A167="SINAPI",INDEX(SINAPI_NOV2020_NDES!$A$7:$H$6703,MATCH($B167,SINAPI_NOV2020_NDES!$A$7:$A$6703,0),7),(INDEX(COMPOS!$A$4:$G$801,MATCH($B167,COMPOS!$A$4:A$801,0),6))))</f>
        <v>0</v>
      </c>
      <c r="I167" s="279">
        <f t="shared" ref="I167" si="23">SUM(F167:H167)</f>
        <v>63.800000000000004</v>
      </c>
      <c r="J167" s="276">
        <f t="shared" ref="J167" si="24">+I167*E167</f>
        <v>1202.3109999999999</v>
      </c>
    </row>
    <row r="168" spans="1:16" s="41" customFormat="1" ht="36">
      <c r="A168" s="252" t="s">
        <v>6307</v>
      </c>
      <c r="B168" s="293">
        <v>577</v>
      </c>
      <c r="C168" s="301" t="str">
        <f>(IF($A168="SINAPI",INDEX(SINAPI_NOV2020_NDES!$A$7:$H$6703,MATCH($B168,SINAPI_NOV2020_NDES!$A$7:$A$6703,0),2),IF($A168="GOINFRA",INDEX(#REF!,MATCH($B168,#REF!,0),2),(INDEX(COMPOS!$A$4:$G$3900,MATCH($B168,COMPOS!$A$4:A$3900,0),2)))))</f>
        <v>ALVENARIA DE CANALETA DE CONCRETO PREENCHIDO DE 9X19X19CM (ESPESSURA 9CM) DE PAREDES COM PREPARO EM BETONEIRA (CONCRETO FCK-20MPA)</v>
      </c>
      <c r="D168" s="274" t="str">
        <f>(IF($A168="SINAPI",INDEX(SINAPI_NOV2020_NDES!$A$7:$H$6790,MATCH($B168,SINAPI_NOV2020_NDES!$A$7:$A$6790,0),3),(INDEX(COMPOS!$A$4:$G$5000,MATCH($B168,COMPOS!$A$4:$A$5000,0),3))))</f>
        <v>M2</v>
      </c>
      <c r="E168" s="362">
        <v>13</v>
      </c>
      <c r="F168" s="279">
        <f>(IF($A168="SINAPI",INDEX(SINAPI_NOV2020_NDES!$A$7:$H$6703,MATCH($B168,SINAPI_NOV2020_NDES!$A$7:$A$6703,0),5),(INDEX(COMPOS!$A$4:$G$801,MATCH($B168,COMPOS!$A$4:A$801,0),4))))</f>
        <v>27.4408715</v>
      </c>
      <c r="G168" s="280">
        <f>(IF($A168="SINAPI",INDEX(SINAPI_NOV2020_NDES!$A$7:$H$6703,MATCH($B168,SINAPI_NOV2020_NDES!$A$7:$A$6703,0),6),(INDEX(COMPOS!$A$4:$G$801,MATCH($B168,COMPOS!$A$4:A$801,0),5))))</f>
        <v>40.801964999999996</v>
      </c>
      <c r="H168" s="280">
        <f>(IF($A168="SINAPI",INDEX(SINAPI_NOV2020_NDES!$A$7:$H$6703,MATCH($B168,SINAPI_NOV2020_NDES!$A$7:$A$6703,0),7),(INDEX(COMPOS!$A$4:$G$801,MATCH($B168,COMPOS!$A$4:A$801,0),6))))</f>
        <v>0</v>
      </c>
      <c r="I168" s="279">
        <f t="shared" ref="I168" si="25">SUM(F168:H168)</f>
        <v>68.242836499999996</v>
      </c>
      <c r="J168" s="276">
        <f t="shared" ref="J168" si="26">+I168*E168</f>
        <v>887.15687449999996</v>
      </c>
    </row>
    <row r="169" spans="1:16" s="88" customFormat="1" ht="24" customHeight="1">
      <c r="A169" s="680" t="s">
        <v>6927</v>
      </c>
      <c r="B169" s="680"/>
      <c r="C169" s="680"/>
      <c r="D169" s="680"/>
      <c r="E169" s="680"/>
      <c r="F169" s="680"/>
      <c r="G169" s="680"/>
      <c r="H169" s="680"/>
      <c r="I169" s="680"/>
      <c r="J169" s="281">
        <f>SUM(J166:J168)</f>
        <v>11485.728874500001</v>
      </c>
      <c r="K169" s="41"/>
      <c r="L169" s="41"/>
      <c r="M169" s="41"/>
      <c r="N169" s="41"/>
      <c r="O169" s="41"/>
      <c r="P169" s="41"/>
    </row>
    <row r="170" spans="1:16" s="41" customFormat="1" ht="12">
      <c r="A170" s="251"/>
      <c r="B170" s="299">
        <v>174</v>
      </c>
      <c r="C170" s="338" t="s">
        <v>601</v>
      </c>
      <c r="D170" s="274"/>
      <c r="E170" s="279"/>
      <c r="F170" s="275"/>
      <c r="G170" s="275"/>
      <c r="H170" s="275"/>
      <c r="I170" s="275"/>
      <c r="J170" s="275"/>
    </row>
    <row r="171" spans="1:16" s="41" customFormat="1" ht="24">
      <c r="A171" s="252" t="s">
        <v>6307</v>
      </c>
      <c r="B171" s="293">
        <v>340</v>
      </c>
      <c r="C171" s="301" t="str">
        <f>(IF($A171="SINAPI",INDEX(SINAPI_NOV2020_NDES!$A$7:$H$6703,MATCH($B171,SINAPI_NOV2020_NDES!$A$7:$A$6703,0),2),IF($A171="GOINFRA",INDEX(#REF!,MATCH($B171,#REF!,0),2),(INDEX(COMPOS!$A$4:$G$390,MATCH($B171,COMPOS!$A$4:A$390,0),2)))))</f>
        <v>MASTIQUE A BASE DE POLIURETANO COM PRÉVIO PREPARO E TRATAMENTO DA SUPERFÍCIE</v>
      </c>
      <c r="D171" s="274" t="str">
        <f>(IF($A171="SINAPI",INDEX(SINAPI_NOV2020_NDES!$A$7:$H$6790,MATCH($B171,SINAPI_NOV2020_NDES!$A$7:$A$6790,0),3),(INDEX(COMPOS!$A$4:$G$5000,MATCH($B171,COMPOS!$A$4:$A$5000,0),3))))</f>
        <v>CM3</v>
      </c>
      <c r="E171" s="362">
        <v>9600</v>
      </c>
      <c r="F171" s="279">
        <f>(IF($A171="SINAPI",INDEX(SINAPI_NOV2020_NDES!$A$7:$H$6703,MATCH($B171,SINAPI_NOV2020_NDES!$A$7:$A$6703,0),5),(INDEX(COMPOS!$A$4:$G$801,MATCH($B171,COMPOS!$A$4:A$801,0),4))))</f>
        <v>8.6940000000000003E-2</v>
      </c>
      <c r="G171" s="280">
        <f>(IF($A171="SINAPI",INDEX(SINAPI_NOV2020_NDES!$A$7:$H$6703,MATCH($B171,SINAPI_NOV2020_NDES!$A$7:$A$6703,0),6),(INDEX(COMPOS!$A$4:$G$801,MATCH($B171,COMPOS!$A$4:A$801,0),5))))</f>
        <v>8.7484000000000006E-2</v>
      </c>
      <c r="H171" s="280">
        <f>(IF($A171="SINAPI",INDEX(SINAPI_NOV2020_NDES!$A$7:$H$6703,MATCH($B171,SINAPI_NOV2020_NDES!$A$7:$A$6703,0),7),(INDEX(COMPOS!$A$4:$G$801,MATCH($B171,COMPOS!$A$4:A$801,0),6))))</f>
        <v>0</v>
      </c>
      <c r="I171" s="279">
        <f>SUM(F171:H171)</f>
        <v>0.17442400000000002</v>
      </c>
      <c r="J171" s="276">
        <f>+I171*E171</f>
        <v>1674.4704000000002</v>
      </c>
    </row>
    <row r="172" spans="1:16" s="41" customFormat="1" ht="24">
      <c r="A172" s="252" t="s">
        <v>7</v>
      </c>
      <c r="B172" s="293">
        <v>98562</v>
      </c>
      <c r="C172" s="301" t="str">
        <f>(IF($A172="SINAPI",INDEX(SINAPI_NOV2020_NDES!$A$7:$H$6703,MATCH($B172,SINAPI_NOV2020_NDES!$A$7:$A$6703,0),2),IF($A172="GOINFRA",INDEX(#REF!,MATCH($B172,#REF!,0),2),(INDEX(COMPOS!$A$4:$G$390,MATCH($B172,COMPOS!$A$4:A$390,0),2)))))</f>
        <v>IMPERMEABILIZAÇÃO DE FLOREIRA OU VIGA BALDRAME COM ARGAMASSA DE CIMENTO E AREIA, COM ADITIVO IMPERMEABILIZANTE, E = 2 CM. AF_06/2018</v>
      </c>
      <c r="D172" s="274" t="str">
        <f>(IF($A172="SINAPI",INDEX(SINAPI_NOV2020_NDES!$A$7:$H$6790,MATCH($B172,SINAPI_NOV2020_NDES!$A$7:$A$6790,0),3),(INDEX(COMPOS!$A$4:$G$5000,MATCH($B172,COMPOS!$A$4:$A$5000,0),3))))</f>
        <v>M2</v>
      </c>
      <c r="E172" s="362">
        <f>18.19*(0.14+0.3+0.3)</f>
        <v>13.460600000000001</v>
      </c>
      <c r="F172" s="279">
        <f>(IF($A172="SINAPI",INDEX(SINAPI_NOV2020_NDES!$A$7:$H$6703,MATCH($B172,SINAPI_NOV2020_NDES!$A$7:$A$6703,0),5),(INDEX(COMPOS!$A$4:$G$801,MATCH($B172,COMPOS!$A$4:A$801,0),4))))</f>
        <v>16.37</v>
      </c>
      <c r="G172" s="280">
        <f>(IF($A172="SINAPI",INDEX(SINAPI_NOV2020_NDES!$A$7:$H$6703,MATCH($B172,SINAPI_NOV2020_NDES!$A$7:$A$6703,0),6),(INDEX(COMPOS!$A$4:$G$801,MATCH($B172,COMPOS!$A$4:A$801,0),5))))</f>
        <v>18.010000000000002</v>
      </c>
      <c r="H172" s="280">
        <f>(IF($A172="SINAPI",INDEX(SINAPI_NOV2020_NDES!$A$7:$H$6703,MATCH($B172,SINAPI_NOV2020_NDES!$A$7:$A$6703,0),7),(INDEX(COMPOS!$A$4:$G$801,MATCH($B172,COMPOS!$A$4:A$801,0),6))))</f>
        <v>0.02</v>
      </c>
      <c r="I172" s="279">
        <f t="shared" ref="I172" si="27">SUM(F172:H172)</f>
        <v>34.400000000000006</v>
      </c>
      <c r="J172" s="276">
        <f t="shared" ref="J172" si="28">+I172*E172</f>
        <v>463.04464000000013</v>
      </c>
    </row>
    <row r="173" spans="1:16" s="41" customFormat="1" ht="12">
      <c r="A173" s="252" t="s">
        <v>6307</v>
      </c>
      <c r="B173" s="293">
        <v>338</v>
      </c>
      <c r="C173" s="301" t="str">
        <f>(IF($A173="SINAPI",INDEX(SINAPI_NOV2020_NDES!$A$7:$H$6703,MATCH($B173,SINAPI_NOV2020_NDES!$A$7:$A$6703,0),2),IF($A173="GOINFRA",INDEX(#REF!,MATCH($B173,#REF!,0),2),(INDEX(COMPOS!$A$4:$G$390,MATCH($B173,COMPOS!$A$4:A$390,0),2)))))</f>
        <v>REGULARIZAÇÃO (1:3), ESP. 2CM</v>
      </c>
      <c r="D173" s="274" t="str">
        <f>(IF($A173="SINAPI",INDEX(SINAPI_NOV2020_NDES!$A$7:$H$6790,MATCH($B173,SINAPI_NOV2020_NDES!$A$7:$A$6790,0),3),(INDEX(COMPOS!$A$4:$G$5000,MATCH($B173,COMPOS!$A$4:$A$5000,0),3))))</f>
        <v>M2</v>
      </c>
      <c r="E173" s="362">
        <f>12.7+0.34</f>
        <v>13.04</v>
      </c>
      <c r="F173" s="279">
        <f>(IF($A173="SINAPI",INDEX(SINAPI_NOV2020_NDES!$A$7:$H$6703,MATCH($B173,SINAPI_NOV2020_NDES!$A$7:$A$6703,0),5),(INDEX(COMPOS!$A$4:$G$801,MATCH($B173,COMPOS!$A$4:A$801,0),4))))</f>
        <v>11.511982</v>
      </c>
      <c r="G173" s="280">
        <f>(IF($A173="SINAPI",INDEX(SINAPI_NOV2020_NDES!$A$7:$H$6703,MATCH($B173,SINAPI_NOV2020_NDES!$A$7:$A$6703,0),6),(INDEX(COMPOS!$A$4:$G$801,MATCH($B173,COMPOS!$A$4:A$801,0),5))))</f>
        <v>8.7818570000000005</v>
      </c>
      <c r="H173" s="280">
        <f>(IF($A173="SINAPI",INDEX(SINAPI_NOV2020_NDES!$A$7:$H$6703,MATCH($B173,SINAPI_NOV2020_NDES!$A$7:$A$6703,0),7),(INDEX(COMPOS!$A$4:$G$801,MATCH($B173,COMPOS!$A$4:A$801,0),6))))</f>
        <v>0</v>
      </c>
      <c r="I173" s="279">
        <f>SUM(F173:H173)</f>
        <v>20.293838999999998</v>
      </c>
      <c r="J173" s="276">
        <f>+I173*E173</f>
        <v>264.63166055999994</v>
      </c>
    </row>
    <row r="174" spans="1:16" s="41" customFormat="1" ht="12">
      <c r="A174" s="252" t="s">
        <v>6307</v>
      </c>
      <c r="B174" s="293">
        <v>339</v>
      </c>
      <c r="C174" s="301" t="str">
        <f>(IF($A174="SINAPI",INDEX(SINAPI_NOV2020_NDES!$A$7:$H$6703,MATCH($B174,SINAPI_NOV2020_NDES!$A$7:$A$6703,0),2),IF($A174="GOINFRA",INDEX(#REF!,MATCH($B174,#REF!,0),2),(INDEX(COMPOS!$A$4:$G$390,MATCH($B174,COMPOS!$A$4:A$390,0),2)))))</f>
        <v>MANTA AUTO-PROTEGIDA ALUMÍNIO TIPO III-B</v>
      </c>
      <c r="D174" s="274" t="str">
        <f>(IF($A174="SINAPI",INDEX(SINAPI_NOV2020_NDES!$A$7:$H$6790,MATCH($B174,SINAPI_NOV2020_NDES!$A$7:$A$6790,0),3),(INDEX(COMPOS!$A$4:$G$5000,MATCH($B174,COMPOS!$A$4:$A$5000,0),3))))</f>
        <v>M2</v>
      </c>
      <c r="E174" s="362">
        <f>12.7+0.34</f>
        <v>13.04</v>
      </c>
      <c r="F174" s="279">
        <f>(IF($A174="SINAPI",INDEX(SINAPI_NOV2020_NDES!$A$7:$H$6703,MATCH($B174,SINAPI_NOV2020_NDES!$A$7:$A$6703,0),5),(INDEX(COMPOS!$A$4:$G$801,MATCH($B174,COMPOS!$A$4:A$801,0),4))))</f>
        <v>24.752519999999997</v>
      </c>
      <c r="G174" s="280">
        <f>(IF($A174="SINAPI",INDEX(SINAPI_NOV2020_NDES!$A$7:$H$6703,MATCH($B174,SINAPI_NOV2020_NDES!$A$7:$A$6703,0),6),(INDEX(COMPOS!$A$4:$G$801,MATCH($B174,COMPOS!$A$4:A$801,0),5))))</f>
        <v>47.200200000000002</v>
      </c>
      <c r="H174" s="280">
        <f>(IF($A174="SINAPI",INDEX(SINAPI_NOV2020_NDES!$A$7:$H$6703,MATCH($B174,SINAPI_NOV2020_NDES!$A$7:$A$6703,0),7),(INDEX(COMPOS!$A$4:$G$801,MATCH($B174,COMPOS!$A$4:A$801,0),6))))</f>
        <v>0</v>
      </c>
      <c r="I174" s="279">
        <f>SUM(F174:H174)</f>
        <v>71.952719999999999</v>
      </c>
      <c r="J174" s="276">
        <f>+I174*E174</f>
        <v>938.26346879999994</v>
      </c>
    </row>
    <row r="175" spans="1:16" s="88" customFormat="1" ht="24" customHeight="1">
      <c r="A175" s="680" t="s">
        <v>6927</v>
      </c>
      <c r="B175" s="680"/>
      <c r="C175" s="680"/>
      <c r="D175" s="680"/>
      <c r="E175" s="680"/>
      <c r="F175" s="680"/>
      <c r="G175" s="680"/>
      <c r="H175" s="680"/>
      <c r="I175" s="680"/>
      <c r="J175" s="281">
        <f>SUM(J171:J174)</f>
        <v>3340.4101693600001</v>
      </c>
      <c r="K175" s="41"/>
      <c r="L175" s="41"/>
      <c r="M175" s="41"/>
      <c r="N175" s="41"/>
      <c r="O175" s="41"/>
      <c r="P175" s="41"/>
    </row>
    <row r="176" spans="1:16" s="41" customFormat="1" ht="12">
      <c r="A176" s="251"/>
      <c r="B176" s="299">
        <v>177</v>
      </c>
      <c r="C176" s="338" t="s">
        <v>598</v>
      </c>
      <c r="D176" s="274"/>
      <c r="E176" s="279"/>
      <c r="F176" s="275"/>
      <c r="G176" s="275"/>
      <c r="H176" s="275"/>
      <c r="I176" s="275"/>
      <c r="J176" s="275"/>
    </row>
    <row r="177" spans="1:16" s="41" customFormat="1" ht="12">
      <c r="A177" s="252" t="s">
        <v>6307</v>
      </c>
      <c r="B177" s="293">
        <v>341</v>
      </c>
      <c r="C177" s="301" t="str">
        <f>(IF($A177="SINAPI",INDEX(SINAPI_NOV2020_NDES!$A$7:$H$6703,MATCH($B177,SINAPI_NOV2020_NDES!$A$7:$A$6703,0),2),IF($A177="GOINFRA",INDEX(#REF!,MATCH($B177,#REF!,0),2),(INDEX(COMPOS!$A$4:$G$390,MATCH($B177,COMPOS!$A$4:A$390,0),2)))))</f>
        <v>ESTRUTURA METÁLICA SAC 300</v>
      </c>
      <c r="D177" s="274" t="str">
        <f>(IF($A177="SINAPI",INDEX(SINAPI_NOV2020_NDES!$A$7:$H$6790,MATCH($B177,SINAPI_NOV2020_NDES!$A$7:$A$6790,0),3),(INDEX(COMPOS!$A$4:$G$5000,MATCH($B177,COMPOS!$A$4:$A$5000,0),3))))</f>
        <v>KG</v>
      </c>
      <c r="E177" s="362">
        <v>92.89</v>
      </c>
      <c r="F177" s="279">
        <f>(IF($A177="SINAPI",INDEX(SINAPI_NOV2020_NDES!$A$7:$H$6703,MATCH($B177,SINAPI_NOV2020_NDES!$A$7:$A$6703,0),5),(INDEX(COMPOS!$A$4:$G$801,MATCH($B177,COMPOS!$A$4:A$801,0),4))))</f>
        <v>0</v>
      </c>
      <c r="G177" s="280">
        <f>(IF($A177="SINAPI",INDEX(SINAPI_NOV2020_NDES!$A$7:$H$6703,MATCH($B177,SINAPI_NOV2020_NDES!$A$7:$A$6703,0),6),(INDEX(COMPOS!$A$4:$G$801,MATCH($B177,COMPOS!$A$4:A$801,0),5))))</f>
        <v>14.124000000000001</v>
      </c>
      <c r="H177" s="280">
        <f>(IF($A177="SINAPI",INDEX(SINAPI_NOV2020_NDES!$A$7:$H$6703,MATCH($B177,SINAPI_NOV2020_NDES!$A$7:$A$6703,0),7),(INDEX(COMPOS!$A$4:$G$801,MATCH($B177,COMPOS!$A$4:A$801,0),6))))</f>
        <v>0</v>
      </c>
      <c r="I177" s="279">
        <f>SUM(F177:H177)</f>
        <v>14.124000000000001</v>
      </c>
      <c r="J177" s="276">
        <f>+I177*E177</f>
        <v>1311.9783600000001</v>
      </c>
    </row>
    <row r="178" spans="1:16" s="88" customFormat="1" ht="24" customHeight="1">
      <c r="A178" s="680" t="s">
        <v>6927</v>
      </c>
      <c r="B178" s="680"/>
      <c r="C178" s="680"/>
      <c r="D178" s="680"/>
      <c r="E178" s="680"/>
      <c r="F178" s="680"/>
      <c r="G178" s="680"/>
      <c r="H178" s="680"/>
      <c r="I178" s="680"/>
      <c r="J178" s="281">
        <f>SUM(J177)</f>
        <v>1311.9783600000001</v>
      </c>
      <c r="K178" s="41"/>
      <c r="L178" s="41"/>
      <c r="M178" s="41"/>
      <c r="N178" s="41"/>
      <c r="O178" s="41"/>
      <c r="P178" s="41"/>
    </row>
    <row r="179" spans="1:16" s="41" customFormat="1" ht="12">
      <c r="A179" s="251"/>
      <c r="B179" s="299">
        <v>178</v>
      </c>
      <c r="C179" s="338" t="s">
        <v>597</v>
      </c>
      <c r="D179" s="274"/>
      <c r="E179" s="279"/>
      <c r="F179" s="275"/>
      <c r="G179" s="275"/>
      <c r="H179" s="275"/>
      <c r="I179" s="275"/>
      <c r="J179" s="275"/>
    </row>
    <row r="180" spans="1:16" s="41" customFormat="1" ht="12">
      <c r="A180" s="252" t="s">
        <v>6307</v>
      </c>
      <c r="B180" s="293">
        <v>342</v>
      </c>
      <c r="C180" s="301" t="str">
        <f>(IF($A180="SINAPI",INDEX(SINAPI_NOV2020_NDES!$A$7:$H$6703,MATCH($B180,SINAPI_NOV2020_NDES!$A$7:$A$6703,0),2),IF($A180="GOINFRA",INDEX(#REF!,MATCH($B180,#REF!,0),2),(INDEX(COMPOS!$A$4:$G$390,MATCH($B180,COMPOS!$A$4:A$390,0),2)))))</f>
        <v>CALHA DE CHAPA GALVANIZADA Nº 26, 60CM</v>
      </c>
      <c r="D180" s="274" t="str">
        <f>(IF($A180="SINAPI",INDEX(SINAPI_NOV2020_NDES!$A$7:$H$6790,MATCH($B180,SINAPI_NOV2020_NDES!$A$7:$A$6790,0),3),(INDEX(COMPOS!$A$4:$G$5000,MATCH($B180,COMPOS!$A$4:$A$5000,0),3))))</f>
        <v>M</v>
      </c>
      <c r="E180" s="362">
        <v>3.8</v>
      </c>
      <c r="F180" s="279">
        <f>(IF($A180="SINAPI",INDEX(SINAPI_NOV2020_NDES!$A$7:$H$6703,MATCH($B180,SINAPI_NOV2020_NDES!$A$7:$A$6703,0),5),(INDEX(COMPOS!$A$4:$G$801,MATCH($B180,COMPOS!$A$4:A$801,0),4))))</f>
        <v>39.185000000000002</v>
      </c>
      <c r="G180" s="280">
        <f>(IF($A180="SINAPI",INDEX(SINAPI_NOV2020_NDES!$A$7:$H$6703,MATCH($B180,SINAPI_NOV2020_NDES!$A$7:$A$6703,0),6),(INDEX(COMPOS!$A$4:$G$801,MATCH($B180,COMPOS!$A$4:A$801,0),5))))</f>
        <v>20.28</v>
      </c>
      <c r="H180" s="280">
        <f>(IF($A180="SINAPI",INDEX(SINAPI_NOV2020_NDES!$A$7:$H$6703,MATCH($B180,SINAPI_NOV2020_NDES!$A$7:$A$6703,0),7),(INDEX(COMPOS!$A$4:$G$801,MATCH($B180,COMPOS!$A$4:A$801,0),6))))</f>
        <v>0</v>
      </c>
      <c r="I180" s="279">
        <f>SUM(F180:H180)</f>
        <v>59.465000000000003</v>
      </c>
      <c r="J180" s="276">
        <f>+I180*E180</f>
        <v>225.96700000000001</v>
      </c>
    </row>
    <row r="181" spans="1:16" s="41" customFormat="1" ht="12">
      <c r="A181" s="252" t="s">
        <v>6307</v>
      </c>
      <c r="B181" s="293">
        <v>343</v>
      </c>
      <c r="C181" s="301" t="str">
        <f>(IF($A181="SINAPI",INDEX(SINAPI_NOV2020_NDES!$A$7:$H$6703,MATCH($B181,SINAPI_NOV2020_NDES!$A$7:$A$6703,0),2),IF($A181="GOINFRA",INDEX(#REF!,MATCH($B181,#REF!,0),2),(INDEX(COMPOS!$A$4:$G$390,MATCH($B181,COMPOS!$A$4:A$390,0),2)))))</f>
        <v>RUFO DE CHAPA GALVANIZADA</v>
      </c>
      <c r="D181" s="274" t="str">
        <f>(IF($A181="SINAPI",INDEX(SINAPI_NOV2020_NDES!$A$7:$H$6790,MATCH($B181,SINAPI_NOV2020_NDES!$A$7:$A$6790,0),3),(INDEX(COMPOS!$A$4:$G$5000,MATCH($B181,COMPOS!$A$4:$A$5000,0),3))))</f>
        <v>M</v>
      </c>
      <c r="E181" s="362">
        <f>15.9-E180</f>
        <v>12.100000000000001</v>
      </c>
      <c r="F181" s="279">
        <f>(IF($A181="SINAPI",INDEX(SINAPI_NOV2020_NDES!$A$7:$H$6703,MATCH($B181,SINAPI_NOV2020_NDES!$A$7:$A$6703,0),5),(INDEX(COMPOS!$A$4:$G$801,MATCH($B181,COMPOS!$A$4:A$801,0),4))))</f>
        <v>18.405000000000001</v>
      </c>
      <c r="G181" s="280">
        <f>(IF($A181="SINAPI",INDEX(SINAPI_NOV2020_NDES!$A$7:$H$6703,MATCH($B181,SINAPI_NOV2020_NDES!$A$7:$A$6703,0),6),(INDEX(COMPOS!$A$4:$G$801,MATCH($B181,COMPOS!$A$4:A$801,0),5))))</f>
        <v>15.034979999999999</v>
      </c>
      <c r="H181" s="280">
        <f>(IF($A181="SINAPI",INDEX(SINAPI_NOV2020_NDES!$A$7:$H$6703,MATCH($B181,SINAPI_NOV2020_NDES!$A$7:$A$6703,0),7),(INDEX(COMPOS!$A$4:$G$801,MATCH($B181,COMPOS!$A$4:A$801,0),6))))</f>
        <v>0</v>
      </c>
      <c r="I181" s="279">
        <f>SUM(F181:H181)</f>
        <v>33.439979999999998</v>
      </c>
      <c r="J181" s="276">
        <f>+I181*E181</f>
        <v>404.62375800000001</v>
      </c>
    </row>
    <row r="182" spans="1:16" s="41" customFormat="1" ht="24">
      <c r="A182" s="293" t="s">
        <v>7</v>
      </c>
      <c r="B182" s="293">
        <v>94213</v>
      </c>
      <c r="C182" s="301" t="str">
        <f>(IF($A182="SINAPI",INDEX(SINAPI_NOV2020_NDES!$A$7:$H$6703,MATCH($B182,SINAPI_NOV2020_NDES!$A$7:$A$6703,0),2),IF($A182="GOINFRA",INDEX(#REF!,MATCH($B182,#REF!,0),2),(INDEX(COMPOS!$A$4:$G$390,MATCH($B182,COMPOS!$A$4:A$390,0),2)))))</f>
        <v>TELHAMENTO COM TELHA DE AÇO/ALUMÍNIO E = 0,5 MM, COM ATÉ 2 ÁGUAS, INCLUSO IÇAMENTO. AF_07/2019</v>
      </c>
      <c r="D182" s="274" t="str">
        <f>(IF($A182="SINAPI",INDEX(SINAPI_NOV2020_NDES!$A$7:$H$6790,MATCH($B182,SINAPI_NOV2020_NDES!$A$7:$A$6790,0),3),(INDEX(COMPOS!$A$4:$G$5000,MATCH($B182,COMPOS!$A$4:$A$5000,0),3))))</f>
        <v>M2</v>
      </c>
      <c r="E182" s="249">
        <v>14.59</v>
      </c>
      <c r="F182" s="279">
        <f>(IF($A182="SINAPI",INDEX(SINAPI_NOV2020_NDES!$A$7:$H$6703,MATCH($B182,SINAPI_NOV2020_NDES!$A$7:$A$6703,0),5),(INDEX(COMPOS!$A$4:$G$801,MATCH($B182,COMPOS!$A$4:A$801,0),4))))</f>
        <v>2.73</v>
      </c>
      <c r="G182" s="280">
        <f>(IF($A182="SINAPI",INDEX(SINAPI_NOV2020_NDES!$A$7:$H$6703,MATCH($B182,SINAPI_NOV2020_NDES!$A$7:$A$6703,0),6),(INDEX(COMPOS!$A$4:$G$801,MATCH($B182,COMPOS!$A$4:A$801,0),5))))</f>
        <v>65.53</v>
      </c>
      <c r="H182" s="280">
        <f>(IF($A182="SINAPI",INDEX(SINAPI_NOV2020_NDES!$A$7:$H$6703,MATCH($B182,SINAPI_NOV2020_NDES!$A$7:$A$6703,0),7),(INDEX(COMPOS!$A$4:$G$801,MATCH($B182,COMPOS!$A$4:A$801,0),6))))</f>
        <v>0</v>
      </c>
      <c r="I182" s="279">
        <f t="shared" ref="I182" si="29">SUM(F182:H182)</f>
        <v>68.260000000000005</v>
      </c>
      <c r="J182" s="276">
        <f t="shared" ref="J182" si="30">+I182*E182</f>
        <v>995.91340000000002</v>
      </c>
      <c r="O182" s="261"/>
    </row>
    <row r="183" spans="1:16" s="88" customFormat="1" ht="24" customHeight="1">
      <c r="A183" s="680" t="s">
        <v>6927</v>
      </c>
      <c r="B183" s="680"/>
      <c r="C183" s="680"/>
      <c r="D183" s="680"/>
      <c r="E183" s="680"/>
      <c r="F183" s="680"/>
      <c r="G183" s="680"/>
      <c r="H183" s="680"/>
      <c r="I183" s="680"/>
      <c r="J183" s="281">
        <f>SUM(J180:J182)</f>
        <v>1626.5041580000002</v>
      </c>
      <c r="K183" s="41"/>
      <c r="L183" s="41"/>
      <c r="M183" s="41"/>
      <c r="N183" s="41"/>
      <c r="O183" s="41"/>
      <c r="P183" s="41"/>
    </row>
    <row r="184" spans="1:16" s="41" customFormat="1" ht="12">
      <c r="A184" s="251"/>
      <c r="B184" s="299">
        <v>180</v>
      </c>
      <c r="C184" s="338" t="s">
        <v>595</v>
      </c>
      <c r="D184" s="274"/>
      <c r="E184" s="279"/>
      <c r="F184" s="275"/>
      <c r="G184" s="275"/>
      <c r="H184" s="275"/>
      <c r="I184" s="275"/>
      <c r="J184" s="275"/>
    </row>
    <row r="185" spans="1:16" s="41" customFormat="1" ht="12">
      <c r="A185" s="252" t="s">
        <v>6307</v>
      </c>
      <c r="B185" s="293">
        <v>7</v>
      </c>
      <c r="C185" s="301" t="str">
        <f>(IF($A185="SINAPI",INDEX(SINAPI_NOV2020_NDES!$A$7:$H$6703,MATCH($B185,SINAPI_NOV2020_NDES!$A$7:$A$6703,0),2),IF($A185="GOINFRA",INDEX(#REF!,MATCH($B185,#REF!,0),2),(INDEX(COMPOS!$A$4:$G$390,MATCH($B185,COMPOS!$A$4:A$390,0),2)))))</f>
        <v>PORTA GRADE EM FERRO MECÂNICO - ALOJAMENTOS</v>
      </c>
      <c r="D185" s="274" t="str">
        <f>(IF($A185="SINAPI",INDEX(SINAPI_NOV2020_NDES!$A$7:$H$6790,MATCH($B185,SINAPI_NOV2020_NDES!$A$7:$A$6790,0),3),(INDEX(COMPOS!$A$4:$G$5000,MATCH($B185,COMPOS!$A$4:$A$5000,0),3))))</f>
        <v>M2</v>
      </c>
      <c r="E185" s="362">
        <v>6.7200000000000006</v>
      </c>
      <c r="F185" s="279">
        <f>(IF($A185="SINAPI",INDEX(SINAPI_NOV2020_NDES!$A$7:$H$6703,MATCH($B185,SINAPI_NOV2020_NDES!$A$7:$A$6703,0),5),(INDEX(COMPOS!$A$4:$G$801,MATCH($B185,COMPOS!$A$4:A$801,0),4))))</f>
        <v>80.953409999999991</v>
      </c>
      <c r="G185" s="280">
        <f>(IF($A185="SINAPI",INDEX(SINAPI_NOV2020_NDES!$A$7:$H$6703,MATCH($B185,SINAPI_NOV2020_NDES!$A$7:$A$6703,0),6),(INDEX(COMPOS!$A$4:$G$801,MATCH($B185,COMPOS!$A$4:A$801,0),5))))</f>
        <v>1237.0324167439437</v>
      </c>
      <c r="H185" s="280">
        <f>(IF($A185="SINAPI",INDEX(SINAPI_NOV2020_NDES!$A$7:$H$6703,MATCH($B185,SINAPI_NOV2020_NDES!$A$7:$A$6703,0),7),(INDEX(COMPOS!$A$4:$G$801,MATCH($B185,COMPOS!$A$4:A$801,0),6))))</f>
        <v>0</v>
      </c>
      <c r="I185" s="279">
        <f t="shared" ref="I185:I196" si="31">SUM(F185:H185)</f>
        <v>1317.9858267439438</v>
      </c>
      <c r="J185" s="276">
        <f t="shared" ref="J185:J196" si="32">+I185*E185</f>
        <v>8856.8647557193035</v>
      </c>
    </row>
    <row r="186" spans="1:16" s="41" customFormat="1" ht="24">
      <c r="A186" s="252" t="s">
        <v>6307</v>
      </c>
      <c r="B186" s="293">
        <v>817</v>
      </c>
      <c r="C186" s="301" t="str">
        <f>(IF($A186="SINAPI",INDEX(SINAPI_NOV2020_NDES!$A$7:$H$6703,MATCH($B186,SINAPI_NOV2020_NDES!$A$7:$A$6703,0),2),IF($A186="GOINFRA",INDEX(#REF!,MATCH($B186,#REF!,0),2),(INDEX(COMPOS!$A$4:$G$390,MATCH($B186,COMPOS!$A$4:A$390,0),2)))))</f>
        <v>PORTA GRADE EM FERRO MECÂNICO - ALOJAMENTOS - 80X210 CM - SOMENTE GRADE E FERROLHO E DOBRADIÇAS E CHAPA DA GRADE (PORTAL JÁ FIXADO)</v>
      </c>
      <c r="D186" s="274" t="str">
        <f>(IF($A186="SINAPI",INDEX(SINAPI_NOV2020_NDES!$A$7:$H$6790,MATCH($B186,SINAPI_NOV2020_NDES!$A$7:$A$6790,0),3),(INDEX(COMPOS!$A$4:$G$5000,MATCH($B186,COMPOS!$A$4:$A$5000,0),3))))</f>
        <v>M2</v>
      </c>
      <c r="E186" s="362">
        <v>94.08</v>
      </c>
      <c r="F186" s="279">
        <f>(IF($A186="SINAPI",INDEX(SINAPI_NOV2020_NDES!$A$7:$H$6703,MATCH($B186,SINAPI_NOV2020_NDES!$A$7:$A$6703,0),5),(INDEX(COMPOS!$A$4:$G$801,MATCH($B186,COMPOS!$A$4:A$801,0),4))))</f>
        <v>60.276069999999997</v>
      </c>
      <c r="G186" s="280">
        <f>(IF($A186="SINAPI",INDEX(SINAPI_NOV2020_NDES!$A$7:$H$6703,MATCH($B186,SINAPI_NOV2020_NDES!$A$7:$A$6703,0),6),(INDEX(COMPOS!$A$4:$G$801,MATCH($B186,COMPOS!$A$4:A$801,0),5))))</f>
        <v>963.77641084164497</v>
      </c>
      <c r="H186" s="280">
        <f>(IF($A186="SINAPI",INDEX(SINAPI_NOV2020_NDES!$A$7:$H$6703,MATCH($B186,SINAPI_NOV2020_NDES!$A$7:$A$6703,0),7),(INDEX(COMPOS!$A$4:$G$801,MATCH($B186,COMPOS!$A$4:A$801,0),6))))</f>
        <v>0</v>
      </c>
      <c r="I186" s="279">
        <f t="shared" si="31"/>
        <v>1024.0524808416449</v>
      </c>
      <c r="J186" s="276">
        <f t="shared" si="32"/>
        <v>96342.857397581945</v>
      </c>
    </row>
    <row r="187" spans="1:16" s="41" customFormat="1" ht="12">
      <c r="A187" s="252" t="s">
        <v>6307</v>
      </c>
      <c r="B187" s="293">
        <v>159</v>
      </c>
      <c r="C187" s="301" t="str">
        <f>(IF($A187="SINAPI",INDEX(SINAPI_NOV2020_NDES!$A$7:$H$6703,MATCH($B187,SINAPI_NOV2020_NDES!$A$7:$A$6703,0),2),IF($A187="GOINFRA",INDEX(#REF!,MATCH($B187,#REF!,0),2),(INDEX(COMPOS!$A$4:$G$3900,MATCH($B187,COMPOS!$A$4:A$3900,0),2)))))</f>
        <v>PORTA METÁLICA CASE – PG– UMA FOLHA – 90X210 CM</v>
      </c>
      <c r="D187" s="274" t="str">
        <f>(IF($A187="SINAPI",INDEX(SINAPI_NOV2020_NDES!$A$7:$H$6790,MATCH($B187,SINAPI_NOV2020_NDES!$A$7:$A$6790,0),3),(INDEX(COMPOS!$A$4:$G$5000,MATCH($B187,COMPOS!$A$4:$A$5000,0),3))))</f>
        <v>M2</v>
      </c>
      <c r="E187" s="362">
        <v>15.120000000000001</v>
      </c>
      <c r="F187" s="279">
        <f>(IF($A187="SINAPI",INDEX(SINAPI_NOV2020_NDES!$A$7:$H$6703,MATCH($B187,SINAPI_NOV2020_NDES!$A$7:$A$6703,0),5),(INDEX(COMPOS!$A$4:$G$801,MATCH($B187,COMPOS!$A$4:A$801,0),4))))</f>
        <v>47.084742999999996</v>
      </c>
      <c r="G187" s="280">
        <f>(IF($A187="SINAPI",INDEX(SINAPI_NOV2020_NDES!$A$7:$H$6703,MATCH($B187,SINAPI_NOV2020_NDES!$A$7:$A$6703,0),6),(INDEX(COMPOS!$A$4:$G$801,MATCH($B187,COMPOS!$A$4:A$801,0),5))))</f>
        <v>784.72375579999994</v>
      </c>
      <c r="H187" s="280">
        <f>(IF($A187="SINAPI",INDEX(SINAPI_NOV2020_NDES!$A$7:$H$6703,MATCH($B187,SINAPI_NOV2020_NDES!$A$7:$A$6703,0),7),(INDEX(COMPOS!$A$4:$G$801,MATCH($B187,COMPOS!$A$4:A$801,0),6))))</f>
        <v>0</v>
      </c>
      <c r="I187" s="279">
        <f t="shared" si="31"/>
        <v>831.80849879999994</v>
      </c>
      <c r="J187" s="276">
        <f t="shared" si="32"/>
        <v>12576.944501856</v>
      </c>
    </row>
    <row r="188" spans="1:16" s="41" customFormat="1" ht="12">
      <c r="A188" s="252" t="s">
        <v>6307</v>
      </c>
      <c r="B188" s="293">
        <v>12</v>
      </c>
      <c r="C188" s="301" t="str">
        <f>(IF($A188="SINAPI",INDEX(SINAPI_NOV2020_NDES!$A$7:$H$6703,MATCH($B188,SINAPI_NOV2020_NDES!$A$7:$A$6703,0),2),IF($A188="GOINFRA",INDEX(#REF!,MATCH($B188,#REF!,0),2),(INDEX(COMPOS!$A$4:$G$390,MATCH($B188,COMPOS!$A$4:A$390,0),2)))))</f>
        <v>PORTA METÁLICA CASE – PG1/PG5 - 100X280 CM</v>
      </c>
      <c r="D188" s="274" t="str">
        <f>(IF($A188="SINAPI",INDEX(SINAPI_NOV2020_NDES!$A$7:$H$6790,MATCH($B188,SINAPI_NOV2020_NDES!$A$7:$A$6790,0),3),(INDEX(COMPOS!$A$4:$G$5000,MATCH($B188,COMPOS!$A$4:$A$5000,0),3))))</f>
        <v>M2</v>
      </c>
      <c r="E188" s="362">
        <v>6.3000000000000007</v>
      </c>
      <c r="F188" s="279">
        <f>(IF($A188="SINAPI",INDEX(SINAPI_NOV2020_NDES!$A$7:$H$6703,MATCH($B188,SINAPI_NOV2020_NDES!$A$7:$A$6703,0),5),(INDEX(COMPOS!$A$4:$G$801,MATCH($B188,COMPOS!$A$4:A$801,0),4))))</f>
        <v>47.084742999999996</v>
      </c>
      <c r="G188" s="280">
        <f>(IF($A188="SINAPI",INDEX(SINAPI_NOV2020_NDES!$A$7:$H$6703,MATCH($B188,SINAPI_NOV2020_NDES!$A$7:$A$6703,0),6),(INDEX(COMPOS!$A$4:$G$801,MATCH($B188,COMPOS!$A$4:A$801,0),5))))</f>
        <v>545.27531650000003</v>
      </c>
      <c r="H188" s="280">
        <f>(IF($A188="SINAPI",INDEX(SINAPI_NOV2020_NDES!$A$7:$H$6703,MATCH($B188,SINAPI_NOV2020_NDES!$A$7:$A$6703,0),7),(INDEX(COMPOS!$A$4:$G$801,MATCH($B188,COMPOS!$A$4:A$801,0),6))))</f>
        <v>0</v>
      </c>
      <c r="I188" s="279">
        <f t="shared" si="31"/>
        <v>592.36005950000003</v>
      </c>
      <c r="J188" s="276">
        <f t="shared" si="32"/>
        <v>3731.8683748500007</v>
      </c>
    </row>
    <row r="189" spans="1:16" s="41" customFormat="1" ht="12">
      <c r="A189" s="252" t="s">
        <v>6307</v>
      </c>
      <c r="B189" s="293">
        <v>160</v>
      </c>
      <c r="C189" s="301" t="str">
        <f>(IF($A189="SINAPI",INDEX(SINAPI_NOV2020_NDES!$A$7:$H$6703,MATCH($B189,SINAPI_NOV2020_NDES!$A$7:$A$6703,0),2),IF($A189="GOINFRA",INDEX(#REF!,MATCH($B189,#REF!,0),2),(INDEX(COMPOS!$A$4:$G$390,MATCH($B189,COMPOS!$A$4:A$390,0),2)))))</f>
        <v>PORTA METÁLICA CASE – PG2– UMA FOLHA – 230X210 CM</v>
      </c>
      <c r="D189" s="274" t="str">
        <f>(IF($A189="SINAPI",INDEX(SINAPI_NOV2020_NDES!$A$7:$H$6790,MATCH($B189,SINAPI_NOV2020_NDES!$A$7:$A$6790,0),3),(INDEX(COMPOS!$A$4:$G$5000,MATCH($B189,COMPOS!$A$4:$A$5000,0),3))))</f>
        <v>M2</v>
      </c>
      <c r="E189" s="362">
        <v>38.639999999999993</v>
      </c>
      <c r="F189" s="279">
        <f>(IF($A189="SINAPI",INDEX(SINAPI_NOV2020_NDES!$A$7:$H$6703,MATCH($B189,SINAPI_NOV2020_NDES!$A$7:$A$6703,0),5),(INDEX(COMPOS!$A$4:$G$801,MATCH($B189,COMPOS!$A$4:A$801,0),4))))</f>
        <v>47.084742999999996</v>
      </c>
      <c r="G189" s="280">
        <f>(IF($A189="SINAPI",INDEX(SINAPI_NOV2020_NDES!$A$7:$H$6703,MATCH($B189,SINAPI_NOV2020_NDES!$A$7:$A$6703,0),6),(INDEX(COMPOS!$A$4:$G$801,MATCH($B189,COMPOS!$A$4:A$801,0),5))))</f>
        <v>530.43523979999998</v>
      </c>
      <c r="H189" s="280">
        <f>(IF($A189="SINAPI",INDEX(SINAPI_NOV2020_NDES!$A$7:$H$6703,MATCH($B189,SINAPI_NOV2020_NDES!$A$7:$A$6703,0),7),(INDEX(COMPOS!$A$4:$G$801,MATCH($B189,COMPOS!$A$4:A$801,0),6))))</f>
        <v>0</v>
      </c>
      <c r="I189" s="279">
        <f t="shared" si="31"/>
        <v>577.51998279999998</v>
      </c>
      <c r="J189" s="276">
        <f t="shared" si="32"/>
        <v>22315.372135391994</v>
      </c>
    </row>
    <row r="190" spans="1:16" s="41" customFormat="1" ht="12">
      <c r="A190" s="252" t="s">
        <v>6307</v>
      </c>
      <c r="B190" s="293">
        <v>161</v>
      </c>
      <c r="C190" s="301" t="str">
        <f>(IF($A190="SINAPI",INDEX(SINAPI_NOV2020_NDES!$A$7:$H$6703,MATCH($B190,SINAPI_NOV2020_NDES!$A$7:$A$6703,0),2),IF($A190="GOINFRA",INDEX(#REF!,MATCH($B190,#REF!,0),2),(INDEX(COMPOS!$A$4:$G$390,MATCH($B190,COMPOS!$A$4:A$390,0),2)))))</f>
        <v>PORTA METÁLICA CASE – PG4– UMA FOLHA – 150X280 CM</v>
      </c>
      <c r="D190" s="274" t="str">
        <f>(IF($A190="SINAPI",INDEX(SINAPI_NOV2020_NDES!$A$7:$H$6790,MATCH($B190,SINAPI_NOV2020_NDES!$A$7:$A$6790,0),3),(INDEX(COMPOS!$A$4:$G$5000,MATCH($B190,COMPOS!$A$4:$A$5000,0),3))))</f>
        <v>M2</v>
      </c>
      <c r="E190" s="362">
        <v>4.1999999999999993</v>
      </c>
      <c r="F190" s="279">
        <f>(IF($A190="SINAPI",INDEX(SINAPI_NOV2020_NDES!$A$7:$H$6703,MATCH($B190,SINAPI_NOV2020_NDES!$A$7:$A$6703,0),5),(INDEX(COMPOS!$A$4:$G$801,MATCH($B190,COMPOS!$A$4:A$801,0),4))))</f>
        <v>47.084742999999996</v>
      </c>
      <c r="G190" s="280">
        <f>(IF($A190="SINAPI",INDEX(SINAPI_NOV2020_NDES!$A$7:$H$6703,MATCH($B190,SINAPI_NOV2020_NDES!$A$7:$A$6703,0),6),(INDEX(COMPOS!$A$4:$G$801,MATCH($B190,COMPOS!$A$4:A$801,0),5))))</f>
        <v>632.3175258</v>
      </c>
      <c r="H190" s="280">
        <f>(IF($A190="SINAPI",INDEX(SINAPI_NOV2020_NDES!$A$7:$H$6703,MATCH($B190,SINAPI_NOV2020_NDES!$A$7:$A$6703,0),7),(INDEX(COMPOS!$A$4:$G$801,MATCH($B190,COMPOS!$A$4:A$801,0),6))))</f>
        <v>0</v>
      </c>
      <c r="I190" s="279">
        <f t="shared" si="31"/>
        <v>679.4022688</v>
      </c>
      <c r="J190" s="276">
        <f t="shared" si="32"/>
        <v>2853.4895289599995</v>
      </c>
    </row>
    <row r="191" spans="1:16" s="41" customFormat="1" ht="12">
      <c r="A191" s="252" t="s">
        <v>6307</v>
      </c>
      <c r="B191" s="293">
        <v>9</v>
      </c>
      <c r="C191" s="301" t="str">
        <f>(IF($A191="SINAPI",INDEX(SINAPI_NOV2020_NDES!$A$7:$H$6703,MATCH($B191,SINAPI_NOV2020_NDES!$A$7:$A$6703,0),2),IF($A191="GOINFRA",INDEX(#REF!,MATCH($B191,#REF!,0),2),(INDEX(COMPOS!$A$4:$G$390,MATCH($B191,COMPOS!$A$4:A$390,0),2)))))</f>
        <v>PORTA METÁLICA CASE – P/P3/PS – UMA FOLHA – 90X210 CM</v>
      </c>
      <c r="D191" s="274" t="str">
        <f>(IF($A191="SINAPI",INDEX(SINAPI_NOV2020_NDES!$A$7:$H$6790,MATCH($B191,SINAPI_NOV2020_NDES!$A$7:$A$6790,0),3),(INDEX(COMPOS!$A$4:$G$5000,MATCH($B191,COMPOS!$A$4:$A$5000,0),3))))</f>
        <v>M2</v>
      </c>
      <c r="E191" s="362">
        <v>5.6700000000000008</v>
      </c>
      <c r="F191" s="279">
        <f>(IF($A191="SINAPI",INDEX(SINAPI_NOV2020_NDES!$A$7:$H$6703,MATCH($B191,SINAPI_NOV2020_NDES!$A$7:$A$6703,0),5),(INDEX(COMPOS!$A$4:$G$801,MATCH($B191,COMPOS!$A$4:A$801,0),4))))</f>
        <v>47.084742999999996</v>
      </c>
      <c r="G191" s="280">
        <f>(IF($A191="SINAPI",INDEX(SINAPI_NOV2020_NDES!$A$7:$H$6703,MATCH($B191,SINAPI_NOV2020_NDES!$A$7:$A$6703,0),6),(INDEX(COMPOS!$A$4:$G$801,MATCH($B191,COMPOS!$A$4:A$801,0),5))))</f>
        <v>544.33859599999994</v>
      </c>
      <c r="H191" s="280">
        <f>(IF($A191="SINAPI",INDEX(SINAPI_NOV2020_NDES!$A$7:$H$6703,MATCH($B191,SINAPI_NOV2020_NDES!$A$7:$A$6703,0),7),(INDEX(COMPOS!$A$4:$G$801,MATCH($B191,COMPOS!$A$4:A$801,0),6))))</f>
        <v>0</v>
      </c>
      <c r="I191" s="279">
        <f t="shared" si="31"/>
        <v>591.42333899999994</v>
      </c>
      <c r="J191" s="276">
        <f t="shared" si="32"/>
        <v>3353.37033213</v>
      </c>
    </row>
    <row r="192" spans="1:16" s="41" customFormat="1" ht="12">
      <c r="A192" s="252" t="s">
        <v>6307</v>
      </c>
      <c r="B192" s="293">
        <v>152</v>
      </c>
      <c r="C192" s="301" t="str">
        <f>(IF($A192="SINAPI",INDEX(SINAPI_NOV2020_NDES!$A$7:$H$6703,MATCH($B192,SINAPI_NOV2020_NDES!$A$7:$A$6703,0),2),IF($A192="GOINFRA",INDEX(#REF!,MATCH($B192,#REF!,0),2),(INDEX(COMPOS!$A$4:$G$390,MATCH($B192,COMPOS!$A$4:A$390,0),2)))))</f>
        <v>PORTA METÁLICA CASE – P – UMA FOLHA – 80X210 CM</v>
      </c>
      <c r="D192" s="274" t="str">
        <f>(IF($A192="SINAPI",INDEX(SINAPI_NOV2020_NDES!$A$7:$H$6790,MATCH($B192,SINAPI_NOV2020_NDES!$A$7:$A$6790,0),3),(INDEX(COMPOS!$A$4:$G$5000,MATCH($B192,COMPOS!$A$4:$A$5000,0),3))))</f>
        <v>M2</v>
      </c>
      <c r="E192" s="362">
        <v>8.4</v>
      </c>
      <c r="F192" s="279">
        <f>(IF($A192="SINAPI",INDEX(SINAPI_NOV2020_NDES!$A$7:$H$6703,MATCH($B192,SINAPI_NOV2020_NDES!$A$7:$A$6703,0),5),(INDEX(COMPOS!$A$4:$G$801,MATCH($B192,COMPOS!$A$4:A$801,0),4))))</f>
        <v>47.084742999999996</v>
      </c>
      <c r="G192" s="280">
        <f>(IF($A192="SINAPI",INDEX(SINAPI_NOV2020_NDES!$A$7:$H$6703,MATCH($B192,SINAPI_NOV2020_NDES!$A$7:$A$6703,0),6),(INDEX(COMPOS!$A$4:$G$801,MATCH($B192,COMPOS!$A$4:A$801,0),5))))</f>
        <v>486.76612480000006</v>
      </c>
      <c r="H192" s="280">
        <f>(IF($A192="SINAPI",INDEX(SINAPI_NOV2020_NDES!$A$7:$H$6703,MATCH($B192,SINAPI_NOV2020_NDES!$A$7:$A$6703,0),7),(INDEX(COMPOS!$A$4:$G$801,MATCH($B192,COMPOS!$A$4:A$801,0),6))))</f>
        <v>0</v>
      </c>
      <c r="I192" s="279">
        <f t="shared" si="31"/>
        <v>533.85086780000006</v>
      </c>
      <c r="J192" s="276">
        <f t="shared" si="32"/>
        <v>4484.3472895200011</v>
      </c>
    </row>
    <row r="193" spans="1:16" s="41" customFormat="1" ht="12">
      <c r="A193" s="252" t="s">
        <v>6307</v>
      </c>
      <c r="B193" s="293">
        <v>153</v>
      </c>
      <c r="C193" s="301" t="str">
        <f>(IF($A193="SINAPI",INDEX(SINAPI_NOV2020_NDES!$A$7:$H$6703,MATCH($B193,SINAPI_NOV2020_NDES!$A$7:$A$6703,0),2),IF($A193="GOINFRA",INDEX(#REF!,MATCH($B193,#REF!,0),2),(INDEX(COMPOS!$A$4:$G$390,MATCH($B193,COMPOS!$A$4:A$390,0),2)))))</f>
        <v>PORTA METÁLICA CASE – P3 – UMA FOLHA – 70X210 CM</v>
      </c>
      <c r="D193" s="274" t="str">
        <f>(IF($A193="SINAPI",INDEX(SINAPI_NOV2020_NDES!$A$7:$H$6790,MATCH($B193,SINAPI_NOV2020_NDES!$A$7:$A$6790,0),3),(INDEX(COMPOS!$A$4:$G$5000,MATCH($B193,COMPOS!$A$4:$A$5000,0),3))))</f>
        <v>M2</v>
      </c>
      <c r="E193" s="362">
        <v>1.47</v>
      </c>
      <c r="F193" s="279">
        <f>(IF($A193="SINAPI",INDEX(SINAPI_NOV2020_NDES!$A$7:$H$6703,MATCH($B193,SINAPI_NOV2020_NDES!$A$7:$A$6703,0),5),(INDEX(COMPOS!$A$4:$G$801,MATCH($B193,COMPOS!$A$4:A$801,0),4))))</f>
        <v>47.084742999999996</v>
      </c>
      <c r="G193" s="280">
        <f>(IF($A193="SINAPI",INDEX(SINAPI_NOV2020_NDES!$A$7:$H$6703,MATCH($B193,SINAPI_NOV2020_NDES!$A$7:$A$6703,0),6),(INDEX(COMPOS!$A$4:$G$801,MATCH($B193,COMPOS!$A$4:A$801,0),5))))</f>
        <v>436.37288639999997</v>
      </c>
      <c r="H193" s="280">
        <f>(IF($A193="SINAPI",INDEX(SINAPI_NOV2020_NDES!$A$7:$H$6703,MATCH($B193,SINAPI_NOV2020_NDES!$A$7:$A$6703,0),7),(INDEX(COMPOS!$A$4:$G$801,MATCH($B193,COMPOS!$A$4:A$801,0),6))))</f>
        <v>0</v>
      </c>
      <c r="I193" s="279">
        <f t="shared" si="31"/>
        <v>483.45762939999997</v>
      </c>
      <c r="J193" s="276">
        <f t="shared" si="32"/>
        <v>710.682715218</v>
      </c>
    </row>
    <row r="194" spans="1:16" s="41" customFormat="1" ht="12">
      <c r="A194" s="252" t="s">
        <v>6307</v>
      </c>
      <c r="B194" s="293">
        <v>155</v>
      </c>
      <c r="C194" s="301" t="str">
        <f>(IF($A194="SINAPI",INDEX(SINAPI_NOV2020_NDES!$A$7:$H$6703,MATCH($B194,SINAPI_NOV2020_NDES!$A$7:$A$6703,0),2),IF($A194="GOINFRA",INDEX(#REF!,MATCH($B194,#REF!,0),2),(INDEX(COMPOS!$A$4:$G$390,MATCH($B194,COMPOS!$A$4:A$390,0),2)))))</f>
        <v>JANELA DE AÇO TIPO CORRER/BASCULANTE/VIDRO J -180X170 CM</v>
      </c>
      <c r="D194" s="274" t="str">
        <f>(IF($A194="SINAPI",INDEX(SINAPI_NOV2020_NDES!$A$7:$H$6790,MATCH($B194,SINAPI_NOV2020_NDES!$A$7:$A$6790,0),3),(INDEX(COMPOS!$A$4:$G$5000,MATCH($B194,COMPOS!$A$4:$A$5000,0),3))))</f>
        <v>M2</v>
      </c>
      <c r="E194" s="362">
        <v>33.15</v>
      </c>
      <c r="F194" s="279">
        <f>(IF($A194="SINAPI",INDEX(SINAPI_NOV2020_NDES!$A$7:$H$6703,MATCH($B194,SINAPI_NOV2020_NDES!$A$7:$A$6703,0),5),(INDEX(COMPOS!$A$4:$G$801,MATCH($B194,COMPOS!$A$4:A$801,0),4))))</f>
        <v>134.02471</v>
      </c>
      <c r="G194" s="280">
        <f>(IF($A194="SINAPI",INDEX(SINAPI_NOV2020_NDES!$A$7:$H$6703,MATCH($B194,SINAPI_NOV2020_NDES!$A$7:$A$6703,0),6),(INDEX(COMPOS!$A$4:$G$801,MATCH($B194,COMPOS!$A$4:A$801,0),5))))</f>
        <v>491.46804150000008</v>
      </c>
      <c r="H194" s="280">
        <f>(IF($A194="SINAPI",INDEX(SINAPI_NOV2020_NDES!$A$7:$H$6703,MATCH($B194,SINAPI_NOV2020_NDES!$A$7:$A$6703,0),7),(INDEX(COMPOS!$A$4:$G$801,MATCH($B194,COMPOS!$A$4:A$801,0),6))))</f>
        <v>0</v>
      </c>
      <c r="I194" s="279">
        <f t="shared" si="31"/>
        <v>625.49275150000005</v>
      </c>
      <c r="J194" s="276">
        <f t="shared" si="32"/>
        <v>20735.084712225002</v>
      </c>
    </row>
    <row r="195" spans="1:16" s="41" customFormat="1" ht="12">
      <c r="A195" s="252" t="s">
        <v>6307</v>
      </c>
      <c r="B195" s="293">
        <v>157</v>
      </c>
      <c r="C195" s="301" t="str">
        <f>(IF($A195="SINAPI",INDEX(SINAPI_NOV2020_NDES!$A$7:$H$6703,MATCH($B195,SINAPI_NOV2020_NDES!$A$7:$A$6703,0),2),IF($A195="GOINFRA",INDEX(#REF!,MATCH($B195,#REF!,0),2),(INDEX(COMPOS!$A$4:$G$390,MATCH($B195,COMPOS!$A$4:A$390,0),2)))))</f>
        <v>JANELA DE AÇO TIPO CORRER/BASCULANTE/VIDRO J3/J5/J6 - 120X70 CM</v>
      </c>
      <c r="D195" s="274" t="str">
        <f>(IF($A195="SINAPI",INDEX(SINAPI_NOV2020_NDES!$A$7:$H$6790,MATCH($B195,SINAPI_NOV2020_NDES!$A$7:$A$6790,0),3),(INDEX(COMPOS!$A$4:$G$5000,MATCH($B195,COMPOS!$A$4:$A$5000,0),3))))</f>
        <v>M2</v>
      </c>
      <c r="E195" s="362">
        <v>0.84</v>
      </c>
      <c r="F195" s="279">
        <f>(IF($A195="SINAPI",INDEX(SINAPI_NOV2020_NDES!$A$7:$H$6703,MATCH($B195,SINAPI_NOV2020_NDES!$A$7:$A$6703,0),5),(INDEX(COMPOS!$A$4:$G$801,MATCH($B195,COMPOS!$A$4:A$801,0),4))))</f>
        <v>134.02471</v>
      </c>
      <c r="G195" s="280">
        <f>(IF($A195="SINAPI",INDEX(SINAPI_NOV2020_NDES!$A$7:$H$6703,MATCH($B195,SINAPI_NOV2020_NDES!$A$7:$A$6703,0),6),(INDEX(COMPOS!$A$4:$G$801,MATCH($B195,COMPOS!$A$4:A$801,0),5))))</f>
        <v>624.43732750000015</v>
      </c>
      <c r="H195" s="280">
        <f>(IF($A195="SINAPI",INDEX(SINAPI_NOV2020_NDES!$A$7:$H$6703,MATCH($B195,SINAPI_NOV2020_NDES!$A$7:$A$6703,0),7),(INDEX(COMPOS!$A$4:$G$801,MATCH($B195,COMPOS!$A$4:A$801,0),6))))</f>
        <v>0</v>
      </c>
      <c r="I195" s="279">
        <f t="shared" si="31"/>
        <v>758.46203750000018</v>
      </c>
      <c r="J195" s="276">
        <f t="shared" si="32"/>
        <v>637.10811150000018</v>
      </c>
    </row>
    <row r="196" spans="1:16" s="41" customFormat="1" ht="12">
      <c r="A196" s="252" t="s">
        <v>6307</v>
      </c>
      <c r="B196" s="293">
        <v>104</v>
      </c>
      <c r="C196" s="301" t="str">
        <f>(IF($A196="SINAPI",INDEX(SINAPI_NOV2020_NDES!$A$7:$H$6703,MATCH($B196,SINAPI_NOV2020_NDES!$A$7:$A$6703,0),2),IF($A196="GOINFRA",INDEX(#REF!,MATCH($B196,#REF!,0),2),(INDEX(COMPOS!$A$4:$G$390,MATCH($B196,COMPOS!$A$4:A$390,0),2)))))</f>
        <v>BRISE DE AÇO PREENCHIDO C/ CONCRETO 30 MPA</v>
      </c>
      <c r="D196" s="274" t="str">
        <f>(IF($A196="SINAPI",INDEX(SINAPI_NOV2020_NDES!$A$7:$H$6790,MATCH($B196,SINAPI_NOV2020_NDES!$A$7:$A$6790,0),3),(INDEX(COMPOS!$A$4:$G$5000,MATCH($B196,COMPOS!$A$4:$A$5000,0),3))))</f>
        <v>M</v>
      </c>
      <c r="E196" s="362">
        <v>50.4</v>
      </c>
      <c r="F196" s="279">
        <f>(IF($A196="SINAPI",INDEX(SINAPI_NOV2020_NDES!$A$7:$H$6703,MATCH($B196,SINAPI_NOV2020_NDES!$A$7:$A$6703,0),5),(INDEX(COMPOS!$A$4:$G$801,MATCH($B196,COMPOS!$A$4:A$801,0),4))))</f>
        <v>11.255039</v>
      </c>
      <c r="G196" s="280">
        <f>(IF($A196="SINAPI",INDEX(SINAPI_NOV2020_NDES!$A$7:$H$6703,MATCH($B196,SINAPI_NOV2020_NDES!$A$7:$A$6703,0),6),(INDEX(COMPOS!$A$4:$G$801,MATCH($B196,COMPOS!$A$4:A$801,0),5))))</f>
        <v>145.113471</v>
      </c>
      <c r="H196" s="280">
        <f>(IF($A196="SINAPI",INDEX(SINAPI_NOV2020_NDES!$A$7:$H$6703,MATCH($B196,SINAPI_NOV2020_NDES!$A$7:$A$6703,0),7),(INDEX(COMPOS!$A$4:$G$801,MATCH($B196,COMPOS!$A$4:A$801,0),6))))</f>
        <v>0</v>
      </c>
      <c r="I196" s="279">
        <f t="shared" si="31"/>
        <v>156.36851000000001</v>
      </c>
      <c r="J196" s="276">
        <f t="shared" si="32"/>
        <v>7880.9729040000002</v>
      </c>
    </row>
    <row r="197" spans="1:16" s="88" customFormat="1" ht="24" customHeight="1">
      <c r="A197" s="680" t="s">
        <v>6927</v>
      </c>
      <c r="B197" s="680"/>
      <c r="C197" s="680"/>
      <c r="D197" s="680"/>
      <c r="E197" s="680"/>
      <c r="F197" s="680"/>
      <c r="G197" s="680"/>
      <c r="H197" s="680"/>
      <c r="I197" s="680"/>
      <c r="J197" s="281">
        <f>SUM(J185:J196)</f>
        <v>184478.96275895226</v>
      </c>
      <c r="K197" s="41"/>
      <c r="L197" s="41"/>
      <c r="M197" s="41"/>
      <c r="N197" s="41"/>
      <c r="O197" s="41"/>
      <c r="P197" s="41"/>
    </row>
    <row r="198" spans="1:16" s="41" customFormat="1" ht="12">
      <c r="A198" s="251"/>
      <c r="B198" s="299">
        <v>181</v>
      </c>
      <c r="C198" s="338" t="s">
        <v>594</v>
      </c>
      <c r="D198" s="274"/>
      <c r="E198" s="279"/>
      <c r="F198" s="275"/>
      <c r="G198" s="275"/>
      <c r="H198" s="275"/>
      <c r="I198" s="275"/>
      <c r="J198" s="275"/>
    </row>
    <row r="199" spans="1:16" s="41" customFormat="1" ht="12">
      <c r="A199" s="293" t="s">
        <v>7</v>
      </c>
      <c r="B199" s="293">
        <v>72123</v>
      </c>
      <c r="C199" s="301" t="str">
        <f>(IF($A199="SINAPI",INDEX(SINAPI_NOV2020_NDES!$A$7:$H$6703,MATCH($B199,SINAPI_NOV2020_NDES!$A$7:$A$6703,0),2),IF($A199="GOINFRA",INDEX(#REF!,MATCH($B199,#REF!,0),2),(INDEX(COMPOS!$A$4:$G$390,MATCH($B199,COMPOS!$A$4:A$390,0),2)))))</f>
        <v>VIDRO ARAMADO, ESPESSURA 7MM</v>
      </c>
      <c r="D199" s="274" t="str">
        <f>(IF($A199="SINAPI",INDEX(SINAPI_NOV2020_NDES!$A$7:$H$6790,MATCH($B199,SINAPI_NOV2020_NDES!$A$7:$A$6790,0),3),(INDEX(COMPOS!$A$4:$G$5000,MATCH($B199,COMPOS!$A$4:$A$5000,0),3))))</f>
        <v>M2</v>
      </c>
      <c r="E199" s="279">
        <v>102.59</v>
      </c>
      <c r="F199" s="279">
        <f>(IF($A199="SINAPI",INDEX(SINAPI_NOV2020_NDES!$A$7:$H$6703,MATCH($B199,SINAPI_NOV2020_NDES!$A$7:$A$6703,0),5),(INDEX(COMPOS!$A$4:$G$801,MATCH($B199,COMPOS!$A$4:A$801,0),4))))</f>
        <v>11.8</v>
      </c>
      <c r="G199" s="280">
        <f>(IF($A199="SINAPI",INDEX(SINAPI_NOV2020_NDES!$A$7:$H$6703,MATCH($B199,SINAPI_NOV2020_NDES!$A$7:$A$6703,0),6),(INDEX(COMPOS!$A$4:$G$801,MATCH($B199,COMPOS!$A$4:A$801,0),5))))</f>
        <v>411.22</v>
      </c>
      <c r="H199" s="280">
        <f>(IF($A199="SINAPI",INDEX(SINAPI_NOV2020_NDES!$A$7:$H$6703,MATCH($B199,SINAPI_NOV2020_NDES!$A$7:$A$6703,0),7),(INDEX(COMPOS!$A$4:$G$801,MATCH($B199,COMPOS!$A$4:A$801,0),6))))</f>
        <v>0</v>
      </c>
      <c r="I199" s="279">
        <f t="shared" ref="I199" si="33">SUM(F199:H199)</f>
        <v>423.02000000000004</v>
      </c>
      <c r="J199" s="276">
        <f t="shared" ref="J199" si="34">+I199*E199</f>
        <v>43397.621800000008</v>
      </c>
    </row>
    <row r="200" spans="1:16" s="88" customFormat="1" ht="24" customHeight="1">
      <c r="A200" s="680" t="s">
        <v>6927</v>
      </c>
      <c r="B200" s="680"/>
      <c r="C200" s="680"/>
      <c r="D200" s="680"/>
      <c r="E200" s="680"/>
      <c r="F200" s="680"/>
      <c r="G200" s="680"/>
      <c r="H200" s="680"/>
      <c r="I200" s="680"/>
      <c r="J200" s="281">
        <f>SUM(J199)</f>
        <v>43397.621800000008</v>
      </c>
      <c r="K200" s="41"/>
      <c r="L200" s="41"/>
      <c r="M200" s="41"/>
      <c r="N200" s="41"/>
      <c r="O200" s="41"/>
      <c r="P200" s="41"/>
    </row>
    <row r="201" spans="1:16" s="41" customFormat="1" ht="12">
      <c r="A201" s="251"/>
      <c r="B201" s="299">
        <v>182</v>
      </c>
      <c r="C201" s="338" t="s">
        <v>593</v>
      </c>
      <c r="D201" s="274"/>
      <c r="E201" s="279"/>
      <c r="F201" s="275"/>
      <c r="G201" s="275"/>
      <c r="H201" s="275"/>
      <c r="I201" s="275"/>
      <c r="J201" s="275"/>
    </row>
    <row r="202" spans="1:16" s="41" customFormat="1" ht="36">
      <c r="A202" s="252" t="s">
        <v>7</v>
      </c>
      <c r="B202" s="293">
        <v>87879</v>
      </c>
      <c r="C202" s="301" t="str">
        <f>(IF($A202="SINAPI",INDEX(SINAPI_NOV2020_NDES!$A$7:$H$6703,MATCH($B202,SINAPI_NOV2020_NDES!$A$7:$A$6703,0),2),IF($A202="GOINFRA",INDEX(#REF!,MATCH($B202,#REF!,0),2),(INDEX(COMPOS!$A$4:$G$390,MATCH($B202,COMPOS!$A$4:A$390,0),2)))))</f>
        <v>CHAPISCO APLICADO EM ALVENARIAS E ESTRUTURAS DE CONCRETO INTERNAS, COM COLHER DE PEDREIRO.  ARGAMASSA TRAÇO 1:3 COM PREPARO EM BETONEIRA 400L. AF_06/2014</v>
      </c>
      <c r="D202" s="274" t="str">
        <f>(IF($A202="SINAPI",INDEX(SINAPI_NOV2020_NDES!$A$7:$H$6790,MATCH($B202,SINAPI_NOV2020_NDES!$A$7:$A$6790,0),3),(INDEX(COMPOS!$A$4:$G$5000,MATCH($B202,COMPOS!$A$4:$A$5000,0),3))))</f>
        <v>M2</v>
      </c>
      <c r="E202" s="362">
        <f>E166*2+29.2*4.52+E167*2</f>
        <v>555.95399999999995</v>
      </c>
      <c r="F202" s="279">
        <f>(IF($A202="SINAPI",INDEX(SINAPI_NOV2020_NDES!$A$7:$H$6703,MATCH($B202,SINAPI_NOV2020_NDES!$A$7:$A$6703,0),5),(INDEX(COMPOS!$A$4:$G$801,MATCH($B202,COMPOS!$A$4:A$801,0),4))))</f>
        <v>1.67</v>
      </c>
      <c r="G202" s="280">
        <f>(IF($A202="SINAPI",INDEX(SINAPI_NOV2020_NDES!$A$7:$H$6703,MATCH($B202,SINAPI_NOV2020_NDES!$A$7:$A$6703,0),6),(INDEX(COMPOS!$A$4:$G$801,MATCH($B202,COMPOS!$A$4:A$801,0),5))))</f>
        <v>1.74</v>
      </c>
      <c r="H202" s="280">
        <f>(IF($A202="SINAPI",INDEX(SINAPI_NOV2020_NDES!$A$7:$H$6703,MATCH($B202,SINAPI_NOV2020_NDES!$A$7:$A$6703,0),7),(INDEX(COMPOS!$A$4:$G$801,MATCH($B202,COMPOS!$A$4:A$801,0),6))))</f>
        <v>0</v>
      </c>
      <c r="I202" s="279">
        <f t="shared" ref="I202" si="35">SUM(F202:H202)</f>
        <v>3.41</v>
      </c>
      <c r="J202" s="276">
        <f t="shared" ref="J202" si="36">+I202*E202</f>
        <v>1895.80314</v>
      </c>
    </row>
    <row r="203" spans="1:16" s="41" customFormat="1" ht="48">
      <c r="A203" s="252" t="s">
        <v>7</v>
      </c>
      <c r="B203" s="293">
        <v>87529</v>
      </c>
      <c r="C203" s="301" t="str">
        <f>(IF($A203="SINAPI",INDEX(SINAPI_NOV2020_NDES!$A$7:$H$6703,MATCH($B203,SINAPI_NOV2020_NDES!$A$7:$A$6703,0),2),IF($A203="GOINFRA",INDEX(#REF!,MATCH($B203,#REF!,0),2),(INDEX(COMPOS!$A$4:$G$390,MATCH($B203,COMPOS!$A$4:A$390,0),2)))))</f>
        <v>MASSA ÚNICA, PARA RECEBIMENTO DE PINTURA, EM ARGAMASSA TRAÇO 1:2:8, PREPARO MECÂNICO COM BETONEIRA 400L, APLICADA MANUALMENTE EM FACES INTERNAS DE PAREDES, ESPESSURA DE 20MM, COM EXECUÇÃO DE TALISCAS. AF_06/2014</v>
      </c>
      <c r="D203" s="274" t="str">
        <f>(IF($A203="SINAPI",INDEX(SINAPI_NOV2020_NDES!$A$7:$H$6790,MATCH($B203,SINAPI_NOV2020_NDES!$A$7:$A$6790,0),3),(INDEX(COMPOS!$A$4:$G$5000,MATCH($B203,COMPOS!$A$4:$A$5000,0),3))))</f>
        <v>M2</v>
      </c>
      <c r="E203" s="362">
        <f>E167*2+29.2*4.52+3*2*3+(2.6*3-2.1*0.8-0.8*1.2-0.5*2.6)*2*10</f>
        <v>264.87400000000002</v>
      </c>
      <c r="F203" s="279">
        <f>(IF($A203="SINAPI",INDEX(SINAPI_NOV2020_NDES!$A$7:$H$6703,MATCH($B203,SINAPI_NOV2020_NDES!$A$7:$A$6703,0),5),(INDEX(COMPOS!$A$4:$G$801,MATCH($B203,COMPOS!$A$4:A$801,0),4))))</f>
        <v>13.35</v>
      </c>
      <c r="G203" s="280">
        <f>(IF($A203="SINAPI",INDEX(SINAPI_NOV2020_NDES!$A$7:$H$6703,MATCH($B203,SINAPI_NOV2020_NDES!$A$7:$A$6703,0),6),(INDEX(COMPOS!$A$4:$G$801,MATCH($B203,COMPOS!$A$4:A$801,0),5))))</f>
        <v>17.5</v>
      </c>
      <c r="H203" s="280">
        <f>(IF($A203="SINAPI",INDEX(SINAPI_NOV2020_NDES!$A$7:$H$6703,MATCH($B203,SINAPI_NOV2020_NDES!$A$7:$A$6703,0),7),(INDEX(COMPOS!$A$4:$G$801,MATCH($B203,COMPOS!$A$4:A$801,0),6))))</f>
        <v>0.03</v>
      </c>
      <c r="I203" s="279">
        <f t="shared" ref="I203" si="37">SUM(F203:H203)</f>
        <v>30.880000000000003</v>
      </c>
      <c r="J203" s="276">
        <f t="shared" ref="J203" si="38">+I203*E203</f>
        <v>8179.3091200000017</v>
      </c>
    </row>
    <row r="204" spans="1:16" s="41" customFormat="1" ht="12">
      <c r="A204" s="252" t="s">
        <v>6307</v>
      </c>
      <c r="B204" s="293">
        <v>406</v>
      </c>
      <c r="C204" s="301" t="str">
        <f>(IF($A204="SINAPI",INDEX(SINAPI_NOV2020_NDES!$A$7:$H$6703,MATCH($B204,SINAPI_NOV2020_NDES!$A$7:$A$6703,0),2),IF($A204="GOINFRA",INDEX(#REF!,MATCH($B204,#REF!,0),2),(INDEX(COMPOS!$A$4:$G$390,MATCH($B204,COMPOS!$A$4:A$390,0),2)))))</f>
        <v>BARRA LISA</v>
      </c>
      <c r="D204" s="274" t="str">
        <f>(IF($A204="SINAPI",INDEX(SINAPI_NOV2020_NDES!$A$7:$H$6790,MATCH($B204,SINAPI_NOV2020_NDES!$A$7:$A$6790,0),3),(INDEX(COMPOS!$A$4:$G$5000,MATCH($B204,COMPOS!$A$4:$A$5000,0),3))))</f>
        <v>M2</v>
      </c>
      <c r="E204" s="362">
        <v>651.41999999999996</v>
      </c>
      <c r="F204" s="279">
        <f>(IF($A204="SINAPI",INDEX(SINAPI_NOV2020_NDES!$A$7:$H$6703,MATCH($B204,SINAPI_NOV2020_NDES!$A$7:$A$6703,0),5),(INDEX(COMPOS!$A$4:$G$801,MATCH($B204,COMPOS!$A$4:A$801,0),4))))</f>
        <v>25.766999999999996</v>
      </c>
      <c r="G204" s="280">
        <f>(IF($A204="SINAPI",INDEX(SINAPI_NOV2020_NDES!$A$7:$H$6703,MATCH($B204,SINAPI_NOV2020_NDES!$A$7:$A$6703,0),6),(INDEX(COMPOS!$A$4:$G$801,MATCH($B204,COMPOS!$A$4:A$801,0),5))))</f>
        <v>11.186231000000001</v>
      </c>
      <c r="H204" s="280">
        <f>(IF($A204="SINAPI",INDEX(SINAPI_NOV2020_NDES!$A$7:$H$6703,MATCH($B204,SINAPI_NOV2020_NDES!$A$7:$A$6703,0),7),(INDEX(COMPOS!$A$4:$G$801,MATCH($B204,COMPOS!$A$4:A$801,0),6))))</f>
        <v>0</v>
      </c>
      <c r="I204" s="279">
        <f>SUM(F204:H204)</f>
        <v>36.953230999999995</v>
      </c>
      <c r="J204" s="276">
        <f>+I204*E204</f>
        <v>24072.073738019997</v>
      </c>
    </row>
    <row r="205" spans="1:16" s="88" customFormat="1" ht="24" customHeight="1">
      <c r="A205" s="680" t="s">
        <v>6927</v>
      </c>
      <c r="B205" s="680"/>
      <c r="C205" s="680"/>
      <c r="D205" s="680"/>
      <c r="E205" s="680"/>
      <c r="F205" s="680"/>
      <c r="G205" s="680"/>
      <c r="H205" s="680"/>
      <c r="I205" s="680"/>
      <c r="J205" s="281">
        <f>SUM(J202:J204)</f>
        <v>34147.185998019995</v>
      </c>
      <c r="K205" s="41"/>
      <c r="L205" s="41"/>
      <c r="M205" s="41"/>
      <c r="N205" s="41"/>
      <c r="O205" s="41"/>
      <c r="P205" s="41"/>
    </row>
    <row r="206" spans="1:16" s="41" customFormat="1" ht="12">
      <c r="A206" s="251"/>
      <c r="B206" s="299">
        <v>183</v>
      </c>
      <c r="C206" s="338" t="s">
        <v>592</v>
      </c>
      <c r="D206" s="274"/>
      <c r="E206" s="279"/>
      <c r="F206" s="275"/>
      <c r="G206" s="275"/>
      <c r="H206" s="275"/>
      <c r="I206" s="275"/>
      <c r="J206" s="275"/>
    </row>
    <row r="207" spans="1:16" s="41" customFormat="1" ht="36">
      <c r="A207" s="252" t="s">
        <v>7</v>
      </c>
      <c r="B207" s="293">
        <v>87882</v>
      </c>
      <c r="C207" s="301" t="str">
        <f>(IF($A207="SINAPI",INDEX(SINAPI_NOV2020_NDES!$A$7:$H$6703,MATCH($B207,SINAPI_NOV2020_NDES!$A$7:$A$6703,0),2),IF($A207="GOINFRA",INDEX(#REF!,MATCH($B207,#REF!,0),2),(INDEX(COMPOS!$A$4:$G$390,MATCH($B207,COMPOS!$A$4:A$390,0),2)))))</f>
        <v>CHAPISCO APLICADO NO TETO, COM ROLO PARA TEXTURA ACRÍLICA. ARGAMASSA TRAÇO 1:4 E EMULSÃO POLIMÉRICA (ADESIVO) COM PREPARO EM BETONEIRA 400L. AF_06/2014</v>
      </c>
      <c r="D207" s="274" t="str">
        <f>(IF($A207="SINAPI",INDEX(SINAPI_NOV2020_NDES!$A$7:$H$6790,MATCH($B207,SINAPI_NOV2020_NDES!$A$7:$A$6790,0),3),(INDEX(COMPOS!$A$4:$G$5000,MATCH($B207,COMPOS!$A$4:$A$5000,0),3))))</f>
        <v>M2</v>
      </c>
      <c r="E207" s="362">
        <v>541.67999999999995</v>
      </c>
      <c r="F207" s="279">
        <f>(IF($A207="SINAPI",INDEX(SINAPI_NOV2020_NDES!$A$7:$H$6703,MATCH($B207,SINAPI_NOV2020_NDES!$A$7:$A$6703,0),5),(INDEX(COMPOS!$A$4:$G$801,MATCH($B207,COMPOS!$A$4:A$801,0),4))))</f>
        <v>0.82</v>
      </c>
      <c r="G207" s="280">
        <f>(IF($A207="SINAPI",INDEX(SINAPI_NOV2020_NDES!$A$7:$H$6703,MATCH($B207,SINAPI_NOV2020_NDES!$A$7:$A$6703,0),6),(INDEX(COMPOS!$A$4:$G$801,MATCH($B207,COMPOS!$A$4:A$801,0),5))))</f>
        <v>3.11</v>
      </c>
      <c r="H207" s="280">
        <f>(IF($A207="SINAPI",INDEX(SINAPI_NOV2020_NDES!$A$7:$H$6703,MATCH($B207,SINAPI_NOV2020_NDES!$A$7:$A$6703,0),7),(INDEX(COMPOS!$A$4:$G$801,MATCH($B207,COMPOS!$A$4:A$801,0),6))))</f>
        <v>0</v>
      </c>
      <c r="I207" s="279">
        <f t="shared" ref="I207" si="39">SUM(F207:H207)</f>
        <v>3.9299999999999997</v>
      </c>
      <c r="J207" s="276">
        <f t="shared" ref="J207" si="40">+I207*E207</f>
        <v>2128.8023999999996</v>
      </c>
    </row>
    <row r="208" spans="1:16" s="41" customFormat="1" ht="36">
      <c r="A208" s="252" t="s">
        <v>7</v>
      </c>
      <c r="B208" s="293">
        <v>90406</v>
      </c>
      <c r="C208" s="301" t="str">
        <f>(IF($A208="SINAPI",INDEX(SINAPI_NOV2020_NDES!$A$7:$H$6703,MATCH($B208,SINAPI_NOV2020_NDES!$A$7:$A$6703,0),2),IF($A208="GOINFRA",INDEX(#REF!,MATCH($B208,#REF!,0),2),(INDEX(COMPOS!$A$4:$G$390,MATCH($B208,COMPOS!$A$4:A$390,0),2)))))</f>
        <v>MASSA ÚNICA, PARA RECEBIMENTO DE PINTURA, EM ARGAMASSA TRAÇO 1:2:8, PREPARO MECÂNICO COM BETONEIRA 400L, APLICADA MANUALMENTE EM TETO, ESPESSURA DE 20MM, COM EXECUÇÃO DE TALISCAS. AF_03/2015</v>
      </c>
      <c r="D208" s="274" t="str">
        <f>(IF($A208="SINAPI",INDEX(SINAPI_NOV2020_NDES!$A$7:$H$6790,MATCH($B208,SINAPI_NOV2020_NDES!$A$7:$A$6790,0),3),(INDEX(COMPOS!$A$4:$G$5000,MATCH($B208,COMPOS!$A$4:$A$5000,0),3))))</f>
        <v>M2</v>
      </c>
      <c r="E208" s="362">
        <v>541.67999999999995</v>
      </c>
      <c r="F208" s="279">
        <f>(IF($A208="SINAPI",INDEX(SINAPI_NOV2020_NDES!$A$7:$H$6703,MATCH($B208,SINAPI_NOV2020_NDES!$A$7:$A$6703,0),5),(INDEX(COMPOS!$A$4:$G$801,MATCH($B208,COMPOS!$A$4:A$801,0),4))))</f>
        <v>20.13</v>
      </c>
      <c r="G208" s="280">
        <f>(IF($A208="SINAPI",INDEX(SINAPI_NOV2020_NDES!$A$7:$H$6703,MATCH($B208,SINAPI_NOV2020_NDES!$A$7:$A$6703,0),6),(INDEX(COMPOS!$A$4:$G$801,MATCH($B208,COMPOS!$A$4:A$801,0),5))))</f>
        <v>19.45</v>
      </c>
      <c r="H208" s="280">
        <f>(IF($A208="SINAPI",INDEX(SINAPI_NOV2020_NDES!$A$7:$H$6703,MATCH($B208,SINAPI_NOV2020_NDES!$A$7:$A$6703,0),7),(INDEX(COMPOS!$A$4:$G$801,MATCH($B208,COMPOS!$A$4:A$801,0),6))))</f>
        <v>0.03</v>
      </c>
      <c r="I208" s="279">
        <f t="shared" ref="I208" si="41">SUM(F208:H208)</f>
        <v>39.61</v>
      </c>
      <c r="J208" s="276">
        <f t="shared" ref="J208" si="42">+I208*E208</f>
        <v>21455.944799999997</v>
      </c>
    </row>
    <row r="209" spans="1:16" s="88" customFormat="1" ht="24" customHeight="1">
      <c r="A209" s="680" t="s">
        <v>6927</v>
      </c>
      <c r="B209" s="680"/>
      <c r="C209" s="680"/>
      <c r="D209" s="680"/>
      <c r="E209" s="680"/>
      <c r="F209" s="680"/>
      <c r="G209" s="680"/>
      <c r="H209" s="680"/>
      <c r="I209" s="680"/>
      <c r="J209" s="281">
        <f>SUM(J207:J208)</f>
        <v>23584.747199999998</v>
      </c>
      <c r="K209" s="41"/>
      <c r="L209" s="41"/>
      <c r="M209" s="41"/>
      <c r="N209" s="41"/>
      <c r="O209" s="41"/>
      <c r="P209" s="41"/>
    </row>
    <row r="210" spans="1:16" s="41" customFormat="1" ht="12">
      <c r="A210" s="251"/>
      <c r="B210" s="299">
        <v>184</v>
      </c>
      <c r="C210" s="338" t="s">
        <v>591</v>
      </c>
      <c r="D210" s="274"/>
      <c r="E210" s="279"/>
      <c r="F210" s="275"/>
      <c r="G210" s="275"/>
      <c r="H210" s="275"/>
      <c r="I210" s="275"/>
      <c r="J210" s="275"/>
    </row>
    <row r="211" spans="1:16" s="41" customFormat="1" ht="24">
      <c r="A211" s="252" t="s">
        <v>7</v>
      </c>
      <c r="B211" s="293">
        <v>95241</v>
      </c>
      <c r="C211" s="301" t="str">
        <f>(IF($A211="SINAPI",INDEX(SINAPI_NOV2020_NDES!$A$7:$H$6703,MATCH($B211,SINAPI_NOV2020_NDES!$A$7:$A$6703,0),2),IF($A211="GOINFRA",INDEX(#REF!,MATCH($B211,#REF!,0),2),(INDEX(COMPOS!$A$4:$G$390,MATCH($B211,COMPOS!$A$4:A$390,0),2)))))</f>
        <v>LASTRO DE CONCRETO MAGRO, APLICADO EM PISOS OU RADIERS, ESPESSURA DE 5 CM. AF_07/2016</v>
      </c>
      <c r="D211" s="274" t="str">
        <f>(IF($A211="SINAPI",INDEX(SINAPI_NOV2020_NDES!$A$7:$H$6790,MATCH($B211,SINAPI_NOV2020_NDES!$A$7:$A$6790,0),3),(INDEX(COMPOS!$A$4:$G$5000,MATCH($B211,COMPOS!$A$4:$A$5000,0),3))))</f>
        <v>M2</v>
      </c>
      <c r="E211" s="362">
        <f>29.2+302.75</f>
        <v>331.95</v>
      </c>
      <c r="F211" s="279">
        <f>(IF($A211="SINAPI",INDEX(SINAPI_NOV2020_NDES!$A$7:$H$6703,MATCH($B211,SINAPI_NOV2020_NDES!$A$7:$A$6703,0),5),(INDEX(COMPOS!$A$4:$G$801,MATCH($B211,COMPOS!$A$4:A$801,0),4))))</f>
        <v>8.26</v>
      </c>
      <c r="G211" s="280">
        <f>(IF($A211="SINAPI",INDEX(SINAPI_NOV2020_NDES!$A$7:$H$6703,MATCH($B211,SINAPI_NOV2020_NDES!$A$7:$A$6703,0),6),(INDEX(COMPOS!$A$4:$G$801,MATCH($B211,COMPOS!$A$4:A$801,0),5))))</f>
        <v>16.48</v>
      </c>
      <c r="H211" s="280">
        <f>(IF($A211="SINAPI",INDEX(SINAPI_NOV2020_NDES!$A$7:$H$6703,MATCH($B211,SINAPI_NOV2020_NDES!$A$7:$A$6703,0),7),(INDEX(COMPOS!$A$4:$G$801,MATCH($B211,COMPOS!$A$4:A$801,0),6))))</f>
        <v>0.09</v>
      </c>
      <c r="I211" s="279">
        <f t="shared" ref="I211" si="43">SUM(F211:H211)</f>
        <v>24.830000000000002</v>
      </c>
      <c r="J211" s="276">
        <f t="shared" ref="J211" si="44">+I211*E211</f>
        <v>8242.3185000000012</v>
      </c>
    </row>
    <row r="212" spans="1:16" s="41" customFormat="1" ht="24">
      <c r="A212" s="252" t="s">
        <v>6307</v>
      </c>
      <c r="B212" s="293">
        <v>348</v>
      </c>
      <c r="C212" s="301" t="str">
        <f>(IF($A212="SINAPI",INDEX(SINAPI_NOV2020_NDES!$A$7:$H$6703,MATCH($B212,SINAPI_NOV2020_NDES!$A$7:$A$6703,0),2),IF($A212="GOINFRA",INDEX(#REF!,MATCH($B212,#REF!,0),2),(INDEX(COMPOS!$A$4:$G$390,MATCH($B212,COMPOS!$A$4:A$390,0),2)))))</f>
        <v>PASSEIO DE PROTEÇÃO EM CONCRETO DESEMPENADO 5CM (1:2,5:3,5) (INCLUSO ESPELHO DE 30CM/ESCAVAÇÃO/REATERRO/APILOAMENTO/ATERRO INTERNO)</v>
      </c>
      <c r="D212" s="274" t="str">
        <f>(IF($A212="SINAPI",INDEX(SINAPI_NOV2020_NDES!$A$7:$H$6790,MATCH($B212,SINAPI_NOV2020_NDES!$A$7:$A$6790,0),3),(INDEX(COMPOS!$A$4:$G$5000,MATCH($B212,COMPOS!$A$4:$A$5000,0),3))))</f>
        <v>M2</v>
      </c>
      <c r="E212" s="362">
        <v>97.82</v>
      </c>
      <c r="F212" s="279">
        <f>(IF($A212="SINAPI",INDEX(SINAPI_NOV2020_NDES!$A$7:$H$6703,MATCH($B212,SINAPI_NOV2020_NDES!$A$7:$A$6703,0),5),(INDEX(COMPOS!$A$4:$G$801,MATCH($B212,COMPOS!$A$4:A$801,0),4))))</f>
        <v>43.421984000000002</v>
      </c>
      <c r="G212" s="280">
        <f>(IF($A212="SINAPI",INDEX(SINAPI_NOV2020_NDES!$A$7:$H$6703,MATCH($B212,SINAPI_NOV2020_NDES!$A$7:$A$6703,0),6),(INDEX(COMPOS!$A$4:$G$801,MATCH($B212,COMPOS!$A$4:A$801,0),5))))</f>
        <v>31.570292999999999</v>
      </c>
      <c r="H212" s="280">
        <f>(IF($A212="SINAPI",INDEX(SINAPI_NOV2020_NDES!$A$7:$H$6703,MATCH($B212,SINAPI_NOV2020_NDES!$A$7:$A$6703,0),7),(INDEX(COMPOS!$A$4:$G$801,MATCH($B212,COMPOS!$A$4:A$801,0),6))))</f>
        <v>0</v>
      </c>
      <c r="I212" s="279">
        <f>SUM(F212:H212)</f>
        <v>74.992277000000001</v>
      </c>
      <c r="J212" s="276">
        <f>+I212*E212</f>
        <v>7335.7445361399996</v>
      </c>
    </row>
    <row r="213" spans="1:16" s="41" customFormat="1" ht="12">
      <c r="A213" s="252" t="s">
        <v>6307</v>
      </c>
      <c r="B213" s="293">
        <v>349</v>
      </c>
      <c r="C213" s="301" t="str">
        <f>(IF($A213="SINAPI",INDEX(SINAPI_NOV2020_NDES!$A$7:$H$6703,MATCH($B213,SINAPI_NOV2020_NDES!$A$7:$A$6703,0),2),IF($A213="GOINFRA",INDEX(#REF!,MATCH($B213,#REF!,0),2),(INDEX(COMPOS!$A$4:$G$390,MATCH($B213,COMPOS!$A$4:A$390,0),2)))))</f>
        <v>PISO EM CONCRETO DESEMPENADO 5CM (1:2,5:3,5)</v>
      </c>
      <c r="D213" s="274" t="str">
        <f>(IF($A213="SINAPI",INDEX(SINAPI_NOV2020_NDES!$A$7:$H$6790,MATCH($B213,SINAPI_NOV2020_NDES!$A$7:$A$6790,0),3),(INDEX(COMPOS!$A$4:$G$5000,MATCH($B213,COMPOS!$A$4:$A$5000,0),3))))</f>
        <v>M2</v>
      </c>
      <c r="E213" s="362">
        <v>495.25</v>
      </c>
      <c r="F213" s="279">
        <f>(IF($A213="SINAPI",INDEX(SINAPI_NOV2020_NDES!$A$7:$H$6703,MATCH($B213,SINAPI_NOV2020_NDES!$A$7:$A$6703,0),5),(INDEX(COMPOS!$A$4:$G$801,MATCH($B213,COMPOS!$A$4:A$801,0),4))))</f>
        <v>14.561212999999999</v>
      </c>
      <c r="G213" s="280">
        <f>(IF($A213="SINAPI",INDEX(SINAPI_NOV2020_NDES!$A$7:$H$6703,MATCH($B213,SINAPI_NOV2020_NDES!$A$7:$A$6703,0),6),(INDEX(COMPOS!$A$4:$G$801,MATCH($B213,COMPOS!$A$4:A$801,0),5))))</f>
        <v>15.349762</v>
      </c>
      <c r="H213" s="280">
        <f>(IF($A213="SINAPI",INDEX(SINAPI_NOV2020_NDES!$A$7:$H$6703,MATCH($B213,SINAPI_NOV2020_NDES!$A$7:$A$6703,0),7),(INDEX(COMPOS!$A$4:$G$801,MATCH($B213,COMPOS!$A$4:A$801,0),6))))</f>
        <v>0</v>
      </c>
      <c r="I213" s="279">
        <f>SUM(F213:H213)</f>
        <v>29.910975000000001</v>
      </c>
      <c r="J213" s="276">
        <f>+I213*E213</f>
        <v>14813.410368750001</v>
      </c>
    </row>
    <row r="214" spans="1:16" s="41" customFormat="1" ht="12">
      <c r="A214" s="252" t="s">
        <v>6307</v>
      </c>
      <c r="B214" s="293">
        <v>350</v>
      </c>
      <c r="C214" s="301" t="str">
        <f>(IF($A214="SINAPI",INDEX(SINAPI_NOV2020_NDES!$A$7:$H$6703,MATCH($B214,SINAPI_NOV2020_NDES!$A$7:$A$6703,0),2),IF($A214="GOINFRA",INDEX(#REF!,MATCH($B214,#REF!,0),2),(INDEX(COMPOS!$A$4:$G$390,MATCH($B214,COMPOS!$A$4:A$390,0),2)))))</f>
        <v>GRANITINA 8MM FUNDIDA COM CONTRAPISO, ESP. 2CM E JUNTA PLÁSTICA 27MM</v>
      </c>
      <c r="D214" s="274" t="str">
        <f>(IF($A214="SINAPI",INDEX(SINAPI_NOV2020_NDES!$A$7:$H$6790,MATCH($B214,SINAPI_NOV2020_NDES!$A$7:$A$6790,0),3),(INDEX(COMPOS!$A$4:$G$5000,MATCH($B214,COMPOS!$A$4:$A$5000,0),3))))</f>
        <v>M2</v>
      </c>
      <c r="E214" s="362">
        <v>1302.3699999999999</v>
      </c>
      <c r="F214" s="279">
        <f>(IF($A214="SINAPI",INDEX(SINAPI_NOV2020_NDES!$A$7:$H$6703,MATCH($B214,SINAPI_NOV2020_NDES!$A$7:$A$6703,0),5),(INDEX(COMPOS!$A$4:$G$801,MATCH($B214,COMPOS!$A$4:A$801,0),4))))</f>
        <v>19.118230999999998</v>
      </c>
      <c r="G214" s="280">
        <f>(IF($A214="SINAPI",INDEX(SINAPI_NOV2020_NDES!$A$7:$H$6703,MATCH($B214,SINAPI_NOV2020_NDES!$A$7:$A$6703,0),6),(INDEX(COMPOS!$A$4:$G$801,MATCH($B214,COMPOS!$A$4:A$801,0),5))))</f>
        <v>97.538049999999998</v>
      </c>
      <c r="H214" s="280">
        <f>(IF($A214="SINAPI",INDEX(SINAPI_NOV2020_NDES!$A$7:$H$6703,MATCH($B214,SINAPI_NOV2020_NDES!$A$7:$A$6703,0),7),(INDEX(COMPOS!$A$4:$G$801,MATCH($B214,COMPOS!$A$4:A$801,0),6))))</f>
        <v>0</v>
      </c>
      <c r="I214" s="279">
        <f>SUM(F214:H214)</f>
        <v>116.65628099999999</v>
      </c>
      <c r="J214" s="276">
        <f>+I214*E214</f>
        <v>151929.64068596996</v>
      </c>
    </row>
    <row r="215" spans="1:16" s="41" customFormat="1" ht="12">
      <c r="A215" s="252" t="s">
        <v>6307</v>
      </c>
      <c r="B215" s="293">
        <v>351</v>
      </c>
      <c r="C215" s="301" t="str">
        <f>(IF($A215="SINAPI",INDEX(SINAPI_NOV2020_NDES!$A$7:$H$6703,MATCH($B215,SINAPI_NOV2020_NDES!$A$7:$A$6703,0),2),IF($A215="GOINFRA",INDEX(#REF!,MATCH($B215,#REF!,0),2),(INDEX(COMPOS!$A$4:$G$390,MATCH($B215,COMPOS!$A$4:A$390,0),2)))))</f>
        <v>RODAPÉ FUNDIDO DE GRANITINA 7CM</v>
      </c>
      <c r="D215" s="274" t="str">
        <f>(IF($A215="SINAPI",INDEX(SINAPI_NOV2020_NDES!$A$7:$H$6790,MATCH($B215,SINAPI_NOV2020_NDES!$A$7:$A$6790,0),3),(INDEX(COMPOS!$A$4:$G$5000,MATCH($B215,COMPOS!$A$4:$A$5000,0),3))))</f>
        <v>M</v>
      </c>
      <c r="E215" s="362">
        <v>1318.54</v>
      </c>
      <c r="F215" s="279">
        <f>(IF($A215="SINAPI",INDEX(SINAPI_NOV2020_NDES!$A$7:$H$6703,MATCH($B215,SINAPI_NOV2020_NDES!$A$7:$A$6703,0),5),(INDEX(COMPOS!$A$4:$G$801,MATCH($B215,COMPOS!$A$4:A$801,0),4))))</f>
        <v>0</v>
      </c>
      <c r="G215" s="280">
        <f>(IF($A215="SINAPI",INDEX(SINAPI_NOV2020_NDES!$A$7:$H$6703,MATCH($B215,SINAPI_NOV2020_NDES!$A$7:$A$6703,0),6),(INDEX(COMPOS!$A$4:$G$801,MATCH($B215,COMPOS!$A$4:A$801,0),5))))</f>
        <v>20.94</v>
      </c>
      <c r="H215" s="280">
        <f>(IF($A215="SINAPI",INDEX(SINAPI_NOV2020_NDES!$A$7:$H$6703,MATCH($B215,SINAPI_NOV2020_NDES!$A$7:$A$6703,0),7),(INDEX(COMPOS!$A$4:$G$801,MATCH($B215,COMPOS!$A$4:A$801,0),6))))</f>
        <v>0</v>
      </c>
      <c r="I215" s="279">
        <f>SUM(F215:H215)</f>
        <v>20.94</v>
      </c>
      <c r="J215" s="276">
        <f>+I215*E215</f>
        <v>27610.227600000002</v>
      </c>
    </row>
    <row r="216" spans="1:16" s="41" customFormat="1" ht="12">
      <c r="A216" s="252" t="s">
        <v>6307</v>
      </c>
      <c r="B216" s="293">
        <v>482</v>
      </c>
      <c r="C216" s="301" t="str">
        <f>(IF($A216="SINAPI",INDEX(SINAPI_NOV2020_NDES!$A$7:$H$6703,MATCH($B216,SINAPI_NOV2020_NDES!$A$7:$A$6703,0),2),IF($A216="GOINFRA",INDEX(#REF!,MATCH($B216,#REF!,0),2),(INDEX(COMPOS!$A$4:$G$390,MATCH($B216,COMPOS!$A$4:A$390,0),2)))))</f>
        <v>PISO PODOTÁTIL CONCRETO 25X25 DIRECIONAL</v>
      </c>
      <c r="D216" s="274" t="str">
        <f>(IF($A216="SINAPI",INDEX(SINAPI_NOV2020_NDES!$A$7:$H$6790,MATCH($B216,SINAPI_NOV2020_NDES!$A$7:$A$6790,0),3),(INDEX(COMPOS!$A$4:$G$5000,MATCH($B216,COMPOS!$A$4:$A$5000,0),3))))</f>
        <v>M2</v>
      </c>
      <c r="E216" s="362">
        <f>45.34+51.89+6.97</f>
        <v>104.2</v>
      </c>
      <c r="F216" s="279">
        <f>(IF($A216="SINAPI",INDEX(SINAPI_NOV2020_NDES!$A$7:$H$6703,MATCH($B216,SINAPI_NOV2020_NDES!$A$7:$A$6703,0),5),(INDEX(COMPOS!$A$4:$G$801,MATCH($B216,COMPOS!$A$4:A$801,0),4))))</f>
        <v>26.110093999999997</v>
      </c>
      <c r="G216" s="280">
        <f>(IF($A216="SINAPI",INDEX(SINAPI_NOV2020_NDES!$A$7:$H$6703,MATCH($B216,SINAPI_NOV2020_NDES!$A$7:$A$6703,0),6),(INDEX(COMPOS!$A$4:$G$801,MATCH($B216,COMPOS!$A$4:A$801,0),5))))</f>
        <v>65.552500000000009</v>
      </c>
      <c r="H216" s="280">
        <f>(IF($A216="SINAPI",INDEX(SINAPI_NOV2020_NDES!$A$7:$H$6703,MATCH($B216,SINAPI_NOV2020_NDES!$A$7:$A$6703,0),7),(INDEX(COMPOS!$A$4:$G$801,MATCH($B216,COMPOS!$A$4:A$801,0),6))))</f>
        <v>0</v>
      </c>
      <c r="I216" s="279">
        <f>SUM(F216:H216)</f>
        <v>91.662594000000013</v>
      </c>
      <c r="J216" s="276">
        <f>+I216*E216</f>
        <v>9551.2422948000021</v>
      </c>
    </row>
    <row r="217" spans="1:16" s="88" customFormat="1" ht="24" customHeight="1">
      <c r="A217" s="680" t="s">
        <v>6927</v>
      </c>
      <c r="B217" s="680"/>
      <c r="C217" s="680"/>
      <c r="D217" s="680"/>
      <c r="E217" s="680"/>
      <c r="F217" s="680"/>
      <c r="G217" s="680"/>
      <c r="H217" s="680"/>
      <c r="I217" s="680"/>
      <c r="J217" s="281">
        <f>SUM(J211:J216)</f>
        <v>219482.58398565996</v>
      </c>
      <c r="K217" s="41"/>
      <c r="L217" s="41"/>
      <c r="M217" s="41"/>
      <c r="N217" s="41"/>
      <c r="O217" s="41"/>
      <c r="P217" s="41"/>
    </row>
    <row r="218" spans="1:16" s="41" customFormat="1" ht="12">
      <c r="A218" s="251"/>
      <c r="B218" s="299">
        <v>185</v>
      </c>
      <c r="C218" s="338" t="s">
        <v>590</v>
      </c>
      <c r="D218" s="274"/>
      <c r="E218" s="279"/>
      <c r="F218" s="275"/>
      <c r="G218" s="275"/>
      <c r="H218" s="275"/>
      <c r="I218" s="275"/>
      <c r="J218" s="275"/>
    </row>
    <row r="219" spans="1:16" s="41" customFormat="1" ht="24">
      <c r="A219" s="251" t="s">
        <v>7</v>
      </c>
      <c r="B219" s="289">
        <v>100866</v>
      </c>
      <c r="C219" s="301" t="str">
        <f>(IF($A219="SINAPI",INDEX(SINAPI_NOV2020_NDES!$A$7:$H$6703,MATCH($B219,SINAPI_NOV2020_NDES!$A$7:$A$6703,0),2),IF($A219="GOINFRA",INDEX(#REF!,MATCH($B219,#REF!,0),2),(INDEX(COMPOS!$A$4:$G$390,MATCH($B219,COMPOS!$A$4:A$390,0),2)))))</f>
        <v>BARRA DE APOIO RETA, EM ACO INOX POLIDO, COMPRIMENTO 60CM, FIXADA NA PAREDE - FORNECIMENTO E INSTALAÇÃO. AF_01/2020</v>
      </c>
      <c r="D219" s="274" t="str">
        <f>(IF($A219="SINAPI",INDEX(SINAPI_NOV2020_NDES!$A$7:$H$6790,MATCH($B219,SINAPI_NOV2020_NDES!$A$7:$A$6790,0),3),(INDEX(COMPOS!$A$4:$G$5000,MATCH($B219,COMPOS!$A$4:$A$5000,0),3))))</f>
        <v>UN</v>
      </c>
      <c r="E219" s="279">
        <v>18</v>
      </c>
      <c r="F219" s="279">
        <f>(IF($A219="SINAPI",INDEX(SINAPI_NOV2020_NDES!$A$7:$H$6703,MATCH($B219,SINAPI_NOV2020_NDES!$A$7:$A$6703,0),5),(INDEX(COMPOS!$A$4:$G$801,MATCH($B219,COMPOS!$A$4:A$801,0),4))))</f>
        <v>19.36</v>
      </c>
      <c r="G219" s="280">
        <f>(IF($A219="SINAPI",INDEX(SINAPI_NOV2020_NDES!$A$7:$H$6703,MATCH($B219,SINAPI_NOV2020_NDES!$A$7:$A$6703,0),6),(INDEX(COMPOS!$A$4:$G$801,MATCH($B219,COMPOS!$A$4:A$801,0),5))))</f>
        <v>193.84</v>
      </c>
      <c r="H219" s="280">
        <f>(IF($A219="SINAPI",INDEX(SINAPI_NOV2020_NDES!$A$7:$H$6703,MATCH($B219,SINAPI_NOV2020_NDES!$A$7:$A$6703,0),7),(INDEX(COMPOS!$A$4:$G$801,MATCH($B219,COMPOS!$A$4:A$801,0),6))))</f>
        <v>0</v>
      </c>
      <c r="I219" s="279">
        <f t="shared" ref="I219" si="45">SUM(F219:H219)</f>
        <v>213.2</v>
      </c>
      <c r="J219" s="276">
        <f t="shared" ref="J219" si="46">+I219*E219</f>
        <v>3837.6</v>
      </c>
    </row>
    <row r="220" spans="1:16" s="41" customFormat="1" ht="12">
      <c r="A220" s="251" t="s">
        <v>6307</v>
      </c>
      <c r="B220" s="293">
        <v>407</v>
      </c>
      <c r="C220" s="301" t="str">
        <f>(IF($A220="SINAPI",INDEX(SINAPI_NOV2020_NDES!$A$7:$H$6703,MATCH($B220,SINAPI_NOV2020_NDES!$A$7:$A$6703,0),2),IF($A220="GOINFRA",INDEX(#REF!,MATCH($B220,#REF!,0),2),(INDEX(COMPOS!$A$4:$G$390,MATCH($B220,COMPOS!$A$4:A$390,0),2)))))</f>
        <v>CADEADO 30MM</v>
      </c>
      <c r="D220" s="274" t="str">
        <f>(IF($A220="SINAPI",INDEX(SINAPI_NOV2020_NDES!$A$7:$H$6790,MATCH($B220,SINAPI_NOV2020_NDES!$A$7:$A$6790,0),3),(INDEX(COMPOS!$A$4:$G$5000,MATCH($B220,COMPOS!$A$4:$A$5000,0),3))))</f>
        <v>UN</v>
      </c>
      <c r="E220" s="279">
        <v>100</v>
      </c>
      <c r="F220" s="279">
        <f>(IF($A220="SINAPI",INDEX(SINAPI_NOV2020_NDES!$A$7:$H$6703,MATCH($B220,SINAPI_NOV2020_NDES!$A$7:$A$6703,0),5),(INDEX(COMPOS!$A$4:$G$801,MATCH($B220,COMPOS!$A$4:A$801,0),4))))</f>
        <v>0</v>
      </c>
      <c r="G220" s="280">
        <f>(IF($A220="SINAPI",INDEX(SINAPI_NOV2020_NDES!$A$7:$H$6703,MATCH($B220,SINAPI_NOV2020_NDES!$A$7:$A$6703,0),6),(INDEX(COMPOS!$A$4:$G$801,MATCH($B220,COMPOS!$A$4:A$801,0),5))))</f>
        <v>21.76</v>
      </c>
      <c r="H220" s="280">
        <f>(IF($A220="SINAPI",INDEX(SINAPI_NOV2020_NDES!$A$7:$H$6703,MATCH($B220,SINAPI_NOV2020_NDES!$A$7:$A$6703,0),7),(INDEX(COMPOS!$A$4:$G$801,MATCH($B220,COMPOS!$A$4:A$801,0),6))))</f>
        <v>0</v>
      </c>
      <c r="I220" s="279">
        <f>SUM(F220:H220)</f>
        <v>21.76</v>
      </c>
      <c r="J220" s="276">
        <f>+I220*E220</f>
        <v>2176</v>
      </c>
    </row>
    <row r="221" spans="1:16" s="41" customFormat="1" ht="12">
      <c r="A221" s="680" t="s">
        <v>6927</v>
      </c>
      <c r="B221" s="680"/>
      <c r="C221" s="680"/>
      <c r="D221" s="680"/>
      <c r="E221" s="680"/>
      <c r="F221" s="680"/>
      <c r="G221" s="680"/>
      <c r="H221" s="680"/>
      <c r="I221" s="680"/>
      <c r="J221" s="281">
        <f>SUM(J219:J220)</f>
        <v>6013.6</v>
      </c>
    </row>
    <row r="222" spans="1:16" s="41" customFormat="1" ht="12">
      <c r="A222" s="251"/>
      <c r="B222" s="299">
        <v>188</v>
      </c>
      <c r="C222" s="338" t="s">
        <v>587</v>
      </c>
      <c r="D222" s="274"/>
      <c r="E222" s="279"/>
      <c r="F222" s="275"/>
      <c r="G222" s="275"/>
      <c r="H222" s="275"/>
      <c r="I222" s="275"/>
      <c r="J222" s="275"/>
    </row>
    <row r="223" spans="1:16" s="41" customFormat="1" ht="12">
      <c r="A223" s="251" t="s">
        <v>7</v>
      </c>
      <c r="B223" s="293">
        <v>88482</v>
      </c>
      <c r="C223" s="301" t="str">
        <f>(IF($A223="SINAPI",INDEX(SINAPI_NOV2020_NDES!$A$7:$H$6703,MATCH($B223,SINAPI_NOV2020_NDES!$A$7:$A$6703,0),2),IF($A223="GOINFRA",INDEX(#REF!,MATCH($B223,#REF!,0),2),(INDEX(COMPOS!$A$4:$G$390,MATCH($B223,COMPOS!$A$4:A$390,0),2)))))</f>
        <v>APLICAÇÃO DE FUNDO SELADOR LÁTEX PVA EM TETO, UMA DEMÃO. AF_06/2014</v>
      </c>
      <c r="D223" s="274" t="str">
        <f>(IF($A223="SINAPI",INDEX(SINAPI_NOV2020_NDES!$A$7:$H$6790,MATCH($B223,SINAPI_NOV2020_NDES!$A$7:$A$6790,0),3),(INDEX(COMPOS!$A$4:$G$5000,MATCH($B223,COMPOS!$A$4:$A$5000,0),3))))</f>
        <v>M2</v>
      </c>
      <c r="E223" s="249">
        <v>1665.89</v>
      </c>
      <c r="F223" s="279">
        <f>(IF($A223="SINAPI",INDEX(SINAPI_NOV2020_NDES!$A$7:$H$6703,MATCH($B223,SINAPI_NOV2020_NDES!$A$7:$A$6703,0),5),(INDEX(COMPOS!$A$4:$G$801,MATCH($B223,COMPOS!$A$4:A$801,0),4))))</f>
        <v>0.74</v>
      </c>
      <c r="G223" s="280">
        <f>(IF($A223="SINAPI",INDEX(SINAPI_NOV2020_NDES!$A$7:$H$6703,MATCH($B223,SINAPI_NOV2020_NDES!$A$7:$A$6703,0),6),(INDEX(COMPOS!$A$4:$G$801,MATCH($B223,COMPOS!$A$4:A$801,0),5))))</f>
        <v>2.44</v>
      </c>
      <c r="H223" s="280">
        <f>(IF($A223="SINAPI",INDEX(SINAPI_NOV2020_NDES!$A$7:$H$6703,MATCH($B223,SINAPI_NOV2020_NDES!$A$7:$A$6703,0),7),(INDEX(COMPOS!$A$4:$G$801,MATCH($B223,COMPOS!$A$4:A$801,0),6))))</f>
        <v>0</v>
      </c>
      <c r="I223" s="279">
        <f t="shared" ref="I223" si="47">SUM(F223:H223)</f>
        <v>3.1799999999999997</v>
      </c>
      <c r="J223" s="276">
        <f t="shared" ref="J223" si="48">+I223*E223</f>
        <v>5297.5302000000001</v>
      </c>
    </row>
    <row r="224" spans="1:16" s="41" customFormat="1" ht="12">
      <c r="A224" s="251" t="s">
        <v>7</v>
      </c>
      <c r="B224" s="293">
        <v>88496</v>
      </c>
      <c r="C224" s="301" t="str">
        <f>(IF($A224="SINAPI",INDEX(SINAPI_NOV2020_NDES!$A$7:$H$6703,MATCH($B224,SINAPI_NOV2020_NDES!$A$7:$A$6703,0),2),IF($A224="GOINFRA",INDEX(#REF!,MATCH($B224,#REF!,0),2),(INDEX(COMPOS!$A$4:$G$390,MATCH($B224,COMPOS!$A$4:A$390,0),2)))))</f>
        <v>APLICAÇÃO E LIXAMENTO DE MASSA LÁTEX EM TETO, DUAS DEMÃOS. AF_06/2014</v>
      </c>
      <c r="D224" s="274" t="str">
        <f>(IF($A224="SINAPI",INDEX(SINAPI_NOV2020_NDES!$A$7:$H$6790,MATCH($B224,SINAPI_NOV2020_NDES!$A$7:$A$6790,0),3),(INDEX(COMPOS!$A$4:$G$5000,MATCH($B224,COMPOS!$A$4:$A$5000,0),3))))</f>
        <v>M2</v>
      </c>
      <c r="E224" s="249">
        <v>1665.89</v>
      </c>
      <c r="F224" s="279">
        <f>(IF($A224="SINAPI",INDEX(SINAPI_NOV2020_NDES!$A$7:$H$6703,MATCH($B224,SINAPI_NOV2020_NDES!$A$7:$A$6703,0),5),(INDEX(COMPOS!$A$4:$G$801,MATCH($B224,COMPOS!$A$4:A$801,0),4))))</f>
        <v>14.1</v>
      </c>
      <c r="G224" s="280">
        <f>(IF($A224="SINAPI",INDEX(SINAPI_NOV2020_NDES!$A$7:$H$6703,MATCH($B224,SINAPI_NOV2020_NDES!$A$7:$A$6703,0),6),(INDEX(COMPOS!$A$4:$G$801,MATCH($B224,COMPOS!$A$4:A$801,0),5))))</f>
        <v>7.4</v>
      </c>
      <c r="H224" s="280">
        <f>(IF($A224="SINAPI",INDEX(SINAPI_NOV2020_NDES!$A$7:$H$6703,MATCH($B224,SINAPI_NOV2020_NDES!$A$7:$A$6703,0),7),(INDEX(COMPOS!$A$4:$G$801,MATCH($B224,COMPOS!$A$4:A$801,0),6))))</f>
        <v>0</v>
      </c>
      <c r="I224" s="279">
        <f t="shared" ref="I224:I230" si="49">SUM(F224:H224)</f>
        <v>21.5</v>
      </c>
      <c r="J224" s="276">
        <f t="shared" ref="J224:J230" si="50">+I224*E224</f>
        <v>35816.635000000002</v>
      </c>
    </row>
    <row r="225" spans="1:16" s="41" customFormat="1" ht="24">
      <c r="A225" s="251" t="s">
        <v>7</v>
      </c>
      <c r="B225" s="293">
        <v>88486</v>
      </c>
      <c r="C225" s="301" t="str">
        <f>(IF($A225="SINAPI",INDEX(SINAPI_NOV2020_NDES!$A$7:$H$6703,MATCH($B225,SINAPI_NOV2020_NDES!$A$7:$A$6703,0),2),IF($A225="GOINFRA",INDEX(#REF!,MATCH($B225,#REF!,0),2),(INDEX(COMPOS!$A$4:$G$390,MATCH($B225,COMPOS!$A$4:A$390,0),2)))))</f>
        <v>APLICAÇÃO MANUAL DE PINTURA COM TINTA LÁTEX PVA EM TETO, DUAS DEMÃOS. AF_06/2014</v>
      </c>
      <c r="D225" s="274" t="str">
        <f>(IF($A225="SINAPI",INDEX(SINAPI_NOV2020_NDES!$A$7:$H$6790,MATCH($B225,SINAPI_NOV2020_NDES!$A$7:$A$6790,0),3),(INDEX(COMPOS!$A$4:$G$5000,MATCH($B225,COMPOS!$A$4:$A$5000,0),3))))</f>
        <v>M2</v>
      </c>
      <c r="E225" s="249">
        <v>1665.89</v>
      </c>
      <c r="F225" s="279">
        <f>(IF($A225="SINAPI",INDEX(SINAPI_NOV2020_NDES!$A$7:$H$6703,MATCH($B225,SINAPI_NOV2020_NDES!$A$7:$A$6703,0),5),(INDEX(COMPOS!$A$4:$G$801,MATCH($B225,COMPOS!$A$4:A$801,0),4))))</f>
        <v>3.54</v>
      </c>
      <c r="G225" s="280">
        <f>(IF($A225="SINAPI",INDEX(SINAPI_NOV2020_NDES!$A$7:$H$6703,MATCH($B225,SINAPI_NOV2020_NDES!$A$7:$A$6703,0),6),(INDEX(COMPOS!$A$4:$G$801,MATCH($B225,COMPOS!$A$4:A$801,0),5))))</f>
        <v>7.47</v>
      </c>
      <c r="H225" s="280">
        <f>(IF($A225="SINAPI",INDEX(SINAPI_NOV2020_NDES!$A$7:$H$6703,MATCH($B225,SINAPI_NOV2020_NDES!$A$7:$A$6703,0),7),(INDEX(COMPOS!$A$4:$G$801,MATCH($B225,COMPOS!$A$4:A$801,0),6))))</f>
        <v>0</v>
      </c>
      <c r="I225" s="279">
        <f t="shared" si="49"/>
        <v>11.01</v>
      </c>
      <c r="J225" s="276">
        <f t="shared" si="50"/>
        <v>18341.448899999999</v>
      </c>
    </row>
    <row r="226" spans="1:16" s="41" customFormat="1" ht="24">
      <c r="A226" s="251" t="s">
        <v>7</v>
      </c>
      <c r="B226" s="293">
        <v>88483</v>
      </c>
      <c r="C226" s="301" t="str">
        <f>(IF($A226="SINAPI",INDEX(SINAPI_NOV2020_NDES!$A$7:$H$6703,MATCH($B226,SINAPI_NOV2020_NDES!$A$7:$A$6703,0),2),IF($A226="GOINFRA",INDEX(#REF!,MATCH($B226,#REF!,0),2),(INDEX(COMPOS!$A$4:$G$390,MATCH($B226,COMPOS!$A$4:A$390,0),2)))))</f>
        <v>APLICAÇÃO DE FUNDO SELADOR LÁTEX PVA EM PAREDES, UMA DEMÃO. AF_06/2014</v>
      </c>
      <c r="D226" s="274" t="str">
        <f>(IF($A226="SINAPI",INDEX(SINAPI_NOV2020_NDES!$A$7:$H$6790,MATCH($B226,SINAPI_NOV2020_NDES!$A$7:$A$6790,0),3),(INDEX(COMPOS!$A$4:$G$5000,MATCH($B226,COMPOS!$A$4:$A$5000,0),3))))</f>
        <v>M2</v>
      </c>
      <c r="E226" s="249">
        <v>3312.94</v>
      </c>
      <c r="F226" s="279">
        <f>(IF($A226="SINAPI",INDEX(SINAPI_NOV2020_NDES!$A$7:$H$6703,MATCH($B226,SINAPI_NOV2020_NDES!$A$7:$A$6703,0),5),(INDEX(COMPOS!$A$4:$G$801,MATCH($B226,COMPOS!$A$4:A$801,0),4))))</f>
        <v>0.56000000000000005</v>
      </c>
      <c r="G226" s="280">
        <f>(IF($A226="SINAPI",INDEX(SINAPI_NOV2020_NDES!$A$7:$H$6703,MATCH($B226,SINAPI_NOV2020_NDES!$A$7:$A$6703,0),6),(INDEX(COMPOS!$A$4:$G$801,MATCH($B226,COMPOS!$A$4:A$801,0),5))))</f>
        <v>2.38</v>
      </c>
      <c r="H226" s="280">
        <f>(IF($A226="SINAPI",INDEX(SINAPI_NOV2020_NDES!$A$7:$H$6703,MATCH($B226,SINAPI_NOV2020_NDES!$A$7:$A$6703,0),7),(INDEX(COMPOS!$A$4:$G$801,MATCH($B226,COMPOS!$A$4:A$801,0),6))))</f>
        <v>0</v>
      </c>
      <c r="I226" s="279">
        <f t="shared" si="49"/>
        <v>2.94</v>
      </c>
      <c r="J226" s="276">
        <f t="shared" si="50"/>
        <v>9740.0436000000009</v>
      </c>
    </row>
    <row r="227" spans="1:16" s="41" customFormat="1" ht="24">
      <c r="A227" s="251" t="s">
        <v>7</v>
      </c>
      <c r="B227" s="293">
        <v>88497</v>
      </c>
      <c r="C227" s="301" t="str">
        <f>(IF($A227="SINAPI",INDEX(SINAPI_NOV2020_NDES!$A$7:$H$6703,MATCH($B227,SINAPI_NOV2020_NDES!$A$7:$A$6703,0),2),IF($A227="GOINFRA",INDEX(#REF!,MATCH($B227,#REF!,0),2),(INDEX(COMPOS!$A$4:$G$390,MATCH($B227,COMPOS!$A$4:A$390,0),2)))))</f>
        <v>APLICAÇÃO E LIXAMENTO DE MASSA LÁTEX EM PAREDES, DUAS DEMÃOS. AF_06/2014</v>
      </c>
      <c r="D227" s="274" t="str">
        <f>(IF($A227="SINAPI",INDEX(SINAPI_NOV2020_NDES!$A$7:$H$6790,MATCH($B227,SINAPI_NOV2020_NDES!$A$7:$A$6790,0),3),(INDEX(COMPOS!$A$4:$G$5000,MATCH($B227,COMPOS!$A$4:$A$5000,0),3))))</f>
        <v>M2</v>
      </c>
      <c r="E227" s="249">
        <v>3312.94</v>
      </c>
      <c r="F227" s="279">
        <f>(IF($A227="SINAPI",INDEX(SINAPI_NOV2020_NDES!$A$7:$H$6703,MATCH($B227,SINAPI_NOV2020_NDES!$A$7:$A$6703,0),5),(INDEX(COMPOS!$A$4:$G$801,MATCH($B227,COMPOS!$A$4:A$801,0),4))))</f>
        <v>6.56</v>
      </c>
      <c r="G227" s="280">
        <f>(IF($A227="SINAPI",INDEX(SINAPI_NOV2020_NDES!$A$7:$H$6703,MATCH($B227,SINAPI_NOV2020_NDES!$A$7:$A$6703,0),6),(INDEX(COMPOS!$A$4:$G$801,MATCH($B227,COMPOS!$A$4:A$801,0),5))))</f>
        <v>4.76</v>
      </c>
      <c r="H227" s="280">
        <f>(IF($A227="SINAPI",INDEX(SINAPI_NOV2020_NDES!$A$7:$H$6703,MATCH($B227,SINAPI_NOV2020_NDES!$A$7:$A$6703,0),7),(INDEX(COMPOS!$A$4:$G$801,MATCH($B227,COMPOS!$A$4:A$801,0),6))))</f>
        <v>0</v>
      </c>
      <c r="I227" s="279">
        <f t="shared" si="49"/>
        <v>11.32</v>
      </c>
      <c r="J227" s="276">
        <f t="shared" si="50"/>
        <v>37502.480800000005</v>
      </c>
    </row>
    <row r="228" spans="1:16" s="41" customFormat="1" ht="24">
      <c r="A228" s="251" t="s">
        <v>7</v>
      </c>
      <c r="B228" s="293">
        <v>88489</v>
      </c>
      <c r="C228" s="301" t="str">
        <f>(IF($A228="SINAPI",INDEX(SINAPI_NOV2020_NDES!$A$7:$H$6703,MATCH($B228,SINAPI_NOV2020_NDES!$A$7:$A$6703,0),2),IF($A228="GOINFRA",INDEX(#REF!,MATCH($B228,#REF!,0),2),(INDEX(COMPOS!$A$4:$G$390,MATCH($B228,COMPOS!$A$4:A$390,0),2)))))</f>
        <v>APLICAÇÃO MANUAL DE PINTURA COM TINTA LÁTEX ACRÍLICA EM PAREDES, DUAS DEMÃOS. AF_06/2014</v>
      </c>
      <c r="D228" s="274" t="str">
        <f>(IF($A228="SINAPI",INDEX(SINAPI_NOV2020_NDES!$A$7:$H$6790,MATCH($B228,SINAPI_NOV2020_NDES!$A$7:$A$6790,0),3),(INDEX(COMPOS!$A$4:$G$5000,MATCH($B228,COMPOS!$A$4:$A$5000,0),3))))</f>
        <v>M2</v>
      </c>
      <c r="E228" s="249">
        <v>3312.94</v>
      </c>
      <c r="F228" s="279">
        <f>(IF($A228="SINAPI",INDEX(SINAPI_NOV2020_NDES!$A$7:$H$6703,MATCH($B228,SINAPI_NOV2020_NDES!$A$7:$A$6703,0),5),(INDEX(COMPOS!$A$4:$G$801,MATCH($B228,COMPOS!$A$4:A$801,0),4))))</f>
        <v>3.93</v>
      </c>
      <c r="G228" s="280">
        <f>(IF($A228="SINAPI",INDEX(SINAPI_NOV2020_NDES!$A$7:$H$6703,MATCH($B228,SINAPI_NOV2020_NDES!$A$7:$A$6703,0),6),(INDEX(COMPOS!$A$4:$G$801,MATCH($B228,COMPOS!$A$4:A$801,0),5))))</f>
        <v>8.56</v>
      </c>
      <c r="H228" s="280">
        <f>(IF($A228="SINAPI",INDEX(SINAPI_NOV2020_NDES!$A$7:$H$6703,MATCH($B228,SINAPI_NOV2020_NDES!$A$7:$A$6703,0),7),(INDEX(COMPOS!$A$4:$G$801,MATCH($B228,COMPOS!$A$4:A$801,0),6))))</f>
        <v>0</v>
      </c>
      <c r="I228" s="279">
        <f t="shared" si="49"/>
        <v>12.49</v>
      </c>
      <c r="J228" s="276">
        <f t="shared" si="50"/>
        <v>41378.620600000002</v>
      </c>
    </row>
    <row r="229" spans="1:16" s="41" customFormat="1" ht="24">
      <c r="A229" s="251" t="s">
        <v>7</v>
      </c>
      <c r="B229" s="293">
        <v>88415</v>
      </c>
      <c r="C229" s="301" t="str">
        <f>(IF($A229="SINAPI",INDEX(SINAPI_NOV2020_NDES!$A$7:$H$6703,MATCH($B229,SINAPI_NOV2020_NDES!$A$7:$A$6703,0),2),IF($A229="GOINFRA",INDEX(#REF!,MATCH($B229,#REF!,0),2),(INDEX(COMPOS!$A$4:$G$390,MATCH($B229,COMPOS!$A$4:A$390,0),2)))))</f>
        <v>APLICAÇÃO MANUAL DE FUNDO SELADOR ACRÍLICO EM PAREDES EXTERNAS DE CASAS. AF_06/2014</v>
      </c>
      <c r="D229" s="274" t="str">
        <f>(IF($A229="SINAPI",INDEX(SINAPI_NOV2020_NDES!$A$7:$H$6790,MATCH($B229,SINAPI_NOV2020_NDES!$A$7:$A$6790,0),3),(INDEX(COMPOS!$A$4:$G$5000,MATCH($B229,COMPOS!$A$4:$A$5000,0),3))))</f>
        <v>M2</v>
      </c>
      <c r="E229" s="249">
        <v>1495.75</v>
      </c>
      <c r="F229" s="279">
        <f>(IF($A229="SINAPI",INDEX(SINAPI_NOV2020_NDES!$A$7:$H$6703,MATCH($B229,SINAPI_NOV2020_NDES!$A$7:$A$6703,0),5),(INDEX(COMPOS!$A$4:$G$801,MATCH($B229,COMPOS!$A$4:A$801,0),4))))</f>
        <v>1.07</v>
      </c>
      <c r="G229" s="280">
        <f>(IF($A229="SINAPI",INDEX(SINAPI_NOV2020_NDES!$A$7:$H$6703,MATCH($B229,SINAPI_NOV2020_NDES!$A$7:$A$6703,0),6),(INDEX(COMPOS!$A$4:$G$801,MATCH($B229,COMPOS!$A$4:A$801,0),5))))</f>
        <v>1.51</v>
      </c>
      <c r="H229" s="280">
        <f>(IF($A229="SINAPI",INDEX(SINAPI_NOV2020_NDES!$A$7:$H$6703,MATCH($B229,SINAPI_NOV2020_NDES!$A$7:$A$6703,0),7),(INDEX(COMPOS!$A$4:$G$801,MATCH($B229,COMPOS!$A$4:A$801,0),6))))</f>
        <v>0</v>
      </c>
      <c r="I229" s="279">
        <f t="shared" si="49"/>
        <v>2.58</v>
      </c>
      <c r="J229" s="276">
        <f t="shared" si="50"/>
        <v>3859.0350000000003</v>
      </c>
    </row>
    <row r="230" spans="1:16" s="41" customFormat="1" ht="24">
      <c r="A230" s="251" t="s">
        <v>7</v>
      </c>
      <c r="B230" s="293">
        <v>88423</v>
      </c>
      <c r="C230" s="301" t="str">
        <f>(IF($A230="SINAPI",INDEX(SINAPI_NOV2020_NDES!$A$7:$H$6703,MATCH($B230,SINAPI_NOV2020_NDES!$A$7:$A$6703,0),2),IF($A230="GOINFRA",INDEX(#REF!,MATCH($B230,#REF!,0),2),(INDEX(COMPOS!$A$4:$G$390,MATCH($B230,COMPOS!$A$4:A$390,0),2)))))</f>
        <v>APLICAÇÃO MANUAL DE PINTURA COM TINTA TEXTURIZADA ACRÍLICA EM PAREDES EXTERNAS DE CASAS, UMA COR. AF_06/2014</v>
      </c>
      <c r="D230" s="274" t="str">
        <f>(IF($A230="SINAPI",INDEX(SINAPI_NOV2020_NDES!$A$7:$H$6790,MATCH($B230,SINAPI_NOV2020_NDES!$A$7:$A$6790,0),3),(INDEX(COMPOS!$A$4:$G$5000,MATCH($B230,COMPOS!$A$4:$A$5000,0),3))))</f>
        <v>M2</v>
      </c>
      <c r="E230" s="249">
        <v>1495.75</v>
      </c>
      <c r="F230" s="279">
        <f>(IF($A230="SINAPI",INDEX(SINAPI_NOV2020_NDES!$A$7:$H$6703,MATCH($B230,SINAPI_NOV2020_NDES!$A$7:$A$6703,0),5),(INDEX(COMPOS!$A$4:$G$801,MATCH($B230,COMPOS!$A$4:A$801,0),4))))</f>
        <v>3.45</v>
      </c>
      <c r="G230" s="280">
        <f>(IF($A230="SINAPI",INDEX(SINAPI_NOV2020_NDES!$A$7:$H$6703,MATCH($B230,SINAPI_NOV2020_NDES!$A$7:$A$6703,0),6),(INDEX(COMPOS!$A$4:$G$801,MATCH($B230,COMPOS!$A$4:A$801,0),5))))</f>
        <v>14.24</v>
      </c>
      <c r="H230" s="280">
        <f>(IF($A230="SINAPI",INDEX(SINAPI_NOV2020_NDES!$A$7:$H$6703,MATCH($B230,SINAPI_NOV2020_NDES!$A$7:$A$6703,0),7),(INDEX(COMPOS!$A$4:$G$801,MATCH($B230,COMPOS!$A$4:A$801,0),6))))</f>
        <v>0</v>
      </c>
      <c r="I230" s="279">
        <f t="shared" si="49"/>
        <v>17.690000000000001</v>
      </c>
      <c r="J230" s="276">
        <f t="shared" si="50"/>
        <v>26459.817500000001</v>
      </c>
    </row>
    <row r="231" spans="1:16" s="41" customFormat="1" ht="12">
      <c r="A231" s="251" t="s">
        <v>6307</v>
      </c>
      <c r="B231" s="293">
        <v>360</v>
      </c>
      <c r="C231" s="301" t="str">
        <f>(IF($A231="SINAPI",INDEX(SINAPI_NOV2020_NDES!$A$7:$H$6703,MATCH($B231,SINAPI_NOV2020_NDES!$A$7:$A$6703,0),2),IF($A231="GOINFRA",INDEX(#REF!,MATCH($B231,#REF!,0),2),(INDEX(COMPOS!$A$4:$G$390,MATCH($B231,COMPOS!$A$4:A$390,0),2)))))</f>
        <v>PINTURA ESMALTE/ESQUADRIA DE FERRO COM FUNDO ANTI-CORROSIVO</v>
      </c>
      <c r="D231" s="274" t="str">
        <f>(IF($A231="SINAPI",INDEX(SINAPI_NOV2020_NDES!$A$7:$H$6790,MATCH($B231,SINAPI_NOV2020_NDES!$A$7:$A$6790,0),3),(INDEX(COMPOS!$A$4:$G$5000,MATCH($B231,COMPOS!$A$4:$A$5000,0),3))))</f>
        <v>M2</v>
      </c>
      <c r="E231" s="249">
        <v>999.67</v>
      </c>
      <c r="F231" s="279">
        <f>(IF($A231="SINAPI",INDEX(SINAPI_NOV2020_NDES!$A$7:$H$6703,MATCH($B231,SINAPI_NOV2020_NDES!$A$7:$A$6703,0),5),(INDEX(COMPOS!$A$4:$G$801,MATCH($B231,COMPOS!$A$4:A$801,0),4))))</f>
        <v>15.847708000000001</v>
      </c>
      <c r="G231" s="280">
        <f>(IF($A231="SINAPI",INDEX(SINAPI_NOV2020_NDES!$A$7:$H$6703,MATCH($B231,SINAPI_NOV2020_NDES!$A$7:$A$6703,0),6),(INDEX(COMPOS!$A$4:$G$801,MATCH($B231,COMPOS!$A$4:A$801,0),5))))</f>
        <v>6.5686479999999996</v>
      </c>
      <c r="H231" s="280">
        <f>(IF($A231="SINAPI",INDEX(SINAPI_NOV2020_NDES!$A$7:$H$6703,MATCH($B231,SINAPI_NOV2020_NDES!$A$7:$A$6703,0),7),(INDEX(COMPOS!$A$4:$G$801,MATCH($B231,COMPOS!$A$4:A$801,0),6))))</f>
        <v>0</v>
      </c>
      <c r="I231" s="279">
        <f>SUM(F231:H231)</f>
        <v>22.416356</v>
      </c>
      <c r="J231" s="276">
        <f>+I231*E231</f>
        <v>22408.958602520001</v>
      </c>
    </row>
    <row r="232" spans="1:16" s="41" customFormat="1" ht="12">
      <c r="A232" s="251" t="s">
        <v>6307</v>
      </c>
      <c r="B232" s="293">
        <v>361</v>
      </c>
      <c r="C232" s="301" t="str">
        <f>(IF($A232="SINAPI",INDEX(SINAPI_NOV2020_NDES!$A$7:$H$6703,MATCH($B232,SINAPI_NOV2020_NDES!$A$7:$A$6703,0),2),IF($A232="GOINFRA",INDEX(#REF!,MATCH($B232,#REF!,0),2),(INDEX(COMPOS!$A$4:$G$390,MATCH($B232,COMPOS!$A$4:A$390,0),2)))))</f>
        <v>PINTURA ALQUÍDICA BRILHANTE DUPLA FUNÇÃO, DUAS DEMÃOS, 50 MÍCRONS</v>
      </c>
      <c r="D232" s="274" t="str">
        <f>(IF($A232="SINAPI",INDEX(SINAPI_NOV2020_NDES!$A$7:$H$6790,MATCH($B232,SINAPI_NOV2020_NDES!$A$7:$A$6790,0),3),(INDEX(COMPOS!$A$4:$G$5000,MATCH($B232,COMPOS!$A$4:$A$5000,0),3))))</f>
        <v>M2</v>
      </c>
      <c r="E232" s="249">
        <v>9.0500000000000007</v>
      </c>
      <c r="F232" s="279">
        <f>(IF($A232="SINAPI",INDEX(SINAPI_NOV2020_NDES!$A$7:$H$6703,MATCH($B232,SINAPI_NOV2020_NDES!$A$7:$A$6703,0),5),(INDEX(COMPOS!$A$4:$G$801,MATCH($B232,COMPOS!$A$4:A$801,0),4))))</f>
        <v>4.2055000000000007</v>
      </c>
      <c r="G232" s="280">
        <f>(IF($A232="SINAPI",INDEX(SINAPI_NOV2020_NDES!$A$7:$H$6703,MATCH($B232,SINAPI_NOV2020_NDES!$A$7:$A$6703,0),6),(INDEX(COMPOS!$A$4:$G$801,MATCH($B232,COMPOS!$A$4:A$801,0),5))))</f>
        <v>6.6579670000000011</v>
      </c>
      <c r="H232" s="280">
        <f>(IF($A232="SINAPI",INDEX(SINAPI_NOV2020_NDES!$A$7:$H$6703,MATCH($B232,SINAPI_NOV2020_NDES!$A$7:$A$6703,0),7),(INDEX(COMPOS!$A$4:$G$801,MATCH($B232,COMPOS!$A$4:A$801,0),6))))</f>
        <v>0</v>
      </c>
      <c r="I232" s="279">
        <f>SUM(F232:H232)</f>
        <v>10.863467000000002</v>
      </c>
      <c r="J232" s="276">
        <f>+I232*E232</f>
        <v>98.314376350000018</v>
      </c>
    </row>
    <row r="233" spans="1:16" s="88" customFormat="1" ht="24" customHeight="1">
      <c r="A233" s="680" t="s">
        <v>6927</v>
      </c>
      <c r="B233" s="680"/>
      <c r="C233" s="680"/>
      <c r="D233" s="680"/>
      <c r="E233" s="680"/>
      <c r="F233" s="680"/>
      <c r="G233" s="680"/>
      <c r="H233" s="680"/>
      <c r="I233" s="680"/>
      <c r="J233" s="281">
        <f>SUM(J223:J232)</f>
        <v>200902.88457887003</v>
      </c>
      <c r="K233" s="41"/>
      <c r="L233" s="41"/>
      <c r="M233" s="41"/>
      <c r="N233" s="41"/>
      <c r="O233" s="41"/>
      <c r="P233" s="41"/>
    </row>
    <row r="234" spans="1:16" s="41" customFormat="1" ht="12">
      <c r="A234" s="251"/>
      <c r="B234" s="299">
        <v>189</v>
      </c>
      <c r="C234" s="338" t="s">
        <v>2</v>
      </c>
      <c r="D234" s="274"/>
      <c r="E234" s="279"/>
      <c r="F234" s="275"/>
      <c r="G234" s="275"/>
      <c r="H234" s="275"/>
      <c r="I234" s="275"/>
      <c r="J234" s="275"/>
    </row>
    <row r="235" spans="1:16" s="41" customFormat="1" ht="12">
      <c r="A235" s="251" t="s">
        <v>6307</v>
      </c>
      <c r="B235" s="290">
        <v>362</v>
      </c>
      <c r="C235" s="301" t="str">
        <f>(IF($A235="SINAPI",INDEX(SINAPI_NOV2020_NDES!$A$7:$H$6703,MATCH($B235,SINAPI_NOV2020_NDES!$A$7:$A$6703,0),2),IF($A235="GOINFRA",INDEX(#REF!,MATCH($B235,#REF!,0),2),(INDEX(COMPOS!$A$4:$G$390,MATCH($B235,COMPOS!$A$4:A$390,0),2)))))</f>
        <v>LIMPEZA FINAL DA OBRA</v>
      </c>
      <c r="D235" s="274" t="str">
        <f>(IF($A235="SINAPI",INDEX(SINAPI_NOV2020_NDES!$A$7:$H$6790,MATCH($B235,SINAPI_NOV2020_NDES!$A$7:$A$6790,0),3),(INDEX(COMPOS!$A$4:$G$5000,MATCH($B235,COMPOS!$A$4:$A$5000,0),3))))</f>
        <v>M2</v>
      </c>
      <c r="E235" s="249">
        <v>1582.91</v>
      </c>
      <c r="F235" s="279">
        <f>(IF($A235="SINAPI",INDEX(SINAPI_NOV2020_NDES!$A$7:$H$6703,MATCH($B235,SINAPI_NOV2020_NDES!$A$7:$A$6703,0),5),(INDEX(COMPOS!$A$4:$G$801,MATCH($B235,COMPOS!$A$4:A$801,0),4))))</f>
        <v>2.2664999999999997</v>
      </c>
      <c r="G235" s="280">
        <f>(IF($A235="SINAPI",INDEX(SINAPI_NOV2020_NDES!$A$7:$H$6703,MATCH($B235,SINAPI_NOV2020_NDES!$A$7:$A$6703,0),6),(INDEX(COMPOS!$A$4:$G$801,MATCH($B235,COMPOS!$A$4:A$801,0),5))))</f>
        <v>0.62687100000000007</v>
      </c>
      <c r="H235" s="280">
        <f>(IF($A235="SINAPI",INDEX(SINAPI_NOV2020_NDES!$A$7:$H$6703,MATCH($B235,SINAPI_NOV2020_NDES!$A$7:$A$6703,0),7),(INDEX(COMPOS!$A$4:$G$801,MATCH($B235,COMPOS!$A$4:A$801,0),6))))</f>
        <v>0</v>
      </c>
      <c r="I235" s="279">
        <f t="shared" ref="I235:I244" si="51">SUM(F235:H235)</f>
        <v>2.8933709999999997</v>
      </c>
      <c r="J235" s="276">
        <f t="shared" ref="J235:J244" si="52">+I235*E235</f>
        <v>4579.9458896099995</v>
      </c>
    </row>
    <row r="236" spans="1:16" s="41" customFormat="1" ht="24">
      <c r="A236" s="251" t="s">
        <v>6307</v>
      </c>
      <c r="B236" s="293">
        <v>382</v>
      </c>
      <c r="C236" s="301" t="str">
        <f>(IF($A236="SINAPI",INDEX(SINAPI_NOV2020_NDES!$A$7:$H$6703,MATCH($B236,SINAPI_NOV2020_NDES!$A$7:$A$6703,0),2),IF($A236="GOINFRA",INDEX(#REF!,MATCH($B236,#REF!,0),2),(INDEX(COMPOS!$A$4:$G$390,MATCH($B236,COMPOS!$A$4:A$390,0),2)))))</f>
        <v>BANCO DE CONCRETO POLIDO BASE EM ALVENARIA REBOCADA E PINTADA - PADRÃO GOINFRA</v>
      </c>
      <c r="D236" s="274" t="str">
        <f>(IF($A236="SINAPI",INDEX(SINAPI_NOV2020_NDES!$A$7:$H$6790,MATCH($B236,SINAPI_NOV2020_NDES!$A$7:$A$6790,0),3),(INDEX(COMPOS!$A$4:$G$5000,MATCH($B236,COMPOS!$A$4:$A$5000,0),3))))</f>
        <v>M</v>
      </c>
      <c r="E236" s="249">
        <v>98.95</v>
      </c>
      <c r="F236" s="279">
        <f>(IF($A236="SINAPI",INDEX(SINAPI_NOV2020_NDES!$A$7:$H$6703,MATCH($B236,SINAPI_NOV2020_NDES!$A$7:$A$6703,0),5),(INDEX(COMPOS!$A$4:$G$801,MATCH($B236,COMPOS!$A$4:A$801,0),4))))</f>
        <v>118.09193099999999</v>
      </c>
      <c r="G236" s="280">
        <f>(IF($A236="SINAPI",INDEX(SINAPI_NOV2020_NDES!$A$7:$H$6703,MATCH($B236,SINAPI_NOV2020_NDES!$A$7:$A$6703,0),6),(INDEX(COMPOS!$A$4:$G$801,MATCH($B236,COMPOS!$A$4:A$801,0),5))))</f>
        <v>153.54687100000001</v>
      </c>
      <c r="H236" s="280">
        <f>(IF($A236="SINAPI",INDEX(SINAPI_NOV2020_NDES!$A$7:$H$6703,MATCH($B236,SINAPI_NOV2020_NDES!$A$7:$A$6703,0),7),(INDEX(COMPOS!$A$4:$G$801,MATCH($B236,COMPOS!$A$4:A$801,0),6))))</f>
        <v>0</v>
      </c>
      <c r="I236" s="279">
        <f t="shared" si="51"/>
        <v>271.638802</v>
      </c>
      <c r="J236" s="276">
        <f t="shared" si="52"/>
        <v>26878.659457900001</v>
      </c>
    </row>
    <row r="237" spans="1:16" s="41" customFormat="1" ht="12">
      <c r="A237" s="251" t="s">
        <v>6307</v>
      </c>
      <c r="B237" s="293">
        <v>139</v>
      </c>
      <c r="C237" s="301" t="str">
        <f>(IF($A237="SINAPI",INDEX(SINAPI_NOV2020_NDES!$A$7:$H$6703,MATCH($B237,SINAPI_NOV2020_NDES!$A$7:$A$6703,0),2),IF($A237="GOINFRA",INDEX(#REF!,MATCH($B237,#REF!,0),2),(INDEX(COMPOS!$A$4:$G$390,MATCH($B237,COMPOS!$A$4:A$390,0),2)))))</f>
        <v>BANCO DE CONCRETO POLIDO 2,0 X 0,4M</v>
      </c>
      <c r="D237" s="274" t="str">
        <f>(IF($A237="SINAPI",INDEX(SINAPI_NOV2020_NDES!$A$7:$H$6790,MATCH($B237,SINAPI_NOV2020_NDES!$A$7:$A$6790,0),3),(INDEX(COMPOS!$A$4:$G$5000,MATCH($B237,COMPOS!$A$4:$A$5000,0),3))))</f>
        <v>UN</v>
      </c>
      <c r="E237" s="249">
        <v>15</v>
      </c>
      <c r="F237" s="279">
        <f>(IF($A237="SINAPI",INDEX(SINAPI_NOV2020_NDES!$A$7:$H$6703,MATCH($B237,SINAPI_NOV2020_NDES!$A$7:$A$6703,0),5),(INDEX(COMPOS!$A$4:$G$801,MATCH($B237,COMPOS!$A$4:A$801,0),4))))</f>
        <v>90.359330000000014</v>
      </c>
      <c r="G237" s="280">
        <f>(IF($A237="SINAPI",INDEX(SINAPI_NOV2020_NDES!$A$7:$H$6703,MATCH($B237,SINAPI_NOV2020_NDES!$A$7:$A$6703,0),6),(INDEX(COMPOS!$A$4:$G$801,MATCH($B237,COMPOS!$A$4:A$801,0),5))))</f>
        <v>134.753849</v>
      </c>
      <c r="H237" s="280">
        <f>(IF($A237="SINAPI",INDEX(SINAPI_NOV2020_NDES!$A$7:$H$6703,MATCH($B237,SINAPI_NOV2020_NDES!$A$7:$A$6703,0),7),(INDEX(COMPOS!$A$4:$G$801,MATCH($B237,COMPOS!$A$4:A$801,0),6))))</f>
        <v>1.3320070000000002</v>
      </c>
      <c r="I237" s="279">
        <f t="shared" si="51"/>
        <v>226.44518600000001</v>
      </c>
      <c r="J237" s="276">
        <f t="shared" si="52"/>
        <v>3396.6777900000002</v>
      </c>
    </row>
    <row r="238" spans="1:16" s="41" customFormat="1" ht="12">
      <c r="A238" s="251" t="s">
        <v>6307</v>
      </c>
      <c r="B238" s="293">
        <v>137</v>
      </c>
      <c r="C238" s="301" t="str">
        <f>(IF($A238="SINAPI",INDEX(SINAPI_NOV2020_NDES!$A$7:$H$6703,MATCH($B238,SINAPI_NOV2020_NDES!$A$7:$A$6703,0),2),IF($A238="GOINFRA",INDEX(#REF!,MATCH($B238,#REF!,0),2),(INDEX(COMPOS!$A$4:$G$390,MATCH($B238,COMPOS!$A$4:A$390,0),2)))))</f>
        <v>CAMA DE CONCRETO MACIÇO 100X235X40CM EMASSADA E PINTADA FCK 15 MPA</v>
      </c>
      <c r="D238" s="274" t="str">
        <f>(IF($A238="SINAPI",INDEX(SINAPI_NOV2020_NDES!$A$7:$H$6790,MATCH($B238,SINAPI_NOV2020_NDES!$A$7:$A$6790,0),3),(INDEX(COMPOS!$A$4:$G$5000,MATCH($B238,COMPOS!$A$4:$A$5000,0),3))))</f>
        <v>UN</v>
      </c>
      <c r="E238" s="249">
        <f>42+10-47</f>
        <v>5</v>
      </c>
      <c r="F238" s="279">
        <f>(IF($A238="SINAPI",INDEX(SINAPI_NOV2020_NDES!$A$7:$H$6703,MATCH($B238,SINAPI_NOV2020_NDES!$A$7:$A$6703,0),5),(INDEX(COMPOS!$A$4:$G$801,MATCH($B238,COMPOS!$A$4:A$801,0),4))))</f>
        <v>339.84103400000004</v>
      </c>
      <c r="G238" s="280">
        <f>(IF($A238="SINAPI",INDEX(SINAPI_NOV2020_NDES!$A$7:$H$6703,MATCH($B238,SINAPI_NOV2020_NDES!$A$7:$A$6703,0),6),(INDEX(COMPOS!$A$4:$G$801,MATCH($B238,COMPOS!$A$4:A$801,0),5))))</f>
        <v>417.01884000000001</v>
      </c>
      <c r="H238" s="280">
        <f>(IF($A238="SINAPI",INDEX(SINAPI_NOV2020_NDES!$A$7:$H$6703,MATCH($B238,SINAPI_NOV2020_NDES!$A$7:$A$6703,0),7),(INDEX(COMPOS!$A$4:$G$801,MATCH($B238,COMPOS!$A$4:A$801,0),6))))</f>
        <v>3.8030539999999999</v>
      </c>
      <c r="I238" s="279">
        <f t="shared" si="51"/>
        <v>760.66292799999997</v>
      </c>
      <c r="J238" s="276">
        <f t="shared" si="52"/>
        <v>3803.3146399999996</v>
      </c>
    </row>
    <row r="239" spans="1:16" s="41" customFormat="1" ht="12">
      <c r="A239" s="251" t="s">
        <v>6307</v>
      </c>
      <c r="B239" s="293">
        <v>141</v>
      </c>
      <c r="C239" s="301" t="str">
        <f>(IF($A239="SINAPI",INDEX(SINAPI_NOV2020_NDES!$A$7:$H$6703,MATCH($B239,SINAPI_NOV2020_NDES!$A$7:$A$6703,0),2),IF($A239="GOINFRA",INDEX(#REF!,MATCH($B239,#REF!,0),2),(INDEX(COMPOS!$A$4:$G$390,MATCH($B239,COMPOS!$A$4:A$390,0),2)))))</f>
        <v>BANCO DE CONCRETO POLIDO 1,20 X 0,40M</v>
      </c>
      <c r="D239" s="274" t="str">
        <f>(IF($A239="SINAPI",INDEX(SINAPI_NOV2020_NDES!$A$7:$H$6790,MATCH($B239,SINAPI_NOV2020_NDES!$A$7:$A$6790,0),3),(INDEX(COMPOS!$A$4:$G$5000,MATCH($B239,COMPOS!$A$4:$A$5000,0),3))))</f>
        <v>UN</v>
      </c>
      <c r="E239" s="249">
        <f>42+10-41</f>
        <v>11</v>
      </c>
      <c r="F239" s="279">
        <f>(IF($A239="SINAPI",INDEX(SINAPI_NOV2020_NDES!$A$7:$H$6703,MATCH($B239,SINAPI_NOV2020_NDES!$A$7:$A$6703,0),5),(INDEX(COMPOS!$A$4:$G$801,MATCH($B239,COMPOS!$A$4:A$801,0),4))))</f>
        <v>68.73098499999999</v>
      </c>
      <c r="G239" s="280">
        <f>(IF($A239="SINAPI",INDEX(SINAPI_NOV2020_NDES!$A$7:$H$6703,MATCH($B239,SINAPI_NOV2020_NDES!$A$7:$A$6703,0),6),(INDEX(COMPOS!$A$4:$G$801,MATCH($B239,COMPOS!$A$4:A$801,0),5))))</f>
        <v>81.858417000000003</v>
      </c>
      <c r="H239" s="280">
        <f>(IF($A239="SINAPI",INDEX(SINAPI_NOV2020_NDES!$A$7:$H$6703,MATCH($B239,SINAPI_NOV2020_NDES!$A$7:$A$6703,0),7),(INDEX(COMPOS!$A$4:$G$801,MATCH($B239,COMPOS!$A$4:A$801,0),6))))</f>
        <v>0.84754700000000005</v>
      </c>
      <c r="I239" s="279">
        <f t="shared" si="51"/>
        <v>151.436949</v>
      </c>
      <c r="J239" s="276">
        <f t="shared" si="52"/>
        <v>1665.806439</v>
      </c>
    </row>
    <row r="240" spans="1:16" s="41" customFormat="1" ht="12">
      <c r="A240" s="293" t="s">
        <v>6307</v>
      </c>
      <c r="B240" s="293">
        <v>363</v>
      </c>
      <c r="C240" s="301" t="str">
        <f>(IF($A240="SINAPI",INDEX(SINAPI_NOV2020_NDES!$A$7:$H$6703,MATCH($B240,SINAPI_NOV2020_NDES!$A$7:$A$6703,0),2),IF($A240="GOINFRA",INDEX(#REF!,MATCH($B240,#REF!,0),2),(INDEX(COMPOS!$A$4:$G$390,MATCH($B240,COMPOS!$A$4:A$390,0),2)))))</f>
        <v>SUPORTE PARA BANCADA EM FERRO “T” 1/8'' X 1.1/4''</v>
      </c>
      <c r="D240" s="274" t="str">
        <f>(IF($A240="SINAPI",INDEX(SINAPI_NOV2020_NDES!$A$7:$H$6790,MATCH($B240,SINAPI_NOV2020_NDES!$A$7:$A$6790,0),3),(INDEX(COMPOS!$A$4:$G$5000,MATCH($B240,COMPOS!$A$4:$A$5000,0),3))))</f>
        <v>UN</v>
      </c>
      <c r="E240" s="249">
        <v>15</v>
      </c>
      <c r="F240" s="279">
        <f>(IF($A240="SINAPI",INDEX(SINAPI_NOV2020_NDES!$A$7:$H$6703,MATCH($B240,SINAPI_NOV2020_NDES!$A$7:$A$6703,0),5),(INDEX(COMPOS!$A$4:$G$801,MATCH($B240,COMPOS!$A$4:A$801,0),4))))</f>
        <v>9.2025000000000006</v>
      </c>
      <c r="G240" s="280">
        <f>(IF($A240="SINAPI",INDEX(SINAPI_NOV2020_NDES!$A$7:$H$6703,MATCH($B240,SINAPI_NOV2020_NDES!$A$7:$A$6703,0),6),(INDEX(COMPOS!$A$4:$G$801,MATCH($B240,COMPOS!$A$4:A$801,0),5))))</f>
        <v>8.2471180000000004</v>
      </c>
      <c r="H240" s="280">
        <f>(IF($A240="SINAPI",INDEX(SINAPI_NOV2020_NDES!$A$7:$H$6703,MATCH($B240,SINAPI_NOV2020_NDES!$A$7:$A$6703,0),7),(INDEX(COMPOS!$A$4:$G$801,MATCH($B240,COMPOS!$A$4:A$801,0),6))))</f>
        <v>0</v>
      </c>
      <c r="I240" s="279">
        <f t="shared" si="51"/>
        <v>17.449618000000001</v>
      </c>
      <c r="J240" s="276">
        <f t="shared" si="52"/>
        <v>261.74427000000003</v>
      </c>
    </row>
    <row r="241" spans="1:1001" s="41" customFormat="1" ht="12">
      <c r="A241" s="293" t="s">
        <v>6307</v>
      </c>
      <c r="B241" s="293">
        <v>364</v>
      </c>
      <c r="C241" s="301" t="str">
        <f>(IF($A241="SINAPI",INDEX(SINAPI_NOV2020_NDES!$A$7:$H$6703,MATCH($B241,SINAPI_NOV2020_NDES!$A$7:$A$6703,0),2),IF($A241="GOINFRA",INDEX(#REF!,MATCH($B241,#REF!,0),2),(INDEX(COMPOS!$A$4:$G$390,MATCH($B241,COMPOS!$A$4:A$390,0),2)))))</f>
        <v>BANCADA DE GRANITO COM ESPELHO</v>
      </c>
      <c r="D241" s="274" t="str">
        <f>(IF($A241="SINAPI",INDEX(SINAPI_NOV2020_NDES!$A$7:$H$6790,MATCH($B241,SINAPI_NOV2020_NDES!$A$7:$A$6790,0),3),(INDEX(COMPOS!$A$4:$G$5000,MATCH($B241,COMPOS!$A$4:$A$5000,0),3))))</f>
        <v>M2</v>
      </c>
      <c r="E241" s="249">
        <v>4.04</v>
      </c>
      <c r="F241" s="279">
        <f>(IF($A241="SINAPI",INDEX(SINAPI_NOV2020_NDES!$A$7:$H$6703,MATCH($B241,SINAPI_NOV2020_NDES!$A$7:$A$6703,0),5),(INDEX(COMPOS!$A$4:$G$801,MATCH($B241,COMPOS!$A$4:A$801,0),4))))</f>
        <v>52.764523999999994</v>
      </c>
      <c r="G241" s="280">
        <f>(IF($A241="SINAPI",INDEX(SINAPI_NOV2020_NDES!$A$7:$H$6703,MATCH($B241,SINAPI_NOV2020_NDES!$A$7:$A$6703,0),6),(INDEX(COMPOS!$A$4:$G$801,MATCH($B241,COMPOS!$A$4:A$801,0),5))))</f>
        <v>420.03860000000003</v>
      </c>
      <c r="H241" s="280">
        <f>(IF($A241="SINAPI",INDEX(SINAPI_NOV2020_NDES!$A$7:$H$6703,MATCH($B241,SINAPI_NOV2020_NDES!$A$7:$A$6703,0),7),(INDEX(COMPOS!$A$4:$G$801,MATCH($B241,COMPOS!$A$4:A$801,0),6))))</f>
        <v>0</v>
      </c>
      <c r="I241" s="279">
        <f t="shared" si="51"/>
        <v>472.80312400000003</v>
      </c>
      <c r="J241" s="276">
        <f t="shared" si="52"/>
        <v>1910.1246209600001</v>
      </c>
    </row>
    <row r="242" spans="1:1001" s="41" customFormat="1" ht="12">
      <c r="A242" s="293" t="s">
        <v>6307</v>
      </c>
      <c r="B242" s="293">
        <v>142</v>
      </c>
      <c r="C242" s="301" t="str">
        <f>(IF($A242="SINAPI",INDEX(SINAPI_NOV2020_NDES!$A$7:$H$6703,MATCH($B242,SINAPI_NOV2020_NDES!$A$7:$A$6703,0),2),IF($A242="GOINFRA",INDEX(#REF!,MATCH($B242,#REF!,0),2),(INDEX(COMPOS!$A$4:$G$390,MATCH($B242,COMPOS!$A$4:A$390,0),2)))))</f>
        <v>ENVELOPAMENTO VASO FCK 15 MPA</v>
      </c>
      <c r="D242" s="274" t="str">
        <f>(IF($A242="SINAPI",INDEX(SINAPI_NOV2020_NDES!$A$7:$H$6790,MATCH($B242,SINAPI_NOV2020_NDES!$A$7:$A$6790,0),3),(INDEX(COMPOS!$A$4:$G$5000,MATCH($B242,COMPOS!$A$4:$A$5000,0),3))))</f>
        <v>UN</v>
      </c>
      <c r="E242" s="249">
        <v>52</v>
      </c>
      <c r="F242" s="279">
        <f>(IF($A242="SINAPI",INDEX(SINAPI_NOV2020_NDES!$A$7:$H$6703,MATCH($B242,SINAPI_NOV2020_NDES!$A$7:$A$6703,0),5),(INDEX(COMPOS!$A$4:$G$801,MATCH($B242,COMPOS!$A$4:A$801,0),4))))</f>
        <v>51.823134000000003</v>
      </c>
      <c r="G242" s="280">
        <f>(IF($A242="SINAPI",INDEX(SINAPI_NOV2020_NDES!$A$7:$H$6703,MATCH($B242,SINAPI_NOV2020_NDES!$A$7:$A$6703,0),6),(INDEX(COMPOS!$A$4:$G$801,MATCH($B242,COMPOS!$A$4:A$801,0),5))))</f>
        <v>24.876719000000001</v>
      </c>
      <c r="H242" s="280">
        <f>(IF($A242="SINAPI",INDEX(SINAPI_NOV2020_NDES!$A$7:$H$6703,MATCH($B242,SINAPI_NOV2020_NDES!$A$7:$A$6703,0),7),(INDEX(COMPOS!$A$4:$G$801,MATCH($B242,COMPOS!$A$4:A$801,0),6))))</f>
        <v>0.66736799999999996</v>
      </c>
      <c r="I242" s="279">
        <f t="shared" si="51"/>
        <v>77.367221000000001</v>
      </c>
      <c r="J242" s="276">
        <f t="shared" si="52"/>
        <v>4023.0954919999999</v>
      </c>
    </row>
    <row r="243" spans="1:1001" s="41" customFormat="1" ht="12">
      <c r="A243" s="293" t="s">
        <v>6307</v>
      </c>
      <c r="B243" s="293">
        <v>143</v>
      </c>
      <c r="C243" s="301" t="str">
        <f>(IF($A243="SINAPI",INDEX(SINAPI_NOV2020_NDES!$A$7:$H$6703,MATCH($B243,SINAPI_NOV2020_NDES!$A$7:$A$6703,0),2),IF($A243="GOINFRA",INDEX(#REF!,MATCH($B243,#REF!,0),2),(INDEX(COMPOS!$A$4:$G$390,MATCH($B243,COMPOS!$A$4:A$390,0),2)))))</f>
        <v>ENVELOPAMENTO LAVATÓRIO FCK 15 MPA</v>
      </c>
      <c r="D243" s="274" t="str">
        <f>(IF($A243="SINAPI",INDEX(SINAPI_NOV2020_NDES!$A$7:$H$6790,MATCH($B243,SINAPI_NOV2020_NDES!$A$7:$A$6790,0),3),(INDEX(COMPOS!$A$4:$G$5000,MATCH($B243,COMPOS!$A$4:$A$5000,0),3))))</f>
        <v>M2</v>
      </c>
      <c r="E243" s="249">
        <v>52</v>
      </c>
      <c r="F243" s="279">
        <f>(IF($A243="SINAPI",INDEX(SINAPI_NOV2020_NDES!$A$7:$H$6703,MATCH($B243,SINAPI_NOV2020_NDES!$A$7:$A$6703,0),5),(INDEX(COMPOS!$A$4:$G$801,MATCH($B243,COMPOS!$A$4:A$801,0),4))))</f>
        <v>113.53423500000001</v>
      </c>
      <c r="G243" s="280">
        <f>(IF($A243="SINAPI",INDEX(SINAPI_NOV2020_NDES!$A$7:$H$6703,MATCH($B243,SINAPI_NOV2020_NDES!$A$7:$A$6703,0),6),(INDEX(COMPOS!$A$4:$G$801,MATCH($B243,COMPOS!$A$4:A$801,0),5))))</f>
        <v>72.938625000000002</v>
      </c>
      <c r="H243" s="280">
        <f>(IF($A243="SINAPI",INDEX(SINAPI_NOV2020_NDES!$A$7:$H$6703,MATCH($B243,SINAPI_NOV2020_NDES!$A$7:$A$6703,0),7),(INDEX(COMPOS!$A$4:$G$801,MATCH($B243,COMPOS!$A$4:A$801,0),6))))</f>
        <v>1.4497949999999999</v>
      </c>
      <c r="I243" s="279">
        <f t="shared" si="51"/>
        <v>187.92265500000002</v>
      </c>
      <c r="J243" s="276">
        <f t="shared" si="52"/>
        <v>9771.9780600000013</v>
      </c>
    </row>
    <row r="244" spans="1:1001" s="41" customFormat="1" ht="24">
      <c r="A244" s="252" t="s">
        <v>6307</v>
      </c>
      <c r="B244" s="293">
        <v>382</v>
      </c>
      <c r="C244" s="301" t="str">
        <f>(IF($A244="SINAPI",INDEX(SINAPI_NOV2020_NDES!$A$7:$H$6703,MATCH($B244,SINAPI_NOV2020_NDES!$A$7:$A$6703,0),2),IF($A244="GOINFRA",INDEX(#REF!,MATCH($B244,#REF!,0),2),(INDEX(COMPOS!$A$4:$G$390,MATCH($B244,COMPOS!$A$4:A$390,0),2)))))</f>
        <v>BANCO DE CONCRETO POLIDO BASE EM ALVENARIA REBOCADA E PINTADA - PADRÃO GOINFRA</v>
      </c>
      <c r="D244" s="274" t="str">
        <f>(IF($A244="SINAPI",INDEX(SINAPI_NOV2020_NDES!$A$7:$H$6790,MATCH($B244,SINAPI_NOV2020_NDES!$A$7:$A$6790,0),3),(INDEX(COMPOS!$A$4:$G$5000,MATCH($B244,COMPOS!$A$4:$A$5000,0),3))))</f>
        <v>M</v>
      </c>
      <c r="E244" s="249">
        <v>23.07</v>
      </c>
      <c r="F244" s="279">
        <f>(IF($A244="SINAPI",INDEX(SINAPI_NOV2020_NDES!$A$7:$H$6703,MATCH($B244,SINAPI_NOV2020_NDES!$A$7:$A$6703,0),5),(INDEX(COMPOS!$A$4:$G$801,MATCH($B244,COMPOS!$A$4:A$801,0),4))))</f>
        <v>118.09193099999999</v>
      </c>
      <c r="G244" s="280">
        <f>(IF($A244="SINAPI",INDEX(SINAPI_NOV2020_NDES!$A$7:$H$6703,MATCH($B244,SINAPI_NOV2020_NDES!$A$7:$A$6703,0),6),(INDEX(COMPOS!$A$4:$G$801,MATCH($B244,COMPOS!$A$4:A$801,0),5))))</f>
        <v>153.54687100000001</v>
      </c>
      <c r="H244" s="280">
        <f>(IF($A244="SINAPI",INDEX(SINAPI_NOV2020_NDES!$A$7:$H$6703,MATCH($B244,SINAPI_NOV2020_NDES!$A$7:$A$6703,0),7),(INDEX(COMPOS!$A$4:$G$801,MATCH($B244,COMPOS!$A$4:A$801,0),6))))</f>
        <v>0</v>
      </c>
      <c r="I244" s="279">
        <f t="shared" si="51"/>
        <v>271.638802</v>
      </c>
      <c r="J244" s="276">
        <f t="shared" si="52"/>
        <v>6266.70716214</v>
      </c>
    </row>
    <row r="245" spans="1:1001" s="88" customFormat="1" ht="24" customHeight="1">
      <c r="A245" s="680" t="s">
        <v>6927</v>
      </c>
      <c r="B245" s="680"/>
      <c r="C245" s="680"/>
      <c r="D245" s="680"/>
      <c r="E245" s="680"/>
      <c r="F245" s="680"/>
      <c r="G245" s="680"/>
      <c r="H245" s="680"/>
      <c r="I245" s="680"/>
      <c r="J245" s="281">
        <f>SUM(J235:J244)</f>
        <v>62558.053821610003</v>
      </c>
      <c r="K245" s="41"/>
      <c r="L245" s="41"/>
      <c r="M245" s="41"/>
      <c r="N245" s="41"/>
      <c r="O245" s="41"/>
      <c r="P245" s="41"/>
    </row>
    <row r="246" spans="1:1001" s="191" customFormat="1" ht="12.75" customHeight="1">
      <c r="A246" s="680" t="s">
        <v>7104</v>
      </c>
      <c r="B246" s="680"/>
      <c r="C246" s="680"/>
      <c r="D246" s="680"/>
      <c r="E246" s="680"/>
      <c r="F246" s="680"/>
      <c r="G246" s="680"/>
      <c r="H246" s="680"/>
      <c r="I246" s="680"/>
      <c r="J246" s="281">
        <f>SUMPRODUCT($E$11:$E$244,$F$11:$F$244)</f>
        <v>297687.06401451799</v>
      </c>
      <c r="K246" s="255"/>
      <c r="L246" s="255"/>
      <c r="M246" s="255"/>
      <c r="N246" s="255"/>
      <c r="O246" s="255"/>
      <c r="P246" s="257"/>
      <c r="Q246" s="255"/>
      <c r="R246" s="255"/>
      <c r="S246" s="255"/>
      <c r="T246" s="255"/>
      <c r="U246" s="255"/>
      <c r="V246" s="255"/>
      <c r="W246" s="255"/>
      <c r="X246" s="255"/>
      <c r="Y246" s="255"/>
      <c r="Z246" s="255"/>
      <c r="AA246" s="255"/>
      <c r="AB246" s="255"/>
      <c r="AC246" s="255"/>
      <c r="AD246" s="255"/>
      <c r="AE246" s="255"/>
      <c r="AF246" s="255"/>
      <c r="AG246" s="255"/>
      <c r="AH246" s="255"/>
      <c r="AI246" s="255"/>
      <c r="AJ246" s="255"/>
      <c r="AK246" s="255"/>
      <c r="AL246" s="255"/>
      <c r="AM246" s="255"/>
      <c r="AN246" s="255"/>
      <c r="AO246" s="255"/>
      <c r="AP246" s="255"/>
      <c r="AQ246" s="255"/>
      <c r="AR246" s="255"/>
      <c r="AS246" s="255"/>
      <c r="AT246" s="255"/>
      <c r="AU246" s="255"/>
      <c r="AV246" s="255"/>
      <c r="AW246" s="255"/>
      <c r="AX246" s="255"/>
      <c r="AY246" s="255"/>
      <c r="AZ246" s="255"/>
      <c r="BA246" s="255"/>
      <c r="BB246" s="255"/>
      <c r="BC246" s="255"/>
      <c r="BD246" s="255"/>
      <c r="BE246" s="255"/>
      <c r="BF246" s="255"/>
      <c r="BG246" s="255"/>
      <c r="BH246" s="255"/>
      <c r="BI246" s="255"/>
      <c r="BJ246" s="255"/>
      <c r="BK246" s="255"/>
      <c r="BL246" s="255"/>
      <c r="BM246" s="255"/>
      <c r="BN246" s="255"/>
      <c r="BO246" s="255"/>
      <c r="BP246" s="255"/>
      <c r="BQ246" s="255"/>
      <c r="BR246" s="255"/>
      <c r="BS246" s="255"/>
      <c r="BT246" s="255"/>
      <c r="BU246" s="255"/>
      <c r="BV246" s="255"/>
      <c r="BW246" s="255"/>
      <c r="BX246" s="255"/>
      <c r="BY246" s="255"/>
      <c r="BZ246" s="255"/>
      <c r="CA246" s="255"/>
      <c r="CB246" s="255"/>
      <c r="CC246" s="255"/>
      <c r="CD246" s="255"/>
      <c r="CE246" s="255"/>
      <c r="CF246" s="255"/>
      <c r="CG246" s="255"/>
      <c r="CH246" s="255"/>
      <c r="CI246" s="255"/>
      <c r="CJ246" s="255"/>
      <c r="CK246" s="255"/>
      <c r="CL246" s="255"/>
      <c r="CM246" s="255"/>
      <c r="CN246" s="255"/>
      <c r="CO246" s="255"/>
      <c r="CP246" s="255"/>
      <c r="CQ246" s="255"/>
      <c r="CR246" s="255"/>
      <c r="CS246" s="255"/>
      <c r="CT246" s="255"/>
      <c r="CU246" s="255"/>
      <c r="CV246" s="255"/>
      <c r="CW246" s="255"/>
      <c r="CX246" s="255"/>
      <c r="CY246" s="255"/>
      <c r="CZ246" s="255"/>
      <c r="DA246" s="255"/>
      <c r="DB246" s="255"/>
      <c r="DC246" s="255"/>
      <c r="DD246" s="255"/>
      <c r="DE246" s="255"/>
      <c r="DF246" s="255"/>
      <c r="DG246" s="255"/>
      <c r="DH246" s="255"/>
      <c r="DI246" s="255"/>
      <c r="DJ246" s="255"/>
      <c r="DK246" s="255"/>
      <c r="DL246" s="255"/>
      <c r="DM246" s="255"/>
      <c r="DN246" s="255"/>
      <c r="DO246" s="255"/>
      <c r="DP246" s="255"/>
      <c r="DQ246" s="255"/>
      <c r="DR246" s="255"/>
      <c r="DS246" s="255"/>
      <c r="DT246" s="255"/>
      <c r="DU246" s="255"/>
      <c r="DV246" s="255"/>
      <c r="DW246" s="255"/>
      <c r="DX246" s="255"/>
      <c r="DY246" s="255"/>
      <c r="DZ246" s="255"/>
      <c r="EA246" s="255"/>
      <c r="EB246" s="255"/>
      <c r="EC246" s="255"/>
      <c r="ED246" s="255"/>
      <c r="EE246" s="255"/>
      <c r="EF246" s="255"/>
      <c r="EG246" s="255"/>
      <c r="EH246" s="255"/>
      <c r="EI246" s="255"/>
      <c r="EJ246" s="255"/>
      <c r="EK246" s="255"/>
      <c r="EL246" s="255"/>
      <c r="EM246" s="255"/>
      <c r="EN246" s="255"/>
      <c r="EO246" s="255"/>
      <c r="EP246" s="255"/>
      <c r="EQ246" s="255"/>
      <c r="ER246" s="255"/>
      <c r="ES246" s="255"/>
      <c r="ET246" s="255"/>
      <c r="EU246" s="255"/>
      <c r="EV246" s="255"/>
      <c r="EW246" s="255"/>
      <c r="EX246" s="255"/>
      <c r="EY246" s="255"/>
      <c r="EZ246" s="255"/>
      <c r="FA246" s="255"/>
      <c r="FB246" s="255"/>
      <c r="FC246" s="255"/>
      <c r="FD246" s="255"/>
      <c r="FE246" s="255"/>
      <c r="FF246" s="255"/>
      <c r="FG246" s="255"/>
      <c r="FH246" s="255"/>
      <c r="FI246" s="255"/>
      <c r="FJ246" s="255"/>
      <c r="FK246" s="255"/>
      <c r="FL246" s="255"/>
      <c r="FM246" s="255"/>
      <c r="FN246" s="255"/>
      <c r="FO246" s="255"/>
      <c r="FP246" s="255"/>
      <c r="FQ246" s="255"/>
      <c r="FR246" s="255"/>
      <c r="FS246" s="255"/>
      <c r="FT246" s="255"/>
      <c r="FU246" s="255"/>
      <c r="FV246" s="255"/>
      <c r="FW246" s="255"/>
      <c r="FX246" s="255"/>
      <c r="FY246" s="255"/>
      <c r="FZ246" s="255"/>
      <c r="GA246" s="255"/>
      <c r="GB246" s="255"/>
      <c r="GC246" s="255"/>
      <c r="GD246" s="255"/>
      <c r="GE246" s="255"/>
      <c r="GF246" s="255"/>
      <c r="GG246" s="255"/>
      <c r="GH246" s="255"/>
      <c r="GI246" s="255"/>
      <c r="GJ246" s="255"/>
      <c r="GK246" s="255"/>
      <c r="GL246" s="255"/>
      <c r="GM246" s="255"/>
      <c r="GN246" s="255"/>
      <c r="GO246" s="255"/>
      <c r="GP246" s="255"/>
      <c r="GQ246" s="255"/>
      <c r="GR246" s="255"/>
      <c r="GS246" s="255"/>
      <c r="GT246" s="255"/>
      <c r="GU246" s="255"/>
      <c r="GV246" s="255"/>
      <c r="GW246" s="255"/>
      <c r="GX246" s="255"/>
      <c r="GY246" s="255"/>
      <c r="GZ246" s="255"/>
      <c r="HA246" s="255"/>
      <c r="HB246" s="255"/>
      <c r="HC246" s="255"/>
      <c r="HD246" s="255"/>
      <c r="HE246" s="255"/>
      <c r="HF246" s="255"/>
      <c r="HG246" s="255"/>
      <c r="HH246" s="255"/>
      <c r="HI246" s="255"/>
      <c r="HJ246" s="255"/>
      <c r="HK246" s="255"/>
      <c r="HL246" s="255"/>
      <c r="HM246" s="255"/>
      <c r="HN246" s="255"/>
      <c r="HO246" s="255"/>
      <c r="HP246" s="255"/>
      <c r="HQ246" s="255"/>
      <c r="HR246" s="255"/>
      <c r="HS246" s="255"/>
      <c r="HT246" s="255"/>
      <c r="HU246" s="255"/>
      <c r="HV246" s="255"/>
      <c r="HW246" s="255"/>
      <c r="HX246" s="255"/>
      <c r="HY246" s="255"/>
      <c r="HZ246" s="255"/>
      <c r="IA246" s="255"/>
      <c r="IB246" s="255"/>
      <c r="IC246" s="255"/>
      <c r="ID246" s="255"/>
      <c r="IE246" s="255"/>
      <c r="IF246" s="255"/>
      <c r="IG246" s="255"/>
      <c r="IH246" s="255"/>
      <c r="II246" s="255"/>
      <c r="IJ246" s="255"/>
      <c r="IK246" s="255"/>
      <c r="IL246" s="255"/>
      <c r="IM246" s="255"/>
      <c r="IN246" s="255"/>
      <c r="IO246" s="255"/>
      <c r="IP246" s="255"/>
      <c r="IQ246" s="255"/>
      <c r="IR246" s="255"/>
      <c r="IS246" s="255"/>
      <c r="IT246" s="255"/>
      <c r="IU246" s="255"/>
      <c r="IV246" s="255"/>
      <c r="IW246" s="255"/>
      <c r="IX246" s="255"/>
      <c r="IY246" s="255"/>
      <c r="IZ246" s="255"/>
      <c r="JA246" s="255"/>
      <c r="JB246" s="255"/>
      <c r="JC246" s="255"/>
      <c r="JD246" s="255"/>
      <c r="JE246" s="255"/>
      <c r="JF246" s="255"/>
      <c r="JG246" s="255"/>
      <c r="JH246" s="255"/>
      <c r="JI246" s="255"/>
      <c r="JJ246" s="255"/>
      <c r="JK246" s="255"/>
      <c r="JL246" s="255"/>
      <c r="JM246" s="255"/>
      <c r="JN246" s="255"/>
      <c r="JO246" s="255"/>
      <c r="JP246" s="255"/>
      <c r="JQ246" s="255"/>
      <c r="JR246" s="255"/>
      <c r="JS246" s="255"/>
      <c r="JT246" s="255"/>
      <c r="JU246" s="255"/>
      <c r="JV246" s="255"/>
      <c r="JW246" s="255"/>
      <c r="JX246" s="255"/>
      <c r="JY246" s="255"/>
      <c r="JZ246" s="255"/>
      <c r="KA246" s="255"/>
      <c r="KB246" s="255"/>
      <c r="KC246" s="255"/>
      <c r="KD246" s="255"/>
      <c r="KE246" s="255"/>
      <c r="KF246" s="255"/>
      <c r="KG246" s="255"/>
      <c r="KH246" s="255"/>
      <c r="KI246" s="255"/>
      <c r="KJ246" s="255"/>
      <c r="KK246" s="255"/>
      <c r="KL246" s="255"/>
      <c r="KM246" s="255"/>
      <c r="KN246" s="255"/>
      <c r="KO246" s="255"/>
      <c r="KP246" s="255"/>
      <c r="KQ246" s="255"/>
      <c r="KR246" s="255"/>
      <c r="KS246" s="255"/>
      <c r="KT246" s="255"/>
      <c r="KU246" s="255"/>
      <c r="KV246" s="255"/>
      <c r="KW246" s="255"/>
      <c r="KX246" s="255"/>
      <c r="KY246" s="255"/>
      <c r="KZ246" s="255"/>
      <c r="LA246" s="255"/>
      <c r="LB246" s="255"/>
      <c r="LC246" s="255"/>
      <c r="LD246" s="255"/>
      <c r="LE246" s="255"/>
      <c r="LF246" s="255"/>
      <c r="LG246" s="255"/>
      <c r="LH246" s="255"/>
      <c r="LI246" s="255"/>
      <c r="LJ246" s="255"/>
      <c r="LK246" s="255"/>
      <c r="LL246" s="255"/>
      <c r="LM246" s="255"/>
      <c r="LN246" s="255"/>
      <c r="LO246" s="255"/>
      <c r="LP246" s="255"/>
      <c r="LQ246" s="255"/>
      <c r="LR246" s="255"/>
      <c r="LS246" s="255"/>
      <c r="LT246" s="255"/>
      <c r="LU246" s="255"/>
      <c r="LV246" s="255"/>
      <c r="LW246" s="255"/>
      <c r="LX246" s="255"/>
      <c r="LY246" s="255"/>
      <c r="LZ246" s="255"/>
      <c r="MA246" s="255"/>
      <c r="MB246" s="255"/>
      <c r="MC246" s="255"/>
      <c r="MD246" s="255"/>
      <c r="ME246" s="255"/>
      <c r="MF246" s="255"/>
      <c r="MG246" s="255"/>
      <c r="MH246" s="255"/>
      <c r="MI246" s="255"/>
      <c r="MJ246" s="255"/>
      <c r="MK246" s="255"/>
      <c r="ML246" s="255"/>
      <c r="MM246" s="255"/>
      <c r="MN246" s="255"/>
      <c r="MO246" s="255"/>
      <c r="MP246" s="255"/>
      <c r="MQ246" s="255"/>
      <c r="MR246" s="255"/>
      <c r="MS246" s="255"/>
      <c r="MT246" s="255"/>
      <c r="MU246" s="255"/>
      <c r="MV246" s="255"/>
      <c r="MW246" s="255"/>
      <c r="MX246" s="255"/>
      <c r="MY246" s="255"/>
      <c r="MZ246" s="255"/>
      <c r="NA246" s="255"/>
      <c r="NB246" s="255"/>
      <c r="NC246" s="255"/>
      <c r="ND246" s="255"/>
      <c r="NE246" s="255"/>
      <c r="NF246" s="255"/>
      <c r="NG246" s="255"/>
      <c r="NH246" s="255"/>
      <c r="NI246" s="255"/>
      <c r="NJ246" s="255"/>
      <c r="NK246" s="255"/>
      <c r="NL246" s="255"/>
      <c r="NM246" s="255"/>
      <c r="NN246" s="255"/>
      <c r="NO246" s="255"/>
      <c r="NP246" s="255"/>
      <c r="NQ246" s="255"/>
      <c r="NR246" s="255"/>
      <c r="NS246" s="255"/>
      <c r="NT246" s="255"/>
      <c r="NU246" s="255"/>
      <c r="NV246" s="255"/>
      <c r="NW246" s="255"/>
      <c r="NX246" s="255"/>
      <c r="NY246" s="255"/>
      <c r="NZ246" s="255"/>
      <c r="OA246" s="255"/>
      <c r="OB246" s="255"/>
      <c r="OC246" s="255"/>
      <c r="OD246" s="255"/>
      <c r="OE246" s="255"/>
      <c r="OF246" s="255"/>
      <c r="OG246" s="255"/>
      <c r="OH246" s="255"/>
      <c r="OI246" s="255"/>
      <c r="OJ246" s="255"/>
      <c r="OK246" s="255"/>
      <c r="OL246" s="255"/>
      <c r="OM246" s="255"/>
      <c r="ON246" s="255"/>
      <c r="OO246" s="255"/>
      <c r="OP246" s="255"/>
      <c r="OQ246" s="255"/>
      <c r="OR246" s="255"/>
      <c r="OS246" s="255"/>
      <c r="OT246" s="255"/>
      <c r="OU246" s="255"/>
      <c r="OV246" s="255"/>
      <c r="OW246" s="255"/>
      <c r="OX246" s="255"/>
      <c r="OY246" s="255"/>
      <c r="OZ246" s="255"/>
      <c r="PA246" s="255"/>
      <c r="PB246" s="255"/>
      <c r="PC246" s="255"/>
      <c r="PD246" s="255"/>
      <c r="PE246" s="255"/>
      <c r="PF246" s="255"/>
      <c r="PG246" s="255"/>
      <c r="PH246" s="255"/>
      <c r="PI246" s="255"/>
      <c r="PJ246" s="255"/>
      <c r="PK246" s="255"/>
      <c r="PL246" s="255"/>
      <c r="PM246" s="255"/>
      <c r="PN246" s="255"/>
      <c r="PO246" s="255"/>
      <c r="PP246" s="255"/>
      <c r="PQ246" s="255"/>
      <c r="PR246" s="255"/>
      <c r="PS246" s="255"/>
      <c r="PT246" s="255"/>
      <c r="PU246" s="255"/>
      <c r="PV246" s="255"/>
      <c r="PW246" s="255"/>
      <c r="PX246" s="255"/>
      <c r="PY246" s="255"/>
      <c r="PZ246" s="255"/>
      <c r="QA246" s="255"/>
      <c r="QB246" s="255"/>
      <c r="QC246" s="255"/>
      <c r="QD246" s="255"/>
      <c r="QE246" s="255"/>
      <c r="QF246" s="255"/>
      <c r="QG246" s="255"/>
      <c r="QH246" s="255"/>
      <c r="QI246" s="255"/>
      <c r="QJ246" s="255"/>
      <c r="QK246" s="255"/>
      <c r="QL246" s="255"/>
      <c r="QM246" s="255"/>
      <c r="QN246" s="255"/>
      <c r="QO246" s="255"/>
      <c r="QP246" s="255"/>
      <c r="QQ246" s="255"/>
      <c r="QR246" s="255"/>
      <c r="QS246" s="255"/>
      <c r="QT246" s="255"/>
      <c r="QU246" s="255"/>
      <c r="QV246" s="255"/>
      <c r="QW246" s="255"/>
      <c r="QX246" s="255"/>
      <c r="QY246" s="255"/>
      <c r="QZ246" s="255"/>
      <c r="RA246" s="255"/>
      <c r="RB246" s="255"/>
      <c r="RC246" s="255"/>
      <c r="RD246" s="255"/>
      <c r="RE246" s="255"/>
      <c r="RF246" s="255"/>
      <c r="RG246" s="255"/>
      <c r="RH246" s="255"/>
      <c r="RI246" s="255"/>
      <c r="RJ246" s="255"/>
      <c r="RK246" s="255"/>
      <c r="RL246" s="255"/>
      <c r="RM246" s="255"/>
      <c r="RN246" s="255"/>
      <c r="RO246" s="255"/>
      <c r="RP246" s="255"/>
      <c r="RQ246" s="255"/>
      <c r="RR246" s="255"/>
      <c r="RS246" s="255"/>
      <c r="RT246" s="255"/>
      <c r="RU246" s="255"/>
      <c r="RV246" s="255"/>
      <c r="RW246" s="255"/>
      <c r="RX246" s="255"/>
      <c r="RY246" s="255"/>
      <c r="RZ246" s="255"/>
      <c r="SA246" s="255"/>
      <c r="SB246" s="255"/>
      <c r="SC246" s="255"/>
      <c r="SD246" s="255"/>
      <c r="SE246" s="255"/>
      <c r="SF246" s="255"/>
      <c r="SG246" s="255"/>
      <c r="SH246" s="255"/>
      <c r="SI246" s="255"/>
      <c r="SJ246" s="255"/>
      <c r="SK246" s="255"/>
      <c r="SL246" s="255"/>
      <c r="SM246" s="255"/>
      <c r="SN246" s="255"/>
      <c r="SO246" s="255"/>
      <c r="SP246" s="255"/>
      <c r="SQ246" s="255"/>
      <c r="SR246" s="255"/>
      <c r="SS246" s="255"/>
      <c r="ST246" s="255"/>
      <c r="SU246" s="255"/>
      <c r="SV246" s="255"/>
      <c r="SW246" s="255"/>
      <c r="SX246" s="255"/>
      <c r="SY246" s="255"/>
      <c r="SZ246" s="255"/>
      <c r="TA246" s="255"/>
      <c r="TB246" s="255"/>
      <c r="TC246" s="255"/>
      <c r="TD246" s="255"/>
      <c r="TE246" s="255"/>
      <c r="TF246" s="255"/>
      <c r="TG246" s="255"/>
      <c r="TH246" s="255"/>
      <c r="TI246" s="255"/>
      <c r="TJ246" s="255"/>
      <c r="TK246" s="255"/>
      <c r="TL246" s="255"/>
      <c r="TM246" s="255"/>
      <c r="TN246" s="255"/>
      <c r="TO246" s="255"/>
      <c r="TP246" s="255"/>
      <c r="TQ246" s="255"/>
      <c r="TR246" s="255"/>
      <c r="TS246" s="255"/>
      <c r="TT246" s="255"/>
      <c r="TU246" s="255"/>
      <c r="TV246" s="255"/>
      <c r="TW246" s="255"/>
      <c r="TX246" s="255"/>
      <c r="TY246" s="255"/>
      <c r="TZ246" s="255"/>
      <c r="UA246" s="255"/>
      <c r="UB246" s="255"/>
      <c r="UC246" s="255"/>
      <c r="UD246" s="255"/>
      <c r="UE246" s="255"/>
      <c r="UF246" s="255"/>
      <c r="UG246" s="255"/>
      <c r="UH246" s="255"/>
      <c r="UI246" s="255"/>
      <c r="UJ246" s="255"/>
      <c r="UK246" s="255"/>
      <c r="UL246" s="255"/>
      <c r="UM246" s="255"/>
      <c r="UN246" s="255"/>
      <c r="UO246" s="255"/>
      <c r="UP246" s="255"/>
      <c r="UQ246" s="255"/>
      <c r="UR246" s="255"/>
      <c r="US246" s="255"/>
      <c r="UT246" s="255"/>
      <c r="UU246" s="255"/>
      <c r="UV246" s="255"/>
      <c r="UW246" s="255"/>
      <c r="UX246" s="255"/>
      <c r="UY246" s="255"/>
      <c r="UZ246" s="255"/>
      <c r="VA246" s="255"/>
      <c r="VB246" s="255"/>
      <c r="VC246" s="255"/>
      <c r="VD246" s="255"/>
      <c r="VE246" s="255"/>
      <c r="VF246" s="255"/>
      <c r="VG246" s="255"/>
      <c r="VH246" s="255"/>
      <c r="VI246" s="255"/>
      <c r="VJ246" s="255"/>
      <c r="VK246" s="255"/>
      <c r="VL246" s="255"/>
      <c r="VM246" s="255"/>
      <c r="VN246" s="255"/>
      <c r="VO246" s="255"/>
      <c r="VP246" s="255"/>
      <c r="VQ246" s="255"/>
      <c r="VR246" s="255"/>
      <c r="VS246" s="255"/>
      <c r="VT246" s="255"/>
      <c r="VU246" s="255"/>
      <c r="VV246" s="255"/>
      <c r="VW246" s="255"/>
      <c r="VX246" s="255"/>
      <c r="VY246" s="255"/>
      <c r="VZ246" s="255"/>
      <c r="WA246" s="255"/>
      <c r="WB246" s="255"/>
      <c r="WC246" s="255"/>
      <c r="WD246" s="255"/>
      <c r="WE246" s="255"/>
      <c r="WF246" s="255"/>
      <c r="WG246" s="255"/>
      <c r="WH246" s="255"/>
      <c r="WI246" s="255"/>
      <c r="WJ246" s="255"/>
      <c r="WK246" s="255"/>
      <c r="WL246" s="255"/>
      <c r="WM246" s="255"/>
      <c r="WN246" s="255"/>
      <c r="WO246" s="255"/>
      <c r="WP246" s="255"/>
      <c r="WQ246" s="255"/>
      <c r="WR246" s="255"/>
      <c r="WS246" s="255"/>
      <c r="WT246" s="255"/>
      <c r="WU246" s="255"/>
      <c r="WV246" s="255"/>
      <c r="WW246" s="255"/>
      <c r="WX246" s="255"/>
      <c r="WY246" s="255"/>
      <c r="WZ246" s="255"/>
      <c r="XA246" s="255"/>
      <c r="XB246" s="255"/>
      <c r="XC246" s="255"/>
      <c r="XD246" s="255"/>
      <c r="XE246" s="255"/>
      <c r="XF246" s="255"/>
      <c r="XG246" s="255"/>
      <c r="XH246" s="255"/>
      <c r="XI246" s="255"/>
      <c r="XJ246" s="255"/>
      <c r="XK246" s="255"/>
      <c r="XL246" s="255"/>
      <c r="XM246" s="255"/>
      <c r="XN246" s="255"/>
      <c r="XO246" s="255"/>
      <c r="XP246" s="255"/>
      <c r="XQ246" s="255"/>
      <c r="XR246" s="255"/>
      <c r="XS246" s="255"/>
      <c r="XT246" s="255"/>
      <c r="XU246" s="255"/>
      <c r="XV246" s="255"/>
      <c r="XW246" s="255"/>
      <c r="XX246" s="255"/>
      <c r="XY246" s="255"/>
      <c r="XZ246" s="255"/>
      <c r="YA246" s="255"/>
      <c r="YB246" s="255"/>
      <c r="YC246" s="255"/>
      <c r="YD246" s="255"/>
      <c r="YE246" s="255"/>
      <c r="YF246" s="255"/>
      <c r="YG246" s="255"/>
      <c r="YH246" s="255"/>
      <c r="YI246" s="255"/>
      <c r="YJ246" s="255"/>
      <c r="YK246" s="255"/>
      <c r="YL246" s="255"/>
      <c r="YM246" s="255"/>
      <c r="YN246" s="255"/>
      <c r="YO246" s="255"/>
      <c r="YP246" s="255"/>
      <c r="YQ246" s="255"/>
      <c r="YR246" s="255"/>
      <c r="YS246" s="255"/>
      <c r="YT246" s="255"/>
      <c r="YU246" s="255"/>
      <c r="YV246" s="255"/>
      <c r="YW246" s="255"/>
      <c r="YX246" s="255"/>
      <c r="YY246" s="255"/>
      <c r="YZ246" s="255"/>
      <c r="ZA246" s="255"/>
      <c r="ZB246" s="255"/>
      <c r="ZC246" s="255"/>
      <c r="ZD246" s="255"/>
      <c r="ZE246" s="255"/>
      <c r="ZF246" s="255"/>
      <c r="ZG246" s="255"/>
      <c r="ZH246" s="255"/>
      <c r="ZI246" s="255"/>
      <c r="ZJ246" s="255"/>
      <c r="ZK246" s="255"/>
      <c r="ZL246" s="255"/>
      <c r="ZM246" s="255"/>
      <c r="ZN246" s="255"/>
      <c r="ZO246" s="255"/>
      <c r="ZP246" s="255"/>
      <c r="ZQ246" s="255"/>
      <c r="ZR246" s="255"/>
      <c r="ZS246" s="255"/>
      <c r="ZT246" s="255"/>
      <c r="ZU246" s="255"/>
      <c r="ZV246" s="255"/>
      <c r="ZW246" s="255"/>
      <c r="ZX246" s="255"/>
      <c r="ZY246" s="255"/>
      <c r="ZZ246" s="255"/>
      <c r="AAA246" s="255"/>
      <c r="AAB246" s="255"/>
      <c r="AAC246" s="255"/>
      <c r="AAD246" s="255"/>
      <c r="AAE246" s="255"/>
      <c r="AAF246" s="255"/>
      <c r="AAG246" s="255"/>
      <c r="AAH246" s="255"/>
      <c r="AAI246" s="255"/>
      <c r="AAJ246" s="255"/>
      <c r="AAK246" s="255"/>
      <c r="AAL246" s="255"/>
      <c r="AAM246" s="255"/>
      <c r="AAN246" s="255"/>
      <c r="AAO246" s="255"/>
      <c r="AAP246" s="255"/>
      <c r="AAQ246" s="255"/>
      <c r="AAR246" s="255"/>
      <c r="AAS246" s="255"/>
      <c r="AAT246" s="255"/>
      <c r="AAU246" s="255"/>
      <c r="AAV246" s="255"/>
      <c r="AAW246" s="255"/>
      <c r="AAX246" s="255"/>
      <c r="AAY246" s="255"/>
      <c r="AAZ246" s="255"/>
      <c r="ABA246" s="255"/>
      <c r="ABB246" s="255"/>
      <c r="ABC246" s="255"/>
      <c r="ABD246" s="255"/>
      <c r="ABE246" s="255"/>
      <c r="ABF246" s="255"/>
      <c r="ABG246" s="255"/>
      <c r="ABH246" s="255"/>
      <c r="ABI246" s="255"/>
      <c r="ABJ246" s="255"/>
      <c r="ABK246" s="255"/>
      <c r="ABL246" s="255"/>
      <c r="ABM246" s="255"/>
      <c r="ABN246" s="255"/>
      <c r="ABO246" s="255"/>
      <c r="ABP246" s="255"/>
      <c r="ABQ246" s="255"/>
      <c r="ABR246" s="255"/>
      <c r="ABS246" s="255"/>
      <c r="ABT246" s="255"/>
      <c r="ABU246" s="255"/>
      <c r="ABV246" s="255"/>
      <c r="ABW246" s="255"/>
      <c r="ABX246" s="255"/>
      <c r="ABY246" s="255"/>
      <c r="ABZ246" s="255"/>
      <c r="ACA246" s="255"/>
      <c r="ACB246" s="255"/>
      <c r="ACC246" s="255"/>
      <c r="ACD246" s="255"/>
      <c r="ACE246" s="255"/>
      <c r="ACF246" s="255"/>
      <c r="ACG246" s="255"/>
      <c r="ACH246" s="255"/>
      <c r="ACI246" s="255"/>
      <c r="ACJ246" s="255"/>
      <c r="ACK246" s="255"/>
      <c r="ACL246" s="255"/>
      <c r="ACM246" s="255"/>
      <c r="ACN246" s="255"/>
      <c r="ACO246" s="255"/>
      <c r="ACP246" s="255"/>
      <c r="ACQ246" s="255"/>
      <c r="ACR246" s="255"/>
      <c r="ACS246" s="255"/>
      <c r="ACT246" s="255"/>
      <c r="ACU246" s="255"/>
      <c r="ACV246" s="255"/>
      <c r="ACW246" s="255"/>
      <c r="ACX246" s="255"/>
      <c r="ACY246" s="255"/>
      <c r="ACZ246" s="255"/>
      <c r="ADA246" s="255"/>
      <c r="ADB246" s="255"/>
      <c r="ADC246" s="255"/>
      <c r="ADD246" s="255"/>
      <c r="ADE246" s="255"/>
      <c r="ADF246" s="255"/>
      <c r="ADG246" s="255"/>
      <c r="ADH246" s="255"/>
      <c r="ADI246" s="255"/>
      <c r="ADJ246" s="255"/>
      <c r="ADK246" s="255"/>
      <c r="ADL246" s="255"/>
      <c r="ADM246" s="255"/>
      <c r="ADN246" s="255"/>
      <c r="ADO246" s="255"/>
      <c r="ADP246" s="255"/>
      <c r="ADQ246" s="255"/>
      <c r="ADR246" s="255"/>
      <c r="ADS246" s="255"/>
      <c r="ADT246" s="255"/>
      <c r="ADU246" s="255"/>
      <c r="ADV246" s="255"/>
      <c r="ADW246" s="255"/>
      <c r="ADX246" s="255"/>
      <c r="ADY246" s="255"/>
      <c r="ADZ246" s="255"/>
      <c r="AEA246" s="255"/>
      <c r="AEB246" s="255"/>
      <c r="AEC246" s="255"/>
      <c r="AED246" s="255"/>
      <c r="AEE246" s="255"/>
      <c r="AEF246" s="255"/>
      <c r="AEG246" s="255"/>
      <c r="AEH246" s="255"/>
      <c r="AEI246" s="255"/>
      <c r="AEJ246" s="255"/>
      <c r="AEK246" s="255"/>
      <c r="AEL246" s="255"/>
      <c r="AEM246" s="255"/>
      <c r="AEN246" s="255"/>
      <c r="AEO246" s="255"/>
      <c r="AEP246" s="255"/>
      <c r="AEQ246" s="255"/>
      <c r="AER246" s="255"/>
      <c r="AES246" s="255"/>
      <c r="AET246" s="255"/>
      <c r="AEU246" s="255"/>
      <c r="AEV246" s="255"/>
      <c r="AEW246" s="255"/>
      <c r="AEX246" s="255"/>
      <c r="AEY246" s="255"/>
      <c r="AEZ246" s="255"/>
      <c r="AFA246" s="255"/>
      <c r="AFB246" s="255"/>
      <c r="AFC246" s="255"/>
      <c r="AFD246" s="255"/>
      <c r="AFE246" s="255"/>
      <c r="AFF246" s="255"/>
      <c r="AFG246" s="255"/>
      <c r="AFH246" s="255"/>
      <c r="AFI246" s="255"/>
      <c r="AFJ246" s="255"/>
      <c r="AFK246" s="255"/>
      <c r="AFL246" s="255"/>
      <c r="AFM246" s="255"/>
      <c r="AFN246" s="255"/>
      <c r="AFO246" s="255"/>
      <c r="AFP246" s="255"/>
      <c r="AFQ246" s="255"/>
      <c r="AFR246" s="255"/>
      <c r="AFS246" s="255"/>
      <c r="AFT246" s="255"/>
      <c r="AFU246" s="255"/>
      <c r="AFV246" s="255"/>
      <c r="AFW246" s="255"/>
      <c r="AFX246" s="255"/>
      <c r="AFY246" s="255"/>
      <c r="AFZ246" s="255"/>
      <c r="AGA246" s="255"/>
      <c r="AGB246" s="255"/>
      <c r="AGC246" s="255"/>
      <c r="AGD246" s="255"/>
      <c r="AGE246" s="255"/>
      <c r="AGF246" s="255"/>
      <c r="AGG246" s="255"/>
      <c r="AGH246" s="255"/>
      <c r="AGI246" s="255"/>
      <c r="AGJ246" s="255"/>
      <c r="AGK246" s="255"/>
      <c r="AGL246" s="255"/>
      <c r="AGM246" s="255"/>
      <c r="AGN246" s="255"/>
      <c r="AGO246" s="255"/>
      <c r="AGP246" s="255"/>
      <c r="AGQ246" s="255"/>
      <c r="AGR246" s="255"/>
      <c r="AGS246" s="255"/>
      <c r="AGT246" s="255"/>
      <c r="AGU246" s="255"/>
      <c r="AGV246" s="255"/>
      <c r="AGW246" s="255"/>
      <c r="AGX246" s="255"/>
      <c r="AGY246" s="255"/>
      <c r="AGZ246" s="255"/>
      <c r="AHA246" s="255"/>
      <c r="AHB246" s="255"/>
      <c r="AHC246" s="255"/>
      <c r="AHD246" s="255"/>
      <c r="AHE246" s="255"/>
      <c r="AHF246" s="255"/>
      <c r="AHG246" s="255"/>
      <c r="AHH246" s="255"/>
      <c r="AHI246" s="255"/>
      <c r="AHJ246" s="255"/>
      <c r="AHK246" s="255"/>
      <c r="AHL246" s="255"/>
      <c r="AHM246" s="255"/>
      <c r="AHN246" s="255"/>
      <c r="AHO246" s="255"/>
      <c r="AHP246" s="255"/>
      <c r="AHQ246" s="255"/>
      <c r="AHR246" s="255"/>
      <c r="AHS246" s="255"/>
      <c r="AHT246" s="255"/>
      <c r="AHU246" s="255"/>
      <c r="AHV246" s="255"/>
      <c r="AHW246" s="255"/>
      <c r="AHX246" s="255"/>
      <c r="AHY246" s="255"/>
      <c r="AHZ246" s="255"/>
      <c r="AIA246" s="255"/>
      <c r="AIB246" s="255"/>
      <c r="AIC246" s="255"/>
      <c r="AID246" s="255"/>
      <c r="AIE246" s="255"/>
      <c r="AIF246" s="255"/>
      <c r="AIG246" s="255"/>
      <c r="AIH246" s="255"/>
      <c r="AII246" s="255"/>
      <c r="AIJ246" s="255"/>
      <c r="AIK246" s="255"/>
      <c r="AIL246" s="255"/>
      <c r="AIM246" s="255"/>
      <c r="AIN246" s="255"/>
      <c r="AIO246" s="255"/>
      <c r="AIP246" s="255"/>
      <c r="AIQ246" s="255"/>
      <c r="AIR246" s="255"/>
      <c r="AIS246" s="255"/>
      <c r="AIT246" s="255"/>
      <c r="AIU246" s="255"/>
      <c r="AIV246" s="255"/>
      <c r="AIW246" s="255"/>
      <c r="AIX246" s="255"/>
      <c r="AIY246" s="255"/>
      <c r="AIZ246" s="255"/>
      <c r="AJA246" s="255"/>
      <c r="AJB246" s="255"/>
      <c r="AJC246" s="255"/>
      <c r="AJD246" s="255"/>
      <c r="AJE246" s="255"/>
      <c r="AJF246" s="255"/>
      <c r="AJG246" s="255"/>
      <c r="AJH246" s="255"/>
      <c r="AJI246" s="255"/>
      <c r="AJJ246" s="255"/>
      <c r="AJK246" s="255"/>
      <c r="AJL246" s="255"/>
      <c r="AJM246" s="255"/>
      <c r="AJN246" s="255"/>
      <c r="AJO246" s="255"/>
      <c r="AJP246" s="255"/>
      <c r="AJQ246" s="255"/>
      <c r="AJR246" s="255"/>
      <c r="AJS246" s="255"/>
      <c r="AJT246" s="255"/>
      <c r="AJU246" s="255"/>
      <c r="AJV246" s="255"/>
      <c r="AJW246" s="255"/>
      <c r="AJX246" s="255"/>
      <c r="AJY246" s="255"/>
      <c r="AJZ246" s="255"/>
      <c r="AKA246" s="255"/>
      <c r="AKB246" s="255"/>
      <c r="AKC246" s="255"/>
      <c r="AKD246" s="255"/>
      <c r="AKE246" s="255"/>
      <c r="AKF246" s="255"/>
      <c r="AKG246" s="255"/>
      <c r="AKH246" s="255"/>
      <c r="AKI246" s="255"/>
      <c r="AKJ246" s="255"/>
      <c r="AKK246" s="255"/>
      <c r="AKL246" s="255"/>
      <c r="AKM246" s="255"/>
      <c r="AKN246" s="255"/>
      <c r="AKO246" s="255"/>
      <c r="AKP246" s="255"/>
      <c r="AKQ246" s="255"/>
      <c r="AKR246" s="255"/>
      <c r="AKS246" s="255"/>
      <c r="AKT246" s="255"/>
      <c r="AKU246" s="255"/>
      <c r="AKV246" s="255"/>
      <c r="AKW246" s="255"/>
      <c r="AKX246" s="255"/>
      <c r="AKY246" s="255"/>
      <c r="AKZ246" s="255"/>
      <c r="ALA246" s="255"/>
      <c r="ALB246" s="255"/>
      <c r="ALC246" s="255"/>
      <c r="ALD246" s="255"/>
      <c r="ALE246" s="42"/>
      <c r="ALF246" s="42"/>
      <c r="ALG246" s="42"/>
      <c r="ALH246" s="42"/>
      <c r="ALI246" s="42"/>
      <c r="ALJ246" s="42"/>
      <c r="ALK246" s="42"/>
      <c r="ALL246" s="42"/>
      <c r="ALM246" s="42"/>
    </row>
    <row r="247" spans="1:1001" s="191" customFormat="1" ht="12.75" customHeight="1">
      <c r="A247" s="680" t="s">
        <v>7103</v>
      </c>
      <c r="B247" s="680"/>
      <c r="C247" s="680"/>
      <c r="D247" s="680"/>
      <c r="E247" s="680"/>
      <c r="F247" s="680"/>
      <c r="G247" s="680"/>
      <c r="H247" s="680"/>
      <c r="I247" s="680"/>
      <c r="J247" s="281">
        <f>SUMPRODUCT($E$11:$E$244,$G$11:$G$244)+SUMPRODUCT($E$11:$E$244,$H$11:$H$244)</f>
        <v>739033.35177393025</v>
      </c>
      <c r="K247" s="255"/>
      <c r="L247" s="255"/>
      <c r="M247" s="255"/>
      <c r="N247" s="255"/>
      <c r="O247" s="255"/>
      <c r="P247" s="255"/>
      <c r="Q247" s="255"/>
      <c r="R247" s="255"/>
      <c r="S247" s="255"/>
      <c r="T247" s="255"/>
      <c r="U247" s="255"/>
      <c r="V247" s="255"/>
      <c r="W247" s="255"/>
      <c r="X247" s="255"/>
      <c r="Y247" s="255"/>
      <c r="Z247" s="255"/>
      <c r="AA247" s="255"/>
      <c r="AB247" s="255"/>
      <c r="AC247" s="255"/>
      <c r="AD247" s="255"/>
      <c r="AE247" s="255"/>
      <c r="AF247" s="255"/>
      <c r="AG247" s="255"/>
      <c r="AH247" s="255"/>
      <c r="AI247" s="255"/>
      <c r="AJ247" s="255"/>
      <c r="AK247" s="255"/>
      <c r="AL247" s="255"/>
      <c r="AM247" s="255"/>
      <c r="AN247" s="255"/>
      <c r="AO247" s="255"/>
      <c r="AP247" s="255"/>
      <c r="AQ247" s="255"/>
      <c r="AR247" s="255"/>
      <c r="AS247" s="255"/>
      <c r="AT247" s="255"/>
      <c r="AU247" s="255"/>
      <c r="AV247" s="255"/>
      <c r="AW247" s="255"/>
      <c r="AX247" s="255"/>
      <c r="AY247" s="255"/>
      <c r="AZ247" s="255"/>
      <c r="BA247" s="255"/>
      <c r="BB247" s="255"/>
      <c r="BC247" s="255"/>
      <c r="BD247" s="255"/>
      <c r="BE247" s="255"/>
      <c r="BF247" s="255"/>
      <c r="BG247" s="255"/>
      <c r="BH247" s="255"/>
      <c r="BI247" s="255"/>
      <c r="BJ247" s="255"/>
      <c r="BK247" s="255"/>
      <c r="BL247" s="255"/>
      <c r="BM247" s="255"/>
      <c r="BN247" s="255"/>
      <c r="BO247" s="255"/>
      <c r="BP247" s="255"/>
      <c r="BQ247" s="255"/>
      <c r="BR247" s="255"/>
      <c r="BS247" s="255"/>
      <c r="BT247" s="255"/>
      <c r="BU247" s="255"/>
      <c r="BV247" s="255"/>
      <c r="BW247" s="255"/>
      <c r="BX247" s="255"/>
      <c r="BY247" s="255"/>
      <c r="BZ247" s="255"/>
      <c r="CA247" s="255"/>
      <c r="CB247" s="255"/>
      <c r="CC247" s="255"/>
      <c r="CD247" s="255"/>
      <c r="CE247" s="255"/>
      <c r="CF247" s="255"/>
      <c r="CG247" s="255"/>
      <c r="CH247" s="255"/>
      <c r="CI247" s="255"/>
      <c r="CJ247" s="255"/>
      <c r="CK247" s="255"/>
      <c r="CL247" s="255"/>
      <c r="CM247" s="255"/>
      <c r="CN247" s="255"/>
      <c r="CO247" s="255"/>
      <c r="CP247" s="255"/>
      <c r="CQ247" s="255"/>
      <c r="CR247" s="255"/>
      <c r="CS247" s="255"/>
      <c r="CT247" s="255"/>
      <c r="CU247" s="255"/>
      <c r="CV247" s="255"/>
      <c r="CW247" s="255"/>
      <c r="CX247" s="255"/>
      <c r="CY247" s="255"/>
      <c r="CZ247" s="255"/>
      <c r="DA247" s="255"/>
      <c r="DB247" s="255"/>
      <c r="DC247" s="255"/>
      <c r="DD247" s="255"/>
      <c r="DE247" s="255"/>
      <c r="DF247" s="255"/>
      <c r="DG247" s="255"/>
      <c r="DH247" s="255"/>
      <c r="DI247" s="255"/>
      <c r="DJ247" s="255"/>
      <c r="DK247" s="255"/>
      <c r="DL247" s="255"/>
      <c r="DM247" s="255"/>
      <c r="DN247" s="255"/>
      <c r="DO247" s="255"/>
      <c r="DP247" s="255"/>
      <c r="DQ247" s="255"/>
      <c r="DR247" s="255"/>
      <c r="DS247" s="255"/>
      <c r="DT247" s="255"/>
      <c r="DU247" s="255"/>
      <c r="DV247" s="255"/>
      <c r="DW247" s="255"/>
      <c r="DX247" s="255"/>
      <c r="DY247" s="255"/>
      <c r="DZ247" s="255"/>
      <c r="EA247" s="255"/>
      <c r="EB247" s="255"/>
      <c r="EC247" s="255"/>
      <c r="ED247" s="255"/>
      <c r="EE247" s="255"/>
      <c r="EF247" s="255"/>
      <c r="EG247" s="255"/>
      <c r="EH247" s="255"/>
      <c r="EI247" s="255"/>
      <c r="EJ247" s="255"/>
      <c r="EK247" s="255"/>
      <c r="EL247" s="255"/>
      <c r="EM247" s="255"/>
      <c r="EN247" s="255"/>
      <c r="EO247" s="255"/>
      <c r="EP247" s="255"/>
      <c r="EQ247" s="255"/>
      <c r="ER247" s="255"/>
      <c r="ES247" s="255"/>
      <c r="ET247" s="255"/>
      <c r="EU247" s="255"/>
      <c r="EV247" s="255"/>
      <c r="EW247" s="255"/>
      <c r="EX247" s="255"/>
      <c r="EY247" s="255"/>
      <c r="EZ247" s="255"/>
      <c r="FA247" s="255"/>
      <c r="FB247" s="255"/>
      <c r="FC247" s="255"/>
      <c r="FD247" s="255"/>
      <c r="FE247" s="255"/>
      <c r="FF247" s="255"/>
      <c r="FG247" s="255"/>
      <c r="FH247" s="255"/>
      <c r="FI247" s="255"/>
      <c r="FJ247" s="255"/>
      <c r="FK247" s="255"/>
      <c r="FL247" s="255"/>
      <c r="FM247" s="255"/>
      <c r="FN247" s="255"/>
      <c r="FO247" s="255"/>
      <c r="FP247" s="255"/>
      <c r="FQ247" s="255"/>
      <c r="FR247" s="255"/>
      <c r="FS247" s="255"/>
      <c r="FT247" s="255"/>
      <c r="FU247" s="255"/>
      <c r="FV247" s="255"/>
      <c r="FW247" s="255"/>
      <c r="FX247" s="255"/>
      <c r="FY247" s="255"/>
      <c r="FZ247" s="255"/>
      <c r="GA247" s="255"/>
      <c r="GB247" s="255"/>
      <c r="GC247" s="255"/>
      <c r="GD247" s="255"/>
      <c r="GE247" s="255"/>
      <c r="GF247" s="255"/>
      <c r="GG247" s="255"/>
      <c r="GH247" s="255"/>
      <c r="GI247" s="255"/>
      <c r="GJ247" s="255"/>
      <c r="GK247" s="255"/>
      <c r="GL247" s="255"/>
      <c r="GM247" s="255"/>
      <c r="GN247" s="255"/>
      <c r="GO247" s="255"/>
      <c r="GP247" s="255"/>
      <c r="GQ247" s="255"/>
      <c r="GR247" s="255"/>
      <c r="GS247" s="255"/>
      <c r="GT247" s="255"/>
      <c r="GU247" s="255"/>
      <c r="GV247" s="255"/>
      <c r="GW247" s="255"/>
      <c r="GX247" s="255"/>
      <c r="GY247" s="255"/>
      <c r="GZ247" s="255"/>
      <c r="HA247" s="255"/>
      <c r="HB247" s="255"/>
      <c r="HC247" s="255"/>
      <c r="HD247" s="255"/>
      <c r="HE247" s="255"/>
      <c r="HF247" s="255"/>
      <c r="HG247" s="255"/>
      <c r="HH247" s="255"/>
      <c r="HI247" s="255"/>
      <c r="HJ247" s="255"/>
      <c r="HK247" s="255"/>
      <c r="HL247" s="255"/>
      <c r="HM247" s="255"/>
      <c r="HN247" s="255"/>
      <c r="HO247" s="255"/>
      <c r="HP247" s="255"/>
      <c r="HQ247" s="255"/>
      <c r="HR247" s="255"/>
      <c r="HS247" s="255"/>
      <c r="HT247" s="255"/>
      <c r="HU247" s="255"/>
      <c r="HV247" s="255"/>
      <c r="HW247" s="255"/>
      <c r="HX247" s="255"/>
      <c r="HY247" s="255"/>
      <c r="HZ247" s="255"/>
      <c r="IA247" s="255"/>
      <c r="IB247" s="255"/>
      <c r="IC247" s="255"/>
      <c r="ID247" s="255"/>
      <c r="IE247" s="255"/>
      <c r="IF247" s="255"/>
      <c r="IG247" s="255"/>
      <c r="IH247" s="255"/>
      <c r="II247" s="255"/>
      <c r="IJ247" s="255"/>
      <c r="IK247" s="255"/>
      <c r="IL247" s="255"/>
      <c r="IM247" s="255"/>
      <c r="IN247" s="255"/>
      <c r="IO247" s="255"/>
      <c r="IP247" s="255"/>
      <c r="IQ247" s="255"/>
      <c r="IR247" s="255"/>
      <c r="IS247" s="255"/>
      <c r="IT247" s="255"/>
      <c r="IU247" s="255"/>
      <c r="IV247" s="255"/>
      <c r="IW247" s="255"/>
      <c r="IX247" s="255"/>
      <c r="IY247" s="255"/>
      <c r="IZ247" s="255"/>
      <c r="JA247" s="255"/>
      <c r="JB247" s="255"/>
      <c r="JC247" s="255"/>
      <c r="JD247" s="255"/>
      <c r="JE247" s="255"/>
      <c r="JF247" s="255"/>
      <c r="JG247" s="255"/>
      <c r="JH247" s="255"/>
      <c r="JI247" s="255"/>
      <c r="JJ247" s="255"/>
      <c r="JK247" s="255"/>
      <c r="JL247" s="255"/>
      <c r="JM247" s="255"/>
      <c r="JN247" s="255"/>
      <c r="JO247" s="255"/>
      <c r="JP247" s="255"/>
      <c r="JQ247" s="255"/>
      <c r="JR247" s="255"/>
      <c r="JS247" s="255"/>
      <c r="JT247" s="255"/>
      <c r="JU247" s="255"/>
      <c r="JV247" s="255"/>
      <c r="JW247" s="255"/>
      <c r="JX247" s="255"/>
      <c r="JY247" s="255"/>
      <c r="JZ247" s="255"/>
      <c r="KA247" s="255"/>
      <c r="KB247" s="255"/>
      <c r="KC247" s="255"/>
      <c r="KD247" s="255"/>
      <c r="KE247" s="255"/>
      <c r="KF247" s="255"/>
      <c r="KG247" s="255"/>
      <c r="KH247" s="255"/>
      <c r="KI247" s="255"/>
      <c r="KJ247" s="255"/>
      <c r="KK247" s="255"/>
      <c r="KL247" s="255"/>
      <c r="KM247" s="255"/>
      <c r="KN247" s="255"/>
      <c r="KO247" s="255"/>
      <c r="KP247" s="255"/>
      <c r="KQ247" s="255"/>
      <c r="KR247" s="255"/>
      <c r="KS247" s="255"/>
      <c r="KT247" s="255"/>
      <c r="KU247" s="255"/>
      <c r="KV247" s="255"/>
      <c r="KW247" s="255"/>
      <c r="KX247" s="255"/>
      <c r="KY247" s="255"/>
      <c r="KZ247" s="255"/>
      <c r="LA247" s="255"/>
      <c r="LB247" s="255"/>
      <c r="LC247" s="255"/>
      <c r="LD247" s="255"/>
      <c r="LE247" s="255"/>
      <c r="LF247" s="255"/>
      <c r="LG247" s="255"/>
      <c r="LH247" s="255"/>
      <c r="LI247" s="255"/>
      <c r="LJ247" s="255"/>
      <c r="LK247" s="255"/>
      <c r="LL247" s="255"/>
      <c r="LM247" s="255"/>
      <c r="LN247" s="255"/>
      <c r="LO247" s="255"/>
      <c r="LP247" s="255"/>
      <c r="LQ247" s="255"/>
      <c r="LR247" s="255"/>
      <c r="LS247" s="255"/>
      <c r="LT247" s="255"/>
      <c r="LU247" s="255"/>
      <c r="LV247" s="255"/>
      <c r="LW247" s="255"/>
      <c r="LX247" s="255"/>
      <c r="LY247" s="255"/>
      <c r="LZ247" s="255"/>
      <c r="MA247" s="255"/>
      <c r="MB247" s="255"/>
      <c r="MC247" s="255"/>
      <c r="MD247" s="255"/>
      <c r="ME247" s="255"/>
      <c r="MF247" s="255"/>
      <c r="MG247" s="255"/>
      <c r="MH247" s="255"/>
      <c r="MI247" s="255"/>
      <c r="MJ247" s="255"/>
      <c r="MK247" s="255"/>
      <c r="ML247" s="255"/>
      <c r="MM247" s="255"/>
      <c r="MN247" s="255"/>
      <c r="MO247" s="255"/>
      <c r="MP247" s="255"/>
      <c r="MQ247" s="255"/>
      <c r="MR247" s="255"/>
      <c r="MS247" s="255"/>
      <c r="MT247" s="255"/>
      <c r="MU247" s="255"/>
      <c r="MV247" s="255"/>
      <c r="MW247" s="255"/>
      <c r="MX247" s="255"/>
      <c r="MY247" s="255"/>
      <c r="MZ247" s="255"/>
      <c r="NA247" s="255"/>
      <c r="NB247" s="255"/>
      <c r="NC247" s="255"/>
      <c r="ND247" s="255"/>
      <c r="NE247" s="255"/>
      <c r="NF247" s="255"/>
      <c r="NG247" s="255"/>
      <c r="NH247" s="255"/>
      <c r="NI247" s="255"/>
      <c r="NJ247" s="255"/>
      <c r="NK247" s="255"/>
      <c r="NL247" s="255"/>
      <c r="NM247" s="255"/>
      <c r="NN247" s="255"/>
      <c r="NO247" s="255"/>
      <c r="NP247" s="255"/>
      <c r="NQ247" s="255"/>
      <c r="NR247" s="255"/>
      <c r="NS247" s="255"/>
      <c r="NT247" s="255"/>
      <c r="NU247" s="255"/>
      <c r="NV247" s="255"/>
      <c r="NW247" s="255"/>
      <c r="NX247" s="255"/>
      <c r="NY247" s="255"/>
      <c r="NZ247" s="255"/>
      <c r="OA247" s="255"/>
      <c r="OB247" s="255"/>
      <c r="OC247" s="255"/>
      <c r="OD247" s="255"/>
      <c r="OE247" s="255"/>
      <c r="OF247" s="255"/>
      <c r="OG247" s="255"/>
      <c r="OH247" s="255"/>
      <c r="OI247" s="255"/>
      <c r="OJ247" s="255"/>
      <c r="OK247" s="255"/>
      <c r="OL247" s="255"/>
      <c r="OM247" s="255"/>
      <c r="ON247" s="255"/>
      <c r="OO247" s="255"/>
      <c r="OP247" s="255"/>
      <c r="OQ247" s="255"/>
      <c r="OR247" s="255"/>
      <c r="OS247" s="255"/>
      <c r="OT247" s="255"/>
      <c r="OU247" s="255"/>
      <c r="OV247" s="255"/>
      <c r="OW247" s="255"/>
      <c r="OX247" s="255"/>
      <c r="OY247" s="255"/>
      <c r="OZ247" s="255"/>
      <c r="PA247" s="255"/>
      <c r="PB247" s="255"/>
      <c r="PC247" s="255"/>
      <c r="PD247" s="255"/>
      <c r="PE247" s="255"/>
      <c r="PF247" s="255"/>
      <c r="PG247" s="255"/>
      <c r="PH247" s="255"/>
      <c r="PI247" s="255"/>
      <c r="PJ247" s="255"/>
      <c r="PK247" s="255"/>
      <c r="PL247" s="255"/>
      <c r="PM247" s="255"/>
      <c r="PN247" s="255"/>
      <c r="PO247" s="255"/>
      <c r="PP247" s="255"/>
      <c r="PQ247" s="255"/>
      <c r="PR247" s="255"/>
      <c r="PS247" s="255"/>
      <c r="PT247" s="255"/>
      <c r="PU247" s="255"/>
      <c r="PV247" s="255"/>
      <c r="PW247" s="255"/>
      <c r="PX247" s="255"/>
      <c r="PY247" s="255"/>
      <c r="PZ247" s="255"/>
      <c r="QA247" s="255"/>
      <c r="QB247" s="255"/>
      <c r="QC247" s="255"/>
      <c r="QD247" s="255"/>
      <c r="QE247" s="255"/>
      <c r="QF247" s="255"/>
      <c r="QG247" s="255"/>
      <c r="QH247" s="255"/>
      <c r="QI247" s="255"/>
      <c r="QJ247" s="255"/>
      <c r="QK247" s="255"/>
      <c r="QL247" s="255"/>
      <c r="QM247" s="255"/>
      <c r="QN247" s="255"/>
      <c r="QO247" s="255"/>
      <c r="QP247" s="255"/>
      <c r="QQ247" s="255"/>
      <c r="QR247" s="255"/>
      <c r="QS247" s="255"/>
      <c r="QT247" s="255"/>
      <c r="QU247" s="255"/>
      <c r="QV247" s="255"/>
      <c r="QW247" s="255"/>
      <c r="QX247" s="255"/>
      <c r="QY247" s="255"/>
      <c r="QZ247" s="255"/>
      <c r="RA247" s="255"/>
      <c r="RB247" s="255"/>
      <c r="RC247" s="255"/>
      <c r="RD247" s="255"/>
      <c r="RE247" s="255"/>
      <c r="RF247" s="255"/>
      <c r="RG247" s="255"/>
      <c r="RH247" s="255"/>
      <c r="RI247" s="255"/>
      <c r="RJ247" s="255"/>
      <c r="RK247" s="255"/>
      <c r="RL247" s="255"/>
      <c r="RM247" s="255"/>
      <c r="RN247" s="255"/>
      <c r="RO247" s="255"/>
      <c r="RP247" s="255"/>
      <c r="RQ247" s="255"/>
      <c r="RR247" s="255"/>
      <c r="RS247" s="255"/>
      <c r="RT247" s="255"/>
      <c r="RU247" s="255"/>
      <c r="RV247" s="255"/>
      <c r="RW247" s="255"/>
      <c r="RX247" s="255"/>
      <c r="RY247" s="255"/>
      <c r="RZ247" s="255"/>
      <c r="SA247" s="255"/>
      <c r="SB247" s="255"/>
      <c r="SC247" s="255"/>
      <c r="SD247" s="255"/>
      <c r="SE247" s="255"/>
      <c r="SF247" s="255"/>
      <c r="SG247" s="255"/>
      <c r="SH247" s="255"/>
      <c r="SI247" s="255"/>
      <c r="SJ247" s="255"/>
      <c r="SK247" s="255"/>
      <c r="SL247" s="255"/>
      <c r="SM247" s="255"/>
      <c r="SN247" s="255"/>
      <c r="SO247" s="255"/>
      <c r="SP247" s="255"/>
      <c r="SQ247" s="255"/>
      <c r="SR247" s="255"/>
      <c r="SS247" s="255"/>
      <c r="ST247" s="255"/>
      <c r="SU247" s="255"/>
      <c r="SV247" s="255"/>
      <c r="SW247" s="255"/>
      <c r="SX247" s="255"/>
      <c r="SY247" s="255"/>
      <c r="SZ247" s="255"/>
      <c r="TA247" s="255"/>
      <c r="TB247" s="255"/>
      <c r="TC247" s="255"/>
      <c r="TD247" s="255"/>
      <c r="TE247" s="255"/>
      <c r="TF247" s="255"/>
      <c r="TG247" s="255"/>
      <c r="TH247" s="255"/>
      <c r="TI247" s="255"/>
      <c r="TJ247" s="255"/>
      <c r="TK247" s="255"/>
      <c r="TL247" s="255"/>
      <c r="TM247" s="255"/>
      <c r="TN247" s="255"/>
      <c r="TO247" s="255"/>
      <c r="TP247" s="255"/>
      <c r="TQ247" s="255"/>
      <c r="TR247" s="255"/>
      <c r="TS247" s="255"/>
      <c r="TT247" s="255"/>
      <c r="TU247" s="255"/>
      <c r="TV247" s="255"/>
      <c r="TW247" s="255"/>
      <c r="TX247" s="255"/>
      <c r="TY247" s="255"/>
      <c r="TZ247" s="255"/>
      <c r="UA247" s="255"/>
      <c r="UB247" s="255"/>
      <c r="UC247" s="255"/>
      <c r="UD247" s="255"/>
      <c r="UE247" s="255"/>
      <c r="UF247" s="255"/>
      <c r="UG247" s="255"/>
      <c r="UH247" s="255"/>
      <c r="UI247" s="255"/>
      <c r="UJ247" s="255"/>
      <c r="UK247" s="255"/>
      <c r="UL247" s="255"/>
      <c r="UM247" s="255"/>
      <c r="UN247" s="255"/>
      <c r="UO247" s="255"/>
      <c r="UP247" s="255"/>
      <c r="UQ247" s="255"/>
      <c r="UR247" s="255"/>
      <c r="US247" s="255"/>
      <c r="UT247" s="255"/>
      <c r="UU247" s="255"/>
      <c r="UV247" s="255"/>
      <c r="UW247" s="255"/>
      <c r="UX247" s="255"/>
      <c r="UY247" s="255"/>
      <c r="UZ247" s="255"/>
      <c r="VA247" s="255"/>
      <c r="VB247" s="255"/>
      <c r="VC247" s="255"/>
      <c r="VD247" s="255"/>
      <c r="VE247" s="255"/>
      <c r="VF247" s="255"/>
      <c r="VG247" s="255"/>
      <c r="VH247" s="255"/>
      <c r="VI247" s="255"/>
      <c r="VJ247" s="255"/>
      <c r="VK247" s="255"/>
      <c r="VL247" s="255"/>
      <c r="VM247" s="255"/>
      <c r="VN247" s="255"/>
      <c r="VO247" s="255"/>
      <c r="VP247" s="255"/>
      <c r="VQ247" s="255"/>
      <c r="VR247" s="255"/>
      <c r="VS247" s="255"/>
      <c r="VT247" s="255"/>
      <c r="VU247" s="255"/>
      <c r="VV247" s="255"/>
      <c r="VW247" s="255"/>
      <c r="VX247" s="255"/>
      <c r="VY247" s="255"/>
      <c r="VZ247" s="255"/>
      <c r="WA247" s="255"/>
      <c r="WB247" s="255"/>
      <c r="WC247" s="255"/>
      <c r="WD247" s="255"/>
      <c r="WE247" s="255"/>
      <c r="WF247" s="255"/>
      <c r="WG247" s="255"/>
      <c r="WH247" s="255"/>
      <c r="WI247" s="255"/>
      <c r="WJ247" s="255"/>
      <c r="WK247" s="255"/>
      <c r="WL247" s="255"/>
      <c r="WM247" s="255"/>
      <c r="WN247" s="255"/>
      <c r="WO247" s="255"/>
      <c r="WP247" s="255"/>
      <c r="WQ247" s="255"/>
      <c r="WR247" s="255"/>
      <c r="WS247" s="255"/>
      <c r="WT247" s="255"/>
      <c r="WU247" s="255"/>
      <c r="WV247" s="255"/>
      <c r="WW247" s="255"/>
      <c r="WX247" s="255"/>
      <c r="WY247" s="255"/>
      <c r="WZ247" s="255"/>
      <c r="XA247" s="255"/>
      <c r="XB247" s="255"/>
      <c r="XC247" s="255"/>
      <c r="XD247" s="255"/>
      <c r="XE247" s="255"/>
      <c r="XF247" s="255"/>
      <c r="XG247" s="255"/>
      <c r="XH247" s="255"/>
      <c r="XI247" s="255"/>
      <c r="XJ247" s="255"/>
      <c r="XK247" s="255"/>
      <c r="XL247" s="255"/>
      <c r="XM247" s="255"/>
      <c r="XN247" s="255"/>
      <c r="XO247" s="255"/>
      <c r="XP247" s="255"/>
      <c r="XQ247" s="255"/>
      <c r="XR247" s="255"/>
      <c r="XS247" s="255"/>
      <c r="XT247" s="255"/>
      <c r="XU247" s="255"/>
      <c r="XV247" s="255"/>
      <c r="XW247" s="255"/>
      <c r="XX247" s="255"/>
      <c r="XY247" s="255"/>
      <c r="XZ247" s="255"/>
      <c r="YA247" s="255"/>
      <c r="YB247" s="255"/>
      <c r="YC247" s="255"/>
      <c r="YD247" s="255"/>
      <c r="YE247" s="255"/>
      <c r="YF247" s="255"/>
      <c r="YG247" s="255"/>
      <c r="YH247" s="255"/>
      <c r="YI247" s="255"/>
      <c r="YJ247" s="255"/>
      <c r="YK247" s="255"/>
      <c r="YL247" s="255"/>
      <c r="YM247" s="255"/>
      <c r="YN247" s="255"/>
      <c r="YO247" s="255"/>
      <c r="YP247" s="255"/>
      <c r="YQ247" s="255"/>
      <c r="YR247" s="255"/>
      <c r="YS247" s="255"/>
      <c r="YT247" s="255"/>
      <c r="YU247" s="255"/>
      <c r="YV247" s="255"/>
      <c r="YW247" s="255"/>
      <c r="YX247" s="255"/>
      <c r="YY247" s="255"/>
      <c r="YZ247" s="255"/>
      <c r="ZA247" s="255"/>
      <c r="ZB247" s="255"/>
      <c r="ZC247" s="255"/>
      <c r="ZD247" s="255"/>
      <c r="ZE247" s="255"/>
      <c r="ZF247" s="255"/>
      <c r="ZG247" s="255"/>
      <c r="ZH247" s="255"/>
      <c r="ZI247" s="255"/>
      <c r="ZJ247" s="255"/>
      <c r="ZK247" s="255"/>
      <c r="ZL247" s="255"/>
      <c r="ZM247" s="255"/>
      <c r="ZN247" s="255"/>
      <c r="ZO247" s="255"/>
      <c r="ZP247" s="255"/>
      <c r="ZQ247" s="255"/>
      <c r="ZR247" s="255"/>
      <c r="ZS247" s="255"/>
      <c r="ZT247" s="255"/>
      <c r="ZU247" s="255"/>
      <c r="ZV247" s="255"/>
      <c r="ZW247" s="255"/>
      <c r="ZX247" s="255"/>
      <c r="ZY247" s="255"/>
      <c r="ZZ247" s="255"/>
      <c r="AAA247" s="255"/>
      <c r="AAB247" s="255"/>
      <c r="AAC247" s="255"/>
      <c r="AAD247" s="255"/>
      <c r="AAE247" s="255"/>
      <c r="AAF247" s="255"/>
      <c r="AAG247" s="255"/>
      <c r="AAH247" s="255"/>
      <c r="AAI247" s="255"/>
      <c r="AAJ247" s="255"/>
      <c r="AAK247" s="255"/>
      <c r="AAL247" s="255"/>
      <c r="AAM247" s="255"/>
      <c r="AAN247" s="255"/>
      <c r="AAO247" s="255"/>
      <c r="AAP247" s="255"/>
      <c r="AAQ247" s="255"/>
      <c r="AAR247" s="255"/>
      <c r="AAS247" s="255"/>
      <c r="AAT247" s="255"/>
      <c r="AAU247" s="255"/>
      <c r="AAV247" s="255"/>
      <c r="AAW247" s="255"/>
      <c r="AAX247" s="255"/>
      <c r="AAY247" s="255"/>
      <c r="AAZ247" s="255"/>
      <c r="ABA247" s="255"/>
      <c r="ABB247" s="255"/>
      <c r="ABC247" s="255"/>
      <c r="ABD247" s="255"/>
      <c r="ABE247" s="255"/>
      <c r="ABF247" s="255"/>
      <c r="ABG247" s="255"/>
      <c r="ABH247" s="255"/>
      <c r="ABI247" s="255"/>
      <c r="ABJ247" s="255"/>
      <c r="ABK247" s="255"/>
      <c r="ABL247" s="255"/>
      <c r="ABM247" s="255"/>
      <c r="ABN247" s="255"/>
      <c r="ABO247" s="255"/>
      <c r="ABP247" s="255"/>
      <c r="ABQ247" s="255"/>
      <c r="ABR247" s="255"/>
      <c r="ABS247" s="255"/>
      <c r="ABT247" s="255"/>
      <c r="ABU247" s="255"/>
      <c r="ABV247" s="255"/>
      <c r="ABW247" s="255"/>
      <c r="ABX247" s="255"/>
      <c r="ABY247" s="255"/>
      <c r="ABZ247" s="255"/>
      <c r="ACA247" s="255"/>
      <c r="ACB247" s="255"/>
      <c r="ACC247" s="255"/>
      <c r="ACD247" s="255"/>
      <c r="ACE247" s="255"/>
      <c r="ACF247" s="255"/>
      <c r="ACG247" s="255"/>
      <c r="ACH247" s="255"/>
      <c r="ACI247" s="255"/>
      <c r="ACJ247" s="255"/>
      <c r="ACK247" s="255"/>
      <c r="ACL247" s="255"/>
      <c r="ACM247" s="255"/>
      <c r="ACN247" s="255"/>
      <c r="ACO247" s="255"/>
      <c r="ACP247" s="255"/>
      <c r="ACQ247" s="255"/>
      <c r="ACR247" s="255"/>
      <c r="ACS247" s="255"/>
      <c r="ACT247" s="255"/>
      <c r="ACU247" s="255"/>
      <c r="ACV247" s="255"/>
      <c r="ACW247" s="255"/>
      <c r="ACX247" s="255"/>
      <c r="ACY247" s="255"/>
      <c r="ACZ247" s="255"/>
      <c r="ADA247" s="255"/>
      <c r="ADB247" s="255"/>
      <c r="ADC247" s="255"/>
      <c r="ADD247" s="255"/>
      <c r="ADE247" s="255"/>
      <c r="ADF247" s="255"/>
      <c r="ADG247" s="255"/>
      <c r="ADH247" s="255"/>
      <c r="ADI247" s="255"/>
      <c r="ADJ247" s="255"/>
      <c r="ADK247" s="255"/>
      <c r="ADL247" s="255"/>
      <c r="ADM247" s="255"/>
      <c r="ADN247" s="255"/>
      <c r="ADO247" s="255"/>
      <c r="ADP247" s="255"/>
      <c r="ADQ247" s="255"/>
      <c r="ADR247" s="255"/>
      <c r="ADS247" s="255"/>
      <c r="ADT247" s="255"/>
      <c r="ADU247" s="255"/>
      <c r="ADV247" s="255"/>
      <c r="ADW247" s="255"/>
      <c r="ADX247" s="255"/>
      <c r="ADY247" s="255"/>
      <c r="ADZ247" s="255"/>
      <c r="AEA247" s="255"/>
      <c r="AEB247" s="255"/>
      <c r="AEC247" s="255"/>
      <c r="AED247" s="255"/>
      <c r="AEE247" s="255"/>
      <c r="AEF247" s="255"/>
      <c r="AEG247" s="255"/>
      <c r="AEH247" s="255"/>
      <c r="AEI247" s="255"/>
      <c r="AEJ247" s="255"/>
      <c r="AEK247" s="255"/>
      <c r="AEL247" s="255"/>
      <c r="AEM247" s="255"/>
      <c r="AEN247" s="255"/>
      <c r="AEO247" s="255"/>
      <c r="AEP247" s="255"/>
      <c r="AEQ247" s="255"/>
      <c r="AER247" s="255"/>
      <c r="AES247" s="255"/>
      <c r="AET247" s="255"/>
      <c r="AEU247" s="255"/>
      <c r="AEV247" s="255"/>
      <c r="AEW247" s="255"/>
      <c r="AEX247" s="255"/>
      <c r="AEY247" s="255"/>
      <c r="AEZ247" s="255"/>
      <c r="AFA247" s="255"/>
      <c r="AFB247" s="255"/>
      <c r="AFC247" s="255"/>
      <c r="AFD247" s="255"/>
      <c r="AFE247" s="255"/>
      <c r="AFF247" s="255"/>
      <c r="AFG247" s="255"/>
      <c r="AFH247" s="255"/>
      <c r="AFI247" s="255"/>
      <c r="AFJ247" s="255"/>
      <c r="AFK247" s="255"/>
      <c r="AFL247" s="255"/>
      <c r="AFM247" s="255"/>
      <c r="AFN247" s="255"/>
      <c r="AFO247" s="255"/>
      <c r="AFP247" s="255"/>
      <c r="AFQ247" s="255"/>
      <c r="AFR247" s="255"/>
      <c r="AFS247" s="255"/>
      <c r="AFT247" s="255"/>
      <c r="AFU247" s="255"/>
      <c r="AFV247" s="255"/>
      <c r="AFW247" s="255"/>
      <c r="AFX247" s="255"/>
      <c r="AFY247" s="255"/>
      <c r="AFZ247" s="255"/>
      <c r="AGA247" s="255"/>
      <c r="AGB247" s="255"/>
      <c r="AGC247" s="255"/>
      <c r="AGD247" s="255"/>
      <c r="AGE247" s="255"/>
      <c r="AGF247" s="255"/>
      <c r="AGG247" s="255"/>
      <c r="AGH247" s="255"/>
      <c r="AGI247" s="255"/>
      <c r="AGJ247" s="255"/>
      <c r="AGK247" s="255"/>
      <c r="AGL247" s="255"/>
      <c r="AGM247" s="255"/>
      <c r="AGN247" s="255"/>
      <c r="AGO247" s="255"/>
      <c r="AGP247" s="255"/>
      <c r="AGQ247" s="255"/>
      <c r="AGR247" s="255"/>
      <c r="AGS247" s="255"/>
      <c r="AGT247" s="255"/>
      <c r="AGU247" s="255"/>
      <c r="AGV247" s="255"/>
      <c r="AGW247" s="255"/>
      <c r="AGX247" s="255"/>
      <c r="AGY247" s="255"/>
      <c r="AGZ247" s="255"/>
      <c r="AHA247" s="255"/>
      <c r="AHB247" s="255"/>
      <c r="AHC247" s="255"/>
      <c r="AHD247" s="255"/>
      <c r="AHE247" s="255"/>
      <c r="AHF247" s="255"/>
      <c r="AHG247" s="255"/>
      <c r="AHH247" s="255"/>
      <c r="AHI247" s="255"/>
      <c r="AHJ247" s="255"/>
      <c r="AHK247" s="255"/>
      <c r="AHL247" s="255"/>
      <c r="AHM247" s="255"/>
      <c r="AHN247" s="255"/>
      <c r="AHO247" s="255"/>
      <c r="AHP247" s="255"/>
      <c r="AHQ247" s="255"/>
      <c r="AHR247" s="255"/>
      <c r="AHS247" s="255"/>
      <c r="AHT247" s="255"/>
      <c r="AHU247" s="255"/>
      <c r="AHV247" s="255"/>
      <c r="AHW247" s="255"/>
      <c r="AHX247" s="255"/>
      <c r="AHY247" s="255"/>
      <c r="AHZ247" s="255"/>
      <c r="AIA247" s="255"/>
      <c r="AIB247" s="255"/>
      <c r="AIC247" s="255"/>
      <c r="AID247" s="255"/>
      <c r="AIE247" s="255"/>
      <c r="AIF247" s="255"/>
      <c r="AIG247" s="255"/>
      <c r="AIH247" s="255"/>
      <c r="AII247" s="255"/>
      <c r="AIJ247" s="255"/>
      <c r="AIK247" s="255"/>
      <c r="AIL247" s="255"/>
      <c r="AIM247" s="255"/>
      <c r="AIN247" s="255"/>
      <c r="AIO247" s="255"/>
      <c r="AIP247" s="255"/>
      <c r="AIQ247" s="255"/>
      <c r="AIR247" s="255"/>
      <c r="AIS247" s="255"/>
      <c r="AIT247" s="255"/>
      <c r="AIU247" s="255"/>
      <c r="AIV247" s="255"/>
      <c r="AIW247" s="255"/>
      <c r="AIX247" s="255"/>
      <c r="AIY247" s="255"/>
      <c r="AIZ247" s="255"/>
      <c r="AJA247" s="255"/>
      <c r="AJB247" s="255"/>
      <c r="AJC247" s="255"/>
      <c r="AJD247" s="255"/>
      <c r="AJE247" s="255"/>
      <c r="AJF247" s="255"/>
      <c r="AJG247" s="255"/>
      <c r="AJH247" s="255"/>
      <c r="AJI247" s="255"/>
      <c r="AJJ247" s="255"/>
      <c r="AJK247" s="255"/>
      <c r="AJL247" s="255"/>
      <c r="AJM247" s="255"/>
      <c r="AJN247" s="255"/>
      <c r="AJO247" s="255"/>
      <c r="AJP247" s="255"/>
      <c r="AJQ247" s="255"/>
      <c r="AJR247" s="255"/>
      <c r="AJS247" s="255"/>
      <c r="AJT247" s="255"/>
      <c r="AJU247" s="255"/>
      <c r="AJV247" s="255"/>
      <c r="AJW247" s="255"/>
      <c r="AJX247" s="255"/>
      <c r="AJY247" s="255"/>
      <c r="AJZ247" s="255"/>
      <c r="AKA247" s="255"/>
      <c r="AKB247" s="255"/>
      <c r="AKC247" s="255"/>
      <c r="AKD247" s="255"/>
      <c r="AKE247" s="255"/>
      <c r="AKF247" s="255"/>
      <c r="AKG247" s="255"/>
      <c r="AKH247" s="255"/>
      <c r="AKI247" s="255"/>
      <c r="AKJ247" s="255"/>
      <c r="AKK247" s="255"/>
      <c r="AKL247" s="255"/>
      <c r="AKM247" s="255"/>
      <c r="AKN247" s="255"/>
      <c r="AKO247" s="255"/>
      <c r="AKP247" s="255"/>
      <c r="AKQ247" s="255"/>
      <c r="AKR247" s="255"/>
      <c r="AKS247" s="255"/>
      <c r="AKT247" s="255"/>
      <c r="AKU247" s="255"/>
      <c r="AKV247" s="255"/>
      <c r="AKW247" s="255"/>
      <c r="AKX247" s="255"/>
      <c r="AKY247" s="255"/>
      <c r="AKZ247" s="255"/>
      <c r="ALA247" s="255"/>
      <c r="ALB247" s="255"/>
      <c r="ALC247" s="255"/>
      <c r="ALD247" s="255"/>
      <c r="ALE247" s="42"/>
      <c r="ALF247" s="42"/>
      <c r="ALG247" s="42"/>
      <c r="ALH247" s="42"/>
      <c r="ALI247" s="42"/>
      <c r="ALJ247" s="42"/>
      <c r="ALK247" s="42"/>
      <c r="ALL247" s="42"/>
      <c r="ALM247" s="42"/>
    </row>
    <row r="248" spans="1:1001" s="1" customFormat="1" ht="15" customHeight="1">
      <c r="A248" s="690" t="s">
        <v>6928</v>
      </c>
      <c r="B248" s="691"/>
      <c r="C248" s="691"/>
      <c r="D248" s="691"/>
      <c r="E248" s="691"/>
      <c r="F248" s="691"/>
      <c r="G248" s="691"/>
      <c r="H248" s="691"/>
      <c r="I248" s="692"/>
      <c r="J248" s="281">
        <f>J245+J233+J221+J217+J209+J205+J200+J197+J183+J178+J175+J169+J164+J115+J43+J31+J26+J19+J16</f>
        <v>1036720.4157884478</v>
      </c>
      <c r="K248" s="41"/>
      <c r="L248" s="41"/>
      <c r="M248" s="41"/>
      <c r="N248" s="41"/>
      <c r="O248" s="41"/>
      <c r="P248" s="41"/>
    </row>
    <row r="250" spans="1:1001" ht="13.5">
      <c r="B250" s="94"/>
      <c r="C250" s="87"/>
      <c r="D250" s="12"/>
    </row>
  </sheetData>
  <autoFilter ref="A12:J248" xr:uid="{00000000-0009-0000-0000-00000A000000}"/>
  <mergeCells count="22">
    <mergeCell ref="A248:I248"/>
    <mergeCell ref="A217:I217"/>
    <mergeCell ref="A233:I233"/>
    <mergeCell ref="A245:I245"/>
    <mergeCell ref="A197:I197"/>
    <mergeCell ref="A200:I200"/>
    <mergeCell ref="A205:I205"/>
    <mergeCell ref="A209:I209"/>
    <mergeCell ref="A246:I246"/>
    <mergeCell ref="A247:I247"/>
    <mergeCell ref="A221:I221"/>
    <mergeCell ref="A16:I16"/>
    <mergeCell ref="A19:I19"/>
    <mergeCell ref="A26:I26"/>
    <mergeCell ref="A31:I31"/>
    <mergeCell ref="A43:I43"/>
    <mergeCell ref="A183:I183"/>
    <mergeCell ref="A115:I115"/>
    <mergeCell ref="A164:I164"/>
    <mergeCell ref="A169:I169"/>
    <mergeCell ref="A175:I175"/>
    <mergeCell ref="A178:I178"/>
  </mergeCells>
  <phoneticPr fontId="49" type="noConversion"/>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ignoredErrors>
    <ignoredError sqref="C187" 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T51"/>
  <sheetViews>
    <sheetView showGridLines="0" view="pageBreakPreview" zoomScale="80" zoomScaleNormal="82" zoomScaleSheetLayoutView="80" workbookViewId="0">
      <selection activeCell="C4" sqref="C4:C6"/>
    </sheetView>
  </sheetViews>
  <sheetFormatPr defaultColWidth="9.140625" defaultRowHeight="12"/>
  <cols>
    <col min="1" max="1" width="10.7109375" style="189" customWidth="1"/>
    <col min="2" max="2" width="10.7109375" style="185" customWidth="1"/>
    <col min="3" max="3" width="70.7109375" style="184" customWidth="1"/>
    <col min="4" max="4" width="4.7109375" style="189" customWidth="1"/>
    <col min="5" max="8" width="11.7109375" style="188" customWidth="1"/>
    <col min="9" max="10" width="14.28515625" style="188" customWidth="1"/>
    <col min="11" max="13" width="12.140625" style="182" bestFit="1" customWidth="1"/>
    <col min="14" max="1008" width="9.140625" style="182"/>
    <col min="1009" max="16384" width="9.140625" style="187"/>
  </cols>
  <sheetData>
    <row r="1" spans="1:16" ht="24.95" customHeight="1">
      <c r="A1" s="472"/>
      <c r="B1" s="473"/>
      <c r="C1" s="474"/>
      <c r="D1" s="474"/>
      <c r="E1" s="474"/>
      <c r="F1" s="474"/>
      <c r="G1" s="474"/>
      <c r="H1" s="474"/>
      <c r="I1" s="474"/>
      <c r="J1" s="475"/>
    </row>
    <row r="2" spans="1:16" ht="24.95" customHeight="1">
      <c r="A2" s="476"/>
      <c r="B2" s="477"/>
      <c r="C2" s="478"/>
      <c r="D2" s="478"/>
      <c r="E2" s="478"/>
      <c r="F2" s="478"/>
      <c r="G2" s="478"/>
      <c r="H2" s="478"/>
      <c r="I2" s="478"/>
      <c r="J2" s="479"/>
    </row>
    <row r="3" spans="1:16" ht="24.95" customHeight="1">
      <c r="A3" s="476"/>
      <c r="B3" s="477"/>
      <c r="C3" s="478"/>
      <c r="D3" s="478"/>
      <c r="E3" s="478"/>
      <c r="F3" s="478"/>
      <c r="G3" s="478"/>
      <c r="H3" s="478"/>
      <c r="I3" s="478"/>
      <c r="J3" s="479"/>
    </row>
    <row r="4" spans="1:16" ht="14.1" customHeight="1">
      <c r="A4" s="480" t="s">
        <v>6295</v>
      </c>
      <c r="B4" s="481"/>
      <c r="C4" s="630" t="str">
        <f>+RESUMO!B5</f>
        <v>CONCLUSÃO DA CONSTRUÇÃO DO CENTRO DE ATENDIMENTO SÓCIO EDUCATIVO - CASE ITUMBIARA</v>
      </c>
      <c r="D4" s="482"/>
      <c r="E4" s="482"/>
      <c r="F4" s="482"/>
      <c r="G4" s="482"/>
      <c r="H4" s="482"/>
      <c r="I4" s="482"/>
      <c r="J4" s="483"/>
    </row>
    <row r="5" spans="1:16" ht="14.85" customHeight="1">
      <c r="A5" s="480" t="s">
        <v>6297</v>
      </c>
      <c r="B5" s="481"/>
      <c r="C5" s="630" t="str">
        <f>+RESUMO!B6</f>
        <v>SINAPI – NOVEMBRO/2020 (ONERADA)</v>
      </c>
      <c r="D5" s="482"/>
      <c r="E5" s="482"/>
      <c r="F5" s="482"/>
      <c r="G5" s="482"/>
      <c r="H5" s="482"/>
      <c r="I5" s="482"/>
      <c r="J5" s="483"/>
    </row>
    <row r="6" spans="1:16" ht="14.85" customHeight="1">
      <c r="A6" s="484" t="s">
        <v>5545</v>
      </c>
      <c r="B6" s="481"/>
      <c r="C6" s="630" t="str">
        <f>+RESUMO!B7</f>
        <v>MAIO / 2021</v>
      </c>
      <c r="D6" s="485"/>
      <c r="E6" s="485"/>
      <c r="F6" s="485"/>
      <c r="G6" s="485"/>
      <c r="H6" s="485"/>
      <c r="I6" s="485"/>
      <c r="J6" s="486"/>
    </row>
    <row r="7" spans="1:16" ht="14.85" customHeight="1">
      <c r="A7" s="484" t="s">
        <v>6298</v>
      </c>
      <c r="B7" s="487"/>
      <c r="C7" s="488">
        <v>2.02000036012687E+18</v>
      </c>
      <c r="D7" s="489"/>
      <c r="E7" s="489"/>
      <c r="F7" s="489"/>
      <c r="G7" s="489"/>
      <c r="H7" s="489"/>
      <c r="I7" s="489"/>
      <c r="J7" s="490"/>
    </row>
    <row r="8" spans="1:16" ht="14.85" customHeight="1">
      <c r="A8" s="484" t="s">
        <v>6299</v>
      </c>
      <c r="B8" s="487"/>
      <c r="C8" s="491" t="s">
        <v>6342</v>
      </c>
      <c r="D8" s="489"/>
      <c r="E8" s="489"/>
      <c r="F8" s="489"/>
      <c r="G8" s="489"/>
      <c r="H8" s="489"/>
      <c r="I8" s="489"/>
      <c r="J8" s="490"/>
    </row>
    <row r="9" spans="1:16" ht="14.85" customHeight="1">
      <c r="A9" s="484" t="s">
        <v>6300</v>
      </c>
      <c r="B9" s="487"/>
      <c r="C9" s="492" t="s">
        <v>6343</v>
      </c>
      <c r="D9" s="489"/>
      <c r="E9" s="489"/>
      <c r="F9" s="489"/>
      <c r="G9" s="489"/>
      <c r="H9" s="489"/>
      <c r="I9" s="489"/>
      <c r="J9" s="490"/>
    </row>
    <row r="10" spans="1:16" ht="14.85" customHeight="1">
      <c r="A10" s="183"/>
      <c r="B10" s="186"/>
      <c r="C10" s="183"/>
      <c r="D10" s="183"/>
      <c r="E10" s="183"/>
      <c r="F10" s="183"/>
      <c r="G10" s="183"/>
      <c r="H10" s="183"/>
      <c r="I10" s="183"/>
      <c r="J10" s="183"/>
    </row>
    <row r="11" spans="1:16" ht="20.85" customHeight="1">
      <c r="A11" s="181" t="s">
        <v>5551</v>
      </c>
      <c r="B11" s="180" t="s">
        <v>0</v>
      </c>
      <c r="C11" s="181" t="s">
        <v>6305</v>
      </c>
      <c r="D11" s="181" t="s">
        <v>6306</v>
      </c>
      <c r="E11" s="179" t="s">
        <v>6311</v>
      </c>
      <c r="F11" s="179" t="s">
        <v>6285</v>
      </c>
      <c r="G11" s="179" t="s">
        <v>586</v>
      </c>
      <c r="H11" s="179" t="s">
        <v>6286</v>
      </c>
      <c r="I11" s="179" t="s">
        <v>6308</v>
      </c>
      <c r="J11" s="179" t="s">
        <v>6309</v>
      </c>
    </row>
    <row r="12" spans="1:16">
      <c r="A12" s="343"/>
      <c r="B12" s="344"/>
      <c r="C12" s="345"/>
      <c r="D12" s="346"/>
      <c r="E12" s="347"/>
      <c r="F12" s="347"/>
      <c r="G12" s="347"/>
      <c r="H12" s="347"/>
      <c r="I12" s="347"/>
      <c r="J12" s="347"/>
    </row>
    <row r="13" spans="1:16">
      <c r="A13" s="348"/>
      <c r="B13" s="349">
        <v>165</v>
      </c>
      <c r="C13" s="350" t="s">
        <v>611</v>
      </c>
      <c r="D13" s="351"/>
      <c r="E13" s="352"/>
      <c r="F13" s="352"/>
      <c r="G13" s="352"/>
      <c r="H13" s="352"/>
      <c r="I13" s="352"/>
      <c r="J13" s="352"/>
    </row>
    <row r="14" spans="1:16" ht="24">
      <c r="A14" s="348" t="s">
        <v>6307</v>
      </c>
      <c r="B14" s="349">
        <v>450</v>
      </c>
      <c r="C14" s="353"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352">
        <f>88.09*0.07*0.5</f>
        <v>3.0831500000000003</v>
      </c>
      <c r="F14" s="354">
        <f>(IF($A14="SINAPI",INDEX(SINAPI_NOV2020_NDES!$A$7:$H$6703,MATCH($B14,SINAPI_NOV2020_NDES!$A$7:$A$6703,0),5),(INDEX(COMPOS!$A$4:$G$801,MATCH($B14,COMPOS!$A$4:A$801,0),4))))</f>
        <v>10.879199999999999</v>
      </c>
      <c r="G14" s="355">
        <f>(IF($A14="SINAPI",INDEX(SINAPI_NOV2020_NDES!$A$7:$H$6703,MATCH($B14,SINAPI_NOV2020_NDES!$A$7:$A$6703,0),6),(INDEX(COMPOS!$A$4:$G$801,MATCH($B14,COMPOS!$A$4:A$801,0),5))))</f>
        <v>50.39</v>
      </c>
      <c r="H14" s="355">
        <f>(IF($A14="SINAPI",INDEX(SINAPI_NOV2020_NDES!$A$7:$H$6703,MATCH($B14,SINAPI_NOV2020_NDES!$A$7:$A$6703,0),7),(INDEX(COMPOS!$A$4:$G$801,MATCH($B14,COMPOS!$A$4:A$801,0),6))))</f>
        <v>0</v>
      </c>
      <c r="I14" s="354">
        <f t="shared" ref="I14" si="0">SUM(F14:H14)</f>
        <v>61.269199999999998</v>
      </c>
      <c r="J14" s="356">
        <f t="shared" ref="J14" si="1">+I14*E14</f>
        <v>188.90213398</v>
      </c>
    </row>
    <row r="15" spans="1:16" s="183" customFormat="1" ht="24" customHeight="1">
      <c r="A15" s="680" t="s">
        <v>6927</v>
      </c>
      <c r="B15" s="680"/>
      <c r="C15" s="680"/>
      <c r="D15" s="680"/>
      <c r="E15" s="680"/>
      <c r="F15" s="680"/>
      <c r="G15" s="680"/>
      <c r="H15" s="680"/>
      <c r="I15" s="680"/>
      <c r="J15" s="281">
        <f>SUM(J13:J14)</f>
        <v>188.90213398</v>
      </c>
      <c r="K15" s="182"/>
      <c r="L15" s="182"/>
      <c r="M15" s="182"/>
      <c r="N15" s="182"/>
      <c r="O15" s="182"/>
      <c r="P15" s="182"/>
    </row>
    <row r="16" spans="1:16">
      <c r="A16" s="348"/>
      <c r="B16" s="349">
        <v>166</v>
      </c>
      <c r="C16" s="350" t="s">
        <v>609</v>
      </c>
      <c r="D16" s="351"/>
      <c r="E16" s="352"/>
      <c r="F16" s="352"/>
      <c r="G16" s="352"/>
      <c r="H16" s="352"/>
      <c r="I16" s="352"/>
      <c r="J16" s="356"/>
    </row>
    <row r="17" spans="1:16" ht="24">
      <c r="A17" s="348" t="s">
        <v>6307</v>
      </c>
      <c r="B17" s="349">
        <v>305</v>
      </c>
      <c r="C17" s="353"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51">
        <v>55.4</v>
      </c>
      <c r="F17" s="354">
        <f>(IF($A17="SINAPI",INDEX(SINAPI_NOV2020_NDES!$A$7:$H$6703,MATCH($B17,SINAPI_NOV2020_NDES!$A$7:$A$6703,0),5),(INDEX(COMPOS!$A$4:$G$801,MATCH($B17,COMPOS!$A$4:A$801,0),4))))</f>
        <v>2.842123</v>
      </c>
      <c r="G17" s="355">
        <f>(IF($A17="SINAPI",INDEX(SINAPI_NOV2020_NDES!$A$7:$H$6703,MATCH($B17,SINAPI_NOV2020_NDES!$A$7:$A$6703,0),6),(INDEX(COMPOS!$A$4:$G$801,MATCH($B17,COMPOS!$A$4:A$801,0),5))))</f>
        <v>0</v>
      </c>
      <c r="H17" s="355">
        <f>(IF($A17="SINAPI",INDEX(SINAPI_NOV2020_NDES!$A$7:$H$6703,MATCH($B17,SINAPI_NOV2020_NDES!$A$7:$A$6703,0),7),(INDEX(COMPOS!$A$4:$G$801,MATCH($B17,COMPOS!$A$4:A$801,0),6))))</f>
        <v>0</v>
      </c>
      <c r="I17" s="354">
        <f t="shared" ref="I17" si="2">SUM(F17:H17)</f>
        <v>2.842123</v>
      </c>
      <c r="J17" s="356">
        <f t="shared" ref="J17" si="3">+I17*E17</f>
        <v>157.4536142</v>
      </c>
    </row>
    <row r="18" spans="1:16" s="183" customFormat="1" ht="24" customHeight="1">
      <c r="A18" s="680" t="s">
        <v>6927</v>
      </c>
      <c r="B18" s="680"/>
      <c r="C18" s="680"/>
      <c r="D18" s="680"/>
      <c r="E18" s="680"/>
      <c r="F18" s="680"/>
      <c r="G18" s="680"/>
      <c r="H18" s="680"/>
      <c r="I18" s="680"/>
      <c r="J18" s="281">
        <f>SUM(J17:J17)</f>
        <v>157.4536142</v>
      </c>
      <c r="K18" s="182"/>
      <c r="L18" s="182"/>
      <c r="M18" s="182"/>
      <c r="N18" s="182"/>
      <c r="O18" s="182"/>
      <c r="P18" s="182"/>
    </row>
    <row r="19" spans="1:16">
      <c r="A19" s="348"/>
      <c r="B19" s="349">
        <v>170</v>
      </c>
      <c r="C19" s="350" t="s">
        <v>604</v>
      </c>
      <c r="D19" s="351"/>
      <c r="E19" s="352"/>
      <c r="F19" s="352"/>
      <c r="G19" s="352"/>
      <c r="H19" s="352"/>
      <c r="I19" s="352"/>
      <c r="J19" s="356"/>
    </row>
    <row r="20" spans="1:16" ht="36">
      <c r="A20" s="348" t="s">
        <v>7</v>
      </c>
      <c r="B20" s="349">
        <v>89737</v>
      </c>
      <c r="C20" s="353" t="str">
        <f>(IF($A20="SINAPI",INDEX(SINAPI_NOV2020_NDES!$A$7:$H$6703,MATCH($B20,SINAPI_NOV2020_NDES!$A$7:$A$6703,0),2),IF($A20="GOINFRA",INDEX(#REF!,MATCH($B20,#REF!,0),2),(INDEX(COMPOS!$A$4:$G$390,MATCH($B20,COMPOS!$A$4:A$390,0),2)))))</f>
        <v>JOELHO 90 GRAUS, PVC, SERIE NORMAL, ESGOTO PREDIAL, DN 75 MM, JUNTA ELÁSTICA, FORNECIDO E INSTALADO EM RAMAL DE DESCARGA OU RAMAL DE ESGOTO SANITÁRIO. AF_12/2014</v>
      </c>
      <c r="D20" s="274" t="str">
        <f>(IF($A20="SINAPI",INDEX(SINAPI_NOV2020_NDES!$A$7:$H$6790,MATCH($B20,SINAPI_NOV2020_NDES!$A$7:$A$6790,0),3),(INDEX(COMPOS!$A$4:$G$5000,MATCH($B20,COMPOS!$A$4:$A$5000,0),3))))</f>
        <v>UN</v>
      </c>
      <c r="E20" s="352">
        <v>4</v>
      </c>
      <c r="F20" s="354">
        <f>(IF($A20="SINAPI",INDEX(SINAPI_NOV2020_NDES!$A$7:$H$6703,MATCH($B20,SINAPI_NOV2020_NDES!$A$7:$A$6703,0),5),(INDEX(COMPOS!$A$4:$G$801,MATCH($B20,COMPOS!$A$4:A$801,0),4))))</f>
        <v>5.54</v>
      </c>
      <c r="G20" s="355">
        <f>(IF($A20="SINAPI",INDEX(SINAPI_NOV2020_NDES!$A$7:$H$6703,MATCH($B20,SINAPI_NOV2020_NDES!$A$7:$A$6703,0),6),(INDEX(COMPOS!$A$4:$G$801,MATCH($B20,COMPOS!$A$4:A$801,0),5))))</f>
        <v>9.01</v>
      </c>
      <c r="H20" s="355">
        <f>(IF($A20="SINAPI",INDEX(SINAPI_NOV2020_NDES!$A$7:$H$6703,MATCH($B20,SINAPI_NOV2020_NDES!$A$7:$A$6703,0),7),(INDEX(COMPOS!$A$4:$G$801,MATCH($B20,COMPOS!$A$4:A$801,0),6))))</f>
        <v>0</v>
      </c>
      <c r="I20" s="354">
        <f t="shared" ref="I20" si="4">SUM(F20:H20)</f>
        <v>14.55</v>
      </c>
      <c r="J20" s="356">
        <f t="shared" ref="J20" si="5">+I20*E20</f>
        <v>58.2</v>
      </c>
    </row>
    <row r="21" spans="1:16" ht="36">
      <c r="A21" s="348" t="s">
        <v>7</v>
      </c>
      <c r="B21" s="349">
        <v>89713</v>
      </c>
      <c r="C21" s="353" t="str">
        <f>(IF($A21="SINAPI",INDEX(SINAPI_NOV2020_NDES!$A$7:$H$6703,MATCH($B21,SINAPI_NOV2020_NDES!$A$7:$A$6703,0),2),IF($A21="GOINFRA",INDEX(#REF!,MATCH($B21,#REF!,0),2),(INDEX(COMPOS!$A$4:$G$390,MATCH($B21,COMPOS!$A$4:A$390,0),2)))))</f>
        <v>TUBO PVC, SERIE NORMAL, ESGOTO PREDIAL, DN 75 MM, FORNECIDO E INSTALADO EM RAMAL DE DESCARGA OU RAMAL DE ESGOTO SANITÁRIO. AF_12/2014</v>
      </c>
      <c r="D21" s="274" t="str">
        <f>(IF($A21="SINAPI",INDEX(SINAPI_NOV2020_NDES!$A$7:$H$6790,MATCH($B21,SINAPI_NOV2020_NDES!$A$7:$A$6790,0),3),(INDEX(COMPOS!$A$4:$G$5000,MATCH($B21,COMPOS!$A$4:$A$5000,0),3))))</f>
        <v>M</v>
      </c>
      <c r="E21" s="352">
        <v>12</v>
      </c>
      <c r="F21" s="354">
        <f>(IF($A21="SINAPI",INDEX(SINAPI_NOV2020_NDES!$A$7:$H$6703,MATCH($B21,SINAPI_NOV2020_NDES!$A$7:$A$6703,0),5),(INDEX(COMPOS!$A$4:$G$801,MATCH($B21,COMPOS!$A$4:A$801,0),4))))</f>
        <v>16.36</v>
      </c>
      <c r="G21" s="355">
        <f>(IF($A21="SINAPI",INDEX(SINAPI_NOV2020_NDES!$A$7:$H$6703,MATCH($B21,SINAPI_NOV2020_NDES!$A$7:$A$6703,0),6),(INDEX(COMPOS!$A$4:$G$801,MATCH($B21,COMPOS!$A$4:A$801,0),5))))</f>
        <v>17.649999999999999</v>
      </c>
      <c r="H21" s="355">
        <f>(IF($A21="SINAPI",INDEX(SINAPI_NOV2020_NDES!$A$7:$H$6703,MATCH($B21,SINAPI_NOV2020_NDES!$A$7:$A$6703,0),7),(INDEX(COMPOS!$A$4:$G$801,MATCH($B21,COMPOS!$A$4:A$801,0),6))))</f>
        <v>0</v>
      </c>
      <c r="I21" s="354">
        <f t="shared" ref="I21" si="6">SUM(F21:H21)</f>
        <v>34.01</v>
      </c>
      <c r="J21" s="356">
        <f t="shared" ref="J21" si="7">+I21*E21</f>
        <v>408.12</v>
      </c>
    </row>
    <row r="22" spans="1:16" s="183" customFormat="1" ht="24" customHeight="1">
      <c r="A22" s="680" t="s">
        <v>6927</v>
      </c>
      <c r="B22" s="680"/>
      <c r="C22" s="680"/>
      <c r="D22" s="680"/>
      <c r="E22" s="680"/>
      <c r="F22" s="680"/>
      <c r="G22" s="680"/>
      <c r="H22" s="680"/>
      <c r="I22" s="680"/>
      <c r="J22" s="281">
        <f>SUM(J20:J21)</f>
        <v>466.32</v>
      </c>
      <c r="K22" s="182"/>
      <c r="L22" s="182"/>
      <c r="M22" s="182"/>
      <c r="N22" s="182"/>
      <c r="O22" s="182"/>
      <c r="P22" s="182"/>
    </row>
    <row r="23" spans="1:16">
      <c r="A23" s="348"/>
      <c r="B23" s="349">
        <v>174</v>
      </c>
      <c r="C23" s="350" t="s">
        <v>601</v>
      </c>
      <c r="D23" s="351"/>
      <c r="E23" s="352"/>
      <c r="F23" s="352"/>
      <c r="G23" s="352"/>
      <c r="H23" s="352"/>
      <c r="I23" s="352"/>
      <c r="J23" s="356"/>
    </row>
    <row r="24" spans="1:16">
      <c r="A24" s="348" t="s">
        <v>6307</v>
      </c>
      <c r="B24" s="349">
        <v>338</v>
      </c>
      <c r="C24" s="353" t="str">
        <f>(IF($A24="SINAPI",INDEX(SINAPI_NOV2020_NDES!$A$7:$H$6703,MATCH($B24,SINAPI_NOV2020_NDES!$A$7:$A$6703,0),2),IF($A24="GOINFRA",INDEX(#REF!,MATCH($B24,#REF!,0),2),(INDEX(COMPOS!$A$4:$G$390,MATCH($B24,COMPOS!$A$4:A$390,0),2)))))</f>
        <v>REGULARIZAÇÃO (1:3), ESP. 2CM</v>
      </c>
      <c r="D24" s="274" t="str">
        <f>(IF($A24="SINAPI",INDEX(SINAPI_NOV2020_NDES!$A$7:$H$6790,MATCH($B24,SINAPI_NOV2020_NDES!$A$7:$A$6790,0),3),(INDEX(COMPOS!$A$4:$G$5000,MATCH($B24,COMPOS!$A$4:$A$5000,0),3))))</f>
        <v>M2</v>
      </c>
      <c r="E24" s="352">
        <v>59.29</v>
      </c>
      <c r="F24" s="354">
        <f>(IF($A24="SINAPI",INDEX(SINAPI_NOV2020_NDES!$A$7:$H$6703,MATCH($B24,SINAPI_NOV2020_NDES!$A$7:$A$6703,0),5),(INDEX(COMPOS!$A$4:$G$801,MATCH($B24,COMPOS!$A$4:A$801,0),4))))</f>
        <v>11.511982</v>
      </c>
      <c r="G24" s="355">
        <f>(IF($A24="SINAPI",INDEX(SINAPI_NOV2020_NDES!$A$7:$H$6703,MATCH($B24,SINAPI_NOV2020_NDES!$A$7:$A$6703,0),6),(INDEX(COMPOS!$A$4:$G$801,MATCH($B24,COMPOS!$A$4:A$801,0),5))))</f>
        <v>8.7818570000000005</v>
      </c>
      <c r="H24" s="355">
        <f>(IF($A24="SINAPI",INDEX(SINAPI_NOV2020_NDES!$A$7:$H$6703,MATCH($B24,SINAPI_NOV2020_NDES!$A$7:$A$6703,0),7),(INDEX(COMPOS!$A$4:$G$801,MATCH($B24,COMPOS!$A$4:A$801,0),6))))</f>
        <v>0</v>
      </c>
      <c r="I24" s="354">
        <f t="shared" ref="I24" si="8">SUM(F24:H24)</f>
        <v>20.293838999999998</v>
      </c>
      <c r="J24" s="356">
        <f t="shared" ref="J24" si="9">+I24*E24</f>
        <v>1203.2217143099999</v>
      </c>
    </row>
    <row r="25" spans="1:16">
      <c r="A25" s="348" t="s">
        <v>6307</v>
      </c>
      <c r="B25" s="349">
        <v>339</v>
      </c>
      <c r="C25" s="353" t="str">
        <f>(IF($A25="SINAPI",INDEX(SINAPI_NOV2020_NDES!$A$7:$H$6703,MATCH($B25,SINAPI_NOV2020_NDES!$A$7:$A$6703,0),2),IF($A25="GOINFRA",INDEX(#REF!,MATCH($B25,#REF!,0),2),(INDEX(COMPOS!$A$4:$G$390,MATCH($B25,COMPOS!$A$4:A$390,0),2)))))</f>
        <v>MANTA AUTO-PROTEGIDA ALUMÍNIO TIPO III-B</v>
      </c>
      <c r="D25" s="274" t="str">
        <f>(IF($A25="SINAPI",INDEX(SINAPI_NOV2020_NDES!$A$7:$H$6790,MATCH($B25,SINAPI_NOV2020_NDES!$A$7:$A$6790,0),3),(INDEX(COMPOS!$A$4:$G$5000,MATCH($B25,COMPOS!$A$4:$A$5000,0),3))))</f>
        <v>M2</v>
      </c>
      <c r="E25" s="352">
        <v>59.29</v>
      </c>
      <c r="F25" s="354">
        <f>(IF($A25="SINAPI",INDEX(SINAPI_NOV2020_NDES!$A$7:$H$6703,MATCH($B25,SINAPI_NOV2020_NDES!$A$7:$A$6703,0),5),(INDEX(COMPOS!$A$4:$G$801,MATCH($B25,COMPOS!$A$4:A$801,0),4))))</f>
        <v>24.752519999999997</v>
      </c>
      <c r="G25" s="355">
        <f>(IF($A25="SINAPI",INDEX(SINAPI_NOV2020_NDES!$A$7:$H$6703,MATCH($B25,SINAPI_NOV2020_NDES!$A$7:$A$6703,0),6),(INDEX(COMPOS!$A$4:$G$801,MATCH($B25,COMPOS!$A$4:A$801,0),5))))</f>
        <v>47.200200000000002</v>
      </c>
      <c r="H25" s="355">
        <f>(IF($A25="SINAPI",INDEX(SINAPI_NOV2020_NDES!$A$7:$H$6703,MATCH($B25,SINAPI_NOV2020_NDES!$A$7:$A$6703,0),7),(INDEX(COMPOS!$A$4:$G$801,MATCH($B25,COMPOS!$A$4:A$801,0),6))))</f>
        <v>0</v>
      </c>
      <c r="I25" s="354">
        <f t="shared" ref="I25" si="10">SUM(F25:H25)</f>
        <v>71.952719999999999</v>
      </c>
      <c r="J25" s="356">
        <f t="shared" ref="J25" si="11">+I25*E25</f>
        <v>4266.0767687999996</v>
      </c>
    </row>
    <row r="26" spans="1:16" s="183" customFormat="1" ht="24" customHeight="1">
      <c r="A26" s="680" t="s">
        <v>6927</v>
      </c>
      <c r="B26" s="680"/>
      <c r="C26" s="680"/>
      <c r="D26" s="680"/>
      <c r="E26" s="680"/>
      <c r="F26" s="680"/>
      <c r="G26" s="680"/>
      <c r="H26" s="680"/>
      <c r="I26" s="680"/>
      <c r="J26" s="281">
        <f>SUM(J24:J25)</f>
        <v>5469.2984831099993</v>
      </c>
      <c r="K26" s="182"/>
      <c r="L26" s="182"/>
      <c r="M26" s="182"/>
      <c r="N26" s="182"/>
      <c r="O26" s="182"/>
      <c r="P26" s="182"/>
    </row>
    <row r="27" spans="1:16">
      <c r="A27" s="348"/>
      <c r="B27" s="349">
        <v>180</v>
      </c>
      <c r="C27" s="350" t="s">
        <v>595</v>
      </c>
      <c r="D27" s="351"/>
      <c r="E27" s="352"/>
      <c r="F27" s="352"/>
      <c r="G27" s="352"/>
      <c r="H27" s="352"/>
      <c r="I27" s="352"/>
      <c r="J27" s="356"/>
    </row>
    <row r="28" spans="1:16">
      <c r="A28" s="348" t="s">
        <v>6307</v>
      </c>
      <c r="B28" s="349">
        <v>38</v>
      </c>
      <c r="C28" s="353" t="str">
        <f>(IF($A28="SINAPI",INDEX(SINAPI_NOV2020_NDES!$A$7:$H$6703,MATCH($B28,SINAPI_NOV2020_NDES!$A$7:$A$6703,0),2),IF($A28="GOINFRA",INDEX(#REF!,MATCH($B28,#REF!,0),2),(INDEX(COMPOS!$A$4:$G$390,MATCH($B28,COMPOS!$A$4:A$390,0),2)))))</f>
        <v>PORTA METÁLICA CASE – PG4 - 150X280 CM</v>
      </c>
      <c r="D28" s="274" t="str">
        <f>(IF($A28="SINAPI",INDEX(SINAPI_NOV2020_NDES!$A$7:$H$6790,MATCH($B28,SINAPI_NOV2020_NDES!$A$7:$A$6790,0),3),(INDEX(COMPOS!$A$4:$G$5000,MATCH($B28,COMPOS!$A$4:$A$5000,0),3))))</f>
        <v xml:space="preserve"> M²</v>
      </c>
      <c r="E28" s="352">
        <v>2.52</v>
      </c>
      <c r="F28" s="354">
        <f>(IF($A28="SINAPI",INDEX(SINAPI_NOV2020_NDES!$A$7:$H$6703,MATCH($B28,SINAPI_NOV2020_NDES!$A$7:$A$6703,0),5),(INDEX(COMPOS!$A$4:$G$801,MATCH($B28,COMPOS!$A$4:A$801,0),4))))</f>
        <v>47.084742999999996</v>
      </c>
      <c r="G28" s="355">
        <f>(IF($A28="SINAPI",INDEX(SINAPI_NOV2020_NDES!$A$7:$H$6703,MATCH($B28,SINAPI_NOV2020_NDES!$A$7:$A$6703,0),6),(INDEX(COMPOS!$A$4:$G$801,MATCH($B28,COMPOS!$A$4:A$801,0),5))))</f>
        <v>571.59619580000003</v>
      </c>
      <c r="H28" s="355">
        <f>(IF($A28="SINAPI",INDEX(SINAPI_NOV2020_NDES!$A$7:$H$6703,MATCH($B28,SINAPI_NOV2020_NDES!$A$7:$A$6703,0),7),(INDEX(COMPOS!$A$4:$G$801,MATCH($B28,COMPOS!$A$4:A$801,0),6))))</f>
        <v>0</v>
      </c>
      <c r="I28" s="354">
        <f t="shared" ref="I28" si="12">SUM(F28:H28)</f>
        <v>618.68093880000004</v>
      </c>
      <c r="J28" s="356">
        <f t="shared" ref="J28" si="13">+I28*E28</f>
        <v>1559.0759657760002</v>
      </c>
    </row>
    <row r="29" spans="1:16" s="183" customFormat="1" ht="24" customHeight="1">
      <c r="A29" s="680" t="s">
        <v>6927</v>
      </c>
      <c r="B29" s="680"/>
      <c r="C29" s="680"/>
      <c r="D29" s="680"/>
      <c r="E29" s="680"/>
      <c r="F29" s="680"/>
      <c r="G29" s="680"/>
      <c r="H29" s="680"/>
      <c r="I29" s="680"/>
      <c r="J29" s="281">
        <f>SUM(J27:J28)</f>
        <v>1559.0759657760002</v>
      </c>
      <c r="K29" s="182"/>
      <c r="L29" s="182"/>
      <c r="M29" s="182"/>
      <c r="N29" s="182"/>
      <c r="O29" s="182"/>
      <c r="P29" s="182"/>
    </row>
    <row r="30" spans="1:16">
      <c r="A30" s="348"/>
      <c r="B30" s="349">
        <v>182</v>
      </c>
      <c r="C30" s="350" t="s">
        <v>593</v>
      </c>
      <c r="D30" s="351"/>
      <c r="E30" s="352"/>
      <c r="F30" s="352"/>
      <c r="G30" s="352"/>
      <c r="H30" s="352"/>
      <c r="I30" s="352"/>
      <c r="J30" s="356"/>
    </row>
    <row r="31" spans="1:16" ht="58.9" customHeight="1">
      <c r="A31" s="348" t="s">
        <v>7</v>
      </c>
      <c r="B31" s="349">
        <v>87529</v>
      </c>
      <c r="C31" s="353" t="str">
        <f>(IF($A31="SINAPI",INDEX(SINAPI_NOV2020_NDES!$A$7:$H$6703,MATCH($B31,SINAPI_NOV2020_NDES!$A$7:$A$6703,0),2),IF($A31="GOINFRA",INDEX(#REF!,MATCH($B31,#REF!,0),2),(INDEX(COMPOS!$A$4:$G$390,MATCH($B31,COMPOS!$A$4:A$390,0),2)))))</f>
        <v>MASSA ÚNICA, PARA RECEBIMENTO DE PINTURA, EM ARGAMASSA TRAÇO 1:2:8, PREPARO MECÂNICO COM BETONEIRA 400L, APLICADA MANUALMENTE EM FACES INTERNAS DE PAREDES, ESPESSURA DE 20MM, COM EXECUÇÃO DE TALISCAS. AF_06/2014</v>
      </c>
      <c r="D31" s="274" t="str">
        <f>(IF($A31="SINAPI",INDEX(SINAPI_NOV2020_NDES!$A$7:$H$6790,MATCH($B31,SINAPI_NOV2020_NDES!$A$7:$A$6790,0),3),(INDEX(COMPOS!$A$4:$G$5000,MATCH($B31,COMPOS!$A$4:$A$5000,0),3))))</f>
        <v>M2</v>
      </c>
      <c r="E31" s="352">
        <v>87.1</v>
      </c>
      <c r="F31" s="354">
        <f>(IF($A31="SINAPI",INDEX(SINAPI_NOV2020_NDES!$A$7:$H$6703,MATCH($B31,SINAPI_NOV2020_NDES!$A$7:$A$6703,0),5),(INDEX(COMPOS!$A$4:$G$801,MATCH($B31,COMPOS!$A$4:A$801,0),4))))</f>
        <v>13.35</v>
      </c>
      <c r="G31" s="355">
        <f>(IF($A31="SINAPI",INDEX(SINAPI_NOV2020_NDES!$A$7:$H$6703,MATCH($B31,SINAPI_NOV2020_NDES!$A$7:$A$6703,0),6),(INDEX(COMPOS!$A$4:$G$801,MATCH($B31,COMPOS!$A$4:A$801,0),5))))</f>
        <v>17.5</v>
      </c>
      <c r="H31" s="355">
        <f>(IF($A31="SINAPI",INDEX(SINAPI_NOV2020_NDES!$A$7:$H$6703,MATCH($B31,SINAPI_NOV2020_NDES!$A$7:$A$6703,0),7),(INDEX(COMPOS!$A$4:$G$801,MATCH($B31,COMPOS!$A$4:A$801,0),6))))</f>
        <v>0.03</v>
      </c>
      <c r="I31" s="354">
        <f t="shared" ref="I31" si="14">SUM(F31:H31)</f>
        <v>30.880000000000003</v>
      </c>
      <c r="J31" s="356">
        <f t="shared" ref="J31" si="15">+I31*E31</f>
        <v>2689.6480000000001</v>
      </c>
    </row>
    <row r="32" spans="1:16" ht="24">
      <c r="A32" s="348" t="s">
        <v>6307</v>
      </c>
      <c r="B32" s="349">
        <v>347</v>
      </c>
      <c r="C32" s="353" t="str">
        <f>(IF($A32="SINAPI",INDEX(SINAPI_NOV2020_NDES!$A$7:$H$6703,MATCH($B32,SINAPI_NOV2020_NDES!$A$7:$A$6703,0),2),IF($A32="GOINFRA",INDEX(#REF!,MATCH($B32,#REF!,0),2),(INDEX(COMPOS!$A$4:$G$390,MATCH($B32,COMPOS!$A$4:A$390,0),2)))))</f>
        <v>MOLDURA TIPO “U” INVERTIDO EM ARGAMASSA COM 2CM DE ESPESSURA TIPO PINGADEIRA EM MURO/PLATIBANDA (A PARTE VETICAL DESCE 2,5CM)</v>
      </c>
      <c r="D32" s="274" t="str">
        <f>(IF($A32="SINAPI",INDEX(SINAPI_NOV2020_NDES!$A$7:$H$6790,MATCH($B32,SINAPI_NOV2020_NDES!$A$7:$A$6790,0),3),(INDEX(COMPOS!$A$4:$G$5000,MATCH($B32,COMPOS!$A$4:$A$5000,0),3))))</f>
        <v>M2</v>
      </c>
      <c r="E32" s="352">
        <v>12.070399999999999</v>
      </c>
      <c r="F32" s="354">
        <f>(IF($A32="SINAPI",INDEX(SINAPI_NOV2020_NDES!$A$7:$H$6703,MATCH($B32,SINAPI_NOV2020_NDES!$A$7:$A$6703,0),5),(INDEX(COMPOS!$A$4:$G$801,MATCH($B32,COMPOS!$A$4:A$801,0),4))))</f>
        <v>48.24633</v>
      </c>
      <c r="G32" s="355">
        <f>(IF($A32="SINAPI",INDEX(SINAPI_NOV2020_NDES!$A$7:$H$6703,MATCH($B32,SINAPI_NOV2020_NDES!$A$7:$A$6703,0),6),(INDEX(COMPOS!$A$4:$G$801,MATCH($B32,COMPOS!$A$4:A$801,0),5))))</f>
        <v>15.812080000000002</v>
      </c>
      <c r="H32" s="355">
        <f>(IF($A32="SINAPI",INDEX(SINAPI_NOV2020_NDES!$A$7:$H$6703,MATCH($B32,SINAPI_NOV2020_NDES!$A$7:$A$6703,0),7),(INDEX(COMPOS!$A$4:$G$801,MATCH($B32,COMPOS!$A$4:A$801,0),6))))</f>
        <v>0</v>
      </c>
      <c r="I32" s="354">
        <f t="shared" ref="I32" si="16">SUM(F32:H32)</f>
        <v>64.058410000000009</v>
      </c>
      <c r="J32" s="356">
        <f t="shared" ref="J32" si="17">+I32*E32</f>
        <v>773.21063206400004</v>
      </c>
    </row>
    <row r="33" spans="1:16" s="183" customFormat="1" ht="24" customHeight="1">
      <c r="A33" s="680" t="s">
        <v>6927</v>
      </c>
      <c r="B33" s="680"/>
      <c r="C33" s="680"/>
      <c r="D33" s="680"/>
      <c r="E33" s="680"/>
      <c r="F33" s="680"/>
      <c r="G33" s="680"/>
      <c r="H33" s="680"/>
      <c r="I33" s="680"/>
      <c r="J33" s="281">
        <f>SUM(J31:J32)</f>
        <v>3462.8586320640002</v>
      </c>
      <c r="K33" s="182"/>
      <c r="L33" s="182"/>
      <c r="M33" s="182"/>
      <c r="N33" s="182"/>
      <c r="O33" s="182"/>
      <c r="P33" s="182"/>
    </row>
    <row r="34" spans="1:16">
      <c r="A34" s="348"/>
      <c r="B34" s="349">
        <v>184</v>
      </c>
      <c r="C34" s="350" t="s">
        <v>591</v>
      </c>
      <c r="D34" s="351"/>
      <c r="E34" s="352"/>
      <c r="F34" s="352"/>
      <c r="G34" s="352"/>
      <c r="H34" s="352"/>
      <c r="I34" s="352"/>
      <c r="J34" s="356"/>
    </row>
    <row r="35" spans="1:16" ht="36">
      <c r="A35" s="348" t="s">
        <v>6307</v>
      </c>
      <c r="B35" s="349">
        <v>348</v>
      </c>
      <c r="C35" s="353" t="str">
        <f>(IF($A35="SINAPI",INDEX(SINAPI_NOV2020_NDES!$A$7:$H$6703,MATCH($B35,SINAPI_NOV2020_NDES!$A$7:$A$6703,0),2),IF($A35="GOINFRA",INDEX(#REF!,MATCH($B35,#REF!,0),2),(INDEX(COMPOS!$A$4:$G$390,MATCH($B35,COMPOS!$A$4:A$390,0),2)))))</f>
        <v>PASSEIO DE PROTEÇÃO EM CONCRETO DESEMPENADO 5CM (1:2,5:3,5) (INCLUSO ESPELHO DE 30CM/ESCAVAÇÃO/REATERRO/APILOAMENTO/ATERRO INTERNO)</v>
      </c>
      <c r="D35" s="274" t="str">
        <f>(IF($A35="SINAPI",INDEX(SINAPI_NOV2020_NDES!$A$7:$H$6790,MATCH($B35,SINAPI_NOV2020_NDES!$A$7:$A$6790,0),3),(INDEX(COMPOS!$A$4:$G$5000,MATCH($B35,COMPOS!$A$4:$A$5000,0),3))))</f>
        <v>M2</v>
      </c>
      <c r="E35" s="352">
        <v>32.22</v>
      </c>
      <c r="F35" s="354">
        <f>(IF($A35="SINAPI",INDEX(SINAPI_NOV2020_NDES!$A$7:$H$6703,MATCH($B35,SINAPI_NOV2020_NDES!$A$7:$A$6703,0),5),(INDEX(COMPOS!$A$4:$G$801,MATCH($B35,COMPOS!$A$4:A$801,0),4))))</f>
        <v>43.421984000000002</v>
      </c>
      <c r="G35" s="355">
        <f>(IF($A35="SINAPI",INDEX(SINAPI_NOV2020_NDES!$A$7:$H$6703,MATCH($B35,SINAPI_NOV2020_NDES!$A$7:$A$6703,0),6),(INDEX(COMPOS!$A$4:$G$801,MATCH($B35,COMPOS!$A$4:A$801,0),5))))</f>
        <v>31.570292999999999</v>
      </c>
      <c r="H35" s="355">
        <f>(IF($A35="SINAPI",INDEX(SINAPI_NOV2020_NDES!$A$7:$H$6703,MATCH($B35,SINAPI_NOV2020_NDES!$A$7:$A$6703,0),7),(INDEX(COMPOS!$A$4:$G$801,MATCH($B35,COMPOS!$A$4:A$801,0),6))))</f>
        <v>0</v>
      </c>
      <c r="I35" s="354">
        <f t="shared" ref="I35" si="18">SUM(F35:H35)</f>
        <v>74.992277000000001</v>
      </c>
      <c r="J35" s="356">
        <f t="shared" ref="J35" si="19">+I35*E35</f>
        <v>2416.2511649399999</v>
      </c>
    </row>
    <row r="36" spans="1:16">
      <c r="A36" s="348" t="s">
        <v>6307</v>
      </c>
      <c r="B36" s="349">
        <v>350</v>
      </c>
      <c r="C36" s="353" t="str">
        <f>(IF($A36="SINAPI",INDEX(SINAPI_NOV2020_NDES!$A$7:$H$6703,MATCH($B36,SINAPI_NOV2020_NDES!$A$7:$A$6703,0),2),IF($A36="GOINFRA",INDEX(#REF!,MATCH($B36,#REF!,0),2),(INDEX(COMPOS!$A$4:$G$390,MATCH($B36,COMPOS!$A$4:A$390,0),2)))))</f>
        <v>GRANITINA 8MM FUNDIDA COM CONTRAPISO, ESP. 2CM E JUNTA PLÁSTICA 27MM</v>
      </c>
      <c r="D36" s="274" t="str">
        <f>(IF($A36="SINAPI",INDEX(SINAPI_NOV2020_NDES!$A$7:$H$6790,MATCH($B36,SINAPI_NOV2020_NDES!$A$7:$A$6790,0),3),(INDEX(COMPOS!$A$4:$G$5000,MATCH($B36,COMPOS!$A$4:$A$5000,0),3))))</f>
        <v>M2</v>
      </c>
      <c r="E36" s="352">
        <v>59.29</v>
      </c>
      <c r="F36" s="354">
        <f>(IF($A36="SINAPI",INDEX(SINAPI_NOV2020_NDES!$A$7:$H$6703,MATCH($B36,SINAPI_NOV2020_NDES!$A$7:$A$6703,0),5),(INDEX(COMPOS!$A$4:$G$801,MATCH($B36,COMPOS!$A$4:A$801,0),4))))</f>
        <v>19.118230999999998</v>
      </c>
      <c r="G36" s="355">
        <f>(IF($A36="SINAPI",INDEX(SINAPI_NOV2020_NDES!$A$7:$H$6703,MATCH($B36,SINAPI_NOV2020_NDES!$A$7:$A$6703,0),6),(INDEX(COMPOS!$A$4:$G$801,MATCH($B36,COMPOS!$A$4:A$801,0),5))))</f>
        <v>97.538049999999998</v>
      </c>
      <c r="H36" s="355">
        <f>(IF($A36="SINAPI",INDEX(SINAPI_NOV2020_NDES!$A$7:$H$6703,MATCH($B36,SINAPI_NOV2020_NDES!$A$7:$A$6703,0),7),(INDEX(COMPOS!$A$4:$G$801,MATCH($B36,COMPOS!$A$4:A$801,0),6))))</f>
        <v>0</v>
      </c>
      <c r="I36" s="354">
        <f t="shared" ref="I36" si="20">SUM(F36:H36)</f>
        <v>116.65628099999999</v>
      </c>
      <c r="J36" s="356">
        <f t="shared" ref="J36" si="21">+I36*E36</f>
        <v>6916.5509004899995</v>
      </c>
    </row>
    <row r="37" spans="1:16" s="183" customFormat="1" ht="24" customHeight="1">
      <c r="A37" s="680" t="s">
        <v>6927</v>
      </c>
      <c r="B37" s="680"/>
      <c r="C37" s="680"/>
      <c r="D37" s="680"/>
      <c r="E37" s="680"/>
      <c r="F37" s="680"/>
      <c r="G37" s="680"/>
      <c r="H37" s="680"/>
      <c r="I37" s="680"/>
      <c r="J37" s="281">
        <f>SUM(J35:J36)</f>
        <v>9332.8020654299999</v>
      </c>
      <c r="K37" s="182"/>
      <c r="L37" s="182"/>
      <c r="M37" s="182"/>
      <c r="N37" s="182"/>
      <c r="O37" s="182"/>
      <c r="P37" s="182"/>
    </row>
    <row r="38" spans="1:16">
      <c r="A38" s="348"/>
      <c r="B38" s="349">
        <v>188</v>
      </c>
      <c r="C38" s="350" t="s">
        <v>587</v>
      </c>
      <c r="D38" s="351"/>
      <c r="E38" s="352"/>
      <c r="F38" s="352"/>
      <c r="G38" s="352"/>
      <c r="H38" s="352"/>
      <c r="I38" s="352"/>
      <c r="J38" s="356"/>
    </row>
    <row r="39" spans="1:16" ht="24" customHeight="1">
      <c r="A39" s="348" t="s">
        <v>7</v>
      </c>
      <c r="B39" s="357">
        <v>88482</v>
      </c>
      <c r="C39" s="353" t="str">
        <f>(IF($A39="SINAPI",INDEX(SINAPI_NOV2020_NDES!$A$7:$H$6703,MATCH($B39,SINAPI_NOV2020_NDES!$A$7:$A$6703,0),2),IF($A39="GOINFRA",INDEX(#REF!,MATCH($B39,#REF!,0),2),(INDEX(COMPOS!$A$4:$G$390,MATCH($B39,COMPOS!$A$4:A$390,0),2)))))</f>
        <v>APLICAÇÃO DE FUNDO SELADOR LÁTEX PVA EM TETO, UMA DEMÃO. AF_06/2014</v>
      </c>
      <c r="D39" s="274" t="str">
        <f>(IF($A39="SINAPI",INDEX(SINAPI_NOV2020_NDES!$A$7:$H$6790,MATCH($B39,SINAPI_NOV2020_NDES!$A$7:$A$6790,0),3),(INDEX(COMPOS!$A$4:$G$5000,MATCH($B39,COMPOS!$A$4:$A$5000,0),3))))</f>
        <v>M2</v>
      </c>
      <c r="E39" s="352">
        <v>59.29</v>
      </c>
      <c r="F39" s="354">
        <f>(IF($A39="SINAPI",INDEX(SINAPI_NOV2020_NDES!$A$7:$H$6703,MATCH($B39,SINAPI_NOV2020_NDES!$A$7:$A$6703,0),5),(INDEX(COMPOS!$A$4:$G$801,MATCH($B39,COMPOS!$A$4:A$801,0),4))))</f>
        <v>0.74</v>
      </c>
      <c r="G39" s="355">
        <f>(IF($A39="SINAPI",INDEX(SINAPI_NOV2020_NDES!$A$7:$H$6703,MATCH($B39,SINAPI_NOV2020_NDES!$A$7:$A$6703,0),6),(INDEX(COMPOS!$A$4:$G$801,MATCH($B39,COMPOS!$A$4:A$801,0),5))))</f>
        <v>2.44</v>
      </c>
      <c r="H39" s="355">
        <f>(IF($A39="SINAPI",INDEX(SINAPI_NOV2020_NDES!$A$7:$H$6703,MATCH($B39,SINAPI_NOV2020_NDES!$A$7:$A$6703,0),7),(INDEX(COMPOS!$A$4:$G$801,MATCH($B39,COMPOS!$A$4:A$801,0),6))))</f>
        <v>0</v>
      </c>
      <c r="I39" s="354">
        <f t="shared" ref="I39" si="22">SUM(F39:H39)</f>
        <v>3.1799999999999997</v>
      </c>
      <c r="J39" s="356">
        <f t="shared" ref="J39" si="23">+I39*E39</f>
        <v>188.54219999999998</v>
      </c>
    </row>
    <row r="40" spans="1:16" ht="24" customHeight="1">
      <c r="A40" s="348" t="s">
        <v>7</v>
      </c>
      <c r="B40" s="357">
        <v>88496</v>
      </c>
      <c r="C40" s="353" t="str">
        <f>(IF($A40="SINAPI",INDEX(SINAPI_NOV2020_NDES!$A$7:$H$6703,MATCH($B40,SINAPI_NOV2020_NDES!$A$7:$A$6703,0),2),IF($A40="GOINFRA",INDEX(#REF!,MATCH($B40,#REF!,0),2),(INDEX(COMPOS!$A$4:$G$390,MATCH($B40,COMPOS!$A$4:A$390,0),2)))))</f>
        <v>APLICAÇÃO E LIXAMENTO DE MASSA LÁTEX EM TETO, DUAS DEMÃOS. AF_06/2014</v>
      </c>
      <c r="D40" s="274" t="str">
        <f>(IF($A40="SINAPI",INDEX(SINAPI_NOV2020_NDES!$A$7:$H$6790,MATCH($B40,SINAPI_NOV2020_NDES!$A$7:$A$6790,0),3),(INDEX(COMPOS!$A$4:$G$5000,MATCH($B40,COMPOS!$A$4:$A$5000,0),3))))</f>
        <v>M2</v>
      </c>
      <c r="E40" s="352">
        <v>59.29</v>
      </c>
      <c r="F40" s="354">
        <f>(IF($A40="SINAPI",INDEX(SINAPI_NOV2020_NDES!$A$7:$H$6703,MATCH($B40,SINAPI_NOV2020_NDES!$A$7:$A$6703,0),5),(INDEX(COMPOS!$A$4:$G$801,MATCH($B40,COMPOS!$A$4:A$801,0),4))))</f>
        <v>14.1</v>
      </c>
      <c r="G40" s="355">
        <f>(IF($A40="SINAPI",INDEX(SINAPI_NOV2020_NDES!$A$7:$H$6703,MATCH($B40,SINAPI_NOV2020_NDES!$A$7:$A$6703,0),6),(INDEX(COMPOS!$A$4:$G$801,MATCH($B40,COMPOS!$A$4:A$801,0),5))))</f>
        <v>7.4</v>
      </c>
      <c r="H40" s="355">
        <f>(IF($A40="SINAPI",INDEX(SINAPI_NOV2020_NDES!$A$7:$H$6703,MATCH($B40,SINAPI_NOV2020_NDES!$A$7:$A$6703,0),7),(INDEX(COMPOS!$A$4:$G$801,MATCH($B40,COMPOS!$A$4:A$801,0),6))))</f>
        <v>0</v>
      </c>
      <c r="I40" s="354">
        <f t="shared" ref="I40:I44" si="24">SUM(F40:H40)</f>
        <v>21.5</v>
      </c>
      <c r="J40" s="356">
        <f t="shared" ref="J40:J44" si="25">+I40*E40</f>
        <v>1274.7349999999999</v>
      </c>
    </row>
    <row r="41" spans="1:16" ht="24" customHeight="1">
      <c r="A41" s="348" t="s">
        <v>7</v>
      </c>
      <c r="B41" s="357">
        <v>88486</v>
      </c>
      <c r="C41" s="353" t="str">
        <f>(IF($A41="SINAPI",INDEX(SINAPI_NOV2020_NDES!$A$7:$H$6703,MATCH($B41,SINAPI_NOV2020_NDES!$A$7:$A$6703,0),2),IF($A41="GOINFRA",INDEX(#REF!,MATCH($B41,#REF!,0),2),(INDEX(COMPOS!$A$4:$G$390,MATCH($B41,COMPOS!$A$4:A$390,0),2)))))</f>
        <v>APLICAÇÃO MANUAL DE PINTURA COM TINTA LÁTEX PVA EM TETO, DUAS DEMÃOS. AF_06/2014</v>
      </c>
      <c r="D41" s="274" t="str">
        <f>(IF($A41="SINAPI",INDEX(SINAPI_NOV2020_NDES!$A$7:$H$6790,MATCH($B41,SINAPI_NOV2020_NDES!$A$7:$A$6790,0),3),(INDEX(COMPOS!$A$4:$G$5000,MATCH($B41,COMPOS!$A$4:$A$5000,0),3))))</f>
        <v>M2</v>
      </c>
      <c r="E41" s="352">
        <v>59.29</v>
      </c>
      <c r="F41" s="354">
        <f>(IF($A41="SINAPI",INDEX(SINAPI_NOV2020_NDES!$A$7:$H$6703,MATCH($B41,SINAPI_NOV2020_NDES!$A$7:$A$6703,0),5),(INDEX(COMPOS!$A$4:$G$801,MATCH($B41,COMPOS!$A$4:A$801,0),4))))</f>
        <v>3.54</v>
      </c>
      <c r="G41" s="355">
        <f>(IF($A41="SINAPI",INDEX(SINAPI_NOV2020_NDES!$A$7:$H$6703,MATCH($B41,SINAPI_NOV2020_NDES!$A$7:$A$6703,0),6),(INDEX(COMPOS!$A$4:$G$801,MATCH($B41,COMPOS!$A$4:A$801,0),5))))</f>
        <v>7.47</v>
      </c>
      <c r="H41" s="355">
        <f>(IF($A41="SINAPI",INDEX(SINAPI_NOV2020_NDES!$A$7:$H$6703,MATCH($B41,SINAPI_NOV2020_NDES!$A$7:$A$6703,0),7),(INDEX(COMPOS!$A$4:$G$801,MATCH($B41,COMPOS!$A$4:A$801,0),6))))</f>
        <v>0</v>
      </c>
      <c r="I41" s="354">
        <f t="shared" si="24"/>
        <v>11.01</v>
      </c>
      <c r="J41" s="356">
        <f t="shared" si="25"/>
        <v>652.78289999999993</v>
      </c>
    </row>
    <row r="42" spans="1:16" ht="24" customHeight="1">
      <c r="A42" s="348" t="s">
        <v>7</v>
      </c>
      <c r="B42" s="357">
        <v>88485</v>
      </c>
      <c r="C42" s="353" t="str">
        <f>(IF($A42="SINAPI",INDEX(SINAPI_NOV2020_NDES!$A$7:$H$6703,MATCH($B42,SINAPI_NOV2020_NDES!$A$7:$A$6703,0),2),IF($A42="GOINFRA",INDEX(#REF!,MATCH($B42,#REF!,0),2),(INDEX(COMPOS!$A$4:$G$390,MATCH($B42,COMPOS!$A$4:A$390,0),2)))))</f>
        <v>APLICAÇÃO DE FUNDO SELADOR ACRÍLICO EM PAREDES, UMA DEMÃO. AF_06/2014</v>
      </c>
      <c r="D42" s="274" t="str">
        <f>(IF($A42="SINAPI",INDEX(SINAPI_NOV2020_NDES!$A$7:$H$6790,MATCH($B42,SINAPI_NOV2020_NDES!$A$7:$A$6790,0),3),(INDEX(COMPOS!$A$4:$G$5000,MATCH($B42,COMPOS!$A$4:$A$5000,0),3))))</f>
        <v>M2</v>
      </c>
      <c r="E42" s="352">
        <v>87.1</v>
      </c>
      <c r="F42" s="354">
        <f>(IF($A42="SINAPI",INDEX(SINAPI_NOV2020_NDES!$A$7:$H$6703,MATCH($B42,SINAPI_NOV2020_NDES!$A$7:$A$6703,0),5),(INDEX(COMPOS!$A$4:$G$801,MATCH($B42,COMPOS!$A$4:A$801,0),4))))</f>
        <v>0.81</v>
      </c>
      <c r="G42" s="355">
        <f>(IF($A42="SINAPI",INDEX(SINAPI_NOV2020_NDES!$A$7:$H$6703,MATCH($B42,SINAPI_NOV2020_NDES!$A$7:$A$6703,0),6),(INDEX(COMPOS!$A$4:$G$801,MATCH($B42,COMPOS!$A$4:A$801,0),5))))</f>
        <v>1.43</v>
      </c>
      <c r="H42" s="355">
        <f>(IF($A42="SINAPI",INDEX(SINAPI_NOV2020_NDES!$A$7:$H$6703,MATCH($B42,SINAPI_NOV2020_NDES!$A$7:$A$6703,0),7),(INDEX(COMPOS!$A$4:$G$801,MATCH($B42,COMPOS!$A$4:A$801,0),6))))</f>
        <v>0</v>
      </c>
      <c r="I42" s="354">
        <f t="shared" si="24"/>
        <v>2.2400000000000002</v>
      </c>
      <c r="J42" s="356">
        <f t="shared" si="25"/>
        <v>195.10400000000001</v>
      </c>
    </row>
    <row r="43" spans="1:16" ht="24" customHeight="1">
      <c r="A43" s="348" t="s">
        <v>7</v>
      </c>
      <c r="B43" s="357">
        <v>88423</v>
      </c>
      <c r="C43" s="353" t="str">
        <f>(IF($A43="SINAPI",INDEX(SINAPI_NOV2020_NDES!$A$7:$H$6703,MATCH($B43,SINAPI_NOV2020_NDES!$A$7:$A$6703,0),2),IF($A43="GOINFRA",INDEX(#REF!,MATCH($B43,#REF!,0),2),(INDEX(COMPOS!$A$4:$G$390,MATCH($B43,COMPOS!$A$4:A$390,0),2)))))</f>
        <v>APLICAÇÃO MANUAL DE PINTURA COM TINTA TEXTURIZADA ACRÍLICA EM PAREDES EXTERNAS DE CASAS, UMA COR. AF_06/2014</v>
      </c>
      <c r="D43" s="274" t="str">
        <f>(IF($A43="SINAPI",INDEX(SINAPI_NOV2020_NDES!$A$7:$H$6790,MATCH($B43,SINAPI_NOV2020_NDES!$A$7:$A$6790,0),3),(INDEX(COMPOS!$A$4:$G$5000,MATCH($B43,COMPOS!$A$4:$A$5000,0),3))))</f>
        <v>M2</v>
      </c>
      <c r="E43" s="352">
        <v>87.1</v>
      </c>
      <c r="F43" s="354">
        <f>(IF($A43="SINAPI",INDEX(SINAPI_NOV2020_NDES!$A$7:$H$6703,MATCH($B43,SINAPI_NOV2020_NDES!$A$7:$A$6703,0),5),(INDEX(COMPOS!$A$4:$G$801,MATCH($B43,COMPOS!$A$4:A$801,0),4))))</f>
        <v>3.45</v>
      </c>
      <c r="G43" s="355">
        <f>(IF($A43="SINAPI",INDEX(SINAPI_NOV2020_NDES!$A$7:$H$6703,MATCH($B43,SINAPI_NOV2020_NDES!$A$7:$A$6703,0),6),(INDEX(COMPOS!$A$4:$G$801,MATCH($B43,COMPOS!$A$4:A$801,0),5))))</f>
        <v>14.24</v>
      </c>
      <c r="H43" s="355">
        <f>(IF($A43="SINAPI",INDEX(SINAPI_NOV2020_NDES!$A$7:$H$6703,MATCH($B43,SINAPI_NOV2020_NDES!$A$7:$A$6703,0),7),(INDEX(COMPOS!$A$4:$G$801,MATCH($B43,COMPOS!$A$4:A$801,0),6))))</f>
        <v>0</v>
      </c>
      <c r="I43" s="354">
        <f t="shared" si="24"/>
        <v>17.690000000000001</v>
      </c>
      <c r="J43" s="356">
        <f t="shared" si="25"/>
        <v>1540.799</v>
      </c>
    </row>
    <row r="44" spans="1:16">
      <c r="A44" s="348" t="s">
        <v>6307</v>
      </c>
      <c r="B44" s="349">
        <v>360</v>
      </c>
      <c r="C44" s="353" t="str">
        <f>(IF($A44="SINAPI",INDEX(SINAPI_NOV2020_NDES!$A$7:$H$6703,MATCH($B44,SINAPI_NOV2020_NDES!$A$7:$A$6703,0),2),IF($A44="GOINFRA",INDEX(#REF!,MATCH($B44,#REF!,0),2),(INDEX(COMPOS!$A$4:$G$390,MATCH($B44,COMPOS!$A$4:A$390,0),2)))))</f>
        <v>PINTURA ESMALTE/ESQUADRIA DE FERRO COM FUNDO ANTI-CORROSIVO</v>
      </c>
      <c r="D44" s="274" t="str">
        <f>(IF($A44="SINAPI",INDEX(SINAPI_NOV2020_NDES!$A$7:$H$6790,MATCH($B44,SINAPI_NOV2020_NDES!$A$7:$A$6790,0),3),(INDEX(COMPOS!$A$4:$G$5000,MATCH($B44,COMPOS!$A$4:$A$5000,0),3))))</f>
        <v>M2</v>
      </c>
      <c r="E44" s="352">
        <f>E28*2*3</f>
        <v>15.120000000000001</v>
      </c>
      <c r="F44" s="354">
        <f>(IF($A44="SINAPI",INDEX(SINAPI_NOV2020_NDES!$A$7:$H$6703,MATCH($B44,SINAPI_NOV2020_NDES!$A$7:$A$6703,0),5),(INDEX(COMPOS!$A$4:$G$801,MATCH($B44,COMPOS!$A$4:A$801,0),4))))</f>
        <v>15.847708000000001</v>
      </c>
      <c r="G44" s="355">
        <f>(IF($A44="SINAPI",INDEX(SINAPI_NOV2020_NDES!$A$7:$H$6703,MATCH($B44,SINAPI_NOV2020_NDES!$A$7:$A$6703,0),6),(INDEX(COMPOS!$A$4:$G$801,MATCH($B44,COMPOS!$A$4:A$801,0),5))))</f>
        <v>6.5686479999999996</v>
      </c>
      <c r="H44" s="355">
        <f>(IF($A44="SINAPI",INDEX(SINAPI_NOV2020_NDES!$A$7:$H$6703,MATCH($B44,SINAPI_NOV2020_NDES!$A$7:$A$6703,0),7),(INDEX(COMPOS!$A$4:$G$801,MATCH($B44,COMPOS!$A$4:A$801,0),6))))</f>
        <v>0</v>
      </c>
      <c r="I44" s="354">
        <f t="shared" si="24"/>
        <v>22.416356</v>
      </c>
      <c r="J44" s="356">
        <f t="shared" si="25"/>
        <v>338.93530272000004</v>
      </c>
    </row>
    <row r="45" spans="1:16" s="183" customFormat="1" ht="24" customHeight="1">
      <c r="A45" s="680" t="s">
        <v>6927</v>
      </c>
      <c r="B45" s="680"/>
      <c r="C45" s="680"/>
      <c r="D45" s="680"/>
      <c r="E45" s="680"/>
      <c r="F45" s="680"/>
      <c r="G45" s="680"/>
      <c r="H45" s="680"/>
      <c r="I45" s="680"/>
      <c r="J45" s="281">
        <f>SUM(J39:J44)</f>
        <v>4190.8984027199995</v>
      </c>
      <c r="K45" s="182"/>
      <c r="L45" s="182"/>
      <c r="M45" s="182"/>
      <c r="N45" s="182"/>
      <c r="O45" s="182"/>
      <c r="P45" s="182"/>
    </row>
    <row r="46" spans="1:16">
      <c r="A46" s="348"/>
      <c r="B46" s="349">
        <v>189</v>
      </c>
      <c r="C46" s="350" t="s">
        <v>2</v>
      </c>
      <c r="D46" s="351"/>
      <c r="E46" s="352"/>
      <c r="F46" s="352"/>
      <c r="G46" s="352"/>
      <c r="H46" s="352"/>
      <c r="I46" s="352"/>
      <c r="J46" s="356"/>
    </row>
    <row r="47" spans="1:16">
      <c r="A47" s="348" t="s">
        <v>6307</v>
      </c>
      <c r="B47" s="349">
        <v>362</v>
      </c>
      <c r="C47" s="353" t="str">
        <f>(IF($A47="SINAPI",INDEX(SINAPI_NOV2020_NDES!$A$7:$H$6703,MATCH($B47,SINAPI_NOV2020_NDES!$A$7:$A$6703,0),2),IF($A47="GOINFRA",INDEX(#REF!,MATCH($B47,#REF!,0),2),(INDEX(COMPOS!$A$4:$G$390,MATCH($B47,COMPOS!$A$4:A$390,0),2)))))</f>
        <v>LIMPEZA FINAL DA OBRA</v>
      </c>
      <c r="D47" s="274" t="str">
        <f>(IF($A47="SINAPI",INDEX(SINAPI_NOV2020_NDES!$A$7:$H$6790,MATCH($B47,SINAPI_NOV2020_NDES!$A$7:$A$6790,0),3),(INDEX(COMPOS!$A$4:$G$5000,MATCH($B47,COMPOS!$A$4:$A$5000,0),3))))</f>
        <v>M2</v>
      </c>
      <c r="E47" s="352">
        <v>59.29</v>
      </c>
      <c r="F47" s="354">
        <f>(IF($A47="SINAPI",INDEX(SINAPI_NOV2020_NDES!$A$7:$H$6703,MATCH($B47,SINAPI_NOV2020_NDES!$A$7:$A$6703,0),5),(INDEX(COMPOS!$A$4:$G$801,MATCH($B47,COMPOS!$A$4:A$801,0),4))))</f>
        <v>2.2664999999999997</v>
      </c>
      <c r="G47" s="355">
        <f>(IF($A47="SINAPI",INDEX(SINAPI_NOV2020_NDES!$A$7:$H$6703,MATCH($B47,SINAPI_NOV2020_NDES!$A$7:$A$6703,0),6),(INDEX(COMPOS!$A$4:$G$801,MATCH($B47,COMPOS!$A$4:A$801,0),5))))</f>
        <v>0.62687100000000007</v>
      </c>
      <c r="H47" s="355">
        <f>(IF($A47="SINAPI",INDEX(SINAPI_NOV2020_NDES!$A$7:$H$6703,MATCH($B47,SINAPI_NOV2020_NDES!$A$7:$A$6703,0),7),(INDEX(COMPOS!$A$4:$G$801,MATCH($B47,COMPOS!$A$4:A$801,0),6))))</f>
        <v>0</v>
      </c>
      <c r="I47" s="354">
        <f t="shared" ref="I47" si="26">SUM(F47:H47)</f>
        <v>2.8933709999999997</v>
      </c>
      <c r="J47" s="356">
        <f t="shared" ref="J47" si="27">+I47*E47</f>
        <v>171.54796658999999</v>
      </c>
    </row>
    <row r="48" spans="1:16" s="183" customFormat="1" ht="24" customHeight="1">
      <c r="A48" s="680" t="s">
        <v>6927</v>
      </c>
      <c r="B48" s="680"/>
      <c r="C48" s="680"/>
      <c r="D48" s="680"/>
      <c r="E48" s="680"/>
      <c r="F48" s="680"/>
      <c r="G48" s="680"/>
      <c r="H48" s="680"/>
      <c r="I48" s="680"/>
      <c r="J48" s="281">
        <f>SUM(J46:J47)</f>
        <v>171.54796658999999</v>
      </c>
      <c r="K48" s="182"/>
      <c r="L48" s="182"/>
      <c r="M48" s="182"/>
      <c r="N48" s="182"/>
      <c r="O48" s="182"/>
      <c r="P48" s="182"/>
    </row>
    <row r="49" spans="1:1008" s="191" customFormat="1" ht="12.75" customHeight="1">
      <c r="A49" s="680" t="s">
        <v>7104</v>
      </c>
      <c r="B49" s="680"/>
      <c r="C49" s="680"/>
      <c r="D49" s="680"/>
      <c r="E49" s="680"/>
      <c r="F49" s="680"/>
      <c r="G49" s="680"/>
      <c r="H49" s="680"/>
      <c r="I49" s="680"/>
      <c r="J49" s="281">
        <f>SUMPRODUCT($E$10:$E$47,F10:F47)</f>
        <v>8790.7597676819987</v>
      </c>
      <c r="K49" s="255"/>
      <c r="L49" s="255"/>
      <c r="M49" s="255"/>
      <c r="N49" s="255"/>
      <c r="O49" s="255"/>
      <c r="P49" s="257"/>
      <c r="Q49" s="255"/>
      <c r="R49" s="255"/>
      <c r="S49" s="255"/>
      <c r="T49" s="255"/>
      <c r="U49" s="255"/>
      <c r="V49" s="255"/>
      <c r="W49" s="255"/>
      <c r="X49" s="255"/>
      <c r="Y49" s="255"/>
      <c r="Z49" s="255"/>
      <c r="AA49" s="255"/>
      <c r="AB49" s="255"/>
      <c r="AC49" s="255"/>
      <c r="AD49" s="255"/>
      <c r="AE49" s="255"/>
      <c r="AF49" s="255"/>
      <c r="AG49" s="255"/>
      <c r="AH49" s="255"/>
      <c r="AI49" s="255"/>
      <c r="AJ49" s="255"/>
      <c r="AK49" s="255"/>
      <c r="AL49" s="255"/>
      <c r="AM49" s="255"/>
      <c r="AN49" s="255"/>
      <c r="AO49" s="255"/>
      <c r="AP49" s="255"/>
      <c r="AQ49" s="255"/>
      <c r="AR49" s="255"/>
      <c r="AS49" s="255"/>
      <c r="AT49" s="255"/>
      <c r="AU49" s="255"/>
      <c r="AV49" s="255"/>
      <c r="AW49" s="255"/>
      <c r="AX49" s="255"/>
      <c r="AY49" s="255"/>
      <c r="AZ49" s="255"/>
      <c r="BA49" s="255"/>
      <c r="BB49" s="255"/>
      <c r="BC49" s="255"/>
      <c r="BD49" s="255"/>
      <c r="BE49" s="255"/>
      <c r="BF49" s="255"/>
      <c r="BG49" s="255"/>
      <c r="BH49" s="255"/>
      <c r="BI49" s="255"/>
      <c r="BJ49" s="255"/>
      <c r="BK49" s="255"/>
      <c r="BL49" s="255"/>
      <c r="BM49" s="255"/>
      <c r="BN49" s="255"/>
      <c r="BO49" s="255"/>
      <c r="BP49" s="255"/>
      <c r="BQ49" s="255"/>
      <c r="BR49" s="255"/>
      <c r="BS49" s="255"/>
      <c r="BT49" s="255"/>
      <c r="BU49" s="255"/>
      <c r="BV49" s="255"/>
      <c r="BW49" s="255"/>
      <c r="BX49" s="255"/>
      <c r="BY49" s="255"/>
      <c r="BZ49" s="255"/>
      <c r="CA49" s="255"/>
      <c r="CB49" s="255"/>
      <c r="CC49" s="255"/>
      <c r="CD49" s="255"/>
      <c r="CE49" s="255"/>
      <c r="CF49" s="255"/>
      <c r="CG49" s="255"/>
      <c r="CH49" s="255"/>
      <c r="CI49" s="255"/>
      <c r="CJ49" s="255"/>
      <c r="CK49" s="255"/>
      <c r="CL49" s="255"/>
      <c r="CM49" s="255"/>
      <c r="CN49" s="255"/>
      <c r="CO49" s="255"/>
      <c r="CP49" s="255"/>
      <c r="CQ49" s="255"/>
      <c r="CR49" s="255"/>
      <c r="CS49" s="255"/>
      <c r="CT49" s="255"/>
      <c r="CU49" s="255"/>
      <c r="CV49" s="255"/>
      <c r="CW49" s="255"/>
      <c r="CX49" s="255"/>
      <c r="CY49" s="255"/>
      <c r="CZ49" s="255"/>
      <c r="DA49" s="255"/>
      <c r="DB49" s="255"/>
      <c r="DC49" s="255"/>
      <c r="DD49" s="255"/>
      <c r="DE49" s="255"/>
      <c r="DF49" s="255"/>
      <c r="DG49" s="255"/>
      <c r="DH49" s="255"/>
      <c r="DI49" s="255"/>
      <c r="DJ49" s="255"/>
      <c r="DK49" s="255"/>
      <c r="DL49" s="255"/>
      <c r="DM49" s="255"/>
      <c r="DN49" s="255"/>
      <c r="DO49" s="255"/>
      <c r="DP49" s="255"/>
      <c r="DQ49" s="255"/>
      <c r="DR49" s="255"/>
      <c r="DS49" s="255"/>
      <c r="DT49" s="255"/>
      <c r="DU49" s="255"/>
      <c r="DV49" s="255"/>
      <c r="DW49" s="255"/>
      <c r="DX49" s="255"/>
      <c r="DY49" s="255"/>
      <c r="DZ49" s="255"/>
      <c r="EA49" s="255"/>
      <c r="EB49" s="255"/>
      <c r="EC49" s="255"/>
      <c r="ED49" s="255"/>
      <c r="EE49" s="255"/>
      <c r="EF49" s="255"/>
      <c r="EG49" s="255"/>
      <c r="EH49" s="255"/>
      <c r="EI49" s="255"/>
      <c r="EJ49" s="255"/>
      <c r="EK49" s="255"/>
      <c r="EL49" s="255"/>
      <c r="EM49" s="255"/>
      <c r="EN49" s="255"/>
      <c r="EO49" s="255"/>
      <c r="EP49" s="255"/>
      <c r="EQ49" s="255"/>
      <c r="ER49" s="255"/>
      <c r="ES49" s="255"/>
      <c r="ET49" s="255"/>
      <c r="EU49" s="255"/>
      <c r="EV49" s="255"/>
      <c r="EW49" s="255"/>
      <c r="EX49" s="255"/>
      <c r="EY49" s="255"/>
      <c r="EZ49" s="255"/>
      <c r="FA49" s="255"/>
      <c r="FB49" s="255"/>
      <c r="FC49" s="255"/>
      <c r="FD49" s="255"/>
      <c r="FE49" s="255"/>
      <c r="FF49" s="255"/>
      <c r="FG49" s="255"/>
      <c r="FH49" s="255"/>
      <c r="FI49" s="255"/>
      <c r="FJ49" s="255"/>
      <c r="FK49" s="255"/>
      <c r="FL49" s="255"/>
      <c r="FM49" s="255"/>
      <c r="FN49" s="255"/>
      <c r="FO49" s="255"/>
      <c r="FP49" s="255"/>
      <c r="FQ49" s="255"/>
      <c r="FR49" s="255"/>
      <c r="FS49" s="255"/>
      <c r="FT49" s="255"/>
      <c r="FU49" s="255"/>
      <c r="FV49" s="255"/>
      <c r="FW49" s="255"/>
      <c r="FX49" s="255"/>
      <c r="FY49" s="255"/>
      <c r="FZ49" s="255"/>
      <c r="GA49" s="255"/>
      <c r="GB49" s="255"/>
      <c r="GC49" s="255"/>
      <c r="GD49" s="255"/>
      <c r="GE49" s="255"/>
      <c r="GF49" s="255"/>
      <c r="GG49" s="255"/>
      <c r="GH49" s="255"/>
      <c r="GI49" s="255"/>
      <c r="GJ49" s="255"/>
      <c r="GK49" s="255"/>
      <c r="GL49" s="255"/>
      <c r="GM49" s="255"/>
      <c r="GN49" s="255"/>
      <c r="GO49" s="255"/>
      <c r="GP49" s="255"/>
      <c r="GQ49" s="255"/>
      <c r="GR49" s="255"/>
      <c r="GS49" s="255"/>
      <c r="GT49" s="255"/>
      <c r="GU49" s="255"/>
      <c r="GV49" s="255"/>
      <c r="GW49" s="255"/>
      <c r="GX49" s="255"/>
      <c r="GY49" s="255"/>
      <c r="GZ49" s="255"/>
      <c r="HA49" s="255"/>
      <c r="HB49" s="255"/>
      <c r="HC49" s="255"/>
      <c r="HD49" s="255"/>
      <c r="HE49" s="255"/>
      <c r="HF49" s="255"/>
      <c r="HG49" s="255"/>
      <c r="HH49" s="255"/>
      <c r="HI49" s="255"/>
      <c r="HJ49" s="255"/>
      <c r="HK49" s="255"/>
      <c r="HL49" s="255"/>
      <c r="HM49" s="255"/>
      <c r="HN49" s="255"/>
      <c r="HO49" s="255"/>
      <c r="HP49" s="255"/>
      <c r="HQ49" s="255"/>
      <c r="HR49" s="255"/>
      <c r="HS49" s="255"/>
      <c r="HT49" s="255"/>
      <c r="HU49" s="255"/>
      <c r="HV49" s="255"/>
      <c r="HW49" s="255"/>
      <c r="HX49" s="255"/>
      <c r="HY49" s="255"/>
      <c r="HZ49" s="255"/>
      <c r="IA49" s="255"/>
      <c r="IB49" s="255"/>
      <c r="IC49" s="255"/>
      <c r="ID49" s="255"/>
      <c r="IE49" s="255"/>
      <c r="IF49" s="255"/>
      <c r="IG49" s="255"/>
      <c r="IH49" s="255"/>
      <c r="II49" s="255"/>
      <c r="IJ49" s="255"/>
      <c r="IK49" s="255"/>
      <c r="IL49" s="255"/>
      <c r="IM49" s="255"/>
      <c r="IN49" s="255"/>
      <c r="IO49" s="255"/>
      <c r="IP49" s="255"/>
      <c r="IQ49" s="255"/>
      <c r="IR49" s="255"/>
      <c r="IS49" s="255"/>
      <c r="IT49" s="255"/>
      <c r="IU49" s="255"/>
      <c r="IV49" s="255"/>
      <c r="IW49" s="255"/>
      <c r="IX49" s="255"/>
      <c r="IY49" s="255"/>
      <c r="IZ49" s="255"/>
      <c r="JA49" s="255"/>
      <c r="JB49" s="255"/>
      <c r="JC49" s="255"/>
      <c r="JD49" s="255"/>
      <c r="JE49" s="255"/>
      <c r="JF49" s="255"/>
      <c r="JG49" s="255"/>
      <c r="JH49" s="255"/>
      <c r="JI49" s="255"/>
      <c r="JJ49" s="255"/>
      <c r="JK49" s="255"/>
      <c r="JL49" s="255"/>
      <c r="JM49" s="255"/>
      <c r="JN49" s="255"/>
      <c r="JO49" s="255"/>
      <c r="JP49" s="255"/>
      <c r="JQ49" s="255"/>
      <c r="JR49" s="255"/>
      <c r="JS49" s="255"/>
      <c r="JT49" s="255"/>
      <c r="JU49" s="255"/>
      <c r="JV49" s="255"/>
      <c r="JW49" s="255"/>
      <c r="JX49" s="255"/>
      <c r="JY49" s="255"/>
      <c r="JZ49" s="255"/>
      <c r="KA49" s="255"/>
      <c r="KB49" s="255"/>
      <c r="KC49" s="255"/>
      <c r="KD49" s="255"/>
      <c r="KE49" s="255"/>
      <c r="KF49" s="255"/>
      <c r="KG49" s="255"/>
      <c r="KH49" s="255"/>
      <c r="KI49" s="255"/>
      <c r="KJ49" s="255"/>
      <c r="KK49" s="255"/>
      <c r="KL49" s="255"/>
      <c r="KM49" s="255"/>
      <c r="KN49" s="255"/>
      <c r="KO49" s="255"/>
      <c r="KP49" s="255"/>
      <c r="KQ49" s="255"/>
      <c r="KR49" s="255"/>
      <c r="KS49" s="255"/>
      <c r="KT49" s="255"/>
      <c r="KU49" s="255"/>
      <c r="KV49" s="255"/>
      <c r="KW49" s="255"/>
      <c r="KX49" s="255"/>
      <c r="KY49" s="255"/>
      <c r="KZ49" s="255"/>
      <c r="LA49" s="255"/>
      <c r="LB49" s="255"/>
      <c r="LC49" s="255"/>
      <c r="LD49" s="255"/>
      <c r="LE49" s="255"/>
      <c r="LF49" s="255"/>
      <c r="LG49" s="255"/>
      <c r="LH49" s="255"/>
      <c r="LI49" s="255"/>
      <c r="LJ49" s="255"/>
      <c r="LK49" s="255"/>
      <c r="LL49" s="255"/>
      <c r="LM49" s="255"/>
      <c r="LN49" s="255"/>
      <c r="LO49" s="255"/>
      <c r="LP49" s="255"/>
      <c r="LQ49" s="255"/>
      <c r="LR49" s="255"/>
      <c r="LS49" s="255"/>
      <c r="LT49" s="255"/>
      <c r="LU49" s="255"/>
      <c r="LV49" s="255"/>
      <c r="LW49" s="255"/>
      <c r="LX49" s="255"/>
      <c r="LY49" s="255"/>
      <c r="LZ49" s="255"/>
      <c r="MA49" s="255"/>
      <c r="MB49" s="255"/>
      <c r="MC49" s="255"/>
      <c r="MD49" s="255"/>
      <c r="ME49" s="255"/>
      <c r="MF49" s="255"/>
      <c r="MG49" s="255"/>
      <c r="MH49" s="255"/>
      <c r="MI49" s="255"/>
      <c r="MJ49" s="255"/>
      <c r="MK49" s="255"/>
      <c r="ML49" s="255"/>
      <c r="MM49" s="255"/>
      <c r="MN49" s="255"/>
      <c r="MO49" s="255"/>
      <c r="MP49" s="255"/>
      <c r="MQ49" s="255"/>
      <c r="MR49" s="255"/>
      <c r="MS49" s="255"/>
      <c r="MT49" s="255"/>
      <c r="MU49" s="255"/>
      <c r="MV49" s="255"/>
      <c r="MW49" s="255"/>
      <c r="MX49" s="255"/>
      <c r="MY49" s="255"/>
      <c r="MZ49" s="255"/>
      <c r="NA49" s="255"/>
      <c r="NB49" s="255"/>
      <c r="NC49" s="255"/>
      <c r="ND49" s="255"/>
      <c r="NE49" s="255"/>
      <c r="NF49" s="255"/>
      <c r="NG49" s="255"/>
      <c r="NH49" s="255"/>
      <c r="NI49" s="255"/>
      <c r="NJ49" s="255"/>
      <c r="NK49" s="255"/>
      <c r="NL49" s="255"/>
      <c r="NM49" s="255"/>
      <c r="NN49" s="255"/>
      <c r="NO49" s="255"/>
      <c r="NP49" s="255"/>
      <c r="NQ49" s="255"/>
      <c r="NR49" s="255"/>
      <c r="NS49" s="255"/>
      <c r="NT49" s="255"/>
      <c r="NU49" s="255"/>
      <c r="NV49" s="255"/>
      <c r="NW49" s="255"/>
      <c r="NX49" s="255"/>
      <c r="NY49" s="255"/>
      <c r="NZ49" s="255"/>
      <c r="OA49" s="255"/>
      <c r="OB49" s="255"/>
      <c r="OC49" s="255"/>
      <c r="OD49" s="255"/>
      <c r="OE49" s="255"/>
      <c r="OF49" s="255"/>
      <c r="OG49" s="255"/>
      <c r="OH49" s="255"/>
      <c r="OI49" s="255"/>
      <c r="OJ49" s="255"/>
      <c r="OK49" s="255"/>
      <c r="OL49" s="255"/>
      <c r="OM49" s="255"/>
      <c r="ON49" s="255"/>
      <c r="OO49" s="255"/>
      <c r="OP49" s="255"/>
      <c r="OQ49" s="255"/>
      <c r="OR49" s="255"/>
      <c r="OS49" s="255"/>
      <c r="OT49" s="255"/>
      <c r="OU49" s="255"/>
      <c r="OV49" s="255"/>
      <c r="OW49" s="255"/>
      <c r="OX49" s="255"/>
      <c r="OY49" s="255"/>
      <c r="OZ49" s="255"/>
      <c r="PA49" s="255"/>
      <c r="PB49" s="255"/>
      <c r="PC49" s="255"/>
      <c r="PD49" s="255"/>
      <c r="PE49" s="255"/>
      <c r="PF49" s="255"/>
      <c r="PG49" s="255"/>
      <c r="PH49" s="255"/>
      <c r="PI49" s="255"/>
      <c r="PJ49" s="255"/>
      <c r="PK49" s="255"/>
      <c r="PL49" s="255"/>
      <c r="PM49" s="255"/>
      <c r="PN49" s="255"/>
      <c r="PO49" s="255"/>
      <c r="PP49" s="255"/>
      <c r="PQ49" s="255"/>
      <c r="PR49" s="255"/>
      <c r="PS49" s="255"/>
      <c r="PT49" s="255"/>
      <c r="PU49" s="255"/>
      <c r="PV49" s="255"/>
      <c r="PW49" s="255"/>
      <c r="PX49" s="255"/>
      <c r="PY49" s="255"/>
      <c r="PZ49" s="255"/>
      <c r="QA49" s="255"/>
      <c r="QB49" s="255"/>
      <c r="QC49" s="255"/>
      <c r="QD49" s="255"/>
      <c r="QE49" s="255"/>
      <c r="QF49" s="255"/>
      <c r="QG49" s="255"/>
      <c r="QH49" s="255"/>
      <c r="QI49" s="255"/>
      <c r="QJ49" s="255"/>
      <c r="QK49" s="255"/>
      <c r="QL49" s="255"/>
      <c r="QM49" s="255"/>
      <c r="QN49" s="255"/>
      <c r="QO49" s="255"/>
      <c r="QP49" s="255"/>
      <c r="QQ49" s="255"/>
      <c r="QR49" s="255"/>
      <c r="QS49" s="255"/>
      <c r="QT49" s="255"/>
      <c r="QU49" s="255"/>
      <c r="QV49" s="255"/>
      <c r="QW49" s="255"/>
      <c r="QX49" s="255"/>
      <c r="QY49" s="255"/>
      <c r="QZ49" s="255"/>
      <c r="RA49" s="255"/>
      <c r="RB49" s="255"/>
      <c r="RC49" s="255"/>
      <c r="RD49" s="255"/>
      <c r="RE49" s="255"/>
      <c r="RF49" s="255"/>
      <c r="RG49" s="255"/>
      <c r="RH49" s="255"/>
      <c r="RI49" s="255"/>
      <c r="RJ49" s="255"/>
      <c r="RK49" s="255"/>
      <c r="RL49" s="255"/>
      <c r="RM49" s="255"/>
      <c r="RN49" s="255"/>
      <c r="RO49" s="255"/>
      <c r="RP49" s="255"/>
      <c r="RQ49" s="255"/>
      <c r="RR49" s="255"/>
      <c r="RS49" s="255"/>
      <c r="RT49" s="255"/>
      <c r="RU49" s="255"/>
      <c r="RV49" s="255"/>
      <c r="RW49" s="255"/>
      <c r="RX49" s="255"/>
      <c r="RY49" s="255"/>
      <c r="RZ49" s="255"/>
      <c r="SA49" s="255"/>
      <c r="SB49" s="255"/>
      <c r="SC49" s="255"/>
      <c r="SD49" s="255"/>
      <c r="SE49" s="255"/>
      <c r="SF49" s="255"/>
      <c r="SG49" s="255"/>
      <c r="SH49" s="255"/>
      <c r="SI49" s="255"/>
      <c r="SJ49" s="255"/>
      <c r="SK49" s="255"/>
      <c r="SL49" s="255"/>
      <c r="SM49" s="255"/>
      <c r="SN49" s="255"/>
      <c r="SO49" s="255"/>
      <c r="SP49" s="255"/>
      <c r="SQ49" s="255"/>
      <c r="SR49" s="255"/>
      <c r="SS49" s="255"/>
      <c r="ST49" s="255"/>
      <c r="SU49" s="255"/>
      <c r="SV49" s="255"/>
      <c r="SW49" s="255"/>
      <c r="SX49" s="255"/>
      <c r="SY49" s="255"/>
      <c r="SZ49" s="255"/>
      <c r="TA49" s="255"/>
      <c r="TB49" s="255"/>
      <c r="TC49" s="255"/>
      <c r="TD49" s="255"/>
      <c r="TE49" s="255"/>
      <c r="TF49" s="255"/>
      <c r="TG49" s="255"/>
      <c r="TH49" s="255"/>
      <c r="TI49" s="255"/>
      <c r="TJ49" s="255"/>
      <c r="TK49" s="255"/>
      <c r="TL49" s="255"/>
      <c r="TM49" s="255"/>
      <c r="TN49" s="255"/>
      <c r="TO49" s="255"/>
      <c r="TP49" s="255"/>
      <c r="TQ49" s="255"/>
      <c r="TR49" s="255"/>
      <c r="TS49" s="255"/>
      <c r="TT49" s="255"/>
      <c r="TU49" s="255"/>
      <c r="TV49" s="255"/>
      <c r="TW49" s="255"/>
      <c r="TX49" s="255"/>
      <c r="TY49" s="255"/>
      <c r="TZ49" s="255"/>
      <c r="UA49" s="255"/>
      <c r="UB49" s="255"/>
      <c r="UC49" s="255"/>
      <c r="UD49" s="255"/>
      <c r="UE49" s="255"/>
      <c r="UF49" s="255"/>
      <c r="UG49" s="255"/>
      <c r="UH49" s="255"/>
      <c r="UI49" s="255"/>
      <c r="UJ49" s="255"/>
      <c r="UK49" s="255"/>
      <c r="UL49" s="255"/>
      <c r="UM49" s="255"/>
      <c r="UN49" s="255"/>
      <c r="UO49" s="255"/>
      <c r="UP49" s="255"/>
      <c r="UQ49" s="255"/>
      <c r="UR49" s="255"/>
      <c r="US49" s="255"/>
      <c r="UT49" s="255"/>
      <c r="UU49" s="255"/>
      <c r="UV49" s="255"/>
      <c r="UW49" s="255"/>
      <c r="UX49" s="255"/>
      <c r="UY49" s="255"/>
      <c r="UZ49" s="255"/>
      <c r="VA49" s="255"/>
      <c r="VB49" s="255"/>
      <c r="VC49" s="255"/>
      <c r="VD49" s="255"/>
      <c r="VE49" s="255"/>
      <c r="VF49" s="255"/>
      <c r="VG49" s="255"/>
      <c r="VH49" s="255"/>
      <c r="VI49" s="255"/>
      <c r="VJ49" s="255"/>
      <c r="VK49" s="255"/>
      <c r="VL49" s="255"/>
      <c r="VM49" s="255"/>
      <c r="VN49" s="255"/>
      <c r="VO49" s="255"/>
      <c r="VP49" s="255"/>
      <c r="VQ49" s="255"/>
      <c r="VR49" s="255"/>
      <c r="VS49" s="255"/>
      <c r="VT49" s="255"/>
      <c r="VU49" s="255"/>
      <c r="VV49" s="255"/>
      <c r="VW49" s="255"/>
      <c r="VX49" s="255"/>
      <c r="VY49" s="255"/>
      <c r="VZ49" s="255"/>
      <c r="WA49" s="255"/>
      <c r="WB49" s="255"/>
      <c r="WC49" s="255"/>
      <c r="WD49" s="255"/>
      <c r="WE49" s="255"/>
      <c r="WF49" s="255"/>
      <c r="WG49" s="255"/>
      <c r="WH49" s="255"/>
      <c r="WI49" s="255"/>
      <c r="WJ49" s="255"/>
      <c r="WK49" s="255"/>
      <c r="WL49" s="255"/>
      <c r="WM49" s="255"/>
      <c r="WN49" s="255"/>
      <c r="WO49" s="255"/>
      <c r="WP49" s="255"/>
      <c r="WQ49" s="255"/>
      <c r="WR49" s="255"/>
      <c r="WS49" s="255"/>
      <c r="WT49" s="255"/>
      <c r="WU49" s="255"/>
      <c r="WV49" s="255"/>
      <c r="WW49" s="255"/>
      <c r="WX49" s="255"/>
      <c r="WY49" s="255"/>
      <c r="WZ49" s="255"/>
      <c r="XA49" s="255"/>
      <c r="XB49" s="255"/>
      <c r="XC49" s="255"/>
      <c r="XD49" s="255"/>
      <c r="XE49" s="255"/>
      <c r="XF49" s="255"/>
      <c r="XG49" s="255"/>
      <c r="XH49" s="255"/>
      <c r="XI49" s="255"/>
      <c r="XJ49" s="255"/>
      <c r="XK49" s="255"/>
      <c r="XL49" s="255"/>
      <c r="XM49" s="255"/>
      <c r="XN49" s="255"/>
      <c r="XO49" s="255"/>
      <c r="XP49" s="255"/>
      <c r="XQ49" s="255"/>
      <c r="XR49" s="255"/>
      <c r="XS49" s="255"/>
      <c r="XT49" s="255"/>
      <c r="XU49" s="255"/>
      <c r="XV49" s="255"/>
      <c r="XW49" s="255"/>
      <c r="XX49" s="255"/>
      <c r="XY49" s="255"/>
      <c r="XZ49" s="255"/>
      <c r="YA49" s="255"/>
      <c r="YB49" s="255"/>
      <c r="YC49" s="255"/>
      <c r="YD49" s="255"/>
      <c r="YE49" s="255"/>
      <c r="YF49" s="255"/>
      <c r="YG49" s="255"/>
      <c r="YH49" s="255"/>
      <c r="YI49" s="255"/>
      <c r="YJ49" s="255"/>
      <c r="YK49" s="255"/>
      <c r="YL49" s="255"/>
      <c r="YM49" s="255"/>
      <c r="YN49" s="255"/>
      <c r="YO49" s="255"/>
      <c r="YP49" s="255"/>
      <c r="YQ49" s="255"/>
      <c r="YR49" s="255"/>
      <c r="YS49" s="255"/>
      <c r="YT49" s="255"/>
      <c r="YU49" s="255"/>
      <c r="YV49" s="255"/>
      <c r="YW49" s="255"/>
      <c r="YX49" s="255"/>
      <c r="YY49" s="255"/>
      <c r="YZ49" s="255"/>
      <c r="ZA49" s="255"/>
      <c r="ZB49" s="255"/>
      <c r="ZC49" s="255"/>
      <c r="ZD49" s="255"/>
      <c r="ZE49" s="255"/>
      <c r="ZF49" s="255"/>
      <c r="ZG49" s="255"/>
      <c r="ZH49" s="255"/>
      <c r="ZI49" s="255"/>
      <c r="ZJ49" s="255"/>
      <c r="ZK49" s="255"/>
      <c r="ZL49" s="255"/>
      <c r="ZM49" s="255"/>
      <c r="ZN49" s="255"/>
      <c r="ZO49" s="255"/>
      <c r="ZP49" s="255"/>
      <c r="ZQ49" s="255"/>
      <c r="ZR49" s="255"/>
      <c r="ZS49" s="255"/>
      <c r="ZT49" s="255"/>
      <c r="ZU49" s="255"/>
      <c r="ZV49" s="255"/>
      <c r="ZW49" s="255"/>
      <c r="ZX49" s="255"/>
      <c r="ZY49" s="255"/>
      <c r="ZZ49" s="255"/>
      <c r="AAA49" s="255"/>
      <c r="AAB49" s="255"/>
      <c r="AAC49" s="255"/>
      <c r="AAD49" s="255"/>
      <c r="AAE49" s="255"/>
      <c r="AAF49" s="255"/>
      <c r="AAG49" s="255"/>
      <c r="AAH49" s="255"/>
      <c r="AAI49" s="255"/>
      <c r="AAJ49" s="255"/>
      <c r="AAK49" s="255"/>
      <c r="AAL49" s="255"/>
      <c r="AAM49" s="255"/>
      <c r="AAN49" s="255"/>
      <c r="AAO49" s="255"/>
      <c r="AAP49" s="255"/>
      <c r="AAQ49" s="255"/>
      <c r="AAR49" s="255"/>
      <c r="AAS49" s="255"/>
      <c r="AAT49" s="255"/>
      <c r="AAU49" s="255"/>
      <c r="AAV49" s="255"/>
      <c r="AAW49" s="255"/>
      <c r="AAX49" s="255"/>
      <c r="AAY49" s="255"/>
      <c r="AAZ49" s="255"/>
      <c r="ABA49" s="255"/>
      <c r="ABB49" s="255"/>
      <c r="ABC49" s="255"/>
      <c r="ABD49" s="255"/>
      <c r="ABE49" s="255"/>
      <c r="ABF49" s="255"/>
      <c r="ABG49" s="255"/>
      <c r="ABH49" s="255"/>
      <c r="ABI49" s="255"/>
      <c r="ABJ49" s="255"/>
      <c r="ABK49" s="255"/>
      <c r="ABL49" s="255"/>
      <c r="ABM49" s="255"/>
      <c r="ABN49" s="255"/>
      <c r="ABO49" s="255"/>
      <c r="ABP49" s="255"/>
      <c r="ABQ49" s="255"/>
      <c r="ABR49" s="255"/>
      <c r="ABS49" s="255"/>
      <c r="ABT49" s="255"/>
      <c r="ABU49" s="255"/>
      <c r="ABV49" s="255"/>
      <c r="ABW49" s="255"/>
      <c r="ABX49" s="255"/>
      <c r="ABY49" s="255"/>
      <c r="ABZ49" s="255"/>
      <c r="ACA49" s="255"/>
      <c r="ACB49" s="255"/>
      <c r="ACC49" s="255"/>
      <c r="ACD49" s="255"/>
      <c r="ACE49" s="255"/>
      <c r="ACF49" s="255"/>
      <c r="ACG49" s="255"/>
      <c r="ACH49" s="255"/>
      <c r="ACI49" s="255"/>
      <c r="ACJ49" s="255"/>
      <c r="ACK49" s="255"/>
      <c r="ACL49" s="255"/>
      <c r="ACM49" s="255"/>
      <c r="ACN49" s="255"/>
      <c r="ACO49" s="255"/>
      <c r="ACP49" s="255"/>
      <c r="ACQ49" s="255"/>
      <c r="ACR49" s="255"/>
      <c r="ACS49" s="255"/>
      <c r="ACT49" s="255"/>
      <c r="ACU49" s="255"/>
      <c r="ACV49" s="255"/>
      <c r="ACW49" s="255"/>
      <c r="ACX49" s="255"/>
      <c r="ACY49" s="255"/>
      <c r="ACZ49" s="255"/>
      <c r="ADA49" s="255"/>
      <c r="ADB49" s="255"/>
      <c r="ADC49" s="255"/>
      <c r="ADD49" s="255"/>
      <c r="ADE49" s="255"/>
      <c r="ADF49" s="255"/>
      <c r="ADG49" s="255"/>
      <c r="ADH49" s="255"/>
      <c r="ADI49" s="255"/>
      <c r="ADJ49" s="255"/>
      <c r="ADK49" s="255"/>
      <c r="ADL49" s="255"/>
      <c r="ADM49" s="255"/>
      <c r="ADN49" s="255"/>
      <c r="ADO49" s="255"/>
      <c r="ADP49" s="255"/>
      <c r="ADQ49" s="255"/>
      <c r="ADR49" s="255"/>
      <c r="ADS49" s="255"/>
      <c r="ADT49" s="255"/>
      <c r="ADU49" s="255"/>
      <c r="ADV49" s="255"/>
      <c r="ADW49" s="255"/>
      <c r="ADX49" s="255"/>
      <c r="ADY49" s="255"/>
      <c r="ADZ49" s="255"/>
      <c r="AEA49" s="255"/>
      <c r="AEB49" s="255"/>
      <c r="AEC49" s="255"/>
      <c r="AED49" s="255"/>
      <c r="AEE49" s="255"/>
      <c r="AEF49" s="255"/>
      <c r="AEG49" s="255"/>
      <c r="AEH49" s="255"/>
      <c r="AEI49" s="255"/>
      <c r="AEJ49" s="255"/>
      <c r="AEK49" s="255"/>
      <c r="AEL49" s="255"/>
      <c r="AEM49" s="255"/>
      <c r="AEN49" s="255"/>
      <c r="AEO49" s="255"/>
      <c r="AEP49" s="255"/>
      <c r="AEQ49" s="255"/>
      <c r="AER49" s="255"/>
      <c r="AES49" s="255"/>
      <c r="AET49" s="255"/>
      <c r="AEU49" s="255"/>
      <c r="AEV49" s="255"/>
      <c r="AEW49" s="255"/>
      <c r="AEX49" s="255"/>
      <c r="AEY49" s="255"/>
      <c r="AEZ49" s="255"/>
      <c r="AFA49" s="255"/>
      <c r="AFB49" s="255"/>
      <c r="AFC49" s="255"/>
      <c r="AFD49" s="255"/>
      <c r="AFE49" s="255"/>
      <c r="AFF49" s="255"/>
      <c r="AFG49" s="255"/>
      <c r="AFH49" s="255"/>
      <c r="AFI49" s="255"/>
      <c r="AFJ49" s="255"/>
      <c r="AFK49" s="255"/>
      <c r="AFL49" s="255"/>
      <c r="AFM49" s="255"/>
      <c r="AFN49" s="255"/>
      <c r="AFO49" s="255"/>
      <c r="AFP49" s="255"/>
      <c r="AFQ49" s="255"/>
      <c r="AFR49" s="255"/>
      <c r="AFS49" s="255"/>
      <c r="AFT49" s="255"/>
      <c r="AFU49" s="255"/>
      <c r="AFV49" s="255"/>
      <c r="AFW49" s="255"/>
      <c r="AFX49" s="255"/>
      <c r="AFY49" s="255"/>
      <c r="AFZ49" s="255"/>
      <c r="AGA49" s="255"/>
      <c r="AGB49" s="255"/>
      <c r="AGC49" s="255"/>
      <c r="AGD49" s="255"/>
      <c r="AGE49" s="255"/>
      <c r="AGF49" s="255"/>
      <c r="AGG49" s="255"/>
      <c r="AGH49" s="255"/>
      <c r="AGI49" s="255"/>
      <c r="AGJ49" s="255"/>
      <c r="AGK49" s="255"/>
      <c r="AGL49" s="255"/>
      <c r="AGM49" s="255"/>
      <c r="AGN49" s="255"/>
      <c r="AGO49" s="255"/>
      <c r="AGP49" s="255"/>
      <c r="AGQ49" s="255"/>
      <c r="AGR49" s="255"/>
      <c r="AGS49" s="255"/>
      <c r="AGT49" s="255"/>
      <c r="AGU49" s="255"/>
      <c r="AGV49" s="255"/>
      <c r="AGW49" s="255"/>
      <c r="AGX49" s="255"/>
      <c r="AGY49" s="255"/>
      <c r="AGZ49" s="255"/>
      <c r="AHA49" s="255"/>
      <c r="AHB49" s="255"/>
      <c r="AHC49" s="255"/>
      <c r="AHD49" s="255"/>
      <c r="AHE49" s="255"/>
      <c r="AHF49" s="255"/>
      <c r="AHG49" s="255"/>
      <c r="AHH49" s="255"/>
      <c r="AHI49" s="255"/>
      <c r="AHJ49" s="255"/>
      <c r="AHK49" s="255"/>
      <c r="AHL49" s="255"/>
      <c r="AHM49" s="255"/>
      <c r="AHN49" s="255"/>
      <c r="AHO49" s="255"/>
      <c r="AHP49" s="255"/>
      <c r="AHQ49" s="255"/>
      <c r="AHR49" s="255"/>
      <c r="AHS49" s="255"/>
      <c r="AHT49" s="255"/>
      <c r="AHU49" s="255"/>
      <c r="AHV49" s="255"/>
      <c r="AHW49" s="255"/>
      <c r="AHX49" s="255"/>
      <c r="AHY49" s="255"/>
      <c r="AHZ49" s="255"/>
      <c r="AIA49" s="255"/>
      <c r="AIB49" s="255"/>
      <c r="AIC49" s="255"/>
      <c r="AID49" s="255"/>
      <c r="AIE49" s="255"/>
      <c r="AIF49" s="255"/>
      <c r="AIG49" s="255"/>
      <c r="AIH49" s="255"/>
      <c r="AII49" s="255"/>
      <c r="AIJ49" s="255"/>
      <c r="AIK49" s="255"/>
      <c r="AIL49" s="255"/>
      <c r="AIM49" s="255"/>
      <c r="AIN49" s="255"/>
      <c r="AIO49" s="255"/>
      <c r="AIP49" s="255"/>
      <c r="AIQ49" s="255"/>
      <c r="AIR49" s="255"/>
      <c r="AIS49" s="255"/>
      <c r="AIT49" s="255"/>
      <c r="AIU49" s="255"/>
      <c r="AIV49" s="255"/>
      <c r="AIW49" s="255"/>
      <c r="AIX49" s="255"/>
      <c r="AIY49" s="255"/>
      <c r="AIZ49" s="255"/>
      <c r="AJA49" s="255"/>
      <c r="AJB49" s="255"/>
      <c r="AJC49" s="255"/>
      <c r="AJD49" s="255"/>
      <c r="AJE49" s="255"/>
      <c r="AJF49" s="255"/>
      <c r="AJG49" s="255"/>
      <c r="AJH49" s="255"/>
      <c r="AJI49" s="255"/>
      <c r="AJJ49" s="255"/>
      <c r="AJK49" s="255"/>
      <c r="AJL49" s="255"/>
      <c r="AJM49" s="255"/>
      <c r="AJN49" s="255"/>
      <c r="AJO49" s="255"/>
      <c r="AJP49" s="255"/>
      <c r="AJQ49" s="255"/>
      <c r="AJR49" s="255"/>
      <c r="AJS49" s="255"/>
      <c r="AJT49" s="255"/>
      <c r="AJU49" s="255"/>
      <c r="AJV49" s="255"/>
      <c r="AJW49" s="255"/>
      <c r="AJX49" s="255"/>
      <c r="AJY49" s="255"/>
      <c r="AJZ49" s="255"/>
      <c r="AKA49" s="255"/>
      <c r="AKB49" s="255"/>
      <c r="AKC49" s="255"/>
      <c r="AKD49" s="255"/>
      <c r="AKE49" s="255"/>
      <c r="AKF49" s="255"/>
      <c r="AKG49" s="255"/>
      <c r="AKH49" s="255"/>
      <c r="AKI49" s="255"/>
      <c r="AKJ49" s="255"/>
      <c r="AKK49" s="255"/>
      <c r="AKL49" s="255"/>
      <c r="AKM49" s="255"/>
      <c r="AKN49" s="255"/>
      <c r="AKO49" s="255"/>
      <c r="AKP49" s="255"/>
      <c r="AKQ49" s="255"/>
      <c r="AKR49" s="255"/>
      <c r="AKS49" s="255"/>
      <c r="AKT49" s="255"/>
      <c r="AKU49" s="255"/>
      <c r="AKV49" s="255"/>
      <c r="AKW49" s="255"/>
      <c r="AKX49" s="255"/>
      <c r="AKY49" s="255"/>
      <c r="AKZ49" s="255"/>
      <c r="ALA49" s="255"/>
      <c r="ALB49" s="255"/>
      <c r="ALC49" s="255"/>
      <c r="ALD49" s="255"/>
      <c r="ALE49" s="42"/>
      <c r="ALF49" s="42"/>
      <c r="ALG49" s="42"/>
      <c r="ALH49" s="42"/>
      <c r="ALI49" s="42"/>
      <c r="ALJ49" s="42"/>
      <c r="ALK49" s="42"/>
      <c r="ALL49" s="42"/>
      <c r="ALM49" s="42"/>
    </row>
    <row r="50" spans="1:1008" s="191" customFormat="1" ht="12.75" customHeight="1">
      <c r="A50" s="680" t="s">
        <v>7103</v>
      </c>
      <c r="B50" s="680"/>
      <c r="C50" s="680"/>
      <c r="D50" s="680"/>
      <c r="E50" s="680"/>
      <c r="F50" s="680"/>
      <c r="G50" s="680"/>
      <c r="H50" s="680"/>
      <c r="I50" s="680"/>
      <c r="J50" s="281">
        <f>SUMPRODUCT($E$10:$E$47,G10:G47)+SUMPRODUCT($E$10:$E$47,H10:H47)</f>
        <v>16208.397496188001</v>
      </c>
      <c r="K50" s="255"/>
      <c r="L50" s="255"/>
      <c r="M50" s="255"/>
      <c r="N50" s="255"/>
      <c r="O50" s="255"/>
      <c r="P50" s="255"/>
      <c r="Q50" s="255"/>
      <c r="R50" s="255"/>
      <c r="S50" s="255"/>
      <c r="T50" s="255"/>
      <c r="U50" s="255"/>
      <c r="V50" s="255"/>
      <c r="W50" s="255"/>
      <c r="X50" s="255"/>
      <c r="Y50" s="255"/>
      <c r="Z50" s="255"/>
      <c r="AA50" s="255"/>
      <c r="AB50" s="255"/>
      <c r="AC50" s="255"/>
      <c r="AD50" s="255"/>
      <c r="AE50" s="255"/>
      <c r="AF50" s="255"/>
      <c r="AG50" s="255"/>
      <c r="AH50" s="255"/>
      <c r="AI50" s="255"/>
      <c r="AJ50" s="255"/>
      <c r="AK50" s="255"/>
      <c r="AL50" s="255"/>
      <c r="AM50" s="255"/>
      <c r="AN50" s="255"/>
      <c r="AO50" s="255"/>
      <c r="AP50" s="255"/>
      <c r="AQ50" s="255"/>
      <c r="AR50" s="255"/>
      <c r="AS50" s="255"/>
      <c r="AT50" s="255"/>
      <c r="AU50" s="255"/>
      <c r="AV50" s="255"/>
      <c r="AW50" s="255"/>
      <c r="AX50" s="255"/>
      <c r="AY50" s="255"/>
      <c r="AZ50" s="255"/>
      <c r="BA50" s="255"/>
      <c r="BB50" s="255"/>
      <c r="BC50" s="255"/>
      <c r="BD50" s="255"/>
      <c r="BE50" s="255"/>
      <c r="BF50" s="255"/>
      <c r="BG50" s="255"/>
      <c r="BH50" s="255"/>
      <c r="BI50" s="255"/>
      <c r="BJ50" s="255"/>
      <c r="BK50" s="255"/>
      <c r="BL50" s="255"/>
      <c r="BM50" s="255"/>
      <c r="BN50" s="255"/>
      <c r="BO50" s="255"/>
      <c r="BP50" s="255"/>
      <c r="BQ50" s="255"/>
      <c r="BR50" s="255"/>
      <c r="BS50" s="255"/>
      <c r="BT50" s="255"/>
      <c r="BU50" s="255"/>
      <c r="BV50" s="255"/>
      <c r="BW50" s="255"/>
      <c r="BX50" s="255"/>
      <c r="BY50" s="255"/>
      <c r="BZ50" s="255"/>
      <c r="CA50" s="255"/>
      <c r="CB50" s="255"/>
      <c r="CC50" s="255"/>
      <c r="CD50" s="255"/>
      <c r="CE50" s="255"/>
      <c r="CF50" s="255"/>
      <c r="CG50" s="255"/>
      <c r="CH50" s="255"/>
      <c r="CI50" s="255"/>
      <c r="CJ50" s="255"/>
      <c r="CK50" s="255"/>
      <c r="CL50" s="255"/>
      <c r="CM50" s="255"/>
      <c r="CN50" s="255"/>
      <c r="CO50" s="255"/>
      <c r="CP50" s="255"/>
      <c r="CQ50" s="255"/>
      <c r="CR50" s="255"/>
      <c r="CS50" s="255"/>
      <c r="CT50" s="255"/>
      <c r="CU50" s="255"/>
      <c r="CV50" s="255"/>
      <c r="CW50" s="255"/>
      <c r="CX50" s="255"/>
      <c r="CY50" s="255"/>
      <c r="CZ50" s="255"/>
      <c r="DA50" s="255"/>
      <c r="DB50" s="255"/>
      <c r="DC50" s="255"/>
      <c r="DD50" s="255"/>
      <c r="DE50" s="255"/>
      <c r="DF50" s="255"/>
      <c r="DG50" s="255"/>
      <c r="DH50" s="255"/>
      <c r="DI50" s="255"/>
      <c r="DJ50" s="255"/>
      <c r="DK50" s="255"/>
      <c r="DL50" s="255"/>
      <c r="DM50" s="255"/>
      <c r="DN50" s="255"/>
      <c r="DO50" s="255"/>
      <c r="DP50" s="255"/>
      <c r="DQ50" s="255"/>
      <c r="DR50" s="255"/>
      <c r="DS50" s="255"/>
      <c r="DT50" s="255"/>
      <c r="DU50" s="255"/>
      <c r="DV50" s="255"/>
      <c r="DW50" s="255"/>
      <c r="DX50" s="255"/>
      <c r="DY50" s="255"/>
      <c r="DZ50" s="255"/>
      <c r="EA50" s="255"/>
      <c r="EB50" s="255"/>
      <c r="EC50" s="255"/>
      <c r="ED50" s="255"/>
      <c r="EE50" s="255"/>
      <c r="EF50" s="255"/>
      <c r="EG50" s="255"/>
      <c r="EH50" s="255"/>
      <c r="EI50" s="255"/>
      <c r="EJ50" s="255"/>
      <c r="EK50" s="255"/>
      <c r="EL50" s="255"/>
      <c r="EM50" s="255"/>
      <c r="EN50" s="255"/>
      <c r="EO50" s="255"/>
      <c r="EP50" s="255"/>
      <c r="EQ50" s="255"/>
      <c r="ER50" s="255"/>
      <c r="ES50" s="255"/>
      <c r="ET50" s="255"/>
      <c r="EU50" s="255"/>
      <c r="EV50" s="255"/>
      <c r="EW50" s="255"/>
      <c r="EX50" s="255"/>
      <c r="EY50" s="255"/>
      <c r="EZ50" s="255"/>
      <c r="FA50" s="255"/>
      <c r="FB50" s="255"/>
      <c r="FC50" s="255"/>
      <c r="FD50" s="255"/>
      <c r="FE50" s="255"/>
      <c r="FF50" s="255"/>
      <c r="FG50" s="255"/>
      <c r="FH50" s="255"/>
      <c r="FI50" s="255"/>
      <c r="FJ50" s="255"/>
      <c r="FK50" s="255"/>
      <c r="FL50" s="255"/>
      <c r="FM50" s="255"/>
      <c r="FN50" s="255"/>
      <c r="FO50" s="255"/>
      <c r="FP50" s="255"/>
      <c r="FQ50" s="255"/>
      <c r="FR50" s="255"/>
      <c r="FS50" s="255"/>
      <c r="FT50" s="255"/>
      <c r="FU50" s="255"/>
      <c r="FV50" s="255"/>
      <c r="FW50" s="255"/>
      <c r="FX50" s="255"/>
      <c r="FY50" s="255"/>
      <c r="FZ50" s="255"/>
      <c r="GA50" s="255"/>
      <c r="GB50" s="255"/>
      <c r="GC50" s="255"/>
      <c r="GD50" s="255"/>
      <c r="GE50" s="255"/>
      <c r="GF50" s="255"/>
      <c r="GG50" s="255"/>
      <c r="GH50" s="255"/>
      <c r="GI50" s="255"/>
      <c r="GJ50" s="255"/>
      <c r="GK50" s="255"/>
      <c r="GL50" s="255"/>
      <c r="GM50" s="255"/>
      <c r="GN50" s="255"/>
      <c r="GO50" s="255"/>
      <c r="GP50" s="255"/>
      <c r="GQ50" s="255"/>
      <c r="GR50" s="255"/>
      <c r="GS50" s="255"/>
      <c r="GT50" s="255"/>
      <c r="GU50" s="255"/>
      <c r="GV50" s="255"/>
      <c r="GW50" s="255"/>
      <c r="GX50" s="255"/>
      <c r="GY50" s="255"/>
      <c r="GZ50" s="255"/>
      <c r="HA50" s="255"/>
      <c r="HB50" s="255"/>
      <c r="HC50" s="255"/>
      <c r="HD50" s="255"/>
      <c r="HE50" s="255"/>
      <c r="HF50" s="255"/>
      <c r="HG50" s="255"/>
      <c r="HH50" s="255"/>
      <c r="HI50" s="255"/>
      <c r="HJ50" s="255"/>
      <c r="HK50" s="255"/>
      <c r="HL50" s="255"/>
      <c r="HM50" s="255"/>
      <c r="HN50" s="255"/>
      <c r="HO50" s="255"/>
      <c r="HP50" s="255"/>
      <c r="HQ50" s="255"/>
      <c r="HR50" s="255"/>
      <c r="HS50" s="255"/>
      <c r="HT50" s="255"/>
      <c r="HU50" s="255"/>
      <c r="HV50" s="255"/>
      <c r="HW50" s="255"/>
      <c r="HX50" s="255"/>
      <c r="HY50" s="255"/>
      <c r="HZ50" s="255"/>
      <c r="IA50" s="255"/>
      <c r="IB50" s="255"/>
      <c r="IC50" s="255"/>
      <c r="ID50" s="255"/>
      <c r="IE50" s="255"/>
      <c r="IF50" s="255"/>
      <c r="IG50" s="255"/>
      <c r="IH50" s="255"/>
      <c r="II50" s="255"/>
      <c r="IJ50" s="255"/>
      <c r="IK50" s="255"/>
      <c r="IL50" s="255"/>
      <c r="IM50" s="255"/>
      <c r="IN50" s="255"/>
      <c r="IO50" s="255"/>
      <c r="IP50" s="255"/>
      <c r="IQ50" s="255"/>
      <c r="IR50" s="255"/>
      <c r="IS50" s="255"/>
      <c r="IT50" s="255"/>
      <c r="IU50" s="255"/>
      <c r="IV50" s="255"/>
      <c r="IW50" s="255"/>
      <c r="IX50" s="255"/>
      <c r="IY50" s="255"/>
      <c r="IZ50" s="255"/>
      <c r="JA50" s="255"/>
      <c r="JB50" s="255"/>
      <c r="JC50" s="255"/>
      <c r="JD50" s="255"/>
      <c r="JE50" s="255"/>
      <c r="JF50" s="255"/>
      <c r="JG50" s="255"/>
      <c r="JH50" s="255"/>
      <c r="JI50" s="255"/>
      <c r="JJ50" s="255"/>
      <c r="JK50" s="255"/>
      <c r="JL50" s="255"/>
      <c r="JM50" s="255"/>
      <c r="JN50" s="255"/>
      <c r="JO50" s="255"/>
      <c r="JP50" s="255"/>
      <c r="JQ50" s="255"/>
      <c r="JR50" s="255"/>
      <c r="JS50" s="255"/>
      <c r="JT50" s="255"/>
      <c r="JU50" s="255"/>
      <c r="JV50" s="255"/>
      <c r="JW50" s="255"/>
      <c r="JX50" s="255"/>
      <c r="JY50" s="255"/>
      <c r="JZ50" s="255"/>
      <c r="KA50" s="255"/>
      <c r="KB50" s="255"/>
      <c r="KC50" s="255"/>
      <c r="KD50" s="255"/>
      <c r="KE50" s="255"/>
      <c r="KF50" s="255"/>
      <c r="KG50" s="255"/>
      <c r="KH50" s="255"/>
      <c r="KI50" s="255"/>
      <c r="KJ50" s="255"/>
      <c r="KK50" s="255"/>
      <c r="KL50" s="255"/>
      <c r="KM50" s="255"/>
      <c r="KN50" s="255"/>
      <c r="KO50" s="255"/>
      <c r="KP50" s="255"/>
      <c r="KQ50" s="255"/>
      <c r="KR50" s="255"/>
      <c r="KS50" s="255"/>
      <c r="KT50" s="255"/>
      <c r="KU50" s="255"/>
      <c r="KV50" s="255"/>
      <c r="KW50" s="255"/>
      <c r="KX50" s="255"/>
      <c r="KY50" s="255"/>
      <c r="KZ50" s="255"/>
      <c r="LA50" s="255"/>
      <c r="LB50" s="255"/>
      <c r="LC50" s="255"/>
      <c r="LD50" s="255"/>
      <c r="LE50" s="255"/>
      <c r="LF50" s="255"/>
      <c r="LG50" s="255"/>
      <c r="LH50" s="255"/>
      <c r="LI50" s="255"/>
      <c r="LJ50" s="255"/>
      <c r="LK50" s="255"/>
      <c r="LL50" s="255"/>
      <c r="LM50" s="255"/>
      <c r="LN50" s="255"/>
      <c r="LO50" s="255"/>
      <c r="LP50" s="255"/>
      <c r="LQ50" s="255"/>
      <c r="LR50" s="255"/>
      <c r="LS50" s="255"/>
      <c r="LT50" s="255"/>
      <c r="LU50" s="255"/>
      <c r="LV50" s="255"/>
      <c r="LW50" s="255"/>
      <c r="LX50" s="255"/>
      <c r="LY50" s="255"/>
      <c r="LZ50" s="255"/>
      <c r="MA50" s="255"/>
      <c r="MB50" s="255"/>
      <c r="MC50" s="255"/>
      <c r="MD50" s="255"/>
      <c r="ME50" s="255"/>
      <c r="MF50" s="255"/>
      <c r="MG50" s="255"/>
      <c r="MH50" s="255"/>
      <c r="MI50" s="255"/>
      <c r="MJ50" s="255"/>
      <c r="MK50" s="255"/>
      <c r="ML50" s="255"/>
      <c r="MM50" s="255"/>
      <c r="MN50" s="255"/>
      <c r="MO50" s="255"/>
      <c r="MP50" s="255"/>
      <c r="MQ50" s="255"/>
      <c r="MR50" s="255"/>
      <c r="MS50" s="255"/>
      <c r="MT50" s="255"/>
      <c r="MU50" s="255"/>
      <c r="MV50" s="255"/>
      <c r="MW50" s="255"/>
      <c r="MX50" s="255"/>
      <c r="MY50" s="255"/>
      <c r="MZ50" s="255"/>
      <c r="NA50" s="255"/>
      <c r="NB50" s="255"/>
      <c r="NC50" s="255"/>
      <c r="ND50" s="255"/>
      <c r="NE50" s="255"/>
      <c r="NF50" s="255"/>
      <c r="NG50" s="255"/>
      <c r="NH50" s="255"/>
      <c r="NI50" s="255"/>
      <c r="NJ50" s="255"/>
      <c r="NK50" s="255"/>
      <c r="NL50" s="255"/>
      <c r="NM50" s="255"/>
      <c r="NN50" s="255"/>
      <c r="NO50" s="255"/>
      <c r="NP50" s="255"/>
      <c r="NQ50" s="255"/>
      <c r="NR50" s="255"/>
      <c r="NS50" s="255"/>
      <c r="NT50" s="255"/>
      <c r="NU50" s="255"/>
      <c r="NV50" s="255"/>
      <c r="NW50" s="255"/>
      <c r="NX50" s="255"/>
      <c r="NY50" s="255"/>
      <c r="NZ50" s="255"/>
      <c r="OA50" s="255"/>
      <c r="OB50" s="255"/>
      <c r="OC50" s="255"/>
      <c r="OD50" s="255"/>
      <c r="OE50" s="255"/>
      <c r="OF50" s="255"/>
      <c r="OG50" s="255"/>
      <c r="OH50" s="255"/>
      <c r="OI50" s="255"/>
      <c r="OJ50" s="255"/>
      <c r="OK50" s="255"/>
      <c r="OL50" s="255"/>
      <c r="OM50" s="255"/>
      <c r="ON50" s="255"/>
      <c r="OO50" s="255"/>
      <c r="OP50" s="255"/>
      <c r="OQ50" s="255"/>
      <c r="OR50" s="255"/>
      <c r="OS50" s="255"/>
      <c r="OT50" s="255"/>
      <c r="OU50" s="255"/>
      <c r="OV50" s="255"/>
      <c r="OW50" s="255"/>
      <c r="OX50" s="255"/>
      <c r="OY50" s="255"/>
      <c r="OZ50" s="255"/>
      <c r="PA50" s="255"/>
      <c r="PB50" s="255"/>
      <c r="PC50" s="255"/>
      <c r="PD50" s="255"/>
      <c r="PE50" s="255"/>
      <c r="PF50" s="255"/>
      <c r="PG50" s="255"/>
      <c r="PH50" s="255"/>
      <c r="PI50" s="255"/>
      <c r="PJ50" s="255"/>
      <c r="PK50" s="255"/>
      <c r="PL50" s="255"/>
      <c r="PM50" s="255"/>
      <c r="PN50" s="255"/>
      <c r="PO50" s="255"/>
      <c r="PP50" s="255"/>
      <c r="PQ50" s="255"/>
      <c r="PR50" s="255"/>
      <c r="PS50" s="255"/>
      <c r="PT50" s="255"/>
      <c r="PU50" s="255"/>
      <c r="PV50" s="255"/>
      <c r="PW50" s="255"/>
      <c r="PX50" s="255"/>
      <c r="PY50" s="255"/>
      <c r="PZ50" s="255"/>
      <c r="QA50" s="255"/>
      <c r="QB50" s="255"/>
      <c r="QC50" s="255"/>
      <c r="QD50" s="255"/>
      <c r="QE50" s="255"/>
      <c r="QF50" s="255"/>
      <c r="QG50" s="255"/>
      <c r="QH50" s="255"/>
      <c r="QI50" s="255"/>
      <c r="QJ50" s="255"/>
      <c r="QK50" s="255"/>
      <c r="QL50" s="255"/>
      <c r="QM50" s="255"/>
      <c r="QN50" s="255"/>
      <c r="QO50" s="255"/>
      <c r="QP50" s="255"/>
      <c r="QQ50" s="255"/>
      <c r="QR50" s="255"/>
      <c r="QS50" s="255"/>
      <c r="QT50" s="255"/>
      <c r="QU50" s="255"/>
      <c r="QV50" s="255"/>
      <c r="QW50" s="255"/>
      <c r="QX50" s="255"/>
      <c r="QY50" s="255"/>
      <c r="QZ50" s="255"/>
      <c r="RA50" s="255"/>
      <c r="RB50" s="255"/>
      <c r="RC50" s="255"/>
      <c r="RD50" s="255"/>
      <c r="RE50" s="255"/>
      <c r="RF50" s="255"/>
      <c r="RG50" s="255"/>
      <c r="RH50" s="255"/>
      <c r="RI50" s="255"/>
      <c r="RJ50" s="255"/>
      <c r="RK50" s="255"/>
      <c r="RL50" s="255"/>
      <c r="RM50" s="255"/>
      <c r="RN50" s="255"/>
      <c r="RO50" s="255"/>
      <c r="RP50" s="255"/>
      <c r="RQ50" s="255"/>
      <c r="RR50" s="255"/>
      <c r="RS50" s="255"/>
      <c r="RT50" s="255"/>
      <c r="RU50" s="255"/>
      <c r="RV50" s="255"/>
      <c r="RW50" s="255"/>
      <c r="RX50" s="255"/>
      <c r="RY50" s="255"/>
      <c r="RZ50" s="255"/>
      <c r="SA50" s="255"/>
      <c r="SB50" s="255"/>
      <c r="SC50" s="255"/>
      <c r="SD50" s="255"/>
      <c r="SE50" s="255"/>
      <c r="SF50" s="255"/>
      <c r="SG50" s="255"/>
      <c r="SH50" s="255"/>
      <c r="SI50" s="255"/>
      <c r="SJ50" s="255"/>
      <c r="SK50" s="255"/>
      <c r="SL50" s="255"/>
      <c r="SM50" s="255"/>
      <c r="SN50" s="255"/>
      <c r="SO50" s="255"/>
      <c r="SP50" s="255"/>
      <c r="SQ50" s="255"/>
      <c r="SR50" s="255"/>
      <c r="SS50" s="255"/>
      <c r="ST50" s="255"/>
      <c r="SU50" s="255"/>
      <c r="SV50" s="255"/>
      <c r="SW50" s="255"/>
      <c r="SX50" s="255"/>
      <c r="SY50" s="255"/>
      <c r="SZ50" s="255"/>
      <c r="TA50" s="255"/>
      <c r="TB50" s="255"/>
      <c r="TC50" s="255"/>
      <c r="TD50" s="255"/>
      <c r="TE50" s="255"/>
      <c r="TF50" s="255"/>
      <c r="TG50" s="255"/>
      <c r="TH50" s="255"/>
      <c r="TI50" s="255"/>
      <c r="TJ50" s="255"/>
      <c r="TK50" s="255"/>
      <c r="TL50" s="255"/>
      <c r="TM50" s="255"/>
      <c r="TN50" s="255"/>
      <c r="TO50" s="255"/>
      <c r="TP50" s="255"/>
      <c r="TQ50" s="255"/>
      <c r="TR50" s="255"/>
      <c r="TS50" s="255"/>
      <c r="TT50" s="255"/>
      <c r="TU50" s="255"/>
      <c r="TV50" s="255"/>
      <c r="TW50" s="255"/>
      <c r="TX50" s="255"/>
      <c r="TY50" s="255"/>
      <c r="TZ50" s="255"/>
      <c r="UA50" s="255"/>
      <c r="UB50" s="255"/>
      <c r="UC50" s="255"/>
      <c r="UD50" s="255"/>
      <c r="UE50" s="255"/>
      <c r="UF50" s="255"/>
      <c r="UG50" s="255"/>
      <c r="UH50" s="255"/>
      <c r="UI50" s="255"/>
      <c r="UJ50" s="255"/>
      <c r="UK50" s="255"/>
      <c r="UL50" s="255"/>
      <c r="UM50" s="255"/>
      <c r="UN50" s="255"/>
      <c r="UO50" s="255"/>
      <c r="UP50" s="255"/>
      <c r="UQ50" s="255"/>
      <c r="UR50" s="255"/>
      <c r="US50" s="255"/>
      <c r="UT50" s="255"/>
      <c r="UU50" s="255"/>
      <c r="UV50" s="255"/>
      <c r="UW50" s="255"/>
      <c r="UX50" s="255"/>
      <c r="UY50" s="255"/>
      <c r="UZ50" s="255"/>
      <c r="VA50" s="255"/>
      <c r="VB50" s="255"/>
      <c r="VC50" s="255"/>
      <c r="VD50" s="255"/>
      <c r="VE50" s="255"/>
      <c r="VF50" s="255"/>
      <c r="VG50" s="255"/>
      <c r="VH50" s="255"/>
      <c r="VI50" s="255"/>
      <c r="VJ50" s="255"/>
      <c r="VK50" s="255"/>
      <c r="VL50" s="255"/>
      <c r="VM50" s="255"/>
      <c r="VN50" s="255"/>
      <c r="VO50" s="255"/>
      <c r="VP50" s="255"/>
      <c r="VQ50" s="255"/>
      <c r="VR50" s="255"/>
      <c r="VS50" s="255"/>
      <c r="VT50" s="255"/>
      <c r="VU50" s="255"/>
      <c r="VV50" s="255"/>
      <c r="VW50" s="255"/>
      <c r="VX50" s="255"/>
      <c r="VY50" s="255"/>
      <c r="VZ50" s="255"/>
      <c r="WA50" s="255"/>
      <c r="WB50" s="255"/>
      <c r="WC50" s="255"/>
      <c r="WD50" s="255"/>
      <c r="WE50" s="255"/>
      <c r="WF50" s="255"/>
      <c r="WG50" s="255"/>
      <c r="WH50" s="255"/>
      <c r="WI50" s="255"/>
      <c r="WJ50" s="255"/>
      <c r="WK50" s="255"/>
      <c r="WL50" s="255"/>
      <c r="WM50" s="255"/>
      <c r="WN50" s="255"/>
      <c r="WO50" s="255"/>
      <c r="WP50" s="255"/>
      <c r="WQ50" s="255"/>
      <c r="WR50" s="255"/>
      <c r="WS50" s="255"/>
      <c r="WT50" s="255"/>
      <c r="WU50" s="255"/>
      <c r="WV50" s="255"/>
      <c r="WW50" s="255"/>
      <c r="WX50" s="255"/>
      <c r="WY50" s="255"/>
      <c r="WZ50" s="255"/>
      <c r="XA50" s="255"/>
      <c r="XB50" s="255"/>
      <c r="XC50" s="255"/>
      <c r="XD50" s="255"/>
      <c r="XE50" s="255"/>
      <c r="XF50" s="255"/>
      <c r="XG50" s="255"/>
      <c r="XH50" s="255"/>
      <c r="XI50" s="255"/>
      <c r="XJ50" s="255"/>
      <c r="XK50" s="255"/>
      <c r="XL50" s="255"/>
      <c r="XM50" s="255"/>
      <c r="XN50" s="255"/>
      <c r="XO50" s="255"/>
      <c r="XP50" s="255"/>
      <c r="XQ50" s="255"/>
      <c r="XR50" s="255"/>
      <c r="XS50" s="255"/>
      <c r="XT50" s="255"/>
      <c r="XU50" s="255"/>
      <c r="XV50" s="255"/>
      <c r="XW50" s="255"/>
      <c r="XX50" s="255"/>
      <c r="XY50" s="255"/>
      <c r="XZ50" s="255"/>
      <c r="YA50" s="255"/>
      <c r="YB50" s="255"/>
      <c r="YC50" s="255"/>
      <c r="YD50" s="255"/>
      <c r="YE50" s="255"/>
      <c r="YF50" s="255"/>
      <c r="YG50" s="255"/>
      <c r="YH50" s="255"/>
      <c r="YI50" s="255"/>
      <c r="YJ50" s="255"/>
      <c r="YK50" s="255"/>
      <c r="YL50" s="255"/>
      <c r="YM50" s="255"/>
      <c r="YN50" s="255"/>
      <c r="YO50" s="255"/>
      <c r="YP50" s="255"/>
      <c r="YQ50" s="255"/>
      <c r="YR50" s="255"/>
      <c r="YS50" s="255"/>
      <c r="YT50" s="255"/>
      <c r="YU50" s="255"/>
      <c r="YV50" s="255"/>
      <c r="YW50" s="255"/>
      <c r="YX50" s="255"/>
      <c r="YY50" s="255"/>
      <c r="YZ50" s="255"/>
      <c r="ZA50" s="255"/>
      <c r="ZB50" s="255"/>
      <c r="ZC50" s="255"/>
      <c r="ZD50" s="255"/>
      <c r="ZE50" s="255"/>
      <c r="ZF50" s="255"/>
      <c r="ZG50" s="255"/>
      <c r="ZH50" s="255"/>
      <c r="ZI50" s="255"/>
      <c r="ZJ50" s="255"/>
      <c r="ZK50" s="255"/>
      <c r="ZL50" s="255"/>
      <c r="ZM50" s="255"/>
      <c r="ZN50" s="255"/>
      <c r="ZO50" s="255"/>
      <c r="ZP50" s="255"/>
      <c r="ZQ50" s="255"/>
      <c r="ZR50" s="255"/>
      <c r="ZS50" s="255"/>
      <c r="ZT50" s="255"/>
      <c r="ZU50" s="255"/>
      <c r="ZV50" s="255"/>
      <c r="ZW50" s="255"/>
      <c r="ZX50" s="255"/>
      <c r="ZY50" s="255"/>
      <c r="ZZ50" s="255"/>
      <c r="AAA50" s="255"/>
      <c r="AAB50" s="255"/>
      <c r="AAC50" s="255"/>
      <c r="AAD50" s="255"/>
      <c r="AAE50" s="255"/>
      <c r="AAF50" s="255"/>
      <c r="AAG50" s="255"/>
      <c r="AAH50" s="255"/>
      <c r="AAI50" s="255"/>
      <c r="AAJ50" s="255"/>
      <c r="AAK50" s="255"/>
      <c r="AAL50" s="255"/>
      <c r="AAM50" s="255"/>
      <c r="AAN50" s="255"/>
      <c r="AAO50" s="255"/>
      <c r="AAP50" s="255"/>
      <c r="AAQ50" s="255"/>
      <c r="AAR50" s="255"/>
      <c r="AAS50" s="255"/>
      <c r="AAT50" s="255"/>
      <c r="AAU50" s="255"/>
      <c r="AAV50" s="255"/>
      <c r="AAW50" s="255"/>
      <c r="AAX50" s="255"/>
      <c r="AAY50" s="255"/>
      <c r="AAZ50" s="255"/>
      <c r="ABA50" s="255"/>
      <c r="ABB50" s="255"/>
      <c r="ABC50" s="255"/>
      <c r="ABD50" s="255"/>
      <c r="ABE50" s="255"/>
      <c r="ABF50" s="255"/>
      <c r="ABG50" s="255"/>
      <c r="ABH50" s="255"/>
      <c r="ABI50" s="255"/>
      <c r="ABJ50" s="255"/>
      <c r="ABK50" s="255"/>
      <c r="ABL50" s="255"/>
      <c r="ABM50" s="255"/>
      <c r="ABN50" s="255"/>
      <c r="ABO50" s="255"/>
      <c r="ABP50" s="255"/>
      <c r="ABQ50" s="255"/>
      <c r="ABR50" s="255"/>
      <c r="ABS50" s="255"/>
      <c r="ABT50" s="255"/>
      <c r="ABU50" s="255"/>
      <c r="ABV50" s="255"/>
      <c r="ABW50" s="255"/>
      <c r="ABX50" s="255"/>
      <c r="ABY50" s="255"/>
      <c r="ABZ50" s="255"/>
      <c r="ACA50" s="255"/>
      <c r="ACB50" s="255"/>
      <c r="ACC50" s="255"/>
      <c r="ACD50" s="255"/>
      <c r="ACE50" s="255"/>
      <c r="ACF50" s="255"/>
      <c r="ACG50" s="255"/>
      <c r="ACH50" s="255"/>
      <c r="ACI50" s="255"/>
      <c r="ACJ50" s="255"/>
      <c r="ACK50" s="255"/>
      <c r="ACL50" s="255"/>
      <c r="ACM50" s="255"/>
      <c r="ACN50" s="255"/>
      <c r="ACO50" s="255"/>
      <c r="ACP50" s="255"/>
      <c r="ACQ50" s="255"/>
      <c r="ACR50" s="255"/>
      <c r="ACS50" s="255"/>
      <c r="ACT50" s="255"/>
      <c r="ACU50" s="255"/>
      <c r="ACV50" s="255"/>
      <c r="ACW50" s="255"/>
      <c r="ACX50" s="255"/>
      <c r="ACY50" s="255"/>
      <c r="ACZ50" s="255"/>
      <c r="ADA50" s="255"/>
      <c r="ADB50" s="255"/>
      <c r="ADC50" s="255"/>
      <c r="ADD50" s="255"/>
      <c r="ADE50" s="255"/>
      <c r="ADF50" s="255"/>
      <c r="ADG50" s="255"/>
      <c r="ADH50" s="255"/>
      <c r="ADI50" s="255"/>
      <c r="ADJ50" s="255"/>
      <c r="ADK50" s="255"/>
      <c r="ADL50" s="255"/>
      <c r="ADM50" s="255"/>
      <c r="ADN50" s="255"/>
      <c r="ADO50" s="255"/>
      <c r="ADP50" s="255"/>
      <c r="ADQ50" s="255"/>
      <c r="ADR50" s="255"/>
      <c r="ADS50" s="255"/>
      <c r="ADT50" s="255"/>
      <c r="ADU50" s="255"/>
      <c r="ADV50" s="255"/>
      <c r="ADW50" s="255"/>
      <c r="ADX50" s="255"/>
      <c r="ADY50" s="255"/>
      <c r="ADZ50" s="255"/>
      <c r="AEA50" s="255"/>
      <c r="AEB50" s="255"/>
      <c r="AEC50" s="255"/>
      <c r="AED50" s="255"/>
      <c r="AEE50" s="255"/>
      <c r="AEF50" s="255"/>
      <c r="AEG50" s="255"/>
      <c r="AEH50" s="255"/>
      <c r="AEI50" s="255"/>
      <c r="AEJ50" s="255"/>
      <c r="AEK50" s="255"/>
      <c r="AEL50" s="255"/>
      <c r="AEM50" s="255"/>
      <c r="AEN50" s="255"/>
      <c r="AEO50" s="255"/>
      <c r="AEP50" s="255"/>
      <c r="AEQ50" s="255"/>
      <c r="AER50" s="255"/>
      <c r="AES50" s="255"/>
      <c r="AET50" s="255"/>
      <c r="AEU50" s="255"/>
      <c r="AEV50" s="255"/>
      <c r="AEW50" s="255"/>
      <c r="AEX50" s="255"/>
      <c r="AEY50" s="255"/>
      <c r="AEZ50" s="255"/>
      <c r="AFA50" s="255"/>
      <c r="AFB50" s="255"/>
      <c r="AFC50" s="255"/>
      <c r="AFD50" s="255"/>
      <c r="AFE50" s="255"/>
      <c r="AFF50" s="255"/>
      <c r="AFG50" s="255"/>
      <c r="AFH50" s="255"/>
      <c r="AFI50" s="255"/>
      <c r="AFJ50" s="255"/>
      <c r="AFK50" s="255"/>
      <c r="AFL50" s="255"/>
      <c r="AFM50" s="255"/>
      <c r="AFN50" s="255"/>
      <c r="AFO50" s="255"/>
      <c r="AFP50" s="255"/>
      <c r="AFQ50" s="255"/>
      <c r="AFR50" s="255"/>
      <c r="AFS50" s="255"/>
      <c r="AFT50" s="255"/>
      <c r="AFU50" s="255"/>
      <c r="AFV50" s="255"/>
      <c r="AFW50" s="255"/>
      <c r="AFX50" s="255"/>
      <c r="AFY50" s="255"/>
      <c r="AFZ50" s="255"/>
      <c r="AGA50" s="255"/>
      <c r="AGB50" s="255"/>
      <c r="AGC50" s="255"/>
      <c r="AGD50" s="255"/>
      <c r="AGE50" s="255"/>
      <c r="AGF50" s="255"/>
      <c r="AGG50" s="255"/>
      <c r="AGH50" s="255"/>
      <c r="AGI50" s="255"/>
      <c r="AGJ50" s="255"/>
      <c r="AGK50" s="255"/>
      <c r="AGL50" s="255"/>
      <c r="AGM50" s="255"/>
      <c r="AGN50" s="255"/>
      <c r="AGO50" s="255"/>
      <c r="AGP50" s="255"/>
      <c r="AGQ50" s="255"/>
      <c r="AGR50" s="255"/>
      <c r="AGS50" s="255"/>
      <c r="AGT50" s="255"/>
      <c r="AGU50" s="255"/>
      <c r="AGV50" s="255"/>
      <c r="AGW50" s="255"/>
      <c r="AGX50" s="255"/>
      <c r="AGY50" s="255"/>
      <c r="AGZ50" s="255"/>
      <c r="AHA50" s="255"/>
      <c r="AHB50" s="255"/>
      <c r="AHC50" s="255"/>
      <c r="AHD50" s="255"/>
      <c r="AHE50" s="255"/>
      <c r="AHF50" s="255"/>
      <c r="AHG50" s="255"/>
      <c r="AHH50" s="255"/>
      <c r="AHI50" s="255"/>
      <c r="AHJ50" s="255"/>
      <c r="AHK50" s="255"/>
      <c r="AHL50" s="255"/>
      <c r="AHM50" s="255"/>
      <c r="AHN50" s="255"/>
      <c r="AHO50" s="255"/>
      <c r="AHP50" s="255"/>
      <c r="AHQ50" s="255"/>
      <c r="AHR50" s="255"/>
      <c r="AHS50" s="255"/>
      <c r="AHT50" s="255"/>
      <c r="AHU50" s="255"/>
      <c r="AHV50" s="255"/>
      <c r="AHW50" s="255"/>
      <c r="AHX50" s="255"/>
      <c r="AHY50" s="255"/>
      <c r="AHZ50" s="255"/>
      <c r="AIA50" s="255"/>
      <c r="AIB50" s="255"/>
      <c r="AIC50" s="255"/>
      <c r="AID50" s="255"/>
      <c r="AIE50" s="255"/>
      <c r="AIF50" s="255"/>
      <c r="AIG50" s="255"/>
      <c r="AIH50" s="255"/>
      <c r="AII50" s="255"/>
      <c r="AIJ50" s="255"/>
      <c r="AIK50" s="255"/>
      <c r="AIL50" s="255"/>
      <c r="AIM50" s="255"/>
      <c r="AIN50" s="255"/>
      <c r="AIO50" s="255"/>
      <c r="AIP50" s="255"/>
      <c r="AIQ50" s="255"/>
      <c r="AIR50" s="255"/>
      <c r="AIS50" s="255"/>
      <c r="AIT50" s="255"/>
      <c r="AIU50" s="255"/>
      <c r="AIV50" s="255"/>
      <c r="AIW50" s="255"/>
      <c r="AIX50" s="255"/>
      <c r="AIY50" s="255"/>
      <c r="AIZ50" s="255"/>
      <c r="AJA50" s="255"/>
      <c r="AJB50" s="255"/>
      <c r="AJC50" s="255"/>
      <c r="AJD50" s="255"/>
      <c r="AJE50" s="255"/>
      <c r="AJF50" s="255"/>
      <c r="AJG50" s="255"/>
      <c r="AJH50" s="255"/>
      <c r="AJI50" s="255"/>
      <c r="AJJ50" s="255"/>
      <c r="AJK50" s="255"/>
      <c r="AJL50" s="255"/>
      <c r="AJM50" s="255"/>
      <c r="AJN50" s="255"/>
      <c r="AJO50" s="255"/>
      <c r="AJP50" s="255"/>
      <c r="AJQ50" s="255"/>
      <c r="AJR50" s="255"/>
      <c r="AJS50" s="255"/>
      <c r="AJT50" s="255"/>
      <c r="AJU50" s="255"/>
      <c r="AJV50" s="255"/>
      <c r="AJW50" s="255"/>
      <c r="AJX50" s="255"/>
      <c r="AJY50" s="255"/>
      <c r="AJZ50" s="255"/>
      <c r="AKA50" s="255"/>
      <c r="AKB50" s="255"/>
      <c r="AKC50" s="255"/>
      <c r="AKD50" s="255"/>
      <c r="AKE50" s="255"/>
      <c r="AKF50" s="255"/>
      <c r="AKG50" s="255"/>
      <c r="AKH50" s="255"/>
      <c r="AKI50" s="255"/>
      <c r="AKJ50" s="255"/>
      <c r="AKK50" s="255"/>
      <c r="AKL50" s="255"/>
      <c r="AKM50" s="255"/>
      <c r="AKN50" s="255"/>
      <c r="AKO50" s="255"/>
      <c r="AKP50" s="255"/>
      <c r="AKQ50" s="255"/>
      <c r="AKR50" s="255"/>
      <c r="AKS50" s="255"/>
      <c r="AKT50" s="255"/>
      <c r="AKU50" s="255"/>
      <c r="AKV50" s="255"/>
      <c r="AKW50" s="255"/>
      <c r="AKX50" s="255"/>
      <c r="AKY50" s="255"/>
      <c r="AKZ50" s="255"/>
      <c r="ALA50" s="255"/>
      <c r="ALB50" s="255"/>
      <c r="ALC50" s="255"/>
      <c r="ALD50" s="255"/>
      <c r="ALE50" s="42"/>
      <c r="ALF50" s="42"/>
      <c r="ALG50" s="42"/>
      <c r="ALH50" s="42"/>
      <c r="ALI50" s="42"/>
      <c r="ALJ50" s="42"/>
      <c r="ALK50" s="42"/>
      <c r="ALL50" s="42"/>
      <c r="ALM50" s="42"/>
    </row>
    <row r="51" spans="1:1008">
      <c r="A51" s="680" t="s">
        <v>6928</v>
      </c>
      <c r="B51" s="696"/>
      <c r="C51" s="696"/>
      <c r="D51" s="696"/>
      <c r="E51" s="696"/>
      <c r="F51" s="696"/>
      <c r="G51" s="696"/>
      <c r="H51" s="696"/>
      <c r="I51" s="696"/>
      <c r="J51" s="281">
        <f>+J15+J18+J22+J26+J29+J33+J37+J45+J48</f>
        <v>24999.157263869994</v>
      </c>
      <c r="ALL51" s="187"/>
      <c r="ALM51" s="187"/>
      <c r="ALN51" s="187"/>
      <c r="ALO51" s="187"/>
      <c r="ALP51" s="187"/>
      <c r="ALQ51" s="187"/>
      <c r="ALR51" s="187"/>
      <c r="ALS51" s="187"/>
      <c r="ALT51" s="187"/>
    </row>
  </sheetData>
  <autoFilter ref="A12:J51" xr:uid="{00000000-0009-0000-0000-000009000000}"/>
  <mergeCells count="12">
    <mergeCell ref="A51:I51"/>
    <mergeCell ref="A15:I15"/>
    <mergeCell ref="A18:I18"/>
    <mergeCell ref="A22:I22"/>
    <mergeCell ref="A26:I26"/>
    <mergeCell ref="A29:I29"/>
    <mergeCell ref="A33:I33"/>
    <mergeCell ref="A37:I37"/>
    <mergeCell ref="A45:I45"/>
    <mergeCell ref="A48:I48"/>
    <mergeCell ref="A49:I49"/>
    <mergeCell ref="A50:I50"/>
  </mergeCells>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LT245"/>
  <sheetViews>
    <sheetView showGridLines="0" view="pageBreakPreview" zoomScaleNormal="82" zoomScaleSheetLayoutView="100" workbookViewId="0">
      <selection activeCell="C16" sqref="C16"/>
    </sheetView>
  </sheetViews>
  <sheetFormatPr defaultColWidth="9.140625" defaultRowHeight="12.75"/>
  <cols>
    <col min="1" max="1" width="10.7109375" style="16" customWidth="1"/>
    <col min="2" max="2" width="10.7109375" style="39" customWidth="1"/>
    <col min="3" max="3" width="70.7109375" style="39" customWidth="1"/>
    <col min="4" max="4" width="4.85546875" style="16" bestFit="1" customWidth="1"/>
    <col min="5" max="8" width="11.7109375" style="54" customWidth="1"/>
    <col min="9" max="10" width="14.28515625" style="54" customWidth="1"/>
    <col min="11" max="13" width="12.140625" style="14" bestFit="1" customWidth="1"/>
    <col min="14" max="1008" width="9.140625" style="14"/>
    <col min="1009" max="16384" width="9.140625" style="18"/>
  </cols>
  <sheetData>
    <row r="1" spans="1:16" ht="21" customHeight="1">
      <c r="A1" s="416"/>
      <c r="B1" s="43"/>
      <c r="C1" s="43"/>
      <c r="D1" s="43"/>
      <c r="E1" s="43"/>
      <c r="F1" s="43"/>
      <c r="G1" s="43"/>
      <c r="H1" s="43"/>
      <c r="I1" s="43"/>
      <c r="J1" s="494"/>
    </row>
    <row r="2" spans="1:16" ht="21" customHeight="1">
      <c r="A2" s="418"/>
      <c r="B2" s="37"/>
      <c r="C2" s="37"/>
      <c r="D2" s="37"/>
      <c r="E2" s="37"/>
      <c r="F2" s="37"/>
      <c r="G2" s="37"/>
      <c r="H2" s="37"/>
      <c r="I2" s="37"/>
      <c r="J2" s="495"/>
    </row>
    <row r="3" spans="1:16" ht="21" customHeight="1">
      <c r="A3" s="500"/>
      <c r="B3" s="501"/>
      <c r="C3" s="501"/>
      <c r="D3" s="501"/>
      <c r="E3" s="501"/>
      <c r="F3" s="501"/>
      <c r="G3" s="501"/>
      <c r="H3" s="501"/>
      <c r="I3" s="501"/>
      <c r="J3" s="502"/>
    </row>
    <row r="4" spans="1:16" ht="14.1" customHeight="1">
      <c r="A4" s="407" t="s">
        <v>6295</v>
      </c>
      <c r="B4" s="443"/>
      <c r="C4" s="444" t="str">
        <f>+RESUMO!B5</f>
        <v>CONCLUSÃO DA CONSTRUÇÃO DO CENTRO DE ATENDIMENTO SÓCIO EDUCATIVO - CASE ITUMBIARA</v>
      </c>
      <c r="D4" s="422"/>
      <c r="E4" s="428"/>
      <c r="F4" s="428"/>
      <c r="G4" s="428"/>
      <c r="H4" s="428"/>
      <c r="I4" s="428"/>
      <c r="J4" s="429"/>
    </row>
    <row r="5" spans="1:16" ht="14.85" customHeight="1">
      <c r="A5" s="407" t="s">
        <v>6297</v>
      </c>
      <c r="B5" s="443"/>
      <c r="C5" s="444" t="str">
        <f>+RESUMO!B6</f>
        <v>SINAPI – NOVEMBRO/2020 (ONERADA)</v>
      </c>
      <c r="D5" s="422"/>
      <c r="E5" s="428"/>
      <c r="F5" s="428"/>
      <c r="G5" s="428"/>
      <c r="H5" s="428"/>
      <c r="I5" s="428"/>
      <c r="J5" s="429"/>
    </row>
    <row r="6" spans="1:16" ht="14.85" customHeight="1">
      <c r="A6" s="411" t="s">
        <v>5545</v>
      </c>
      <c r="B6" s="503"/>
      <c r="C6" s="444" t="str">
        <f>+RESUMO!B7</f>
        <v>MAIO / 2021</v>
      </c>
      <c r="D6" s="450"/>
      <c r="E6" s="409"/>
      <c r="F6" s="409"/>
      <c r="G6" s="409"/>
      <c r="H6" s="409"/>
      <c r="I6" s="409"/>
      <c r="J6" s="410"/>
    </row>
    <row r="7" spans="1:16" ht="14.85" customHeight="1">
      <c r="A7" s="411" t="s">
        <v>6298</v>
      </c>
      <c r="B7" s="504"/>
      <c r="C7" s="453">
        <v>2.02000036012687E+18</v>
      </c>
      <c r="D7" s="408"/>
      <c r="E7" s="409"/>
      <c r="F7" s="409"/>
      <c r="G7" s="409"/>
      <c r="H7" s="409"/>
      <c r="I7" s="409"/>
      <c r="J7" s="410"/>
      <c r="M7" s="255"/>
    </row>
    <row r="8" spans="1:16" ht="14.85" customHeight="1">
      <c r="A8" s="411" t="s">
        <v>6299</v>
      </c>
      <c r="B8" s="504"/>
      <c r="C8" s="471" t="s">
        <v>6326</v>
      </c>
      <c r="D8" s="408"/>
      <c r="E8" s="409"/>
      <c r="F8" s="409"/>
      <c r="G8" s="409"/>
      <c r="H8" s="409"/>
      <c r="I8" s="409"/>
      <c r="J8" s="410"/>
    </row>
    <row r="9" spans="1:16" ht="14.85" customHeight="1">
      <c r="A9" s="411" t="s">
        <v>6300</v>
      </c>
      <c r="B9" s="504"/>
      <c r="C9" s="471" t="s">
        <v>6327</v>
      </c>
      <c r="D9" s="408"/>
      <c r="E9" s="409"/>
      <c r="F9" s="409"/>
      <c r="G9" s="409"/>
      <c r="H9" s="409"/>
      <c r="I9" s="409"/>
      <c r="J9" s="410"/>
    </row>
    <row r="10" spans="1:16" ht="14.85" customHeight="1">
      <c r="A10" s="88"/>
      <c r="B10" s="88"/>
      <c r="C10" s="127"/>
      <c r="D10" s="88"/>
      <c r="E10" s="10"/>
      <c r="F10" s="10"/>
      <c r="G10" s="10"/>
      <c r="H10" s="10"/>
      <c r="I10" s="10"/>
      <c r="J10" s="10"/>
    </row>
    <row r="11" spans="1:16" ht="20.85" customHeight="1">
      <c r="A11" s="28" t="s">
        <v>5551</v>
      </c>
      <c r="B11" s="29" t="s">
        <v>0</v>
      </c>
      <c r="C11" s="40" t="s">
        <v>6305</v>
      </c>
      <c r="D11" s="28" t="s">
        <v>6306</v>
      </c>
      <c r="E11" s="53" t="s">
        <v>6311</v>
      </c>
      <c r="F11" s="53" t="s">
        <v>6285</v>
      </c>
      <c r="G11" s="53" t="s">
        <v>586</v>
      </c>
      <c r="H11" s="53" t="s">
        <v>6286</v>
      </c>
      <c r="I11" s="53" t="s">
        <v>7100</v>
      </c>
      <c r="J11" s="53" t="s">
        <v>6309</v>
      </c>
    </row>
    <row r="12" spans="1:16">
      <c r="A12" s="266"/>
      <c r="B12" s="363"/>
      <c r="C12" s="358"/>
      <c r="D12" s="269"/>
      <c r="E12" s="271"/>
      <c r="F12" s="271"/>
      <c r="G12" s="271"/>
      <c r="H12" s="271"/>
      <c r="I12" s="271"/>
      <c r="J12" s="271"/>
      <c r="L12" s="255"/>
      <c r="M12" s="255"/>
    </row>
    <row r="13" spans="1:16">
      <c r="A13" s="251"/>
      <c r="B13" s="299">
        <v>165</v>
      </c>
      <c r="C13" s="336" t="s">
        <v>611</v>
      </c>
      <c r="D13" s="274"/>
      <c r="E13" s="276"/>
      <c r="F13" s="276"/>
      <c r="G13" s="276"/>
      <c r="H13" s="276"/>
      <c r="I13" s="276"/>
      <c r="J13" s="276"/>
    </row>
    <row r="14" spans="1:16" ht="24">
      <c r="A14" s="251" t="s">
        <v>6307</v>
      </c>
      <c r="B14" s="277">
        <v>450</v>
      </c>
      <c r="C14" s="301"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276">
        <f>518.64*0.07*0.5</f>
        <v>18.1524</v>
      </c>
      <c r="F14" s="279">
        <f>(IF($A14="SINAPI",INDEX(SINAPI_NOV2020_NDES!$A$7:$H$6703,MATCH($B14,SINAPI_NOV2020_NDES!$A$7:$A$6703,0),5),(INDEX(COMPOS!$A$4:$G$801,MATCH($B14,COMPOS!$A$4:A$801,0),4))))</f>
        <v>10.879199999999999</v>
      </c>
      <c r="G14" s="280">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1112.18302608</v>
      </c>
      <c r="K14" s="255"/>
      <c r="L14" s="255"/>
      <c r="M14" s="255"/>
      <c r="N14" s="255"/>
      <c r="O14" s="257"/>
      <c r="P14" s="255"/>
    </row>
    <row r="15" spans="1:16" s="88" customFormat="1" ht="24" customHeight="1">
      <c r="A15" s="680" t="s">
        <v>6927</v>
      </c>
      <c r="B15" s="680"/>
      <c r="C15" s="680"/>
      <c r="D15" s="680"/>
      <c r="E15" s="680"/>
      <c r="F15" s="680"/>
      <c r="G15" s="680"/>
      <c r="H15" s="680"/>
      <c r="I15" s="680"/>
      <c r="J15" s="281">
        <f>SUM(J14)</f>
        <v>1112.18302608</v>
      </c>
      <c r="K15" s="255"/>
      <c r="L15" s="255"/>
      <c r="M15" s="255"/>
      <c r="N15" s="255"/>
      <c r="O15" s="255"/>
      <c r="P15" s="255"/>
    </row>
    <row r="16" spans="1:16">
      <c r="A16" s="251"/>
      <c r="B16" s="299">
        <v>166</v>
      </c>
      <c r="C16" s="338" t="s">
        <v>609</v>
      </c>
      <c r="D16" s="274" t="s">
        <v>6922</v>
      </c>
      <c r="E16" s="276"/>
      <c r="F16" s="276"/>
      <c r="G16" s="276"/>
      <c r="H16" s="276"/>
      <c r="I16" s="276"/>
      <c r="J16" s="276"/>
      <c r="K16" s="255"/>
      <c r="L16" s="255"/>
      <c r="M16" s="255"/>
      <c r="N16" s="255"/>
      <c r="O16" s="255"/>
      <c r="P16" s="255"/>
    </row>
    <row r="17" spans="1:16" ht="24">
      <c r="A17" s="250" t="s">
        <v>6307</v>
      </c>
      <c r="B17" s="250">
        <v>305</v>
      </c>
      <c r="C17" s="301"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03">
        <v>251.57999999999998</v>
      </c>
      <c r="F17" s="279">
        <f>(IF($A17="SINAPI",INDEX(SINAPI_NOV2020_NDES!$A$7:$H$6703,MATCH($B17,SINAPI_NOV2020_NDES!$A$7:$A$6703,0),5),(INDEX(COMPOS!$A$4:$G$801,MATCH($B17,COMPOS!$A$4:A$801,0),4))))</f>
        <v>2.842123</v>
      </c>
      <c r="G17" s="280">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715.02130433999992</v>
      </c>
      <c r="K17" s="255"/>
      <c r="L17" s="255"/>
      <c r="M17" s="255"/>
      <c r="N17" s="255"/>
      <c r="O17" s="257"/>
      <c r="P17" s="255"/>
    </row>
    <row r="18" spans="1:16">
      <c r="A18" s="250" t="s">
        <v>6307</v>
      </c>
      <c r="B18" s="250">
        <v>302</v>
      </c>
      <c r="C18" s="301"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03">
        <v>35.94</v>
      </c>
      <c r="F18" s="279">
        <f>(IF($A18="SINAPI",INDEX(SINAPI_NOV2020_NDES!$A$7:$H$6703,MATCH($B18,SINAPI_NOV2020_NDES!$A$7:$A$6703,0),5),(INDEX(COMPOS!$A$4:$G$801,MATCH($B18,COMPOS!$A$4:A$801,0),4))))</f>
        <v>6.0440000000000005</v>
      </c>
      <c r="G18" s="280">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6.0440000000000005</v>
      </c>
      <c r="J18" s="276">
        <f t="shared" ref="J18" si="5">+I18*E18</f>
        <v>217.22136</v>
      </c>
      <c r="K18" s="255"/>
      <c r="L18" s="255"/>
      <c r="M18" s="255"/>
      <c r="N18" s="255"/>
      <c r="O18" s="257"/>
      <c r="P18" s="255"/>
    </row>
    <row r="19" spans="1:16" s="88" customFormat="1" ht="24" customHeight="1">
      <c r="A19" s="680" t="s">
        <v>6927</v>
      </c>
      <c r="B19" s="695"/>
      <c r="C19" s="695"/>
      <c r="D19" s="695"/>
      <c r="E19" s="695"/>
      <c r="F19" s="695"/>
      <c r="G19" s="695"/>
      <c r="H19" s="695"/>
      <c r="I19" s="695"/>
      <c r="J19" s="281">
        <f>SUM(J17:J18)</f>
        <v>932.24266433999992</v>
      </c>
      <c r="K19" s="255"/>
      <c r="L19" s="255"/>
      <c r="M19" s="255"/>
      <c r="N19" s="255"/>
      <c r="O19" s="255"/>
      <c r="P19" s="255"/>
    </row>
    <row r="20" spans="1:16">
      <c r="A20" s="251"/>
      <c r="B20" s="299">
        <v>169</v>
      </c>
      <c r="C20" s="360" t="s">
        <v>6328</v>
      </c>
      <c r="D20" s="274" t="s">
        <v>6922</v>
      </c>
      <c r="E20" s="276"/>
      <c r="F20" s="276"/>
      <c r="G20" s="276"/>
      <c r="H20" s="276"/>
      <c r="I20" s="276"/>
      <c r="J20" s="276"/>
      <c r="K20" s="255"/>
      <c r="L20" s="255"/>
      <c r="M20" s="255"/>
      <c r="N20" s="255"/>
      <c r="O20" s="255"/>
      <c r="P20" s="255"/>
    </row>
    <row r="21" spans="1:16" ht="24">
      <c r="A21" s="252" t="s">
        <v>7</v>
      </c>
      <c r="B21" s="293">
        <v>91927</v>
      </c>
      <c r="C21" s="301" t="str">
        <f>(IF($A21="SINAPI",INDEX(SINAPI_NOV2020_NDES!$A$7:$H$6703,MATCH($B21,SINAPI_NOV2020_NDES!$A$7:$A$6703,0),2),IF($A21="GOINFRA",INDEX(#REF!,MATCH($B21,#REF!,0),2),(INDEX(COMPOS!$A$4:$G$390,MATCH($B21,COMPOS!$A$4:A$390,0),2)))))</f>
        <v>CABO DE COBRE FLEXÍVEL ISOLADO, 2,5 MM², ANTI-CHAMA 0,6/1,0 KV, PARA CIRCUITOS TERMINAIS - FORNECIMENTO E INSTALAÇÃO. AF_12/2015</v>
      </c>
      <c r="D21" s="274" t="str">
        <f>(IF($A21="SINAPI",INDEX(SINAPI_NOV2020_NDES!$A$7:$H$6790,MATCH($B21,SINAPI_NOV2020_NDES!$A$7:$A$6790,0),3),(INDEX(COMPOS!$A$4:$G$5000,MATCH($B21,COMPOS!$A$4:$A$5000,0),3))))</f>
        <v>M</v>
      </c>
      <c r="E21" s="314">
        <v>972</v>
      </c>
      <c r="F21" s="279">
        <f>(IF($A21="SINAPI",INDEX(SINAPI_NOV2020_NDES!$A$7:$H$6703,MATCH($B21,SINAPI_NOV2020_NDES!$A$7:$A$6703,0),5),(INDEX(COMPOS!$A$4:$G$801,MATCH($B21,COMPOS!$A$4:A$801,0),4))))</f>
        <v>0.88</v>
      </c>
      <c r="G21" s="280">
        <f>(IF($A21="SINAPI",INDEX(SINAPI_NOV2020_NDES!$A$7:$H$6703,MATCH($B21,SINAPI_NOV2020_NDES!$A$7:$A$6703,0),6),(INDEX(COMPOS!$A$4:$G$801,MATCH($B21,COMPOS!$A$4:A$801,0),5))))</f>
        <v>2.68</v>
      </c>
      <c r="H21" s="280">
        <f>(IF($A21="SINAPI",INDEX(SINAPI_NOV2020_NDES!$A$7:$H$6703,MATCH($B21,SINAPI_NOV2020_NDES!$A$7:$A$6703,0),7),(INDEX(COMPOS!$A$4:$G$801,MATCH($B21,COMPOS!$A$4:A$801,0),6))))</f>
        <v>0</v>
      </c>
      <c r="I21" s="279">
        <f t="shared" ref="I21:I47" si="6">SUM(F21:H21)</f>
        <v>3.56</v>
      </c>
      <c r="J21" s="276">
        <f t="shared" ref="J21:J47" si="7">+I21*E21</f>
        <v>3460.32</v>
      </c>
      <c r="K21" s="255"/>
      <c r="L21" s="255"/>
      <c r="M21" s="255"/>
      <c r="N21" s="255"/>
      <c r="O21" s="257"/>
      <c r="P21" s="255"/>
    </row>
    <row r="22" spans="1:16" ht="24">
      <c r="A22" s="252" t="s">
        <v>7</v>
      </c>
      <c r="B22" s="293">
        <v>91929</v>
      </c>
      <c r="C22" s="301" t="str">
        <f>(IF($A22="SINAPI",INDEX(SINAPI_NOV2020_NDES!$A$7:$H$6703,MATCH($B22,SINAPI_NOV2020_NDES!$A$7:$A$6703,0),2),IF($A22="GOINFRA",INDEX(#REF!,MATCH($B22,#REF!,0),2),(INDEX(COMPOS!$A$4:$G$390,MATCH($B22,COMPOS!$A$4:A$390,0),2)))))</f>
        <v>CABO DE COBRE FLEXÍVEL ISOLADO, 4 MM², ANTI-CHAMA 0,6/1,0 KV, PARA CIRCUITOS TERMINAIS - FORNECIMENTO E INSTALAÇÃO. AF_12/2015</v>
      </c>
      <c r="D22" s="274" t="str">
        <f>(IF($A22="SINAPI",INDEX(SINAPI_NOV2020_NDES!$A$7:$H$6790,MATCH($B22,SINAPI_NOV2020_NDES!$A$7:$A$6790,0),3),(INDEX(COMPOS!$A$4:$G$5000,MATCH($B22,COMPOS!$A$4:$A$5000,0),3))))</f>
        <v>M</v>
      </c>
      <c r="E22" s="314">
        <v>85</v>
      </c>
      <c r="F22" s="279">
        <f>(IF($A22="SINAPI",INDEX(SINAPI_NOV2020_NDES!$A$7:$H$6703,MATCH($B22,SINAPI_NOV2020_NDES!$A$7:$A$6703,0),5),(INDEX(COMPOS!$A$4:$G$801,MATCH($B22,COMPOS!$A$4:A$801,0),4))))</f>
        <v>1.17</v>
      </c>
      <c r="G22" s="280">
        <f>(IF($A22="SINAPI",INDEX(SINAPI_NOV2020_NDES!$A$7:$H$6703,MATCH($B22,SINAPI_NOV2020_NDES!$A$7:$A$6703,0),6),(INDEX(COMPOS!$A$4:$G$801,MATCH($B22,COMPOS!$A$4:A$801,0),5))))</f>
        <v>3.8</v>
      </c>
      <c r="H22" s="280">
        <f>(IF($A22="SINAPI",INDEX(SINAPI_NOV2020_NDES!$A$7:$H$6703,MATCH($B22,SINAPI_NOV2020_NDES!$A$7:$A$6703,0),7),(INDEX(COMPOS!$A$4:$G$801,MATCH($B22,COMPOS!$A$4:A$801,0),6))))</f>
        <v>0</v>
      </c>
      <c r="I22" s="279">
        <f t="shared" si="6"/>
        <v>4.97</v>
      </c>
      <c r="J22" s="276">
        <f t="shared" si="7"/>
        <v>422.45</v>
      </c>
      <c r="K22" s="255"/>
      <c r="L22" s="255"/>
      <c r="M22" s="255"/>
      <c r="N22" s="255"/>
      <c r="O22" s="257"/>
      <c r="P22" s="255"/>
    </row>
    <row r="23" spans="1:16" ht="24">
      <c r="A23" s="252" t="s">
        <v>7</v>
      </c>
      <c r="B23" s="293">
        <v>91933</v>
      </c>
      <c r="C23" s="301" t="str">
        <f>(IF($A23="SINAPI",INDEX(SINAPI_NOV2020_NDES!$A$7:$H$6703,MATCH($B23,SINAPI_NOV2020_NDES!$A$7:$A$6703,0),2),IF($A23="GOINFRA",INDEX(#REF!,MATCH($B23,#REF!,0),2),(INDEX(COMPOS!$A$4:$G$390,MATCH($B23,COMPOS!$A$4:A$390,0),2)))))</f>
        <v>CABO DE COBRE FLEXÍVEL ISOLADO, 10 MM², ANTI-CHAMA 0,6/1,0 KV, PARA CIRCUITOS TERMINAIS - FORNECIMENTO E INSTALAÇÃO. AF_12/2015</v>
      </c>
      <c r="D23" s="274" t="str">
        <f>(IF($A23="SINAPI",INDEX(SINAPI_NOV2020_NDES!$A$7:$H$6790,MATCH($B23,SINAPI_NOV2020_NDES!$A$7:$A$6790,0),3),(INDEX(COMPOS!$A$4:$G$5000,MATCH($B23,COMPOS!$A$4:$A$5000,0),3))))</f>
        <v>M</v>
      </c>
      <c r="E23" s="314">
        <v>60</v>
      </c>
      <c r="F23" s="279">
        <f>(IF($A23="SINAPI",INDEX(SINAPI_NOV2020_NDES!$A$7:$H$6703,MATCH($B23,SINAPI_NOV2020_NDES!$A$7:$A$6703,0),5),(INDEX(COMPOS!$A$4:$G$801,MATCH($B23,COMPOS!$A$4:A$801,0),4))))</f>
        <v>2.2599999999999998</v>
      </c>
      <c r="G23" s="280">
        <f>(IF($A23="SINAPI",INDEX(SINAPI_NOV2020_NDES!$A$7:$H$6703,MATCH($B23,SINAPI_NOV2020_NDES!$A$7:$A$6703,0),6),(INDEX(COMPOS!$A$4:$G$801,MATCH($B23,COMPOS!$A$4:A$801,0),5))))</f>
        <v>8.2100000000000009</v>
      </c>
      <c r="H23" s="280">
        <f>(IF($A23="SINAPI",INDEX(SINAPI_NOV2020_NDES!$A$7:$H$6703,MATCH($B23,SINAPI_NOV2020_NDES!$A$7:$A$6703,0),7),(INDEX(COMPOS!$A$4:$G$801,MATCH($B23,COMPOS!$A$4:A$801,0),6))))</f>
        <v>0</v>
      </c>
      <c r="I23" s="279">
        <f t="shared" si="6"/>
        <v>10.47</v>
      </c>
      <c r="J23" s="276">
        <f t="shared" si="7"/>
        <v>628.20000000000005</v>
      </c>
      <c r="K23" s="255"/>
      <c r="L23" s="255"/>
      <c r="M23" s="255"/>
      <c r="N23" s="255"/>
      <c r="O23" s="257"/>
      <c r="P23" s="255"/>
    </row>
    <row r="24" spans="1:16" ht="36">
      <c r="A24" s="252" t="s">
        <v>7</v>
      </c>
      <c r="B24" s="293">
        <v>100560</v>
      </c>
      <c r="C24" s="301" t="str">
        <f>(IF($A24="SINAPI",INDEX(SINAPI_NOV2020_NDES!$A$7:$H$6703,MATCH($B24,SINAPI_NOV2020_NDES!$A$7:$A$6703,0),2),IF($A24="GOINFRA",INDEX(#REF!,MATCH($B24,#REF!,0),2),(INDEX(COMPOS!$A$4:$G$390,MATCH($B24,COMPOS!$A$4:A$390,0),2)))))</f>
        <v>QUADRO DE DISTRIBUIÇÃO PARA TELEFONE N.2, 20X20X12CM EM CHAPA METALICA, DE EMBUTIR, SEM ACESSORIOS, PADRÃO TELEBRAS, FORNECIMENTO E INSTALAÇÃO. AF_11/2019</v>
      </c>
      <c r="D24" s="274" t="str">
        <f>(IF($A24="SINAPI",INDEX(SINAPI_NOV2020_NDES!$A$7:$H$6790,MATCH($B24,SINAPI_NOV2020_NDES!$A$7:$A$6790,0),3),(INDEX(COMPOS!$A$4:$G$5000,MATCH($B24,COMPOS!$A$4:$A$5000,0),3))))</f>
        <v>UN</v>
      </c>
      <c r="E24" s="314">
        <v>1</v>
      </c>
      <c r="F24" s="279">
        <f>(IF($A24="SINAPI",INDEX(SINAPI_NOV2020_NDES!$A$7:$H$6703,MATCH($B24,SINAPI_NOV2020_NDES!$A$7:$A$6703,0),5),(INDEX(COMPOS!$A$4:$G$801,MATCH($B24,COMPOS!$A$4:A$801,0),4))))</f>
        <v>26.44</v>
      </c>
      <c r="G24" s="280">
        <f>(IF($A24="SINAPI",INDEX(SINAPI_NOV2020_NDES!$A$7:$H$6703,MATCH($B24,SINAPI_NOV2020_NDES!$A$7:$A$6703,0),6),(INDEX(COMPOS!$A$4:$G$801,MATCH($B24,COMPOS!$A$4:A$801,0),5))))</f>
        <v>62.2</v>
      </c>
      <c r="H24" s="280">
        <f>(IF($A24="SINAPI",INDEX(SINAPI_NOV2020_NDES!$A$7:$H$6703,MATCH($B24,SINAPI_NOV2020_NDES!$A$7:$A$6703,0),7),(INDEX(COMPOS!$A$4:$G$801,MATCH($B24,COMPOS!$A$4:A$801,0),6))))</f>
        <v>0</v>
      </c>
      <c r="I24" s="279">
        <f t="shared" si="6"/>
        <v>88.64</v>
      </c>
      <c r="J24" s="276">
        <f t="shared" si="7"/>
        <v>88.64</v>
      </c>
      <c r="K24" s="255"/>
      <c r="L24" s="255"/>
      <c r="M24" s="255"/>
      <c r="N24" s="255"/>
      <c r="O24" s="257"/>
      <c r="P24" s="255"/>
    </row>
    <row r="25" spans="1:16" ht="24">
      <c r="A25" s="252" t="s">
        <v>7</v>
      </c>
      <c r="B25" s="289">
        <v>93657</v>
      </c>
      <c r="C25" s="301" t="str">
        <f>(IF($A25="SINAPI",INDEX(SINAPI_NOV2020_NDES!$A$7:$H$6703,MATCH($B25,SINAPI_NOV2020_NDES!$A$7:$A$6703,0),2),IF($A25="GOINFRA",INDEX(#REF!,MATCH($B25,#REF!,0),2),(INDEX(COMPOS!$A$4:$G$390,MATCH($B25,COMPOS!$A$4:A$390,0),2)))))</f>
        <v>DISJUNTOR MONOPOLAR TIPO DIN, CORRENTE NOMINAL DE 32A - FORNECIMENTO E INSTALAÇÃO. AF_10/2020</v>
      </c>
      <c r="D25" s="274" t="str">
        <f>(IF($A25="SINAPI",INDEX(SINAPI_NOV2020_NDES!$A$7:$H$6790,MATCH($B25,SINAPI_NOV2020_NDES!$A$7:$A$6790,0),3),(INDEX(COMPOS!$A$4:$G$5000,MATCH($B25,COMPOS!$A$4:$A$5000,0),3))))</f>
        <v>UN</v>
      </c>
      <c r="E25" s="314">
        <v>29</v>
      </c>
      <c r="F25" s="279">
        <f>(IF($A25="SINAPI",INDEX(SINAPI_NOV2020_NDES!$A$7:$H$6703,MATCH($B25,SINAPI_NOV2020_NDES!$A$7:$A$6703,0),5),(INDEX(COMPOS!$A$4:$G$801,MATCH($B25,COMPOS!$A$4:A$801,0),4))))</f>
        <v>2.67</v>
      </c>
      <c r="G25" s="280">
        <f>(IF($A25="SINAPI",INDEX(SINAPI_NOV2020_NDES!$A$7:$H$6703,MATCH($B25,SINAPI_NOV2020_NDES!$A$7:$A$6703,0),6),(INDEX(COMPOS!$A$4:$G$801,MATCH($B25,COMPOS!$A$4:A$801,0),5))))</f>
        <v>10.130000000000001</v>
      </c>
      <c r="H25" s="280">
        <f>(IF($A25="SINAPI",INDEX(SINAPI_NOV2020_NDES!$A$7:$H$6703,MATCH($B25,SINAPI_NOV2020_NDES!$A$7:$A$6703,0),7),(INDEX(COMPOS!$A$4:$G$801,MATCH($B25,COMPOS!$A$4:A$801,0),6))))</f>
        <v>0</v>
      </c>
      <c r="I25" s="279">
        <f t="shared" si="6"/>
        <v>12.8</v>
      </c>
      <c r="J25" s="276">
        <f t="shared" si="7"/>
        <v>371.20000000000005</v>
      </c>
      <c r="K25" s="255"/>
      <c r="L25" s="255"/>
      <c r="M25" s="255"/>
      <c r="N25" s="255"/>
      <c r="O25" s="257"/>
      <c r="P25" s="255"/>
    </row>
    <row r="26" spans="1:16" ht="24">
      <c r="A26" s="252" t="s">
        <v>7</v>
      </c>
      <c r="B26" s="289">
        <v>93671</v>
      </c>
      <c r="C26" s="301" t="str">
        <f>(IF($A26="SINAPI",INDEX(SINAPI_NOV2020_NDES!$A$7:$H$6703,MATCH($B26,SINAPI_NOV2020_NDES!$A$7:$A$6703,0),2),IF($A26="GOINFRA",INDEX(#REF!,MATCH($B26,#REF!,0),2),(INDEX(COMPOS!$A$4:$G$390,MATCH($B26,COMPOS!$A$4:A$390,0),2)))))</f>
        <v>DISJUNTOR TRIPOLAR TIPO DIN, CORRENTE NOMINAL DE 32A - FORNECIMENTO E INSTALAÇÃO. AF_10/2020</v>
      </c>
      <c r="D26" s="274" t="str">
        <f>(IF($A26="SINAPI",INDEX(SINAPI_NOV2020_NDES!$A$7:$H$6790,MATCH($B26,SINAPI_NOV2020_NDES!$A$7:$A$6790,0),3),(INDEX(COMPOS!$A$4:$G$5000,MATCH($B26,COMPOS!$A$4:$A$5000,0),3))))</f>
        <v>UN</v>
      </c>
      <c r="E26" s="314">
        <v>2</v>
      </c>
      <c r="F26" s="279">
        <f>(IF($A26="SINAPI",INDEX(SINAPI_NOV2020_NDES!$A$7:$H$6703,MATCH($B26,SINAPI_NOV2020_NDES!$A$7:$A$6703,0),5),(INDEX(COMPOS!$A$4:$G$801,MATCH($B26,COMPOS!$A$4:A$801,0),4))))</f>
        <v>8.0399999999999991</v>
      </c>
      <c r="G26" s="280">
        <f>(IF($A26="SINAPI",INDEX(SINAPI_NOV2020_NDES!$A$7:$H$6703,MATCH($B26,SINAPI_NOV2020_NDES!$A$7:$A$6703,0),6),(INDEX(COMPOS!$A$4:$G$801,MATCH($B26,COMPOS!$A$4:A$801,0),5))))</f>
        <v>64.25</v>
      </c>
      <c r="H26" s="280">
        <f>(IF($A26="SINAPI",INDEX(SINAPI_NOV2020_NDES!$A$7:$H$6703,MATCH($B26,SINAPI_NOV2020_NDES!$A$7:$A$6703,0),7),(INDEX(COMPOS!$A$4:$G$801,MATCH($B26,COMPOS!$A$4:A$801,0),6))))</f>
        <v>0</v>
      </c>
      <c r="I26" s="279">
        <f t="shared" si="6"/>
        <v>72.289999999999992</v>
      </c>
      <c r="J26" s="276">
        <f t="shared" si="7"/>
        <v>144.57999999999998</v>
      </c>
      <c r="K26" s="255"/>
      <c r="L26" s="255"/>
      <c r="M26" s="255"/>
      <c r="N26" s="255"/>
      <c r="O26" s="257"/>
      <c r="P26" s="255"/>
    </row>
    <row r="27" spans="1:16" ht="24">
      <c r="A27" s="252" t="s">
        <v>7</v>
      </c>
      <c r="B27" s="289">
        <v>96985</v>
      </c>
      <c r="C27" s="301" t="str">
        <f>(IF($A27="SINAPI",INDEX(SINAPI_NOV2020_NDES!$A$7:$H$6703,MATCH($B27,SINAPI_NOV2020_NDES!$A$7:$A$6703,0),2),IF($A27="GOINFRA",INDEX(#REF!,MATCH($B27,#REF!,0),2),(INDEX(COMPOS!$A$4:$G$390,MATCH($B27,COMPOS!$A$4:A$390,0),2)))))</f>
        <v>HASTE DE ATERRAMENTO 5/8  PARA SPDA - FORNECIMENTO E INSTALAÇÃO. AF_12/2017</v>
      </c>
      <c r="D27" s="274" t="str">
        <f>(IF($A27="SINAPI",INDEX(SINAPI_NOV2020_NDES!$A$7:$H$6790,MATCH($B27,SINAPI_NOV2020_NDES!$A$7:$A$6790,0),3),(INDEX(COMPOS!$A$4:$G$5000,MATCH($B27,COMPOS!$A$4:$A$5000,0),3))))</f>
        <v>UN</v>
      </c>
      <c r="E27" s="314">
        <v>6</v>
      </c>
      <c r="F27" s="279">
        <f>(IF($A27="SINAPI",INDEX(SINAPI_NOV2020_NDES!$A$7:$H$6703,MATCH($B27,SINAPI_NOV2020_NDES!$A$7:$A$6703,0),5),(INDEX(COMPOS!$A$4:$G$801,MATCH($B27,COMPOS!$A$4:A$801,0),4))))</f>
        <v>7.44</v>
      </c>
      <c r="G27" s="280">
        <f>(IF($A27="SINAPI",INDEX(SINAPI_NOV2020_NDES!$A$7:$H$6703,MATCH($B27,SINAPI_NOV2020_NDES!$A$7:$A$6703,0),6),(INDEX(COMPOS!$A$4:$G$801,MATCH($B27,COMPOS!$A$4:A$801,0),5))))</f>
        <v>38.17</v>
      </c>
      <c r="H27" s="280">
        <f>(IF($A27="SINAPI",INDEX(SINAPI_NOV2020_NDES!$A$7:$H$6703,MATCH($B27,SINAPI_NOV2020_NDES!$A$7:$A$6703,0),7),(INDEX(COMPOS!$A$4:$G$801,MATCH($B27,COMPOS!$A$4:A$801,0),6))))</f>
        <v>0</v>
      </c>
      <c r="I27" s="279">
        <f t="shared" si="6"/>
        <v>45.61</v>
      </c>
      <c r="J27" s="276">
        <f t="shared" si="7"/>
        <v>273.65999999999997</v>
      </c>
      <c r="K27" s="255"/>
      <c r="L27" s="255"/>
      <c r="M27" s="255"/>
      <c r="N27" s="255"/>
      <c r="O27" s="257"/>
      <c r="P27" s="255"/>
    </row>
    <row r="28" spans="1:16" ht="24">
      <c r="A28" s="252" t="s">
        <v>7</v>
      </c>
      <c r="B28" s="289">
        <v>91979</v>
      </c>
      <c r="C28" s="301" t="str">
        <f>(IF($A28="SINAPI",INDEX(SINAPI_NOV2020_NDES!$A$7:$H$6703,MATCH($B28,SINAPI_NOV2020_NDES!$A$7:$A$6703,0),2),IF($A28="GOINFRA",INDEX(#REF!,MATCH($B28,#REF!,0),2),(INDEX(COMPOS!$A$4:$G$390,MATCH($B28,COMPOS!$A$4:A$390,0),2)))))</f>
        <v>INTERRUPTOR INTERMEDIÁRIO (1 MÓDULO), 10A/250V, INCLUINDO SUPORTE E PLACA - FORNECIMENTO E INSTALAÇÃO. AF_09/2017</v>
      </c>
      <c r="D28" s="274" t="str">
        <f>(IF($A28="SINAPI",INDEX(SINAPI_NOV2020_NDES!$A$7:$H$6790,MATCH($B28,SINAPI_NOV2020_NDES!$A$7:$A$6790,0),3),(INDEX(COMPOS!$A$4:$G$5000,MATCH($B28,COMPOS!$A$4:$A$5000,0),3))))</f>
        <v>UN</v>
      </c>
      <c r="E28" s="314">
        <v>1</v>
      </c>
      <c r="F28" s="279">
        <f>(IF($A28="SINAPI",INDEX(SINAPI_NOV2020_NDES!$A$7:$H$6703,MATCH($B28,SINAPI_NOV2020_NDES!$A$7:$A$6703,0),5),(INDEX(COMPOS!$A$4:$G$801,MATCH($B28,COMPOS!$A$4:A$801,0),4))))</f>
        <v>13.65</v>
      </c>
      <c r="G28" s="280">
        <f>(IF($A28="SINAPI",INDEX(SINAPI_NOV2020_NDES!$A$7:$H$6703,MATCH($B28,SINAPI_NOV2020_NDES!$A$7:$A$6703,0),6),(INDEX(COMPOS!$A$4:$G$801,MATCH($B28,COMPOS!$A$4:A$801,0),5))))</f>
        <v>18.329999999999998</v>
      </c>
      <c r="H28" s="280">
        <f>(IF($A28="SINAPI",INDEX(SINAPI_NOV2020_NDES!$A$7:$H$6703,MATCH($B28,SINAPI_NOV2020_NDES!$A$7:$A$6703,0),7),(INDEX(COMPOS!$A$4:$G$801,MATCH($B28,COMPOS!$A$4:A$801,0),6))))</f>
        <v>0</v>
      </c>
      <c r="I28" s="279">
        <f t="shared" si="6"/>
        <v>31.979999999999997</v>
      </c>
      <c r="J28" s="276">
        <f t="shared" si="7"/>
        <v>31.979999999999997</v>
      </c>
      <c r="K28" s="255"/>
      <c r="L28" s="255"/>
      <c r="M28" s="255"/>
      <c r="N28" s="255"/>
      <c r="O28" s="257"/>
      <c r="P28" s="255"/>
    </row>
    <row r="29" spans="1:16" ht="24">
      <c r="A29" s="252" t="s">
        <v>7</v>
      </c>
      <c r="B29" s="293">
        <v>91961</v>
      </c>
      <c r="C29" s="301" t="str">
        <f>(IF($A29="SINAPI",INDEX(SINAPI_NOV2020_NDES!$A$7:$H$6703,MATCH($B29,SINAPI_NOV2020_NDES!$A$7:$A$6703,0),2),IF($A29="GOINFRA",INDEX(#REF!,MATCH($B29,#REF!,0),2),(INDEX(COMPOS!$A$4:$G$390,MATCH($B29,COMPOS!$A$4:A$390,0),2)))))</f>
        <v>INTERRUPTOR PARALELO (2 MÓDULOS), 10A/250V, INCLUINDO SUPORTE E PLACA - FORNECIMENTO E INSTALAÇÃO. AF_12/2015</v>
      </c>
      <c r="D29" s="274" t="str">
        <f>(IF($A29="SINAPI",INDEX(SINAPI_NOV2020_NDES!$A$7:$H$6790,MATCH($B29,SINAPI_NOV2020_NDES!$A$7:$A$6790,0),3),(INDEX(COMPOS!$A$4:$G$5000,MATCH($B29,COMPOS!$A$4:$A$5000,0),3))))</f>
        <v>UN</v>
      </c>
      <c r="E29" s="314">
        <v>4</v>
      </c>
      <c r="F29" s="279">
        <f>(IF($A29="SINAPI",INDEX(SINAPI_NOV2020_NDES!$A$7:$H$6703,MATCH($B29,SINAPI_NOV2020_NDES!$A$7:$A$6703,0),5),(INDEX(COMPOS!$A$4:$G$801,MATCH($B29,COMPOS!$A$4:A$801,0),4))))</f>
        <v>18.52</v>
      </c>
      <c r="G29" s="280">
        <f>(IF($A29="SINAPI",INDEX(SINAPI_NOV2020_NDES!$A$7:$H$6703,MATCH($B29,SINAPI_NOV2020_NDES!$A$7:$A$6703,0),6),(INDEX(COMPOS!$A$4:$G$801,MATCH($B29,COMPOS!$A$4:A$801,0),5))))</f>
        <v>19.16</v>
      </c>
      <c r="H29" s="280">
        <f>(IF($A29="SINAPI",INDEX(SINAPI_NOV2020_NDES!$A$7:$H$6703,MATCH($B29,SINAPI_NOV2020_NDES!$A$7:$A$6703,0),7),(INDEX(COMPOS!$A$4:$G$801,MATCH($B29,COMPOS!$A$4:A$801,0),6))))</f>
        <v>0</v>
      </c>
      <c r="I29" s="279">
        <f t="shared" si="6"/>
        <v>37.68</v>
      </c>
      <c r="J29" s="276">
        <f t="shared" si="7"/>
        <v>150.72</v>
      </c>
      <c r="K29" s="255"/>
      <c r="L29" s="255"/>
      <c r="M29" s="255"/>
      <c r="N29" s="255"/>
      <c r="O29" s="257"/>
      <c r="P29" s="255"/>
    </row>
    <row r="30" spans="1:16" ht="24">
      <c r="A30" s="252" t="s">
        <v>7</v>
      </c>
      <c r="B30" s="250">
        <v>91953</v>
      </c>
      <c r="C30" s="301" t="str">
        <f>(IF($A30="SINAPI",INDEX(SINAPI_NOV2020_NDES!$A$7:$H$6703,MATCH($B30,SINAPI_NOV2020_NDES!$A$7:$A$6703,0),2),IF($A30="GOINFRA",INDEX(#REF!,MATCH($B30,#REF!,0),2),(INDEX(COMPOS!$A$4:$G$390,MATCH($B30,COMPOS!$A$4:A$390,0),2)))))</f>
        <v>INTERRUPTOR SIMPLES (1 MÓDULO), 10A/250V, INCLUINDO SUPORTE E PLACA - FORNECIMENTO E INSTALAÇÃO. AF_12/2015</v>
      </c>
      <c r="D30" s="274" t="str">
        <f>(IF($A30="SINAPI",INDEX(SINAPI_NOV2020_NDES!$A$7:$H$6790,MATCH($B30,SINAPI_NOV2020_NDES!$A$7:$A$6790,0),3),(INDEX(COMPOS!$A$4:$G$5000,MATCH($B30,COMPOS!$A$4:$A$5000,0),3))))</f>
        <v>UN</v>
      </c>
      <c r="E30" s="314">
        <v>9</v>
      </c>
      <c r="F30" s="279">
        <f>(IF($A30="SINAPI",INDEX(SINAPI_NOV2020_NDES!$A$7:$H$6703,MATCH($B30,SINAPI_NOV2020_NDES!$A$7:$A$6703,0),5),(INDEX(COMPOS!$A$4:$G$801,MATCH($B30,COMPOS!$A$4:A$801,0),4))))</f>
        <v>8.7899999999999991</v>
      </c>
      <c r="G30" s="280">
        <f>(IF($A30="SINAPI",INDEX(SINAPI_NOV2020_NDES!$A$7:$H$6703,MATCH($B30,SINAPI_NOV2020_NDES!$A$7:$A$6703,0),6),(INDEX(COMPOS!$A$4:$G$801,MATCH($B30,COMPOS!$A$4:A$801,0),5))))</f>
        <v>9.4499999999999993</v>
      </c>
      <c r="H30" s="280">
        <f>(IF($A30="SINAPI",INDEX(SINAPI_NOV2020_NDES!$A$7:$H$6703,MATCH($B30,SINAPI_NOV2020_NDES!$A$7:$A$6703,0),7),(INDEX(COMPOS!$A$4:$G$801,MATCH($B30,COMPOS!$A$4:A$801,0),6))))</f>
        <v>0</v>
      </c>
      <c r="I30" s="279">
        <f t="shared" si="6"/>
        <v>18.239999999999998</v>
      </c>
      <c r="J30" s="276">
        <f t="shared" si="7"/>
        <v>164.16</v>
      </c>
      <c r="K30" s="255"/>
      <c r="L30" s="255"/>
      <c r="M30" s="255"/>
      <c r="N30" s="255"/>
      <c r="O30" s="257"/>
      <c r="P30" s="255"/>
    </row>
    <row r="31" spans="1:16" ht="24">
      <c r="A31" s="252" t="s">
        <v>7</v>
      </c>
      <c r="B31" s="289">
        <v>91959</v>
      </c>
      <c r="C31" s="301" t="str">
        <f>(IF($A31="SINAPI",INDEX(SINAPI_NOV2020_NDES!$A$7:$H$6703,MATCH($B31,SINAPI_NOV2020_NDES!$A$7:$A$6703,0),2),IF($A31="GOINFRA",INDEX(#REF!,MATCH($B31,#REF!,0),2),(INDEX(COMPOS!$A$4:$G$390,MATCH($B31,COMPOS!$A$4:A$390,0),2)))))</f>
        <v>INTERRUPTOR SIMPLES (2 MÓDULOS), 10A/250V, INCLUINDO SUPORTE E PLACA - FORNECIMENTO E INSTALAÇÃO. AF_12/2015</v>
      </c>
      <c r="D31" s="274" t="str">
        <f>(IF($A31="SINAPI",INDEX(SINAPI_NOV2020_NDES!$A$7:$H$6790,MATCH($B31,SINAPI_NOV2020_NDES!$A$7:$A$6790,0),3),(INDEX(COMPOS!$A$4:$G$5000,MATCH($B31,COMPOS!$A$4:$A$5000,0),3))))</f>
        <v>UN</v>
      </c>
      <c r="E31" s="314">
        <v>6</v>
      </c>
      <c r="F31" s="279">
        <f>(IF($A31="SINAPI",INDEX(SINAPI_NOV2020_NDES!$A$7:$H$6703,MATCH($B31,SINAPI_NOV2020_NDES!$A$7:$A$6703,0),5),(INDEX(COMPOS!$A$4:$G$801,MATCH($B31,COMPOS!$A$4:A$801,0),4))))</f>
        <v>13.65</v>
      </c>
      <c r="G31" s="280">
        <f>(IF($A31="SINAPI",INDEX(SINAPI_NOV2020_NDES!$A$7:$H$6703,MATCH($B31,SINAPI_NOV2020_NDES!$A$7:$A$6703,0),6),(INDEX(COMPOS!$A$4:$G$801,MATCH($B31,COMPOS!$A$4:A$801,0),5))))</f>
        <v>15.13</v>
      </c>
      <c r="H31" s="280">
        <f>(IF($A31="SINAPI",INDEX(SINAPI_NOV2020_NDES!$A$7:$H$6703,MATCH($B31,SINAPI_NOV2020_NDES!$A$7:$A$6703,0),7),(INDEX(COMPOS!$A$4:$G$801,MATCH($B31,COMPOS!$A$4:A$801,0),6))))</f>
        <v>0</v>
      </c>
      <c r="I31" s="279">
        <f t="shared" si="6"/>
        <v>28.78</v>
      </c>
      <c r="J31" s="276">
        <f t="shared" si="7"/>
        <v>172.68</v>
      </c>
      <c r="K31" s="255"/>
      <c r="L31" s="255"/>
      <c r="M31" s="255"/>
      <c r="N31" s="255"/>
      <c r="O31" s="257"/>
      <c r="P31" s="255"/>
    </row>
    <row r="32" spans="1:16" ht="24">
      <c r="A32" s="252" t="s">
        <v>7</v>
      </c>
      <c r="B32" s="250">
        <v>91967</v>
      </c>
      <c r="C32" s="301" t="str">
        <f>(IF($A32="SINAPI",INDEX(SINAPI_NOV2020_NDES!$A$7:$H$6703,MATCH($B32,SINAPI_NOV2020_NDES!$A$7:$A$6703,0),2),IF($A32="GOINFRA",INDEX(#REF!,MATCH($B32,#REF!,0),2),(INDEX(COMPOS!$A$4:$G$390,MATCH($B32,COMPOS!$A$4:A$390,0),2)))))</f>
        <v>INTERRUPTOR SIMPLES (3 MÓDULOS), 10A/250V, INCLUINDO SUPORTE E PLACA - FORNECIMENTO E INSTALAÇÃO. AF_12/2015</v>
      </c>
      <c r="D32" s="274" t="str">
        <f>(IF($A32="SINAPI",INDEX(SINAPI_NOV2020_NDES!$A$7:$H$6790,MATCH($B32,SINAPI_NOV2020_NDES!$A$7:$A$6790,0),3),(INDEX(COMPOS!$A$4:$G$5000,MATCH($B32,COMPOS!$A$4:$A$5000,0),3))))</f>
        <v>UN</v>
      </c>
      <c r="E32" s="314">
        <v>2</v>
      </c>
      <c r="F32" s="279">
        <f>(IF($A32="SINAPI",INDEX(SINAPI_NOV2020_NDES!$A$7:$H$6703,MATCH($B32,SINAPI_NOV2020_NDES!$A$7:$A$6703,0),5),(INDEX(COMPOS!$A$4:$G$801,MATCH($B32,COMPOS!$A$4:A$801,0),4))))</f>
        <v>18.52</v>
      </c>
      <c r="G32" s="280">
        <f>(IF($A32="SINAPI",INDEX(SINAPI_NOV2020_NDES!$A$7:$H$6703,MATCH($B32,SINAPI_NOV2020_NDES!$A$7:$A$6703,0),6),(INDEX(COMPOS!$A$4:$G$801,MATCH($B32,COMPOS!$A$4:A$801,0),5))))</f>
        <v>20.81</v>
      </c>
      <c r="H32" s="280">
        <f>(IF($A32="SINAPI",INDEX(SINAPI_NOV2020_NDES!$A$7:$H$6703,MATCH($B32,SINAPI_NOV2020_NDES!$A$7:$A$6703,0),7),(INDEX(COMPOS!$A$4:$G$801,MATCH($B32,COMPOS!$A$4:A$801,0),6))))</f>
        <v>0</v>
      </c>
      <c r="I32" s="279">
        <f t="shared" si="6"/>
        <v>39.33</v>
      </c>
      <c r="J32" s="276">
        <f t="shared" si="7"/>
        <v>78.66</v>
      </c>
      <c r="K32" s="255"/>
      <c r="L32" s="255"/>
      <c r="M32" s="255"/>
      <c r="N32" s="255"/>
      <c r="O32" s="257"/>
      <c r="P32" s="255"/>
    </row>
    <row r="33" spans="1:1008">
      <c r="A33" s="252" t="s">
        <v>6307</v>
      </c>
      <c r="B33" s="293">
        <v>727</v>
      </c>
      <c r="C33" s="301" t="str">
        <f>(IF($A33="SINAPI",INDEX(SINAPI_NOV2020_NDES!$A$7:$H$6703,MATCH($B33,SINAPI_NOV2020_NDES!$A$7:$A$6703,0),2),IF($A33="GOINFRA",INDEX(#REF!,MATCH($B33,#REF!,0),2),(INDEX(COMPOS!$A$4:$G$390,MATCH($B33,COMPOS!$A$4:A$390,0),2)))))</f>
        <v>LUMINARIA PARA JARDIM C/POSTE 2,5M, BASE CONC. E 02 GLOBOS/LEITOSOS</v>
      </c>
      <c r="D33" s="274" t="str">
        <f>(IF($A33="SINAPI",INDEX(SINAPI_NOV2020_NDES!$A$7:$H$6790,MATCH($B33,SINAPI_NOV2020_NDES!$A$7:$A$6790,0),3),(INDEX(COMPOS!$A$4:$G$5000,MATCH($B33,COMPOS!$A$4:$A$5000,0),3))))</f>
        <v>UN</v>
      </c>
      <c r="E33" s="314">
        <v>6</v>
      </c>
      <c r="F33" s="279">
        <f>(IF($A33="SINAPI",INDEX(SINAPI_NOV2020_NDES!$A$7:$H$6703,MATCH($B33,SINAPI_NOV2020_NDES!$A$7:$A$6703,0),5),(INDEX(COMPOS!$A$4:$G$801,MATCH($B33,COMPOS!$A$4:A$801,0),4))))</f>
        <v>112.92670400000002</v>
      </c>
      <c r="G33" s="280">
        <f>(IF($A33="SINAPI",INDEX(SINAPI_NOV2020_NDES!$A$7:$H$6703,MATCH($B33,SINAPI_NOV2020_NDES!$A$7:$A$6703,0),6),(INDEX(COMPOS!$A$4:$G$801,MATCH($B33,COMPOS!$A$4:A$801,0),5))))</f>
        <v>480.118448</v>
      </c>
      <c r="H33" s="280">
        <f>(IF($A33="SINAPI",INDEX(SINAPI_NOV2020_NDES!$A$7:$H$6703,MATCH($B33,SINAPI_NOV2020_NDES!$A$7:$A$6703,0),7),(INDEX(COMPOS!$A$4:$G$801,MATCH($B33,COMPOS!$A$4:A$801,0),6))))</f>
        <v>0</v>
      </c>
      <c r="I33" s="279">
        <f t="shared" si="6"/>
        <v>593.04515200000003</v>
      </c>
      <c r="J33" s="276">
        <f t="shared" si="7"/>
        <v>3558.270912</v>
      </c>
      <c r="K33" s="255"/>
      <c r="L33" s="255"/>
      <c r="M33" s="255"/>
      <c r="N33" s="255"/>
      <c r="O33" s="257"/>
      <c r="P33" s="255"/>
    </row>
    <row r="34" spans="1:1008">
      <c r="A34" s="252" t="s">
        <v>6307</v>
      </c>
      <c r="B34" s="293">
        <v>779</v>
      </c>
      <c r="C34" s="301" t="str">
        <f>(IF($A34="SINAPI",INDEX(SINAPI_NOV2020_NDES!$A$7:$H$6703,MATCH($B34,SINAPI_NOV2020_NDES!$A$7:$A$6703,0),2),IF($A34="GOINFRA",INDEX(#REF!,MATCH($B34,#REF!,0),2),(INDEX(COMPOS!$A$4:$G$390,MATCH($B34,COMPOS!$A$4:A$390,0),2)))))</f>
        <v>INTERRUPTOR DIFERENCIAL RESIDUAL (DR) BIPOLAR 25A - 30mA</v>
      </c>
      <c r="D34" s="274" t="str">
        <f>(IF($A34="SINAPI",INDEX(SINAPI_NOV2020_NDES!$A$7:$H$6790,MATCH($B34,SINAPI_NOV2020_NDES!$A$7:$A$6790,0),3),(INDEX(COMPOS!$A$4:$G$5000,MATCH($B34,COMPOS!$A$4:$A$5000,0),3))))</f>
        <v>UN</v>
      </c>
      <c r="E34" s="314">
        <v>12</v>
      </c>
      <c r="F34" s="279">
        <f>(IF($A34="SINAPI",INDEX(SINAPI_NOV2020_NDES!$A$7:$H$6703,MATCH($B34,SINAPI_NOV2020_NDES!$A$7:$A$6703,0),5),(INDEX(COMPOS!$A$4:$G$801,MATCH($B34,COMPOS!$A$4:A$801,0),4))))</f>
        <v>23.177999999999997</v>
      </c>
      <c r="G34" s="280">
        <f>(IF($A34="SINAPI",INDEX(SINAPI_NOV2020_NDES!$A$7:$H$6703,MATCH($B34,SINAPI_NOV2020_NDES!$A$7:$A$6703,0),6),(INDEX(COMPOS!$A$4:$G$801,MATCH($B34,COMPOS!$A$4:A$801,0),5))))</f>
        <v>129.58000000000001</v>
      </c>
      <c r="H34" s="280">
        <f>(IF($A34="SINAPI",INDEX(SINAPI_NOV2020_NDES!$A$7:$H$6703,MATCH($B34,SINAPI_NOV2020_NDES!$A$7:$A$6703,0),7),(INDEX(COMPOS!$A$4:$G$801,MATCH($B34,COMPOS!$A$4:A$801,0),6))))</f>
        <v>0</v>
      </c>
      <c r="I34" s="279">
        <f t="shared" si="6"/>
        <v>152.75800000000001</v>
      </c>
      <c r="J34" s="276">
        <f t="shared" si="7"/>
        <v>1833.096</v>
      </c>
      <c r="K34" s="255"/>
      <c r="L34" s="255"/>
      <c r="M34" s="255"/>
      <c r="N34" s="255"/>
      <c r="O34" s="257"/>
      <c r="P34" s="255"/>
    </row>
    <row r="35" spans="1:1008" ht="24">
      <c r="A35" s="252" t="s">
        <v>7</v>
      </c>
      <c r="B35" s="293">
        <v>91969</v>
      </c>
      <c r="C35" s="301" t="str">
        <f>(IF($A35="SINAPI",INDEX(SINAPI_NOV2020_NDES!$A$7:$H$6703,MATCH($B35,SINAPI_NOV2020_NDES!$A$7:$A$6703,0),2),IF($A35="GOINFRA",INDEX(#REF!,MATCH($B35,#REF!,0),2),(INDEX(COMPOS!$A$4:$G$390,MATCH($B35,COMPOS!$A$4:A$390,0),2)))))</f>
        <v>INTERRUPTOR PARALELO (3 MÓDULOS), 10A/250V, INCLUINDO SUPORTE E PLACA - FORNECIMENTO E INSTALAÇÃO. AF_12/2015</v>
      </c>
      <c r="D35" s="274" t="str">
        <f>(IF($A35="SINAPI",INDEX(SINAPI_NOV2020_NDES!$A$7:$H$6790,MATCH($B35,SINAPI_NOV2020_NDES!$A$7:$A$6790,0),3),(INDEX(COMPOS!$A$4:$G$5000,MATCH($B35,COMPOS!$A$4:$A$5000,0),3))))</f>
        <v>UN</v>
      </c>
      <c r="E35" s="314">
        <v>2</v>
      </c>
      <c r="F35" s="279">
        <f>(IF($A35="SINAPI",INDEX(SINAPI_NOV2020_NDES!$A$7:$H$6703,MATCH($B35,SINAPI_NOV2020_NDES!$A$7:$A$6703,0),5),(INDEX(COMPOS!$A$4:$G$801,MATCH($B35,COMPOS!$A$4:A$801,0),4))))</f>
        <v>25.81</v>
      </c>
      <c r="G35" s="280">
        <f>(IF($A35="SINAPI",INDEX(SINAPI_NOV2020_NDES!$A$7:$H$6703,MATCH($B35,SINAPI_NOV2020_NDES!$A$7:$A$6703,0),6),(INDEX(COMPOS!$A$4:$G$801,MATCH($B35,COMPOS!$A$4:A$801,0),5))))</f>
        <v>26.84</v>
      </c>
      <c r="H35" s="280">
        <f>(IF($A35="SINAPI",INDEX(SINAPI_NOV2020_NDES!$A$7:$H$6703,MATCH($B35,SINAPI_NOV2020_NDES!$A$7:$A$6703,0),7),(INDEX(COMPOS!$A$4:$G$801,MATCH($B35,COMPOS!$A$4:A$801,0),6))))</f>
        <v>0</v>
      </c>
      <c r="I35" s="279">
        <f t="shared" si="6"/>
        <v>52.65</v>
      </c>
      <c r="J35" s="276">
        <f t="shared" si="7"/>
        <v>105.3</v>
      </c>
      <c r="K35" s="255"/>
      <c r="L35" s="255"/>
      <c r="M35" s="255"/>
      <c r="N35" s="255"/>
      <c r="O35" s="257"/>
      <c r="P35" s="255"/>
    </row>
    <row r="36" spans="1:1008" ht="24">
      <c r="A36" s="252" t="s">
        <v>7</v>
      </c>
      <c r="B36" s="293">
        <v>93673</v>
      </c>
      <c r="C36" s="301" t="str">
        <f>(IF($A36="SINAPI",INDEX(SINAPI_NOV2020_NDES!$A$7:$H$6703,MATCH($B36,SINAPI_NOV2020_NDES!$A$7:$A$6703,0),2),IF($A36="GOINFRA",INDEX(#REF!,MATCH($B36,#REF!,0),2),(INDEX(COMPOS!$A$4:$G$390,MATCH($B36,COMPOS!$A$4:A$390,0),2)))))</f>
        <v>DISJUNTOR TRIPOLAR TIPO DIN, CORRENTE NOMINAL DE 50A - FORNECIMENTO E INSTALAÇÃO. AF_10/2020</v>
      </c>
      <c r="D36" s="274" t="str">
        <f>(IF($A36="SINAPI",INDEX(SINAPI_NOV2020_NDES!$A$7:$H$6790,MATCH($B36,SINAPI_NOV2020_NDES!$A$7:$A$6790,0),3),(INDEX(COMPOS!$A$4:$G$5000,MATCH($B36,COMPOS!$A$4:$A$5000,0),3))))</f>
        <v>UN</v>
      </c>
      <c r="E36" s="314">
        <v>1</v>
      </c>
      <c r="F36" s="279">
        <f>(IF($A36="SINAPI",INDEX(SINAPI_NOV2020_NDES!$A$7:$H$6703,MATCH($B36,SINAPI_NOV2020_NDES!$A$7:$A$6703,0),5),(INDEX(COMPOS!$A$4:$G$801,MATCH($B36,COMPOS!$A$4:A$801,0),4))))</f>
        <v>16.71</v>
      </c>
      <c r="G36" s="280">
        <f>(IF($A36="SINAPI",INDEX(SINAPI_NOV2020_NDES!$A$7:$H$6703,MATCH($B36,SINAPI_NOV2020_NDES!$A$7:$A$6703,0),6),(INDEX(COMPOS!$A$4:$G$801,MATCH($B36,COMPOS!$A$4:A$801,0),5))))</f>
        <v>67.7</v>
      </c>
      <c r="H36" s="280">
        <f>(IF($A36="SINAPI",INDEX(SINAPI_NOV2020_NDES!$A$7:$H$6703,MATCH($B36,SINAPI_NOV2020_NDES!$A$7:$A$6703,0),7),(INDEX(COMPOS!$A$4:$G$801,MATCH($B36,COMPOS!$A$4:A$801,0),6))))</f>
        <v>0</v>
      </c>
      <c r="I36" s="279">
        <f t="shared" si="6"/>
        <v>84.41</v>
      </c>
      <c r="J36" s="276">
        <f t="shared" si="7"/>
        <v>84.41</v>
      </c>
      <c r="K36" s="255"/>
      <c r="L36" s="255"/>
      <c r="M36" s="255"/>
      <c r="N36" s="255"/>
      <c r="O36" s="257"/>
      <c r="P36" s="255"/>
    </row>
    <row r="37" spans="1:1008">
      <c r="A37" s="252" t="s">
        <v>6307</v>
      </c>
      <c r="B37" s="293">
        <v>740</v>
      </c>
      <c r="C37" s="301" t="str">
        <f>(IF($A37="SINAPI",INDEX(SINAPI_NOV2020_NDES!$A$7:$H$6703,MATCH($B37,SINAPI_NOV2020_NDES!$A$7:$A$6703,0),2),IF($A37="GOINFRA",INDEX(#REF!,MATCH($B37,#REF!,0),2),(INDEX(COMPOS!$A$4:$G$390,MATCH($B37,COMPOS!$A$4:A$390,0),2)))))</f>
        <v>QUADRO DE DISTRIBUIÇÃO DE EMBUTIR METÁLICO CB-24E - 150A</v>
      </c>
      <c r="D37" s="274" t="str">
        <f>(IF($A37="SINAPI",INDEX(SINAPI_NOV2020_NDES!$A$7:$H$6790,MATCH($B37,SINAPI_NOV2020_NDES!$A$7:$A$6790,0),3),(INDEX(COMPOS!$A$4:$G$5000,MATCH($B37,COMPOS!$A$4:$A$5000,0),3))))</f>
        <v>UN</v>
      </c>
      <c r="E37" s="318">
        <v>2</v>
      </c>
      <c r="F37" s="326">
        <f>(IF($A37="SINAPI",INDEX(SINAPI_NOV2020_NDES!$A$7:$H$6703,MATCH($B37,SINAPI_NOV2020_NDES!$A$7:$A$6703,0),5),(INDEX(COMPOS!$A$4:$G$801,MATCH($B37,COMPOS!$A$4:A$801,0),4))))</f>
        <v>115.89</v>
      </c>
      <c r="G37" s="320">
        <f>(IF($A37="SINAPI",INDEX(SINAPI_NOV2020_NDES!$A$7:$H$6703,MATCH($B37,SINAPI_NOV2020_NDES!$A$7:$A$6703,0),6),(INDEX(COMPOS!$A$4:$G$801,MATCH($B37,COMPOS!$A$4:A$801,0),5))))</f>
        <v>422.04</v>
      </c>
      <c r="H37" s="320">
        <f>(IF($A37="SINAPI",INDEX(SINAPI_NOV2020_NDES!$A$7:$H$6703,MATCH($B37,SINAPI_NOV2020_NDES!$A$7:$A$6703,0),7),(INDEX(COMPOS!$A$4:$G$801,MATCH($B37,COMPOS!$A$4:A$801,0),6))))</f>
        <v>0</v>
      </c>
      <c r="I37" s="326">
        <f t="shared" si="6"/>
        <v>537.93000000000006</v>
      </c>
      <c r="J37" s="316">
        <f t="shared" si="7"/>
        <v>1075.8600000000001</v>
      </c>
      <c r="K37" s="255"/>
      <c r="L37" s="255"/>
      <c r="M37" s="255"/>
      <c r="N37" s="255"/>
      <c r="O37" s="257"/>
      <c r="P37" s="255"/>
    </row>
    <row r="38" spans="1:1008">
      <c r="A38" s="252" t="s">
        <v>6307</v>
      </c>
      <c r="B38" s="293">
        <v>748</v>
      </c>
      <c r="C38" s="301" t="str">
        <f>(IF($A38="SINAPI",INDEX(SINAPI_NOV2020_NDES!$A$7:$H$6703,MATCH($B38,SINAPI_NOV2020_NDES!$A$7:$A$6703,0),2),IF($A38="GOINFRA",INDEX(#REF!,MATCH($B38,#REF!,0),2),(INDEX(COMPOS!$A$4:$G$390,MATCH($B38,COMPOS!$A$4:A$390,0),2)))))</f>
        <v>TOMADA HEXAGONAL 2P + T - 20A - 250V (LINHA X OU EQUIVALENTE)</v>
      </c>
      <c r="D38" s="274" t="str">
        <f>(IF($A38="SINAPI",INDEX(SINAPI_NOV2020_NDES!$A$7:$H$6790,MATCH($B38,SINAPI_NOV2020_NDES!$A$7:$A$6790,0),3),(INDEX(COMPOS!$A$4:$G$5000,MATCH($B38,COMPOS!$A$4:$A$5000,0),3))))</f>
        <v>UN</v>
      </c>
      <c r="E38" s="314">
        <v>5</v>
      </c>
      <c r="F38" s="279">
        <f>(IF($A38="SINAPI",INDEX(SINAPI_NOV2020_NDES!$A$7:$H$6703,MATCH($B38,SINAPI_NOV2020_NDES!$A$7:$A$6703,0),5),(INDEX(COMPOS!$A$4:$G$801,MATCH($B38,COMPOS!$A$4:A$801,0),4))))</f>
        <v>11.2027</v>
      </c>
      <c r="G38" s="280">
        <f>(IF($A38="SINAPI",INDEX(SINAPI_NOV2020_NDES!$A$7:$H$6703,MATCH($B38,SINAPI_NOV2020_NDES!$A$7:$A$6703,0),6),(INDEX(COMPOS!$A$4:$G$801,MATCH($B38,COMPOS!$A$4:A$801,0),5))))</f>
        <v>10.58</v>
      </c>
      <c r="H38" s="280">
        <f>(IF($A38="SINAPI",INDEX(SINAPI_NOV2020_NDES!$A$7:$H$6703,MATCH($B38,SINAPI_NOV2020_NDES!$A$7:$A$6703,0),7),(INDEX(COMPOS!$A$4:$G$801,MATCH($B38,COMPOS!$A$4:A$801,0),6))))</f>
        <v>0</v>
      </c>
      <c r="I38" s="279">
        <f t="shared" si="6"/>
        <v>21.782699999999998</v>
      </c>
      <c r="J38" s="276">
        <f t="shared" si="7"/>
        <v>108.9135</v>
      </c>
      <c r="K38" s="255"/>
      <c r="L38" s="255"/>
      <c r="M38" s="255"/>
      <c r="N38" s="255"/>
      <c r="O38" s="257"/>
      <c r="P38" s="255"/>
    </row>
    <row r="39" spans="1:1008" ht="24">
      <c r="A39" s="252" t="s">
        <v>7</v>
      </c>
      <c r="B39" s="293">
        <v>91996</v>
      </c>
      <c r="C39" s="301" t="str">
        <f>(IF($A39="SINAPI",INDEX(SINAPI_NOV2020_NDES!$A$7:$H$6703,MATCH($B39,SINAPI_NOV2020_NDES!$A$7:$A$6703,0),2),IF($A39="GOINFRA",INDEX(#REF!,MATCH($B39,#REF!,0),2),(INDEX(COMPOS!$A$4:$G$390,MATCH($B39,COMPOS!$A$4:A$390,0),2)))))</f>
        <v>TOMADA MÉDIA DE EMBUTIR (1 MÓDULO), 2P+T 10 A, INCLUINDO SUPORTE E PLACA - FORNECIMENTO E INSTALAÇÃO. AF_12/2015</v>
      </c>
      <c r="D39" s="274" t="str">
        <f>(IF($A39="SINAPI",INDEX(SINAPI_NOV2020_NDES!$A$7:$H$6790,MATCH($B39,SINAPI_NOV2020_NDES!$A$7:$A$6790,0),3),(INDEX(COMPOS!$A$4:$G$5000,MATCH($B39,COMPOS!$A$4:$A$5000,0),3))))</f>
        <v>UN</v>
      </c>
      <c r="E39" s="314">
        <v>61</v>
      </c>
      <c r="F39" s="279">
        <f>(IF($A39="SINAPI",INDEX(SINAPI_NOV2020_NDES!$A$7:$H$6703,MATCH($B39,SINAPI_NOV2020_NDES!$A$7:$A$6703,0),5),(INDEX(COMPOS!$A$4:$G$801,MATCH($B39,COMPOS!$A$4:A$801,0),4))))</f>
        <v>11.25</v>
      </c>
      <c r="G39" s="280">
        <f>(IF($A39="SINAPI",INDEX(SINAPI_NOV2020_NDES!$A$7:$H$6703,MATCH($B39,SINAPI_NOV2020_NDES!$A$7:$A$6703,0),6),(INDEX(COMPOS!$A$4:$G$801,MATCH($B39,COMPOS!$A$4:A$801,0),5))))</f>
        <v>10.78</v>
      </c>
      <c r="H39" s="280">
        <f>(IF($A39="SINAPI",INDEX(SINAPI_NOV2020_NDES!$A$7:$H$6703,MATCH($B39,SINAPI_NOV2020_NDES!$A$7:$A$6703,0),7),(INDEX(COMPOS!$A$4:$G$801,MATCH($B39,COMPOS!$A$4:A$801,0),6))))</f>
        <v>0</v>
      </c>
      <c r="I39" s="279">
        <f t="shared" si="6"/>
        <v>22.03</v>
      </c>
      <c r="J39" s="276">
        <f t="shared" si="7"/>
        <v>1343.8300000000002</v>
      </c>
      <c r="K39" s="255"/>
      <c r="L39" s="255"/>
      <c r="M39" s="255"/>
      <c r="N39" s="255"/>
      <c r="O39" s="257"/>
      <c r="P39" s="255"/>
    </row>
    <row r="40" spans="1:1008" ht="24">
      <c r="A40" s="252" t="s">
        <v>7</v>
      </c>
      <c r="B40" s="293">
        <v>97610</v>
      </c>
      <c r="C40" s="301" t="str">
        <f>(IF($A40="SINAPI",INDEX(SINAPI_NOV2020_NDES!$A$7:$H$6703,MATCH($B40,SINAPI_NOV2020_NDES!$A$7:$A$6703,0),2),IF($A40="GOINFRA",INDEX(#REF!,MATCH($B40,#REF!,0),2),(INDEX(COMPOS!$A$4:$G$390,MATCH($B40,COMPOS!$A$4:A$390,0),2)))))</f>
        <v>LÂMPADA COMPACTA DE LED 10 W, BASE E27 - FORNECIMENTO E INSTALAÇÃO. AF_02/2020</v>
      </c>
      <c r="D40" s="274" t="str">
        <f>(IF($A40="SINAPI",INDEX(SINAPI_NOV2020_NDES!$A$7:$H$6790,MATCH($B40,SINAPI_NOV2020_NDES!$A$7:$A$6790,0),3),(INDEX(COMPOS!$A$4:$G$5000,MATCH($B40,COMPOS!$A$4:$A$5000,0),3))))</f>
        <v>UN</v>
      </c>
      <c r="E40" s="314">
        <v>2</v>
      </c>
      <c r="F40" s="279">
        <f>(IF($A40="SINAPI",INDEX(SINAPI_NOV2020_NDES!$A$7:$H$6703,MATCH($B40,SINAPI_NOV2020_NDES!$A$7:$A$6703,0),5),(INDEX(COMPOS!$A$4:$G$801,MATCH($B40,COMPOS!$A$4:A$801,0),4))))</f>
        <v>3.7</v>
      </c>
      <c r="G40" s="280">
        <f>(IF($A40="SINAPI",INDEX(SINAPI_NOV2020_NDES!$A$7:$H$6703,MATCH($B40,SINAPI_NOV2020_NDES!$A$7:$A$6703,0),6),(INDEX(COMPOS!$A$4:$G$801,MATCH($B40,COMPOS!$A$4:A$801,0),5))))</f>
        <v>12.36</v>
      </c>
      <c r="H40" s="280">
        <f>(IF($A40="SINAPI",INDEX(SINAPI_NOV2020_NDES!$A$7:$H$6703,MATCH($B40,SINAPI_NOV2020_NDES!$A$7:$A$6703,0),7),(INDEX(COMPOS!$A$4:$G$801,MATCH($B40,COMPOS!$A$4:A$801,0),6))))</f>
        <v>0</v>
      </c>
      <c r="I40" s="279">
        <f t="shared" si="6"/>
        <v>16.059999999999999</v>
      </c>
      <c r="J40" s="276">
        <f t="shared" si="7"/>
        <v>32.119999999999997</v>
      </c>
      <c r="K40" s="255"/>
      <c r="L40" s="255"/>
      <c r="M40" s="255"/>
      <c r="N40" s="255"/>
      <c r="O40" s="257"/>
      <c r="P40" s="255"/>
    </row>
    <row r="41" spans="1:1008" ht="36">
      <c r="A41" s="252" t="s">
        <v>7</v>
      </c>
      <c r="B41" s="293">
        <v>97608</v>
      </c>
      <c r="C41" s="301" t="str">
        <f>(IF($A41="SINAPI",INDEX(SINAPI_NOV2020_NDES!$A$7:$H$6703,MATCH($B41,SINAPI_NOV2020_NDES!$A$7:$A$6703,0),2),IF($A41="GOINFRA",INDEX(#REF!,MATCH($B41,#REF!,0),2),(INDEX(COMPOS!$A$4:$G$390,MATCH($B41,COMPOS!$A$4:A$390,0),2)))))</f>
        <v>LUMINÁRIA ARANDELA TIPO TARTARUGA, COM GRADE, DE SOBREPOR, COM 1 LÂMPADA FLUORESCENTE DE 15 W, SEM REATOR - FORNECIMENTO E INSTALAÇÃO. AF_02/2020</v>
      </c>
      <c r="D41" s="274" t="str">
        <f>(IF($A41="SINAPI",INDEX(SINAPI_NOV2020_NDES!$A$7:$H$6790,MATCH($B41,SINAPI_NOV2020_NDES!$A$7:$A$6790,0),3),(INDEX(COMPOS!$A$4:$G$5000,MATCH($B41,COMPOS!$A$4:$A$5000,0),3))))</f>
        <v>UN</v>
      </c>
      <c r="E41" s="314">
        <v>2</v>
      </c>
      <c r="F41" s="279">
        <f>(IF($A41="SINAPI",INDEX(SINAPI_NOV2020_NDES!$A$7:$H$6703,MATCH($B41,SINAPI_NOV2020_NDES!$A$7:$A$6703,0),5),(INDEX(COMPOS!$A$4:$G$801,MATCH($B41,COMPOS!$A$4:A$801,0),4))))</f>
        <v>12.33</v>
      </c>
      <c r="G41" s="280">
        <f>(IF($A41="SINAPI",INDEX(SINAPI_NOV2020_NDES!$A$7:$H$6703,MATCH($B41,SINAPI_NOV2020_NDES!$A$7:$A$6703,0),6),(INDEX(COMPOS!$A$4:$G$801,MATCH($B41,COMPOS!$A$4:A$801,0),5))))</f>
        <v>61.64</v>
      </c>
      <c r="H41" s="280">
        <f>(IF($A41="SINAPI",INDEX(SINAPI_NOV2020_NDES!$A$7:$H$6703,MATCH($B41,SINAPI_NOV2020_NDES!$A$7:$A$6703,0),7),(INDEX(COMPOS!$A$4:$G$801,MATCH($B41,COMPOS!$A$4:A$801,0),6))))</f>
        <v>0</v>
      </c>
      <c r="I41" s="279">
        <f t="shared" si="6"/>
        <v>73.97</v>
      </c>
      <c r="J41" s="276">
        <f t="shared" si="7"/>
        <v>147.94</v>
      </c>
      <c r="K41" s="255"/>
      <c r="L41" s="255"/>
      <c r="M41" s="255"/>
      <c r="N41" s="255"/>
      <c r="O41" s="257"/>
      <c r="P41" s="255"/>
    </row>
    <row r="42" spans="1:1008">
      <c r="A42" s="252" t="s">
        <v>6307</v>
      </c>
      <c r="B42" s="293">
        <v>315</v>
      </c>
      <c r="C42" s="301" t="str">
        <f>(IF($A42="SINAPI",INDEX(SINAPI_NOV2020_NDES!$A$7:$H$6703,MATCH($B42,SINAPI_NOV2020_NDES!$A$7:$A$6703,0),2),IF($A42="GOINFRA",INDEX(#REF!,MATCH($B42,#REF!,0),2),(INDEX(COMPOS!$A$4:$G$390,MATCH($B42,COMPOS!$A$4:A$390,0),2)))))</f>
        <v>LUMINÁRIA HERMÉTICA IP-65, PARA 02 LÂMPADAS</v>
      </c>
      <c r="D42" s="274" t="str">
        <f>(IF($A42="SINAPI",INDEX(SINAPI_NOV2020_NDES!$A$7:$H$6790,MATCH($B42,SINAPI_NOV2020_NDES!$A$7:$A$6790,0),3),(INDEX(COMPOS!$A$4:$G$5000,MATCH($B42,COMPOS!$A$4:$A$5000,0),3))))</f>
        <v>UN</v>
      </c>
      <c r="E42" s="314">
        <v>6</v>
      </c>
      <c r="F42" s="279">
        <f>(IF($A42="SINAPI",INDEX(SINAPI_NOV2020_NDES!$A$7:$H$6703,MATCH($B42,SINAPI_NOV2020_NDES!$A$7:$A$6703,0),5),(INDEX(COMPOS!$A$4:$G$801,MATCH($B42,COMPOS!$A$4:A$801,0),4))))</f>
        <v>25.132678000000002</v>
      </c>
      <c r="G42" s="280">
        <f>(IF($A42="SINAPI",INDEX(SINAPI_NOV2020_NDES!$A$7:$H$6703,MATCH($B42,SINAPI_NOV2020_NDES!$A$7:$A$6703,0),6),(INDEX(COMPOS!$A$4:$G$801,MATCH($B42,COMPOS!$A$4:A$801,0),5))))</f>
        <v>107.03</v>
      </c>
      <c r="H42" s="280">
        <f>(IF($A42="SINAPI",INDEX(SINAPI_NOV2020_NDES!$A$7:$H$6703,MATCH($B42,SINAPI_NOV2020_NDES!$A$7:$A$6703,0),7),(INDEX(COMPOS!$A$4:$G$801,MATCH($B42,COMPOS!$A$4:A$801,0),6))))</f>
        <v>0</v>
      </c>
      <c r="I42" s="279">
        <f t="shared" si="6"/>
        <v>132.162678</v>
      </c>
      <c r="J42" s="276">
        <f t="shared" si="7"/>
        <v>792.97606799999994</v>
      </c>
      <c r="K42" s="255"/>
      <c r="L42" s="255"/>
      <c r="M42" s="255"/>
      <c r="N42" s="255"/>
      <c r="O42" s="257"/>
      <c r="P42" s="255"/>
    </row>
    <row r="43" spans="1:1008">
      <c r="A43" s="252" t="s">
        <v>6307</v>
      </c>
      <c r="B43" s="293">
        <v>315</v>
      </c>
      <c r="C43" s="301" t="str">
        <f>(IF($A43="SINAPI",INDEX(SINAPI_NOV2020_NDES!$A$7:$H$6703,MATCH($B43,SINAPI_NOV2020_NDES!$A$7:$A$6703,0),2),IF($A43="GOINFRA",INDEX(#REF!,MATCH($B43,#REF!,0),2),(INDEX(COMPOS!$A$4:$G$390,MATCH($B43,COMPOS!$A$4:A$390,0),2)))))</f>
        <v>LUMINÁRIA HERMÉTICA IP-65, PARA 02 LÂMPADAS</v>
      </c>
      <c r="D43" s="274" t="str">
        <f>(IF($A43="SINAPI",INDEX(SINAPI_NOV2020_NDES!$A$7:$H$6790,MATCH($B43,SINAPI_NOV2020_NDES!$A$7:$A$6790,0),3),(INDEX(COMPOS!$A$4:$G$5000,MATCH($B43,COMPOS!$A$4:$A$5000,0),3))))</f>
        <v>UN</v>
      </c>
      <c r="E43" s="314">
        <v>43</v>
      </c>
      <c r="F43" s="279">
        <f>(IF($A43="SINAPI",INDEX(SINAPI_NOV2020_NDES!$A$7:$H$6703,MATCH($B43,SINAPI_NOV2020_NDES!$A$7:$A$6703,0),5),(INDEX(COMPOS!$A$4:$G$801,MATCH($B43,COMPOS!$A$4:A$801,0),4))))</f>
        <v>25.132678000000002</v>
      </c>
      <c r="G43" s="280">
        <f>(IF($A43="SINAPI",INDEX(SINAPI_NOV2020_NDES!$A$7:$H$6703,MATCH($B43,SINAPI_NOV2020_NDES!$A$7:$A$6703,0),6),(INDEX(COMPOS!$A$4:$G$801,MATCH($B43,COMPOS!$A$4:A$801,0),5))))</f>
        <v>107.03</v>
      </c>
      <c r="H43" s="280">
        <f>(IF($A43="SINAPI",INDEX(SINAPI_NOV2020_NDES!$A$7:$H$6703,MATCH($B43,SINAPI_NOV2020_NDES!$A$7:$A$6703,0),7),(INDEX(COMPOS!$A$4:$G$801,MATCH($B43,COMPOS!$A$4:A$801,0),6))))</f>
        <v>0</v>
      </c>
      <c r="I43" s="279">
        <f t="shared" si="6"/>
        <v>132.162678</v>
      </c>
      <c r="J43" s="276">
        <f t="shared" si="7"/>
        <v>5682.9951540000002</v>
      </c>
      <c r="K43" s="255"/>
      <c r="L43" s="255"/>
      <c r="M43" s="255"/>
      <c r="N43" s="255"/>
      <c r="O43" s="257"/>
      <c r="P43" s="255"/>
    </row>
    <row r="44" spans="1:1008" ht="24">
      <c r="A44" s="252" t="s">
        <v>7</v>
      </c>
      <c r="B44" s="293">
        <v>97592</v>
      </c>
      <c r="C44" s="301" t="str">
        <f>(IF($A44="SINAPI",INDEX(SINAPI_NOV2020_NDES!$A$7:$H$6703,MATCH($B44,SINAPI_NOV2020_NDES!$A$7:$A$6703,0),2),IF($A44="GOINFRA",INDEX(#REF!,MATCH($B44,#REF!,0),2),(INDEX(COMPOS!$A$4:$G$390,MATCH($B44,COMPOS!$A$4:A$390,0),2)))))</f>
        <v>LUMINÁRIA TIPO PLAFON, DE SOBREPOR, COM 1 LÂMPADA LED DE 12/13 W, SEM REATOR - FORNECIMENTO E INSTALAÇÃO. AF_02/2020</v>
      </c>
      <c r="D44" s="274" t="str">
        <f>(IF($A44="SINAPI",INDEX(SINAPI_NOV2020_NDES!$A$7:$H$6790,MATCH($B44,SINAPI_NOV2020_NDES!$A$7:$A$6790,0),3),(INDEX(COMPOS!$A$4:$G$5000,MATCH($B44,COMPOS!$A$4:$A$5000,0),3))))</f>
        <v>UN</v>
      </c>
      <c r="E44" s="314">
        <v>3</v>
      </c>
      <c r="F44" s="279">
        <f>(IF($A44="SINAPI",INDEX(SINAPI_NOV2020_NDES!$A$7:$H$6703,MATCH($B44,SINAPI_NOV2020_NDES!$A$7:$A$6703,0),5),(INDEX(COMPOS!$A$4:$G$801,MATCH($B44,COMPOS!$A$4:A$801,0),4))))</f>
        <v>11.98</v>
      </c>
      <c r="G44" s="280">
        <f>(IF($A44="SINAPI",INDEX(SINAPI_NOV2020_NDES!$A$7:$H$6703,MATCH($B44,SINAPI_NOV2020_NDES!$A$7:$A$6703,0),6),(INDEX(COMPOS!$A$4:$G$801,MATCH($B44,COMPOS!$A$4:A$801,0),5))))</f>
        <v>23.99</v>
      </c>
      <c r="H44" s="280">
        <f>(IF($A44="SINAPI",INDEX(SINAPI_NOV2020_NDES!$A$7:$H$6703,MATCH($B44,SINAPI_NOV2020_NDES!$A$7:$A$6703,0),7),(INDEX(COMPOS!$A$4:$G$801,MATCH($B44,COMPOS!$A$4:A$801,0),6))))</f>
        <v>0</v>
      </c>
      <c r="I44" s="279">
        <f t="shared" si="6"/>
        <v>35.97</v>
      </c>
      <c r="J44" s="276">
        <f t="shared" si="7"/>
        <v>107.91</v>
      </c>
      <c r="K44" s="255"/>
      <c r="L44" s="255"/>
      <c r="M44" s="255"/>
      <c r="N44" s="255"/>
      <c r="O44" s="257"/>
      <c r="P44" s="255"/>
    </row>
    <row r="45" spans="1:1008" ht="24">
      <c r="A45" s="252" t="s">
        <v>7</v>
      </c>
      <c r="B45" s="293">
        <v>100902</v>
      </c>
      <c r="C45" s="301" t="str">
        <f>(IF($A45="SINAPI",INDEX(SINAPI_NOV2020_NDES!$A$7:$H$6703,MATCH($B45,SINAPI_NOV2020_NDES!$A$7:$A$6703,0),2),IF($A45="GOINFRA",INDEX(#REF!,MATCH($B45,#REF!,0),2),(INDEX(COMPOS!$A$4:$G$390,MATCH($B45,COMPOS!$A$4:A$390,0),2)))))</f>
        <v>LÂMPADA TUBULAR LED DE 9/10 W, BASE G13 - FORNECIMENTO E INSTALAÇÃO. AF_02/2020_P</v>
      </c>
      <c r="D45" s="274" t="str">
        <f>(IF($A45="SINAPI",INDEX(SINAPI_NOV2020_NDES!$A$7:$H$6790,MATCH($B45,SINAPI_NOV2020_NDES!$A$7:$A$6790,0),3),(INDEX(COMPOS!$A$4:$G$5000,MATCH($B45,COMPOS!$A$4:$A$5000,0),3))))</f>
        <v>UN</v>
      </c>
      <c r="E45" s="314">
        <v>12</v>
      </c>
      <c r="F45" s="279">
        <f>(IF($A45="SINAPI",INDEX(SINAPI_NOV2020_NDES!$A$7:$H$6703,MATCH($B45,SINAPI_NOV2020_NDES!$A$7:$A$6703,0),5),(INDEX(COMPOS!$A$4:$G$801,MATCH($B45,COMPOS!$A$4:A$801,0),4))))</f>
        <v>5.54</v>
      </c>
      <c r="G45" s="280">
        <f>(IF($A45="SINAPI",INDEX(SINAPI_NOV2020_NDES!$A$7:$H$6703,MATCH($B45,SINAPI_NOV2020_NDES!$A$7:$A$6703,0),6),(INDEX(COMPOS!$A$4:$G$801,MATCH($B45,COMPOS!$A$4:A$801,0),5))))</f>
        <v>18.260000000000002</v>
      </c>
      <c r="H45" s="280">
        <f>(IF($A45="SINAPI",INDEX(SINAPI_NOV2020_NDES!$A$7:$H$6703,MATCH($B45,SINAPI_NOV2020_NDES!$A$7:$A$6703,0),7),(INDEX(COMPOS!$A$4:$G$801,MATCH($B45,COMPOS!$A$4:A$801,0),6))))</f>
        <v>0</v>
      </c>
      <c r="I45" s="279">
        <f t="shared" si="6"/>
        <v>23.8</v>
      </c>
      <c r="J45" s="276">
        <f t="shared" si="7"/>
        <v>285.60000000000002</v>
      </c>
      <c r="K45" s="255"/>
      <c r="L45" s="255"/>
      <c r="M45" s="255"/>
      <c r="N45" s="255"/>
      <c r="O45" s="257"/>
      <c r="P45" s="255"/>
    </row>
    <row r="46" spans="1:1008" ht="24">
      <c r="A46" s="252" t="s">
        <v>7</v>
      </c>
      <c r="B46" s="293">
        <v>100903</v>
      </c>
      <c r="C46" s="301" t="str">
        <f>(IF($A46="SINAPI",INDEX(SINAPI_NOV2020_NDES!$A$7:$H$6703,MATCH($B46,SINAPI_NOV2020_NDES!$A$7:$A$6703,0),2),IF($A46="GOINFRA",INDEX(#REF!,MATCH($B46,#REF!,0),2),(INDEX(COMPOS!$A$4:$G$390,MATCH($B46,COMPOS!$A$4:A$390,0),2)))))</f>
        <v>LÂMPADA TUBULAR LED DE 18/20 W, BASE G13 - FORNECIMENTO E INSTALAÇÃO. AF_02/2020_P</v>
      </c>
      <c r="D46" s="274" t="str">
        <f>(IF($A46="SINAPI",INDEX(SINAPI_NOV2020_NDES!$A$7:$H$6790,MATCH($B46,SINAPI_NOV2020_NDES!$A$7:$A$6790,0),3),(INDEX(COMPOS!$A$4:$G$5000,MATCH($B46,COMPOS!$A$4:$A$5000,0),3))))</f>
        <v>UN</v>
      </c>
      <c r="E46" s="314">
        <v>86</v>
      </c>
      <c r="F46" s="279">
        <f>(IF($A46="SINAPI",INDEX(SINAPI_NOV2020_NDES!$A$7:$H$6703,MATCH($B46,SINAPI_NOV2020_NDES!$A$7:$A$6703,0),5),(INDEX(COMPOS!$A$4:$G$801,MATCH($B46,COMPOS!$A$4:A$801,0),4))))</f>
        <v>5.54</v>
      </c>
      <c r="G46" s="280">
        <f>(IF($A46="SINAPI",INDEX(SINAPI_NOV2020_NDES!$A$7:$H$6703,MATCH($B46,SINAPI_NOV2020_NDES!$A$7:$A$6703,0),6),(INDEX(COMPOS!$A$4:$G$801,MATCH($B46,COMPOS!$A$4:A$801,0),5))))</f>
        <v>23.44</v>
      </c>
      <c r="H46" s="280">
        <f>(IF($A46="SINAPI",INDEX(SINAPI_NOV2020_NDES!$A$7:$H$6703,MATCH($B46,SINAPI_NOV2020_NDES!$A$7:$A$6703,0),7),(INDEX(COMPOS!$A$4:$G$801,MATCH($B46,COMPOS!$A$4:A$801,0),6))))</f>
        <v>0</v>
      </c>
      <c r="I46" s="279">
        <f t="shared" si="6"/>
        <v>28.98</v>
      </c>
      <c r="J46" s="276">
        <f t="shared" si="7"/>
        <v>2492.2800000000002</v>
      </c>
      <c r="K46" s="255"/>
      <c r="L46" s="255"/>
      <c r="M46" s="255"/>
      <c r="N46" s="255"/>
      <c r="O46" s="257"/>
      <c r="P46" s="255"/>
    </row>
    <row r="47" spans="1:1008">
      <c r="A47" s="252" t="s">
        <v>6307</v>
      </c>
      <c r="B47" s="293">
        <v>760</v>
      </c>
      <c r="C47" s="301" t="str">
        <f>(IF($A47="SINAPI",INDEX(SINAPI_NOV2020_NDES!$A$7:$H$6703,MATCH($B47,SINAPI_NOV2020_NDES!$A$7:$A$6703,0),2),IF($A47="GOINFRA",INDEX(#REF!,MATCH($B47,#REF!,0),2),(INDEX(COMPOS!$A$4:$G$390,MATCH($B47,COMPOS!$A$4:A$390,0),2)))))</f>
        <v>LAMPADA LED 18 W BIVOLT BRANCA, FORMATO TRADICIONAL (BASE E27)</v>
      </c>
      <c r="D47" s="274" t="str">
        <f>(IF($A47="SINAPI",INDEX(SINAPI_NOV2020_NDES!$A$7:$H$6790,MATCH($B47,SINAPI_NOV2020_NDES!$A$7:$A$6790,0),3),(INDEX(COMPOS!$A$4:$G$5000,MATCH($B47,COMPOS!$A$4:$A$5000,0),3))))</f>
        <v>UN</v>
      </c>
      <c r="E47" s="314">
        <v>12</v>
      </c>
      <c r="F47" s="279">
        <f>(IF($A47="SINAPI",INDEX(SINAPI_NOV2020_NDES!$A$7:$H$6703,MATCH($B47,SINAPI_NOV2020_NDES!$A$7:$A$6703,0),5),(INDEX(COMPOS!$A$4:$G$801,MATCH($B47,COMPOS!$A$4:A$801,0),4))))</f>
        <v>3.0903999999999998</v>
      </c>
      <c r="G47" s="280">
        <f>(IF($A47="SINAPI",INDEX(SINAPI_NOV2020_NDES!$A$7:$H$6703,MATCH($B47,SINAPI_NOV2020_NDES!$A$7:$A$6703,0),6),(INDEX(COMPOS!$A$4:$G$801,MATCH($B47,COMPOS!$A$4:A$801,0),5))))</f>
        <v>23.94</v>
      </c>
      <c r="H47" s="280">
        <f>(IF($A47="SINAPI",INDEX(SINAPI_NOV2020_NDES!$A$7:$H$6703,MATCH($B47,SINAPI_NOV2020_NDES!$A$7:$A$6703,0),7),(INDEX(COMPOS!$A$4:$G$801,MATCH($B47,COMPOS!$A$4:A$801,0),6))))</f>
        <v>0</v>
      </c>
      <c r="I47" s="279">
        <f t="shared" si="6"/>
        <v>27.0304</v>
      </c>
      <c r="J47" s="276">
        <f t="shared" si="7"/>
        <v>324.3648</v>
      </c>
      <c r="K47" s="255"/>
      <c r="L47" s="255"/>
      <c r="M47" s="255"/>
      <c r="N47" s="255"/>
      <c r="O47" s="257"/>
      <c r="P47" s="255"/>
    </row>
    <row r="48" spans="1:1008">
      <c r="A48" s="251"/>
      <c r="B48" s="283"/>
      <c r="C48" s="333" t="s">
        <v>6967</v>
      </c>
      <c r="D48" s="274"/>
      <c r="E48" s="276"/>
      <c r="F48" s="279"/>
      <c r="G48" s="279"/>
      <c r="H48" s="279"/>
      <c r="I48" s="279"/>
      <c r="J48" s="276"/>
      <c r="K48" s="255"/>
      <c r="L48" s="255"/>
      <c r="M48" s="255"/>
      <c r="N48" s="255"/>
      <c r="O48" s="257"/>
      <c r="P48" s="255"/>
      <c r="ALL48" s="42"/>
      <c r="ALM48" s="42"/>
      <c r="ALN48" s="42"/>
      <c r="ALO48" s="42"/>
      <c r="ALP48" s="42"/>
      <c r="ALQ48" s="42"/>
      <c r="ALR48" s="42"/>
      <c r="ALS48" s="42"/>
      <c r="ALT48" s="42"/>
    </row>
    <row r="49" spans="1:1008">
      <c r="A49" s="266" t="s">
        <v>6307</v>
      </c>
      <c r="B49" s="364">
        <v>842</v>
      </c>
      <c r="C49" s="301" t="str">
        <f>(IF($A49="SINAPI",INDEX(SINAPI_NOV2020_NDES!$A$7:$H$6703,MATCH($B49,SINAPI_NOV2020_NDES!$A$7:$A$6703,0),2),IF($A49="GOINFRA",INDEX(#REF!,MATCH($B49,#REF!,0),2),(INDEX(COMPOS!$A$4:$G$3900,MATCH($B49,COMPOS!$A$4:A$3900,0),2)))))</f>
        <v>CAIXA METALICA QUADRADA 4"X4"X2"</v>
      </c>
      <c r="D49" s="274" t="str">
        <f>(IF($A49="SINAPI",INDEX(SINAPI_NOV2020_NDES!$A$7:$H$6790,MATCH($B49,SINAPI_NOV2020_NDES!$A$7:$A$6790,0),3),(INDEX(COMPOS!$A$4:$G$5000,MATCH($B49,COMPOS!$A$4:$A$5000,0),3))))</f>
        <v>UN</v>
      </c>
      <c r="E49" s="276">
        <v>6</v>
      </c>
      <c r="F49" s="276">
        <f>(IF($A49="SINAPI",INDEX(SINAPI_NOV2020_NDES!$A$7:$H$6703,MATCH($B49,SINAPI_NOV2020_NDES!$A$7:$A$6703,0),5),(INDEX(COMPOS!$A$4:$G$801,MATCH($B49,COMPOS!$A$4:A$801,0),4))))</f>
        <v>5.7944999999999993</v>
      </c>
      <c r="G49" s="276">
        <f>(IF($A49="SINAPI",INDEX(SINAPI_NOV2020_NDES!$A$7:$H$6703,MATCH($B49,SINAPI_NOV2020_NDES!$A$7:$A$6703,0),6),(INDEX(COMPOS!$A$4:$G$801,MATCH($B49,COMPOS!$A$4:A$801,0),5))))</f>
        <v>2.1800000000000002</v>
      </c>
      <c r="H49" s="276">
        <f>(IF($A49="SINAPI",INDEX(SINAPI_NOV2020_NDES!$A$7:$H$6703,MATCH($B49,SINAPI_NOV2020_NDES!$A$7:$A$6703,0),7),(INDEX(COMPOS!$A$4:$G$801,MATCH($B49,COMPOS!$A$4:A$801,0),6))))</f>
        <v>0</v>
      </c>
      <c r="I49" s="276">
        <f t="shared" ref="I49" si="8">SUM(F49:H49)</f>
        <v>7.974499999999999</v>
      </c>
      <c r="J49" s="276">
        <f t="shared" ref="J49" si="9">+I49*E49</f>
        <v>47.846999999999994</v>
      </c>
      <c r="K49" s="255"/>
      <c r="L49" s="255"/>
      <c r="M49" s="255"/>
      <c r="N49" s="255"/>
      <c r="O49" s="257"/>
      <c r="P49" s="255"/>
      <c r="ALL49" s="42"/>
      <c r="ALM49" s="42"/>
      <c r="ALN49" s="42"/>
      <c r="ALO49" s="42"/>
      <c r="ALP49" s="42"/>
      <c r="ALQ49" s="42"/>
      <c r="ALR49" s="42"/>
      <c r="ALS49" s="42"/>
      <c r="ALT49" s="42"/>
    </row>
    <row r="50" spans="1:1008" ht="24">
      <c r="A50" s="266" t="s">
        <v>7</v>
      </c>
      <c r="B50" s="364">
        <v>98295</v>
      </c>
      <c r="C50" s="301" t="str">
        <f>(IF($A50="SINAPI",INDEX(SINAPI_NOV2020_NDES!$A$7:$H$6703,MATCH($B50,SINAPI_NOV2020_NDES!$A$7:$A$6703,0),2),IF($A50="GOINFRA",INDEX(#REF!,MATCH($B50,#REF!,0),2),(INDEX(COMPOS!$A$4:$G$3900,MATCH($B50,COMPOS!$A$4:A$3900,0),2)))))</f>
        <v>CABO ELETRÔNICO CATEGORIA 5E, INSTALADO EM EDIFICAÇÃO INSTITUCIONAL - FORNECIMENTO E INSTALAÇÃO. AF_11/2019</v>
      </c>
      <c r="D50" s="274" t="str">
        <f>(IF($A50="SINAPI",INDEX(SINAPI_NOV2020_NDES!$A$7:$H$6790,MATCH($B50,SINAPI_NOV2020_NDES!$A$7:$A$6790,0),3),(INDEX(COMPOS!$A$4:$G$5000,MATCH($B50,COMPOS!$A$4:$A$5000,0),3))))</f>
        <v>M</v>
      </c>
      <c r="E50" s="276">
        <v>433.4</v>
      </c>
      <c r="F50" s="276">
        <f>(IF($A50="SINAPI",INDEX(SINAPI_NOV2020_NDES!$A$7:$H$6703,MATCH($B50,SINAPI_NOV2020_NDES!$A$7:$A$6703,0),5),(INDEX(COMPOS!$A$4:$G$801,MATCH($B50,COMPOS!$A$4:A$801,0),4))))</f>
        <v>7.0000000000000007E-2</v>
      </c>
      <c r="G50" s="276">
        <f>(IF($A50="SINAPI",INDEX(SINAPI_NOV2020_NDES!$A$7:$H$6703,MATCH($B50,SINAPI_NOV2020_NDES!$A$7:$A$6703,0),6),(INDEX(COMPOS!$A$4:$G$801,MATCH($B50,COMPOS!$A$4:A$801,0),5))))</f>
        <v>1.1299999999999999</v>
      </c>
      <c r="H50" s="276">
        <f>(IF($A50="SINAPI",INDEX(SINAPI_NOV2020_NDES!$A$7:$H$6703,MATCH($B50,SINAPI_NOV2020_NDES!$A$7:$A$6703,0),7),(INDEX(COMPOS!$A$4:$G$801,MATCH($B50,COMPOS!$A$4:A$801,0),6))))</f>
        <v>0</v>
      </c>
      <c r="I50" s="276">
        <f t="shared" ref="I50:I65" si="10">SUM(F50:H50)</f>
        <v>1.2</v>
      </c>
      <c r="J50" s="276">
        <f t="shared" ref="J50:J65" si="11">+I50*E50</f>
        <v>520.07999999999993</v>
      </c>
      <c r="K50" s="255"/>
      <c r="L50" s="255"/>
      <c r="M50" s="255"/>
      <c r="N50" s="255"/>
      <c r="O50" s="257"/>
      <c r="P50" s="255"/>
      <c r="ALL50" s="42"/>
      <c r="ALM50" s="42"/>
      <c r="ALN50" s="42"/>
      <c r="ALO50" s="42"/>
      <c r="ALP50" s="42"/>
      <c r="ALQ50" s="42"/>
      <c r="ALR50" s="42"/>
      <c r="ALS50" s="42"/>
      <c r="ALT50" s="42"/>
    </row>
    <row r="51" spans="1:1008">
      <c r="A51" s="266" t="s">
        <v>6307</v>
      </c>
      <c r="B51" s="364">
        <v>825</v>
      </c>
      <c r="C51" s="301" t="str">
        <f>(IF($A51="SINAPI",INDEX(SINAPI_NOV2020_NDES!$A$7:$H$6703,MATCH($B51,SINAPI_NOV2020_NDES!$A$7:$A$6703,0),2),IF($A51="GOINFRA",INDEX(#REF!,MATCH($B51,#REF!,0),2),(INDEX(COMPOS!$A$4:$G$3900,MATCH($B51,COMPOS!$A$4:A$3900,0),2)))))</f>
        <v>ELETRODUTO DE PVC RIGIDO DIAMETRO 3/4"</v>
      </c>
      <c r="D51" s="274" t="str">
        <f>(IF($A51="SINAPI",INDEX(SINAPI_NOV2020_NDES!$A$7:$H$6790,MATCH($B51,SINAPI_NOV2020_NDES!$A$7:$A$6790,0),3),(INDEX(COMPOS!$A$4:$G$5000,MATCH($B51,COMPOS!$A$4:$A$5000,0),3))))</f>
        <v>M</v>
      </c>
      <c r="E51" s="276">
        <v>248.6</v>
      </c>
      <c r="F51" s="276">
        <f>(IF($A51="SINAPI",INDEX(SINAPI_NOV2020_NDES!$A$7:$H$6703,MATCH($B51,SINAPI_NOV2020_NDES!$A$7:$A$6703,0),5),(INDEX(COMPOS!$A$4:$G$801,MATCH($B51,COMPOS!$A$4:A$801,0),4))))</f>
        <v>6.5670999999999999</v>
      </c>
      <c r="G51" s="276">
        <f>(IF($A51="SINAPI",INDEX(SINAPI_NOV2020_NDES!$A$7:$H$6703,MATCH($B51,SINAPI_NOV2020_NDES!$A$7:$A$6703,0),6),(INDEX(COMPOS!$A$4:$G$801,MATCH($B51,COMPOS!$A$4:A$801,0),5))))</f>
        <v>2.16</v>
      </c>
      <c r="H51" s="276">
        <f>(IF($A51="SINAPI",INDEX(SINAPI_NOV2020_NDES!$A$7:$H$6703,MATCH($B51,SINAPI_NOV2020_NDES!$A$7:$A$6703,0),7),(INDEX(COMPOS!$A$4:$G$801,MATCH($B51,COMPOS!$A$4:A$801,0),6))))</f>
        <v>0</v>
      </c>
      <c r="I51" s="276">
        <f t="shared" si="10"/>
        <v>8.7271000000000001</v>
      </c>
      <c r="J51" s="276">
        <f t="shared" si="11"/>
        <v>2169.5570600000001</v>
      </c>
      <c r="K51" s="255"/>
      <c r="L51" s="255"/>
      <c r="M51" s="255"/>
      <c r="N51" s="255"/>
      <c r="O51" s="257"/>
      <c r="P51" s="255"/>
      <c r="ALL51" s="42"/>
      <c r="ALM51" s="42"/>
      <c r="ALN51" s="42"/>
      <c r="ALO51" s="42"/>
      <c r="ALP51" s="42"/>
      <c r="ALQ51" s="42"/>
      <c r="ALR51" s="42"/>
      <c r="ALS51" s="42"/>
      <c r="ALT51" s="42"/>
    </row>
    <row r="52" spans="1:1008">
      <c r="A52" s="266" t="s">
        <v>6307</v>
      </c>
      <c r="B52" s="364">
        <v>846</v>
      </c>
      <c r="C52" s="301" t="str">
        <f>(IF($A52="SINAPI",INDEX(SINAPI_NOV2020_NDES!$A$7:$H$6703,MATCH($B52,SINAPI_NOV2020_NDES!$A$7:$A$6703,0),2),IF($A52="GOINFRA",INDEX(#REF!,MATCH($B52,#REF!,0),2),(INDEX(COMPOS!$A$4:$G$3900,MATCH($B52,COMPOS!$A$4:A$3900,0),2)))))</f>
        <v>ELETRODUTO DE PVC RIGIDO DIAMETRO 1.1/4"</v>
      </c>
      <c r="D52" s="274" t="str">
        <f>(IF($A52="SINAPI",INDEX(SINAPI_NOV2020_NDES!$A$7:$H$6790,MATCH($B52,SINAPI_NOV2020_NDES!$A$7:$A$6790,0),3),(INDEX(COMPOS!$A$4:$G$5000,MATCH($B52,COMPOS!$A$4:$A$5000,0),3))))</f>
        <v>M</v>
      </c>
      <c r="E52" s="276">
        <v>47.5</v>
      </c>
      <c r="F52" s="276">
        <f>(IF($A52="SINAPI",INDEX(SINAPI_NOV2020_NDES!$A$7:$H$6703,MATCH($B52,SINAPI_NOV2020_NDES!$A$7:$A$6703,0),5),(INDEX(COMPOS!$A$4:$G$801,MATCH($B52,COMPOS!$A$4:A$801,0),4))))</f>
        <v>16.224599999999999</v>
      </c>
      <c r="G52" s="276">
        <f>(IF($A52="SINAPI",INDEX(SINAPI_NOV2020_NDES!$A$7:$H$6703,MATCH($B52,SINAPI_NOV2020_NDES!$A$7:$A$6703,0),6),(INDEX(COMPOS!$A$4:$G$801,MATCH($B52,COMPOS!$A$4:A$801,0),5))))</f>
        <v>4.5</v>
      </c>
      <c r="H52" s="276">
        <f>(IF($A52="SINAPI",INDEX(SINAPI_NOV2020_NDES!$A$7:$H$6703,MATCH($B52,SINAPI_NOV2020_NDES!$A$7:$A$6703,0),7),(INDEX(COMPOS!$A$4:$G$801,MATCH($B52,COMPOS!$A$4:A$801,0),6))))</f>
        <v>0</v>
      </c>
      <c r="I52" s="276">
        <f t="shared" si="10"/>
        <v>20.724599999999999</v>
      </c>
      <c r="J52" s="276">
        <f t="shared" si="11"/>
        <v>984.41849999999999</v>
      </c>
      <c r="K52" s="255"/>
      <c r="L52" s="255"/>
      <c r="M52" s="255"/>
      <c r="N52" s="255"/>
      <c r="O52" s="257"/>
      <c r="P52" s="255"/>
      <c r="ALL52" s="42"/>
      <c r="ALM52" s="42"/>
      <c r="ALN52" s="42"/>
      <c r="ALO52" s="42"/>
      <c r="ALP52" s="42"/>
      <c r="ALQ52" s="42"/>
      <c r="ALR52" s="42"/>
      <c r="ALS52" s="42"/>
      <c r="ALT52" s="42"/>
    </row>
    <row r="53" spans="1:1008">
      <c r="A53" s="266" t="s">
        <v>6307</v>
      </c>
      <c r="B53" s="364">
        <v>831</v>
      </c>
      <c r="C53" s="301" t="str">
        <f>(IF($A53="SINAPI",INDEX(SINAPI_NOV2020_NDES!$A$7:$H$6703,MATCH($B53,SINAPI_NOV2020_NDES!$A$7:$A$6703,0),2),IF($A53="GOINFRA",INDEX(#REF!,MATCH($B53,#REF!,0),2),(INDEX(COMPOS!$A$4:$G$3900,MATCH($B53,COMPOS!$A$4:A$3900,0),2)))))</f>
        <v>LUVA PVC ROSQUEAVEL DIAMETRO 1.1/4"</v>
      </c>
      <c r="D53" s="274" t="str">
        <f>(IF($A53="SINAPI",INDEX(SINAPI_NOV2020_NDES!$A$7:$H$6790,MATCH($B53,SINAPI_NOV2020_NDES!$A$7:$A$6790,0),3),(INDEX(COMPOS!$A$4:$G$5000,MATCH($B53,COMPOS!$A$4:$A$5000,0),3))))</f>
        <v>UN</v>
      </c>
      <c r="E53" s="276">
        <v>14</v>
      </c>
      <c r="F53" s="276">
        <f>(IF($A53="SINAPI",INDEX(SINAPI_NOV2020_NDES!$A$7:$H$6703,MATCH($B53,SINAPI_NOV2020_NDES!$A$7:$A$6703,0),5),(INDEX(COMPOS!$A$4:$G$801,MATCH($B53,COMPOS!$A$4:A$801,0),4))))</f>
        <v>2.7041000000000004</v>
      </c>
      <c r="G53" s="276">
        <f>(IF($A53="SINAPI",INDEX(SINAPI_NOV2020_NDES!$A$7:$H$6703,MATCH($B53,SINAPI_NOV2020_NDES!$A$7:$A$6703,0),6),(INDEX(COMPOS!$A$4:$G$801,MATCH($B53,COMPOS!$A$4:A$801,0),5))))</f>
        <v>1.0900000000000001</v>
      </c>
      <c r="H53" s="276">
        <f>(IF($A53="SINAPI",INDEX(SINAPI_NOV2020_NDES!$A$7:$H$6703,MATCH($B53,SINAPI_NOV2020_NDES!$A$7:$A$6703,0),7),(INDEX(COMPOS!$A$4:$G$801,MATCH($B53,COMPOS!$A$4:A$801,0),6))))</f>
        <v>0</v>
      </c>
      <c r="I53" s="276">
        <f t="shared" si="10"/>
        <v>3.7941000000000003</v>
      </c>
      <c r="J53" s="276">
        <f t="shared" si="11"/>
        <v>53.117400000000004</v>
      </c>
      <c r="K53" s="255"/>
      <c r="L53" s="255"/>
      <c r="M53" s="255"/>
      <c r="N53" s="255"/>
      <c r="O53" s="257"/>
      <c r="P53" s="255"/>
      <c r="ALL53" s="42"/>
      <c r="ALM53" s="42"/>
      <c r="ALN53" s="42"/>
      <c r="ALO53" s="42"/>
      <c r="ALP53" s="42"/>
      <c r="ALQ53" s="42"/>
      <c r="ALR53" s="42"/>
      <c r="ALS53" s="42"/>
      <c r="ALT53" s="42"/>
    </row>
    <row r="54" spans="1:1008">
      <c r="A54" s="266" t="s">
        <v>6307</v>
      </c>
      <c r="B54" s="364">
        <v>828</v>
      </c>
      <c r="C54" s="301" t="str">
        <f>(IF($A54="SINAPI",INDEX(SINAPI_NOV2020_NDES!$A$7:$H$6703,MATCH($B54,SINAPI_NOV2020_NDES!$A$7:$A$6703,0),2),IF($A54="GOINFRA",INDEX(#REF!,MATCH($B54,#REF!,0),2),(INDEX(COMPOS!$A$4:$G$3900,MATCH($B54,COMPOS!$A$4:A$3900,0),2)))))</f>
        <v>LUVA PVC ROSQUEAVEL DIAMETRO 3/4"</v>
      </c>
      <c r="D54" s="274" t="str">
        <f>(IF($A54="SINAPI",INDEX(SINAPI_NOV2020_NDES!$A$7:$H$6790,MATCH($B54,SINAPI_NOV2020_NDES!$A$7:$A$6790,0),3),(INDEX(COMPOS!$A$4:$G$5000,MATCH($B54,COMPOS!$A$4:$A$5000,0),3))))</f>
        <v>UN</v>
      </c>
      <c r="E54" s="276">
        <v>83</v>
      </c>
      <c r="F54" s="276">
        <f>(IF($A54="SINAPI",INDEX(SINAPI_NOV2020_NDES!$A$7:$H$6703,MATCH($B54,SINAPI_NOV2020_NDES!$A$7:$A$6703,0),5),(INDEX(COMPOS!$A$4:$G$801,MATCH($B54,COMPOS!$A$4:A$801,0),4))))</f>
        <v>1.1589</v>
      </c>
      <c r="G54" s="276">
        <f>(IF($A54="SINAPI",INDEX(SINAPI_NOV2020_NDES!$A$7:$H$6703,MATCH($B54,SINAPI_NOV2020_NDES!$A$7:$A$6703,0),6),(INDEX(COMPOS!$A$4:$G$801,MATCH($B54,COMPOS!$A$4:A$801,0),5))))</f>
        <v>0.5</v>
      </c>
      <c r="H54" s="276">
        <f>(IF($A54="SINAPI",INDEX(SINAPI_NOV2020_NDES!$A$7:$H$6703,MATCH($B54,SINAPI_NOV2020_NDES!$A$7:$A$6703,0),7),(INDEX(COMPOS!$A$4:$G$801,MATCH($B54,COMPOS!$A$4:A$801,0),6))))</f>
        <v>0</v>
      </c>
      <c r="I54" s="276">
        <f t="shared" si="10"/>
        <v>1.6589</v>
      </c>
      <c r="J54" s="276">
        <f t="shared" si="11"/>
        <v>137.68870000000001</v>
      </c>
      <c r="K54" s="255"/>
      <c r="L54" s="255"/>
      <c r="M54" s="255"/>
      <c r="N54" s="255"/>
      <c r="O54" s="257"/>
      <c r="P54" s="255"/>
      <c r="ALL54" s="42"/>
      <c r="ALM54" s="42"/>
      <c r="ALN54" s="42"/>
      <c r="ALO54" s="42"/>
      <c r="ALP54" s="42"/>
      <c r="ALQ54" s="42"/>
      <c r="ALR54" s="42"/>
      <c r="ALS54" s="42"/>
      <c r="ALT54" s="42"/>
    </row>
    <row r="55" spans="1:1008">
      <c r="A55" s="266" t="s">
        <v>6307</v>
      </c>
      <c r="B55" s="364">
        <v>835</v>
      </c>
      <c r="C55" s="301" t="str">
        <f>(IF($A55="SINAPI",INDEX(SINAPI_NOV2020_NDES!$A$7:$H$6703,MATCH($B55,SINAPI_NOV2020_NDES!$A$7:$A$6703,0),2),IF($A55="GOINFRA",INDEX(#REF!,MATCH($B55,#REF!,0),2),(INDEX(COMPOS!$A$4:$G$3900,MATCH($B55,COMPOS!$A$4:A$3900,0),2)))))</f>
        <v>BUCHA E ARRUELA METALICA DIAM. 1.1/4"</v>
      </c>
      <c r="D55" s="274" t="str">
        <f>(IF($A55="SINAPI",INDEX(SINAPI_NOV2020_NDES!$A$7:$H$6790,MATCH($B55,SINAPI_NOV2020_NDES!$A$7:$A$6790,0),3),(INDEX(COMPOS!$A$4:$G$5000,MATCH($B55,COMPOS!$A$4:$A$5000,0),3))))</f>
        <v>UN</v>
      </c>
      <c r="E55" s="276">
        <v>8</v>
      </c>
      <c r="F55" s="276">
        <f>(IF($A55="SINAPI",INDEX(SINAPI_NOV2020_NDES!$A$7:$H$6703,MATCH($B55,SINAPI_NOV2020_NDES!$A$7:$A$6703,0),5),(INDEX(COMPOS!$A$4:$G$801,MATCH($B55,COMPOS!$A$4:A$801,0),4))))</f>
        <v>11.588999999999999</v>
      </c>
      <c r="G55" s="276">
        <f>(IF($A55="SINAPI",INDEX(SINAPI_NOV2020_NDES!$A$7:$H$6703,MATCH($B55,SINAPI_NOV2020_NDES!$A$7:$A$6703,0),6),(INDEX(COMPOS!$A$4:$G$801,MATCH($B55,COMPOS!$A$4:A$801,0),5))))</f>
        <v>2.29</v>
      </c>
      <c r="H55" s="276">
        <f>(IF($A55="SINAPI",INDEX(SINAPI_NOV2020_NDES!$A$7:$H$6703,MATCH($B55,SINAPI_NOV2020_NDES!$A$7:$A$6703,0),7),(INDEX(COMPOS!$A$4:$G$801,MATCH($B55,COMPOS!$A$4:A$801,0),6))))</f>
        <v>0</v>
      </c>
      <c r="I55" s="276">
        <f t="shared" si="10"/>
        <v>13.878999999999998</v>
      </c>
      <c r="J55" s="276">
        <f t="shared" si="11"/>
        <v>111.03199999999998</v>
      </c>
      <c r="K55" s="255"/>
      <c r="L55" s="255"/>
      <c r="M55" s="255"/>
      <c r="N55" s="255"/>
      <c r="O55" s="257"/>
      <c r="P55" s="255"/>
      <c r="ALL55" s="42"/>
      <c r="ALM55" s="42"/>
      <c r="ALN55" s="42"/>
      <c r="ALO55" s="42"/>
      <c r="ALP55" s="42"/>
      <c r="ALQ55" s="42"/>
      <c r="ALR55" s="42"/>
      <c r="ALS55" s="42"/>
      <c r="ALT55" s="42"/>
    </row>
    <row r="56" spans="1:1008">
      <c r="A56" s="266" t="s">
        <v>6307</v>
      </c>
      <c r="B56" s="364">
        <v>410</v>
      </c>
      <c r="C56" s="301" t="str">
        <f>(IF($A56="SINAPI",INDEX(SINAPI_NOV2020_NDES!$A$7:$H$6703,MATCH($B56,SINAPI_NOV2020_NDES!$A$7:$A$6703,0),2),IF($A56="GOINFRA",INDEX(#REF!,MATCH($B56,#REF!,0),2),(INDEX(COMPOS!$A$4:$G$3900,MATCH($B56,COMPOS!$A$4:A$3900,0),2)))))</f>
        <v>CAIXA DE PASSAGEM METÁLICA DE EMBUTIR 20X20X10CM</v>
      </c>
      <c r="D56" s="274" t="str">
        <f>(IF($A56="SINAPI",INDEX(SINAPI_NOV2020_NDES!$A$7:$H$6790,MATCH($B56,SINAPI_NOV2020_NDES!$A$7:$A$6790,0),3),(INDEX(COMPOS!$A$4:$G$5000,MATCH($B56,COMPOS!$A$4:$A$5000,0),3))))</f>
        <v>UN</v>
      </c>
      <c r="E56" s="276">
        <v>1</v>
      </c>
      <c r="F56" s="276">
        <f>(IF($A56="SINAPI",INDEX(SINAPI_NOV2020_NDES!$A$7:$H$6703,MATCH($B56,SINAPI_NOV2020_NDES!$A$7:$A$6703,0),5),(INDEX(COMPOS!$A$4:$G$801,MATCH($B56,COMPOS!$A$4:A$801,0),4))))</f>
        <v>48.287499999999994</v>
      </c>
      <c r="G56" s="276">
        <f>(IF($A56="SINAPI",INDEX(SINAPI_NOV2020_NDES!$A$7:$H$6703,MATCH($B56,SINAPI_NOV2020_NDES!$A$7:$A$6703,0),6),(INDEX(COMPOS!$A$4:$G$801,MATCH($B56,COMPOS!$A$4:A$801,0),5))))</f>
        <v>39.97</v>
      </c>
      <c r="H56" s="276">
        <f>(IF($A56="SINAPI",INDEX(SINAPI_NOV2020_NDES!$A$7:$H$6703,MATCH($B56,SINAPI_NOV2020_NDES!$A$7:$A$6703,0),7),(INDEX(COMPOS!$A$4:$G$801,MATCH($B56,COMPOS!$A$4:A$801,0),6))))</f>
        <v>0</v>
      </c>
      <c r="I56" s="276">
        <f t="shared" si="10"/>
        <v>88.257499999999993</v>
      </c>
      <c r="J56" s="276">
        <f t="shared" si="11"/>
        <v>88.257499999999993</v>
      </c>
      <c r="K56" s="255"/>
      <c r="L56" s="255"/>
      <c r="M56" s="255"/>
      <c r="N56" s="255"/>
      <c r="O56" s="257"/>
      <c r="P56" s="255"/>
      <c r="ALL56" s="42"/>
      <c r="ALM56" s="42"/>
      <c r="ALN56" s="42"/>
      <c r="ALO56" s="42"/>
      <c r="ALP56" s="42"/>
      <c r="ALQ56" s="42"/>
      <c r="ALR56" s="42"/>
      <c r="ALS56" s="42"/>
      <c r="ALT56" s="42"/>
    </row>
    <row r="57" spans="1:1008">
      <c r="A57" s="266" t="s">
        <v>6307</v>
      </c>
      <c r="B57" s="364">
        <v>841</v>
      </c>
      <c r="C57" s="301" t="str">
        <f>(IF($A57="SINAPI",INDEX(SINAPI_NOV2020_NDES!$A$7:$H$6703,MATCH($B57,SINAPI_NOV2020_NDES!$A$7:$A$6703,0),2),IF($A57="GOINFRA",INDEX(#REF!,MATCH($B57,#REF!,0),2),(INDEX(COMPOS!$A$4:$G$3900,MATCH($B57,COMPOS!$A$4:A$3900,0),2)))))</f>
        <v>CAIXA DISTRIBUIÇÃO TELEFÔNICA DE EMBUTIR 40X40X12 CM</v>
      </c>
      <c r="D57" s="274" t="str">
        <f>(IF($A57="SINAPI",INDEX(SINAPI_NOV2020_NDES!$A$7:$H$6790,MATCH($B57,SINAPI_NOV2020_NDES!$A$7:$A$6790,0),3),(INDEX(COMPOS!$A$4:$G$5000,MATCH($B57,COMPOS!$A$4:$A$5000,0),3))))</f>
        <v>UN</v>
      </c>
      <c r="E57" s="276">
        <v>1</v>
      </c>
      <c r="F57" s="276">
        <f>(IF($A57="SINAPI",INDEX(SINAPI_NOV2020_NDES!$A$7:$H$6703,MATCH($B57,SINAPI_NOV2020_NDES!$A$7:$A$6703,0),5),(INDEX(COMPOS!$A$4:$G$801,MATCH($B57,COMPOS!$A$4:A$801,0),4))))</f>
        <v>77.259999999999991</v>
      </c>
      <c r="G57" s="276">
        <f>(IF($A57="SINAPI",INDEX(SINAPI_NOV2020_NDES!$A$7:$H$6703,MATCH($B57,SINAPI_NOV2020_NDES!$A$7:$A$6703,0),6),(INDEX(COMPOS!$A$4:$G$801,MATCH($B57,COMPOS!$A$4:A$801,0),5))))</f>
        <v>88.55</v>
      </c>
      <c r="H57" s="276">
        <f>(IF($A57="SINAPI",INDEX(SINAPI_NOV2020_NDES!$A$7:$H$6703,MATCH($B57,SINAPI_NOV2020_NDES!$A$7:$A$6703,0),7),(INDEX(COMPOS!$A$4:$G$801,MATCH($B57,COMPOS!$A$4:A$801,0),6))))</f>
        <v>0</v>
      </c>
      <c r="I57" s="276">
        <f t="shared" si="10"/>
        <v>165.81</v>
      </c>
      <c r="J57" s="276">
        <f t="shared" si="11"/>
        <v>165.81</v>
      </c>
      <c r="K57" s="255"/>
      <c r="L57" s="255"/>
      <c r="M57" s="255"/>
      <c r="N57" s="255"/>
      <c r="O57" s="257"/>
      <c r="P57" s="255"/>
      <c r="ALL57" s="42"/>
      <c r="ALM57" s="42"/>
      <c r="ALN57" s="42"/>
      <c r="ALO57" s="42"/>
      <c r="ALP57" s="42"/>
      <c r="ALQ57" s="42"/>
      <c r="ALR57" s="42"/>
      <c r="ALS57" s="42"/>
      <c r="ALT57" s="42"/>
    </row>
    <row r="58" spans="1:1008">
      <c r="A58" s="266" t="s">
        <v>6307</v>
      </c>
      <c r="B58" s="364">
        <v>320</v>
      </c>
      <c r="C58" s="301" t="str">
        <f>(IF($A58="SINAPI",INDEX(SINAPI_NOV2020_NDES!$A$7:$H$6703,MATCH($B58,SINAPI_NOV2020_NDES!$A$7:$A$6703,0),2),IF($A58="GOINFRA",INDEX(#REF!,MATCH($B58,#REF!,0),2),(INDEX(COMPOS!$A$4:$G$3900,MATCH($B58,COMPOS!$A$4:A$3900,0),2)))))</f>
        <v>CAIXA DE PASSAGEM 35X60X50CM FUNDO DE CONCRETO PARA TAMPA R1</v>
      </c>
      <c r="D58" s="274" t="str">
        <f>(IF($A58="SINAPI",INDEX(SINAPI_NOV2020_NDES!$A$7:$H$6790,MATCH($B58,SINAPI_NOV2020_NDES!$A$7:$A$6790,0),3),(INDEX(COMPOS!$A$4:$G$5000,MATCH($B58,COMPOS!$A$4:$A$5000,0),3))))</f>
        <v>UN</v>
      </c>
      <c r="E58" s="276">
        <v>1</v>
      </c>
      <c r="F58" s="276">
        <f>(IF($A58="SINAPI",INDEX(SINAPI_NOV2020_NDES!$A$7:$H$6703,MATCH($B58,SINAPI_NOV2020_NDES!$A$7:$A$6703,0),5),(INDEX(COMPOS!$A$4:$G$801,MATCH($B58,COMPOS!$A$4:A$801,0),4))))</f>
        <v>154.60165099999998</v>
      </c>
      <c r="G58" s="276">
        <f>(IF($A58="SINAPI",INDEX(SINAPI_NOV2020_NDES!$A$7:$H$6703,MATCH($B58,SINAPI_NOV2020_NDES!$A$7:$A$6703,0),6),(INDEX(COMPOS!$A$4:$G$801,MATCH($B58,COMPOS!$A$4:A$801,0),5))))</f>
        <v>104.76597111570248</v>
      </c>
      <c r="H58" s="276">
        <f>(IF($A58="SINAPI",INDEX(SINAPI_NOV2020_NDES!$A$7:$H$6703,MATCH($B58,SINAPI_NOV2020_NDES!$A$7:$A$6703,0),7),(INDEX(COMPOS!$A$4:$G$801,MATCH($B58,COMPOS!$A$4:A$801,0),6))))</f>
        <v>0</v>
      </c>
      <c r="I58" s="276">
        <f t="shared" si="10"/>
        <v>259.36762211570249</v>
      </c>
      <c r="J58" s="276">
        <f t="shared" si="11"/>
        <v>259.36762211570249</v>
      </c>
      <c r="K58" s="255"/>
      <c r="L58" s="255"/>
      <c r="M58" s="255"/>
      <c r="N58" s="255"/>
      <c r="O58" s="257"/>
      <c r="P58" s="255"/>
      <c r="ALL58" s="42"/>
      <c r="ALM58" s="42"/>
      <c r="ALN58" s="42"/>
      <c r="ALO58" s="42"/>
      <c r="ALP58" s="42"/>
      <c r="ALQ58" s="42"/>
      <c r="ALR58" s="42"/>
      <c r="ALS58" s="42"/>
      <c r="ALT58" s="42"/>
    </row>
    <row r="59" spans="1:1008">
      <c r="A59" s="266" t="s">
        <v>6307</v>
      </c>
      <c r="B59" s="364">
        <v>372</v>
      </c>
      <c r="C59" s="301" t="str">
        <f>(IF($A59="SINAPI",INDEX(SINAPI_NOV2020_NDES!$A$7:$H$6703,MATCH($B59,SINAPI_NOV2020_NDES!$A$7:$A$6703,0),2),IF($A59="GOINFRA",INDEX(#REF!,MATCH($B59,#REF!,0),2),(INDEX(COMPOS!$A$4:$G$3900,MATCH($B59,COMPOS!$A$4:A$3900,0),2)))))</f>
        <v>TAMPA DE Fo.Fo. R1 COM BASE</v>
      </c>
      <c r="D59" s="274" t="str">
        <f>(IF($A59="SINAPI",INDEX(SINAPI_NOV2020_NDES!$A$7:$H$6790,MATCH($B59,SINAPI_NOV2020_NDES!$A$7:$A$6790,0),3),(INDEX(COMPOS!$A$4:$G$5000,MATCH($B59,COMPOS!$A$4:$A$5000,0),3))))</f>
        <v>UN</v>
      </c>
      <c r="E59" s="276">
        <v>1</v>
      </c>
      <c r="F59" s="276">
        <f>(IF($A59="SINAPI",INDEX(SINAPI_NOV2020_NDES!$A$7:$H$6703,MATCH($B59,SINAPI_NOV2020_NDES!$A$7:$A$6703,0),5),(INDEX(COMPOS!$A$4:$G$801,MATCH($B59,COMPOS!$A$4:A$801,0),4))))</f>
        <v>3.863</v>
      </c>
      <c r="G59" s="276">
        <f>(IF($A59="SINAPI",INDEX(SINAPI_NOV2020_NDES!$A$7:$H$6703,MATCH($B59,SINAPI_NOV2020_NDES!$A$7:$A$6703,0),6),(INDEX(COMPOS!$A$4:$G$801,MATCH($B59,COMPOS!$A$4:A$801,0),5))))</f>
        <v>207.66</v>
      </c>
      <c r="H59" s="276">
        <f>(IF($A59="SINAPI",INDEX(SINAPI_NOV2020_NDES!$A$7:$H$6703,MATCH($B59,SINAPI_NOV2020_NDES!$A$7:$A$6703,0),7),(INDEX(COMPOS!$A$4:$G$801,MATCH($B59,COMPOS!$A$4:A$801,0),6))))</f>
        <v>0</v>
      </c>
      <c r="I59" s="276">
        <f t="shared" si="10"/>
        <v>211.523</v>
      </c>
      <c r="J59" s="276">
        <f t="shared" si="11"/>
        <v>211.523</v>
      </c>
      <c r="K59" s="255"/>
      <c r="L59" s="255"/>
      <c r="M59" s="255"/>
      <c r="N59" s="255"/>
      <c r="O59" s="257"/>
      <c r="P59" s="255"/>
      <c r="ALL59" s="42"/>
      <c r="ALM59" s="42"/>
      <c r="ALN59" s="42"/>
      <c r="ALO59" s="42"/>
      <c r="ALP59" s="42"/>
      <c r="ALQ59" s="42"/>
      <c r="ALR59" s="42"/>
      <c r="ALS59" s="42"/>
      <c r="ALT59" s="42"/>
    </row>
    <row r="60" spans="1:1008" ht="24">
      <c r="A60" s="266" t="s">
        <v>6307</v>
      </c>
      <c r="B60" s="364">
        <v>549</v>
      </c>
      <c r="C60" s="301" t="str">
        <f>(IF($A60="SINAPI",INDEX(SINAPI_NOV2020_NDES!$A$7:$H$6703,MATCH($B60,SINAPI_NOV2020_NDES!$A$7:$A$6703,0),2),IF($A60="GOINFRA",INDEX(#REF!,MATCH($B60,#REF!,0),2),(INDEX(COMPOS!$A$4:$G$3900,MATCH($B60,COMPOS!$A$4:A$3900,0),2)))))</f>
        <v>SUPORTE DE TOMADA TELEFÔNICA TIPO RJ-45 2 POSIÇÕES 14,7x19,3mm - R-130 DA MOPA ou equivalente de mesmo padrão de qualidade</v>
      </c>
      <c r="D60" s="274" t="str">
        <f>(IF($A60="SINAPI",INDEX(SINAPI_NOV2020_NDES!$A$7:$H$6790,MATCH($B60,SINAPI_NOV2020_NDES!$A$7:$A$6790,0),3),(INDEX(COMPOS!$A$4:$G$5000,MATCH($B60,COMPOS!$A$4:$A$5000,0),3))))</f>
        <v>UN</v>
      </c>
      <c r="E60" s="276">
        <v>6</v>
      </c>
      <c r="F60" s="276">
        <f>(IF($A60="SINAPI",INDEX(SINAPI_NOV2020_NDES!$A$7:$H$6703,MATCH($B60,SINAPI_NOV2020_NDES!$A$7:$A$6703,0),5),(INDEX(COMPOS!$A$4:$G$801,MATCH($B60,COMPOS!$A$4:A$801,0),4))))</f>
        <v>3.863</v>
      </c>
      <c r="G60" s="276">
        <f>(IF($A60="SINAPI",INDEX(SINAPI_NOV2020_NDES!$A$7:$H$6703,MATCH($B60,SINAPI_NOV2020_NDES!$A$7:$A$6703,0),6),(INDEX(COMPOS!$A$4:$G$801,MATCH($B60,COMPOS!$A$4:A$801,0),5))))</f>
        <v>32.56</v>
      </c>
      <c r="H60" s="276">
        <f>(IF($A60="SINAPI",INDEX(SINAPI_NOV2020_NDES!$A$7:$H$6703,MATCH($B60,SINAPI_NOV2020_NDES!$A$7:$A$6703,0),7),(INDEX(COMPOS!$A$4:$G$801,MATCH($B60,COMPOS!$A$4:A$801,0),6))))</f>
        <v>0</v>
      </c>
      <c r="I60" s="276">
        <f t="shared" si="10"/>
        <v>36.423000000000002</v>
      </c>
      <c r="J60" s="276">
        <f t="shared" si="11"/>
        <v>218.53800000000001</v>
      </c>
      <c r="K60" s="255"/>
      <c r="L60" s="255"/>
      <c r="M60" s="255"/>
      <c r="N60" s="255"/>
      <c r="O60" s="257"/>
      <c r="P60" s="255"/>
      <c r="ALL60" s="42"/>
      <c r="ALM60" s="42"/>
      <c r="ALN60" s="42"/>
      <c r="ALO60" s="42"/>
      <c r="ALP60" s="42"/>
      <c r="ALQ60" s="42"/>
      <c r="ALR60" s="42"/>
      <c r="ALS60" s="42"/>
      <c r="ALT60" s="42"/>
    </row>
    <row r="61" spans="1:1008">
      <c r="A61" s="266" t="s">
        <v>6307</v>
      </c>
      <c r="B61" s="364">
        <v>872</v>
      </c>
      <c r="C61" s="301" t="str">
        <f>(IF($A61="SINAPI",INDEX(SINAPI_NOV2020_NDES!$A$7:$H$6703,MATCH($B61,SINAPI_NOV2020_NDES!$A$7:$A$6703,0),2),IF($A61="GOINFRA",INDEX(#REF!,MATCH($B61,#REF!,0),2),(INDEX(COMPOS!$A$4:$G$3900,MATCH($B61,COMPOS!$A$4:A$3900,0),2)))))</f>
        <v>CONDULETE PARA PONTO DE SOM NO TETO</v>
      </c>
      <c r="D61" s="274" t="str">
        <f>(IF($A61="SINAPI",INDEX(SINAPI_NOV2020_NDES!$A$7:$H$6790,MATCH($B61,SINAPI_NOV2020_NDES!$A$7:$A$6790,0),3),(INDEX(COMPOS!$A$4:$G$5000,MATCH($B61,COMPOS!$A$4:$A$5000,0),3))))</f>
        <v>UN</v>
      </c>
      <c r="E61" s="276">
        <v>12</v>
      </c>
      <c r="F61" s="276">
        <f>(IF($A61="SINAPI",INDEX(SINAPI_NOV2020_NDES!$A$7:$H$6703,MATCH($B61,SINAPI_NOV2020_NDES!$A$7:$A$6703,0),5),(INDEX(COMPOS!$A$4:$G$801,MATCH($B61,COMPOS!$A$4:A$801,0),4))))</f>
        <v>13.1342</v>
      </c>
      <c r="G61" s="276">
        <f>(IF($A61="SINAPI",INDEX(SINAPI_NOV2020_NDES!$A$7:$H$6703,MATCH($B61,SINAPI_NOV2020_NDES!$A$7:$A$6703,0),6),(INDEX(COMPOS!$A$4:$G$801,MATCH($B61,COMPOS!$A$4:A$801,0),5))))</f>
        <v>4.71</v>
      </c>
      <c r="H61" s="276">
        <f>(IF($A61="SINAPI",INDEX(SINAPI_NOV2020_NDES!$A$7:$H$6703,MATCH($B61,SINAPI_NOV2020_NDES!$A$7:$A$6703,0),7),(INDEX(COMPOS!$A$4:$G$801,MATCH($B61,COMPOS!$A$4:A$801,0),6))))</f>
        <v>0</v>
      </c>
      <c r="I61" s="276">
        <f t="shared" si="10"/>
        <v>17.844200000000001</v>
      </c>
      <c r="J61" s="276">
        <f t="shared" si="11"/>
        <v>214.13040000000001</v>
      </c>
      <c r="K61" s="255"/>
      <c r="L61" s="255"/>
      <c r="M61" s="255"/>
      <c r="N61" s="255"/>
      <c r="O61" s="257"/>
      <c r="P61" s="255"/>
      <c r="ALL61" s="42"/>
      <c r="ALM61" s="42"/>
      <c r="ALN61" s="42"/>
      <c r="ALO61" s="42"/>
      <c r="ALP61" s="42"/>
      <c r="ALQ61" s="42"/>
      <c r="ALR61" s="42"/>
      <c r="ALS61" s="42"/>
      <c r="ALT61" s="42"/>
    </row>
    <row r="62" spans="1:1008" ht="24">
      <c r="A62" s="266" t="s">
        <v>6307</v>
      </c>
      <c r="B62" s="364">
        <v>861</v>
      </c>
      <c r="C62" s="301" t="str">
        <f>(IF($A62="SINAPI",INDEX(SINAPI_NOV2020_NDES!$A$7:$H$6703,MATCH($B62,SINAPI_NOV2020_NDES!$A$7:$A$6703,0),2),IF($A62="GOINFRA",INDEX(#REF!,MATCH($B62,#REF!,0),2),(INDEX(COMPOS!$A$4:$G$3900,MATCH($B62,COMPOS!$A$4:A$3900,0),2)))))</f>
        <v>TOMADA PARA ANTENA DE TV, SEM CAIXA, INCLUSIVE CONECTOR EMENDA PARA CABO COAXIAL</v>
      </c>
      <c r="D62" s="274" t="str">
        <f>(IF($A62="SINAPI",INDEX(SINAPI_NOV2020_NDES!$A$7:$H$6790,MATCH($B62,SINAPI_NOV2020_NDES!$A$7:$A$6790,0),3),(INDEX(COMPOS!$A$4:$G$5000,MATCH($B62,COMPOS!$A$4:$A$5000,0),3))))</f>
        <v>UN</v>
      </c>
      <c r="E62" s="276">
        <v>2</v>
      </c>
      <c r="F62" s="276">
        <f>(IF($A62="SINAPI",INDEX(SINAPI_NOV2020_NDES!$A$7:$H$6703,MATCH($B62,SINAPI_NOV2020_NDES!$A$7:$A$6703,0),5),(INDEX(COMPOS!$A$4:$G$801,MATCH($B62,COMPOS!$A$4:A$801,0),4))))</f>
        <v>6.5670000000000002</v>
      </c>
      <c r="G62" s="276">
        <f>(IF($A62="SINAPI",INDEX(SINAPI_NOV2020_NDES!$A$7:$H$6703,MATCH($B62,SINAPI_NOV2020_NDES!$A$7:$A$6703,0),6),(INDEX(COMPOS!$A$4:$G$801,MATCH($B62,COMPOS!$A$4:A$801,0),5))))</f>
        <v>9.94</v>
      </c>
      <c r="H62" s="276">
        <f>(IF($A62="SINAPI",INDEX(SINAPI_NOV2020_NDES!$A$7:$H$6703,MATCH($B62,SINAPI_NOV2020_NDES!$A$7:$A$6703,0),7),(INDEX(COMPOS!$A$4:$G$801,MATCH($B62,COMPOS!$A$4:A$801,0),6))))</f>
        <v>0</v>
      </c>
      <c r="I62" s="276">
        <f t="shared" si="10"/>
        <v>16.506999999999998</v>
      </c>
      <c r="J62" s="276">
        <f t="shared" si="11"/>
        <v>33.013999999999996</v>
      </c>
      <c r="K62" s="255"/>
      <c r="L62" s="255"/>
      <c r="M62" s="255"/>
      <c r="N62" s="255"/>
      <c r="O62" s="257"/>
      <c r="P62" s="255"/>
      <c r="ALL62" s="42"/>
      <c r="ALM62" s="42"/>
      <c r="ALN62" s="42"/>
      <c r="ALO62" s="42"/>
      <c r="ALP62" s="42"/>
      <c r="ALQ62" s="42"/>
      <c r="ALR62" s="42"/>
      <c r="ALS62" s="42"/>
      <c r="ALT62" s="42"/>
    </row>
    <row r="63" spans="1:1008">
      <c r="A63" s="266" t="s">
        <v>6307</v>
      </c>
      <c r="B63" s="364">
        <v>873</v>
      </c>
      <c r="C63" s="301" t="str">
        <f>(IF($A63="SINAPI",INDEX(SINAPI_NOV2020_NDES!$A$7:$H$6703,MATCH($B63,SINAPI_NOV2020_NDES!$A$7:$A$6703,0),2),IF($A63="GOINFRA",INDEX(#REF!,MATCH($B63,#REF!,0),2),(INDEX(COMPOS!$A$4:$G$3900,MATCH($B63,COMPOS!$A$4:A$3900,0),2)))))</f>
        <v>CONDULETE PARA PONTO DE CÂMERA</v>
      </c>
      <c r="D63" s="274" t="str">
        <f>(IF($A63="SINAPI",INDEX(SINAPI_NOV2020_NDES!$A$7:$H$6790,MATCH($B63,SINAPI_NOV2020_NDES!$A$7:$A$6790,0),3),(INDEX(COMPOS!$A$4:$G$5000,MATCH($B63,COMPOS!$A$4:$A$5000,0),3))))</f>
        <v>UN</v>
      </c>
      <c r="E63" s="276">
        <v>7</v>
      </c>
      <c r="F63" s="276">
        <f>(IF($A63="SINAPI",INDEX(SINAPI_NOV2020_NDES!$A$7:$H$6703,MATCH($B63,SINAPI_NOV2020_NDES!$A$7:$A$6703,0),5),(INDEX(COMPOS!$A$4:$G$801,MATCH($B63,COMPOS!$A$4:A$801,0),4))))</f>
        <v>13.1342</v>
      </c>
      <c r="G63" s="276">
        <f>(IF($A63="SINAPI",INDEX(SINAPI_NOV2020_NDES!$A$7:$H$6703,MATCH($B63,SINAPI_NOV2020_NDES!$A$7:$A$6703,0),6),(INDEX(COMPOS!$A$4:$G$801,MATCH($B63,COMPOS!$A$4:A$801,0),5))))</f>
        <v>4.71</v>
      </c>
      <c r="H63" s="276">
        <f>(IF($A63="SINAPI",INDEX(SINAPI_NOV2020_NDES!$A$7:$H$6703,MATCH($B63,SINAPI_NOV2020_NDES!$A$7:$A$6703,0),7),(INDEX(COMPOS!$A$4:$G$801,MATCH($B63,COMPOS!$A$4:A$801,0),6))))</f>
        <v>0</v>
      </c>
      <c r="I63" s="276">
        <f t="shared" si="10"/>
        <v>17.844200000000001</v>
      </c>
      <c r="J63" s="276">
        <f t="shared" si="11"/>
        <v>124.90940000000001</v>
      </c>
      <c r="K63" s="255"/>
      <c r="L63" s="255"/>
      <c r="M63" s="255"/>
      <c r="N63" s="255"/>
      <c r="O63" s="257"/>
      <c r="P63" s="255"/>
      <c r="ALL63" s="42"/>
      <c r="ALM63" s="42"/>
      <c r="ALN63" s="42"/>
      <c r="ALO63" s="42"/>
      <c r="ALP63" s="42"/>
      <c r="ALQ63" s="42"/>
      <c r="ALR63" s="42"/>
      <c r="ALS63" s="42"/>
      <c r="ALT63" s="42"/>
    </row>
    <row r="64" spans="1:1008">
      <c r="A64" s="266" t="s">
        <v>6307</v>
      </c>
      <c r="B64" s="364">
        <v>45</v>
      </c>
      <c r="C64" s="301" t="str">
        <f>(IF($A64="SINAPI",INDEX(SINAPI_NOV2020_NDES!$A$7:$H$6703,MATCH($B64,SINAPI_NOV2020_NDES!$A$7:$A$6703,0),2),IF($A64="GOINFRA",INDEX(#REF!,MATCH($B64,#REF!,0),2),(INDEX(COMPOS!$A$4:$G$3900,MATCH($B64,COMPOS!$A$4:A$3900,0),2)))))</f>
        <v>CABO RGC 59-75 OHMS</v>
      </c>
      <c r="D64" s="274" t="str">
        <f>(IF($A64="SINAPI",INDEX(SINAPI_NOV2020_NDES!$A$7:$H$6790,MATCH($B64,SINAPI_NOV2020_NDES!$A$7:$A$6790,0),3),(INDEX(COMPOS!$A$4:$G$5000,MATCH($B64,COMPOS!$A$4:$A$5000,0),3))))</f>
        <v>M</v>
      </c>
      <c r="E64" s="276">
        <v>245</v>
      </c>
      <c r="F64" s="276">
        <f>(IF($A64="SINAPI",INDEX(SINAPI_NOV2020_NDES!$A$7:$H$6703,MATCH($B64,SINAPI_NOV2020_NDES!$A$7:$A$6703,0),5),(INDEX(COMPOS!$A$4:$G$801,MATCH($B64,COMPOS!$A$4:A$801,0),4))))</f>
        <v>2.7041000000000004</v>
      </c>
      <c r="G64" s="276">
        <f>(IF($A64="SINAPI",INDEX(SINAPI_NOV2020_NDES!$A$7:$H$6703,MATCH($B64,SINAPI_NOV2020_NDES!$A$7:$A$6703,0),6),(INDEX(COMPOS!$A$4:$G$801,MATCH($B64,COMPOS!$A$4:A$801,0),5))))</f>
        <v>1.2036</v>
      </c>
      <c r="H64" s="276">
        <f>(IF($A64="SINAPI",INDEX(SINAPI_NOV2020_NDES!$A$7:$H$6703,MATCH($B64,SINAPI_NOV2020_NDES!$A$7:$A$6703,0),7),(INDEX(COMPOS!$A$4:$G$801,MATCH($B64,COMPOS!$A$4:A$801,0),6))))</f>
        <v>0</v>
      </c>
      <c r="I64" s="276">
        <f t="shared" si="10"/>
        <v>3.9077000000000002</v>
      </c>
      <c r="J64" s="276">
        <f t="shared" si="11"/>
        <v>957.38650000000007</v>
      </c>
      <c r="K64" s="255"/>
      <c r="L64" s="255"/>
      <c r="M64" s="255"/>
      <c r="N64" s="255"/>
      <c r="O64" s="257"/>
      <c r="P64" s="255"/>
      <c r="ALL64" s="42"/>
      <c r="ALM64" s="42"/>
      <c r="ALN64" s="42"/>
      <c r="ALO64" s="42"/>
      <c r="ALP64" s="42"/>
      <c r="ALQ64" s="42"/>
      <c r="ALR64" s="42"/>
      <c r="ALS64" s="42"/>
      <c r="ALT64" s="42"/>
    </row>
    <row r="65" spans="1:1008">
      <c r="A65" s="266" t="s">
        <v>6307</v>
      </c>
      <c r="B65" s="364">
        <v>136</v>
      </c>
      <c r="C65" s="301" t="str">
        <f>(IF($A65="SINAPI",INDEX(SINAPI_NOV2020_NDES!$A$7:$H$6703,MATCH($B65,SINAPI_NOV2020_NDES!$A$7:$A$6703,0),2),IF($A65="GOINFRA",INDEX(#REF!,MATCH($B65,#REF!,0),2),(INDEX(COMPOS!$A$4:$G$3900,MATCH($B65,COMPOS!$A$4:A$3900,0),2)))))</f>
        <v>POTENCIÔMETRO PARA SISTEMA DE SONORIZAÇÃO</v>
      </c>
      <c r="D65" s="274" t="str">
        <f>(IF($A65="SINAPI",INDEX(SINAPI_NOV2020_NDES!$A$7:$H$6790,MATCH($B65,SINAPI_NOV2020_NDES!$A$7:$A$6790,0),3),(INDEX(COMPOS!$A$4:$G$5000,MATCH($B65,COMPOS!$A$4:$A$5000,0),3))))</f>
        <v>UN</v>
      </c>
      <c r="E65" s="276">
        <v>2</v>
      </c>
      <c r="F65" s="276">
        <f>(IF($A65="SINAPI",INDEX(SINAPI_NOV2020_NDES!$A$7:$H$6703,MATCH($B65,SINAPI_NOV2020_NDES!$A$7:$A$6703,0),5),(INDEX(COMPOS!$A$4:$G$801,MATCH($B65,COMPOS!$A$4:A$801,0),4))))</f>
        <v>9.8699650000000005</v>
      </c>
      <c r="G65" s="276">
        <f>(IF($A65="SINAPI",INDEX(SINAPI_NOV2020_NDES!$A$7:$H$6703,MATCH($B65,SINAPI_NOV2020_NDES!$A$7:$A$6703,0),6),(INDEX(COMPOS!$A$4:$G$801,MATCH($B65,COMPOS!$A$4:A$801,0),5))))</f>
        <v>4.53</v>
      </c>
      <c r="H65" s="276">
        <f>(IF($A65="SINAPI",INDEX(SINAPI_NOV2020_NDES!$A$7:$H$6703,MATCH($B65,SINAPI_NOV2020_NDES!$A$7:$A$6703,0),7),(INDEX(COMPOS!$A$4:$G$801,MATCH($B65,COMPOS!$A$4:A$801,0),6))))</f>
        <v>0</v>
      </c>
      <c r="I65" s="276">
        <f t="shared" si="10"/>
        <v>14.399965000000002</v>
      </c>
      <c r="J65" s="276">
        <f t="shared" si="11"/>
        <v>28.799930000000003</v>
      </c>
      <c r="K65" s="255"/>
      <c r="L65" s="255"/>
      <c r="M65" s="255"/>
      <c r="N65" s="255"/>
      <c r="O65" s="257"/>
      <c r="P65" s="255"/>
      <c r="ALL65" s="42"/>
      <c r="ALM65" s="42"/>
      <c r="ALN65" s="42"/>
      <c r="ALO65" s="42"/>
      <c r="ALP65" s="42"/>
      <c r="ALQ65" s="42"/>
      <c r="ALR65" s="42"/>
      <c r="ALS65" s="42"/>
      <c r="ALT65" s="42"/>
    </row>
    <row r="66" spans="1:1008">
      <c r="A66" s="251"/>
      <c r="B66" s="283"/>
      <c r="C66" s="333" t="s">
        <v>6946</v>
      </c>
      <c r="D66" s="274"/>
      <c r="E66" s="276"/>
      <c r="F66" s="279"/>
      <c r="G66" s="279"/>
      <c r="H66" s="279"/>
      <c r="I66" s="279"/>
      <c r="J66" s="276"/>
      <c r="K66" s="255"/>
      <c r="L66" s="255"/>
      <c r="M66" s="255"/>
      <c r="N66" s="255"/>
      <c r="O66" s="257"/>
      <c r="P66" s="255"/>
      <c r="ALL66" s="42"/>
      <c r="ALM66" s="42"/>
      <c r="ALN66" s="42"/>
      <c r="ALO66" s="42"/>
      <c r="ALP66" s="42"/>
      <c r="ALQ66" s="42"/>
      <c r="ALR66" s="42"/>
      <c r="ALS66" s="42"/>
      <c r="ALT66" s="42"/>
    </row>
    <row r="67" spans="1:1008" ht="24">
      <c r="A67" s="251" t="s">
        <v>7</v>
      </c>
      <c r="B67" s="283">
        <v>96973</v>
      </c>
      <c r="C67" s="301" t="str">
        <f>(IF($A67="SINAPI",INDEX(SINAPI_NOV2020_NDES!$A$7:$H$6703,MATCH($B67,SINAPI_NOV2020_NDES!$A$7:$A$6703,0),2),IF($A67="GOINFRA",INDEX(#REF!,MATCH($B67,#REF!,0),2),(INDEX(COMPOS!$A$4:$G$3900,MATCH($B67,COMPOS!$A$4:A$3900,0),2)))))</f>
        <v>CORDOALHA DE COBRE NU 35 MM², NÃO ENTERRADA, COM ISOLADOR - FORNECIMENTO E INSTALAÇÃO. AF_12/2017</v>
      </c>
      <c r="D67" s="274" t="str">
        <f>(IF($A67="SINAPI",INDEX(SINAPI_NOV2020_NDES!$A$7:$H$6790,MATCH($B67,SINAPI_NOV2020_NDES!$A$7:$A$6790,0),3),(INDEX(COMPOS!$A$4:$G$5000,MATCH($B67,COMPOS!$A$4:$A$5000,0),3))))</f>
        <v>M</v>
      </c>
      <c r="E67" s="276">
        <v>300</v>
      </c>
      <c r="F67" s="279">
        <f>(IF($A67="SINAPI",INDEX(SINAPI_NOV2020_NDES!$A$7:$H$6703,MATCH($B67,SINAPI_NOV2020_NDES!$A$7:$A$6703,0),5),(INDEX(COMPOS!$A$4:$G$801,MATCH($B67,COMPOS!$A$4:A$801,0),4))))</f>
        <v>12.12</v>
      </c>
      <c r="G67" s="279">
        <f>(IF($A67="SINAPI",INDEX(SINAPI_NOV2020_NDES!$A$7:$H$6703,MATCH($B67,SINAPI_NOV2020_NDES!$A$7:$A$6703,0),6),(INDEX(COMPOS!$A$4:$G$801,MATCH($B67,COMPOS!$A$4:A$801,0),5))))</f>
        <v>32.340000000000003</v>
      </c>
      <c r="H67" s="280">
        <f>(IF($A67="SINAPI",INDEX(SINAPI_NOV2020_NDES!$A$7:$H$6703,MATCH($B67,SINAPI_NOV2020_NDES!$A$7:$A$6703,0),7),(INDEX(COMPOS!$A$4:$G$801,MATCH($B67,COMPOS!$A$4:A$801,0),6))))</f>
        <v>0</v>
      </c>
      <c r="I67" s="279">
        <f t="shared" ref="I67" si="12">SUM(F67:H67)</f>
        <v>44.46</v>
      </c>
      <c r="J67" s="276">
        <f t="shared" ref="J67" si="13">+I67*E67</f>
        <v>13338</v>
      </c>
      <c r="K67" s="255"/>
      <c r="L67" s="255"/>
      <c r="M67" s="255"/>
      <c r="N67" s="255"/>
      <c r="O67" s="257"/>
      <c r="P67" s="255"/>
      <c r="ALL67" s="42"/>
      <c r="ALM67" s="42"/>
      <c r="ALN67" s="42"/>
      <c r="ALO67" s="42"/>
      <c r="ALP67" s="42"/>
      <c r="ALQ67" s="42"/>
      <c r="ALR67" s="42"/>
      <c r="ALS67" s="42"/>
      <c r="ALT67" s="42"/>
    </row>
    <row r="68" spans="1:1008" s="99" customFormat="1" ht="24">
      <c r="A68" s="251" t="s">
        <v>7</v>
      </c>
      <c r="B68" s="283">
        <v>96974</v>
      </c>
      <c r="C68" s="301" t="str">
        <f>(IF($A68="SINAPI",INDEX(SINAPI_NOV2020_NDES!$A$7:$H$6703,MATCH($B68,SINAPI_NOV2020_NDES!$A$7:$A$6703,0),2),IF($A68="GOINFRA",INDEX(#REF!,MATCH($B68,#REF!,0),2),(INDEX(COMPOS!$A$4:$G$3900,MATCH($B68,COMPOS!$A$4:A$3900,0),2)))))</f>
        <v>CORDOALHA DE COBRE NU 50 MM², NÃO ENTERRADA, COM ISOLADOR - FORNECIMENTO E INSTALAÇÃO. AF_12/2017</v>
      </c>
      <c r="D68" s="274" t="str">
        <f>(IF($A68="SINAPI",INDEX(SINAPI_NOV2020_NDES!$A$7:$H$6790,MATCH($B68,SINAPI_NOV2020_NDES!$A$7:$A$6790,0),3),(INDEX(COMPOS!$A$4:$G$5000,MATCH($B68,COMPOS!$A$4:$A$5000,0),3))))</f>
        <v>M</v>
      </c>
      <c r="E68" s="276">
        <v>200</v>
      </c>
      <c r="F68" s="279">
        <f>(IF($A68="SINAPI",INDEX(SINAPI_NOV2020_NDES!$A$7:$H$6703,MATCH($B68,SINAPI_NOV2020_NDES!$A$7:$A$6703,0),5),(INDEX(COMPOS!$A$4:$G$801,MATCH($B68,COMPOS!$A$4:A$801,0),4))))</f>
        <v>14.24</v>
      </c>
      <c r="G68" s="279">
        <f>(IF($A68="SINAPI",INDEX(SINAPI_NOV2020_NDES!$A$7:$H$6703,MATCH($B68,SINAPI_NOV2020_NDES!$A$7:$A$6703,0),6),(INDEX(COMPOS!$A$4:$G$801,MATCH($B68,COMPOS!$A$4:A$801,0),5))))</f>
        <v>42.67</v>
      </c>
      <c r="H68" s="280">
        <f>(IF($A68="SINAPI",INDEX(SINAPI_NOV2020_NDES!$A$7:$H$6703,MATCH($B68,SINAPI_NOV2020_NDES!$A$7:$A$6703,0),7),(INDEX(COMPOS!$A$4:$G$801,MATCH($B68,COMPOS!$A$4:A$801,0),6))))</f>
        <v>0</v>
      </c>
      <c r="I68" s="279">
        <f t="shared" ref="I68:I85" si="14">SUM(F68:H68)</f>
        <v>56.910000000000004</v>
      </c>
      <c r="J68" s="276">
        <f t="shared" ref="J68:J85" si="15">+I68*E68</f>
        <v>11382</v>
      </c>
      <c r="K68" s="255"/>
      <c r="L68" s="255"/>
      <c r="M68" s="255"/>
      <c r="N68" s="255"/>
      <c r="O68" s="257"/>
      <c r="P68" s="255"/>
    </row>
    <row r="69" spans="1:1008" s="1" customFormat="1" ht="15" customHeight="1">
      <c r="A69" s="251" t="s">
        <v>6307</v>
      </c>
      <c r="B69" s="283">
        <v>714</v>
      </c>
      <c r="C69" s="301" t="str">
        <f>(IF($A69="SINAPI",INDEX(SINAPI_NOV2020_NDES!$A$7:$H$6703,MATCH($B69,SINAPI_NOV2020_NDES!$A$7:$A$6703,0),2),IF($A69="GOINFRA",INDEX(#REF!,MATCH($B69,#REF!,0),2),(INDEX(COMPOS!$A$4:$G$3900,MATCH($B69,COMPOS!$A$4:A$3900,0),2)))))</f>
        <v>CONECTOR DE COMPRESSÃO FORMATO H PARA CABO 25 A 70 MM2</v>
      </c>
      <c r="D69" s="274" t="str">
        <f>(IF($A69="SINAPI",INDEX(SINAPI_NOV2020_NDES!$A$7:$H$6790,MATCH($B69,SINAPI_NOV2020_NDES!$A$7:$A$6790,0),3),(INDEX(COMPOS!$A$4:$G$5000,MATCH($B69,COMPOS!$A$4:$A$5000,0),3))))</f>
        <v>UN</v>
      </c>
      <c r="E69" s="276">
        <v>20</v>
      </c>
      <c r="F69" s="279">
        <f>(IF($A69="SINAPI",INDEX(SINAPI_NOV2020_NDES!$A$7:$H$6703,MATCH($B69,SINAPI_NOV2020_NDES!$A$7:$A$6703,0),5),(INDEX(COMPOS!$A$4:$G$801,MATCH($B69,COMPOS!$A$4:A$801,0),4))))</f>
        <v>15.452</v>
      </c>
      <c r="G69" s="279">
        <f>(IF($A69="SINAPI",INDEX(SINAPI_NOV2020_NDES!$A$7:$H$6703,MATCH($B69,SINAPI_NOV2020_NDES!$A$7:$A$6703,0),6),(INDEX(COMPOS!$A$4:$G$801,MATCH($B69,COMPOS!$A$4:A$801,0),5))))</f>
        <v>5.0599999999999996</v>
      </c>
      <c r="H69" s="280">
        <f>(IF($A69="SINAPI",INDEX(SINAPI_NOV2020_NDES!$A$7:$H$6703,MATCH($B69,SINAPI_NOV2020_NDES!$A$7:$A$6703,0),7),(INDEX(COMPOS!$A$4:$G$801,MATCH($B69,COMPOS!$A$4:A$801,0),6))))</f>
        <v>0</v>
      </c>
      <c r="I69" s="279">
        <f t="shared" si="14"/>
        <v>20.512</v>
      </c>
      <c r="J69" s="276">
        <f t="shared" si="15"/>
        <v>410.24</v>
      </c>
      <c r="K69" s="255"/>
      <c r="L69" s="255"/>
      <c r="M69" s="255"/>
      <c r="N69" s="255"/>
      <c r="O69" s="257"/>
      <c r="P69" s="255"/>
    </row>
    <row r="70" spans="1:1008">
      <c r="A70" s="251" t="s">
        <v>6307</v>
      </c>
      <c r="B70" s="283">
        <v>42</v>
      </c>
      <c r="C70" s="301" t="str">
        <f>(IF($A70="SINAPI",INDEX(SINAPI_NOV2020_NDES!$A$7:$H$6703,MATCH($B70,SINAPI_NOV2020_NDES!$A$7:$A$6703,0),2),IF($A70="GOINFRA",INDEX(#REF!,MATCH($B70,#REF!,0),2),(INDEX(COMPOS!$A$4:$G$3900,MATCH($B70,COMPOS!$A$4:A$3900,0),2)))))</f>
        <v>SOLDA EXOTÉRMICA TAMANHO 115G</v>
      </c>
      <c r="D70" s="274" t="str">
        <f>(IF($A70="SINAPI",INDEX(SINAPI_NOV2020_NDES!$A$7:$H$6790,MATCH($B70,SINAPI_NOV2020_NDES!$A$7:$A$6790,0),3),(INDEX(COMPOS!$A$4:$G$5000,MATCH($B70,COMPOS!$A$4:$A$5000,0),3))))</f>
        <v>UN</v>
      </c>
      <c r="E70" s="276">
        <v>30</v>
      </c>
      <c r="F70" s="279">
        <f>(IF($A70="SINAPI",INDEX(SINAPI_NOV2020_NDES!$A$7:$H$6703,MATCH($B70,SINAPI_NOV2020_NDES!$A$7:$A$6703,0),5),(INDEX(COMPOS!$A$4:$G$801,MATCH($B70,COMPOS!$A$4:A$801,0),4))))</f>
        <v>2.1414880000000003</v>
      </c>
      <c r="G70" s="279">
        <f>(IF($A70="SINAPI",INDEX(SINAPI_NOV2020_NDES!$A$7:$H$6703,MATCH($B70,SINAPI_NOV2020_NDES!$A$7:$A$6703,0),6),(INDEX(COMPOS!$A$4:$G$801,MATCH($B70,COMPOS!$A$4:A$801,0),5))))</f>
        <v>7.91</v>
      </c>
      <c r="H70" s="280">
        <f>(IF($A70="SINAPI",INDEX(SINAPI_NOV2020_NDES!$A$7:$H$6703,MATCH($B70,SINAPI_NOV2020_NDES!$A$7:$A$6703,0),7),(INDEX(COMPOS!$A$4:$G$801,MATCH($B70,COMPOS!$A$4:A$801,0),6))))</f>
        <v>0</v>
      </c>
      <c r="I70" s="279">
        <f t="shared" si="14"/>
        <v>10.051488000000001</v>
      </c>
      <c r="J70" s="276">
        <f t="shared" si="15"/>
        <v>301.54464000000002</v>
      </c>
      <c r="K70" s="255"/>
      <c r="L70" s="255"/>
      <c r="M70" s="255"/>
      <c r="N70" s="255"/>
      <c r="O70" s="257"/>
      <c r="P70" s="255"/>
    </row>
    <row r="71" spans="1:1008">
      <c r="A71" s="251" t="s">
        <v>6307</v>
      </c>
      <c r="B71" s="283">
        <v>537</v>
      </c>
      <c r="C71" s="301" t="str">
        <f>(IF($A71="SINAPI",INDEX(SINAPI_NOV2020_NDES!$A$7:$H$6703,MATCH($B71,SINAPI_NOV2020_NDES!$A$7:$A$6703,0),2),IF($A71="GOINFRA",INDEX(#REF!,MATCH($B71,#REF!,0),2),(INDEX(COMPOS!$A$4:$G$3900,MATCH($B71,COMPOS!$A$4:A$3900,0),2)))))</f>
        <v>ABRAÇADEIRA TIPO D 1" COM CUNHA</v>
      </c>
      <c r="D71" s="274" t="str">
        <f>(IF($A71="SINAPI",INDEX(SINAPI_NOV2020_NDES!$A$7:$H$6790,MATCH($B71,SINAPI_NOV2020_NDES!$A$7:$A$6790,0),3),(INDEX(COMPOS!$A$4:$G$5000,MATCH($B71,COMPOS!$A$4:$A$5000,0),3))))</f>
        <v>UN</v>
      </c>
      <c r="E71" s="276">
        <v>40</v>
      </c>
      <c r="F71" s="279">
        <f>(IF($A71="SINAPI",INDEX(SINAPI_NOV2020_NDES!$A$7:$H$6703,MATCH($B71,SINAPI_NOV2020_NDES!$A$7:$A$6703,0),5),(INDEX(COMPOS!$A$4:$G$801,MATCH($B71,COMPOS!$A$4:A$801,0),4))))</f>
        <v>0.38629999999999998</v>
      </c>
      <c r="G71" s="279">
        <f>(IF($A71="SINAPI",INDEX(SINAPI_NOV2020_NDES!$A$7:$H$6703,MATCH($B71,SINAPI_NOV2020_NDES!$A$7:$A$6703,0),6),(INDEX(COMPOS!$A$4:$G$801,MATCH($B71,COMPOS!$A$4:A$801,0),5))))</f>
        <v>0.56999999999999995</v>
      </c>
      <c r="H71" s="280">
        <f>(IF($A71="SINAPI",INDEX(SINAPI_NOV2020_NDES!$A$7:$H$6703,MATCH($B71,SINAPI_NOV2020_NDES!$A$7:$A$6703,0),7),(INDEX(COMPOS!$A$4:$G$801,MATCH($B71,COMPOS!$A$4:A$801,0),6))))</f>
        <v>0</v>
      </c>
      <c r="I71" s="279">
        <f t="shared" si="14"/>
        <v>0.95629999999999993</v>
      </c>
      <c r="J71" s="276">
        <f t="shared" si="15"/>
        <v>38.251999999999995</v>
      </c>
      <c r="K71" s="255"/>
      <c r="L71" s="255"/>
      <c r="M71" s="255"/>
      <c r="N71" s="255"/>
      <c r="O71" s="257"/>
      <c r="P71" s="255"/>
    </row>
    <row r="72" spans="1:1008">
      <c r="A72" s="251" t="s">
        <v>6307</v>
      </c>
      <c r="B72" s="283">
        <v>538</v>
      </c>
      <c r="C72" s="301" t="str">
        <f>(IF($A72="SINAPI",INDEX(SINAPI_NOV2020_NDES!$A$7:$H$6703,MATCH($B72,SINAPI_NOV2020_NDES!$A$7:$A$6703,0),2),IF($A72="GOINFRA",INDEX(#REF!,MATCH($B72,#REF!,0),2),(INDEX(COMPOS!$A$4:$G$3900,MATCH($B72,COMPOS!$A$4:A$3900,0),2)))))</f>
        <v>CAIXA DE INSPEÇÃO SUSPENSA</v>
      </c>
      <c r="D72" s="274" t="str">
        <f>(IF($A72="SINAPI",INDEX(SINAPI_NOV2020_NDES!$A$7:$H$6790,MATCH($B72,SINAPI_NOV2020_NDES!$A$7:$A$6790,0),3),(INDEX(COMPOS!$A$4:$G$5000,MATCH($B72,COMPOS!$A$4:$A$5000,0),3))))</f>
        <v>UN</v>
      </c>
      <c r="E72" s="276">
        <v>8</v>
      </c>
      <c r="F72" s="279">
        <f>(IF($A72="SINAPI",INDEX(SINAPI_NOV2020_NDES!$A$7:$H$6703,MATCH($B72,SINAPI_NOV2020_NDES!$A$7:$A$6703,0),5),(INDEX(COMPOS!$A$4:$G$801,MATCH($B72,COMPOS!$A$4:A$801,0),4))))</f>
        <v>5.7944999999999993</v>
      </c>
      <c r="G72" s="279">
        <f>(IF($A72="SINAPI",INDEX(SINAPI_NOV2020_NDES!$A$7:$H$6703,MATCH($B72,SINAPI_NOV2020_NDES!$A$7:$A$6703,0),6),(INDEX(COMPOS!$A$4:$G$801,MATCH($B72,COMPOS!$A$4:A$801,0),5))))</f>
        <v>76.625</v>
      </c>
      <c r="H72" s="280">
        <f>(IF($A72="SINAPI",INDEX(SINAPI_NOV2020_NDES!$A$7:$H$6703,MATCH($B72,SINAPI_NOV2020_NDES!$A$7:$A$6703,0),7),(INDEX(COMPOS!$A$4:$G$801,MATCH($B72,COMPOS!$A$4:A$801,0),6))))</f>
        <v>0</v>
      </c>
      <c r="I72" s="279">
        <f t="shared" si="14"/>
        <v>82.419499999999999</v>
      </c>
      <c r="J72" s="276">
        <f t="shared" si="15"/>
        <v>659.35599999999999</v>
      </c>
      <c r="K72" s="255"/>
      <c r="L72" s="255"/>
      <c r="M72" s="255"/>
      <c r="N72" s="255"/>
      <c r="O72" s="257"/>
      <c r="P72" s="255"/>
    </row>
    <row r="73" spans="1:1008">
      <c r="A73" s="251" t="s">
        <v>6307</v>
      </c>
      <c r="B73" s="283">
        <v>639</v>
      </c>
      <c r="C73" s="301" t="str">
        <f>(IF($A73="SINAPI",INDEX(SINAPI_NOV2020_NDES!$A$7:$H$6703,MATCH($B73,SINAPI_NOV2020_NDES!$A$7:$A$6703,0),2),IF($A73="GOINFRA",INDEX(#REF!,MATCH($B73,#REF!,0),2),(INDEX(COMPOS!$A$4:$G$3900,MATCH($B73,COMPOS!$A$4:A$3900,0),2)))))</f>
        <v>CONJUNTO PARA ESTAIS RÍGIDO + ABRAÇADEIRA 2" 3M</v>
      </c>
      <c r="D73" s="274" t="str">
        <f>(IF($A73="SINAPI",INDEX(SINAPI_NOV2020_NDES!$A$7:$H$6790,MATCH($B73,SINAPI_NOV2020_NDES!$A$7:$A$6790,0),3),(INDEX(COMPOS!$A$4:$G$5000,MATCH($B73,COMPOS!$A$4:$A$5000,0),3))))</f>
        <v>UN</v>
      </c>
      <c r="E73" s="276">
        <v>3</v>
      </c>
      <c r="F73" s="279">
        <f>(IF($A73="SINAPI",INDEX(SINAPI_NOV2020_NDES!$A$7:$H$6703,MATCH($B73,SINAPI_NOV2020_NDES!$A$7:$A$6703,0),5),(INDEX(COMPOS!$A$4:$G$801,MATCH($B73,COMPOS!$A$4:A$801,0),4))))</f>
        <v>18.001580000000001</v>
      </c>
      <c r="G73" s="279">
        <f>(IF($A73="SINAPI",INDEX(SINAPI_NOV2020_NDES!$A$7:$H$6703,MATCH($B73,SINAPI_NOV2020_NDES!$A$7:$A$6703,0),6),(INDEX(COMPOS!$A$4:$G$801,MATCH($B73,COMPOS!$A$4:A$801,0),5))))</f>
        <v>384.24</v>
      </c>
      <c r="H73" s="280">
        <f>(IF($A73="SINAPI",INDEX(SINAPI_NOV2020_NDES!$A$7:$H$6703,MATCH($B73,SINAPI_NOV2020_NDES!$A$7:$A$6703,0),7),(INDEX(COMPOS!$A$4:$G$801,MATCH($B73,COMPOS!$A$4:A$801,0),6))))</f>
        <v>0</v>
      </c>
      <c r="I73" s="279">
        <f t="shared" si="14"/>
        <v>402.24158</v>
      </c>
      <c r="J73" s="276">
        <f t="shared" si="15"/>
        <v>1206.7247400000001</v>
      </c>
      <c r="K73" s="255"/>
      <c r="L73" s="255"/>
      <c r="M73" s="255"/>
      <c r="N73" s="255"/>
      <c r="O73" s="257"/>
      <c r="P73" s="255"/>
    </row>
    <row r="74" spans="1:1008">
      <c r="A74" s="251" t="s">
        <v>6307</v>
      </c>
      <c r="B74" s="283">
        <v>541</v>
      </c>
      <c r="C74" s="301" t="str">
        <f>(IF($A74="SINAPI",INDEX(SINAPI_NOV2020_NDES!$A$7:$H$6703,MATCH($B74,SINAPI_NOV2020_NDES!$A$7:$A$6703,0),2),IF($A74="GOINFRA",INDEX(#REF!,MATCH($B74,#REF!,0),2),(INDEX(COMPOS!$A$4:$G$3900,MATCH($B74,COMPOS!$A$4:A$3900,0),2)))))</f>
        <v>ABRACADEIRA-GUIA REFORCADA 2" DUAS DESCIDAS</v>
      </c>
      <c r="D74" s="274" t="str">
        <f>(IF($A74="SINAPI",INDEX(SINAPI_NOV2020_NDES!$A$7:$H$6790,MATCH($B74,SINAPI_NOV2020_NDES!$A$7:$A$6790,0),3),(INDEX(COMPOS!$A$4:$G$5000,MATCH($B74,COMPOS!$A$4:$A$5000,0),3))))</f>
        <v>UN</v>
      </c>
      <c r="E74" s="276">
        <v>3</v>
      </c>
      <c r="F74" s="279">
        <f>(IF($A74="SINAPI",INDEX(SINAPI_NOV2020_NDES!$A$7:$H$6703,MATCH($B74,SINAPI_NOV2020_NDES!$A$7:$A$6703,0),5),(INDEX(COMPOS!$A$4:$G$801,MATCH($B74,COMPOS!$A$4:A$801,0),4))))</f>
        <v>12.222532000000001</v>
      </c>
      <c r="G74" s="279">
        <f>(IF($A74="SINAPI",INDEX(SINAPI_NOV2020_NDES!$A$7:$H$6703,MATCH($B74,SINAPI_NOV2020_NDES!$A$7:$A$6703,0),6),(INDEX(COMPOS!$A$4:$G$801,MATCH($B74,COMPOS!$A$4:A$801,0),5))))</f>
        <v>63.305</v>
      </c>
      <c r="H74" s="280">
        <f>(IF($A74="SINAPI",INDEX(SINAPI_NOV2020_NDES!$A$7:$H$6703,MATCH($B74,SINAPI_NOV2020_NDES!$A$7:$A$6703,0),7),(INDEX(COMPOS!$A$4:$G$801,MATCH($B74,COMPOS!$A$4:A$801,0),6))))</f>
        <v>0</v>
      </c>
      <c r="I74" s="279">
        <f t="shared" si="14"/>
        <v>75.527532000000008</v>
      </c>
      <c r="J74" s="276">
        <f t="shared" si="15"/>
        <v>226.58259600000002</v>
      </c>
      <c r="K74" s="255"/>
      <c r="L74" s="255"/>
      <c r="M74" s="255"/>
      <c r="N74" s="255"/>
      <c r="O74" s="257"/>
      <c r="P74" s="255"/>
    </row>
    <row r="75" spans="1:1008">
      <c r="A75" s="251" t="s">
        <v>6307</v>
      </c>
      <c r="B75" s="283">
        <v>771</v>
      </c>
      <c r="C75" s="301" t="str">
        <f>(IF($A75="SINAPI",INDEX(SINAPI_NOV2020_NDES!$A$7:$H$6703,MATCH($B75,SINAPI_NOV2020_NDES!$A$7:$A$6703,0),2),IF($A75="GOINFRA",INDEX(#REF!,MATCH($B75,#REF!,0),2),(INDEX(COMPOS!$A$4:$G$3900,MATCH($B75,COMPOS!$A$4:A$3900,0),2)))))</f>
        <v>BASE METÁLICA PARA MASTRO 2"</v>
      </c>
      <c r="D75" s="274" t="str">
        <f>(IF($A75="SINAPI",INDEX(SINAPI_NOV2020_NDES!$A$7:$H$6790,MATCH($B75,SINAPI_NOV2020_NDES!$A$7:$A$6790,0),3),(INDEX(COMPOS!$A$4:$G$5000,MATCH($B75,COMPOS!$A$4:$A$5000,0),3))))</f>
        <v>UN</v>
      </c>
      <c r="E75" s="276">
        <v>3</v>
      </c>
      <c r="F75" s="279">
        <f>(IF($A75="SINAPI",INDEX(SINAPI_NOV2020_NDES!$A$7:$H$6703,MATCH($B75,SINAPI_NOV2020_NDES!$A$7:$A$6703,0),5),(INDEX(COMPOS!$A$4:$G$801,MATCH($B75,COMPOS!$A$4:A$801,0),4))))</f>
        <v>51.505378999999991</v>
      </c>
      <c r="G75" s="279">
        <f>(IF($A75="SINAPI",INDEX(SINAPI_NOV2020_NDES!$A$7:$H$6703,MATCH($B75,SINAPI_NOV2020_NDES!$A$7:$A$6703,0),6),(INDEX(COMPOS!$A$4:$G$801,MATCH($B75,COMPOS!$A$4:A$801,0),5))))</f>
        <v>65.47</v>
      </c>
      <c r="H75" s="280">
        <f>(IF($A75="SINAPI",INDEX(SINAPI_NOV2020_NDES!$A$7:$H$6703,MATCH($B75,SINAPI_NOV2020_NDES!$A$7:$A$6703,0),7),(INDEX(COMPOS!$A$4:$G$801,MATCH($B75,COMPOS!$A$4:A$801,0),6))))</f>
        <v>0</v>
      </c>
      <c r="I75" s="279">
        <f t="shared" si="14"/>
        <v>116.97537899999999</v>
      </c>
      <c r="J75" s="276">
        <f t="shared" si="15"/>
        <v>350.92613699999998</v>
      </c>
      <c r="K75" s="255"/>
      <c r="L75" s="255"/>
      <c r="M75" s="255"/>
      <c r="N75" s="255"/>
      <c r="O75" s="257"/>
      <c r="P75" s="255"/>
    </row>
    <row r="76" spans="1:1008">
      <c r="A76" s="251" t="s">
        <v>6307</v>
      </c>
      <c r="B76" s="283">
        <v>640</v>
      </c>
      <c r="C76" s="301" t="str">
        <f>(IF($A76="SINAPI",INDEX(SINAPI_NOV2020_NDES!$A$7:$H$6703,MATCH($B76,SINAPI_NOV2020_NDES!$A$7:$A$6703,0),2),IF($A76="GOINFRA",INDEX(#REF!,MATCH($B76,#REF!,0),2),(INDEX(COMPOS!$A$4:$G$3900,MATCH($B76,COMPOS!$A$4:A$3900,0),2)))))</f>
        <v>CONJUNTO PARA ESTAIS RÍGIDO + ABRAÇADEIRA 2" 3M</v>
      </c>
      <c r="D76" s="274" t="str">
        <f>(IF($A76="SINAPI",INDEX(SINAPI_NOV2020_NDES!$A$7:$H$6790,MATCH($B76,SINAPI_NOV2020_NDES!$A$7:$A$6790,0),3),(INDEX(COMPOS!$A$4:$G$5000,MATCH($B76,COMPOS!$A$4:$A$5000,0),3))))</f>
        <v>UN</v>
      </c>
      <c r="E76" s="276">
        <v>12</v>
      </c>
      <c r="F76" s="279">
        <f>(IF($A76="SINAPI",INDEX(SINAPI_NOV2020_NDES!$A$7:$H$6703,MATCH($B76,SINAPI_NOV2020_NDES!$A$7:$A$6703,0),5),(INDEX(COMPOS!$A$4:$G$801,MATCH($B76,COMPOS!$A$4:A$801,0),4))))</f>
        <v>12.462038</v>
      </c>
      <c r="G76" s="279">
        <f>(IF($A76="SINAPI",INDEX(SINAPI_NOV2020_NDES!$A$7:$H$6703,MATCH($B76,SINAPI_NOV2020_NDES!$A$7:$A$6703,0),6),(INDEX(COMPOS!$A$4:$G$801,MATCH($B76,COMPOS!$A$4:A$801,0),5))))</f>
        <v>222.64000000000001</v>
      </c>
      <c r="H76" s="280">
        <f>(IF($A76="SINAPI",INDEX(SINAPI_NOV2020_NDES!$A$7:$H$6703,MATCH($B76,SINAPI_NOV2020_NDES!$A$7:$A$6703,0),7),(INDEX(COMPOS!$A$4:$G$801,MATCH($B76,COMPOS!$A$4:A$801,0),6))))</f>
        <v>0</v>
      </c>
      <c r="I76" s="279">
        <f t="shared" si="14"/>
        <v>235.10203800000002</v>
      </c>
      <c r="J76" s="276">
        <f t="shared" si="15"/>
        <v>2821.2244560000004</v>
      </c>
      <c r="K76" s="255"/>
      <c r="L76" s="255"/>
      <c r="M76" s="255"/>
      <c r="N76" s="255"/>
      <c r="O76" s="257"/>
      <c r="P76" s="255"/>
    </row>
    <row r="77" spans="1:1008" ht="24">
      <c r="A77" s="251" t="s">
        <v>7</v>
      </c>
      <c r="B77" s="283">
        <v>96985</v>
      </c>
      <c r="C77" s="301" t="str">
        <f>(IF($A77="SINAPI",INDEX(SINAPI_NOV2020_NDES!$A$7:$H$6703,MATCH($B77,SINAPI_NOV2020_NDES!$A$7:$A$6703,0),2),IF($A77="GOINFRA",INDEX(#REF!,MATCH($B77,#REF!,0),2),(INDEX(COMPOS!$A$4:$G$3900,MATCH($B77,COMPOS!$A$4:A$3900,0),2)))))</f>
        <v>HASTE DE ATERRAMENTO 5/8  PARA SPDA - FORNECIMENTO E INSTALAÇÃO. AF_12/2017</v>
      </c>
      <c r="D77" s="274" t="str">
        <f>(IF($A77="SINAPI",INDEX(SINAPI_NOV2020_NDES!$A$7:$H$6790,MATCH($B77,SINAPI_NOV2020_NDES!$A$7:$A$6790,0),3),(INDEX(COMPOS!$A$4:$G$5000,MATCH($B77,COMPOS!$A$4:$A$5000,0),3))))</f>
        <v>UN</v>
      </c>
      <c r="E77" s="276">
        <v>12</v>
      </c>
      <c r="F77" s="279">
        <f>(IF($A77="SINAPI",INDEX(SINAPI_NOV2020_NDES!$A$7:$H$6703,MATCH($B77,SINAPI_NOV2020_NDES!$A$7:$A$6703,0),5),(INDEX(COMPOS!$A$4:$G$801,MATCH($B77,COMPOS!$A$4:A$801,0),4))))</f>
        <v>7.44</v>
      </c>
      <c r="G77" s="279">
        <f>(IF($A77="SINAPI",INDEX(SINAPI_NOV2020_NDES!$A$7:$H$6703,MATCH($B77,SINAPI_NOV2020_NDES!$A$7:$A$6703,0),6),(INDEX(COMPOS!$A$4:$G$801,MATCH($B77,COMPOS!$A$4:A$801,0),5))))</f>
        <v>38.17</v>
      </c>
      <c r="H77" s="280">
        <f>(IF($A77="SINAPI",INDEX(SINAPI_NOV2020_NDES!$A$7:$H$6703,MATCH($B77,SINAPI_NOV2020_NDES!$A$7:$A$6703,0),7),(INDEX(COMPOS!$A$4:$G$801,MATCH($B77,COMPOS!$A$4:A$801,0),6))))</f>
        <v>0</v>
      </c>
      <c r="I77" s="279">
        <f t="shared" si="14"/>
        <v>45.61</v>
      </c>
      <c r="J77" s="276">
        <f t="shared" si="15"/>
        <v>547.31999999999994</v>
      </c>
      <c r="K77" s="255"/>
      <c r="L77" s="255"/>
      <c r="M77" s="255"/>
      <c r="N77" s="255"/>
      <c r="O77" s="257"/>
      <c r="P77" s="255"/>
    </row>
    <row r="78" spans="1:1008" s="1" customFormat="1" ht="15" customHeight="1">
      <c r="A78" s="251" t="s">
        <v>6307</v>
      </c>
      <c r="B78" s="283">
        <v>471</v>
      </c>
      <c r="C78" s="301" t="str">
        <f>(IF($A78="SINAPI",INDEX(SINAPI_NOV2020_NDES!$A$7:$H$6703,MATCH($B78,SINAPI_NOV2020_NDES!$A$7:$A$6703,0),2),IF($A78="GOINFRA",INDEX(#REF!,MATCH($B78,#REF!,0),2),(INDEX(COMPOS!$A$4:$G$3900,MATCH($B78,COMPOS!$A$4:A$3900,0),2)))))</f>
        <v>CAIXA DE PASSAGEM 20X20X25 FUNDO BRITA COM TAMPA</v>
      </c>
      <c r="D78" s="274" t="str">
        <f>(IF($A78="SINAPI",INDEX(SINAPI_NOV2020_NDES!$A$7:$H$6790,MATCH($B78,SINAPI_NOV2020_NDES!$A$7:$A$6790,0),3),(INDEX(COMPOS!$A$4:$G$5000,MATCH($B78,COMPOS!$A$4:$A$5000,0),3))))</f>
        <v>UN</v>
      </c>
      <c r="E78" s="276">
        <v>12</v>
      </c>
      <c r="F78" s="279">
        <f>(IF($A78="SINAPI",INDEX(SINAPI_NOV2020_NDES!$A$7:$H$6703,MATCH($B78,SINAPI_NOV2020_NDES!$A$7:$A$6703,0),5),(INDEX(COMPOS!$A$4:$G$801,MATCH($B78,COMPOS!$A$4:A$801,0),4))))</f>
        <v>39.464161000000004</v>
      </c>
      <c r="G78" s="279">
        <f>(IF($A78="SINAPI",INDEX(SINAPI_NOV2020_NDES!$A$7:$H$6703,MATCH($B78,SINAPI_NOV2020_NDES!$A$7:$A$6703,0),6),(INDEX(COMPOS!$A$4:$G$801,MATCH($B78,COMPOS!$A$4:A$801,0),5))))</f>
        <v>28.903701999999999</v>
      </c>
      <c r="H78" s="280">
        <f>(IF($A78="SINAPI",INDEX(SINAPI_NOV2020_NDES!$A$7:$H$6703,MATCH($B78,SINAPI_NOV2020_NDES!$A$7:$A$6703,0),7),(INDEX(COMPOS!$A$4:$G$801,MATCH($B78,COMPOS!$A$4:A$801,0),6))))</f>
        <v>0</v>
      </c>
      <c r="I78" s="279">
        <f t="shared" si="14"/>
        <v>68.367863</v>
      </c>
      <c r="J78" s="276">
        <f t="shared" si="15"/>
        <v>820.414356</v>
      </c>
      <c r="K78" s="255"/>
      <c r="L78" s="255"/>
      <c r="M78" s="255"/>
      <c r="N78" s="255"/>
      <c r="O78" s="257"/>
      <c r="P78" s="255"/>
    </row>
    <row r="79" spans="1:1008" ht="24">
      <c r="A79" s="251" t="s">
        <v>7</v>
      </c>
      <c r="B79" s="283">
        <v>96989</v>
      </c>
      <c r="C79" s="301" t="str">
        <f>(IF($A79="SINAPI",INDEX(SINAPI_NOV2020_NDES!$A$7:$H$6703,MATCH($B79,SINAPI_NOV2020_NDES!$A$7:$A$6703,0),2),IF($A79="GOINFRA",INDEX(#REF!,MATCH($B79,#REF!,0),2),(INDEX(COMPOS!$A$4:$G$3900,MATCH($B79,COMPOS!$A$4:A$3900,0),2)))))</f>
        <v>CAPTOR TIPO FRANKLIN PARA SPDA - FORNECIMENTO E INSTALAÇÃO. AF_12/2017</v>
      </c>
      <c r="D79" s="274" t="str">
        <f>(IF($A79="SINAPI",INDEX(SINAPI_NOV2020_NDES!$A$7:$H$6790,MATCH($B79,SINAPI_NOV2020_NDES!$A$7:$A$6790,0),3),(INDEX(COMPOS!$A$4:$G$5000,MATCH($B79,COMPOS!$A$4:$A$5000,0),3))))</f>
        <v>UN</v>
      </c>
      <c r="E79" s="276">
        <v>3</v>
      </c>
      <c r="F79" s="279">
        <f>(IF($A79="SINAPI",INDEX(SINAPI_NOV2020_NDES!$A$7:$H$6703,MATCH($B79,SINAPI_NOV2020_NDES!$A$7:$A$6703,0),5),(INDEX(COMPOS!$A$4:$G$801,MATCH($B79,COMPOS!$A$4:A$801,0),4))))</f>
        <v>3.7</v>
      </c>
      <c r="G79" s="279">
        <f>(IF($A79="SINAPI",INDEX(SINAPI_NOV2020_NDES!$A$7:$H$6703,MATCH($B79,SINAPI_NOV2020_NDES!$A$7:$A$6703,0),6),(INDEX(COMPOS!$A$4:$G$801,MATCH($B79,COMPOS!$A$4:A$801,0),5))))</f>
        <v>89.17</v>
      </c>
      <c r="H79" s="280">
        <f>(IF($A79="SINAPI",INDEX(SINAPI_NOV2020_NDES!$A$7:$H$6703,MATCH($B79,SINAPI_NOV2020_NDES!$A$7:$A$6703,0),7),(INDEX(COMPOS!$A$4:$G$801,MATCH($B79,COMPOS!$A$4:A$801,0),6))))</f>
        <v>0</v>
      </c>
      <c r="I79" s="279">
        <f t="shared" si="14"/>
        <v>92.87</v>
      </c>
      <c r="J79" s="276">
        <f t="shared" si="15"/>
        <v>278.61</v>
      </c>
      <c r="K79" s="255"/>
      <c r="L79" s="255"/>
      <c r="M79" s="255"/>
      <c r="N79" s="255"/>
      <c r="O79" s="257"/>
      <c r="P79" s="255"/>
    </row>
    <row r="80" spans="1:1008">
      <c r="A80" s="251" t="s">
        <v>6307</v>
      </c>
      <c r="B80" s="283">
        <v>536</v>
      </c>
      <c r="C80" s="301" t="str">
        <f>(IF($A80="SINAPI",INDEX(SINAPI_NOV2020_NDES!$A$7:$H$6703,MATCH($B80,SINAPI_NOV2020_NDES!$A$7:$A$6703,0),2),IF($A80="GOINFRA",INDEX(#REF!,MATCH($B80,#REF!,0),2),(INDEX(COMPOS!$A$4:$G$3900,MATCH($B80,COMPOS!$A$4:A$3900,0),2)))))</f>
        <v>PARAFUSO SEXTAVADO D=1/4" X 5/8" COM BUCHA S-11</v>
      </c>
      <c r="D80" s="274" t="str">
        <f>(IF($A80="SINAPI",INDEX(SINAPI_NOV2020_NDES!$A$7:$H$6790,MATCH($B80,SINAPI_NOV2020_NDES!$A$7:$A$6790,0),3),(INDEX(COMPOS!$A$4:$G$5000,MATCH($B80,COMPOS!$A$4:$A$5000,0),3))))</f>
        <v>UN</v>
      </c>
      <c r="E80" s="276">
        <v>150</v>
      </c>
      <c r="F80" s="279">
        <f>(IF($A80="SINAPI",INDEX(SINAPI_NOV2020_NDES!$A$7:$H$6703,MATCH($B80,SINAPI_NOV2020_NDES!$A$7:$A$6703,0),5),(INDEX(COMPOS!$A$4:$G$801,MATCH($B80,COMPOS!$A$4:A$801,0),4))))</f>
        <v>1.027558</v>
      </c>
      <c r="G80" s="279">
        <f>(IF($A80="SINAPI",INDEX(SINAPI_NOV2020_NDES!$A$7:$H$6703,MATCH($B80,SINAPI_NOV2020_NDES!$A$7:$A$6703,0),6),(INDEX(COMPOS!$A$4:$G$801,MATCH($B80,COMPOS!$A$4:A$801,0),5))))</f>
        <v>0.48</v>
      </c>
      <c r="H80" s="280">
        <f>(IF($A80="SINAPI",INDEX(SINAPI_NOV2020_NDES!$A$7:$H$6703,MATCH($B80,SINAPI_NOV2020_NDES!$A$7:$A$6703,0),7),(INDEX(COMPOS!$A$4:$G$801,MATCH($B80,COMPOS!$A$4:A$801,0),6))))</f>
        <v>0</v>
      </c>
      <c r="I80" s="279">
        <f t="shared" si="14"/>
        <v>1.507558</v>
      </c>
      <c r="J80" s="276">
        <f t="shared" si="15"/>
        <v>226.1337</v>
      </c>
      <c r="K80" s="255"/>
      <c r="L80" s="255"/>
      <c r="M80" s="255"/>
      <c r="N80" s="255"/>
      <c r="O80" s="257"/>
      <c r="P80" s="255"/>
    </row>
    <row r="81" spans="1:16" ht="24">
      <c r="A81" s="251" t="s">
        <v>7</v>
      </c>
      <c r="B81" s="283">
        <v>95731</v>
      </c>
      <c r="C81" s="301" t="str">
        <f>(IF($A81="SINAPI",INDEX(SINAPI_NOV2020_NDES!$A$7:$H$6703,MATCH($B81,SINAPI_NOV2020_NDES!$A$7:$A$6703,0),2),IF($A81="GOINFRA",INDEX(#REF!,MATCH($B81,#REF!,0),2),(INDEX(COMPOS!$A$4:$G$3900,MATCH($B81,COMPOS!$A$4:A$3900,0),2)))))</f>
        <v>ELETRODUTO RÍGIDO SOLDÁVEL, PVC, DN 32 MM (1), APARENTE, INSTALADO EM PAREDE - FORNECIMENTO E INSTALAÇÃO. AF_11/2016_P</v>
      </c>
      <c r="D81" s="274" t="str">
        <f>(IF($A81="SINAPI",INDEX(SINAPI_NOV2020_NDES!$A$7:$H$6790,MATCH($B81,SINAPI_NOV2020_NDES!$A$7:$A$6790,0),3),(INDEX(COMPOS!$A$4:$G$5000,MATCH($B81,COMPOS!$A$4:$A$5000,0),3))))</f>
        <v>M</v>
      </c>
      <c r="E81" s="276">
        <v>20</v>
      </c>
      <c r="F81" s="279">
        <f>(IF($A81="SINAPI",INDEX(SINAPI_NOV2020_NDES!$A$7:$H$6703,MATCH($B81,SINAPI_NOV2020_NDES!$A$7:$A$6703,0),5),(INDEX(COMPOS!$A$4:$G$801,MATCH($B81,COMPOS!$A$4:A$801,0),4))))</f>
        <v>4.1100000000000003</v>
      </c>
      <c r="G81" s="279">
        <f>(IF($A81="SINAPI",INDEX(SINAPI_NOV2020_NDES!$A$7:$H$6703,MATCH($B81,SINAPI_NOV2020_NDES!$A$7:$A$6703,0),6),(INDEX(COMPOS!$A$4:$G$801,MATCH($B81,COMPOS!$A$4:A$801,0),5))))</f>
        <v>3.63</v>
      </c>
      <c r="H81" s="280">
        <f>(IF($A81="SINAPI",INDEX(SINAPI_NOV2020_NDES!$A$7:$H$6703,MATCH($B81,SINAPI_NOV2020_NDES!$A$7:$A$6703,0),7),(INDEX(COMPOS!$A$4:$G$801,MATCH($B81,COMPOS!$A$4:A$801,0),6))))</f>
        <v>0</v>
      </c>
      <c r="I81" s="279">
        <f t="shared" si="14"/>
        <v>7.74</v>
      </c>
      <c r="J81" s="276">
        <f t="shared" si="15"/>
        <v>154.80000000000001</v>
      </c>
      <c r="K81" s="255"/>
      <c r="L81" s="255"/>
      <c r="M81" s="255"/>
      <c r="N81" s="255"/>
      <c r="O81" s="257"/>
      <c r="P81" s="255"/>
    </row>
    <row r="82" spans="1:16">
      <c r="A82" s="251" t="s">
        <v>6307</v>
      </c>
      <c r="B82" s="283">
        <v>776</v>
      </c>
      <c r="C82" s="301" t="str">
        <f>(IF($A82="SINAPI",INDEX(SINAPI_NOV2020_NDES!$A$7:$H$6703,MATCH($B82,SINAPI_NOV2020_NDES!$A$7:$A$6703,0),2),IF($A82="GOINFRA",INDEX(#REF!,MATCH($B82,#REF!,0),2),(INDEX(COMPOS!$A$4:$G$3900,MATCH($B82,COMPOS!$A$4:A$3900,0),2)))))</f>
        <v>SUPORTE ISOLADOR SIMPLES</v>
      </c>
      <c r="D82" s="274" t="str">
        <f>(IF($A82="SINAPI",INDEX(SINAPI_NOV2020_NDES!$A$7:$H$6790,MATCH($B82,SINAPI_NOV2020_NDES!$A$7:$A$6790,0),3),(INDEX(COMPOS!$A$4:$G$5000,MATCH($B82,COMPOS!$A$4:$A$5000,0),3))))</f>
        <v>UN</v>
      </c>
      <c r="E82" s="276">
        <v>70</v>
      </c>
      <c r="F82" s="279">
        <f>(IF($A82="SINAPI",INDEX(SINAPI_NOV2020_NDES!$A$7:$H$6703,MATCH($B82,SINAPI_NOV2020_NDES!$A$7:$A$6703,0),5),(INDEX(COMPOS!$A$4:$G$801,MATCH($B82,COMPOS!$A$4:A$801,0),4))))</f>
        <v>13.520499999999998</v>
      </c>
      <c r="G82" s="279">
        <f>(IF($A82="SINAPI",INDEX(SINAPI_NOV2020_NDES!$A$7:$H$6703,MATCH($B82,SINAPI_NOV2020_NDES!$A$7:$A$6703,0),6),(INDEX(COMPOS!$A$4:$G$801,MATCH($B82,COMPOS!$A$4:A$801,0),5))))</f>
        <v>5.38</v>
      </c>
      <c r="H82" s="280">
        <f>(IF($A82="SINAPI",INDEX(SINAPI_NOV2020_NDES!$A$7:$H$6703,MATCH($B82,SINAPI_NOV2020_NDES!$A$7:$A$6703,0),7),(INDEX(COMPOS!$A$4:$G$801,MATCH($B82,COMPOS!$A$4:A$801,0),6))))</f>
        <v>0</v>
      </c>
      <c r="I82" s="279">
        <f t="shared" si="14"/>
        <v>18.900499999999997</v>
      </c>
      <c r="J82" s="276">
        <f t="shared" si="15"/>
        <v>1323.0349999999999</v>
      </c>
      <c r="K82" s="255"/>
      <c r="L82" s="255"/>
      <c r="M82" s="255"/>
      <c r="N82" s="255"/>
      <c r="O82" s="257"/>
      <c r="P82" s="255"/>
    </row>
    <row r="83" spans="1:16">
      <c r="A83" s="251" t="s">
        <v>6307</v>
      </c>
      <c r="B83" s="283">
        <v>542</v>
      </c>
      <c r="C83" s="301" t="str">
        <f>(IF($A83="SINAPI",INDEX(SINAPI_NOV2020_NDES!$A$7:$H$6703,MATCH($B83,SINAPI_NOV2020_NDES!$A$7:$A$6703,0),2),IF($A83="GOINFRA",INDEX(#REF!,MATCH($B83,#REF!,0),2),(INDEX(COMPOS!$A$4:$G$3900,MATCH($B83,COMPOS!$A$4:A$3900,0),2)))))</f>
        <v>SUPORTE ISOLADOR SIMPLES PARA BEIRAL</v>
      </c>
      <c r="D83" s="274" t="str">
        <f>(IF($A83="SINAPI",INDEX(SINAPI_NOV2020_NDES!$A$7:$H$6790,MATCH($B83,SINAPI_NOV2020_NDES!$A$7:$A$6790,0),3),(INDEX(COMPOS!$A$4:$G$5000,MATCH($B83,COMPOS!$A$4:$A$5000,0),3))))</f>
        <v>UN</v>
      </c>
      <c r="E83" s="276">
        <v>8</v>
      </c>
      <c r="F83" s="279">
        <f>(IF($A83="SINAPI",INDEX(SINAPI_NOV2020_NDES!$A$7:$H$6703,MATCH($B83,SINAPI_NOV2020_NDES!$A$7:$A$6703,0),5),(INDEX(COMPOS!$A$4:$G$801,MATCH($B83,COMPOS!$A$4:A$801,0),4))))</f>
        <v>13.520499999999998</v>
      </c>
      <c r="G83" s="279">
        <f>(IF($A83="SINAPI",INDEX(SINAPI_NOV2020_NDES!$A$7:$H$6703,MATCH($B83,SINAPI_NOV2020_NDES!$A$7:$A$6703,0),6),(INDEX(COMPOS!$A$4:$G$801,MATCH($B83,COMPOS!$A$4:A$801,0),5))))</f>
        <v>52.99</v>
      </c>
      <c r="H83" s="280">
        <f>(IF($A83="SINAPI",INDEX(SINAPI_NOV2020_NDES!$A$7:$H$6703,MATCH($B83,SINAPI_NOV2020_NDES!$A$7:$A$6703,0),7),(INDEX(COMPOS!$A$4:$G$801,MATCH($B83,COMPOS!$A$4:A$801,0),6))))</f>
        <v>0</v>
      </c>
      <c r="I83" s="279">
        <f t="shared" si="14"/>
        <v>66.510500000000008</v>
      </c>
      <c r="J83" s="276">
        <f t="shared" si="15"/>
        <v>532.08400000000006</v>
      </c>
      <c r="K83" s="255"/>
      <c r="L83" s="255"/>
      <c r="M83" s="255"/>
      <c r="N83" s="255"/>
      <c r="O83" s="257"/>
      <c r="P83" s="255"/>
    </row>
    <row r="84" spans="1:16">
      <c r="A84" s="251" t="s">
        <v>6307</v>
      </c>
      <c r="B84" s="283">
        <v>543</v>
      </c>
      <c r="C84" s="301" t="str">
        <f>(IF($A84="SINAPI",INDEX(SINAPI_NOV2020_NDES!$A$7:$H$6703,MATCH($B84,SINAPI_NOV2020_NDES!$A$7:$A$6703,0),2),IF($A84="GOINFRA",INDEX(#REF!,MATCH($B84,#REF!,0),2),(INDEX(COMPOS!$A$4:$G$3900,MATCH($B84,COMPOS!$A$4:A$3900,0),2)))))</f>
        <v>TERMINAL AÉREO 5/8" X 350MM</v>
      </c>
      <c r="D84" s="274" t="str">
        <f>(IF($A84="SINAPI",INDEX(SINAPI_NOV2020_NDES!$A$7:$H$6790,MATCH($B84,SINAPI_NOV2020_NDES!$A$7:$A$6790,0),3),(INDEX(COMPOS!$A$4:$G$5000,MATCH($B84,COMPOS!$A$4:$A$5000,0),3))))</f>
        <v>UN</v>
      </c>
      <c r="E84" s="276">
        <v>21</v>
      </c>
      <c r="F84" s="279">
        <f>(IF($A84="SINAPI",INDEX(SINAPI_NOV2020_NDES!$A$7:$H$6703,MATCH($B84,SINAPI_NOV2020_NDES!$A$7:$A$6703,0),5),(INDEX(COMPOS!$A$4:$G$801,MATCH($B84,COMPOS!$A$4:A$801,0),4))))</f>
        <v>13.520499999999998</v>
      </c>
      <c r="G84" s="279">
        <f>(IF($A84="SINAPI",INDEX(SINAPI_NOV2020_NDES!$A$7:$H$6703,MATCH($B84,SINAPI_NOV2020_NDES!$A$7:$A$6703,0),6),(INDEX(COMPOS!$A$4:$G$801,MATCH($B84,COMPOS!$A$4:A$801,0),5))))</f>
        <v>9.27</v>
      </c>
      <c r="H84" s="280">
        <f>(IF($A84="SINAPI",INDEX(SINAPI_NOV2020_NDES!$A$7:$H$6703,MATCH($B84,SINAPI_NOV2020_NDES!$A$7:$A$6703,0),7),(INDEX(COMPOS!$A$4:$G$801,MATCH($B84,COMPOS!$A$4:A$801,0),6))))</f>
        <v>0</v>
      </c>
      <c r="I84" s="279">
        <f t="shared" si="14"/>
        <v>22.790499999999998</v>
      </c>
      <c r="J84" s="276">
        <f t="shared" si="15"/>
        <v>478.60049999999995</v>
      </c>
      <c r="K84" s="255"/>
      <c r="L84" s="255"/>
      <c r="M84" s="255"/>
      <c r="N84" s="255"/>
      <c r="O84" s="257"/>
      <c r="P84" s="255"/>
    </row>
    <row r="85" spans="1:16">
      <c r="A85" s="251" t="s">
        <v>6307</v>
      </c>
      <c r="B85" s="283">
        <v>544</v>
      </c>
      <c r="C85" s="301" t="str">
        <f>(IF($A85="SINAPI",INDEX(SINAPI_NOV2020_NDES!$A$7:$H$6703,MATCH($B85,SINAPI_NOV2020_NDES!$A$7:$A$6703,0),2),IF($A85="GOINFRA",INDEX(#REF!,MATCH($B85,#REF!,0),2),(INDEX(COMPOS!$A$4:$G$3900,MATCH($B85,COMPOS!$A$4:A$3900,0),2)))))</f>
        <v>MASTRO TELESCÓPICO 5M (4M X ∅ 2" + 1M X ∅ 1.1/2")</v>
      </c>
      <c r="D85" s="274" t="str">
        <f>(IF($A85="SINAPI",INDEX(SINAPI_NOV2020_NDES!$A$7:$H$6790,MATCH($B85,SINAPI_NOV2020_NDES!$A$7:$A$6790,0),3),(INDEX(COMPOS!$A$4:$G$5000,MATCH($B85,COMPOS!$A$4:$A$5000,0),3))))</f>
        <v>UN</v>
      </c>
      <c r="E85" s="314">
        <v>3</v>
      </c>
      <c r="F85" s="279">
        <f>(IF($A85="SINAPI",INDEX(SINAPI_NOV2020_NDES!$A$7:$H$6703,MATCH($B85,SINAPI_NOV2020_NDES!$A$7:$A$6703,0),5),(INDEX(COMPOS!$A$4:$G$801,MATCH($B85,COMPOS!$A$4:A$801,0),4))))</f>
        <v>21.645972999999998</v>
      </c>
      <c r="G85" s="279">
        <f>(IF($A85="SINAPI",INDEX(SINAPI_NOV2020_NDES!$A$7:$H$6703,MATCH($B85,SINAPI_NOV2020_NDES!$A$7:$A$6703,0),6),(INDEX(COMPOS!$A$4:$G$801,MATCH($B85,COMPOS!$A$4:A$801,0),5))))</f>
        <v>399.61157259999999</v>
      </c>
      <c r="H85" s="280">
        <f>(IF($A85="SINAPI",INDEX(SINAPI_NOV2020_NDES!$A$7:$H$6703,MATCH($B85,SINAPI_NOV2020_NDES!$A$7:$A$6703,0),7),(INDEX(COMPOS!$A$4:$G$801,MATCH($B85,COMPOS!$A$4:A$801,0),6))))</f>
        <v>0</v>
      </c>
      <c r="I85" s="279">
        <f t="shared" si="14"/>
        <v>421.25754559999996</v>
      </c>
      <c r="J85" s="276">
        <f t="shared" si="15"/>
        <v>1263.7726367999999</v>
      </c>
      <c r="K85" s="255"/>
      <c r="L85" s="255"/>
      <c r="M85" s="255"/>
      <c r="N85" s="255"/>
      <c r="O85" s="257"/>
      <c r="P85" s="255"/>
    </row>
    <row r="86" spans="1:16" ht="15">
      <c r="A86" s="680" t="s">
        <v>6927</v>
      </c>
      <c r="B86" s="695"/>
      <c r="C86" s="695"/>
      <c r="D86" s="695"/>
      <c r="E86" s="695"/>
      <c r="F86" s="695"/>
      <c r="G86" s="695"/>
      <c r="H86" s="695"/>
      <c r="I86" s="695"/>
      <c r="J86" s="281">
        <f>SUM(J21:J85)</f>
        <v>66648.214207915706</v>
      </c>
      <c r="K86" s="255"/>
      <c r="L86" s="255"/>
      <c r="M86" s="255"/>
      <c r="N86" s="255"/>
      <c r="O86" s="255"/>
      <c r="P86" s="255"/>
    </row>
    <row r="87" spans="1:16">
      <c r="A87" s="251"/>
      <c r="B87" s="299">
        <v>170</v>
      </c>
      <c r="C87" s="360" t="s">
        <v>604</v>
      </c>
      <c r="D87" s="274" t="s">
        <v>6922</v>
      </c>
      <c r="E87" s="276"/>
      <c r="F87" s="276"/>
      <c r="G87" s="276"/>
      <c r="H87" s="276"/>
      <c r="I87" s="276"/>
      <c r="J87" s="276"/>
      <c r="K87" s="255"/>
      <c r="L87" s="255"/>
      <c r="M87" s="255"/>
      <c r="N87" s="255"/>
      <c r="O87" s="255"/>
      <c r="P87" s="255"/>
    </row>
    <row r="88" spans="1:16" ht="24">
      <c r="A88" s="250" t="s">
        <v>7</v>
      </c>
      <c r="B88" s="302">
        <v>95469</v>
      </c>
      <c r="C88" s="301" t="str">
        <f>(IF($A88="SINAPI",INDEX(SINAPI_NOV2020_NDES!$A$7:$H$6703,MATCH($B88,SINAPI_NOV2020_NDES!$A$7:$A$6703,0),2),IF($A88="GOINFRA",INDEX(#REF!,MATCH($B88,#REF!,0),2),(INDEX(COMPOS!$A$4:$G$390,MATCH($B88,COMPOS!$A$4:A$390,0),2)))))</f>
        <v>VASO SANITARIO SIFONADO CONVENCIONAL COM  LOUÇA BRANCA - FORNECIMENTO E INSTALAÇÃO. AF_01/2020</v>
      </c>
      <c r="D88" s="274" t="str">
        <f>(IF($A88="SINAPI",INDEX(SINAPI_NOV2020_NDES!$A$7:$H$6790,MATCH($B88,SINAPI_NOV2020_NDES!$A$7:$A$6790,0),3),(INDEX(COMPOS!$A$4:$G$5000,MATCH($B88,COMPOS!$A$4:$A$5000,0),3))))</f>
        <v>UN</v>
      </c>
      <c r="E88" s="303">
        <v>4</v>
      </c>
      <c r="F88" s="279">
        <f>(IF($A88="SINAPI",INDEX(SINAPI_NOV2020_NDES!$A$7:$H$6703,MATCH($B88,SINAPI_NOV2020_NDES!$A$7:$A$6703,0),5),(INDEX(COMPOS!$A$4:$G$801,MATCH($B88,COMPOS!$A$4:A$801,0),4))))</f>
        <v>12.19</v>
      </c>
      <c r="G88" s="280">
        <f>(IF($A88="SINAPI",INDEX(SINAPI_NOV2020_NDES!$A$7:$H$6703,MATCH($B88,SINAPI_NOV2020_NDES!$A$7:$A$6703,0),6),(INDEX(COMPOS!$A$4:$G$801,MATCH($B88,COMPOS!$A$4:A$801,0),5))))</f>
        <v>155.57</v>
      </c>
      <c r="H88" s="280">
        <f>(IF($A88="SINAPI",INDEX(SINAPI_NOV2020_NDES!$A$7:$H$6703,MATCH($B88,SINAPI_NOV2020_NDES!$A$7:$A$6703,0),7),(INDEX(COMPOS!$A$4:$G$801,MATCH($B88,COMPOS!$A$4:A$801,0),6))))</f>
        <v>0</v>
      </c>
      <c r="I88" s="279">
        <f t="shared" ref="I88" si="16">SUM(F88:H88)</f>
        <v>167.76</v>
      </c>
      <c r="J88" s="276">
        <f t="shared" ref="J88" si="17">+I88*E88</f>
        <v>671.04</v>
      </c>
      <c r="K88" s="255"/>
      <c r="L88" s="255"/>
      <c r="M88" s="255"/>
      <c r="N88" s="255"/>
      <c r="O88" s="257"/>
      <c r="P88" s="255"/>
    </row>
    <row r="89" spans="1:16" ht="24">
      <c r="A89" s="250" t="s">
        <v>7</v>
      </c>
      <c r="B89" s="302">
        <v>100849</v>
      </c>
      <c r="C89" s="301" t="str">
        <f>(IF($A89="SINAPI",INDEX(SINAPI_NOV2020_NDES!$A$7:$H$6703,MATCH($B89,SINAPI_NOV2020_NDES!$A$7:$A$6703,0),2),IF($A89="GOINFRA",INDEX(#REF!,MATCH($B89,#REF!,0),2),(INDEX(COMPOS!$A$4:$G$390,MATCH($B89,COMPOS!$A$4:A$390,0),2)))))</f>
        <v>ASSENTO SANITÁRIO CONVENCIONAL - FORNECIMENTO E INSTALACAO. AF_01/2020</v>
      </c>
      <c r="D89" s="274" t="str">
        <f>(IF($A89="SINAPI",INDEX(SINAPI_NOV2020_NDES!$A$7:$H$6790,MATCH($B89,SINAPI_NOV2020_NDES!$A$7:$A$6790,0),3),(INDEX(COMPOS!$A$4:$G$5000,MATCH($B89,COMPOS!$A$4:$A$5000,0),3))))</f>
        <v>UN</v>
      </c>
      <c r="E89" s="303">
        <v>4</v>
      </c>
      <c r="F89" s="279">
        <f>(IF($A89="SINAPI",INDEX(SINAPI_NOV2020_NDES!$A$7:$H$6703,MATCH($B89,SINAPI_NOV2020_NDES!$A$7:$A$6703,0),5),(INDEX(COMPOS!$A$4:$G$801,MATCH($B89,COMPOS!$A$4:A$801,0),4))))</f>
        <v>3.12</v>
      </c>
      <c r="G89" s="280">
        <f>(IF($A89="SINAPI",INDEX(SINAPI_NOV2020_NDES!$A$7:$H$6703,MATCH($B89,SINAPI_NOV2020_NDES!$A$7:$A$6703,0),6),(INDEX(COMPOS!$A$4:$G$801,MATCH($B89,COMPOS!$A$4:A$801,0),5))))</f>
        <v>25.86</v>
      </c>
      <c r="H89" s="280">
        <f>(IF($A89="SINAPI",INDEX(SINAPI_NOV2020_NDES!$A$7:$H$6703,MATCH($B89,SINAPI_NOV2020_NDES!$A$7:$A$6703,0),7),(INDEX(COMPOS!$A$4:$G$801,MATCH($B89,COMPOS!$A$4:A$801,0),6))))</f>
        <v>0</v>
      </c>
      <c r="I89" s="279">
        <f t="shared" ref="I89:I116" si="18">SUM(F89:H89)</f>
        <v>28.98</v>
      </c>
      <c r="J89" s="276">
        <f t="shared" ref="J89:J116" si="19">+I89*E89</f>
        <v>115.92</v>
      </c>
      <c r="K89" s="255"/>
      <c r="L89" s="255"/>
      <c r="M89" s="255"/>
      <c r="N89" s="255"/>
      <c r="O89" s="257"/>
      <c r="P89" s="255"/>
    </row>
    <row r="90" spans="1:16">
      <c r="A90" s="250" t="s">
        <v>6307</v>
      </c>
      <c r="B90" s="250">
        <v>787</v>
      </c>
      <c r="C90" s="301" t="str">
        <f>(IF($A90="SINAPI",INDEX(SINAPI_NOV2020_NDES!$A$7:$H$6703,MATCH($B90,SINAPI_NOV2020_NDES!$A$7:$A$6703,0),2),IF($A90="GOINFRA",INDEX(#REF!,MATCH($B90,#REF!,0),2),(INDEX(COMPOS!$A$4:$G$390,MATCH($B90,COMPOS!$A$4:A$390,0),2)))))</f>
        <v>ACABAMENTO PARA VÁLVULA DE DESCARGA</v>
      </c>
      <c r="D90" s="274" t="str">
        <f>(IF($A90="SINAPI",INDEX(SINAPI_NOV2020_NDES!$A$7:$H$6790,MATCH($B90,SINAPI_NOV2020_NDES!$A$7:$A$6790,0),3),(INDEX(COMPOS!$A$4:$G$5000,MATCH($B90,COMPOS!$A$4:$A$5000,0),3))))</f>
        <v>UN</v>
      </c>
      <c r="E90" s="303">
        <v>4</v>
      </c>
      <c r="F90" s="279">
        <f>(IF($A90="SINAPI",INDEX(SINAPI_NOV2020_NDES!$A$7:$H$6703,MATCH($B90,SINAPI_NOV2020_NDES!$A$7:$A$6703,0),5),(INDEX(COMPOS!$A$4:$G$801,MATCH($B90,COMPOS!$A$4:A$801,0),4))))</f>
        <v>2.9952000000000001</v>
      </c>
      <c r="G90" s="280">
        <f>(IF($A90="SINAPI",INDEX(SINAPI_NOV2020_NDES!$A$7:$H$6703,MATCH($B90,SINAPI_NOV2020_NDES!$A$7:$A$6703,0),6),(INDEX(COMPOS!$A$4:$G$801,MATCH($B90,COMPOS!$A$4:A$801,0),5))))</f>
        <v>64.320000000000007</v>
      </c>
      <c r="H90" s="280">
        <f>(IF($A90="SINAPI",INDEX(SINAPI_NOV2020_NDES!$A$7:$H$6703,MATCH($B90,SINAPI_NOV2020_NDES!$A$7:$A$6703,0),7),(INDEX(COMPOS!$A$4:$G$801,MATCH($B90,COMPOS!$A$4:A$801,0),6))))</f>
        <v>0</v>
      </c>
      <c r="I90" s="279">
        <f t="shared" si="18"/>
        <v>67.315200000000004</v>
      </c>
      <c r="J90" s="276">
        <f t="shared" si="19"/>
        <v>269.26080000000002</v>
      </c>
      <c r="K90" s="255"/>
      <c r="L90" s="255"/>
      <c r="M90" s="255"/>
      <c r="N90" s="255"/>
      <c r="O90" s="257"/>
      <c r="P90" s="255"/>
    </row>
    <row r="91" spans="1:16">
      <c r="A91" s="250" t="s">
        <v>6307</v>
      </c>
      <c r="B91" s="250">
        <v>324</v>
      </c>
      <c r="C91" s="301" t="str">
        <f>(IF($A91="SINAPI",INDEX(SINAPI_NOV2020_NDES!$A$7:$H$6703,MATCH($B91,SINAPI_NOV2020_NDES!$A$7:$A$6703,0),2),IF($A91="GOINFRA",INDEX(#REF!,MATCH($B91,#REF!,0),2),(INDEX(COMPOS!$A$4:$G$390,MATCH($B91,COMPOS!$A$4:A$390,0),2)))))</f>
        <v>TUBO DE LIGAÇÃO PVC CROMADO 1.1/2'' – ESPUDE (ENTRADA)</v>
      </c>
      <c r="D91" s="274" t="str">
        <f>(IF($A91="SINAPI",INDEX(SINAPI_NOV2020_NDES!$A$7:$H$6790,MATCH($B91,SINAPI_NOV2020_NDES!$A$7:$A$6790,0),3),(INDEX(COMPOS!$A$4:$G$5000,MATCH($B91,COMPOS!$A$4:$A$5000,0),3))))</f>
        <v>UN</v>
      </c>
      <c r="E91" s="303">
        <v>4</v>
      </c>
      <c r="F91" s="279">
        <f>(IF($A91="SINAPI",INDEX(SINAPI_NOV2020_NDES!$A$7:$H$6703,MATCH($B91,SINAPI_NOV2020_NDES!$A$7:$A$6703,0),5),(INDEX(COMPOS!$A$4:$G$801,MATCH($B91,COMPOS!$A$4:A$801,0),4))))</f>
        <v>5.2416</v>
      </c>
      <c r="G91" s="280">
        <f>(IF($A91="SINAPI",INDEX(SINAPI_NOV2020_NDES!$A$7:$H$6703,MATCH($B91,SINAPI_NOV2020_NDES!$A$7:$A$6703,0),6),(INDEX(COMPOS!$A$4:$G$801,MATCH($B91,COMPOS!$A$4:A$801,0),5))))</f>
        <v>5.89</v>
      </c>
      <c r="H91" s="280">
        <f>(IF($A91="SINAPI",INDEX(SINAPI_NOV2020_NDES!$A$7:$H$6703,MATCH($B91,SINAPI_NOV2020_NDES!$A$7:$A$6703,0),7),(INDEX(COMPOS!$A$4:$G$801,MATCH($B91,COMPOS!$A$4:A$801,0),6))))</f>
        <v>0</v>
      </c>
      <c r="I91" s="279">
        <f t="shared" si="18"/>
        <v>11.131599999999999</v>
      </c>
      <c r="J91" s="276">
        <f t="shared" si="19"/>
        <v>44.526399999999995</v>
      </c>
      <c r="K91" s="255"/>
      <c r="L91" s="255"/>
      <c r="M91" s="255"/>
      <c r="N91" s="255"/>
      <c r="O91" s="257"/>
      <c r="P91" s="255"/>
    </row>
    <row r="92" spans="1:16">
      <c r="A92" s="250" t="s">
        <v>6307</v>
      </c>
      <c r="B92" s="250">
        <v>791</v>
      </c>
      <c r="C92" s="301" t="str">
        <f>(IF($A92="SINAPI",INDEX(SINAPI_NOV2020_NDES!$A$7:$H$6703,MATCH($B92,SINAPI_NOV2020_NDES!$A$7:$A$6703,0),2),IF($A92="GOINFRA",INDEX(#REF!,MATCH($B92,#REF!,0),2),(INDEX(COMPOS!$A$4:$G$390,MATCH($B92,COMPOS!$A$4:A$390,0),2)))))</f>
        <v>ANEL DE VEDAÇÃO PARA VASO SANITÁRIO</v>
      </c>
      <c r="D92" s="274" t="str">
        <f>(IF($A92="SINAPI",INDEX(SINAPI_NOV2020_NDES!$A$7:$H$6790,MATCH($B92,SINAPI_NOV2020_NDES!$A$7:$A$6790,0),3),(INDEX(COMPOS!$A$4:$G$5000,MATCH($B92,COMPOS!$A$4:$A$5000,0),3))))</f>
        <v>UN</v>
      </c>
      <c r="E92" s="303">
        <v>4</v>
      </c>
      <c r="F92" s="279">
        <f>(IF($A92="SINAPI",INDEX(SINAPI_NOV2020_NDES!$A$7:$H$6703,MATCH($B92,SINAPI_NOV2020_NDES!$A$7:$A$6703,0),5),(INDEX(COMPOS!$A$4:$G$801,MATCH($B92,COMPOS!$A$4:A$801,0),4))))</f>
        <v>5.6159999999999997</v>
      </c>
      <c r="G92" s="280">
        <f>(IF($A92="SINAPI",INDEX(SINAPI_NOV2020_NDES!$A$7:$H$6703,MATCH($B92,SINAPI_NOV2020_NDES!$A$7:$A$6703,0),6),(INDEX(COMPOS!$A$4:$G$801,MATCH($B92,COMPOS!$A$4:A$801,0),5))))</f>
        <v>1.69</v>
      </c>
      <c r="H92" s="280">
        <f>(IF($A92="SINAPI",INDEX(SINAPI_NOV2020_NDES!$A$7:$H$6703,MATCH($B92,SINAPI_NOV2020_NDES!$A$7:$A$6703,0),7),(INDEX(COMPOS!$A$4:$G$801,MATCH($B92,COMPOS!$A$4:A$801,0),6))))</f>
        <v>0</v>
      </c>
      <c r="I92" s="279">
        <f t="shared" si="18"/>
        <v>7.3059999999999992</v>
      </c>
      <c r="J92" s="276">
        <f t="shared" si="19"/>
        <v>29.223999999999997</v>
      </c>
      <c r="K92" s="255"/>
      <c r="L92" s="255"/>
      <c r="M92" s="255"/>
      <c r="N92" s="255"/>
      <c r="O92" s="257"/>
      <c r="P92" s="255"/>
    </row>
    <row r="93" spans="1:16" ht="24">
      <c r="A93" s="250" t="s">
        <v>7</v>
      </c>
      <c r="B93" s="250">
        <v>86906</v>
      </c>
      <c r="C93" s="301" t="str">
        <f>(IF($A93="SINAPI",INDEX(SINAPI_NOV2020_NDES!$A$7:$H$6703,MATCH($B93,SINAPI_NOV2020_NDES!$A$7:$A$6703,0),2),IF($A93="GOINFRA",INDEX(#REF!,MATCH($B93,#REF!,0),2),(INDEX(COMPOS!$A$4:$G$390,MATCH($B93,COMPOS!$A$4:A$390,0),2)))))</f>
        <v>TORNEIRA CROMADA DE MESA, 1/2 OU 3/4, PARA LAVATÓRIO, PADRÃO POPULAR - FORNECIMENTO E INSTALAÇÃO. AF_01/2020</v>
      </c>
      <c r="D93" s="274" t="str">
        <f>(IF($A93="SINAPI",INDEX(SINAPI_NOV2020_NDES!$A$7:$H$6790,MATCH($B93,SINAPI_NOV2020_NDES!$A$7:$A$6790,0),3),(INDEX(COMPOS!$A$4:$G$5000,MATCH($B93,COMPOS!$A$4:$A$5000,0),3))))</f>
        <v>UN</v>
      </c>
      <c r="E93" s="303">
        <v>5</v>
      </c>
      <c r="F93" s="279">
        <f>(IF($A93="SINAPI",INDEX(SINAPI_NOV2020_NDES!$A$7:$H$6703,MATCH($B93,SINAPI_NOV2020_NDES!$A$7:$A$6703,0),5),(INDEX(COMPOS!$A$4:$G$801,MATCH($B93,COMPOS!$A$4:A$801,0),4))))</f>
        <v>1.94</v>
      </c>
      <c r="G93" s="280">
        <f>(IF($A93="SINAPI",INDEX(SINAPI_NOV2020_NDES!$A$7:$H$6703,MATCH($B93,SINAPI_NOV2020_NDES!$A$7:$A$6703,0),6),(INDEX(COMPOS!$A$4:$G$801,MATCH($B93,COMPOS!$A$4:A$801,0),5))))</f>
        <v>41.22</v>
      </c>
      <c r="H93" s="280">
        <f>(IF($A93="SINAPI",INDEX(SINAPI_NOV2020_NDES!$A$7:$H$6703,MATCH($B93,SINAPI_NOV2020_NDES!$A$7:$A$6703,0),7),(INDEX(COMPOS!$A$4:$G$801,MATCH($B93,COMPOS!$A$4:A$801,0),6))))</f>
        <v>0</v>
      </c>
      <c r="I93" s="279">
        <f t="shared" si="18"/>
        <v>43.16</v>
      </c>
      <c r="J93" s="276">
        <f t="shared" si="19"/>
        <v>215.79999999999998</v>
      </c>
      <c r="K93" s="255"/>
      <c r="L93" s="255"/>
      <c r="M93" s="255"/>
      <c r="N93" s="255"/>
      <c r="O93" s="257"/>
      <c r="P93" s="255"/>
    </row>
    <row r="94" spans="1:16">
      <c r="A94" s="250" t="s">
        <v>6307</v>
      </c>
      <c r="B94" s="250">
        <v>815</v>
      </c>
      <c r="C94" s="301" t="str">
        <f>(IF($A94="SINAPI",INDEX(SINAPI_NOV2020_NDES!$A$7:$H$6703,MATCH($B94,SINAPI_NOV2020_NDES!$A$7:$A$6703,0),2),IF($A94="GOINFRA",INDEX(#REF!,MATCH($B94,#REF!,0),2),(INDEX(COMPOS!$A$4:$G$390,MATCH($B94,COMPOS!$A$4:A$390,0),2)))))</f>
        <v>TANQUE INOX EM BANCADA DE GRANITO CINZA ANDORINHA</v>
      </c>
      <c r="D94" s="274" t="str">
        <f>(IF($A94="SINAPI",INDEX(SINAPI_NOV2020_NDES!$A$7:$H$6790,MATCH($B94,SINAPI_NOV2020_NDES!$A$7:$A$6790,0),3),(INDEX(COMPOS!$A$4:$G$5000,MATCH($B94,COMPOS!$A$4:$A$5000,0),3))))</f>
        <v>UN</v>
      </c>
      <c r="E94" s="303">
        <v>1</v>
      </c>
      <c r="F94" s="279">
        <f>(IF($A94="SINAPI",INDEX(SINAPI_NOV2020_NDES!$A$7:$H$6703,MATCH($B94,SINAPI_NOV2020_NDES!$A$7:$A$6703,0),5),(INDEX(COMPOS!$A$4:$G$801,MATCH($B94,COMPOS!$A$4:A$801,0),4))))</f>
        <v>210.41776000000002</v>
      </c>
      <c r="G94" s="280">
        <f>(IF($A94="SINAPI",INDEX(SINAPI_NOV2020_NDES!$A$7:$H$6703,MATCH($B94,SINAPI_NOV2020_NDES!$A$7:$A$6703,0),6),(INDEX(COMPOS!$A$4:$G$801,MATCH($B94,COMPOS!$A$4:A$801,0),5))))</f>
        <v>1688.7628869999996</v>
      </c>
      <c r="H94" s="280">
        <f>(IF($A94="SINAPI",INDEX(SINAPI_NOV2020_NDES!$A$7:$H$6703,MATCH($B94,SINAPI_NOV2020_NDES!$A$7:$A$6703,0),7),(INDEX(COMPOS!$A$4:$G$801,MATCH($B94,COMPOS!$A$4:A$801,0),6))))</f>
        <v>0</v>
      </c>
      <c r="I94" s="279">
        <f t="shared" si="18"/>
        <v>1899.1806469999997</v>
      </c>
      <c r="J94" s="276">
        <f t="shared" si="19"/>
        <v>1899.1806469999997</v>
      </c>
      <c r="K94" s="255"/>
      <c r="L94" s="255"/>
      <c r="M94" s="255"/>
      <c r="N94" s="255"/>
      <c r="O94" s="257"/>
      <c r="P94" s="255"/>
    </row>
    <row r="95" spans="1:16" ht="24">
      <c r="A95" s="250" t="s">
        <v>7</v>
      </c>
      <c r="B95" s="250">
        <v>86883</v>
      </c>
      <c r="C95" s="301" t="str">
        <f>(IF($A95="SINAPI",INDEX(SINAPI_NOV2020_NDES!$A$7:$H$6703,MATCH($B95,SINAPI_NOV2020_NDES!$A$7:$A$6703,0),2),IF($A95="GOINFRA",INDEX(#REF!,MATCH($B95,#REF!,0),2),(INDEX(COMPOS!$A$4:$G$390,MATCH($B95,COMPOS!$A$4:A$390,0),2)))))</f>
        <v>SIFÃO DO TIPO FLEXÍVEL EM PVC 1  X 1.1/2  - FORNECIMENTO E INSTALAÇÃO. AF_01/2020</v>
      </c>
      <c r="D95" s="274" t="str">
        <f>(IF($A95="SINAPI",INDEX(SINAPI_NOV2020_NDES!$A$7:$H$6790,MATCH($B95,SINAPI_NOV2020_NDES!$A$7:$A$6790,0),3),(INDEX(COMPOS!$A$4:$G$5000,MATCH($B95,COMPOS!$A$4:$A$5000,0),3))))</f>
        <v>UN</v>
      </c>
      <c r="E95" s="303">
        <v>5</v>
      </c>
      <c r="F95" s="279">
        <f>(IF($A95="SINAPI",INDEX(SINAPI_NOV2020_NDES!$A$7:$H$6703,MATCH($B95,SINAPI_NOV2020_NDES!$A$7:$A$6703,0),5),(INDEX(COMPOS!$A$4:$G$801,MATCH($B95,COMPOS!$A$4:A$801,0),4))))</f>
        <v>1.71</v>
      </c>
      <c r="G95" s="280">
        <f>(IF($A95="SINAPI",INDEX(SINAPI_NOV2020_NDES!$A$7:$H$6703,MATCH($B95,SINAPI_NOV2020_NDES!$A$7:$A$6703,0),6),(INDEX(COMPOS!$A$4:$G$801,MATCH($B95,COMPOS!$A$4:A$801,0),5))))</f>
        <v>7.6</v>
      </c>
      <c r="H95" s="280">
        <f>(IF($A95="SINAPI",INDEX(SINAPI_NOV2020_NDES!$A$7:$H$6703,MATCH($B95,SINAPI_NOV2020_NDES!$A$7:$A$6703,0),7),(INDEX(COMPOS!$A$4:$G$801,MATCH($B95,COMPOS!$A$4:A$801,0),6))))</f>
        <v>0</v>
      </c>
      <c r="I95" s="279">
        <f t="shared" si="18"/>
        <v>9.3099999999999987</v>
      </c>
      <c r="J95" s="276">
        <f t="shared" si="19"/>
        <v>46.55</v>
      </c>
      <c r="K95" s="255"/>
      <c r="L95" s="255"/>
      <c r="M95" s="255"/>
      <c r="N95" s="255"/>
      <c r="O95" s="257"/>
      <c r="P95" s="255"/>
    </row>
    <row r="96" spans="1:16" ht="24">
      <c r="A96" s="250" t="s">
        <v>7</v>
      </c>
      <c r="B96" s="250">
        <v>86885</v>
      </c>
      <c r="C96" s="301" t="str">
        <f>(IF($A96="SINAPI",INDEX(SINAPI_NOV2020_NDES!$A$7:$H$6703,MATCH($B96,SINAPI_NOV2020_NDES!$A$7:$A$6703,0),2),IF($A96="GOINFRA",INDEX(#REF!,MATCH($B96,#REF!,0),2),(INDEX(COMPOS!$A$4:$G$390,MATCH($B96,COMPOS!$A$4:A$390,0),2)))))</f>
        <v>ENGATE FLEXÍVEL EM PLÁSTICO BRANCO, 1/2 X 40CM - FORNECIMENTO E INSTALAÇÃO. AF_01/2020</v>
      </c>
      <c r="D96" s="274" t="str">
        <f>(IF($A96="SINAPI",INDEX(SINAPI_NOV2020_NDES!$A$7:$H$6790,MATCH($B96,SINAPI_NOV2020_NDES!$A$7:$A$6790,0),3),(INDEX(COMPOS!$A$4:$G$5000,MATCH($B96,COMPOS!$A$4:$A$5000,0),3))))</f>
        <v>UN</v>
      </c>
      <c r="E96" s="303">
        <v>5</v>
      </c>
      <c r="F96" s="279">
        <f>(IF($A96="SINAPI",INDEX(SINAPI_NOV2020_NDES!$A$7:$H$6703,MATCH($B96,SINAPI_NOV2020_NDES!$A$7:$A$6703,0),5),(INDEX(COMPOS!$A$4:$G$801,MATCH($B96,COMPOS!$A$4:A$801,0),4))))</f>
        <v>3.12</v>
      </c>
      <c r="G96" s="280">
        <f>(IF($A96="SINAPI",INDEX(SINAPI_NOV2020_NDES!$A$7:$H$6703,MATCH($B96,SINAPI_NOV2020_NDES!$A$7:$A$6703,0),6),(INDEX(COMPOS!$A$4:$G$801,MATCH($B96,COMPOS!$A$4:A$801,0),5))))</f>
        <v>6.03</v>
      </c>
      <c r="H96" s="280">
        <f>(IF($A96="SINAPI",INDEX(SINAPI_NOV2020_NDES!$A$7:$H$6703,MATCH($B96,SINAPI_NOV2020_NDES!$A$7:$A$6703,0),7),(INDEX(COMPOS!$A$4:$G$801,MATCH($B96,COMPOS!$A$4:A$801,0),6))))</f>
        <v>0</v>
      </c>
      <c r="I96" s="279">
        <f t="shared" si="18"/>
        <v>9.15</v>
      </c>
      <c r="J96" s="276">
        <f t="shared" si="19"/>
        <v>45.75</v>
      </c>
      <c r="K96" s="255"/>
      <c r="L96" s="255"/>
      <c r="M96" s="255"/>
      <c r="N96" s="255"/>
      <c r="O96" s="257"/>
      <c r="P96" s="255"/>
    </row>
    <row r="97" spans="1:16">
      <c r="A97" s="250" t="s">
        <v>6307</v>
      </c>
      <c r="B97" s="250">
        <v>786</v>
      </c>
      <c r="C97" s="301" t="str">
        <f>(IF($A97="SINAPI",INDEX(SINAPI_NOV2020_NDES!$A$7:$H$6703,MATCH($B97,SINAPI_NOV2020_NDES!$A$7:$A$6703,0),2),IF($A97="GOINFRA",INDEX(#REF!,MATCH($B97,#REF!,0),2),(INDEX(COMPOS!$A$4:$G$390,MATCH($B97,COMPOS!$A$4:A$390,0),2)))))</f>
        <v>PORTA PAPEL HIGIÊNICO EM LOUÇA - EMBUTIR</v>
      </c>
      <c r="D97" s="274" t="str">
        <f>(IF($A97="SINAPI",INDEX(SINAPI_NOV2020_NDES!$A$7:$H$6790,MATCH($B97,SINAPI_NOV2020_NDES!$A$7:$A$6790,0),3),(INDEX(COMPOS!$A$4:$G$5000,MATCH($B97,COMPOS!$A$4:$A$5000,0),3))))</f>
        <v>UN</v>
      </c>
      <c r="E97" s="303">
        <v>4</v>
      </c>
      <c r="F97" s="279">
        <f>(IF($A97="SINAPI",INDEX(SINAPI_NOV2020_NDES!$A$7:$H$6703,MATCH($B97,SINAPI_NOV2020_NDES!$A$7:$A$6703,0),5),(INDEX(COMPOS!$A$4:$G$801,MATCH($B97,COMPOS!$A$4:A$801,0),4))))</f>
        <v>18.365000000000002</v>
      </c>
      <c r="G97" s="280">
        <f>(IF($A97="SINAPI",INDEX(SINAPI_NOV2020_NDES!$A$7:$H$6703,MATCH($B97,SINAPI_NOV2020_NDES!$A$7:$A$6703,0),6),(INDEX(COMPOS!$A$4:$G$801,MATCH($B97,COMPOS!$A$4:A$801,0),5))))</f>
        <v>22.925999999999998</v>
      </c>
      <c r="H97" s="280">
        <f>(IF($A97="SINAPI",INDEX(SINAPI_NOV2020_NDES!$A$7:$H$6703,MATCH($B97,SINAPI_NOV2020_NDES!$A$7:$A$6703,0),7),(INDEX(COMPOS!$A$4:$G$801,MATCH($B97,COMPOS!$A$4:A$801,0),6))))</f>
        <v>0</v>
      </c>
      <c r="I97" s="279">
        <f t="shared" si="18"/>
        <v>41.290999999999997</v>
      </c>
      <c r="J97" s="276">
        <f t="shared" si="19"/>
        <v>165.16399999999999</v>
      </c>
      <c r="K97" s="255"/>
      <c r="L97" s="255"/>
      <c r="M97" s="255"/>
      <c r="N97" s="255"/>
      <c r="O97" s="257"/>
      <c r="P97" s="255"/>
    </row>
    <row r="98" spans="1:16" ht="24">
      <c r="A98" s="250" t="s">
        <v>7</v>
      </c>
      <c r="B98" s="250">
        <v>100860</v>
      </c>
      <c r="C98" s="301" t="str">
        <f>(IF($A98="SINAPI",INDEX(SINAPI_NOV2020_NDES!$A$7:$H$6703,MATCH($B98,SINAPI_NOV2020_NDES!$A$7:$A$6703,0),2),IF($A98="GOINFRA",INDEX(#REF!,MATCH($B98,#REF!,0),2),(INDEX(COMPOS!$A$4:$G$390,MATCH($B98,COMPOS!$A$4:A$390,0),2)))))</f>
        <v>CHUVEIRO ELÉTRICO COMUM CORPO PLÁSTICO, TIPO DUCHA  FORNECIMENTO E INSTALAÇÃO. AF_01/2020</v>
      </c>
      <c r="D98" s="274" t="str">
        <f>(IF($A98="SINAPI",INDEX(SINAPI_NOV2020_NDES!$A$7:$H$6790,MATCH($B98,SINAPI_NOV2020_NDES!$A$7:$A$6790,0),3),(INDEX(COMPOS!$A$4:$G$5000,MATCH($B98,COMPOS!$A$4:$A$5000,0),3))))</f>
        <v>UN</v>
      </c>
      <c r="E98" s="303">
        <v>4</v>
      </c>
      <c r="F98" s="279">
        <f>(IF($A98="SINAPI",INDEX(SINAPI_NOV2020_NDES!$A$7:$H$6703,MATCH($B98,SINAPI_NOV2020_NDES!$A$7:$A$6703,0),5),(INDEX(COMPOS!$A$4:$G$801,MATCH($B98,COMPOS!$A$4:A$801,0),4))))</f>
        <v>9.1199999999999992</v>
      </c>
      <c r="G98" s="280">
        <f>(IF($A98="SINAPI",INDEX(SINAPI_NOV2020_NDES!$A$7:$H$6703,MATCH($B98,SINAPI_NOV2020_NDES!$A$7:$A$6703,0),6),(INDEX(COMPOS!$A$4:$G$801,MATCH($B98,COMPOS!$A$4:A$801,0),5))))</f>
        <v>57.45</v>
      </c>
      <c r="H98" s="280">
        <f>(IF($A98="SINAPI",INDEX(SINAPI_NOV2020_NDES!$A$7:$H$6703,MATCH($B98,SINAPI_NOV2020_NDES!$A$7:$A$6703,0),7),(INDEX(COMPOS!$A$4:$G$801,MATCH($B98,COMPOS!$A$4:A$801,0),6))))</f>
        <v>0</v>
      </c>
      <c r="I98" s="279">
        <f t="shared" si="18"/>
        <v>66.570000000000007</v>
      </c>
      <c r="J98" s="276">
        <f t="shared" si="19"/>
        <v>266.28000000000003</v>
      </c>
      <c r="K98" s="255"/>
      <c r="L98" s="255"/>
      <c r="M98" s="255"/>
      <c r="N98" s="255"/>
      <c r="O98" s="257"/>
      <c r="P98" s="255"/>
    </row>
    <row r="99" spans="1:16">
      <c r="A99" s="250" t="s">
        <v>6307</v>
      </c>
      <c r="B99" s="250">
        <v>617</v>
      </c>
      <c r="C99" s="301" t="str">
        <f>(IF($A99="SINAPI",INDEX(SINAPI_NOV2020_NDES!$A$7:$H$6703,MATCH($B99,SINAPI_NOV2020_NDES!$A$7:$A$6703,0),2),IF($A99="GOINFRA",INDEX(#REF!,MATCH($B99,#REF!,0),2),(INDEX(COMPOS!$A$4:$G$3090,MATCH($B99,COMPOS!$A$4:A$3090,0),2)))))</f>
        <v>MEIA SABONETEIRA EM LOUÇA DE EMBUTIR</v>
      </c>
      <c r="D99" s="274" t="str">
        <f>(IF($A99="SINAPI",INDEX(SINAPI_NOV2020_NDES!$A$7:$H$6790,MATCH($B99,SINAPI_NOV2020_NDES!$A$7:$A$6790,0),3),(INDEX(COMPOS!$A$4:$G$5000,MATCH($B99,COMPOS!$A$4:$A$5000,0),3))))</f>
        <v>UN</v>
      </c>
      <c r="E99" s="303">
        <v>4</v>
      </c>
      <c r="F99" s="279">
        <f>(IF($A99="SINAPI",INDEX(SINAPI_NOV2020_NDES!$A$7:$H$6703,MATCH($B99,SINAPI_NOV2020_NDES!$A$7:$A$6703,0),5),(INDEX(COMPOS!$A$4:$G$801,MATCH($B99,COMPOS!$A$4:A$801,0),4))))</f>
        <v>18.405000000000001</v>
      </c>
      <c r="G99" s="280">
        <f>(IF($A99="SINAPI",INDEX(SINAPI_NOV2020_NDES!$A$7:$H$6703,MATCH($B99,SINAPI_NOV2020_NDES!$A$7:$A$6703,0),6),(INDEX(COMPOS!$A$4:$G$801,MATCH($B99,COMPOS!$A$4:A$801,0),5))))</f>
        <v>21.501000000000001</v>
      </c>
      <c r="H99" s="280">
        <f>(IF($A99="SINAPI",INDEX(SINAPI_NOV2020_NDES!$A$7:$H$6703,MATCH($B99,SINAPI_NOV2020_NDES!$A$7:$A$6703,0),7),(INDEX(COMPOS!$A$4:$G$801,MATCH($B99,COMPOS!$A$4:A$801,0),6))))</f>
        <v>0</v>
      </c>
      <c r="I99" s="279">
        <f t="shared" si="18"/>
        <v>39.906000000000006</v>
      </c>
      <c r="J99" s="276">
        <f t="shared" si="19"/>
        <v>159.62400000000002</v>
      </c>
      <c r="K99" s="255"/>
      <c r="L99" s="255"/>
      <c r="M99" s="255"/>
      <c r="N99" s="255"/>
      <c r="O99" s="257"/>
      <c r="P99" s="255"/>
    </row>
    <row r="100" spans="1:16" ht="36">
      <c r="A100" s="250" t="s">
        <v>7</v>
      </c>
      <c r="B100" s="250">
        <v>86935</v>
      </c>
      <c r="C100" s="301" t="str">
        <f>(IF($A100="SINAPI",INDEX(SINAPI_NOV2020_NDES!$A$7:$H$6703,MATCH($B100,SINAPI_NOV2020_NDES!$A$7:$A$6703,0),2),IF($A100="GOINFRA",INDEX(#REF!,MATCH($B100,#REF!,0),2),(INDEX(COMPOS!$A$4:$G$390,MATCH($B100,COMPOS!$A$4:A$390,0),2)))))</f>
        <v>CUBA DE EMBUTIR DE AÇO INOXIDÁVEL MÉDIA, INCLUSO VÁLVULA TIPO AMERICANA EM METAL CROMADO E SIFÃO FLEXÍVEL EM PVC - FORNECIMENTO E INSTALAÇÃO. AF_01/2020</v>
      </c>
      <c r="D100" s="274" t="str">
        <f>(IF($A100="SINAPI",INDEX(SINAPI_NOV2020_NDES!$A$7:$H$6790,MATCH($B100,SINAPI_NOV2020_NDES!$A$7:$A$6790,0),3),(INDEX(COMPOS!$A$4:$G$5000,MATCH($B100,COMPOS!$A$4:$A$5000,0),3))))</f>
        <v>UN</v>
      </c>
      <c r="E100" s="303">
        <v>11</v>
      </c>
      <c r="F100" s="279">
        <f>(IF($A100="SINAPI",INDEX(SINAPI_NOV2020_NDES!$A$7:$H$6703,MATCH($B100,SINAPI_NOV2020_NDES!$A$7:$A$6703,0),5),(INDEX(COMPOS!$A$4:$G$801,MATCH($B100,COMPOS!$A$4:A$801,0),4))))</f>
        <v>14.79</v>
      </c>
      <c r="G100" s="280">
        <f>(IF($A100="SINAPI",INDEX(SINAPI_NOV2020_NDES!$A$7:$H$6703,MATCH($B100,SINAPI_NOV2020_NDES!$A$7:$A$6703,0),6),(INDEX(COMPOS!$A$4:$G$801,MATCH($B100,COMPOS!$A$4:A$801,0),5))))</f>
        <v>181.27</v>
      </c>
      <c r="H100" s="280">
        <f>(IF($A100="SINAPI",INDEX(SINAPI_NOV2020_NDES!$A$7:$H$6703,MATCH($B100,SINAPI_NOV2020_NDES!$A$7:$A$6703,0),7),(INDEX(COMPOS!$A$4:$G$801,MATCH($B100,COMPOS!$A$4:A$801,0),6))))</f>
        <v>0</v>
      </c>
      <c r="I100" s="279">
        <f t="shared" si="18"/>
        <v>196.06</v>
      </c>
      <c r="J100" s="276">
        <f t="shared" si="19"/>
        <v>2156.66</v>
      </c>
      <c r="K100" s="255"/>
      <c r="L100" s="255"/>
      <c r="M100" s="255"/>
      <c r="N100" s="255"/>
      <c r="O100" s="257"/>
      <c r="P100" s="255"/>
    </row>
    <row r="101" spans="1:16" ht="24">
      <c r="A101" s="250" t="s">
        <v>7</v>
      </c>
      <c r="B101" s="250">
        <v>86911</v>
      </c>
      <c r="C101" s="301" t="str">
        <f>(IF($A101="SINAPI",INDEX(SINAPI_NOV2020_NDES!$A$7:$H$6703,MATCH($B101,SINAPI_NOV2020_NDES!$A$7:$A$6703,0),2),IF($A101="GOINFRA",INDEX(#REF!,MATCH($B101,#REF!,0),2),(INDEX(COMPOS!$A$4:$G$390,MATCH($B101,COMPOS!$A$4:A$390,0),2)))))</f>
        <v>TORNEIRA CROMADA LONGA, DE PAREDE, 1/2 OU 3/4, PARA PIA DE COZINHA, PADRÃO POPULAR - FORNECIMENTO E INSTALAÇÃO. AF_01/2020</v>
      </c>
      <c r="D101" s="274" t="str">
        <f>(IF($A101="SINAPI",INDEX(SINAPI_NOV2020_NDES!$A$7:$H$6790,MATCH($B101,SINAPI_NOV2020_NDES!$A$7:$A$6790,0),3),(INDEX(COMPOS!$A$4:$G$5000,MATCH($B101,COMPOS!$A$4:$A$5000,0),3))))</f>
        <v>UN</v>
      </c>
      <c r="E101" s="303">
        <v>11</v>
      </c>
      <c r="F101" s="279">
        <f>(IF($A101="SINAPI",INDEX(SINAPI_NOV2020_NDES!$A$7:$H$6703,MATCH($B101,SINAPI_NOV2020_NDES!$A$7:$A$6703,0),5),(INDEX(COMPOS!$A$4:$G$801,MATCH($B101,COMPOS!$A$4:A$801,0),4))))</f>
        <v>2.36</v>
      </c>
      <c r="G101" s="280">
        <f>(IF($A101="SINAPI",INDEX(SINAPI_NOV2020_NDES!$A$7:$H$6703,MATCH($B101,SINAPI_NOV2020_NDES!$A$7:$A$6703,0),6),(INDEX(COMPOS!$A$4:$G$801,MATCH($B101,COMPOS!$A$4:A$801,0),5))))</f>
        <v>34.35</v>
      </c>
      <c r="H101" s="280">
        <f>(IF($A101="SINAPI",INDEX(SINAPI_NOV2020_NDES!$A$7:$H$6703,MATCH($B101,SINAPI_NOV2020_NDES!$A$7:$A$6703,0),7),(INDEX(COMPOS!$A$4:$G$801,MATCH($B101,COMPOS!$A$4:A$801,0),6))))</f>
        <v>0</v>
      </c>
      <c r="I101" s="279">
        <f t="shared" si="18"/>
        <v>36.71</v>
      </c>
      <c r="J101" s="276">
        <f t="shared" si="19"/>
        <v>403.81</v>
      </c>
      <c r="K101" s="255"/>
      <c r="L101" s="255"/>
      <c r="M101" s="255"/>
      <c r="N101" s="255"/>
      <c r="O101" s="257"/>
      <c r="P101" s="255"/>
    </row>
    <row r="102" spans="1:16" ht="24">
      <c r="A102" s="250" t="s">
        <v>7</v>
      </c>
      <c r="B102" s="250">
        <v>86876</v>
      </c>
      <c r="C102" s="301" t="str">
        <f>(IF($A102="SINAPI",INDEX(SINAPI_NOV2020_NDES!$A$7:$H$6703,MATCH($B102,SINAPI_NOV2020_NDES!$A$7:$A$6703,0),2),IF($A102="GOINFRA",INDEX(#REF!,MATCH($B102,#REF!,0),2),(INDEX(COMPOS!$A$4:$G$390,MATCH($B102,COMPOS!$A$4:A$390,0),2)))))</f>
        <v>TANQUE DE MÁRMORE SINTÉTICO SUSPENSO, 22L OU EQUIVALENTE - FORNECIMENTO E INSTALAÇÃO. AF_01/2020</v>
      </c>
      <c r="D102" s="274" t="str">
        <f>(IF($A102="SINAPI",INDEX(SINAPI_NOV2020_NDES!$A$7:$H$6790,MATCH($B102,SINAPI_NOV2020_NDES!$A$7:$A$6790,0),3),(INDEX(COMPOS!$A$4:$G$5000,MATCH($B102,COMPOS!$A$4:$A$5000,0),3))))</f>
        <v>UN</v>
      </c>
      <c r="E102" s="303">
        <v>1</v>
      </c>
      <c r="F102" s="279">
        <f>(IF($A102="SINAPI",INDEX(SINAPI_NOV2020_NDES!$A$7:$H$6703,MATCH($B102,SINAPI_NOV2020_NDES!$A$7:$A$6703,0),5),(INDEX(COMPOS!$A$4:$G$801,MATCH($B102,COMPOS!$A$4:A$801,0),4))))</f>
        <v>15.49</v>
      </c>
      <c r="G102" s="280">
        <f>(IF($A102="SINAPI",INDEX(SINAPI_NOV2020_NDES!$A$7:$H$6703,MATCH($B102,SINAPI_NOV2020_NDES!$A$7:$A$6703,0),6),(INDEX(COMPOS!$A$4:$G$801,MATCH($B102,COMPOS!$A$4:A$801,0),5))))</f>
        <v>201.48</v>
      </c>
      <c r="H102" s="280">
        <f>(IF($A102="SINAPI",INDEX(SINAPI_NOV2020_NDES!$A$7:$H$6703,MATCH($B102,SINAPI_NOV2020_NDES!$A$7:$A$6703,0),7),(INDEX(COMPOS!$A$4:$G$801,MATCH($B102,COMPOS!$A$4:A$801,0),6))))</f>
        <v>0</v>
      </c>
      <c r="I102" s="279">
        <f t="shared" si="18"/>
        <v>216.97</v>
      </c>
      <c r="J102" s="276">
        <f t="shared" si="19"/>
        <v>216.97</v>
      </c>
      <c r="K102" s="255"/>
      <c r="L102" s="255"/>
      <c r="M102" s="255"/>
      <c r="N102" s="255"/>
      <c r="O102" s="257"/>
      <c r="P102" s="255"/>
    </row>
    <row r="103" spans="1:16" ht="24">
      <c r="A103" s="250" t="s">
        <v>7</v>
      </c>
      <c r="B103" s="250">
        <v>86901</v>
      </c>
      <c r="C103" s="301" t="str">
        <f>(IF($A103="SINAPI",INDEX(SINAPI_NOV2020_NDES!$A$7:$H$6703,MATCH($B103,SINAPI_NOV2020_NDES!$A$7:$A$6703,0),2),IF($A103="GOINFRA",INDEX(#REF!,MATCH($B103,#REF!,0),2),(INDEX(COMPOS!$A$4:$G$390,MATCH($B103,COMPOS!$A$4:A$390,0),2)))))</f>
        <v>CUBA DE EMBUTIR OVAL EM LOUÇA BRANCA, 35 X 50CM OU EQUIVALENTE - FORNECIMENTO E INSTALAÇÃO. AF_01/2020</v>
      </c>
      <c r="D103" s="274" t="str">
        <f>(IF($A103="SINAPI",INDEX(SINAPI_NOV2020_NDES!$A$7:$H$6790,MATCH($B103,SINAPI_NOV2020_NDES!$A$7:$A$6790,0),3),(INDEX(COMPOS!$A$4:$G$5000,MATCH($B103,COMPOS!$A$4:$A$5000,0),3))))</f>
        <v>UN</v>
      </c>
      <c r="E103" s="303">
        <v>5</v>
      </c>
      <c r="F103" s="279">
        <f>(IF($A103="SINAPI",INDEX(SINAPI_NOV2020_NDES!$A$7:$H$6703,MATCH($B103,SINAPI_NOV2020_NDES!$A$7:$A$6703,0),5),(INDEX(COMPOS!$A$4:$G$801,MATCH($B103,COMPOS!$A$4:A$801,0),4))))</f>
        <v>16.93</v>
      </c>
      <c r="G103" s="280">
        <f>(IF($A103="SINAPI",INDEX(SINAPI_NOV2020_NDES!$A$7:$H$6703,MATCH($B103,SINAPI_NOV2020_NDES!$A$7:$A$6703,0),6),(INDEX(COMPOS!$A$4:$G$801,MATCH($B103,COMPOS!$A$4:A$801,0),5))))</f>
        <v>98.56</v>
      </c>
      <c r="H103" s="280">
        <f>(IF($A103="SINAPI",INDEX(SINAPI_NOV2020_NDES!$A$7:$H$6703,MATCH($B103,SINAPI_NOV2020_NDES!$A$7:$A$6703,0),7),(INDEX(COMPOS!$A$4:$G$801,MATCH($B103,COMPOS!$A$4:A$801,0),6))))</f>
        <v>0</v>
      </c>
      <c r="I103" s="279">
        <f t="shared" si="18"/>
        <v>115.49000000000001</v>
      </c>
      <c r="J103" s="276">
        <f t="shared" si="19"/>
        <v>577.45000000000005</v>
      </c>
      <c r="K103" s="255"/>
      <c r="L103" s="255"/>
      <c r="M103" s="255"/>
      <c r="N103" s="255"/>
      <c r="O103" s="257"/>
      <c r="P103" s="255"/>
    </row>
    <row r="104" spans="1:16" ht="24">
      <c r="A104" s="250" t="s">
        <v>7</v>
      </c>
      <c r="B104" s="250">
        <v>86913</v>
      </c>
      <c r="C104" s="301" t="str">
        <f>(IF($A104="SINAPI",INDEX(SINAPI_NOV2020_NDES!$A$7:$H$6703,MATCH($B104,SINAPI_NOV2020_NDES!$A$7:$A$6703,0),2),IF($A104="GOINFRA",INDEX(#REF!,MATCH($B104,#REF!,0),2),(INDEX(COMPOS!$A$4:$G$390,MATCH($B104,COMPOS!$A$4:A$390,0),2)))))</f>
        <v>TORNEIRA CROMADA 1/2 OU 3/4 PARA TANQUE, PADRÃO POPULAR - FORNECIMENTO E INSTALAÇÃO. AF_01/2020</v>
      </c>
      <c r="D104" s="274" t="str">
        <f>(IF($A104="SINAPI",INDEX(SINAPI_NOV2020_NDES!$A$7:$H$6790,MATCH($B104,SINAPI_NOV2020_NDES!$A$7:$A$6790,0),3),(INDEX(COMPOS!$A$4:$G$5000,MATCH($B104,COMPOS!$A$4:$A$5000,0),3))))</f>
        <v>UN</v>
      </c>
      <c r="E104" s="303">
        <v>5</v>
      </c>
      <c r="F104" s="279">
        <f>(IF($A104="SINAPI",INDEX(SINAPI_NOV2020_NDES!$A$7:$H$6703,MATCH($B104,SINAPI_NOV2020_NDES!$A$7:$A$6703,0),5),(INDEX(COMPOS!$A$4:$G$801,MATCH($B104,COMPOS!$A$4:A$801,0),4))))</f>
        <v>3.11</v>
      </c>
      <c r="G104" s="280">
        <f>(IF($A104="SINAPI",INDEX(SINAPI_NOV2020_NDES!$A$7:$H$6703,MATCH($B104,SINAPI_NOV2020_NDES!$A$7:$A$6703,0),6),(INDEX(COMPOS!$A$4:$G$801,MATCH($B104,COMPOS!$A$4:A$801,0),5))))</f>
        <v>13.76</v>
      </c>
      <c r="H104" s="280">
        <f>(IF($A104="SINAPI",INDEX(SINAPI_NOV2020_NDES!$A$7:$H$6703,MATCH($B104,SINAPI_NOV2020_NDES!$A$7:$A$6703,0),7),(INDEX(COMPOS!$A$4:$G$801,MATCH($B104,COMPOS!$A$4:A$801,0),6))))</f>
        <v>0</v>
      </c>
      <c r="I104" s="279">
        <f t="shared" si="18"/>
        <v>16.87</v>
      </c>
      <c r="J104" s="276">
        <f t="shared" si="19"/>
        <v>84.350000000000009</v>
      </c>
      <c r="K104" s="255"/>
      <c r="L104" s="255"/>
      <c r="M104" s="255"/>
      <c r="N104" s="255"/>
      <c r="O104" s="257"/>
      <c r="P104" s="255"/>
    </row>
    <row r="105" spans="1:16" ht="24">
      <c r="A105" s="250" t="s">
        <v>7</v>
      </c>
      <c r="B105" s="250">
        <v>86879</v>
      </c>
      <c r="C105" s="301" t="str">
        <f>(IF($A105="SINAPI",INDEX(SINAPI_NOV2020_NDES!$A$7:$H$6703,MATCH($B105,SINAPI_NOV2020_NDES!$A$7:$A$6703,0),2),IF($A105="GOINFRA",INDEX(#REF!,MATCH($B105,#REF!,0),2),(INDEX(COMPOS!$A$4:$G$390,MATCH($B105,COMPOS!$A$4:A$390,0),2)))))</f>
        <v>VÁLVULA EM PLÁSTICO 1 PARA PIA, TANQUE OU LAVATÓRIO, COM OU SEM LADRÃO - FORNECIMENTO E INSTALAÇÃO. AF_01/2020</v>
      </c>
      <c r="D105" s="274" t="str">
        <f>(IF($A105="SINAPI",INDEX(SINAPI_NOV2020_NDES!$A$7:$H$6790,MATCH($B105,SINAPI_NOV2020_NDES!$A$7:$A$6790,0),3),(INDEX(COMPOS!$A$4:$G$5000,MATCH($B105,COMPOS!$A$4:$A$5000,0),3))))</f>
        <v>UN</v>
      </c>
      <c r="E105" s="303">
        <v>6</v>
      </c>
      <c r="F105" s="279">
        <f>(IF($A105="SINAPI",INDEX(SINAPI_NOV2020_NDES!$A$7:$H$6703,MATCH($B105,SINAPI_NOV2020_NDES!$A$7:$A$6703,0),5),(INDEX(COMPOS!$A$4:$G$801,MATCH($B105,COMPOS!$A$4:A$801,0),4))))</f>
        <v>2.52</v>
      </c>
      <c r="G105" s="280">
        <f>(IF($A105="SINAPI",INDEX(SINAPI_NOV2020_NDES!$A$7:$H$6703,MATCH($B105,SINAPI_NOV2020_NDES!$A$7:$A$6703,0),6),(INDEX(COMPOS!$A$4:$G$801,MATCH($B105,COMPOS!$A$4:A$801,0),5))))</f>
        <v>3.31</v>
      </c>
      <c r="H105" s="280">
        <f>(IF($A105="SINAPI",INDEX(SINAPI_NOV2020_NDES!$A$7:$H$6703,MATCH($B105,SINAPI_NOV2020_NDES!$A$7:$A$6703,0),7),(INDEX(COMPOS!$A$4:$G$801,MATCH($B105,COMPOS!$A$4:A$801,0),6))))</f>
        <v>0</v>
      </c>
      <c r="I105" s="279">
        <f t="shared" si="18"/>
        <v>5.83</v>
      </c>
      <c r="J105" s="276">
        <f t="shared" si="19"/>
        <v>34.980000000000004</v>
      </c>
      <c r="K105" s="255"/>
      <c r="L105" s="255"/>
      <c r="M105" s="255"/>
      <c r="N105" s="255"/>
      <c r="O105" s="257"/>
      <c r="P105" s="255"/>
    </row>
    <row r="106" spans="1:16" ht="24">
      <c r="A106" s="250" t="s">
        <v>7</v>
      </c>
      <c r="B106" s="250">
        <v>86883</v>
      </c>
      <c r="C106" s="301" t="str">
        <f>(IF($A106="SINAPI",INDEX(SINAPI_NOV2020_NDES!$A$7:$H$6703,MATCH($B106,SINAPI_NOV2020_NDES!$A$7:$A$6703,0),2),IF($A106="GOINFRA",INDEX(#REF!,MATCH($B106,#REF!,0),2),(INDEX(COMPOS!$A$4:$G$390,MATCH($B106,COMPOS!$A$4:A$390,0),2)))))</f>
        <v>SIFÃO DO TIPO FLEXÍVEL EM PVC 1  X 1.1/2  - FORNECIMENTO E INSTALAÇÃO. AF_01/2020</v>
      </c>
      <c r="D106" s="274" t="str">
        <f>(IF($A106="SINAPI",INDEX(SINAPI_NOV2020_NDES!$A$7:$H$6790,MATCH($B106,SINAPI_NOV2020_NDES!$A$7:$A$6790,0),3),(INDEX(COMPOS!$A$4:$G$5000,MATCH($B106,COMPOS!$A$4:$A$5000,0),3))))</f>
        <v>UN</v>
      </c>
      <c r="E106" s="303">
        <v>5</v>
      </c>
      <c r="F106" s="279">
        <f>(IF($A106="SINAPI",INDEX(SINAPI_NOV2020_NDES!$A$7:$H$6703,MATCH($B106,SINAPI_NOV2020_NDES!$A$7:$A$6703,0),5),(INDEX(COMPOS!$A$4:$G$801,MATCH($B106,COMPOS!$A$4:A$801,0),4))))</f>
        <v>1.71</v>
      </c>
      <c r="G106" s="280">
        <f>(IF($A106="SINAPI",INDEX(SINAPI_NOV2020_NDES!$A$7:$H$6703,MATCH($B106,SINAPI_NOV2020_NDES!$A$7:$A$6703,0),6),(INDEX(COMPOS!$A$4:$G$801,MATCH($B106,COMPOS!$A$4:A$801,0),5))))</f>
        <v>7.6</v>
      </c>
      <c r="H106" s="280">
        <f>(IF($A106="SINAPI",INDEX(SINAPI_NOV2020_NDES!$A$7:$H$6703,MATCH($B106,SINAPI_NOV2020_NDES!$A$7:$A$6703,0),7),(INDEX(COMPOS!$A$4:$G$801,MATCH($B106,COMPOS!$A$4:A$801,0),6))))</f>
        <v>0</v>
      </c>
      <c r="I106" s="279">
        <f t="shared" si="18"/>
        <v>9.3099999999999987</v>
      </c>
      <c r="J106" s="276">
        <f t="shared" si="19"/>
        <v>46.55</v>
      </c>
      <c r="K106" s="255"/>
      <c r="L106" s="255"/>
      <c r="M106" s="255"/>
      <c r="N106" s="255"/>
      <c r="O106" s="257"/>
      <c r="P106" s="255"/>
    </row>
    <row r="107" spans="1:16">
      <c r="A107" s="250" t="s">
        <v>6307</v>
      </c>
      <c r="B107" s="250">
        <v>814</v>
      </c>
      <c r="C107" s="301" t="str">
        <f>(IF($A107="SINAPI",INDEX(SINAPI_NOV2020_NDES!$A$7:$H$6703,MATCH($B107,SINAPI_NOV2020_NDES!$A$7:$A$6703,0),2),IF($A107="GOINFRA",INDEX(#REF!,MATCH($B107,#REF!,0),2),(INDEX(COMPOS!$A$4:$G$390,MATCH($B107,COMPOS!$A$4:A$390,0),2)))))</f>
        <v>TANQUE EM INOX 1 CUBA E I BATEDOR COM VÁLVULA</v>
      </c>
      <c r="D107" s="274" t="str">
        <f>(IF($A107="SINAPI",INDEX(SINAPI_NOV2020_NDES!$A$7:$H$6790,MATCH($B107,SINAPI_NOV2020_NDES!$A$7:$A$6790,0),3),(INDEX(COMPOS!$A$4:$G$5000,MATCH($B107,COMPOS!$A$4:$A$5000,0),3))))</f>
        <v>UN</v>
      </c>
      <c r="E107" s="303">
        <v>2</v>
      </c>
      <c r="F107" s="279">
        <f>(IF($A107="SINAPI",INDEX(SINAPI_NOV2020_NDES!$A$7:$H$6703,MATCH($B107,SINAPI_NOV2020_NDES!$A$7:$A$6703,0),5),(INDEX(COMPOS!$A$4:$G$801,MATCH($B107,COMPOS!$A$4:A$801,0),4))))</f>
        <v>37.44</v>
      </c>
      <c r="G107" s="280">
        <f>(IF($A107="SINAPI",INDEX(SINAPI_NOV2020_NDES!$A$7:$H$6703,MATCH($B107,SINAPI_NOV2020_NDES!$A$7:$A$6703,0),6),(INDEX(COMPOS!$A$4:$G$801,MATCH($B107,COMPOS!$A$4:A$801,0),5))))</f>
        <v>2088.85</v>
      </c>
      <c r="H107" s="280">
        <f>(IF($A107="SINAPI",INDEX(SINAPI_NOV2020_NDES!$A$7:$H$6703,MATCH($B107,SINAPI_NOV2020_NDES!$A$7:$A$6703,0),7),(INDEX(COMPOS!$A$4:$G$801,MATCH($B107,COMPOS!$A$4:A$801,0),6))))</f>
        <v>0</v>
      </c>
      <c r="I107" s="279">
        <f t="shared" si="18"/>
        <v>2126.29</v>
      </c>
      <c r="J107" s="276">
        <f t="shared" si="19"/>
        <v>4252.58</v>
      </c>
      <c r="K107" s="255"/>
      <c r="L107" s="255"/>
      <c r="M107" s="255"/>
      <c r="N107" s="255"/>
      <c r="O107" s="257"/>
      <c r="P107" s="255"/>
    </row>
    <row r="108" spans="1:16">
      <c r="A108" s="250" t="s">
        <v>6307</v>
      </c>
      <c r="B108" s="250">
        <v>788</v>
      </c>
      <c r="C108" s="301" t="str">
        <f>(IF($A108="SINAPI",INDEX(SINAPI_NOV2020_NDES!$A$7:$H$6703,MATCH($B108,SINAPI_NOV2020_NDES!$A$7:$A$6703,0),2),IF($A108="GOINFRA",INDEX(#REF!,MATCH($B108,#REF!,0),2),(INDEX(COMPOS!$A$4:$G$390,MATCH($B108,COMPOS!$A$4:A$390,0),2)))))</f>
        <v>ACABAMENTO PARA REGISTRO DE GAVETA 3/4"</v>
      </c>
      <c r="D108" s="274" t="str">
        <f>(IF($A108="SINAPI",INDEX(SINAPI_NOV2020_NDES!$A$7:$H$6790,MATCH($B108,SINAPI_NOV2020_NDES!$A$7:$A$6790,0),3),(INDEX(COMPOS!$A$4:$G$5000,MATCH($B108,COMPOS!$A$4:$A$5000,0),3))))</f>
        <v>UN</v>
      </c>
      <c r="E108" s="276">
        <v>6</v>
      </c>
      <c r="F108" s="279">
        <f>(IF($A108="SINAPI",INDEX(SINAPI_NOV2020_NDES!$A$7:$H$6703,MATCH($B108,SINAPI_NOV2020_NDES!$A$7:$A$6703,0),5),(INDEX(COMPOS!$A$4:$G$801,MATCH($B108,COMPOS!$A$4:A$801,0),4))))</f>
        <v>2.9952000000000001</v>
      </c>
      <c r="G108" s="280">
        <f>(IF($A108="SINAPI",INDEX(SINAPI_NOV2020_NDES!$A$7:$H$6703,MATCH($B108,SINAPI_NOV2020_NDES!$A$7:$A$6703,0),6),(INDEX(COMPOS!$A$4:$G$801,MATCH($B108,COMPOS!$A$4:A$801,0),5))))</f>
        <v>18.329999999999998</v>
      </c>
      <c r="H108" s="280">
        <f>(IF($A108="SINAPI",INDEX(SINAPI_NOV2020_NDES!$A$7:$H$6703,MATCH($B108,SINAPI_NOV2020_NDES!$A$7:$A$6703,0),7),(INDEX(COMPOS!$A$4:$G$801,MATCH($B108,COMPOS!$A$4:A$801,0),6))))</f>
        <v>0</v>
      </c>
      <c r="I108" s="279">
        <f t="shared" si="18"/>
        <v>21.325199999999999</v>
      </c>
      <c r="J108" s="276">
        <f t="shared" si="19"/>
        <v>127.9512</v>
      </c>
      <c r="K108" s="255"/>
      <c r="L108" s="255"/>
      <c r="M108" s="255"/>
      <c r="N108" s="255"/>
      <c r="O108" s="257"/>
      <c r="P108" s="255"/>
    </row>
    <row r="109" spans="1:16">
      <c r="A109" s="250" t="s">
        <v>6307</v>
      </c>
      <c r="B109" s="250">
        <v>793</v>
      </c>
      <c r="C109" s="301" t="str">
        <f>(IF($A109="SINAPI",INDEX(SINAPI_NOV2020_NDES!$A$7:$H$6703,MATCH($B109,SINAPI_NOV2020_NDES!$A$7:$A$6703,0),2),IF($A109="GOINFRA",INDEX(#REF!,MATCH($B109,#REF!,0),2),(INDEX(COMPOS!$A$4:$G$390,MATCH($B109,COMPOS!$A$4:A$390,0),2)))))</f>
        <v>ACABAMENTO PARA REGISTRO DE GAVETA 1"</v>
      </c>
      <c r="D109" s="274" t="str">
        <f>(IF($A109="SINAPI",INDEX(SINAPI_NOV2020_NDES!$A$7:$H$6790,MATCH($B109,SINAPI_NOV2020_NDES!$A$7:$A$6790,0),3),(INDEX(COMPOS!$A$4:$G$5000,MATCH($B109,COMPOS!$A$4:$A$5000,0),3))))</f>
        <v>UN</v>
      </c>
      <c r="E109" s="276">
        <v>2</v>
      </c>
      <c r="F109" s="279">
        <f>(IF($A109="SINAPI",INDEX(SINAPI_NOV2020_NDES!$A$7:$H$6703,MATCH($B109,SINAPI_NOV2020_NDES!$A$7:$A$6703,0),5),(INDEX(COMPOS!$A$4:$G$801,MATCH($B109,COMPOS!$A$4:A$801,0),4))))</f>
        <v>2.9952000000000001</v>
      </c>
      <c r="G109" s="280">
        <f>(IF($A109="SINAPI",INDEX(SINAPI_NOV2020_NDES!$A$7:$H$6703,MATCH($B109,SINAPI_NOV2020_NDES!$A$7:$A$6703,0),6),(INDEX(COMPOS!$A$4:$G$801,MATCH($B109,COMPOS!$A$4:A$801,0),5))))</f>
        <v>75.023333333333341</v>
      </c>
      <c r="H109" s="280">
        <f>(IF($A109="SINAPI",INDEX(SINAPI_NOV2020_NDES!$A$7:$H$6703,MATCH($B109,SINAPI_NOV2020_NDES!$A$7:$A$6703,0),7),(INDEX(COMPOS!$A$4:$G$801,MATCH($B109,COMPOS!$A$4:A$801,0),6))))</f>
        <v>0</v>
      </c>
      <c r="I109" s="279">
        <f t="shared" si="18"/>
        <v>78.018533333333338</v>
      </c>
      <c r="J109" s="276">
        <f t="shared" si="19"/>
        <v>156.03706666666668</v>
      </c>
      <c r="K109" s="255"/>
      <c r="L109" s="255"/>
      <c r="M109" s="255"/>
      <c r="N109" s="255"/>
      <c r="O109" s="257"/>
      <c r="P109" s="255"/>
    </row>
    <row r="110" spans="1:16">
      <c r="A110" s="250" t="s">
        <v>6307</v>
      </c>
      <c r="B110" s="250">
        <v>789</v>
      </c>
      <c r="C110" s="301" t="str">
        <f>(IF($A110="SINAPI",INDEX(SINAPI_NOV2020_NDES!$A$7:$H$6703,MATCH($B110,SINAPI_NOV2020_NDES!$A$7:$A$6703,0),2),IF($A110="GOINFRA",INDEX(#REF!,MATCH($B110,#REF!,0),2),(INDEX(COMPOS!$A$4:$G$390,MATCH($B110,COMPOS!$A$4:A$390,0),2)))))</f>
        <v>ACABAMENTO PARA REGISTRO DE GAVETA 1.1/2"</v>
      </c>
      <c r="D110" s="274" t="str">
        <f>(IF($A110="SINAPI",INDEX(SINAPI_NOV2020_NDES!$A$7:$H$6790,MATCH($B110,SINAPI_NOV2020_NDES!$A$7:$A$6790,0),3),(INDEX(COMPOS!$A$4:$G$5000,MATCH($B110,COMPOS!$A$4:$A$5000,0),3))))</f>
        <v>UN</v>
      </c>
      <c r="E110" s="276">
        <v>1</v>
      </c>
      <c r="F110" s="279">
        <f>(IF($A110="SINAPI",INDEX(SINAPI_NOV2020_NDES!$A$7:$H$6703,MATCH($B110,SINAPI_NOV2020_NDES!$A$7:$A$6703,0),5),(INDEX(COMPOS!$A$4:$G$801,MATCH($B110,COMPOS!$A$4:A$801,0),4))))</f>
        <v>2.9952000000000001</v>
      </c>
      <c r="G110" s="280">
        <f>(IF($A110="SINAPI",INDEX(SINAPI_NOV2020_NDES!$A$7:$H$6703,MATCH($B110,SINAPI_NOV2020_NDES!$A$7:$A$6703,0),6),(INDEX(COMPOS!$A$4:$G$801,MATCH($B110,COMPOS!$A$4:A$801,0),5))))</f>
        <v>79.59333333333332</v>
      </c>
      <c r="H110" s="280">
        <f>(IF($A110="SINAPI",INDEX(SINAPI_NOV2020_NDES!$A$7:$H$6703,MATCH($B110,SINAPI_NOV2020_NDES!$A$7:$A$6703,0),7),(INDEX(COMPOS!$A$4:$G$801,MATCH($B110,COMPOS!$A$4:A$801,0),6))))</f>
        <v>0</v>
      </c>
      <c r="I110" s="279">
        <f t="shared" si="18"/>
        <v>82.588533333333316</v>
      </c>
      <c r="J110" s="276">
        <f t="shared" si="19"/>
        <v>82.588533333333316</v>
      </c>
      <c r="K110" s="255"/>
      <c r="L110" s="255"/>
      <c r="M110" s="255"/>
      <c r="N110" s="255"/>
      <c r="O110" s="257"/>
      <c r="P110" s="255"/>
    </row>
    <row r="111" spans="1:16">
      <c r="A111" s="250" t="s">
        <v>6307</v>
      </c>
      <c r="B111" s="250">
        <v>788</v>
      </c>
      <c r="C111" s="301" t="str">
        <f>(IF($A111="SINAPI",INDEX(SINAPI_NOV2020_NDES!$A$7:$H$6703,MATCH($B111,SINAPI_NOV2020_NDES!$A$7:$A$6703,0),2),IF($A111="GOINFRA",INDEX(#REF!,MATCH($B111,#REF!,0),2),(INDEX(COMPOS!$A$4:$G$390,MATCH($B111,COMPOS!$A$4:A$390,0),2)))))</f>
        <v>ACABAMENTO PARA REGISTRO DE GAVETA 3/4"</v>
      </c>
      <c r="D111" s="274" t="str">
        <f>(IF($A111="SINAPI",INDEX(SINAPI_NOV2020_NDES!$A$7:$H$6790,MATCH($B111,SINAPI_NOV2020_NDES!$A$7:$A$6790,0),3),(INDEX(COMPOS!$A$4:$G$5000,MATCH($B111,COMPOS!$A$4:$A$5000,0),3))))</f>
        <v>UN</v>
      </c>
      <c r="E111" s="276">
        <v>4</v>
      </c>
      <c r="F111" s="279">
        <f>(IF($A111="SINAPI",INDEX(SINAPI_NOV2020_NDES!$A$7:$H$6703,MATCH($B111,SINAPI_NOV2020_NDES!$A$7:$A$6703,0),5),(INDEX(COMPOS!$A$4:$G$801,MATCH($B111,COMPOS!$A$4:A$801,0),4))))</f>
        <v>2.9952000000000001</v>
      </c>
      <c r="G111" s="280">
        <f>(IF($A111="SINAPI",INDEX(SINAPI_NOV2020_NDES!$A$7:$H$6703,MATCH($B111,SINAPI_NOV2020_NDES!$A$7:$A$6703,0),6),(INDEX(COMPOS!$A$4:$G$801,MATCH($B111,COMPOS!$A$4:A$801,0),5))))</f>
        <v>18.329999999999998</v>
      </c>
      <c r="H111" s="280">
        <f>(IF($A111="SINAPI",INDEX(SINAPI_NOV2020_NDES!$A$7:$H$6703,MATCH($B111,SINAPI_NOV2020_NDES!$A$7:$A$6703,0),7),(INDEX(COMPOS!$A$4:$G$801,MATCH($B111,COMPOS!$A$4:A$801,0),6))))</f>
        <v>0</v>
      </c>
      <c r="I111" s="279">
        <f t="shared" si="18"/>
        <v>21.325199999999999</v>
      </c>
      <c r="J111" s="276">
        <f t="shared" si="19"/>
        <v>85.300799999999995</v>
      </c>
      <c r="K111" s="255"/>
      <c r="L111" s="255"/>
      <c r="M111" s="255"/>
      <c r="N111" s="255"/>
      <c r="O111" s="257"/>
      <c r="P111" s="255"/>
    </row>
    <row r="112" spans="1:16">
      <c r="A112" s="250" t="s">
        <v>6307</v>
      </c>
      <c r="B112" s="250">
        <v>796</v>
      </c>
      <c r="C112" s="301" t="str">
        <f>(IF($A112="SINAPI",INDEX(SINAPI_NOV2020_NDES!$A$7:$H$6703,MATCH($B112,SINAPI_NOV2020_NDES!$A$7:$A$6703,0),2),IF($A112="GOINFRA",INDEX(#REF!,MATCH($B112,#REF!,0),2),(INDEX(COMPOS!$A$4:$G$390,MATCH($B112,COMPOS!$A$4:A$390,0),2)))))</f>
        <v>CAIXA DE GORDURA 80X80CM - 600 LITROS</v>
      </c>
      <c r="D112" s="274" t="str">
        <f>(IF($A112="SINAPI",INDEX(SINAPI_NOV2020_NDES!$A$7:$H$6790,MATCH($B112,SINAPI_NOV2020_NDES!$A$7:$A$6790,0),3),(INDEX(COMPOS!$A$4:$G$5000,MATCH($B112,COMPOS!$A$4:$A$5000,0),3))))</f>
        <v>UN</v>
      </c>
      <c r="E112" s="276">
        <v>2</v>
      </c>
      <c r="F112" s="279">
        <f>(IF($A112="SINAPI",INDEX(SINAPI_NOV2020_NDES!$A$7:$H$6703,MATCH($B112,SINAPI_NOV2020_NDES!$A$7:$A$6703,0),5),(INDEX(COMPOS!$A$4:$G$801,MATCH($B112,COMPOS!$A$4:A$801,0),4))))</f>
        <v>1003.8981640000002</v>
      </c>
      <c r="G112" s="280">
        <f>(IF($A112="SINAPI",INDEX(SINAPI_NOV2020_NDES!$A$7:$H$6703,MATCH($B112,SINAPI_NOV2020_NDES!$A$7:$A$6703,0),6),(INDEX(COMPOS!$A$4:$G$801,MATCH($B112,COMPOS!$A$4:A$801,0),5))))</f>
        <v>478.75593739669421</v>
      </c>
      <c r="H112" s="280">
        <f>(IF($A112="SINAPI",INDEX(SINAPI_NOV2020_NDES!$A$7:$H$6703,MATCH($B112,SINAPI_NOV2020_NDES!$A$7:$A$6703,0),7),(INDEX(COMPOS!$A$4:$G$801,MATCH($B112,COMPOS!$A$4:A$801,0),6))))</f>
        <v>0</v>
      </c>
      <c r="I112" s="279">
        <f t="shared" si="18"/>
        <v>1482.6541013966944</v>
      </c>
      <c r="J112" s="276">
        <f t="shared" si="19"/>
        <v>2965.3082027933888</v>
      </c>
      <c r="K112" s="255"/>
      <c r="L112" s="255"/>
      <c r="M112" s="255"/>
      <c r="N112" s="255"/>
      <c r="O112" s="257"/>
      <c r="P112" s="255"/>
    </row>
    <row r="113" spans="1:16">
      <c r="A113" s="250" t="s">
        <v>6307</v>
      </c>
      <c r="B113" s="250">
        <v>404</v>
      </c>
      <c r="C113" s="301" t="str">
        <f>(IF($A113="SINAPI",INDEX(SINAPI_NOV2020_NDES!$A$7:$H$6703,MATCH($B113,SINAPI_NOV2020_NDES!$A$7:$A$6703,0),2),IF($A113="GOINFRA",INDEX(#REF!,MATCH($B113,#REF!,0),2),(INDEX(COMPOS!$A$4:$G$390,MATCH($B113,COMPOS!$A$4:A$390,0),2)))))</f>
        <v>GRELHA REDONDA CROMADA DIAM. 100MM</v>
      </c>
      <c r="D113" s="274" t="str">
        <f>(IF($A113="SINAPI",INDEX(SINAPI_NOV2020_NDES!$A$7:$H$6790,MATCH($B113,SINAPI_NOV2020_NDES!$A$7:$A$6790,0),3),(INDEX(COMPOS!$A$4:$G$5000,MATCH($B113,COMPOS!$A$4:$A$5000,0),3))))</f>
        <v>UN</v>
      </c>
      <c r="E113" s="276">
        <v>6</v>
      </c>
      <c r="F113" s="279">
        <f>(IF($A113="SINAPI",INDEX(SINAPI_NOV2020_NDES!$A$7:$H$6703,MATCH($B113,SINAPI_NOV2020_NDES!$A$7:$A$6703,0),5),(INDEX(COMPOS!$A$4:$G$801,MATCH($B113,COMPOS!$A$4:A$801,0),4))))</f>
        <v>2.9952000000000001</v>
      </c>
      <c r="G113" s="280">
        <f>(IF($A113="SINAPI",INDEX(SINAPI_NOV2020_NDES!$A$7:$H$6703,MATCH($B113,SINAPI_NOV2020_NDES!$A$7:$A$6703,0),6),(INDEX(COMPOS!$A$4:$G$801,MATCH($B113,COMPOS!$A$4:A$801,0),5))))</f>
        <v>11.88</v>
      </c>
      <c r="H113" s="280">
        <f>(IF($A113="SINAPI",INDEX(SINAPI_NOV2020_NDES!$A$7:$H$6703,MATCH($B113,SINAPI_NOV2020_NDES!$A$7:$A$6703,0),7),(INDEX(COMPOS!$A$4:$G$801,MATCH($B113,COMPOS!$A$4:A$801,0),6))))</f>
        <v>0</v>
      </c>
      <c r="I113" s="279">
        <f t="shared" si="18"/>
        <v>14.875200000000001</v>
      </c>
      <c r="J113" s="276">
        <f t="shared" si="19"/>
        <v>89.251200000000011</v>
      </c>
      <c r="K113" s="255"/>
      <c r="L113" s="255"/>
      <c r="M113" s="255"/>
      <c r="N113" s="255"/>
      <c r="O113" s="257"/>
      <c r="P113" s="255"/>
    </row>
    <row r="114" spans="1:16">
      <c r="A114" s="250" t="s">
        <v>6307</v>
      </c>
      <c r="B114" s="250">
        <v>405</v>
      </c>
      <c r="C114" s="301" t="str">
        <f>(IF($A114="SINAPI",INDEX(SINAPI_NOV2020_NDES!$A$7:$H$6703,MATCH($B114,SINAPI_NOV2020_NDES!$A$7:$A$6703,0),2),IF($A114="GOINFRA",INDEX(#REF!,MATCH($B114,#REF!,0),2),(INDEX(COMPOS!$A$4:$G$390,MATCH($B114,COMPOS!$A$4:A$390,0),2)))))</f>
        <v>PORTA GRELHA QUADRADO PARA GRELHA QUADRADA DIAM. 100MM</v>
      </c>
      <c r="D114" s="274" t="str">
        <f>(IF($A114="SINAPI",INDEX(SINAPI_NOV2020_NDES!$A$7:$H$6790,MATCH($B114,SINAPI_NOV2020_NDES!$A$7:$A$6790,0),3),(INDEX(COMPOS!$A$4:$G$5000,MATCH($B114,COMPOS!$A$4:$A$5000,0),3))))</f>
        <v>UN</v>
      </c>
      <c r="E114" s="276">
        <v>6</v>
      </c>
      <c r="F114" s="279">
        <f>(IF($A114="SINAPI",INDEX(SINAPI_NOV2020_NDES!$A$7:$H$6703,MATCH($B114,SINAPI_NOV2020_NDES!$A$7:$A$6703,0),5),(INDEX(COMPOS!$A$4:$G$801,MATCH($B114,COMPOS!$A$4:A$801,0),4))))</f>
        <v>3.7440000000000002</v>
      </c>
      <c r="G114" s="280">
        <f>(IF($A114="SINAPI",INDEX(SINAPI_NOV2020_NDES!$A$7:$H$6703,MATCH($B114,SINAPI_NOV2020_NDES!$A$7:$A$6703,0),6),(INDEX(COMPOS!$A$4:$G$801,MATCH($B114,COMPOS!$A$4:A$801,0),5))))</f>
        <v>6.68</v>
      </c>
      <c r="H114" s="280">
        <f>(IF($A114="SINAPI",INDEX(SINAPI_NOV2020_NDES!$A$7:$H$6703,MATCH($B114,SINAPI_NOV2020_NDES!$A$7:$A$6703,0),7),(INDEX(COMPOS!$A$4:$G$801,MATCH($B114,COMPOS!$A$4:A$801,0),6))))</f>
        <v>0</v>
      </c>
      <c r="I114" s="279">
        <f t="shared" si="18"/>
        <v>10.423999999999999</v>
      </c>
      <c r="J114" s="276">
        <f t="shared" si="19"/>
        <v>62.543999999999997</v>
      </c>
      <c r="K114" s="255"/>
      <c r="L114" s="255"/>
      <c r="M114" s="255"/>
      <c r="N114" s="255"/>
      <c r="O114" s="257"/>
      <c r="P114" s="255"/>
    </row>
    <row r="115" spans="1:16">
      <c r="A115" s="251" t="s">
        <v>6307</v>
      </c>
      <c r="B115" s="250">
        <v>378</v>
      </c>
      <c r="C115" s="301" t="str">
        <f>(IF($A115="SINAPI",INDEX(SINAPI_NOV2020_NDES!$A$7:$H$6703,MATCH($B115,SINAPI_NOV2020_NDES!$A$7:$A$6703,0),2),IF($A115="GOINFRA",INDEX(#REF!,MATCH($B115,#REF!,0),2),(INDEX(COMPOS!$A$4:$G$390,MATCH($B115,COMPOS!$A$4:A$390,0),2)))))</f>
        <v>GRELHA QUADRADA EM INOX SIMPLES, DIAM. 150MM</v>
      </c>
      <c r="D115" s="274" t="str">
        <f>(IF($A115="SINAPI",INDEX(SINAPI_NOV2020_NDES!$A$7:$H$6790,MATCH($B115,SINAPI_NOV2020_NDES!$A$7:$A$6790,0),3),(INDEX(COMPOS!$A$4:$G$5000,MATCH($B115,COMPOS!$A$4:$A$5000,0),3))))</f>
        <v>UN</v>
      </c>
      <c r="E115" s="276">
        <v>8</v>
      </c>
      <c r="F115" s="279">
        <f>(IF($A115="SINAPI",INDEX(SINAPI_NOV2020_NDES!$A$7:$H$6703,MATCH($B115,SINAPI_NOV2020_NDES!$A$7:$A$6703,0),5),(INDEX(COMPOS!$A$4:$G$801,MATCH($B115,COMPOS!$A$4:A$801,0),4))))</f>
        <v>2.9952000000000001</v>
      </c>
      <c r="G115" s="280">
        <f>(IF($A115="SINAPI",INDEX(SINAPI_NOV2020_NDES!$A$7:$H$6703,MATCH($B115,SINAPI_NOV2020_NDES!$A$7:$A$6703,0),6),(INDEX(COMPOS!$A$4:$G$801,MATCH($B115,COMPOS!$A$4:A$801,0),5))))</f>
        <v>23.76</v>
      </c>
      <c r="H115" s="280">
        <f>(IF($A115="SINAPI",INDEX(SINAPI_NOV2020_NDES!$A$7:$H$6703,MATCH($B115,SINAPI_NOV2020_NDES!$A$7:$A$6703,0),7),(INDEX(COMPOS!$A$4:$G$801,MATCH($B115,COMPOS!$A$4:A$801,0),6))))</f>
        <v>0</v>
      </c>
      <c r="I115" s="279">
        <f t="shared" si="18"/>
        <v>26.755200000000002</v>
      </c>
      <c r="J115" s="276">
        <f t="shared" si="19"/>
        <v>214.04160000000002</v>
      </c>
      <c r="K115" s="255"/>
      <c r="L115" s="255"/>
      <c r="M115" s="255"/>
      <c r="N115" s="255"/>
      <c r="O115" s="257"/>
      <c r="P115" s="255"/>
    </row>
    <row r="116" spans="1:16">
      <c r="A116" s="251" t="s">
        <v>6307</v>
      </c>
      <c r="B116" s="289">
        <v>379</v>
      </c>
      <c r="C116" s="301" t="str">
        <f>(IF($A116="SINAPI",INDEX(SINAPI_NOV2020_NDES!$A$7:$H$6703,MATCH($B116,SINAPI_NOV2020_NDES!$A$7:$A$6703,0),2),IF($A116="GOINFRA",INDEX(#REF!,MATCH($B116,#REF!,0),2),(INDEX(COMPOS!$A$4:$G$390,MATCH($B116,COMPOS!$A$4:A$390,0),2)))))</f>
        <v>PORTA GRELHA QUADRADA PVC CROMADO, DIAM. 150MM</v>
      </c>
      <c r="D116" s="274" t="str">
        <f>(IF($A116="SINAPI",INDEX(SINAPI_NOV2020_NDES!$A$7:$H$6790,MATCH($B116,SINAPI_NOV2020_NDES!$A$7:$A$6790,0),3),(INDEX(COMPOS!$A$4:$G$5000,MATCH($B116,COMPOS!$A$4:$A$5000,0),3))))</f>
        <v>UN</v>
      </c>
      <c r="E116" s="276">
        <v>8</v>
      </c>
      <c r="F116" s="279">
        <f>(IF($A116="SINAPI",INDEX(SINAPI_NOV2020_NDES!$A$7:$H$6703,MATCH($B116,SINAPI_NOV2020_NDES!$A$7:$A$6703,0),5),(INDEX(COMPOS!$A$4:$G$801,MATCH($B116,COMPOS!$A$4:A$801,0),4))))</f>
        <v>3.7440000000000002</v>
      </c>
      <c r="G116" s="280">
        <f>(IF($A116="SINAPI",INDEX(SINAPI_NOV2020_NDES!$A$7:$H$6703,MATCH($B116,SINAPI_NOV2020_NDES!$A$7:$A$6703,0),6),(INDEX(COMPOS!$A$4:$G$801,MATCH($B116,COMPOS!$A$4:A$801,0),5))))</f>
        <v>6.36</v>
      </c>
      <c r="H116" s="280">
        <f>(IF($A116="SINAPI",INDEX(SINAPI_NOV2020_NDES!$A$7:$H$6703,MATCH($B116,SINAPI_NOV2020_NDES!$A$7:$A$6703,0),7),(INDEX(COMPOS!$A$4:$G$801,MATCH($B116,COMPOS!$A$4:A$801,0),6))))</f>
        <v>0</v>
      </c>
      <c r="I116" s="279">
        <f t="shared" si="18"/>
        <v>10.104000000000001</v>
      </c>
      <c r="J116" s="276">
        <f t="shared" si="19"/>
        <v>80.832000000000008</v>
      </c>
      <c r="K116" s="255"/>
      <c r="L116" s="255"/>
      <c r="M116" s="255"/>
      <c r="N116" s="255"/>
      <c r="O116" s="257"/>
      <c r="P116" s="255"/>
    </row>
    <row r="117" spans="1:16" s="88" customFormat="1" ht="24" customHeight="1">
      <c r="A117" s="680" t="s">
        <v>6927</v>
      </c>
      <c r="B117" s="695"/>
      <c r="C117" s="695"/>
      <c r="D117" s="695"/>
      <c r="E117" s="695"/>
      <c r="F117" s="695"/>
      <c r="G117" s="695"/>
      <c r="H117" s="695"/>
      <c r="I117" s="695"/>
      <c r="J117" s="281">
        <f>SUM(J88:J116)</f>
        <v>15565.524449793391</v>
      </c>
      <c r="K117" s="255"/>
      <c r="L117" s="255"/>
      <c r="M117" s="255"/>
      <c r="N117" s="255"/>
      <c r="O117" s="255"/>
      <c r="P117" s="255"/>
    </row>
    <row r="118" spans="1:16">
      <c r="A118" s="251"/>
      <c r="B118" s="299">
        <v>171</v>
      </c>
      <c r="C118" s="338" t="s">
        <v>603</v>
      </c>
      <c r="D118" s="274" t="s">
        <v>6922</v>
      </c>
      <c r="E118" s="276"/>
      <c r="F118" s="276"/>
      <c r="G118" s="276"/>
      <c r="H118" s="276"/>
      <c r="I118" s="276"/>
      <c r="J118" s="276"/>
      <c r="K118" s="255"/>
      <c r="L118" s="255"/>
      <c r="M118" s="255"/>
      <c r="N118" s="255"/>
      <c r="O118" s="255"/>
      <c r="P118" s="255"/>
    </row>
    <row r="119" spans="1:16" ht="24">
      <c r="A119" s="251" t="s">
        <v>6307</v>
      </c>
      <c r="B119" s="251">
        <v>431</v>
      </c>
      <c r="C119" s="301" t="str">
        <f>(IF($A119="SINAPI",INDEX(SINAPI_NOV2020_NDES!$A$7:$H$6703,MATCH($B119,SINAPI_NOV2020_NDES!$A$7:$A$6703,0),2),IF($A119="GOINFRA",INDEX(#REF!,MATCH($B119,#REF!,0),2),(INDEX(COMPOS!$A$4:$G$390,MATCH($B119,COMPOS!$A$4:A$390,0),2)))))</f>
        <v>CENTRAL DE GÁS PADRÃO GOINFRA/2019 COMPLETA, EXCLUSO AS INSTALAÇÕES MECÂNICAS (2+2 CILINDRO P-45)</v>
      </c>
      <c r="D119" s="274" t="str">
        <f>(IF($A119="SINAPI",INDEX(SINAPI_NOV2020_NDES!$A$7:$H$6790,MATCH($B119,SINAPI_NOV2020_NDES!$A$7:$A$6790,0),3),(INDEX(COMPOS!$A$4:$G$5000,MATCH($B119,COMPOS!$A$4:$A$5000,0),3))))</f>
        <v>UN</v>
      </c>
      <c r="E119" s="276">
        <v>1</v>
      </c>
      <c r="F119" s="276">
        <f>(IF($A119="SINAPI",INDEX(SINAPI_NOV2020_NDES!$A$7:$H$6703,MATCH($B119,SINAPI_NOV2020_NDES!$A$7:$A$6703,0),5),(INDEX(COMPOS!$A$4:$G$801,MATCH($B119,COMPOS!$A$4:A$801,0),4))))</f>
        <v>5107.3470539999998</v>
      </c>
      <c r="G119" s="276">
        <f>(IF($A119="SINAPI",INDEX(SINAPI_NOV2020_NDES!$A$7:$H$6703,MATCH($B119,SINAPI_NOV2020_NDES!$A$7:$A$6703,0),6),(INDEX(COMPOS!$A$4:$G$801,MATCH($B119,COMPOS!$A$4:A$801,0),5))))</f>
        <v>4750.1083892148772</v>
      </c>
      <c r="H119" s="276">
        <f>(IF($A119="SINAPI",INDEX(SINAPI_NOV2020_NDES!$A$7:$H$6703,MATCH($B119,SINAPI_NOV2020_NDES!$A$7:$A$6703,0),7),(INDEX(COMPOS!$A$4:$G$801,MATCH($B119,COMPOS!$A$4:A$801,0),6))))</f>
        <v>0</v>
      </c>
      <c r="I119" s="276">
        <f t="shared" ref="I119" si="20">SUM(F119:H119)</f>
        <v>9857.4554432148761</v>
      </c>
      <c r="J119" s="276">
        <f t="shared" ref="J119" si="21">+I119*E119</f>
        <v>9857.4554432148761</v>
      </c>
      <c r="K119" s="255"/>
      <c r="L119" s="255"/>
      <c r="M119" s="255"/>
      <c r="N119" s="255"/>
      <c r="O119" s="257"/>
      <c r="P119" s="255"/>
    </row>
    <row r="120" spans="1:16" ht="48">
      <c r="A120" s="251" t="s">
        <v>6307</v>
      </c>
      <c r="B120" s="251">
        <v>432</v>
      </c>
      <c r="C120" s="301" t="str">
        <f>(IF($A120="SINAPI",INDEX(SINAPI_NOV2020_NDES!$A$7:$H$6703,MATCH($B120,SINAPI_NOV2020_NDES!$A$7:$A$6703,0),2),IF($A120="GOINFRA",INDEX(#REF!,MATCH($B120,#REF!,0),2),(INDEX(COMPOS!$A$4:$G$390,MATCH($B120,COMPOS!$A$4:A$390,0),2)))))</f>
        <v>REGULADOR DE PRESSÃO PRIMEIRO ESTÁGIO, 8 KG/H, REGULÁVEL COM MANÔMETRO,PRESSÃO DE
ENTRADA 2 A 18 BAR E PRESSÃO DE SAÍDA 0,5 A 2 BAR, CONEXÕES DE ENTRADA E SAÍDA 1/4" NPT</v>
      </c>
      <c r="D120" s="274" t="str">
        <f>(IF($A120="SINAPI",INDEX(SINAPI_NOV2020_NDES!$A$7:$H$6790,MATCH($B120,SINAPI_NOV2020_NDES!$A$7:$A$6790,0),3),(INDEX(COMPOS!$A$4:$G$5000,MATCH($B120,COMPOS!$A$4:$A$5000,0),3))))</f>
        <v>UN</v>
      </c>
      <c r="E120" s="276">
        <v>4</v>
      </c>
      <c r="F120" s="276">
        <f>(IF($A120="SINAPI",INDEX(SINAPI_NOV2020_NDES!$A$7:$H$6703,MATCH($B120,SINAPI_NOV2020_NDES!$A$7:$A$6703,0),5),(INDEX(COMPOS!$A$4:$G$801,MATCH($B120,COMPOS!$A$4:A$801,0),4))))</f>
        <v>16.17408</v>
      </c>
      <c r="G120" s="276">
        <f>(IF($A120="SINAPI",INDEX(SINAPI_NOV2020_NDES!$A$7:$H$6703,MATCH($B120,SINAPI_NOV2020_NDES!$A$7:$A$6703,0),6),(INDEX(COMPOS!$A$4:$G$801,MATCH($B120,COMPOS!$A$4:A$801,0),5))))</f>
        <v>212.55</v>
      </c>
      <c r="H120" s="276">
        <f>(IF($A120="SINAPI",INDEX(SINAPI_NOV2020_NDES!$A$7:$H$6703,MATCH($B120,SINAPI_NOV2020_NDES!$A$7:$A$6703,0),7),(INDEX(COMPOS!$A$4:$G$801,MATCH($B120,COMPOS!$A$4:A$801,0),6))))</f>
        <v>0</v>
      </c>
      <c r="I120" s="276">
        <f t="shared" ref="I120:I137" si="22">SUM(F120:H120)</f>
        <v>228.72408000000001</v>
      </c>
      <c r="J120" s="276">
        <f t="shared" ref="J120:J137" si="23">+I120*E120</f>
        <v>914.89632000000006</v>
      </c>
      <c r="K120" s="255"/>
      <c r="L120" s="255"/>
      <c r="M120" s="255"/>
      <c r="N120" s="255"/>
      <c r="O120" s="257"/>
      <c r="P120" s="255"/>
    </row>
    <row r="121" spans="1:16" ht="36">
      <c r="A121" s="251" t="s">
        <v>7</v>
      </c>
      <c r="B121" s="251">
        <v>92687</v>
      </c>
      <c r="C121" s="301" t="str">
        <f>(IF($A121="SINAPI",INDEX(SINAPI_NOV2020_NDES!$A$7:$H$6703,MATCH($B121,SINAPI_NOV2020_NDES!$A$7:$A$6703,0),2),IF($A121="GOINFRA",INDEX(#REF!,MATCH($B121,#REF!,0),2),(INDEX(COMPOS!$A$4:$G$390,MATCH($B121,COMPOS!$A$4:A$390,0),2)))))</f>
        <v>TUBO DE AÇO GALVANIZADO COM COSTURA, CLASSE MÉDIA, CONEXÃO ROSQUEADA, DN 15 (1/2"), INSTALADO EM RAMAIS E SUB-RAMAIS DE GÁS - FORNECIMENTO E INSTALAÇÃO. AF_10/2020</v>
      </c>
      <c r="D121" s="274" t="str">
        <f>(IF($A121="SINAPI",INDEX(SINAPI_NOV2020_NDES!$A$7:$H$6790,MATCH($B121,SINAPI_NOV2020_NDES!$A$7:$A$6790,0),3),(INDEX(COMPOS!$A$4:$G$5000,MATCH($B121,COMPOS!$A$4:$A$5000,0),3))))</f>
        <v>M</v>
      </c>
      <c r="E121" s="287">
        <v>23.4</v>
      </c>
      <c r="F121" s="276">
        <f>(IF($A121="SINAPI",INDEX(SINAPI_NOV2020_NDES!$A$7:$H$6703,MATCH($B121,SINAPI_NOV2020_NDES!$A$7:$A$6703,0),5),(INDEX(COMPOS!$A$4:$G$801,MATCH($B121,COMPOS!$A$4:A$801,0),4))))</f>
        <v>5.03</v>
      </c>
      <c r="G121" s="276">
        <f>(IF($A121="SINAPI",INDEX(SINAPI_NOV2020_NDES!$A$7:$H$6703,MATCH($B121,SINAPI_NOV2020_NDES!$A$7:$A$6703,0),6),(INDEX(COMPOS!$A$4:$G$801,MATCH($B121,COMPOS!$A$4:A$801,0),5))))</f>
        <v>17.12</v>
      </c>
      <c r="H121" s="276">
        <f>(IF($A121="SINAPI",INDEX(SINAPI_NOV2020_NDES!$A$7:$H$6703,MATCH($B121,SINAPI_NOV2020_NDES!$A$7:$A$6703,0),7),(INDEX(COMPOS!$A$4:$G$801,MATCH($B121,COMPOS!$A$4:A$801,0),6))))</f>
        <v>0</v>
      </c>
      <c r="I121" s="276">
        <f t="shared" si="22"/>
        <v>22.150000000000002</v>
      </c>
      <c r="J121" s="276">
        <f t="shared" si="23"/>
        <v>518.31000000000006</v>
      </c>
      <c r="K121" s="255"/>
      <c r="L121" s="255"/>
      <c r="M121" s="255"/>
      <c r="N121" s="255"/>
      <c r="O121" s="257"/>
      <c r="P121" s="255"/>
    </row>
    <row r="122" spans="1:16" ht="36">
      <c r="A122" s="251" t="s">
        <v>7</v>
      </c>
      <c r="B122" s="251">
        <v>92690</v>
      </c>
      <c r="C122" s="301" t="str">
        <f>(IF($A122="SINAPI",INDEX(SINAPI_NOV2020_NDES!$A$7:$H$6703,MATCH($B122,SINAPI_NOV2020_NDES!$A$7:$A$6703,0),2),IF($A122="GOINFRA",INDEX(#REF!,MATCH($B122,#REF!,0),2),(INDEX(COMPOS!$A$4:$G$390,MATCH($B122,COMPOS!$A$4:A$390,0),2)))))</f>
        <v>TUBO DE AÇO PRETO SEM COSTURA, CLASSE MÉDIA, CONEXÃO SOLDADA, DN 20 (3/4"), INSTALADO EM RAMAIS E SUB-RAMAIS DE GÁS - FORNECIMENTO E INSTALAÇÃO. AF_10/2020</v>
      </c>
      <c r="D122" s="274" t="str">
        <f>(IF($A122="SINAPI",INDEX(SINAPI_NOV2020_NDES!$A$7:$H$6790,MATCH($B122,SINAPI_NOV2020_NDES!$A$7:$A$6790,0),3),(INDEX(COMPOS!$A$4:$G$5000,MATCH($B122,COMPOS!$A$4:$A$5000,0),3))))</f>
        <v>M</v>
      </c>
      <c r="E122" s="276">
        <v>4</v>
      </c>
      <c r="F122" s="276">
        <f>(IF($A122="SINAPI",INDEX(SINAPI_NOV2020_NDES!$A$7:$H$6703,MATCH($B122,SINAPI_NOV2020_NDES!$A$7:$A$6703,0),5),(INDEX(COMPOS!$A$4:$G$801,MATCH($B122,COMPOS!$A$4:A$801,0),4))))</f>
        <v>9.0299999999999994</v>
      </c>
      <c r="G122" s="276">
        <f>(IF($A122="SINAPI",INDEX(SINAPI_NOV2020_NDES!$A$7:$H$6703,MATCH($B122,SINAPI_NOV2020_NDES!$A$7:$A$6703,0),6),(INDEX(COMPOS!$A$4:$G$801,MATCH($B122,COMPOS!$A$4:A$801,0),5))))</f>
        <v>37.36</v>
      </c>
      <c r="H122" s="276">
        <f>(IF($A122="SINAPI",INDEX(SINAPI_NOV2020_NDES!$A$7:$H$6703,MATCH($B122,SINAPI_NOV2020_NDES!$A$7:$A$6703,0),7),(INDEX(COMPOS!$A$4:$G$801,MATCH($B122,COMPOS!$A$4:A$801,0),6))))</f>
        <v>0</v>
      </c>
      <c r="I122" s="276">
        <f t="shared" si="22"/>
        <v>46.39</v>
      </c>
      <c r="J122" s="276">
        <f t="shared" si="23"/>
        <v>185.56</v>
      </c>
      <c r="K122" s="255"/>
      <c r="L122" s="255"/>
      <c r="M122" s="255"/>
      <c r="N122" s="255"/>
      <c r="O122" s="257"/>
      <c r="P122" s="255"/>
    </row>
    <row r="123" spans="1:16">
      <c r="A123" s="251" t="s">
        <v>6307</v>
      </c>
      <c r="B123" s="251">
        <v>816</v>
      </c>
      <c r="C123" s="301" t="str">
        <f>(IF($A123="SINAPI",INDEX(SINAPI_NOV2020_NDES!$A$7:$H$6703,MATCH($B123,SINAPI_NOV2020_NDES!$A$7:$A$6703,0),2),IF($A123="GOINFRA",INDEX(#REF!,MATCH($B123,#REF!,0),2),(INDEX(COMPOS!$A$4:$G$390,MATCH($B123,COMPOS!$A$4:A$390,0),2)))))</f>
        <v>COTOVELO 300 PSI 1/2"</v>
      </c>
      <c r="D123" s="274" t="str">
        <f>(IF($A123="SINAPI",INDEX(SINAPI_NOV2020_NDES!$A$7:$H$6790,MATCH($B123,SINAPI_NOV2020_NDES!$A$7:$A$6790,0),3),(INDEX(COMPOS!$A$4:$G$5000,MATCH($B123,COMPOS!$A$4:$A$5000,0),3))))</f>
        <v>UN</v>
      </c>
      <c r="E123" s="276">
        <v>4</v>
      </c>
      <c r="F123" s="276">
        <f>(IF($A123="SINAPI",INDEX(SINAPI_NOV2020_NDES!$A$7:$H$6703,MATCH($B123,SINAPI_NOV2020_NDES!$A$7:$A$6703,0),5),(INDEX(COMPOS!$A$4:$G$801,MATCH($B123,COMPOS!$A$4:A$801,0),4))))</f>
        <v>37.44</v>
      </c>
      <c r="G123" s="276">
        <f>(IF($A123="SINAPI",INDEX(SINAPI_NOV2020_NDES!$A$7:$H$6703,MATCH($B123,SINAPI_NOV2020_NDES!$A$7:$A$6703,0),6),(INDEX(COMPOS!$A$4:$G$801,MATCH($B123,COMPOS!$A$4:A$801,0),5))))</f>
        <v>16.41</v>
      </c>
      <c r="H123" s="276">
        <f>(IF($A123="SINAPI",INDEX(SINAPI_NOV2020_NDES!$A$7:$H$6703,MATCH($B123,SINAPI_NOV2020_NDES!$A$7:$A$6703,0),7),(INDEX(COMPOS!$A$4:$G$801,MATCH($B123,COMPOS!$A$4:A$801,0),6))))</f>
        <v>0</v>
      </c>
      <c r="I123" s="276">
        <f t="shared" si="22"/>
        <v>53.849999999999994</v>
      </c>
      <c r="J123" s="276">
        <f t="shared" si="23"/>
        <v>215.39999999999998</v>
      </c>
      <c r="K123" s="255"/>
      <c r="L123" s="255"/>
      <c r="M123" s="255"/>
      <c r="N123" s="255"/>
      <c r="O123" s="257"/>
      <c r="P123" s="255"/>
    </row>
    <row r="124" spans="1:16">
      <c r="A124" s="251" t="s">
        <v>6307</v>
      </c>
      <c r="B124" s="251">
        <v>434</v>
      </c>
      <c r="C124" s="301" t="str">
        <f>(IF($A124="SINAPI",INDEX(SINAPI_NOV2020_NDES!$A$7:$H$6703,MATCH($B124,SINAPI_NOV2020_NDES!$A$7:$A$6703,0),2),IF($A124="GOINFRA",INDEX(#REF!,MATCH($B124,#REF!,0),2),(INDEX(COMPOS!$A$4:$G$390,MATCH($B124,COMPOS!$A$4:A$390,0),2)))))</f>
        <v>TE DE FERRO MALEÁVEL GALVANIZADO 3/4" CLASSE 150 ROSCA NPT NBR 6926</v>
      </c>
      <c r="D124" s="274" t="str">
        <f>(IF($A124="SINAPI",INDEX(SINAPI_NOV2020_NDES!$A$7:$H$6790,MATCH($B124,SINAPI_NOV2020_NDES!$A$7:$A$6790,0),3),(INDEX(COMPOS!$A$4:$G$5000,MATCH($B124,COMPOS!$A$4:$A$5000,0),3))))</f>
        <v>UN</v>
      </c>
      <c r="E124" s="276">
        <v>5</v>
      </c>
      <c r="F124" s="276">
        <f>(IF($A124="SINAPI",INDEX(SINAPI_NOV2020_NDES!$A$7:$H$6703,MATCH($B124,SINAPI_NOV2020_NDES!$A$7:$A$6703,0),5),(INDEX(COMPOS!$A$4:$G$801,MATCH($B124,COMPOS!$A$4:A$801,0),4))))</f>
        <v>13.77792</v>
      </c>
      <c r="G124" s="276">
        <f>(IF($A124="SINAPI",INDEX(SINAPI_NOV2020_NDES!$A$7:$H$6703,MATCH($B124,SINAPI_NOV2020_NDES!$A$7:$A$6703,0),6),(INDEX(COMPOS!$A$4:$G$801,MATCH($B124,COMPOS!$A$4:A$801,0),5))))</f>
        <v>14.16</v>
      </c>
      <c r="H124" s="276">
        <f>(IF($A124="SINAPI",INDEX(SINAPI_NOV2020_NDES!$A$7:$H$6703,MATCH($B124,SINAPI_NOV2020_NDES!$A$7:$A$6703,0),7),(INDEX(COMPOS!$A$4:$G$801,MATCH($B124,COMPOS!$A$4:A$801,0),6))))</f>
        <v>0</v>
      </c>
      <c r="I124" s="276">
        <f t="shared" si="22"/>
        <v>27.937919999999998</v>
      </c>
      <c r="J124" s="276">
        <f t="shared" si="23"/>
        <v>139.68959999999998</v>
      </c>
      <c r="K124" s="255"/>
      <c r="L124" s="255"/>
      <c r="M124" s="255"/>
      <c r="N124" s="255"/>
      <c r="O124" s="257"/>
      <c r="P124" s="255"/>
    </row>
    <row r="125" spans="1:16" ht="24">
      <c r="A125" s="251" t="s">
        <v>6307</v>
      </c>
      <c r="B125" s="251">
        <v>435</v>
      </c>
      <c r="C125" s="301" t="str">
        <f>(IF($A125="SINAPI",INDEX(SINAPI_NOV2020_NDES!$A$7:$H$6703,MATCH($B125,SINAPI_NOV2020_NDES!$A$7:$A$6703,0),2),IF($A125="GOINFRA",INDEX(#REF!,MATCH($B125,#REF!,0),2),(INDEX(COMPOS!$A$4:$G$390,MATCH($B125,COMPOS!$A$4:A$390,0),2)))))</f>
        <v>LUVA REDUÇÃO DE FERRO MALEÁVEL GALVANIZADO 3/4" X 1/2", CLASSE 150, ROSCA NPT - NBR 6926</v>
      </c>
      <c r="D125" s="274" t="str">
        <f>(IF($A125="SINAPI",INDEX(SINAPI_NOV2020_NDES!$A$7:$H$6790,MATCH($B125,SINAPI_NOV2020_NDES!$A$7:$A$6790,0),3),(INDEX(COMPOS!$A$4:$G$5000,MATCH($B125,COMPOS!$A$4:$A$5000,0),3))))</f>
        <v>UN</v>
      </c>
      <c r="E125" s="276">
        <v>1</v>
      </c>
      <c r="F125" s="276">
        <f>(IF($A125="SINAPI",INDEX(SINAPI_NOV2020_NDES!$A$7:$H$6703,MATCH($B125,SINAPI_NOV2020_NDES!$A$7:$A$6703,0),5),(INDEX(COMPOS!$A$4:$G$801,MATCH($B125,COMPOS!$A$4:A$801,0),4))))</f>
        <v>5.9904000000000002</v>
      </c>
      <c r="G125" s="276">
        <f>(IF($A125="SINAPI",INDEX(SINAPI_NOV2020_NDES!$A$7:$H$6703,MATCH($B125,SINAPI_NOV2020_NDES!$A$7:$A$6703,0),6),(INDEX(COMPOS!$A$4:$G$801,MATCH($B125,COMPOS!$A$4:A$801,0),5))))</f>
        <v>6.09</v>
      </c>
      <c r="H125" s="276">
        <f>(IF($A125="SINAPI",INDEX(SINAPI_NOV2020_NDES!$A$7:$H$6703,MATCH($B125,SINAPI_NOV2020_NDES!$A$7:$A$6703,0),7),(INDEX(COMPOS!$A$4:$G$801,MATCH($B125,COMPOS!$A$4:A$801,0),6))))</f>
        <v>0</v>
      </c>
      <c r="I125" s="276">
        <f t="shared" si="22"/>
        <v>12.080400000000001</v>
      </c>
      <c r="J125" s="276">
        <f t="shared" si="23"/>
        <v>12.080400000000001</v>
      </c>
      <c r="K125" s="255"/>
      <c r="L125" s="255"/>
      <c r="M125" s="255"/>
      <c r="N125" s="255"/>
      <c r="O125" s="257"/>
      <c r="P125" s="255"/>
    </row>
    <row r="126" spans="1:16" ht="24">
      <c r="A126" s="252" t="s">
        <v>6307</v>
      </c>
      <c r="B126" s="251">
        <v>436</v>
      </c>
      <c r="C126" s="301" t="str">
        <f>(IF($A126="SINAPI",INDEX(SINAPI_NOV2020_NDES!$A$7:$H$6703,MATCH($B126,SINAPI_NOV2020_NDES!$A$7:$A$6703,0),2),IF($A126="GOINFRA",INDEX(#REF!,MATCH($B126,#REF!,0),2),(INDEX(COMPOS!$A$4:$G$390,MATCH($B126,COMPOS!$A$4:A$390,0),2)))))</f>
        <v>UNIÃO DE FERRO MALEÁVEL GALVANIZADO 3/4", ASSENTO BRONZE , CLASSE 150, ROSCA NPT – NBR 6926</v>
      </c>
      <c r="D126" s="274" t="str">
        <f>(IF($A126="SINAPI",INDEX(SINAPI_NOV2020_NDES!$A$7:$H$6790,MATCH($B126,SINAPI_NOV2020_NDES!$A$7:$A$6790,0),3),(INDEX(COMPOS!$A$4:$G$5000,MATCH($B126,COMPOS!$A$4:$A$5000,0),3))))</f>
        <v>UN</v>
      </c>
      <c r="E126" s="276">
        <v>5</v>
      </c>
      <c r="F126" s="276">
        <f>(IF($A126="SINAPI",INDEX(SINAPI_NOV2020_NDES!$A$7:$H$6703,MATCH($B126,SINAPI_NOV2020_NDES!$A$7:$A$6703,0),5),(INDEX(COMPOS!$A$4:$G$801,MATCH($B126,COMPOS!$A$4:A$801,0),4))))</f>
        <v>5.9904000000000002</v>
      </c>
      <c r="G126" s="276">
        <f>(IF($A126="SINAPI",INDEX(SINAPI_NOV2020_NDES!$A$7:$H$6703,MATCH($B126,SINAPI_NOV2020_NDES!$A$7:$A$6703,0),6),(INDEX(COMPOS!$A$4:$G$801,MATCH($B126,COMPOS!$A$4:A$801,0),5))))</f>
        <v>60.92</v>
      </c>
      <c r="H126" s="276">
        <f>(IF($A126="SINAPI",INDEX(SINAPI_NOV2020_NDES!$A$7:$H$6703,MATCH($B126,SINAPI_NOV2020_NDES!$A$7:$A$6703,0),7),(INDEX(COMPOS!$A$4:$G$801,MATCH($B126,COMPOS!$A$4:A$801,0),6))))</f>
        <v>0</v>
      </c>
      <c r="I126" s="276">
        <f t="shared" si="22"/>
        <v>66.910399999999996</v>
      </c>
      <c r="J126" s="276">
        <f t="shared" si="23"/>
        <v>334.55199999999996</v>
      </c>
      <c r="K126" s="255"/>
      <c r="L126" s="255"/>
      <c r="M126" s="255"/>
      <c r="N126" s="255"/>
      <c r="O126" s="257"/>
      <c r="P126" s="255"/>
    </row>
    <row r="127" spans="1:16" ht="24">
      <c r="A127" s="251" t="s">
        <v>6307</v>
      </c>
      <c r="B127" s="251">
        <v>437</v>
      </c>
      <c r="C127" s="301" t="str">
        <f>(IF($A127="SINAPI",INDEX(SINAPI_NOV2020_NDES!$A$7:$H$6703,MATCH($B127,SINAPI_NOV2020_NDES!$A$7:$A$6703,0),2),IF($A127="GOINFRA",INDEX(#REF!,MATCH($B127,#REF!,0),2),(INDEX(COMPOS!$A$4:$G$390,MATCH($B127,COMPOS!$A$4:A$390,0),2)))))</f>
        <v>VÁLVULA DE ESFERA TRIPARTIDA 3/4", PASSAGEM PLENA, ROSCA NPT, CLASSE 300 - NORMA ASME B16.35</v>
      </c>
      <c r="D127" s="274" t="str">
        <f>(IF($A127="SINAPI",INDEX(SINAPI_NOV2020_NDES!$A$7:$H$6790,MATCH($B127,SINAPI_NOV2020_NDES!$A$7:$A$6790,0),3),(INDEX(COMPOS!$A$4:$G$5000,MATCH($B127,COMPOS!$A$4:$A$5000,0),3))))</f>
        <v>UN</v>
      </c>
      <c r="E127" s="276">
        <v>5</v>
      </c>
      <c r="F127" s="276">
        <f>(IF($A127="SINAPI",INDEX(SINAPI_NOV2020_NDES!$A$7:$H$6703,MATCH($B127,SINAPI_NOV2020_NDES!$A$7:$A$6703,0),5),(INDEX(COMPOS!$A$4:$G$801,MATCH($B127,COMPOS!$A$4:A$801,0),4))))</f>
        <v>16.17408</v>
      </c>
      <c r="G127" s="276">
        <f>(IF($A127="SINAPI",INDEX(SINAPI_NOV2020_NDES!$A$7:$H$6703,MATCH($B127,SINAPI_NOV2020_NDES!$A$7:$A$6703,0),6),(INDEX(COMPOS!$A$4:$G$801,MATCH($B127,COMPOS!$A$4:A$801,0),5))))</f>
        <v>114.05</v>
      </c>
      <c r="H127" s="276">
        <f>(IF($A127="SINAPI",INDEX(SINAPI_NOV2020_NDES!$A$7:$H$6703,MATCH($B127,SINAPI_NOV2020_NDES!$A$7:$A$6703,0),7),(INDEX(COMPOS!$A$4:$G$801,MATCH($B127,COMPOS!$A$4:A$801,0),6))))</f>
        <v>0</v>
      </c>
      <c r="I127" s="276">
        <f t="shared" si="22"/>
        <v>130.22407999999999</v>
      </c>
      <c r="J127" s="276">
        <f t="shared" si="23"/>
        <v>651.1203999999999</v>
      </c>
      <c r="K127" s="255"/>
      <c r="L127" s="255"/>
      <c r="M127" s="255"/>
      <c r="N127" s="255"/>
      <c r="O127" s="257"/>
      <c r="P127" s="255"/>
    </row>
    <row r="128" spans="1:16">
      <c r="A128" s="252" t="s">
        <v>6307</v>
      </c>
      <c r="B128" s="251">
        <v>438</v>
      </c>
      <c r="C128" s="301" t="str">
        <f>(IF($A128="SINAPI",INDEX(SINAPI_NOV2020_NDES!$A$7:$H$6703,MATCH($B128,SINAPI_NOV2020_NDES!$A$7:$A$6703,0),2),IF($A128="GOINFRA",INDEX(#REF!,MATCH($B128,#REF!,0),2),(INDEX(COMPOS!$A$4:$G$390,MATCH($B128,COMPOS!$A$4:A$390,0),2)))))</f>
        <v>VÁLVULA LATÃO P-13 NOVA ¾''</v>
      </c>
      <c r="D128" s="274" t="str">
        <f>(IF($A128="SINAPI",INDEX(SINAPI_NOV2020_NDES!$A$7:$H$6790,MATCH($B128,SINAPI_NOV2020_NDES!$A$7:$A$6790,0),3),(INDEX(COMPOS!$A$4:$G$5000,MATCH($B128,COMPOS!$A$4:$A$5000,0),3))))</f>
        <v>UN</v>
      </c>
      <c r="E128" s="276">
        <v>12</v>
      </c>
      <c r="F128" s="276">
        <f>(IF($A128="SINAPI",INDEX(SINAPI_NOV2020_NDES!$A$7:$H$6703,MATCH($B128,SINAPI_NOV2020_NDES!$A$7:$A$6703,0),5),(INDEX(COMPOS!$A$4:$G$801,MATCH($B128,COMPOS!$A$4:A$801,0),4))))</f>
        <v>16.17408</v>
      </c>
      <c r="G128" s="276">
        <f>(IF($A128="SINAPI",INDEX(SINAPI_NOV2020_NDES!$A$7:$H$6703,MATCH($B128,SINAPI_NOV2020_NDES!$A$7:$A$6703,0),6),(INDEX(COMPOS!$A$4:$G$801,MATCH($B128,COMPOS!$A$4:A$801,0),5))))</f>
        <v>21.74</v>
      </c>
      <c r="H128" s="276">
        <f>(IF($A128="SINAPI",INDEX(SINAPI_NOV2020_NDES!$A$7:$H$6703,MATCH($B128,SINAPI_NOV2020_NDES!$A$7:$A$6703,0),7),(INDEX(COMPOS!$A$4:$G$801,MATCH($B128,COMPOS!$A$4:A$801,0),6))))</f>
        <v>0</v>
      </c>
      <c r="I128" s="276">
        <f t="shared" si="22"/>
        <v>37.914079999999998</v>
      </c>
      <c r="J128" s="276">
        <f t="shared" si="23"/>
        <v>454.96895999999998</v>
      </c>
      <c r="K128" s="255"/>
      <c r="L128" s="255"/>
      <c r="M128" s="255"/>
      <c r="N128" s="255"/>
      <c r="O128" s="257"/>
      <c r="P128" s="255"/>
    </row>
    <row r="129" spans="1:16">
      <c r="A129" s="251" t="s">
        <v>6307</v>
      </c>
      <c r="B129" s="251">
        <v>439</v>
      </c>
      <c r="C129" s="301" t="str">
        <f>(IF($A129="SINAPI",INDEX(SINAPI_NOV2020_NDES!$A$7:$H$6703,MATCH($B129,SINAPI_NOV2020_NDES!$A$7:$A$6703,0),2),IF($A129="GOINFRA",INDEX(#REF!,MATCH($B129,#REF!,0),2),(INDEX(COMPOS!$A$4:$G$390,MATCH($B129,COMPOS!$A$4:A$390,0),2)))))</f>
        <v>VÁLVULA DE RETENÇÃO EM LATÃO 7/16" NS (I) X 1/2" NPT (E)</v>
      </c>
      <c r="D129" s="274" t="str">
        <f>(IF($A129="SINAPI",INDEX(SINAPI_NOV2020_NDES!$A$7:$H$6790,MATCH($B129,SINAPI_NOV2020_NDES!$A$7:$A$6790,0),3),(INDEX(COMPOS!$A$4:$G$5000,MATCH($B129,COMPOS!$A$4:$A$5000,0),3))))</f>
        <v>UN</v>
      </c>
      <c r="E129" s="276">
        <v>5</v>
      </c>
      <c r="F129" s="276">
        <f>(IF($A129="SINAPI",INDEX(SINAPI_NOV2020_NDES!$A$7:$H$6703,MATCH($B129,SINAPI_NOV2020_NDES!$A$7:$A$6703,0),5),(INDEX(COMPOS!$A$4:$G$801,MATCH($B129,COMPOS!$A$4:A$801,0),4))))</f>
        <v>5.9904000000000002</v>
      </c>
      <c r="G129" s="276">
        <f>(IF($A129="SINAPI",INDEX(SINAPI_NOV2020_NDES!$A$7:$H$6703,MATCH($B129,SINAPI_NOV2020_NDES!$A$7:$A$6703,0),6),(INDEX(COMPOS!$A$4:$G$801,MATCH($B129,COMPOS!$A$4:A$801,0),5))))</f>
        <v>21.817805</v>
      </c>
      <c r="H129" s="276">
        <f>(IF($A129="SINAPI",INDEX(SINAPI_NOV2020_NDES!$A$7:$H$6703,MATCH($B129,SINAPI_NOV2020_NDES!$A$7:$A$6703,0),7),(INDEX(COMPOS!$A$4:$G$801,MATCH($B129,COMPOS!$A$4:A$801,0),6))))</f>
        <v>0</v>
      </c>
      <c r="I129" s="276">
        <f t="shared" si="22"/>
        <v>27.808205000000001</v>
      </c>
      <c r="J129" s="276">
        <f t="shared" si="23"/>
        <v>139.04102499999999</v>
      </c>
      <c r="K129" s="255"/>
      <c r="L129" s="255"/>
      <c r="M129" s="255"/>
      <c r="N129" s="255"/>
      <c r="O129" s="257"/>
      <c r="P129" s="255"/>
    </row>
    <row r="130" spans="1:16" ht="24">
      <c r="A130" s="251" t="s">
        <v>6307</v>
      </c>
      <c r="B130" s="251">
        <v>440</v>
      </c>
      <c r="C130" s="301" t="str">
        <f>(IF($A130="SINAPI",INDEX(SINAPI_NOV2020_NDES!$A$7:$H$6703,MATCH($B130,SINAPI_NOV2020_NDES!$A$7:$A$6703,0),2),IF($A130="GOINFRA",INDEX(#REF!,MATCH($B130,#REF!,0),2),(INDEX(COMPOS!$A$4:$G$390,MATCH($B130,COMPOS!$A$4:A$390,0),2)))))</f>
        <v>NIPLE DUPLO DE FERRO MALEÁVEL GALVANIZADO 3/4" CLASSE 300 ROSCA NPT - NBR 6926</v>
      </c>
      <c r="D130" s="274" t="str">
        <f>(IF($A130="SINAPI",INDEX(SINAPI_NOV2020_NDES!$A$7:$H$6790,MATCH($B130,SINAPI_NOV2020_NDES!$A$7:$A$6790,0),3),(INDEX(COMPOS!$A$4:$G$5000,MATCH($B130,COMPOS!$A$4:$A$5000,0),3))))</f>
        <v>UN</v>
      </c>
      <c r="E130" s="276">
        <v>4</v>
      </c>
      <c r="F130" s="276">
        <f>(IF($A130="SINAPI",INDEX(SINAPI_NOV2020_NDES!$A$7:$H$6703,MATCH($B130,SINAPI_NOV2020_NDES!$A$7:$A$6703,0),5),(INDEX(COMPOS!$A$4:$G$801,MATCH($B130,COMPOS!$A$4:A$801,0),4))))</f>
        <v>5.9904000000000002</v>
      </c>
      <c r="G130" s="276">
        <f>(IF($A130="SINAPI",INDEX(SINAPI_NOV2020_NDES!$A$7:$H$6703,MATCH($B130,SINAPI_NOV2020_NDES!$A$7:$A$6703,0),6),(INDEX(COMPOS!$A$4:$G$801,MATCH($B130,COMPOS!$A$4:A$801,0),5))))</f>
        <v>13.103415</v>
      </c>
      <c r="H130" s="276">
        <f>(IF($A130="SINAPI",INDEX(SINAPI_NOV2020_NDES!$A$7:$H$6703,MATCH($B130,SINAPI_NOV2020_NDES!$A$7:$A$6703,0),7),(INDEX(COMPOS!$A$4:$G$801,MATCH($B130,COMPOS!$A$4:A$801,0),6))))</f>
        <v>0</v>
      </c>
      <c r="I130" s="276">
        <f t="shared" si="22"/>
        <v>19.093814999999999</v>
      </c>
      <c r="J130" s="276">
        <f t="shared" si="23"/>
        <v>76.375259999999997</v>
      </c>
      <c r="K130" s="255"/>
      <c r="L130" s="255"/>
      <c r="M130" s="255"/>
      <c r="N130" s="255"/>
      <c r="O130" s="257"/>
      <c r="P130" s="255"/>
    </row>
    <row r="131" spans="1:16">
      <c r="A131" s="252" t="s">
        <v>6307</v>
      </c>
      <c r="B131" s="251">
        <v>441</v>
      </c>
      <c r="C131" s="301" t="str">
        <f>(IF($A131="SINAPI",INDEX(SINAPI_NOV2020_NDES!$A$7:$H$6703,MATCH($B131,SINAPI_NOV2020_NDES!$A$7:$A$6703,0),2),IF($A131="GOINFRA",INDEX(#REF!,MATCH($B131,#REF!,0),2),(INDEX(COMPOS!$A$4:$G$390,MATCH($B131,COMPOS!$A$4:A$390,0),2)))))</f>
        <v>NIPLE DE LATÃO DE 3/4" NPT X 1/4" NPT</v>
      </c>
      <c r="D131" s="274" t="str">
        <f>(IF($A131="SINAPI",INDEX(SINAPI_NOV2020_NDES!$A$7:$H$6790,MATCH($B131,SINAPI_NOV2020_NDES!$A$7:$A$6790,0),3),(INDEX(COMPOS!$A$4:$G$5000,MATCH($B131,COMPOS!$A$4:$A$5000,0),3))))</f>
        <v>UN</v>
      </c>
      <c r="E131" s="276">
        <v>4</v>
      </c>
      <c r="F131" s="276">
        <f>(IF($A131="SINAPI",INDEX(SINAPI_NOV2020_NDES!$A$7:$H$6703,MATCH($B131,SINAPI_NOV2020_NDES!$A$7:$A$6703,0),5),(INDEX(COMPOS!$A$4:$G$801,MATCH($B131,COMPOS!$A$4:A$801,0),4))))</f>
        <v>5.9904000000000002</v>
      </c>
      <c r="G131" s="276">
        <f>(IF($A131="SINAPI",INDEX(SINAPI_NOV2020_NDES!$A$7:$H$6703,MATCH($B131,SINAPI_NOV2020_NDES!$A$7:$A$6703,0),6),(INDEX(COMPOS!$A$4:$G$801,MATCH($B131,COMPOS!$A$4:A$801,0),5))))</f>
        <v>15.09</v>
      </c>
      <c r="H131" s="276">
        <f>(IF($A131="SINAPI",INDEX(SINAPI_NOV2020_NDES!$A$7:$H$6703,MATCH($B131,SINAPI_NOV2020_NDES!$A$7:$A$6703,0),7),(INDEX(COMPOS!$A$4:$G$801,MATCH($B131,COMPOS!$A$4:A$801,0),6))))</f>
        <v>0</v>
      </c>
      <c r="I131" s="276">
        <f t="shared" si="22"/>
        <v>21.080400000000001</v>
      </c>
      <c r="J131" s="276">
        <f t="shared" si="23"/>
        <v>84.321600000000004</v>
      </c>
      <c r="K131" s="255"/>
      <c r="L131" s="255"/>
      <c r="M131" s="255"/>
      <c r="N131" s="255"/>
      <c r="O131" s="257"/>
      <c r="P131" s="255"/>
    </row>
    <row r="132" spans="1:16">
      <c r="A132" s="252" t="s">
        <v>6307</v>
      </c>
      <c r="B132" s="251">
        <v>442</v>
      </c>
      <c r="C132" s="301" t="str">
        <f>(IF($A132="SINAPI",INDEX(SINAPI_NOV2020_NDES!$A$7:$H$6703,MATCH($B132,SINAPI_NOV2020_NDES!$A$7:$A$6703,0),2),IF($A132="GOINFRA",INDEX(#REF!,MATCH($B132,#REF!,0),2),(INDEX(COMPOS!$A$4:$G$390,MATCH($B132,COMPOS!$A$4:A$390,0),2)))))</f>
        <v>BUCHA RED.NPT DE 3/4" X 1/2" 300 LBS</v>
      </c>
      <c r="D132" s="274" t="str">
        <f>(IF($A132="SINAPI",INDEX(SINAPI_NOV2020_NDES!$A$7:$H$6790,MATCH($B132,SINAPI_NOV2020_NDES!$A$7:$A$6790,0),3),(INDEX(COMPOS!$A$4:$G$5000,MATCH($B132,COMPOS!$A$4:$A$5000,0),3))))</f>
        <v>UN</v>
      </c>
      <c r="E132" s="276">
        <v>4</v>
      </c>
      <c r="F132" s="276">
        <f>(IF($A132="SINAPI",INDEX(SINAPI_NOV2020_NDES!$A$7:$H$6703,MATCH($B132,SINAPI_NOV2020_NDES!$A$7:$A$6703,0),5),(INDEX(COMPOS!$A$4:$G$801,MATCH($B132,COMPOS!$A$4:A$801,0),4))))</f>
        <v>5.9904000000000002</v>
      </c>
      <c r="G132" s="276">
        <f>(IF($A132="SINAPI",INDEX(SINAPI_NOV2020_NDES!$A$7:$H$6703,MATCH($B132,SINAPI_NOV2020_NDES!$A$7:$A$6703,0),6),(INDEX(COMPOS!$A$4:$G$801,MATCH($B132,COMPOS!$A$4:A$801,0),5))))</f>
        <v>21.34</v>
      </c>
      <c r="H132" s="276">
        <f>(IF($A132="SINAPI",INDEX(SINAPI_NOV2020_NDES!$A$7:$H$6703,MATCH($B132,SINAPI_NOV2020_NDES!$A$7:$A$6703,0),7),(INDEX(COMPOS!$A$4:$G$801,MATCH($B132,COMPOS!$A$4:A$801,0),6))))</f>
        <v>0</v>
      </c>
      <c r="I132" s="276">
        <f t="shared" si="22"/>
        <v>27.330400000000001</v>
      </c>
      <c r="J132" s="276">
        <f t="shared" si="23"/>
        <v>109.3216</v>
      </c>
      <c r="K132" s="255"/>
      <c r="L132" s="255"/>
      <c r="M132" s="255"/>
      <c r="N132" s="255"/>
      <c r="O132" s="257"/>
      <c r="P132" s="255"/>
    </row>
    <row r="133" spans="1:16">
      <c r="A133" s="252" t="s">
        <v>6307</v>
      </c>
      <c r="B133" s="251">
        <v>443</v>
      </c>
      <c r="C133" s="301" t="str">
        <f>(IF($A133="SINAPI",INDEX(SINAPI_NOV2020_NDES!$A$7:$H$6703,MATCH($B133,SINAPI_NOV2020_NDES!$A$7:$A$6703,0),2),IF($A133="GOINFRA",INDEX(#REF!,MATCH($B133,#REF!,0),2),(INDEX(COMPOS!$A$4:$G$390,MATCH($B133,COMPOS!$A$4:A$390,0),2)))))</f>
        <v>BUCHA RED. M/F PRETA 3/4" X 1/2" NPT 300 LBS</v>
      </c>
      <c r="D133" s="274" t="str">
        <f>(IF($A133="SINAPI",INDEX(SINAPI_NOV2020_NDES!$A$7:$H$6790,MATCH($B133,SINAPI_NOV2020_NDES!$A$7:$A$6790,0),3),(INDEX(COMPOS!$A$4:$G$5000,MATCH($B133,COMPOS!$A$4:$A$5000,0),3))))</f>
        <v>UN</v>
      </c>
      <c r="E133" s="276">
        <v>11</v>
      </c>
      <c r="F133" s="276">
        <f>(IF($A133="SINAPI",INDEX(SINAPI_NOV2020_NDES!$A$7:$H$6703,MATCH($B133,SINAPI_NOV2020_NDES!$A$7:$A$6703,0),5),(INDEX(COMPOS!$A$4:$G$801,MATCH($B133,COMPOS!$A$4:A$801,0),4))))</f>
        <v>5.9904000000000002</v>
      </c>
      <c r="G133" s="276">
        <f>(IF($A133="SINAPI",INDEX(SINAPI_NOV2020_NDES!$A$7:$H$6703,MATCH($B133,SINAPI_NOV2020_NDES!$A$7:$A$6703,0),6),(INDEX(COMPOS!$A$4:$G$801,MATCH($B133,COMPOS!$A$4:A$801,0),5))))</f>
        <v>23.45</v>
      </c>
      <c r="H133" s="276">
        <f>(IF($A133="SINAPI",INDEX(SINAPI_NOV2020_NDES!$A$7:$H$6703,MATCH($B133,SINAPI_NOV2020_NDES!$A$7:$A$6703,0),7),(INDEX(COMPOS!$A$4:$G$801,MATCH($B133,COMPOS!$A$4:A$801,0),6))))</f>
        <v>0</v>
      </c>
      <c r="I133" s="276">
        <f t="shared" si="22"/>
        <v>29.4404</v>
      </c>
      <c r="J133" s="276">
        <f t="shared" si="23"/>
        <v>323.84440000000001</v>
      </c>
      <c r="K133" s="255"/>
      <c r="L133" s="255"/>
      <c r="M133" s="255"/>
      <c r="N133" s="255"/>
      <c r="O133" s="257"/>
      <c r="P133" s="255"/>
    </row>
    <row r="134" spans="1:16">
      <c r="A134" s="252" t="s">
        <v>6307</v>
      </c>
      <c r="B134" s="251">
        <v>444</v>
      </c>
      <c r="C134" s="301" t="str">
        <f>(IF($A134="SINAPI",INDEX(SINAPI_NOV2020_NDES!$A$7:$H$6703,MATCH($B134,SINAPI_NOV2020_NDES!$A$7:$A$6703,0),2),IF($A134="GOINFRA",INDEX(#REF!,MATCH($B134,#REF!,0),2),(INDEX(COMPOS!$A$4:$G$390,MATCH($B134,COMPOS!$A$4:A$390,0),2)))))</f>
        <v>TAMPÃO 300PSI PRETO 3/4''</v>
      </c>
      <c r="D134" s="274" t="str">
        <f>(IF($A134="SINAPI",INDEX(SINAPI_NOV2020_NDES!$A$7:$H$6790,MATCH($B134,SINAPI_NOV2020_NDES!$A$7:$A$6790,0),3),(INDEX(COMPOS!$A$4:$G$5000,MATCH($B134,COMPOS!$A$4:$A$5000,0),3))))</f>
        <v>UN</v>
      </c>
      <c r="E134" s="276">
        <v>12</v>
      </c>
      <c r="F134" s="276">
        <f>(IF($A134="SINAPI",INDEX(SINAPI_NOV2020_NDES!$A$7:$H$6703,MATCH($B134,SINAPI_NOV2020_NDES!$A$7:$A$6703,0),5),(INDEX(COMPOS!$A$4:$G$801,MATCH($B134,COMPOS!$A$4:A$801,0),4))))</f>
        <v>3.7440000000000002</v>
      </c>
      <c r="G134" s="276">
        <f>(IF($A134="SINAPI",INDEX(SINAPI_NOV2020_NDES!$A$7:$H$6703,MATCH($B134,SINAPI_NOV2020_NDES!$A$7:$A$6703,0),6),(INDEX(COMPOS!$A$4:$G$801,MATCH($B134,COMPOS!$A$4:A$801,0),5))))</f>
        <v>13.89</v>
      </c>
      <c r="H134" s="276">
        <f>(IF($A134="SINAPI",INDEX(SINAPI_NOV2020_NDES!$A$7:$H$6703,MATCH($B134,SINAPI_NOV2020_NDES!$A$7:$A$6703,0),7),(INDEX(COMPOS!$A$4:$G$801,MATCH($B134,COMPOS!$A$4:A$801,0),6))))</f>
        <v>0</v>
      </c>
      <c r="I134" s="276">
        <f t="shared" si="22"/>
        <v>17.634</v>
      </c>
      <c r="J134" s="276">
        <f t="shared" si="23"/>
        <v>211.608</v>
      </c>
      <c r="K134" s="255"/>
      <c r="L134" s="255"/>
      <c r="M134" s="255"/>
      <c r="N134" s="255"/>
      <c r="O134" s="257"/>
      <c r="P134" s="255"/>
    </row>
    <row r="135" spans="1:16">
      <c r="A135" s="251" t="s">
        <v>6307</v>
      </c>
      <c r="B135" s="251">
        <v>445</v>
      </c>
      <c r="C135" s="301" t="str">
        <f>(IF($A135="SINAPI",INDEX(SINAPI_NOV2020_NDES!$A$7:$H$6703,MATCH($B135,SINAPI_NOV2020_NDES!$A$7:$A$6703,0),2),IF($A135="GOINFRA",INDEX(#REF!,MATCH($B135,#REF!,0),2),(INDEX(COMPOS!$A$4:$G$390,MATCH($B135,COMPOS!$A$4:A$390,0),2)))))</f>
        <v>MANGOTE FLEXÍVEL PRETO 7/8'' X 7/16'' - 500MM</v>
      </c>
      <c r="D135" s="274" t="str">
        <f>(IF($A135="SINAPI",INDEX(SINAPI_NOV2020_NDES!$A$7:$H$6790,MATCH($B135,SINAPI_NOV2020_NDES!$A$7:$A$6790,0),3),(INDEX(COMPOS!$A$4:$G$5000,MATCH($B135,COMPOS!$A$4:$A$5000,0),3))))</f>
        <v>UN</v>
      </c>
      <c r="E135" s="276">
        <v>2</v>
      </c>
      <c r="F135" s="276">
        <f>(IF($A135="SINAPI",INDEX(SINAPI_NOV2020_NDES!$A$7:$H$6703,MATCH($B135,SINAPI_NOV2020_NDES!$A$7:$A$6703,0),5),(INDEX(COMPOS!$A$4:$G$801,MATCH($B135,COMPOS!$A$4:A$801,0),4))))</f>
        <v>14.976000000000001</v>
      </c>
      <c r="G135" s="276">
        <f>(IF($A135="SINAPI",INDEX(SINAPI_NOV2020_NDES!$A$7:$H$6703,MATCH($B135,SINAPI_NOV2020_NDES!$A$7:$A$6703,0),6),(INDEX(COMPOS!$A$4:$G$801,MATCH($B135,COMPOS!$A$4:A$801,0),5))))</f>
        <v>24.75</v>
      </c>
      <c r="H135" s="276">
        <f>(IF($A135="SINAPI",INDEX(SINAPI_NOV2020_NDES!$A$7:$H$6703,MATCH($B135,SINAPI_NOV2020_NDES!$A$7:$A$6703,0),7),(INDEX(COMPOS!$A$4:$G$801,MATCH($B135,COMPOS!$A$4:A$801,0),6))))</f>
        <v>0</v>
      </c>
      <c r="I135" s="276">
        <f t="shared" si="22"/>
        <v>39.725999999999999</v>
      </c>
      <c r="J135" s="276">
        <f t="shared" si="23"/>
        <v>79.451999999999998</v>
      </c>
      <c r="K135" s="255"/>
      <c r="L135" s="255"/>
      <c r="M135" s="255"/>
      <c r="N135" s="255"/>
      <c r="O135" s="257"/>
      <c r="P135" s="255"/>
    </row>
    <row r="136" spans="1:16">
      <c r="A136" s="251" t="s">
        <v>6307</v>
      </c>
      <c r="B136" s="251">
        <v>446</v>
      </c>
      <c r="C136" s="301" t="str">
        <f>(IF($A136="SINAPI",INDEX(SINAPI_NOV2020_NDES!$A$7:$H$6703,MATCH($B136,SINAPI_NOV2020_NDES!$A$7:$A$6703,0),2),IF($A136="GOINFRA",INDEX(#REF!,MATCH($B136,#REF!,0),2),(INDEX(COMPOS!$A$4:$G$390,MATCH($B136,COMPOS!$A$4:A$390,0),2)))))</f>
        <v>BRAÇADEIRA METÁLICA TIPO "D" DIAM. 3/4''</v>
      </c>
      <c r="D136" s="274" t="str">
        <f>(IF($A136="SINAPI",INDEX(SINAPI_NOV2020_NDES!$A$7:$H$6790,MATCH($B136,SINAPI_NOV2020_NDES!$A$7:$A$6790,0),3),(INDEX(COMPOS!$A$4:$G$5000,MATCH($B136,COMPOS!$A$4:$A$5000,0),3))))</f>
        <v>UN</v>
      </c>
      <c r="E136" s="276">
        <v>5</v>
      </c>
      <c r="F136" s="276">
        <f>(IF($A136="SINAPI",INDEX(SINAPI_NOV2020_NDES!$A$7:$H$6703,MATCH($B136,SINAPI_NOV2020_NDES!$A$7:$A$6703,0),5),(INDEX(COMPOS!$A$4:$G$801,MATCH($B136,COMPOS!$A$4:A$801,0),4))))</f>
        <v>7.4880000000000004</v>
      </c>
      <c r="G136" s="276">
        <f>(IF($A136="SINAPI",INDEX(SINAPI_NOV2020_NDES!$A$7:$H$6703,MATCH($B136,SINAPI_NOV2020_NDES!$A$7:$A$6703,0),6),(INDEX(COMPOS!$A$4:$G$801,MATCH($B136,COMPOS!$A$4:A$801,0),5))))</f>
        <v>0.54</v>
      </c>
      <c r="H136" s="276">
        <f>(IF($A136="SINAPI",INDEX(SINAPI_NOV2020_NDES!$A$7:$H$6703,MATCH($B136,SINAPI_NOV2020_NDES!$A$7:$A$6703,0),7),(INDEX(COMPOS!$A$4:$G$801,MATCH($B136,COMPOS!$A$4:A$801,0),6))))</f>
        <v>0</v>
      </c>
      <c r="I136" s="276">
        <f t="shared" si="22"/>
        <v>8.0280000000000005</v>
      </c>
      <c r="J136" s="276">
        <f t="shared" si="23"/>
        <v>40.14</v>
      </c>
      <c r="K136" s="255"/>
      <c r="L136" s="255"/>
      <c r="M136" s="255"/>
      <c r="N136" s="255"/>
      <c r="O136" s="257"/>
      <c r="P136" s="255"/>
    </row>
    <row r="137" spans="1:16">
      <c r="A137" s="251" t="s">
        <v>6307</v>
      </c>
      <c r="B137" s="251">
        <v>447</v>
      </c>
      <c r="C137" s="301" t="str">
        <f>(IF($A137="SINAPI",INDEX(SINAPI_NOV2020_NDES!$A$7:$H$6703,MATCH($B137,SINAPI_NOV2020_NDES!$A$7:$A$6703,0),2),IF($A137="GOINFRA",INDEX(#REF!,MATCH($B137,#REF!,0),2),(INDEX(COMPOS!$A$4:$G$390,MATCH($B137,COMPOS!$A$4:A$390,0),2)))))</f>
        <v>SUPORTE PARA COLETOR</v>
      </c>
      <c r="D137" s="274" t="str">
        <f>(IF($A137="SINAPI",INDEX(SINAPI_NOV2020_NDES!$A$7:$H$6790,MATCH($B137,SINAPI_NOV2020_NDES!$A$7:$A$6790,0),3),(INDEX(COMPOS!$A$4:$G$5000,MATCH($B137,COMPOS!$A$4:$A$5000,0),3))))</f>
        <v>UN</v>
      </c>
      <c r="E137" s="276">
        <v>5</v>
      </c>
      <c r="F137" s="276">
        <f>(IF($A137="SINAPI",INDEX(SINAPI_NOV2020_NDES!$A$7:$H$6703,MATCH($B137,SINAPI_NOV2020_NDES!$A$7:$A$6703,0),5),(INDEX(COMPOS!$A$4:$G$801,MATCH($B137,COMPOS!$A$4:A$801,0),4))))</f>
        <v>14.030925999999999</v>
      </c>
      <c r="G137" s="276">
        <f>(IF($A137="SINAPI",INDEX(SINAPI_NOV2020_NDES!$A$7:$H$6703,MATCH($B137,SINAPI_NOV2020_NDES!$A$7:$A$6703,0),6),(INDEX(COMPOS!$A$4:$G$801,MATCH($B137,COMPOS!$A$4:A$801,0),5))))</f>
        <v>6.2470800000000013</v>
      </c>
      <c r="H137" s="276">
        <f>(IF($A137="SINAPI",INDEX(SINAPI_NOV2020_NDES!$A$7:$H$6703,MATCH($B137,SINAPI_NOV2020_NDES!$A$7:$A$6703,0),7),(INDEX(COMPOS!$A$4:$G$801,MATCH($B137,COMPOS!$A$4:A$801,0),6))))</f>
        <v>0</v>
      </c>
      <c r="I137" s="276">
        <f t="shared" si="22"/>
        <v>20.278006000000001</v>
      </c>
      <c r="J137" s="276">
        <f t="shared" si="23"/>
        <v>101.39003000000001</v>
      </c>
      <c r="K137" s="255"/>
      <c r="L137" s="255"/>
      <c r="M137" s="255"/>
      <c r="N137" s="255"/>
      <c r="O137" s="257"/>
      <c r="P137" s="255"/>
    </row>
    <row r="138" spans="1:16" s="88" customFormat="1" ht="24" customHeight="1">
      <c r="A138" s="680" t="s">
        <v>6927</v>
      </c>
      <c r="B138" s="695"/>
      <c r="C138" s="695"/>
      <c r="D138" s="695"/>
      <c r="E138" s="695"/>
      <c r="F138" s="695"/>
      <c r="G138" s="695"/>
      <c r="H138" s="695"/>
      <c r="I138" s="695"/>
      <c r="J138" s="281">
        <f>SUM(J119:J137)</f>
        <v>14449.527038214874</v>
      </c>
      <c r="K138" s="255"/>
      <c r="L138" s="255"/>
      <c r="M138" s="255"/>
      <c r="N138" s="255"/>
      <c r="O138" s="255"/>
      <c r="P138" s="255"/>
    </row>
    <row r="139" spans="1:16">
      <c r="A139" s="251"/>
      <c r="B139" s="299">
        <v>172</v>
      </c>
      <c r="C139" s="338" t="s">
        <v>602</v>
      </c>
      <c r="D139" s="274" t="s">
        <v>6922</v>
      </c>
      <c r="E139" s="276"/>
      <c r="F139" s="276"/>
      <c r="G139" s="276"/>
      <c r="H139" s="276"/>
      <c r="I139" s="276"/>
      <c r="J139" s="276"/>
      <c r="K139" s="255"/>
      <c r="L139" s="255"/>
      <c r="M139" s="255"/>
      <c r="N139" s="255"/>
      <c r="O139" s="255"/>
      <c r="P139" s="255"/>
    </row>
    <row r="140" spans="1:16">
      <c r="A140" s="251" t="s">
        <v>6307</v>
      </c>
      <c r="B140" s="290">
        <v>415</v>
      </c>
      <c r="C140" s="301" t="str">
        <f>(IF($A140="SINAPI",INDEX(SINAPI_NOV2020_NDES!$A$7:$H$6703,MATCH($B140,SINAPI_NOV2020_NDES!$A$7:$A$6703,0),2),IF($A140="GOINFRA",INDEX(#REF!,MATCH($B140,#REF!,0),2),(INDEX(COMPOS!$A$4:$G$390,MATCH($B140,COMPOS!$A$4:A$390,0),2)))))</f>
        <v>DIVISÓRIA PAINEL E RODAPÉ SIMPLES, PERFIL EM ALUMÍNIO</v>
      </c>
      <c r="D140" s="274" t="str">
        <f>(IF($A140="SINAPI",INDEX(SINAPI_NOV2020_NDES!$A$7:$H$6790,MATCH($B140,SINAPI_NOV2020_NDES!$A$7:$A$6790,0),3),(INDEX(COMPOS!$A$4:$G$5000,MATCH($B140,COMPOS!$A$4:$A$5000,0),3))))</f>
        <v>M2</v>
      </c>
      <c r="E140" s="276">
        <f>(10.7*3)</f>
        <v>32.099999999999994</v>
      </c>
      <c r="F140" s="279">
        <f>(IF($A140="SINAPI",INDEX(SINAPI_NOV2020_NDES!$A$7:$H$6703,MATCH($B140,SINAPI_NOV2020_NDES!$A$7:$A$6703,0),5),(INDEX(COMPOS!$A$4:$G$801,MATCH($B140,COMPOS!$A$4:A$801,0),4))))</f>
        <v>0.15109999999999998</v>
      </c>
      <c r="G140" s="280">
        <f>(IF($A140="SINAPI",INDEX(SINAPI_NOV2020_NDES!$A$7:$H$6703,MATCH($B140,SINAPI_NOV2020_NDES!$A$7:$A$6703,0),6),(INDEX(COMPOS!$A$4:$G$801,MATCH($B140,COMPOS!$A$4:A$801,0),5))))</f>
        <v>84.02</v>
      </c>
      <c r="H140" s="280">
        <f>(IF($A140="SINAPI",INDEX(SINAPI_NOV2020_NDES!$A$7:$H$6703,MATCH($B140,SINAPI_NOV2020_NDES!$A$7:$A$6703,0),7),(INDEX(COMPOS!$A$4:$G$801,MATCH($B140,COMPOS!$A$4:A$801,0),6))))</f>
        <v>0</v>
      </c>
      <c r="I140" s="279">
        <f t="shared" ref="I140" si="24">SUM(F140:H140)</f>
        <v>84.171099999999996</v>
      </c>
      <c r="J140" s="276">
        <f t="shared" ref="J140" si="25">+I140*E140</f>
        <v>2701.8923099999993</v>
      </c>
      <c r="K140" s="255"/>
      <c r="L140" s="255"/>
      <c r="M140" s="255"/>
      <c r="N140" s="255"/>
      <c r="O140" s="257"/>
      <c r="P140" s="255"/>
    </row>
    <row r="141" spans="1:16">
      <c r="A141" s="251" t="s">
        <v>6307</v>
      </c>
      <c r="B141" s="290">
        <v>416</v>
      </c>
      <c r="C141" s="301" t="str">
        <f>(IF($A141="SINAPI",INDEX(SINAPI_NOV2020_NDES!$A$7:$H$6703,MATCH($B141,SINAPI_NOV2020_NDES!$A$7:$A$6703,0),2),IF($A141="GOINFRA",INDEX(#REF!,MATCH($B141,#REF!,0),2),(INDEX(COMPOS!$A$4:$G$390,MATCH($B141,COMPOS!$A$4:A$390,0),2)))))</f>
        <v>FERRAGENS PARA PORTA DIVISÓRIA, PERFIL EM ALUMÍNIO</v>
      </c>
      <c r="D141" s="274" t="str">
        <f>(IF($A141="SINAPI",INDEX(SINAPI_NOV2020_NDES!$A$7:$H$6790,MATCH($B141,SINAPI_NOV2020_NDES!$A$7:$A$6790,0),3),(INDEX(COMPOS!$A$4:$G$5000,MATCH($B141,COMPOS!$A$4:$A$5000,0),3))))</f>
        <v>UN</v>
      </c>
      <c r="E141" s="276">
        <v>3</v>
      </c>
      <c r="F141" s="279">
        <f>(IF($A141="SINAPI",INDEX(SINAPI_NOV2020_NDES!$A$7:$H$6703,MATCH($B141,SINAPI_NOV2020_NDES!$A$7:$A$6703,0),5),(INDEX(COMPOS!$A$4:$G$801,MATCH($B141,COMPOS!$A$4:A$801,0),4))))</f>
        <v>0</v>
      </c>
      <c r="G141" s="280">
        <f>(IF($A141="SINAPI",INDEX(SINAPI_NOV2020_NDES!$A$7:$H$6703,MATCH($B141,SINAPI_NOV2020_NDES!$A$7:$A$6703,0),6),(INDEX(COMPOS!$A$4:$G$801,MATCH($B141,COMPOS!$A$4:A$801,0),5))))</f>
        <v>107.98</v>
      </c>
      <c r="H141" s="280">
        <f>(IF($A141="SINAPI",INDEX(SINAPI_NOV2020_NDES!$A$7:$H$6703,MATCH($B141,SINAPI_NOV2020_NDES!$A$7:$A$6703,0),7),(INDEX(COMPOS!$A$4:$G$801,MATCH($B141,COMPOS!$A$4:A$801,0),6))))</f>
        <v>0</v>
      </c>
      <c r="I141" s="279">
        <f t="shared" ref="I141:I142" si="26">SUM(F141:H141)</f>
        <v>107.98</v>
      </c>
      <c r="J141" s="276">
        <f t="shared" ref="J141:J142" si="27">+I141*E141</f>
        <v>323.94</v>
      </c>
      <c r="K141" s="255"/>
      <c r="L141" s="255"/>
      <c r="M141" s="255"/>
      <c r="N141" s="255"/>
      <c r="O141" s="257"/>
      <c r="P141" s="255"/>
    </row>
    <row r="142" spans="1:16" ht="48">
      <c r="A142" s="252" t="s">
        <v>7</v>
      </c>
      <c r="B142" s="293">
        <v>87503</v>
      </c>
      <c r="C142" s="301" t="str">
        <f>(IF($A142="SINAPI",INDEX(SINAPI_NOV2020_NDES!$A$7:$H$6703,MATCH($B142,SINAPI_NOV2020_NDES!$A$7:$A$6703,0),2),IF($A142="GOINFRA",INDEX(#REF!,MATCH($B142,#REF!,0),2),(INDEX(COMPOS!$A$4:$G$390,MATCH($B142,COMPOS!$A$4:A$390,0),2)))))</f>
        <v>ALVENARIA DE VEDAÇÃO DE BLOCOS CERÂMICOS FURADOS NA HORIZONTAL DE 9X19X19CM (ESPESSURA 9CM) DE PAREDES COM ÁREA LÍQUIDA MAIOR OU IGUAL A 6M² SEM VÃOS E ARGAMASSA DE ASSENTAMENTO COM PREPARO EM BETONEIRA. AF_06/2014</v>
      </c>
      <c r="D142" s="274" t="str">
        <f>(IF($A142="SINAPI",INDEX(SINAPI_NOV2020_NDES!$A$7:$H$6790,MATCH($B142,SINAPI_NOV2020_NDES!$A$7:$A$6790,0),3),(INDEX(COMPOS!$A$4:$G$5000,MATCH($B142,COMPOS!$A$4:$A$5000,0),3))))</f>
        <v>M2</v>
      </c>
      <c r="E142" s="314">
        <f>3*3-0.8*2.1</f>
        <v>7.32</v>
      </c>
      <c r="F142" s="279">
        <f>(IF($A142="SINAPI",INDEX(SINAPI_NOV2020_NDES!$A$7:$H$6703,MATCH($B142,SINAPI_NOV2020_NDES!$A$7:$A$6703,0),5),(INDEX(COMPOS!$A$4:$G$801,MATCH($B142,COMPOS!$A$4:A$801,0),4))))</f>
        <v>31.67</v>
      </c>
      <c r="G142" s="280">
        <f>(IF($A142="SINAPI",INDEX(SINAPI_NOV2020_NDES!$A$7:$H$6703,MATCH($B142,SINAPI_NOV2020_NDES!$A$7:$A$6703,0),6),(INDEX(COMPOS!$A$4:$G$801,MATCH($B142,COMPOS!$A$4:A$801,0),5))))</f>
        <v>32.130000000000003</v>
      </c>
      <c r="H142" s="280">
        <f>(IF($A142="SINAPI",INDEX(SINAPI_NOV2020_NDES!$A$7:$H$6703,MATCH($B142,SINAPI_NOV2020_NDES!$A$7:$A$6703,0),7),(INDEX(COMPOS!$A$4:$G$801,MATCH($B142,COMPOS!$A$4:A$801,0),6))))</f>
        <v>0</v>
      </c>
      <c r="I142" s="279">
        <f t="shared" si="26"/>
        <v>63.800000000000004</v>
      </c>
      <c r="J142" s="276">
        <f t="shared" si="27"/>
        <v>467.01600000000008</v>
      </c>
      <c r="K142" s="255"/>
      <c r="L142" s="255"/>
      <c r="M142" s="255"/>
      <c r="N142" s="255"/>
      <c r="O142" s="257"/>
      <c r="P142" s="255"/>
    </row>
    <row r="143" spans="1:16" s="88" customFormat="1" ht="24" customHeight="1">
      <c r="A143" s="680" t="s">
        <v>6927</v>
      </c>
      <c r="B143" s="695"/>
      <c r="C143" s="695"/>
      <c r="D143" s="695"/>
      <c r="E143" s="695"/>
      <c r="F143" s="695"/>
      <c r="G143" s="695"/>
      <c r="H143" s="695"/>
      <c r="I143" s="695"/>
      <c r="J143" s="281">
        <f>SUM(J140:J142)</f>
        <v>3492.8483099999994</v>
      </c>
      <c r="K143" s="255"/>
      <c r="L143" s="255"/>
      <c r="M143" s="255"/>
      <c r="N143" s="255"/>
      <c r="O143" s="255"/>
      <c r="P143" s="255"/>
    </row>
    <row r="144" spans="1:16">
      <c r="A144" s="251"/>
      <c r="B144" s="299">
        <v>174</v>
      </c>
      <c r="C144" s="338" t="s">
        <v>601</v>
      </c>
      <c r="D144" s="274" t="s">
        <v>6922</v>
      </c>
      <c r="E144" s="276"/>
      <c r="F144" s="276"/>
      <c r="G144" s="276"/>
      <c r="H144" s="276"/>
      <c r="I144" s="276"/>
      <c r="J144" s="276"/>
      <c r="K144" s="255"/>
      <c r="L144" s="255"/>
      <c r="M144" s="255"/>
      <c r="N144" s="255"/>
      <c r="O144" s="255"/>
      <c r="P144" s="255"/>
    </row>
    <row r="145" spans="1:16" ht="24">
      <c r="A145" s="251" t="s">
        <v>6307</v>
      </c>
      <c r="B145" s="290">
        <v>340</v>
      </c>
      <c r="C145" s="301" t="str">
        <f>(IF($A145="SINAPI",INDEX(SINAPI_NOV2020_NDES!$A$7:$H$6703,MATCH($B145,SINAPI_NOV2020_NDES!$A$7:$A$6703,0),2),IF($A145="GOINFRA",INDEX(#REF!,MATCH($B145,#REF!,0),2),(INDEX(COMPOS!$A$4:$G$390,MATCH($B145,COMPOS!$A$4:A$390,0),2)))))</f>
        <v>MASTIQUE A BASE DE POLIURETANO COM PRÉVIO PREPARO E TRATAMENTO DA SUPERFÍCIE</v>
      </c>
      <c r="D145" s="274" t="str">
        <f>(IF($A145="SINAPI",INDEX(SINAPI_NOV2020_NDES!$A$7:$H$6790,MATCH($B145,SINAPI_NOV2020_NDES!$A$7:$A$6790,0),3),(INDEX(COMPOS!$A$4:$G$5000,MATCH($B145,COMPOS!$A$4:$A$5000,0),3))))</f>
        <v>CM3</v>
      </c>
      <c r="E145" s="276">
        <v>5600</v>
      </c>
      <c r="F145" s="279">
        <f>(IF($A145="SINAPI",INDEX(SINAPI_NOV2020_NDES!$A$7:$H$6703,MATCH($B145,SINAPI_NOV2020_NDES!$A$7:$A$6703,0),5),(INDEX(COMPOS!$A$4:$G$801,MATCH($B145,COMPOS!$A$4:A$801,0),4))))</f>
        <v>8.6940000000000003E-2</v>
      </c>
      <c r="G145" s="280">
        <f>(IF($A145="SINAPI",INDEX(SINAPI_NOV2020_NDES!$A$7:$H$6703,MATCH($B145,SINAPI_NOV2020_NDES!$A$7:$A$6703,0),6),(INDEX(COMPOS!$A$4:$G$801,MATCH($B145,COMPOS!$A$4:A$801,0),5))))</f>
        <v>8.7484000000000006E-2</v>
      </c>
      <c r="H145" s="280">
        <f>(IF($A145="SINAPI",INDEX(SINAPI_NOV2020_NDES!$A$7:$H$6703,MATCH($B145,SINAPI_NOV2020_NDES!$A$7:$A$6703,0),7),(INDEX(COMPOS!$A$4:$G$801,MATCH($B145,COMPOS!$A$4:A$801,0),6))))</f>
        <v>0</v>
      </c>
      <c r="I145" s="279">
        <f t="shared" ref="I145" si="28">SUM(F145:H145)</f>
        <v>0.17442400000000002</v>
      </c>
      <c r="J145" s="276">
        <f t="shared" ref="J145" si="29">+I145*E145</f>
        <v>976.77440000000013</v>
      </c>
      <c r="K145" s="255"/>
      <c r="L145" s="255"/>
      <c r="M145" s="255"/>
      <c r="N145" s="255"/>
      <c r="O145" s="257"/>
      <c r="P145" s="255"/>
    </row>
    <row r="146" spans="1:16" s="88" customFormat="1" ht="24" customHeight="1">
      <c r="A146" s="680" t="s">
        <v>6927</v>
      </c>
      <c r="B146" s="695"/>
      <c r="C146" s="695"/>
      <c r="D146" s="695"/>
      <c r="E146" s="695"/>
      <c r="F146" s="695"/>
      <c r="G146" s="695"/>
      <c r="H146" s="695"/>
      <c r="I146" s="695"/>
      <c r="J146" s="281">
        <f>SUM(J144:J145)</f>
        <v>976.77440000000013</v>
      </c>
      <c r="K146" s="255"/>
      <c r="L146" s="255"/>
      <c r="M146" s="255"/>
      <c r="N146" s="255"/>
      <c r="O146" s="255"/>
      <c r="P146" s="255"/>
    </row>
    <row r="147" spans="1:16">
      <c r="A147" s="251"/>
      <c r="B147" s="299">
        <v>178</v>
      </c>
      <c r="C147" s="338" t="s">
        <v>597</v>
      </c>
      <c r="D147" s="274" t="s">
        <v>6922</v>
      </c>
      <c r="E147" s="276"/>
      <c r="F147" s="276"/>
      <c r="G147" s="276"/>
      <c r="H147" s="276"/>
      <c r="I147" s="276"/>
      <c r="J147" s="276"/>
      <c r="K147" s="255"/>
      <c r="L147" s="255"/>
      <c r="M147" s="255"/>
      <c r="N147" s="255"/>
      <c r="O147" s="255"/>
      <c r="P147" s="255"/>
    </row>
    <row r="148" spans="1:16" ht="24">
      <c r="A148" s="251" t="s">
        <v>7</v>
      </c>
      <c r="B148" s="289">
        <v>94213</v>
      </c>
      <c r="C148" s="301" t="str">
        <f>(IF($A148="SINAPI",INDEX(SINAPI_NOV2020_NDES!$A$7:$H$6703,MATCH($B148,SINAPI_NOV2020_NDES!$A$7:$A$6703,0),2),IF($A148="GOINFRA",INDEX(#REF!,MATCH($B148,#REF!,0),2),(INDEX(COMPOS!$A$4:$G$390,MATCH($B148,COMPOS!$A$4:A$390,0),2)))))</f>
        <v>TELHAMENTO COM TELHA DE AÇO/ALUMÍNIO E = 0,5 MM, COM ATÉ 2 ÁGUAS, INCLUSO IÇAMENTO. AF_07/2019</v>
      </c>
      <c r="D148" s="274" t="str">
        <f>(IF($A148="SINAPI",INDEX(SINAPI_NOV2020_NDES!$A$7:$H$6790,MATCH($B148,SINAPI_NOV2020_NDES!$A$7:$A$6790,0),3),(INDEX(COMPOS!$A$4:$G$5000,MATCH($B148,COMPOS!$A$4:$A$5000,0),3))))</f>
        <v>M2</v>
      </c>
      <c r="E148" s="276">
        <v>6.3390000000000004</v>
      </c>
      <c r="F148" s="279">
        <f>(IF($A148="SINAPI",INDEX(SINAPI_NOV2020_NDES!$A$7:$H$6703,MATCH($B148,SINAPI_NOV2020_NDES!$A$7:$A$6703,0),5),(INDEX(COMPOS!$A$4:$G$801,MATCH($B148,COMPOS!$A$4:A$801,0),4))))</f>
        <v>2.73</v>
      </c>
      <c r="G148" s="280">
        <f>(IF($A148="SINAPI",INDEX(SINAPI_NOV2020_NDES!$A$7:$H$6703,MATCH($B148,SINAPI_NOV2020_NDES!$A$7:$A$6703,0),6),(INDEX(COMPOS!$A$4:$G$801,MATCH($B148,COMPOS!$A$4:A$801,0),5))))</f>
        <v>65.53</v>
      </c>
      <c r="H148" s="280">
        <f>(IF($A148="SINAPI",INDEX(SINAPI_NOV2020_NDES!$A$7:$H$6703,MATCH($B148,SINAPI_NOV2020_NDES!$A$7:$A$6703,0),7),(INDEX(COMPOS!$A$4:$G$801,MATCH($B148,COMPOS!$A$4:A$801,0),6))))</f>
        <v>0</v>
      </c>
      <c r="I148" s="279">
        <f t="shared" ref="I148" si="30">SUM(F148:H148)</f>
        <v>68.260000000000005</v>
      </c>
      <c r="J148" s="276">
        <f t="shared" ref="J148" si="31">+I148*E148</f>
        <v>432.70014000000003</v>
      </c>
      <c r="K148" s="255"/>
      <c r="L148" s="255"/>
      <c r="M148" s="255"/>
      <c r="N148" s="255"/>
      <c r="O148" s="257"/>
      <c r="P148" s="255"/>
    </row>
    <row r="149" spans="1:16" s="88" customFormat="1" ht="24" customHeight="1">
      <c r="A149" s="680" t="s">
        <v>6927</v>
      </c>
      <c r="B149" s="695"/>
      <c r="C149" s="695"/>
      <c r="D149" s="695"/>
      <c r="E149" s="695"/>
      <c r="F149" s="695"/>
      <c r="G149" s="695"/>
      <c r="H149" s="695"/>
      <c r="I149" s="695"/>
      <c r="J149" s="281">
        <f>SUM(J147:J148)</f>
        <v>432.70014000000003</v>
      </c>
      <c r="K149" s="255"/>
      <c r="L149" s="255"/>
      <c r="M149" s="255"/>
      <c r="N149" s="255"/>
      <c r="O149" s="255"/>
      <c r="P149" s="255"/>
    </row>
    <row r="150" spans="1:16">
      <c r="A150" s="251"/>
      <c r="B150" s="299">
        <v>180</v>
      </c>
      <c r="C150" s="338" t="s">
        <v>595</v>
      </c>
      <c r="D150" s="274" t="s">
        <v>6922</v>
      </c>
      <c r="E150" s="276"/>
      <c r="F150" s="276"/>
      <c r="G150" s="276"/>
      <c r="H150" s="276"/>
      <c r="I150" s="276"/>
      <c r="J150" s="276"/>
      <c r="K150" s="255"/>
      <c r="L150" s="255"/>
      <c r="M150" s="255"/>
      <c r="N150" s="255"/>
      <c r="O150" s="255"/>
      <c r="P150" s="255"/>
    </row>
    <row r="151" spans="1:16">
      <c r="A151" s="252" t="s">
        <v>6307</v>
      </c>
      <c r="B151" s="250">
        <v>153</v>
      </c>
      <c r="C151" s="301" t="s">
        <v>7099</v>
      </c>
      <c r="D151" s="274" t="str">
        <f>(IF($A151="SINAPI",INDEX(SINAPI_NOV2020_NDES!$A$7:$H$6790,MATCH($B151,SINAPI_NOV2020_NDES!$A$7:$A$6790,0),3),(INDEX(COMPOS!$A$4:$G$5000,MATCH($B151,COMPOS!$A$4:$A$5000,0),3))))</f>
        <v>M2</v>
      </c>
      <c r="E151" s="249">
        <v>30.87</v>
      </c>
      <c r="F151" s="279">
        <f>(IF($A151="SINAPI",INDEX(SINAPI_NOV2020_NDES!$A$7:$H$6703,MATCH($B151,SINAPI_NOV2020_NDES!$A$7:$A$6703,0),5),(INDEX(COMPOS!$A$4:$G$801,MATCH($B151,COMPOS!$A$4:A$801,0),4))))</f>
        <v>47.084742999999996</v>
      </c>
      <c r="G151" s="280">
        <f>(IF($A151="SINAPI",INDEX(SINAPI_NOV2020_NDES!$A$7:$H$6703,MATCH($B151,SINAPI_NOV2020_NDES!$A$7:$A$6703,0),6),(INDEX(COMPOS!$A$4:$G$801,MATCH($B151,COMPOS!$A$4:A$801,0),5))))</f>
        <v>436.37288639999997</v>
      </c>
      <c r="H151" s="280">
        <f>(IF($A151="SINAPI",INDEX(SINAPI_NOV2020_NDES!$A$7:$H$6703,MATCH($B151,SINAPI_NOV2020_NDES!$A$7:$A$6703,0),7),(INDEX(COMPOS!$A$4:$G$801,MATCH($B151,COMPOS!$A$4:A$801,0),6))))</f>
        <v>0</v>
      </c>
      <c r="I151" s="279">
        <f t="shared" ref="I151" si="32">SUM(F151:H151)</f>
        <v>483.45762939999997</v>
      </c>
      <c r="J151" s="276">
        <f t="shared" ref="J151" si="33">+I151*E151</f>
        <v>14924.337019577999</v>
      </c>
      <c r="K151" s="255"/>
      <c r="L151" s="255"/>
      <c r="M151" s="255"/>
      <c r="N151" s="255"/>
      <c r="O151" s="257"/>
      <c r="P151" s="255"/>
    </row>
    <row r="152" spans="1:16">
      <c r="A152" s="252" t="s">
        <v>6307</v>
      </c>
      <c r="B152" s="250">
        <v>107</v>
      </c>
      <c r="C152" s="301" t="str">
        <f>(IF($A152="SINAPI",INDEX(SINAPI_NOV2020_NDES!$A$7:$H$6703,MATCH($B152,SINAPI_NOV2020_NDES!$A$7:$A$6703,0),2),IF($A152="GOINFRA",INDEX(#REF!,MATCH($B152,#REF!,0),2),(INDEX(COMPOS!$A$4:$G$3900,MATCH($B152,COMPOS!$A$4:A$3900,0),2)))))</f>
        <v>PORTA METÁLICA CASE – P4 - 60X180 CM</v>
      </c>
      <c r="D152" s="274" t="str">
        <f>(IF($A152="SINAPI",INDEX(SINAPI_NOV2020_NDES!$A$7:$H$6790,MATCH($B152,SINAPI_NOV2020_NDES!$A$7:$A$6790,0),3),(INDEX(COMPOS!$A$4:$G$5000,MATCH($B152,COMPOS!$A$4:$A$5000,0),3))))</f>
        <v>M2</v>
      </c>
      <c r="E152" s="249">
        <v>8.64</v>
      </c>
      <c r="F152" s="279">
        <f>(IF($A152="SINAPI",INDEX(SINAPI_NOV2020_NDES!$A$7:$H$6703,MATCH($B152,SINAPI_NOV2020_NDES!$A$7:$A$6703,0),5),(INDEX(COMPOS!$A$4:$G$801,MATCH($B152,COMPOS!$A$4:A$801,0),4))))</f>
        <v>47.084742999999996</v>
      </c>
      <c r="G152" s="280">
        <f>(IF($A152="SINAPI",INDEX(SINAPI_NOV2020_NDES!$A$7:$H$6703,MATCH($B152,SINAPI_NOV2020_NDES!$A$7:$A$6703,0),6),(INDEX(COMPOS!$A$4:$G$801,MATCH($B152,COMPOS!$A$4:A$801,0),5))))</f>
        <v>433.56921126595739</v>
      </c>
      <c r="H152" s="280">
        <f>(IF($A152="SINAPI",INDEX(SINAPI_NOV2020_NDES!$A$7:$H$6703,MATCH($B152,SINAPI_NOV2020_NDES!$A$7:$A$6703,0),7),(INDEX(COMPOS!$A$4:$G$801,MATCH($B152,COMPOS!$A$4:A$801,0),6))))</f>
        <v>0</v>
      </c>
      <c r="I152" s="279">
        <f t="shared" ref="I152:I159" si="34">SUM(F152:H152)</f>
        <v>480.6539542659574</v>
      </c>
      <c r="J152" s="276">
        <f t="shared" ref="J152:J159" si="35">+I152*E152</f>
        <v>4152.8501648578722</v>
      </c>
      <c r="K152" s="255"/>
      <c r="L152" s="255"/>
      <c r="M152" s="255"/>
      <c r="N152" s="255"/>
      <c r="O152" s="257"/>
      <c r="P152" s="255"/>
    </row>
    <row r="153" spans="1:16">
      <c r="A153" s="252" t="s">
        <v>6307</v>
      </c>
      <c r="B153" s="250">
        <v>106</v>
      </c>
      <c r="C153" s="301" t="str">
        <f>(IF($A153="SINAPI",INDEX(SINAPI_NOV2020_NDES!$A$7:$H$6703,MATCH($B153,SINAPI_NOV2020_NDES!$A$7:$A$6703,0),2),IF($A153="GOINFRA",INDEX(#REF!,MATCH($B153,#REF!,0),2),(INDEX(COMPOS!$A$4:$G$3900,MATCH($B153,COMPOS!$A$4:A$3900,0),2)))))</f>
        <v>PORTA METÁLICA CASE – P5 - 140X210 CM</v>
      </c>
      <c r="D153" s="274" t="str">
        <f>(IF($A153="SINAPI",INDEX(SINAPI_NOV2020_NDES!$A$7:$H$6790,MATCH($B153,SINAPI_NOV2020_NDES!$A$7:$A$6790,0),3),(INDEX(COMPOS!$A$4:$G$5000,MATCH($B153,COMPOS!$A$4:$A$5000,0),3))))</f>
        <v>M2</v>
      </c>
      <c r="E153" s="249">
        <v>5.88</v>
      </c>
      <c r="F153" s="279">
        <f>(IF($A153="SINAPI",INDEX(SINAPI_NOV2020_NDES!$A$7:$H$6703,MATCH($B153,SINAPI_NOV2020_NDES!$A$7:$A$6703,0),5),(INDEX(COMPOS!$A$4:$G$801,MATCH($B153,COMPOS!$A$4:A$801,0),4))))</f>
        <v>47.084742999999996</v>
      </c>
      <c r="G153" s="280">
        <f>(IF($A153="SINAPI",INDEX(SINAPI_NOV2020_NDES!$A$7:$H$6703,MATCH($B153,SINAPI_NOV2020_NDES!$A$7:$A$6703,0),6),(INDEX(COMPOS!$A$4:$G$801,MATCH($B153,COMPOS!$A$4:A$801,0),5))))</f>
        <v>550.82830999999987</v>
      </c>
      <c r="H153" s="280">
        <f>(IF($A153="SINAPI",INDEX(SINAPI_NOV2020_NDES!$A$7:$H$6703,MATCH($B153,SINAPI_NOV2020_NDES!$A$7:$A$6703,0),7),(INDEX(COMPOS!$A$4:$G$801,MATCH($B153,COMPOS!$A$4:A$801,0),6))))</f>
        <v>0</v>
      </c>
      <c r="I153" s="279">
        <f t="shared" si="34"/>
        <v>597.91305299999988</v>
      </c>
      <c r="J153" s="276">
        <f t="shared" si="35"/>
        <v>3515.7287516399992</v>
      </c>
      <c r="K153" s="255"/>
      <c r="L153" s="255"/>
      <c r="M153" s="255"/>
      <c r="N153" s="255"/>
      <c r="O153" s="257"/>
      <c r="P153" s="255"/>
    </row>
    <row r="154" spans="1:16">
      <c r="A154" s="252" t="s">
        <v>6307</v>
      </c>
      <c r="B154" s="250">
        <v>161</v>
      </c>
      <c r="C154" s="301" t="str">
        <f>(IF($A154="SINAPI",INDEX(SINAPI_NOV2020_NDES!$A$7:$H$6703,MATCH($B154,SINAPI_NOV2020_NDES!$A$7:$A$6703,0),2),IF($A154="GOINFRA",INDEX(#REF!,MATCH($B154,#REF!,0),2),(INDEX(COMPOS!$A$4:$G$3900,MATCH($B154,COMPOS!$A$4:A$3900,0),2)))))</f>
        <v>PORTA METÁLICA CASE – PG4– UMA FOLHA – 150X280 CM</v>
      </c>
      <c r="D154" s="274" t="str">
        <f>(IF($A154="SINAPI",INDEX(SINAPI_NOV2020_NDES!$A$7:$H$6790,MATCH($B154,SINAPI_NOV2020_NDES!$A$7:$A$6790,0),3),(INDEX(COMPOS!$A$4:$G$5000,MATCH($B154,COMPOS!$A$4:$A$5000,0),3))))</f>
        <v>M2</v>
      </c>
      <c r="E154" s="249">
        <v>4.1999999999999993</v>
      </c>
      <c r="F154" s="279">
        <f>(IF($A154="SINAPI",INDEX(SINAPI_NOV2020_NDES!$A$7:$H$6703,MATCH($B154,SINAPI_NOV2020_NDES!$A$7:$A$6703,0),5),(INDEX(COMPOS!$A$4:$G$801,MATCH($B154,COMPOS!$A$4:A$801,0),4))))</f>
        <v>47.084742999999996</v>
      </c>
      <c r="G154" s="280">
        <f>(IF($A154="SINAPI",INDEX(SINAPI_NOV2020_NDES!$A$7:$H$6703,MATCH($B154,SINAPI_NOV2020_NDES!$A$7:$A$6703,0),6),(INDEX(COMPOS!$A$4:$G$801,MATCH($B154,COMPOS!$A$4:A$801,0),5))))</f>
        <v>632.3175258</v>
      </c>
      <c r="H154" s="280">
        <f>(IF($A154="SINAPI",INDEX(SINAPI_NOV2020_NDES!$A$7:$H$6703,MATCH($B154,SINAPI_NOV2020_NDES!$A$7:$A$6703,0),7),(INDEX(COMPOS!$A$4:$G$801,MATCH($B154,COMPOS!$A$4:A$801,0),6))))</f>
        <v>0</v>
      </c>
      <c r="I154" s="279">
        <f t="shared" si="34"/>
        <v>679.4022688</v>
      </c>
      <c r="J154" s="276">
        <f t="shared" si="35"/>
        <v>2853.4895289599995</v>
      </c>
      <c r="K154" s="255"/>
      <c r="L154" s="255"/>
      <c r="M154" s="255"/>
      <c r="N154" s="255"/>
      <c r="O154" s="257"/>
      <c r="P154" s="255"/>
    </row>
    <row r="155" spans="1:16">
      <c r="A155" s="252" t="s">
        <v>6307</v>
      </c>
      <c r="B155" s="250">
        <v>151</v>
      </c>
      <c r="C155" s="301" t="str">
        <f>(IF($A155="SINAPI",INDEX(SINAPI_NOV2020_NDES!$A$7:$H$6703,MATCH($B155,SINAPI_NOV2020_NDES!$A$7:$A$6703,0),2),IF($A155="GOINFRA",INDEX(#REF!,MATCH($B155,#REF!,0),2),(INDEX(COMPOS!$A$4:$G$3900,MATCH($B155,COMPOS!$A$4:A$3900,0),2)))))</f>
        <v>PORTÃO EM TELA ARAME FºGº Nº 12 #2, MOLDURAS TUBO DE AÇO FºGº</v>
      </c>
      <c r="D155" s="274" t="str">
        <f>(IF($A155="SINAPI",INDEX(SINAPI_NOV2020_NDES!$A$7:$H$6790,MATCH($B155,SINAPI_NOV2020_NDES!$A$7:$A$6790,0),3),(INDEX(COMPOS!$A$4:$G$5000,MATCH($B155,COMPOS!$A$4:$A$5000,0),3))))</f>
        <v>M2</v>
      </c>
      <c r="E155" s="249">
        <v>4</v>
      </c>
      <c r="F155" s="279">
        <f>(IF($A155="SINAPI",INDEX(SINAPI_NOV2020_NDES!$A$7:$H$6703,MATCH($B155,SINAPI_NOV2020_NDES!$A$7:$A$6703,0),5),(INDEX(COMPOS!$A$4:$G$801,MATCH($B155,COMPOS!$A$4:A$801,0),4))))</f>
        <v>48.115469999999995</v>
      </c>
      <c r="G155" s="280">
        <f>(IF($A155="SINAPI",INDEX(SINAPI_NOV2020_NDES!$A$7:$H$6703,MATCH($B155,SINAPI_NOV2020_NDES!$A$7:$A$6703,0),6),(INDEX(COMPOS!$A$4:$G$801,MATCH($B155,COMPOS!$A$4:A$801,0),5))))</f>
        <v>394.87861899999996</v>
      </c>
      <c r="H155" s="280">
        <f>(IF($A155="SINAPI",INDEX(SINAPI_NOV2020_NDES!$A$7:$H$6703,MATCH($B155,SINAPI_NOV2020_NDES!$A$7:$A$6703,0),7),(INDEX(COMPOS!$A$4:$G$801,MATCH($B155,COMPOS!$A$4:A$801,0),6))))</f>
        <v>1.4512700000000001</v>
      </c>
      <c r="I155" s="279">
        <f t="shared" si="34"/>
        <v>444.445359</v>
      </c>
      <c r="J155" s="276">
        <f t="shared" si="35"/>
        <v>1777.781436</v>
      </c>
      <c r="K155" s="255"/>
      <c r="L155" s="255"/>
      <c r="M155" s="255"/>
      <c r="N155" s="255"/>
      <c r="O155" s="257"/>
      <c r="P155" s="255"/>
    </row>
    <row r="156" spans="1:16" ht="24">
      <c r="A156" s="252" t="s">
        <v>6307</v>
      </c>
      <c r="B156" s="250">
        <v>156</v>
      </c>
      <c r="C156" s="301" t="str">
        <f>(IF($A156="SINAPI",INDEX(SINAPI_NOV2020_NDES!$A$7:$H$6703,MATCH($B156,SINAPI_NOV2020_NDES!$A$7:$A$6703,0),2),IF($A156="GOINFRA",INDEX(#REF!,MATCH($B156,#REF!,0),2),(INDEX(COMPOS!$A$4:$G$3900,MATCH($B156,COMPOS!$A$4:A$3900,0),2)))))</f>
        <v>JANELA DE AÇO TIPO CORRER/BASCULANTE/VIDRO J8/J9/J10/J11/J12/J13/J17/J20 - 200X70 CM</v>
      </c>
      <c r="D156" s="274" t="str">
        <f>(IF($A156="SINAPI",INDEX(SINAPI_NOV2020_NDES!$A$7:$H$6790,MATCH($B156,SINAPI_NOV2020_NDES!$A$7:$A$6790,0),3),(INDEX(COMPOS!$A$4:$G$5000,MATCH($B156,COMPOS!$A$4:$A$5000,0),3))))</f>
        <v>M2</v>
      </c>
      <c r="E156" s="249">
        <v>3.7799999999999994</v>
      </c>
      <c r="F156" s="279">
        <f>(IF($A156="SINAPI",INDEX(SINAPI_NOV2020_NDES!$A$7:$H$6703,MATCH($B156,SINAPI_NOV2020_NDES!$A$7:$A$6703,0),5),(INDEX(COMPOS!$A$4:$G$801,MATCH($B156,COMPOS!$A$4:A$801,0),4))))</f>
        <v>134.02471</v>
      </c>
      <c r="G156" s="280">
        <f>(IF($A156="SINAPI",INDEX(SINAPI_NOV2020_NDES!$A$7:$H$6703,MATCH($B156,SINAPI_NOV2020_NDES!$A$7:$A$6703,0),6),(INDEX(COMPOS!$A$4:$G$801,MATCH($B156,COMPOS!$A$4:A$801,0),5))))</f>
        <v>503.49081699999999</v>
      </c>
      <c r="H156" s="280">
        <f>(IF($A156="SINAPI",INDEX(SINAPI_NOV2020_NDES!$A$7:$H$6703,MATCH($B156,SINAPI_NOV2020_NDES!$A$7:$A$6703,0),7),(INDEX(COMPOS!$A$4:$G$801,MATCH($B156,COMPOS!$A$4:A$801,0),6))))</f>
        <v>0</v>
      </c>
      <c r="I156" s="279">
        <f t="shared" si="34"/>
        <v>637.51552700000002</v>
      </c>
      <c r="J156" s="276">
        <f t="shared" si="35"/>
        <v>2409.8086920599999</v>
      </c>
      <c r="K156" s="255"/>
      <c r="L156" s="255"/>
      <c r="M156" s="255"/>
      <c r="N156" s="255"/>
      <c r="O156" s="257"/>
      <c r="P156" s="255"/>
    </row>
    <row r="157" spans="1:16" ht="24">
      <c r="A157" s="252" t="s">
        <v>6307</v>
      </c>
      <c r="B157" s="250">
        <v>156</v>
      </c>
      <c r="C157" s="301" t="str">
        <f>(IF($A157="SINAPI",INDEX(SINAPI_NOV2020_NDES!$A$7:$H$6703,MATCH($B157,SINAPI_NOV2020_NDES!$A$7:$A$6703,0),2),IF($A157="GOINFRA",INDEX(#REF!,MATCH($B157,#REF!,0),2),(INDEX(COMPOS!$A$4:$G$3900,MATCH($B157,COMPOS!$A$4:A$3900,0),2)))))</f>
        <v>JANELA DE AÇO TIPO CORRER/BASCULANTE/VIDRO J8/J9/J10/J11/J12/J13/J17/J20 - 200X70 CM</v>
      </c>
      <c r="D157" s="274" t="str">
        <f>(IF($A157="SINAPI",INDEX(SINAPI_NOV2020_NDES!$A$7:$H$6790,MATCH($B157,SINAPI_NOV2020_NDES!$A$7:$A$6790,0),3),(INDEX(COMPOS!$A$4:$G$5000,MATCH($B157,COMPOS!$A$4:$A$5000,0),3))))</f>
        <v>M2</v>
      </c>
      <c r="E157" s="249">
        <v>8.4599999999999991</v>
      </c>
      <c r="F157" s="279">
        <f>(IF($A157="SINAPI",INDEX(SINAPI_NOV2020_NDES!$A$7:$H$6703,MATCH($B157,SINAPI_NOV2020_NDES!$A$7:$A$6703,0),5),(INDEX(COMPOS!$A$4:$G$801,MATCH($B157,COMPOS!$A$4:A$801,0),4))))</f>
        <v>134.02471</v>
      </c>
      <c r="G157" s="280">
        <f>(IF($A157="SINAPI",INDEX(SINAPI_NOV2020_NDES!$A$7:$H$6703,MATCH($B157,SINAPI_NOV2020_NDES!$A$7:$A$6703,0),6),(INDEX(COMPOS!$A$4:$G$801,MATCH($B157,COMPOS!$A$4:A$801,0),5))))</f>
        <v>503.49081699999999</v>
      </c>
      <c r="H157" s="280">
        <f>(IF($A157="SINAPI",INDEX(SINAPI_NOV2020_NDES!$A$7:$H$6703,MATCH($B157,SINAPI_NOV2020_NDES!$A$7:$A$6703,0),7),(INDEX(COMPOS!$A$4:$G$801,MATCH($B157,COMPOS!$A$4:A$801,0),6))))</f>
        <v>0</v>
      </c>
      <c r="I157" s="279">
        <f t="shared" si="34"/>
        <v>637.51552700000002</v>
      </c>
      <c r="J157" s="276">
        <f t="shared" si="35"/>
        <v>5393.3813584199997</v>
      </c>
      <c r="K157" s="255"/>
      <c r="L157" s="255"/>
      <c r="M157" s="255"/>
      <c r="N157" s="255"/>
      <c r="O157" s="257"/>
      <c r="P157" s="255"/>
    </row>
    <row r="158" spans="1:16">
      <c r="A158" s="252" t="s">
        <v>6307</v>
      </c>
      <c r="B158" s="250">
        <v>103</v>
      </c>
      <c r="C158" s="301" t="str">
        <f>(IF($A158="SINAPI",INDEX(SINAPI_NOV2020_NDES!$A$7:$H$6703,MATCH($B158,SINAPI_NOV2020_NDES!$A$7:$A$6703,0),2),IF($A158="GOINFRA",INDEX(#REF!,MATCH($B158,#REF!,0),2),(INDEX(COMPOS!$A$4:$G$3900,MATCH($B158,COMPOS!$A$4:A$3900,0),2)))))</f>
        <v>GRADE METÁLICA PARA J1/J7/J16 – 180X136 CM</v>
      </c>
      <c r="D158" s="274" t="str">
        <f>(IF($A158="SINAPI",INDEX(SINAPI_NOV2020_NDES!$A$7:$H$6790,MATCH($B158,SINAPI_NOV2020_NDES!$A$7:$A$6790,0),3),(INDEX(COMPOS!$A$4:$G$5000,MATCH($B158,COMPOS!$A$4:$A$5000,0),3))))</f>
        <v>M2</v>
      </c>
      <c r="E158" s="249">
        <v>40.79</v>
      </c>
      <c r="F158" s="279">
        <f>(IF($A158="SINAPI",INDEX(SINAPI_NOV2020_NDES!$A$7:$H$6703,MATCH($B158,SINAPI_NOV2020_NDES!$A$7:$A$6703,0),5),(INDEX(COMPOS!$A$4:$G$801,MATCH($B158,COMPOS!$A$4:A$801,0),4))))</f>
        <v>50.259299999999996</v>
      </c>
      <c r="G158" s="280">
        <f>(IF($A158="SINAPI",INDEX(SINAPI_NOV2020_NDES!$A$7:$H$6703,MATCH($B158,SINAPI_NOV2020_NDES!$A$7:$A$6703,0),6),(INDEX(COMPOS!$A$4:$G$801,MATCH($B158,COMPOS!$A$4:A$801,0),5))))</f>
        <v>457.28405224999995</v>
      </c>
      <c r="H158" s="280">
        <f>(IF($A158="SINAPI",INDEX(SINAPI_NOV2020_NDES!$A$7:$H$6703,MATCH($B158,SINAPI_NOV2020_NDES!$A$7:$A$6703,0),7),(INDEX(COMPOS!$A$4:$G$801,MATCH($B158,COMPOS!$A$4:A$801,0),6))))</f>
        <v>0</v>
      </c>
      <c r="I158" s="279">
        <f t="shared" si="34"/>
        <v>507.54335224999994</v>
      </c>
      <c r="J158" s="276">
        <f t="shared" si="35"/>
        <v>20702.693338277499</v>
      </c>
      <c r="K158" s="255"/>
      <c r="L158" s="255"/>
      <c r="M158" s="255"/>
      <c r="N158" s="255"/>
      <c r="O158" s="257"/>
      <c r="P158" s="255"/>
    </row>
    <row r="159" spans="1:16" ht="24">
      <c r="A159" s="252" t="s">
        <v>6307</v>
      </c>
      <c r="B159" s="250">
        <v>156</v>
      </c>
      <c r="C159" s="301" t="str">
        <f>(IF($A159="SINAPI",INDEX(SINAPI_NOV2020_NDES!$A$7:$H$6703,MATCH($B159,SINAPI_NOV2020_NDES!$A$7:$A$6703,0),2),IF($A159="GOINFRA",INDEX(#REF!,MATCH($B159,#REF!,0),2),(INDEX(COMPOS!$A$4:$G$3900,MATCH($B159,COMPOS!$A$4:A$3900,0),2)))))</f>
        <v>JANELA DE AÇO TIPO CORRER/BASCULANTE/VIDRO J8/J9/J10/J11/J12/J13/J17/J20 - 200X70 CM</v>
      </c>
      <c r="D159" s="274" t="str">
        <f>(IF($A159="SINAPI",INDEX(SINAPI_NOV2020_NDES!$A$7:$H$6790,MATCH($B159,SINAPI_NOV2020_NDES!$A$7:$A$6790,0),3),(INDEX(COMPOS!$A$4:$G$5000,MATCH($B159,COMPOS!$A$4:$A$5000,0),3))))</f>
        <v>M2</v>
      </c>
      <c r="E159" s="249">
        <v>63.360000000000007</v>
      </c>
      <c r="F159" s="279">
        <f>(IF($A159="SINAPI",INDEX(SINAPI_NOV2020_NDES!$A$7:$H$6703,MATCH($B159,SINAPI_NOV2020_NDES!$A$7:$A$6703,0),5),(INDEX(COMPOS!$A$4:$G$801,MATCH($B159,COMPOS!$A$4:A$801,0),4))))</f>
        <v>134.02471</v>
      </c>
      <c r="G159" s="280">
        <f>(IF($A159="SINAPI",INDEX(SINAPI_NOV2020_NDES!$A$7:$H$6703,MATCH($B159,SINAPI_NOV2020_NDES!$A$7:$A$6703,0),6),(INDEX(COMPOS!$A$4:$G$801,MATCH($B159,COMPOS!$A$4:A$801,0),5))))</f>
        <v>503.49081699999999</v>
      </c>
      <c r="H159" s="280">
        <f>(IF($A159="SINAPI",INDEX(SINAPI_NOV2020_NDES!$A$7:$H$6703,MATCH($B159,SINAPI_NOV2020_NDES!$A$7:$A$6703,0),7),(INDEX(COMPOS!$A$4:$G$801,MATCH($B159,COMPOS!$A$4:A$801,0),6))))</f>
        <v>0</v>
      </c>
      <c r="I159" s="279">
        <f t="shared" si="34"/>
        <v>637.51552700000002</v>
      </c>
      <c r="J159" s="276">
        <f t="shared" si="35"/>
        <v>40392.983790720005</v>
      </c>
      <c r="K159" s="255"/>
      <c r="L159" s="255"/>
      <c r="M159" s="255"/>
      <c r="N159" s="255"/>
      <c r="O159" s="257"/>
      <c r="P159" s="255"/>
    </row>
    <row r="160" spans="1:16" s="88" customFormat="1" ht="24" customHeight="1">
      <c r="A160" s="680" t="s">
        <v>6927</v>
      </c>
      <c r="B160" s="695"/>
      <c r="C160" s="695"/>
      <c r="D160" s="695"/>
      <c r="E160" s="695"/>
      <c r="F160" s="695"/>
      <c r="G160" s="695"/>
      <c r="H160" s="695"/>
      <c r="I160" s="695"/>
      <c r="J160" s="281">
        <f>SUM(J151:J159)</f>
        <v>96123.054080513364</v>
      </c>
      <c r="K160" s="255"/>
      <c r="L160" s="255"/>
      <c r="M160" s="255"/>
      <c r="N160" s="255"/>
      <c r="O160" s="255"/>
      <c r="P160" s="255"/>
    </row>
    <row r="161" spans="1:16">
      <c r="A161" s="251"/>
      <c r="B161" s="299">
        <v>181</v>
      </c>
      <c r="C161" s="338" t="s">
        <v>6329</v>
      </c>
      <c r="D161" s="274" t="s">
        <v>6922</v>
      </c>
      <c r="E161" s="276"/>
      <c r="F161" s="276"/>
      <c r="G161" s="276"/>
      <c r="H161" s="276"/>
      <c r="I161" s="276"/>
      <c r="J161" s="276"/>
      <c r="K161" s="255"/>
      <c r="L161" s="255"/>
      <c r="M161" s="255"/>
      <c r="N161" s="255"/>
      <c r="O161" s="255"/>
      <c r="P161" s="255"/>
    </row>
    <row r="162" spans="1:16">
      <c r="A162" s="252" t="s">
        <v>7</v>
      </c>
      <c r="B162" s="250">
        <v>72117</v>
      </c>
      <c r="C162" s="301" t="str">
        <f>(IF($A162="SINAPI",INDEX(SINAPI_NOV2020_NDES!$A$7:$H$6703,MATCH($B162,SINAPI_NOV2020_NDES!$A$7:$A$6703,0),2),IF($A162="GOINFRA",INDEX(#REF!,MATCH($B162,#REF!,0),2),(INDEX(COMPOS!$A$4:$G$390,MATCH($B162,COMPOS!$A$4:A$390,0),2)))))</f>
        <v>VIDRO LISO COMUM TRANSPARENTE, ESPESSURA 4MM</v>
      </c>
      <c r="D162" s="274" t="str">
        <f>(IF($A162="SINAPI",INDEX(SINAPI_NOV2020_NDES!$A$7:$H$6790,MATCH($B162,SINAPI_NOV2020_NDES!$A$7:$A$6790,0),3),(INDEX(COMPOS!$A$4:$G$5000,MATCH($B162,COMPOS!$A$4:$A$5000,0),3))))</f>
        <v>M2</v>
      </c>
      <c r="E162" s="249">
        <v>39.299999999999997</v>
      </c>
      <c r="F162" s="279">
        <f>(IF($A162="SINAPI",INDEX(SINAPI_NOV2020_NDES!$A$7:$H$6703,MATCH($B162,SINAPI_NOV2020_NDES!$A$7:$A$6703,0),5),(INDEX(COMPOS!$A$4:$G$801,MATCH($B162,COMPOS!$A$4:A$801,0),4))))</f>
        <v>11.8</v>
      </c>
      <c r="G162" s="280">
        <f>(IF($A162="SINAPI",INDEX(SINAPI_NOV2020_NDES!$A$7:$H$6703,MATCH($B162,SINAPI_NOV2020_NDES!$A$7:$A$6703,0),6),(INDEX(COMPOS!$A$4:$G$801,MATCH($B162,COMPOS!$A$4:A$801,0),5))))</f>
        <v>171.51</v>
      </c>
      <c r="H162" s="280">
        <f>(IF($A162="SINAPI",INDEX(SINAPI_NOV2020_NDES!$A$7:$H$6703,MATCH($B162,SINAPI_NOV2020_NDES!$A$7:$A$6703,0),7),(INDEX(COMPOS!$A$4:$G$801,MATCH($B162,COMPOS!$A$4:A$801,0),6))))</f>
        <v>0</v>
      </c>
      <c r="I162" s="279">
        <f t="shared" ref="I162" si="36">SUM(F162:H162)</f>
        <v>183.31</v>
      </c>
      <c r="J162" s="276">
        <f t="shared" ref="J162" si="37">+I162*E162</f>
        <v>7204.0829999999996</v>
      </c>
      <c r="K162" s="255"/>
      <c r="L162" s="255"/>
      <c r="M162" s="255"/>
      <c r="N162" s="255"/>
      <c r="O162" s="257"/>
      <c r="P162" s="255"/>
    </row>
    <row r="163" spans="1:16" ht="24">
      <c r="A163" s="252" t="s">
        <v>7</v>
      </c>
      <c r="B163" s="250">
        <v>72119</v>
      </c>
      <c r="C163" s="301" t="str">
        <f>(IF($A163="SINAPI",INDEX(SINAPI_NOV2020_NDES!$A$7:$H$6703,MATCH($B163,SINAPI_NOV2020_NDES!$A$7:$A$6703,0),2),IF($A163="GOINFRA",INDEX(#REF!,MATCH($B163,#REF!,0),2),(INDEX(COMPOS!$A$4:$G$390,MATCH($B163,COMPOS!$A$4:A$390,0),2)))))</f>
        <v>VIDRO TEMPERADO INCOLOR, ESPESSURA 8MM, FORNECIMENTO E INSTALACAO, INCLUSIVE MASSA PARA VEDACAO</v>
      </c>
      <c r="D163" s="274" t="str">
        <f>(IF($A163="SINAPI",INDEX(SINAPI_NOV2020_NDES!$A$7:$H$6790,MATCH($B163,SINAPI_NOV2020_NDES!$A$7:$A$6790,0),3),(INDEX(COMPOS!$A$4:$G$5000,MATCH($B163,COMPOS!$A$4:$A$5000,0),3))))</f>
        <v>M2</v>
      </c>
      <c r="E163" s="249">
        <v>3.06</v>
      </c>
      <c r="F163" s="279">
        <f>(IF($A163="SINAPI",INDEX(SINAPI_NOV2020_NDES!$A$7:$H$6703,MATCH($B163,SINAPI_NOV2020_NDES!$A$7:$A$6703,0),5),(INDEX(COMPOS!$A$4:$G$801,MATCH($B163,COMPOS!$A$4:A$801,0),4))))</f>
        <v>13.11</v>
      </c>
      <c r="G163" s="280">
        <f>(IF($A163="SINAPI",INDEX(SINAPI_NOV2020_NDES!$A$7:$H$6703,MATCH($B163,SINAPI_NOV2020_NDES!$A$7:$A$6703,0),6),(INDEX(COMPOS!$A$4:$G$801,MATCH($B163,COMPOS!$A$4:A$801,0),5))))</f>
        <v>161.44999999999999</v>
      </c>
      <c r="H163" s="280">
        <f>(IF($A163="SINAPI",INDEX(SINAPI_NOV2020_NDES!$A$7:$H$6703,MATCH($B163,SINAPI_NOV2020_NDES!$A$7:$A$6703,0),7),(INDEX(COMPOS!$A$4:$G$801,MATCH($B163,COMPOS!$A$4:A$801,0),6))))</f>
        <v>0</v>
      </c>
      <c r="I163" s="279">
        <f t="shared" ref="I163" si="38">SUM(F163:H163)</f>
        <v>174.56</v>
      </c>
      <c r="J163" s="276">
        <f t="shared" ref="J163" si="39">+I163*E163</f>
        <v>534.15359999999998</v>
      </c>
      <c r="K163" s="255"/>
      <c r="L163" s="255"/>
      <c r="M163" s="255"/>
      <c r="N163" s="255"/>
      <c r="O163" s="257"/>
      <c r="P163" s="255"/>
    </row>
    <row r="164" spans="1:16" s="88" customFormat="1" ht="24" customHeight="1">
      <c r="A164" s="680" t="s">
        <v>6927</v>
      </c>
      <c r="B164" s="695"/>
      <c r="C164" s="695"/>
      <c r="D164" s="695"/>
      <c r="E164" s="695"/>
      <c r="F164" s="695"/>
      <c r="G164" s="695"/>
      <c r="H164" s="695"/>
      <c r="I164" s="695"/>
      <c r="J164" s="281">
        <f>SUM(J162:J163)</f>
        <v>7738.2365999999993</v>
      </c>
      <c r="K164" s="255"/>
      <c r="L164" s="255"/>
      <c r="M164" s="255"/>
      <c r="N164" s="255"/>
      <c r="O164" s="255"/>
      <c r="P164" s="255"/>
    </row>
    <row r="165" spans="1:16">
      <c r="A165" s="251"/>
      <c r="B165" s="299">
        <v>182</v>
      </c>
      <c r="C165" s="338" t="s">
        <v>6330</v>
      </c>
      <c r="D165" s="274" t="s">
        <v>6922</v>
      </c>
      <c r="E165" s="276"/>
      <c r="F165" s="276"/>
      <c r="G165" s="276"/>
      <c r="H165" s="276"/>
      <c r="I165" s="276"/>
      <c r="J165" s="276"/>
      <c r="K165" s="255"/>
      <c r="L165" s="255"/>
      <c r="M165" s="255"/>
      <c r="N165" s="255"/>
      <c r="O165" s="255"/>
      <c r="P165" s="255"/>
    </row>
    <row r="166" spans="1:16" ht="36">
      <c r="A166" s="252" t="s">
        <v>7</v>
      </c>
      <c r="B166" s="250">
        <v>87267</v>
      </c>
      <c r="C166" s="301" t="str">
        <f>(IF($A166="SINAPI",INDEX(SINAPI_NOV2020_NDES!$A$7:$H$6703,MATCH($B166,SINAPI_NOV2020_NDES!$A$7:$A$6703,0),2),IF($A166="GOINFRA",INDEX(#REF!,MATCH($B166,#REF!,0),2),(INDEX(COMPOS!$A$4:$G$390,MATCH($B166,COMPOS!$A$4:A$390,0),2)))))</f>
        <v>REVESTIMENTO CERÂMICO PARA PAREDES INTERNAS COM PLACAS TIPO ESMALTADA EXTRA DE DIMENSÕES 20X20 CM APLICADAS EM AMBIENTES DE ÁREA MAIOR QUE 5 M² A MEIA ALTURA DAS PAREDES. AF_06/2014</v>
      </c>
      <c r="D166" s="274" t="str">
        <f>(IF($A166="SINAPI",INDEX(SINAPI_NOV2020_NDES!$A$7:$H$6790,MATCH($B166,SINAPI_NOV2020_NDES!$A$7:$A$6790,0),3),(INDEX(COMPOS!$A$4:$G$5000,MATCH($B166,COMPOS!$A$4:$A$5000,0),3))))</f>
        <v>M2</v>
      </c>
      <c r="E166" s="249">
        <v>301.3</v>
      </c>
      <c r="F166" s="279">
        <f>(IF($A166="SINAPI",INDEX(SINAPI_NOV2020_NDES!$A$7:$H$6703,MATCH($B166,SINAPI_NOV2020_NDES!$A$7:$A$6703,0),5),(INDEX(COMPOS!$A$4:$G$801,MATCH($B166,COMPOS!$A$4:A$801,0),4))))</f>
        <v>15.86</v>
      </c>
      <c r="G166" s="280">
        <f>(IF($A166="SINAPI",INDEX(SINAPI_NOV2020_NDES!$A$7:$H$6703,MATCH($B166,SINAPI_NOV2020_NDES!$A$7:$A$6703,0),6),(INDEX(COMPOS!$A$4:$G$801,MATCH($B166,COMPOS!$A$4:A$801,0),5))))</f>
        <v>27.49</v>
      </c>
      <c r="H166" s="280">
        <f>(IF($A166="SINAPI",INDEX(SINAPI_NOV2020_NDES!$A$7:$H$6703,MATCH($B166,SINAPI_NOV2020_NDES!$A$7:$A$6703,0),7),(INDEX(COMPOS!$A$4:$G$801,MATCH($B166,COMPOS!$A$4:A$801,0),6))))</f>
        <v>0</v>
      </c>
      <c r="I166" s="279">
        <f t="shared" ref="I166" si="40">SUM(F166:H166)</f>
        <v>43.349999999999994</v>
      </c>
      <c r="J166" s="276">
        <f t="shared" ref="J166" si="41">+I166*E166</f>
        <v>13061.355</v>
      </c>
      <c r="K166" s="255"/>
      <c r="L166" s="255"/>
      <c r="M166" s="255"/>
      <c r="N166" s="255"/>
      <c r="O166" s="257"/>
      <c r="P166" s="255"/>
    </row>
    <row r="167" spans="1:16" s="88" customFormat="1" ht="24" customHeight="1">
      <c r="A167" s="680" t="s">
        <v>6927</v>
      </c>
      <c r="B167" s="695"/>
      <c r="C167" s="695"/>
      <c r="D167" s="695"/>
      <c r="E167" s="695"/>
      <c r="F167" s="695"/>
      <c r="G167" s="695"/>
      <c r="H167" s="695"/>
      <c r="I167" s="695"/>
      <c r="J167" s="281">
        <f>SUM(J166)</f>
        <v>13061.355</v>
      </c>
      <c r="K167" s="255"/>
      <c r="L167" s="255"/>
      <c r="M167" s="255"/>
      <c r="N167" s="255"/>
      <c r="O167" s="255"/>
      <c r="P167" s="255"/>
    </row>
    <row r="168" spans="1:16">
      <c r="A168" s="251"/>
      <c r="B168" s="299">
        <v>184</v>
      </c>
      <c r="C168" s="338" t="s">
        <v>591</v>
      </c>
      <c r="D168" s="274" t="s">
        <v>6922</v>
      </c>
      <c r="E168" s="276"/>
      <c r="F168" s="276"/>
      <c r="G168" s="276"/>
      <c r="H168" s="276"/>
      <c r="I168" s="276"/>
      <c r="J168" s="276"/>
      <c r="K168" s="255"/>
      <c r="L168" s="255"/>
      <c r="M168" s="255"/>
      <c r="N168" s="255"/>
      <c r="O168" s="255"/>
      <c r="P168" s="255"/>
    </row>
    <row r="169" spans="1:16" ht="24">
      <c r="A169" s="251" t="s">
        <v>7</v>
      </c>
      <c r="B169" s="289">
        <v>95241</v>
      </c>
      <c r="C169" s="301" t="str">
        <f>(IF($A169="SINAPI",INDEX(SINAPI_NOV2020_NDES!$A$7:$H$6703,MATCH($B169,SINAPI_NOV2020_NDES!$A$7:$A$6703,0),2),IF($A169="GOINFRA",INDEX(#REF!,MATCH($B169,#REF!,0),2),(INDEX(COMPOS!$A$4:$G$390,MATCH($B169,COMPOS!$A$4:A$390,0),2)))))</f>
        <v>LASTRO DE CONCRETO MAGRO, APLICADO EM PISOS OU RADIERS, ESPESSURA DE 5 CM. AF_07/2016</v>
      </c>
      <c r="D169" s="274" t="str">
        <f>(IF($A169="SINAPI",INDEX(SINAPI_NOV2020_NDES!$A$7:$H$6790,MATCH($B169,SINAPI_NOV2020_NDES!$A$7:$A$6790,0),3),(INDEX(COMPOS!$A$4:$G$5000,MATCH($B169,COMPOS!$A$4:$A$5000,0),3))))</f>
        <v>M2</v>
      </c>
      <c r="E169" s="280">
        <v>117.68</v>
      </c>
      <c r="F169" s="279">
        <f>(IF($A169="SINAPI",INDEX(SINAPI_NOV2020_NDES!$A$7:$H$6703,MATCH($B169,SINAPI_NOV2020_NDES!$A$7:$A$6703,0),5),(INDEX(COMPOS!$A$4:$G$801,MATCH($B169,COMPOS!$A$4:A$801,0),4))))</f>
        <v>8.26</v>
      </c>
      <c r="G169" s="280">
        <f>(IF($A169="SINAPI",INDEX(SINAPI_NOV2020_NDES!$A$7:$H$6703,MATCH($B169,SINAPI_NOV2020_NDES!$A$7:$A$6703,0),6),(INDEX(COMPOS!$A$4:$G$801,MATCH($B169,COMPOS!$A$4:A$801,0),5))))</f>
        <v>16.48</v>
      </c>
      <c r="H169" s="280">
        <f>(IF($A169="SINAPI",INDEX(SINAPI_NOV2020_NDES!$A$7:$H$6703,MATCH($B169,SINAPI_NOV2020_NDES!$A$7:$A$6703,0),7),(INDEX(COMPOS!$A$4:$G$801,MATCH($B169,COMPOS!$A$4:A$801,0),6))))</f>
        <v>0.09</v>
      </c>
      <c r="I169" s="279">
        <f t="shared" ref="I169" si="42">SUM(F169:H169)</f>
        <v>24.830000000000002</v>
      </c>
      <c r="J169" s="276">
        <f t="shared" ref="J169" si="43">+I169*E169</f>
        <v>2921.9944000000005</v>
      </c>
      <c r="K169" s="255"/>
      <c r="L169" s="255"/>
      <c r="M169" s="255"/>
      <c r="N169" s="255"/>
      <c r="O169" s="257"/>
      <c r="P169" s="255"/>
    </row>
    <row r="170" spans="1:16" ht="24">
      <c r="A170" s="251" t="s">
        <v>6307</v>
      </c>
      <c r="B170" s="289">
        <v>348</v>
      </c>
      <c r="C170" s="301" t="str">
        <f>(IF($A170="SINAPI",INDEX(SINAPI_NOV2020_NDES!$A$7:$H$6703,MATCH($B170,SINAPI_NOV2020_NDES!$A$7:$A$6703,0),2),IF($A170="GOINFRA",INDEX(#REF!,MATCH($B170,#REF!,0),2),(INDEX(COMPOS!$A$4:$G$390,MATCH($B170,COMPOS!$A$4:A$390,0),2)))))</f>
        <v>PASSEIO DE PROTEÇÃO EM CONCRETO DESEMPENADO 5CM (1:2,5:3,5) (INCLUSO ESPELHO DE 30CM/ESCAVAÇÃO/REATERRO/APILOAMENTO/ATERRO INTERNO)</v>
      </c>
      <c r="D170" s="274" t="str">
        <f>(IF($A170="SINAPI",INDEX(SINAPI_NOV2020_NDES!$A$7:$H$6790,MATCH($B170,SINAPI_NOV2020_NDES!$A$7:$A$6790,0),3),(INDEX(COMPOS!$A$4:$G$5000,MATCH($B170,COMPOS!$A$4:$A$5000,0),3))))</f>
        <v>M2</v>
      </c>
      <c r="E170" s="280">
        <v>87.64</v>
      </c>
      <c r="F170" s="279">
        <f>(IF($A170="SINAPI",INDEX(SINAPI_NOV2020_NDES!$A$7:$H$6703,MATCH($B170,SINAPI_NOV2020_NDES!$A$7:$A$6703,0),5),(INDEX(COMPOS!$A$4:$G$801,MATCH($B170,COMPOS!$A$4:A$801,0),4))))</f>
        <v>43.421984000000002</v>
      </c>
      <c r="G170" s="280">
        <f>(IF($A170="SINAPI",INDEX(SINAPI_NOV2020_NDES!$A$7:$H$6703,MATCH($B170,SINAPI_NOV2020_NDES!$A$7:$A$6703,0),6),(INDEX(COMPOS!$A$4:$G$801,MATCH($B170,COMPOS!$A$4:A$801,0),5))))</f>
        <v>31.570292999999999</v>
      </c>
      <c r="H170" s="280">
        <f>(IF($A170="SINAPI",INDEX(SINAPI_NOV2020_NDES!$A$7:$H$6703,MATCH($B170,SINAPI_NOV2020_NDES!$A$7:$A$6703,0),7),(INDEX(COMPOS!$A$4:$G$801,MATCH($B170,COMPOS!$A$4:A$801,0),6))))</f>
        <v>0</v>
      </c>
      <c r="I170" s="279">
        <f t="shared" ref="I170:I173" si="44">SUM(F170:H170)</f>
        <v>74.992277000000001</v>
      </c>
      <c r="J170" s="276">
        <f t="shared" ref="J170:J173" si="45">+I170*E170</f>
        <v>6572.3231562800001</v>
      </c>
      <c r="K170" s="255"/>
      <c r="L170" s="255"/>
      <c r="M170" s="255"/>
      <c r="N170" s="255"/>
      <c r="O170" s="257"/>
      <c r="P170" s="255"/>
    </row>
    <row r="171" spans="1:16">
      <c r="A171" s="251" t="s">
        <v>6307</v>
      </c>
      <c r="B171" s="289">
        <v>350</v>
      </c>
      <c r="C171" s="301" t="str">
        <f>(IF($A171="SINAPI",INDEX(SINAPI_NOV2020_NDES!$A$7:$H$6703,MATCH($B171,SINAPI_NOV2020_NDES!$A$7:$A$6703,0),2),IF($A171="GOINFRA",INDEX(#REF!,MATCH($B171,#REF!,0),2),(INDEX(COMPOS!$A$4:$G$390,MATCH($B171,COMPOS!$A$4:A$390,0),2)))))</f>
        <v>GRANITINA 8MM FUNDIDA COM CONTRAPISO, ESP. 2CM E JUNTA PLÁSTICA 27MM</v>
      </c>
      <c r="D171" s="274" t="str">
        <f>(IF($A171="SINAPI",INDEX(SINAPI_NOV2020_NDES!$A$7:$H$6790,MATCH($B171,SINAPI_NOV2020_NDES!$A$7:$A$6790,0),3),(INDEX(COMPOS!$A$4:$G$5000,MATCH($B171,COMPOS!$A$4:$A$5000,0),3))))</f>
        <v>M2</v>
      </c>
      <c r="E171" s="280">
        <v>506.08</v>
      </c>
      <c r="F171" s="279">
        <f>(IF($A171="SINAPI",INDEX(SINAPI_NOV2020_NDES!$A$7:$H$6703,MATCH($B171,SINAPI_NOV2020_NDES!$A$7:$A$6703,0),5),(INDEX(COMPOS!$A$4:$G$801,MATCH($B171,COMPOS!$A$4:A$801,0),4))))</f>
        <v>19.118230999999998</v>
      </c>
      <c r="G171" s="280">
        <f>(IF($A171="SINAPI",INDEX(SINAPI_NOV2020_NDES!$A$7:$H$6703,MATCH($B171,SINAPI_NOV2020_NDES!$A$7:$A$6703,0),6),(INDEX(COMPOS!$A$4:$G$801,MATCH($B171,COMPOS!$A$4:A$801,0),5))))</f>
        <v>97.538049999999998</v>
      </c>
      <c r="H171" s="280">
        <f>(IF($A171="SINAPI",INDEX(SINAPI_NOV2020_NDES!$A$7:$H$6703,MATCH($B171,SINAPI_NOV2020_NDES!$A$7:$A$6703,0),7),(INDEX(COMPOS!$A$4:$G$801,MATCH($B171,COMPOS!$A$4:A$801,0),6))))</f>
        <v>0</v>
      </c>
      <c r="I171" s="279">
        <f t="shared" si="44"/>
        <v>116.65628099999999</v>
      </c>
      <c r="J171" s="276">
        <f t="shared" si="45"/>
        <v>59037.410688479991</v>
      </c>
      <c r="K171" s="255"/>
      <c r="L171" s="255"/>
      <c r="M171" s="255"/>
      <c r="N171" s="255"/>
      <c r="O171" s="257"/>
      <c r="P171" s="255"/>
    </row>
    <row r="172" spans="1:16">
      <c r="A172" s="251" t="s">
        <v>6307</v>
      </c>
      <c r="B172" s="289">
        <v>351</v>
      </c>
      <c r="C172" s="301" t="str">
        <f>(IF($A172="SINAPI",INDEX(SINAPI_NOV2020_NDES!$A$7:$H$6703,MATCH($B172,SINAPI_NOV2020_NDES!$A$7:$A$6703,0),2),IF($A172="GOINFRA",INDEX(#REF!,MATCH($B172,#REF!,0),2),(INDEX(COMPOS!$A$4:$G$390,MATCH($B172,COMPOS!$A$4:A$390,0),2)))))</f>
        <v>RODAPÉ FUNDIDO DE GRANITINA 7CM</v>
      </c>
      <c r="D172" s="274" t="str">
        <f>(IF($A172="SINAPI",INDEX(SINAPI_NOV2020_NDES!$A$7:$H$6790,MATCH($B172,SINAPI_NOV2020_NDES!$A$7:$A$6790,0),3),(INDEX(COMPOS!$A$4:$G$5000,MATCH($B172,COMPOS!$A$4:$A$5000,0),3))))</f>
        <v>M</v>
      </c>
      <c r="E172" s="280">
        <v>258.89</v>
      </c>
      <c r="F172" s="279">
        <f>(IF($A172="SINAPI",INDEX(SINAPI_NOV2020_NDES!$A$7:$H$6703,MATCH($B172,SINAPI_NOV2020_NDES!$A$7:$A$6703,0),5),(INDEX(COMPOS!$A$4:$G$801,MATCH($B172,COMPOS!$A$4:A$801,0),4))))</f>
        <v>0</v>
      </c>
      <c r="G172" s="280">
        <f>(IF($A172="SINAPI",INDEX(SINAPI_NOV2020_NDES!$A$7:$H$6703,MATCH($B172,SINAPI_NOV2020_NDES!$A$7:$A$6703,0),6),(INDEX(COMPOS!$A$4:$G$801,MATCH($B172,COMPOS!$A$4:A$801,0),5))))</f>
        <v>20.94</v>
      </c>
      <c r="H172" s="280">
        <f>(IF($A172="SINAPI",INDEX(SINAPI_NOV2020_NDES!$A$7:$H$6703,MATCH($B172,SINAPI_NOV2020_NDES!$A$7:$A$6703,0),7),(INDEX(COMPOS!$A$4:$G$801,MATCH($B172,COMPOS!$A$4:A$801,0),6))))</f>
        <v>0</v>
      </c>
      <c r="I172" s="279">
        <f t="shared" si="44"/>
        <v>20.94</v>
      </c>
      <c r="J172" s="276">
        <f t="shared" si="45"/>
        <v>5421.1566000000003</v>
      </c>
      <c r="K172" s="255"/>
      <c r="L172" s="255"/>
      <c r="M172" s="255"/>
      <c r="N172" s="255"/>
      <c r="O172" s="257"/>
      <c r="P172" s="255"/>
    </row>
    <row r="173" spans="1:16">
      <c r="A173" s="251" t="s">
        <v>6307</v>
      </c>
      <c r="B173" s="289">
        <v>482</v>
      </c>
      <c r="C173" s="301" t="str">
        <f>(IF($A173="SINAPI",INDEX(SINAPI_NOV2020_NDES!$A$7:$H$6703,MATCH($B173,SINAPI_NOV2020_NDES!$A$7:$A$6703,0),2),IF($A173="GOINFRA",INDEX(#REF!,MATCH($B173,#REF!,0),2),(INDEX(COMPOS!$A$4:$G$390,MATCH($B173,COMPOS!$A$4:A$390,0),2)))))</f>
        <v>PISO PODOTÁTIL CONCRETO 25X25 DIRECIONAL</v>
      </c>
      <c r="D173" s="274" t="str">
        <f>(IF($A173="SINAPI",INDEX(SINAPI_NOV2020_NDES!$A$7:$H$6790,MATCH($B173,SINAPI_NOV2020_NDES!$A$7:$A$6790,0),3),(INDEX(COMPOS!$A$4:$G$5000,MATCH($B173,COMPOS!$A$4:$A$5000,0),3))))</f>
        <v>M2</v>
      </c>
      <c r="E173" s="280">
        <v>20.350000000000001</v>
      </c>
      <c r="F173" s="279">
        <f>(IF($A173="SINAPI",INDEX(SINAPI_NOV2020_NDES!$A$7:$H$6703,MATCH($B173,SINAPI_NOV2020_NDES!$A$7:$A$6703,0),5),(INDEX(COMPOS!$A$4:$G$801,MATCH($B173,COMPOS!$A$4:A$801,0),4))))</f>
        <v>26.110093999999997</v>
      </c>
      <c r="G173" s="280">
        <f>(IF($A173="SINAPI",INDEX(SINAPI_NOV2020_NDES!$A$7:$H$6703,MATCH($B173,SINAPI_NOV2020_NDES!$A$7:$A$6703,0),6),(INDEX(COMPOS!$A$4:$G$801,MATCH($B173,COMPOS!$A$4:A$801,0),5))))</f>
        <v>65.552500000000009</v>
      </c>
      <c r="H173" s="280">
        <f>(IF($A173="SINAPI",INDEX(SINAPI_NOV2020_NDES!$A$7:$H$6703,MATCH($B173,SINAPI_NOV2020_NDES!$A$7:$A$6703,0),7),(INDEX(COMPOS!$A$4:$G$801,MATCH($B173,COMPOS!$A$4:A$801,0),6))))</f>
        <v>0</v>
      </c>
      <c r="I173" s="279">
        <f t="shared" si="44"/>
        <v>91.662594000000013</v>
      </c>
      <c r="J173" s="276">
        <f t="shared" si="45"/>
        <v>1865.3337879000003</v>
      </c>
      <c r="K173" s="255"/>
      <c r="L173" s="255"/>
      <c r="M173" s="255"/>
      <c r="N173" s="255"/>
      <c r="O173" s="257"/>
      <c r="P173" s="255"/>
    </row>
    <row r="174" spans="1:16" s="88" customFormat="1" ht="24" customHeight="1">
      <c r="A174" s="680" t="s">
        <v>6927</v>
      </c>
      <c r="B174" s="695"/>
      <c r="C174" s="695"/>
      <c r="D174" s="695"/>
      <c r="E174" s="695"/>
      <c r="F174" s="695"/>
      <c r="G174" s="695"/>
      <c r="H174" s="695"/>
      <c r="I174" s="695"/>
      <c r="J174" s="281">
        <f>SUM(J169:J173)</f>
        <v>75818.218632659991</v>
      </c>
      <c r="K174" s="255"/>
      <c r="L174" s="255"/>
      <c r="M174" s="255"/>
      <c r="N174" s="255"/>
      <c r="O174" s="255"/>
      <c r="P174" s="255"/>
    </row>
    <row r="175" spans="1:16">
      <c r="A175" s="251"/>
      <c r="B175" s="299">
        <v>186</v>
      </c>
      <c r="C175" s="338" t="s">
        <v>589</v>
      </c>
      <c r="D175" s="274" t="s">
        <v>6922</v>
      </c>
      <c r="E175" s="276"/>
      <c r="F175" s="276"/>
      <c r="G175" s="276"/>
      <c r="H175" s="276"/>
      <c r="I175" s="276"/>
      <c r="J175" s="276"/>
      <c r="K175" s="255"/>
      <c r="L175" s="255"/>
      <c r="M175" s="255"/>
      <c r="N175" s="255"/>
      <c r="O175" s="255"/>
      <c r="P175" s="255"/>
    </row>
    <row r="176" spans="1:16">
      <c r="A176" s="251" t="s">
        <v>6307</v>
      </c>
      <c r="B176" s="290">
        <v>355</v>
      </c>
      <c r="C176" s="301" t="str">
        <f>(IF($A176="SINAPI",INDEX(SINAPI_NOV2020_NDES!$A$7:$H$6703,MATCH($B176,SINAPI_NOV2020_NDES!$A$7:$A$6703,0),2),IF($A176="GOINFRA",INDEX(#REF!,MATCH($B176,#REF!,0),2),(INDEX(COMPOS!$A$4:$G$390,MATCH($B176,COMPOS!$A$4:A$390,0),2)))))</f>
        <v>PRATELEIRA EST. CAIBRO 4+1, TÁBUAS APARELHADAS E ENVERNIZADAS</v>
      </c>
      <c r="D176" s="274" t="str">
        <f>(IF($A176="SINAPI",INDEX(SINAPI_NOV2020_NDES!$A$7:$H$6790,MATCH($B176,SINAPI_NOV2020_NDES!$A$7:$A$6790,0),3),(INDEX(COMPOS!$A$4:$G$5000,MATCH($B176,COMPOS!$A$4:$A$5000,0),3))))</f>
        <v>M</v>
      </c>
      <c r="E176" s="280">
        <v>21.25</v>
      </c>
      <c r="F176" s="279">
        <f>(IF($A176="SINAPI",INDEX(SINAPI_NOV2020_NDES!$A$7:$H$6703,MATCH($B176,SINAPI_NOV2020_NDES!$A$7:$A$6703,0),5),(INDEX(COMPOS!$A$4:$G$801,MATCH($B176,COMPOS!$A$4:A$801,0),4))))</f>
        <v>153.93822700000001</v>
      </c>
      <c r="G176" s="280">
        <f>(IF($A176="SINAPI",INDEX(SINAPI_NOV2020_NDES!$A$7:$H$6703,MATCH($B176,SINAPI_NOV2020_NDES!$A$7:$A$6703,0),6),(INDEX(COMPOS!$A$4:$G$801,MATCH($B176,COMPOS!$A$4:A$801,0),5))))</f>
        <v>187.35803200000001</v>
      </c>
      <c r="H176" s="280">
        <f>(IF($A176="SINAPI",INDEX(SINAPI_NOV2020_NDES!$A$7:$H$6703,MATCH($B176,SINAPI_NOV2020_NDES!$A$7:$A$6703,0),7),(INDEX(COMPOS!$A$4:$G$801,MATCH($B176,COMPOS!$A$4:A$801,0),6))))</f>
        <v>0</v>
      </c>
      <c r="I176" s="279">
        <f t="shared" ref="I176" si="46">SUM(F176:H176)</f>
        <v>341.29625900000002</v>
      </c>
      <c r="J176" s="276">
        <f t="shared" ref="J176" si="47">+I176*E176</f>
        <v>7252.5455037500005</v>
      </c>
      <c r="K176" s="255"/>
      <c r="L176" s="255"/>
      <c r="M176" s="255"/>
      <c r="N176" s="255"/>
      <c r="O176" s="257"/>
      <c r="P176" s="255"/>
    </row>
    <row r="177" spans="1:16">
      <c r="A177" s="251" t="s">
        <v>6307</v>
      </c>
      <c r="B177" s="290">
        <v>356</v>
      </c>
      <c r="C177" s="301" t="str">
        <f>(IF($A177="SINAPI",INDEX(SINAPI_NOV2020_NDES!$A$7:$H$6703,MATCH($B177,SINAPI_NOV2020_NDES!$A$7:$A$6703,0),2),IF($A177="GOINFRA",INDEX(#REF!,MATCH($B177,#REF!,0),2),(INDEX(COMPOS!$A$4:$G$390,MATCH($B177,COMPOS!$A$4:A$390,0),2)))))</f>
        <v>TÁBUA APARELHADA PARA GUICHÊ</v>
      </c>
      <c r="D177" s="274" t="str">
        <f>(IF($A177="SINAPI",INDEX(SINAPI_NOV2020_NDES!$A$7:$H$6790,MATCH($B177,SINAPI_NOV2020_NDES!$A$7:$A$6790,0),3),(INDEX(COMPOS!$A$4:$G$5000,MATCH($B177,COMPOS!$A$4:$A$5000,0),3))))</f>
        <v>M</v>
      </c>
      <c r="E177" s="280">
        <v>3.3</v>
      </c>
      <c r="F177" s="279">
        <f>(IF($A177="SINAPI",INDEX(SINAPI_NOV2020_NDES!$A$7:$H$6703,MATCH($B177,SINAPI_NOV2020_NDES!$A$7:$A$6703,0),5),(INDEX(COMPOS!$A$4:$G$801,MATCH($B177,COMPOS!$A$4:A$801,0),4))))</f>
        <v>104.734392</v>
      </c>
      <c r="G177" s="280">
        <f>(IF($A177="SINAPI",INDEX(SINAPI_NOV2020_NDES!$A$7:$H$6703,MATCH($B177,SINAPI_NOV2020_NDES!$A$7:$A$6703,0),6),(INDEX(COMPOS!$A$4:$G$801,MATCH($B177,COMPOS!$A$4:A$801,0),5))))</f>
        <v>80.704067000000009</v>
      </c>
      <c r="H177" s="280">
        <f>(IF($A177="SINAPI",INDEX(SINAPI_NOV2020_NDES!$A$7:$H$6703,MATCH($B177,SINAPI_NOV2020_NDES!$A$7:$A$6703,0),7),(INDEX(COMPOS!$A$4:$G$801,MATCH($B177,COMPOS!$A$4:A$801,0),6))))</f>
        <v>0</v>
      </c>
      <c r="I177" s="279">
        <f t="shared" ref="I177" si="48">SUM(F177:H177)</f>
        <v>185.43845900000002</v>
      </c>
      <c r="J177" s="276">
        <f t="shared" ref="J177" si="49">+I177*E177</f>
        <v>611.94691470000009</v>
      </c>
      <c r="K177" s="255"/>
      <c r="L177" s="255"/>
      <c r="M177" s="255"/>
      <c r="N177" s="255"/>
      <c r="O177" s="257"/>
      <c r="P177" s="255"/>
    </row>
    <row r="178" spans="1:16" s="88" customFormat="1" ht="24" customHeight="1">
      <c r="A178" s="680" t="s">
        <v>6927</v>
      </c>
      <c r="B178" s="680"/>
      <c r="C178" s="680"/>
      <c r="D178" s="680"/>
      <c r="E178" s="680"/>
      <c r="F178" s="680"/>
      <c r="G178" s="680"/>
      <c r="H178" s="680"/>
      <c r="I178" s="680"/>
      <c r="J178" s="281">
        <f>SUM(J176:J177)</f>
        <v>7864.4924184500005</v>
      </c>
      <c r="K178" s="255"/>
      <c r="L178" s="255"/>
      <c r="M178" s="255"/>
      <c r="N178" s="255"/>
      <c r="O178" s="255"/>
      <c r="P178" s="255"/>
    </row>
    <row r="179" spans="1:16">
      <c r="A179" s="251"/>
      <c r="B179" s="299">
        <v>188</v>
      </c>
      <c r="C179" s="338" t="s">
        <v>587</v>
      </c>
      <c r="D179" s="274" t="s">
        <v>6922</v>
      </c>
      <c r="E179" s="276"/>
      <c r="F179" s="276"/>
      <c r="G179" s="276"/>
      <c r="H179" s="276"/>
      <c r="I179" s="276"/>
      <c r="J179" s="276"/>
      <c r="K179" s="255"/>
      <c r="L179" s="255"/>
      <c r="M179" s="255"/>
      <c r="N179" s="255"/>
      <c r="O179" s="255"/>
      <c r="P179" s="255"/>
    </row>
    <row r="180" spans="1:16">
      <c r="A180" s="251" t="s">
        <v>7</v>
      </c>
      <c r="B180" s="289">
        <v>88482</v>
      </c>
      <c r="C180" s="301" t="str">
        <f>(IF($A180="SINAPI",INDEX(SINAPI_NOV2020_NDES!$A$7:$H$6703,MATCH($B180,SINAPI_NOV2020_NDES!$A$7:$A$6703,0),2),IF($A180="GOINFRA",INDEX(#REF!,MATCH($B180,#REF!,0),2),(INDEX(COMPOS!$A$4:$G$390,MATCH($B180,COMPOS!$A$4:A$390,0),2)))))</f>
        <v>APLICAÇÃO DE FUNDO SELADOR LÁTEX PVA EM TETO, UMA DEMÃO. AF_06/2014</v>
      </c>
      <c r="D180" s="274" t="str">
        <f>(IF($A180="SINAPI",INDEX(SINAPI_NOV2020_NDES!$A$7:$H$6790,MATCH($B180,SINAPI_NOV2020_NDES!$A$7:$A$6790,0),3),(INDEX(COMPOS!$A$4:$G$5000,MATCH($B180,COMPOS!$A$4:$A$5000,0),3))))</f>
        <v>M2</v>
      </c>
      <c r="E180" s="280">
        <v>468.21</v>
      </c>
      <c r="F180" s="279">
        <f>(IF($A180="SINAPI",INDEX(SINAPI_NOV2020_NDES!$A$7:$H$6703,MATCH($B180,SINAPI_NOV2020_NDES!$A$7:$A$6703,0),5),(INDEX(COMPOS!$A$4:$G$801,MATCH($B180,COMPOS!$A$4:A$801,0),4))))</f>
        <v>0.74</v>
      </c>
      <c r="G180" s="280">
        <f>(IF($A180="SINAPI",INDEX(SINAPI_NOV2020_NDES!$A$7:$H$6703,MATCH($B180,SINAPI_NOV2020_NDES!$A$7:$A$6703,0),6),(INDEX(COMPOS!$A$4:$G$801,MATCH($B180,COMPOS!$A$4:A$801,0),5))))</f>
        <v>2.44</v>
      </c>
      <c r="H180" s="280">
        <f>(IF($A180="SINAPI",INDEX(SINAPI_NOV2020_NDES!$A$7:$H$6703,MATCH($B180,SINAPI_NOV2020_NDES!$A$7:$A$6703,0),7),(INDEX(COMPOS!$A$4:$G$801,MATCH($B180,COMPOS!$A$4:A$801,0),6))))</f>
        <v>0</v>
      </c>
      <c r="I180" s="279">
        <f t="shared" ref="I180" si="50">SUM(F180:H180)</f>
        <v>3.1799999999999997</v>
      </c>
      <c r="J180" s="276">
        <f t="shared" ref="J180" si="51">+I180*E180</f>
        <v>1488.9077999999997</v>
      </c>
      <c r="K180" s="255"/>
      <c r="L180" s="255"/>
      <c r="M180" s="255"/>
      <c r="N180" s="255"/>
      <c r="O180" s="257"/>
      <c r="P180" s="255"/>
    </row>
    <row r="181" spans="1:16">
      <c r="A181" s="251" t="s">
        <v>7</v>
      </c>
      <c r="B181" s="289">
        <v>88496</v>
      </c>
      <c r="C181" s="301" t="str">
        <f>(IF($A181="SINAPI",INDEX(SINAPI_NOV2020_NDES!$A$7:$H$6703,MATCH($B181,SINAPI_NOV2020_NDES!$A$7:$A$6703,0),2),IF($A181="GOINFRA",INDEX(#REF!,MATCH($B181,#REF!,0),2),(INDEX(COMPOS!$A$4:$G$390,MATCH($B181,COMPOS!$A$4:A$390,0),2)))))</f>
        <v>APLICAÇÃO E LIXAMENTO DE MASSA LÁTEX EM TETO, DUAS DEMÃOS. AF_06/2014</v>
      </c>
      <c r="D181" s="274" t="str">
        <f>(IF($A181="SINAPI",INDEX(SINAPI_NOV2020_NDES!$A$7:$H$6790,MATCH($B181,SINAPI_NOV2020_NDES!$A$7:$A$6790,0),3),(INDEX(COMPOS!$A$4:$G$5000,MATCH($B181,COMPOS!$A$4:$A$5000,0),3))))</f>
        <v>M2</v>
      </c>
      <c r="E181" s="280">
        <v>468.21</v>
      </c>
      <c r="F181" s="279">
        <f>(IF($A181="SINAPI",INDEX(SINAPI_NOV2020_NDES!$A$7:$H$6703,MATCH($B181,SINAPI_NOV2020_NDES!$A$7:$A$6703,0),5),(INDEX(COMPOS!$A$4:$G$801,MATCH($B181,COMPOS!$A$4:A$801,0),4))))</f>
        <v>14.1</v>
      </c>
      <c r="G181" s="280">
        <f>(IF($A181="SINAPI",INDEX(SINAPI_NOV2020_NDES!$A$7:$H$6703,MATCH($B181,SINAPI_NOV2020_NDES!$A$7:$A$6703,0),6),(INDEX(COMPOS!$A$4:$G$801,MATCH($B181,COMPOS!$A$4:A$801,0),5))))</f>
        <v>7.4</v>
      </c>
      <c r="H181" s="280">
        <f>(IF($A181="SINAPI",INDEX(SINAPI_NOV2020_NDES!$A$7:$H$6703,MATCH($B181,SINAPI_NOV2020_NDES!$A$7:$A$6703,0),7),(INDEX(COMPOS!$A$4:$G$801,MATCH($B181,COMPOS!$A$4:A$801,0),6))))</f>
        <v>0</v>
      </c>
      <c r="I181" s="279">
        <f t="shared" ref="I181:I188" si="52">SUM(F181:H181)</f>
        <v>21.5</v>
      </c>
      <c r="J181" s="276">
        <f t="shared" ref="J181:J188" si="53">+I181*E181</f>
        <v>10066.514999999999</v>
      </c>
      <c r="K181" s="255"/>
      <c r="L181" s="255"/>
      <c r="M181" s="255"/>
      <c r="N181" s="255"/>
      <c r="O181" s="257"/>
      <c r="P181" s="255"/>
    </row>
    <row r="182" spans="1:16" ht="24">
      <c r="A182" s="251" t="s">
        <v>7</v>
      </c>
      <c r="B182" s="289">
        <v>88486</v>
      </c>
      <c r="C182" s="301" t="str">
        <f>(IF($A182="SINAPI",INDEX(SINAPI_NOV2020_NDES!$A$7:$H$6703,MATCH($B182,SINAPI_NOV2020_NDES!$A$7:$A$6703,0),2),IF($A182="GOINFRA",INDEX(#REF!,MATCH($B182,#REF!,0),2),(INDEX(COMPOS!$A$4:$G$390,MATCH($B182,COMPOS!$A$4:A$390,0),2)))))</f>
        <v>APLICAÇÃO MANUAL DE PINTURA COM TINTA LÁTEX PVA EM TETO, DUAS DEMÃOS. AF_06/2014</v>
      </c>
      <c r="D182" s="274" t="str">
        <f>(IF($A182="SINAPI",INDEX(SINAPI_NOV2020_NDES!$A$7:$H$6790,MATCH($B182,SINAPI_NOV2020_NDES!$A$7:$A$6790,0),3),(INDEX(COMPOS!$A$4:$G$5000,MATCH($B182,COMPOS!$A$4:$A$5000,0),3))))</f>
        <v>M2</v>
      </c>
      <c r="E182" s="280">
        <v>468.21</v>
      </c>
      <c r="F182" s="279">
        <f>(IF($A182="SINAPI",INDEX(SINAPI_NOV2020_NDES!$A$7:$H$6703,MATCH($B182,SINAPI_NOV2020_NDES!$A$7:$A$6703,0),5),(INDEX(COMPOS!$A$4:$G$801,MATCH($B182,COMPOS!$A$4:A$801,0),4))))</f>
        <v>3.54</v>
      </c>
      <c r="G182" s="280">
        <f>(IF($A182="SINAPI",INDEX(SINAPI_NOV2020_NDES!$A$7:$H$6703,MATCH($B182,SINAPI_NOV2020_NDES!$A$7:$A$6703,0),6),(INDEX(COMPOS!$A$4:$G$801,MATCH($B182,COMPOS!$A$4:A$801,0),5))))</f>
        <v>7.47</v>
      </c>
      <c r="H182" s="280">
        <f>(IF($A182="SINAPI",INDEX(SINAPI_NOV2020_NDES!$A$7:$H$6703,MATCH($B182,SINAPI_NOV2020_NDES!$A$7:$A$6703,0),7),(INDEX(COMPOS!$A$4:$G$801,MATCH($B182,COMPOS!$A$4:A$801,0),6))))</f>
        <v>0</v>
      </c>
      <c r="I182" s="279">
        <f t="shared" si="52"/>
        <v>11.01</v>
      </c>
      <c r="J182" s="276">
        <f t="shared" si="53"/>
        <v>5154.9920999999995</v>
      </c>
      <c r="K182" s="255"/>
      <c r="L182" s="255"/>
      <c r="M182" s="255"/>
      <c r="N182" s="255"/>
      <c r="O182" s="257"/>
      <c r="P182" s="255"/>
    </row>
    <row r="183" spans="1:16" ht="24">
      <c r="A183" s="251" t="s">
        <v>7</v>
      </c>
      <c r="B183" s="289">
        <v>88483</v>
      </c>
      <c r="C183" s="301" t="str">
        <f>(IF($A183="SINAPI",INDEX(SINAPI_NOV2020_NDES!$A$7:$H$6703,MATCH($B183,SINAPI_NOV2020_NDES!$A$7:$A$6703,0),2),IF($A183="GOINFRA",INDEX(#REF!,MATCH($B183,#REF!,0),2),(INDEX(COMPOS!$A$4:$G$390,MATCH($B183,COMPOS!$A$4:A$390,0),2)))))</f>
        <v>APLICAÇÃO DE FUNDO SELADOR LÁTEX PVA EM PAREDES, UMA DEMÃO. AF_06/2014</v>
      </c>
      <c r="D183" s="274" t="str">
        <f>(IF($A183="SINAPI",INDEX(SINAPI_NOV2020_NDES!$A$7:$H$6790,MATCH($B183,SINAPI_NOV2020_NDES!$A$7:$A$6790,0),3),(INDEX(COMPOS!$A$4:$G$5000,MATCH($B183,COMPOS!$A$4:$A$5000,0),3))))</f>
        <v>M2</v>
      </c>
      <c r="E183" s="280">
        <v>692.73</v>
      </c>
      <c r="F183" s="279">
        <f>(IF($A183="SINAPI",INDEX(SINAPI_NOV2020_NDES!$A$7:$H$6703,MATCH($B183,SINAPI_NOV2020_NDES!$A$7:$A$6703,0),5),(INDEX(COMPOS!$A$4:$G$801,MATCH($B183,COMPOS!$A$4:A$801,0),4))))</f>
        <v>0.56000000000000005</v>
      </c>
      <c r="G183" s="280">
        <f>(IF($A183="SINAPI",INDEX(SINAPI_NOV2020_NDES!$A$7:$H$6703,MATCH($B183,SINAPI_NOV2020_NDES!$A$7:$A$6703,0),6),(INDEX(COMPOS!$A$4:$G$801,MATCH($B183,COMPOS!$A$4:A$801,0),5))))</f>
        <v>2.38</v>
      </c>
      <c r="H183" s="280">
        <f>(IF($A183="SINAPI",INDEX(SINAPI_NOV2020_NDES!$A$7:$H$6703,MATCH($B183,SINAPI_NOV2020_NDES!$A$7:$A$6703,0),7),(INDEX(COMPOS!$A$4:$G$801,MATCH($B183,COMPOS!$A$4:A$801,0),6))))</f>
        <v>0</v>
      </c>
      <c r="I183" s="279">
        <f t="shared" si="52"/>
        <v>2.94</v>
      </c>
      <c r="J183" s="276">
        <f t="shared" si="53"/>
        <v>2036.6261999999999</v>
      </c>
      <c r="K183" s="255"/>
      <c r="L183" s="255"/>
      <c r="M183" s="255"/>
      <c r="N183" s="255"/>
      <c r="O183" s="257"/>
      <c r="P183" s="255"/>
    </row>
    <row r="184" spans="1:16" ht="24">
      <c r="A184" s="251" t="s">
        <v>7</v>
      </c>
      <c r="B184" s="289">
        <v>88497</v>
      </c>
      <c r="C184" s="301" t="str">
        <f>(IF($A184="SINAPI",INDEX(SINAPI_NOV2020_NDES!$A$7:$H$6703,MATCH($B184,SINAPI_NOV2020_NDES!$A$7:$A$6703,0),2),IF($A184="GOINFRA",INDEX(#REF!,MATCH($B184,#REF!,0),2),(INDEX(COMPOS!$A$4:$G$390,MATCH($B184,COMPOS!$A$4:A$390,0),2)))))</f>
        <v>APLICAÇÃO E LIXAMENTO DE MASSA LÁTEX EM PAREDES, DUAS DEMÃOS. AF_06/2014</v>
      </c>
      <c r="D184" s="274" t="str">
        <f>(IF($A184="SINAPI",INDEX(SINAPI_NOV2020_NDES!$A$7:$H$6790,MATCH($B184,SINAPI_NOV2020_NDES!$A$7:$A$6790,0),3),(INDEX(COMPOS!$A$4:$G$5000,MATCH($B184,COMPOS!$A$4:$A$5000,0),3))))</f>
        <v>M2</v>
      </c>
      <c r="E184" s="280">
        <v>692.73</v>
      </c>
      <c r="F184" s="279">
        <f>(IF($A184="SINAPI",INDEX(SINAPI_NOV2020_NDES!$A$7:$H$6703,MATCH($B184,SINAPI_NOV2020_NDES!$A$7:$A$6703,0),5),(INDEX(COMPOS!$A$4:$G$801,MATCH($B184,COMPOS!$A$4:A$801,0),4))))</f>
        <v>6.56</v>
      </c>
      <c r="G184" s="280">
        <f>(IF($A184="SINAPI",INDEX(SINAPI_NOV2020_NDES!$A$7:$H$6703,MATCH($B184,SINAPI_NOV2020_NDES!$A$7:$A$6703,0),6),(INDEX(COMPOS!$A$4:$G$801,MATCH($B184,COMPOS!$A$4:A$801,0),5))))</f>
        <v>4.76</v>
      </c>
      <c r="H184" s="280">
        <f>(IF($A184="SINAPI",INDEX(SINAPI_NOV2020_NDES!$A$7:$H$6703,MATCH($B184,SINAPI_NOV2020_NDES!$A$7:$A$6703,0),7),(INDEX(COMPOS!$A$4:$G$801,MATCH($B184,COMPOS!$A$4:A$801,0),6))))</f>
        <v>0</v>
      </c>
      <c r="I184" s="279">
        <f t="shared" si="52"/>
        <v>11.32</v>
      </c>
      <c r="J184" s="276">
        <f t="shared" si="53"/>
        <v>7841.7036000000007</v>
      </c>
      <c r="K184" s="255"/>
      <c r="L184" s="255"/>
      <c r="M184" s="255"/>
      <c r="N184" s="255"/>
      <c r="O184" s="257"/>
      <c r="P184" s="255"/>
    </row>
    <row r="185" spans="1:16" ht="24">
      <c r="A185" s="251" t="s">
        <v>7</v>
      </c>
      <c r="B185" s="289">
        <v>88489</v>
      </c>
      <c r="C185" s="301" t="str">
        <f>(IF($A185="SINAPI",INDEX(SINAPI_NOV2020_NDES!$A$7:$H$6703,MATCH($B185,SINAPI_NOV2020_NDES!$A$7:$A$6703,0),2),IF($A185="GOINFRA",INDEX(#REF!,MATCH($B185,#REF!,0),2),(INDEX(COMPOS!$A$4:$G$390,MATCH($B185,COMPOS!$A$4:A$390,0),2)))))</f>
        <v>APLICAÇÃO MANUAL DE PINTURA COM TINTA LÁTEX ACRÍLICA EM PAREDES, DUAS DEMÃOS. AF_06/2014</v>
      </c>
      <c r="D185" s="274" t="str">
        <f>(IF($A185="SINAPI",INDEX(SINAPI_NOV2020_NDES!$A$7:$H$6790,MATCH($B185,SINAPI_NOV2020_NDES!$A$7:$A$6790,0),3),(INDEX(COMPOS!$A$4:$G$5000,MATCH($B185,COMPOS!$A$4:$A$5000,0),3))))</f>
        <v>M2</v>
      </c>
      <c r="E185" s="280">
        <v>692.73</v>
      </c>
      <c r="F185" s="279">
        <f>(IF($A185="SINAPI",INDEX(SINAPI_NOV2020_NDES!$A$7:$H$6703,MATCH($B185,SINAPI_NOV2020_NDES!$A$7:$A$6703,0),5),(INDEX(COMPOS!$A$4:$G$801,MATCH($B185,COMPOS!$A$4:A$801,0),4))))</f>
        <v>3.93</v>
      </c>
      <c r="G185" s="280">
        <f>(IF($A185="SINAPI",INDEX(SINAPI_NOV2020_NDES!$A$7:$H$6703,MATCH($B185,SINAPI_NOV2020_NDES!$A$7:$A$6703,0),6),(INDEX(COMPOS!$A$4:$G$801,MATCH($B185,COMPOS!$A$4:A$801,0),5))))</f>
        <v>8.56</v>
      </c>
      <c r="H185" s="280">
        <f>(IF($A185="SINAPI",INDEX(SINAPI_NOV2020_NDES!$A$7:$H$6703,MATCH($B185,SINAPI_NOV2020_NDES!$A$7:$A$6703,0),7),(INDEX(COMPOS!$A$4:$G$801,MATCH($B185,COMPOS!$A$4:A$801,0),6))))</f>
        <v>0</v>
      </c>
      <c r="I185" s="279">
        <f t="shared" si="52"/>
        <v>12.49</v>
      </c>
      <c r="J185" s="276">
        <f t="shared" si="53"/>
        <v>8652.1977000000006</v>
      </c>
      <c r="K185" s="255"/>
      <c r="L185" s="255"/>
      <c r="M185" s="255"/>
      <c r="N185" s="255"/>
      <c r="O185" s="257"/>
      <c r="P185" s="255"/>
    </row>
    <row r="186" spans="1:16" ht="24">
      <c r="A186" s="251" t="s">
        <v>7</v>
      </c>
      <c r="B186" s="289">
        <v>88415</v>
      </c>
      <c r="C186" s="301" t="str">
        <f>(IF($A186="SINAPI",INDEX(SINAPI_NOV2020_NDES!$A$7:$H$6703,MATCH($B186,SINAPI_NOV2020_NDES!$A$7:$A$6703,0),2),IF($A186="GOINFRA",INDEX(#REF!,MATCH($B186,#REF!,0),2),(INDEX(COMPOS!$A$4:$G$390,MATCH($B186,COMPOS!$A$4:A$390,0),2)))))</f>
        <v>APLICAÇÃO MANUAL DE FUNDO SELADOR ACRÍLICO EM PAREDES EXTERNAS DE CASAS. AF_06/2014</v>
      </c>
      <c r="D186" s="274" t="str">
        <f>(IF($A186="SINAPI",INDEX(SINAPI_NOV2020_NDES!$A$7:$H$6790,MATCH($B186,SINAPI_NOV2020_NDES!$A$7:$A$6790,0),3),(INDEX(COMPOS!$A$4:$G$5000,MATCH($B186,COMPOS!$A$4:$A$5000,0),3))))</f>
        <v>M2</v>
      </c>
      <c r="E186" s="280">
        <v>642.04999999999995</v>
      </c>
      <c r="F186" s="279">
        <f>(IF($A186="SINAPI",INDEX(SINAPI_NOV2020_NDES!$A$7:$H$6703,MATCH($B186,SINAPI_NOV2020_NDES!$A$7:$A$6703,0),5),(INDEX(COMPOS!$A$4:$G$801,MATCH($B186,COMPOS!$A$4:A$801,0),4))))</f>
        <v>1.07</v>
      </c>
      <c r="G186" s="280">
        <f>(IF($A186="SINAPI",INDEX(SINAPI_NOV2020_NDES!$A$7:$H$6703,MATCH($B186,SINAPI_NOV2020_NDES!$A$7:$A$6703,0),6),(INDEX(COMPOS!$A$4:$G$801,MATCH($B186,COMPOS!$A$4:A$801,0),5))))</f>
        <v>1.51</v>
      </c>
      <c r="H186" s="280">
        <f>(IF($A186="SINAPI",INDEX(SINAPI_NOV2020_NDES!$A$7:$H$6703,MATCH($B186,SINAPI_NOV2020_NDES!$A$7:$A$6703,0),7),(INDEX(COMPOS!$A$4:$G$801,MATCH($B186,COMPOS!$A$4:A$801,0),6))))</f>
        <v>0</v>
      </c>
      <c r="I186" s="279">
        <f t="shared" si="52"/>
        <v>2.58</v>
      </c>
      <c r="J186" s="276">
        <f t="shared" si="53"/>
        <v>1656.489</v>
      </c>
      <c r="K186" s="255"/>
      <c r="L186" s="255"/>
      <c r="M186" s="255"/>
      <c r="N186" s="255"/>
      <c r="O186" s="257"/>
      <c r="P186" s="255"/>
    </row>
    <row r="187" spans="1:16" ht="24">
      <c r="A187" s="251" t="s">
        <v>7</v>
      </c>
      <c r="B187" s="289">
        <v>88423</v>
      </c>
      <c r="C187" s="301" t="str">
        <f>(IF($A187="SINAPI",INDEX(SINAPI_NOV2020_NDES!$A$7:$H$6703,MATCH($B187,SINAPI_NOV2020_NDES!$A$7:$A$6703,0),2),IF($A187="GOINFRA",INDEX(#REF!,MATCH($B187,#REF!,0),2),(INDEX(COMPOS!$A$4:$G$390,MATCH($B187,COMPOS!$A$4:A$390,0),2)))))</f>
        <v>APLICAÇÃO MANUAL DE PINTURA COM TINTA TEXTURIZADA ACRÍLICA EM PAREDES EXTERNAS DE CASAS, UMA COR. AF_06/2014</v>
      </c>
      <c r="D187" s="274" t="str">
        <f>(IF($A187="SINAPI",INDEX(SINAPI_NOV2020_NDES!$A$7:$H$6790,MATCH($B187,SINAPI_NOV2020_NDES!$A$7:$A$6790,0),3),(INDEX(COMPOS!$A$4:$G$5000,MATCH($B187,COMPOS!$A$4:$A$5000,0),3))))</f>
        <v>M2</v>
      </c>
      <c r="E187" s="280">
        <v>642.04999999999995</v>
      </c>
      <c r="F187" s="279">
        <f>(IF($A187="SINAPI",INDEX(SINAPI_NOV2020_NDES!$A$7:$H$6703,MATCH($B187,SINAPI_NOV2020_NDES!$A$7:$A$6703,0),5),(INDEX(COMPOS!$A$4:$G$801,MATCH($B187,COMPOS!$A$4:A$801,0),4))))</f>
        <v>3.45</v>
      </c>
      <c r="G187" s="280">
        <f>(IF($A187="SINAPI",INDEX(SINAPI_NOV2020_NDES!$A$7:$H$6703,MATCH($B187,SINAPI_NOV2020_NDES!$A$7:$A$6703,0),6),(INDEX(COMPOS!$A$4:$G$801,MATCH($B187,COMPOS!$A$4:A$801,0),5))))</f>
        <v>14.24</v>
      </c>
      <c r="H187" s="280">
        <f>(IF($A187="SINAPI",INDEX(SINAPI_NOV2020_NDES!$A$7:$H$6703,MATCH($B187,SINAPI_NOV2020_NDES!$A$7:$A$6703,0),7),(INDEX(COMPOS!$A$4:$G$801,MATCH($B187,COMPOS!$A$4:A$801,0),6))))</f>
        <v>0</v>
      </c>
      <c r="I187" s="279">
        <f t="shared" si="52"/>
        <v>17.690000000000001</v>
      </c>
      <c r="J187" s="276">
        <f t="shared" si="53"/>
        <v>11357.8645</v>
      </c>
      <c r="K187" s="255"/>
      <c r="L187" s="255"/>
      <c r="M187" s="255"/>
      <c r="N187" s="255"/>
      <c r="O187" s="257"/>
      <c r="P187" s="255"/>
    </row>
    <row r="188" spans="1:16">
      <c r="A188" s="251" t="s">
        <v>6307</v>
      </c>
      <c r="B188" s="290">
        <v>360</v>
      </c>
      <c r="C188" s="301" t="str">
        <f>(IF($A188="SINAPI",INDEX(SINAPI_NOV2020_NDES!$A$7:$H$6703,MATCH($B188,SINAPI_NOV2020_NDES!$A$7:$A$6703,0),2),IF($A188="GOINFRA",INDEX(#REF!,MATCH($B188,#REF!,0),2),(INDEX(COMPOS!$A$4:$G$390,MATCH($B188,COMPOS!$A$4:A$390,0),2)))))</f>
        <v>PINTURA ESMALTE/ESQUADRIA DE FERRO COM FUNDO ANTI-CORROSIVO</v>
      </c>
      <c r="D188" s="274" t="str">
        <f>(IF($A188="SINAPI",INDEX(SINAPI_NOV2020_NDES!$A$7:$H$6790,MATCH($B188,SINAPI_NOV2020_NDES!$A$7:$A$6790,0),3),(INDEX(COMPOS!$A$4:$G$5000,MATCH($B188,COMPOS!$A$4:$A$5000,0),3))))</f>
        <v>M2</v>
      </c>
      <c r="E188" s="280">
        <v>324.87</v>
      </c>
      <c r="F188" s="279">
        <f>(IF($A188="SINAPI",INDEX(SINAPI_NOV2020_NDES!$A$7:$H$6703,MATCH($B188,SINAPI_NOV2020_NDES!$A$7:$A$6703,0),5),(INDEX(COMPOS!$A$4:$G$801,MATCH($B188,COMPOS!$A$4:A$801,0),4))))</f>
        <v>15.847708000000001</v>
      </c>
      <c r="G188" s="280">
        <f>(IF($A188="SINAPI",INDEX(SINAPI_NOV2020_NDES!$A$7:$H$6703,MATCH($B188,SINAPI_NOV2020_NDES!$A$7:$A$6703,0),6),(INDEX(COMPOS!$A$4:$G$801,MATCH($B188,COMPOS!$A$4:A$801,0),5))))</f>
        <v>6.5686479999999996</v>
      </c>
      <c r="H188" s="280">
        <f>(IF($A188="SINAPI",INDEX(SINAPI_NOV2020_NDES!$A$7:$H$6703,MATCH($B188,SINAPI_NOV2020_NDES!$A$7:$A$6703,0),7),(INDEX(COMPOS!$A$4:$G$801,MATCH($B188,COMPOS!$A$4:A$801,0),6))))</f>
        <v>0</v>
      </c>
      <c r="I188" s="279">
        <f t="shared" si="52"/>
        <v>22.416356</v>
      </c>
      <c r="J188" s="276">
        <f t="shared" si="53"/>
        <v>7282.4015737200007</v>
      </c>
      <c r="K188" s="255"/>
      <c r="L188" s="255"/>
      <c r="M188" s="255"/>
      <c r="N188" s="255"/>
      <c r="O188" s="257"/>
      <c r="P188" s="255"/>
    </row>
    <row r="189" spans="1:16" s="88" customFormat="1" ht="24" customHeight="1">
      <c r="A189" s="680" t="s">
        <v>6927</v>
      </c>
      <c r="B189" s="695"/>
      <c r="C189" s="695"/>
      <c r="D189" s="695"/>
      <c r="E189" s="695"/>
      <c r="F189" s="695"/>
      <c r="G189" s="695"/>
      <c r="H189" s="695"/>
      <c r="I189" s="695"/>
      <c r="J189" s="281">
        <f>SUM(J180:J188)</f>
        <v>55537.69747372</v>
      </c>
      <c r="K189" s="255"/>
      <c r="L189" s="255"/>
      <c r="M189" s="255"/>
      <c r="N189" s="255"/>
      <c r="O189" s="255"/>
      <c r="P189" s="255"/>
    </row>
    <row r="190" spans="1:16">
      <c r="A190" s="251"/>
      <c r="B190" s="299">
        <v>189</v>
      </c>
      <c r="C190" s="338" t="s">
        <v>2</v>
      </c>
      <c r="D190" s="274" t="s">
        <v>6922</v>
      </c>
      <c r="E190" s="276"/>
      <c r="F190" s="276"/>
      <c r="G190" s="276"/>
      <c r="H190" s="276"/>
      <c r="I190" s="276"/>
      <c r="J190" s="276"/>
      <c r="K190" s="255"/>
      <c r="L190" s="255"/>
      <c r="M190" s="255"/>
      <c r="N190" s="255"/>
      <c r="O190" s="255"/>
      <c r="P190" s="255"/>
    </row>
    <row r="191" spans="1:16">
      <c r="A191" s="251" t="s">
        <v>6307</v>
      </c>
      <c r="B191" s="290">
        <v>362</v>
      </c>
      <c r="C191" s="301" t="str">
        <f>(IF($A191="SINAPI",INDEX(SINAPI_NOV2020_NDES!$A$7:$H$6703,MATCH($B191,SINAPI_NOV2020_NDES!$A$7:$A$6703,0),2),IF($A191="GOINFRA",INDEX(#REF!,MATCH($B191,#REF!,0),2),(INDEX(COMPOS!$A$4:$G$390,MATCH($B191,COMPOS!$A$4:A$390,0),2)))))</f>
        <v>LIMPEZA FINAL DA OBRA</v>
      </c>
      <c r="D191" s="274" t="str">
        <f>(IF($A191="SINAPI",INDEX(SINAPI_NOV2020_NDES!$A$7:$H$6790,MATCH($B191,SINAPI_NOV2020_NDES!$A$7:$A$6790,0),3),(INDEX(COMPOS!$A$4:$G$5000,MATCH($B191,COMPOS!$A$4:$A$5000,0),3))))</f>
        <v>M2</v>
      </c>
      <c r="E191" s="276">
        <v>518.64</v>
      </c>
      <c r="F191" s="279">
        <f>(IF($A191="SINAPI",INDEX(SINAPI_NOV2020_NDES!$A$7:$H$6703,MATCH($B191,SINAPI_NOV2020_NDES!$A$7:$A$6703,0),5),(INDEX(COMPOS!$A$4:$G$801,MATCH($B191,COMPOS!$A$4:A$801,0),4))))</f>
        <v>2.2664999999999997</v>
      </c>
      <c r="G191" s="280">
        <f>(IF($A191="SINAPI",INDEX(SINAPI_NOV2020_NDES!$A$7:$H$6703,MATCH($B191,SINAPI_NOV2020_NDES!$A$7:$A$6703,0),6),(INDEX(COMPOS!$A$4:$G$801,MATCH($B191,COMPOS!$A$4:A$801,0),5))))</f>
        <v>0.62687100000000007</v>
      </c>
      <c r="H191" s="280">
        <f>(IF($A191="SINAPI",INDEX(SINAPI_NOV2020_NDES!$A$7:$H$6703,MATCH($B191,SINAPI_NOV2020_NDES!$A$7:$A$6703,0),7),(INDEX(COMPOS!$A$4:$G$801,MATCH($B191,COMPOS!$A$4:A$801,0),6))))</f>
        <v>0</v>
      </c>
      <c r="I191" s="279">
        <f t="shared" ref="I191" si="54">SUM(F191:H191)</f>
        <v>2.8933709999999997</v>
      </c>
      <c r="J191" s="276">
        <f t="shared" ref="J191" si="55">+I191*E191</f>
        <v>1500.6179354399999</v>
      </c>
      <c r="K191" s="255"/>
      <c r="L191" s="255"/>
      <c r="M191" s="255"/>
      <c r="N191" s="255"/>
      <c r="O191" s="257"/>
      <c r="P191" s="255"/>
    </row>
    <row r="192" spans="1:16">
      <c r="A192" s="251" t="s">
        <v>6307</v>
      </c>
      <c r="B192" s="290">
        <v>363</v>
      </c>
      <c r="C192" s="301" t="str">
        <f>(IF($A192="SINAPI",INDEX(SINAPI_NOV2020_NDES!$A$7:$H$6703,MATCH($B192,SINAPI_NOV2020_NDES!$A$7:$A$6703,0),2),IF($A192="GOINFRA",INDEX(#REF!,MATCH($B192,#REF!,0),2),(INDEX(COMPOS!$A$4:$G$390,MATCH($B192,COMPOS!$A$4:A$390,0),2)))))</f>
        <v>SUPORTE PARA BANCADA EM FERRO “T” 1/8'' X 1.1/4''</v>
      </c>
      <c r="D192" s="274" t="str">
        <f>(IF($A192="SINAPI",INDEX(SINAPI_NOV2020_NDES!$A$7:$H$6790,MATCH($B192,SINAPI_NOV2020_NDES!$A$7:$A$6790,0),3),(INDEX(COMPOS!$A$4:$G$5000,MATCH($B192,COMPOS!$A$4:$A$5000,0),3))))</f>
        <v>UN</v>
      </c>
      <c r="E192" s="276">
        <v>26</v>
      </c>
      <c r="F192" s="279">
        <f>(IF($A192="SINAPI",INDEX(SINAPI_NOV2020_NDES!$A$7:$H$6703,MATCH($B192,SINAPI_NOV2020_NDES!$A$7:$A$6703,0),5),(INDEX(COMPOS!$A$4:$G$801,MATCH($B192,COMPOS!$A$4:A$801,0),4))))</f>
        <v>9.2025000000000006</v>
      </c>
      <c r="G192" s="280">
        <f>(IF($A192="SINAPI",INDEX(SINAPI_NOV2020_NDES!$A$7:$H$6703,MATCH($B192,SINAPI_NOV2020_NDES!$A$7:$A$6703,0),6),(INDEX(COMPOS!$A$4:$G$801,MATCH($B192,COMPOS!$A$4:A$801,0),5))))</f>
        <v>8.2471180000000004</v>
      </c>
      <c r="H192" s="280">
        <f>(IF($A192="SINAPI",INDEX(SINAPI_NOV2020_NDES!$A$7:$H$6703,MATCH($B192,SINAPI_NOV2020_NDES!$A$7:$A$6703,0),7),(INDEX(COMPOS!$A$4:$G$801,MATCH($B192,COMPOS!$A$4:A$801,0),6))))</f>
        <v>0</v>
      </c>
      <c r="I192" s="279">
        <f t="shared" ref="I192:I194" si="56">SUM(F192:H192)</f>
        <v>17.449618000000001</v>
      </c>
      <c r="J192" s="276">
        <f t="shared" ref="J192:J194" si="57">+I192*E192</f>
        <v>453.690068</v>
      </c>
      <c r="K192" s="255"/>
      <c r="L192" s="255"/>
      <c r="M192" s="255"/>
      <c r="N192" s="255"/>
      <c r="O192" s="257"/>
      <c r="P192" s="255"/>
    </row>
    <row r="193" spans="1:1001">
      <c r="A193" s="251" t="s">
        <v>6307</v>
      </c>
      <c r="B193" s="290">
        <v>364</v>
      </c>
      <c r="C193" s="301" t="str">
        <f>(IF($A193="SINAPI",INDEX(SINAPI_NOV2020_NDES!$A$7:$H$6703,MATCH($B193,SINAPI_NOV2020_NDES!$A$7:$A$6703,0),2),IF($A193="GOINFRA",INDEX(#REF!,MATCH($B193,#REF!,0),2),(INDEX(COMPOS!$A$4:$G$390,MATCH($B193,COMPOS!$A$4:A$390,0),2)))))</f>
        <v>BANCADA DE GRANITO COM ESPELHO</v>
      </c>
      <c r="D193" s="274" t="str">
        <f>(IF($A193="SINAPI",INDEX(SINAPI_NOV2020_NDES!$A$7:$H$6790,MATCH($B193,SINAPI_NOV2020_NDES!$A$7:$A$6790,0),3),(INDEX(COMPOS!$A$4:$G$5000,MATCH($B193,COMPOS!$A$4:$A$5000,0),3))))</f>
        <v>M2</v>
      </c>
      <c r="E193" s="276">
        <v>20.71</v>
      </c>
      <c r="F193" s="279">
        <f>(IF($A193="SINAPI",INDEX(SINAPI_NOV2020_NDES!$A$7:$H$6703,MATCH($B193,SINAPI_NOV2020_NDES!$A$7:$A$6703,0),5),(INDEX(COMPOS!$A$4:$G$801,MATCH($B193,COMPOS!$A$4:A$801,0),4))))</f>
        <v>52.764523999999994</v>
      </c>
      <c r="G193" s="280">
        <f>(IF($A193="SINAPI",INDEX(SINAPI_NOV2020_NDES!$A$7:$H$6703,MATCH($B193,SINAPI_NOV2020_NDES!$A$7:$A$6703,0),6),(INDEX(COMPOS!$A$4:$G$801,MATCH($B193,COMPOS!$A$4:A$801,0),5))))</f>
        <v>420.03860000000003</v>
      </c>
      <c r="H193" s="280">
        <f>(IF($A193="SINAPI",INDEX(SINAPI_NOV2020_NDES!$A$7:$H$6703,MATCH($B193,SINAPI_NOV2020_NDES!$A$7:$A$6703,0),7),(INDEX(COMPOS!$A$4:$G$801,MATCH($B193,COMPOS!$A$4:A$801,0),6))))</f>
        <v>0</v>
      </c>
      <c r="I193" s="279">
        <f t="shared" si="56"/>
        <v>472.80312400000003</v>
      </c>
      <c r="J193" s="276">
        <f t="shared" si="57"/>
        <v>9791.7526980400016</v>
      </c>
      <c r="K193" s="255"/>
      <c r="L193" s="255"/>
      <c r="M193" s="255"/>
      <c r="N193" s="255"/>
      <c r="O193" s="257"/>
      <c r="P193" s="255"/>
    </row>
    <row r="194" spans="1:1001" ht="24">
      <c r="A194" s="251" t="s">
        <v>6307</v>
      </c>
      <c r="B194" s="290">
        <v>382</v>
      </c>
      <c r="C194" s="301" t="str">
        <f>(IF($A194="SINAPI",INDEX(SINAPI_NOV2020_NDES!$A$7:$H$6703,MATCH($B194,SINAPI_NOV2020_NDES!$A$7:$A$6703,0),2),IF($A194="GOINFRA",INDEX(#REF!,MATCH($B194,#REF!,0),2),(INDEX(COMPOS!$A$4:$G$390,MATCH($B194,COMPOS!$A$4:A$390,0),2)))))</f>
        <v>BANCO DE CONCRETO POLIDO BASE EM ALVENARIA REBOCADA E PINTADA - PADRÃO GOINFRA</v>
      </c>
      <c r="D194" s="274" t="str">
        <f>(IF($A194="SINAPI",INDEX(SINAPI_NOV2020_NDES!$A$7:$H$6790,MATCH($B194,SINAPI_NOV2020_NDES!$A$7:$A$6790,0),3),(INDEX(COMPOS!$A$4:$G$5000,MATCH($B194,COMPOS!$A$4:$A$5000,0),3))))</f>
        <v>M</v>
      </c>
      <c r="E194" s="276">
        <v>4.88</v>
      </c>
      <c r="F194" s="279">
        <f>(IF($A194="SINAPI",INDEX(SINAPI_NOV2020_NDES!$A$7:$H$6703,MATCH($B194,SINAPI_NOV2020_NDES!$A$7:$A$6703,0),5),(INDEX(COMPOS!$A$4:$G$801,MATCH($B194,COMPOS!$A$4:A$801,0),4))))</f>
        <v>118.09193099999999</v>
      </c>
      <c r="G194" s="280">
        <f>(IF($A194="SINAPI",INDEX(SINAPI_NOV2020_NDES!$A$7:$H$6703,MATCH($B194,SINAPI_NOV2020_NDES!$A$7:$A$6703,0),6),(INDEX(COMPOS!$A$4:$G$801,MATCH($B194,COMPOS!$A$4:A$801,0),5))))</f>
        <v>153.54687100000001</v>
      </c>
      <c r="H194" s="280">
        <f>(IF($A194="SINAPI",INDEX(SINAPI_NOV2020_NDES!$A$7:$H$6703,MATCH($B194,SINAPI_NOV2020_NDES!$A$7:$A$6703,0),7),(INDEX(COMPOS!$A$4:$G$801,MATCH($B194,COMPOS!$A$4:A$801,0),6))))</f>
        <v>0</v>
      </c>
      <c r="I194" s="279">
        <f t="shared" si="56"/>
        <v>271.638802</v>
      </c>
      <c r="J194" s="276">
        <f t="shared" si="57"/>
        <v>1325.59735376</v>
      </c>
      <c r="K194" s="255"/>
      <c r="L194" s="255"/>
      <c r="M194" s="255"/>
      <c r="N194" s="255"/>
      <c r="O194" s="257"/>
      <c r="P194" s="255"/>
    </row>
    <row r="195" spans="1:1001" s="88" customFormat="1" ht="24" customHeight="1">
      <c r="A195" s="680" t="s">
        <v>6927</v>
      </c>
      <c r="B195" s="695"/>
      <c r="C195" s="695"/>
      <c r="D195" s="695"/>
      <c r="E195" s="695"/>
      <c r="F195" s="695"/>
      <c r="G195" s="695"/>
      <c r="H195" s="695"/>
      <c r="I195" s="695"/>
      <c r="J195" s="281">
        <f>SUM(J191:J194)</f>
        <v>13071.658055240001</v>
      </c>
      <c r="K195" s="255"/>
      <c r="L195" s="255"/>
      <c r="M195" s="255"/>
      <c r="N195" s="255"/>
      <c r="O195" s="255"/>
      <c r="P195" s="255"/>
    </row>
    <row r="196" spans="1:1001">
      <c r="A196" s="281"/>
      <c r="B196" s="281"/>
      <c r="C196" s="342"/>
      <c r="D196" s="281" t="s">
        <v>6922</v>
      </c>
      <c r="E196" s="281"/>
      <c r="F196" s="281"/>
      <c r="G196" s="281"/>
      <c r="H196" s="281"/>
      <c r="I196" s="281"/>
      <c r="J196" s="281"/>
      <c r="K196" s="255"/>
      <c r="L196" s="255"/>
      <c r="M196" s="255"/>
      <c r="N196" s="255"/>
      <c r="O196" s="255"/>
      <c r="P196" s="255"/>
    </row>
    <row r="197" spans="1:1001" s="191" customFormat="1" ht="12.75" customHeight="1">
      <c r="A197" s="680" t="s">
        <v>7104</v>
      </c>
      <c r="B197" s="680"/>
      <c r="C197" s="680"/>
      <c r="D197" s="680"/>
      <c r="E197" s="680"/>
      <c r="F197" s="680"/>
      <c r="G197" s="680"/>
      <c r="H197" s="680"/>
      <c r="I197" s="680"/>
      <c r="J197" s="281">
        <f>SUMPRODUCT($E$11:$E$195,$F$11:$F$195)</f>
        <v>96045.748627559937</v>
      </c>
      <c r="K197" s="255"/>
      <c r="L197" s="255"/>
      <c r="M197" s="255"/>
      <c r="N197" s="255"/>
      <c r="O197" s="255"/>
      <c r="P197" s="257"/>
      <c r="Q197" s="255"/>
      <c r="R197" s="255"/>
      <c r="S197" s="255"/>
      <c r="T197" s="255"/>
      <c r="U197" s="255"/>
      <c r="V197" s="255"/>
      <c r="W197" s="255"/>
      <c r="X197" s="255"/>
      <c r="Y197" s="255"/>
      <c r="Z197" s="255"/>
      <c r="AA197" s="255"/>
      <c r="AB197" s="255"/>
      <c r="AC197" s="255"/>
      <c r="AD197" s="255"/>
      <c r="AE197" s="255"/>
      <c r="AF197" s="255"/>
      <c r="AG197" s="255"/>
      <c r="AH197" s="255"/>
      <c r="AI197" s="255"/>
      <c r="AJ197" s="255"/>
      <c r="AK197" s="255"/>
      <c r="AL197" s="255"/>
      <c r="AM197" s="255"/>
      <c r="AN197" s="255"/>
      <c r="AO197" s="255"/>
      <c r="AP197" s="255"/>
      <c r="AQ197" s="255"/>
      <c r="AR197" s="255"/>
      <c r="AS197" s="255"/>
      <c r="AT197" s="255"/>
      <c r="AU197" s="255"/>
      <c r="AV197" s="255"/>
      <c r="AW197" s="255"/>
      <c r="AX197" s="255"/>
      <c r="AY197" s="255"/>
      <c r="AZ197" s="255"/>
      <c r="BA197" s="255"/>
      <c r="BB197" s="255"/>
      <c r="BC197" s="255"/>
      <c r="BD197" s="255"/>
      <c r="BE197" s="255"/>
      <c r="BF197" s="255"/>
      <c r="BG197" s="255"/>
      <c r="BH197" s="255"/>
      <c r="BI197" s="255"/>
      <c r="BJ197" s="255"/>
      <c r="BK197" s="255"/>
      <c r="BL197" s="255"/>
      <c r="BM197" s="255"/>
      <c r="BN197" s="255"/>
      <c r="BO197" s="255"/>
      <c r="BP197" s="255"/>
      <c r="BQ197" s="255"/>
      <c r="BR197" s="255"/>
      <c r="BS197" s="255"/>
      <c r="BT197" s="255"/>
      <c r="BU197" s="255"/>
      <c r="BV197" s="255"/>
      <c r="BW197" s="255"/>
      <c r="BX197" s="255"/>
      <c r="BY197" s="255"/>
      <c r="BZ197" s="255"/>
      <c r="CA197" s="255"/>
      <c r="CB197" s="255"/>
      <c r="CC197" s="255"/>
      <c r="CD197" s="255"/>
      <c r="CE197" s="255"/>
      <c r="CF197" s="255"/>
      <c r="CG197" s="255"/>
      <c r="CH197" s="255"/>
      <c r="CI197" s="255"/>
      <c r="CJ197" s="255"/>
      <c r="CK197" s="255"/>
      <c r="CL197" s="255"/>
      <c r="CM197" s="255"/>
      <c r="CN197" s="255"/>
      <c r="CO197" s="255"/>
      <c r="CP197" s="255"/>
      <c r="CQ197" s="255"/>
      <c r="CR197" s="255"/>
      <c r="CS197" s="255"/>
      <c r="CT197" s="255"/>
      <c r="CU197" s="255"/>
      <c r="CV197" s="255"/>
      <c r="CW197" s="255"/>
      <c r="CX197" s="255"/>
      <c r="CY197" s="255"/>
      <c r="CZ197" s="255"/>
      <c r="DA197" s="255"/>
      <c r="DB197" s="255"/>
      <c r="DC197" s="255"/>
      <c r="DD197" s="255"/>
      <c r="DE197" s="255"/>
      <c r="DF197" s="255"/>
      <c r="DG197" s="255"/>
      <c r="DH197" s="255"/>
      <c r="DI197" s="255"/>
      <c r="DJ197" s="255"/>
      <c r="DK197" s="255"/>
      <c r="DL197" s="255"/>
      <c r="DM197" s="255"/>
      <c r="DN197" s="255"/>
      <c r="DO197" s="255"/>
      <c r="DP197" s="255"/>
      <c r="DQ197" s="255"/>
      <c r="DR197" s="255"/>
      <c r="DS197" s="255"/>
      <c r="DT197" s="255"/>
      <c r="DU197" s="255"/>
      <c r="DV197" s="255"/>
      <c r="DW197" s="255"/>
      <c r="DX197" s="255"/>
      <c r="DY197" s="255"/>
      <c r="DZ197" s="255"/>
      <c r="EA197" s="255"/>
      <c r="EB197" s="255"/>
      <c r="EC197" s="255"/>
      <c r="ED197" s="255"/>
      <c r="EE197" s="255"/>
      <c r="EF197" s="255"/>
      <c r="EG197" s="255"/>
      <c r="EH197" s="255"/>
      <c r="EI197" s="255"/>
      <c r="EJ197" s="255"/>
      <c r="EK197" s="255"/>
      <c r="EL197" s="255"/>
      <c r="EM197" s="255"/>
      <c r="EN197" s="255"/>
      <c r="EO197" s="255"/>
      <c r="EP197" s="255"/>
      <c r="EQ197" s="255"/>
      <c r="ER197" s="255"/>
      <c r="ES197" s="255"/>
      <c r="ET197" s="255"/>
      <c r="EU197" s="255"/>
      <c r="EV197" s="255"/>
      <c r="EW197" s="255"/>
      <c r="EX197" s="255"/>
      <c r="EY197" s="255"/>
      <c r="EZ197" s="255"/>
      <c r="FA197" s="255"/>
      <c r="FB197" s="255"/>
      <c r="FC197" s="255"/>
      <c r="FD197" s="255"/>
      <c r="FE197" s="255"/>
      <c r="FF197" s="255"/>
      <c r="FG197" s="255"/>
      <c r="FH197" s="255"/>
      <c r="FI197" s="255"/>
      <c r="FJ197" s="255"/>
      <c r="FK197" s="255"/>
      <c r="FL197" s="255"/>
      <c r="FM197" s="255"/>
      <c r="FN197" s="255"/>
      <c r="FO197" s="255"/>
      <c r="FP197" s="255"/>
      <c r="FQ197" s="255"/>
      <c r="FR197" s="255"/>
      <c r="FS197" s="255"/>
      <c r="FT197" s="255"/>
      <c r="FU197" s="255"/>
      <c r="FV197" s="255"/>
      <c r="FW197" s="255"/>
      <c r="FX197" s="255"/>
      <c r="FY197" s="255"/>
      <c r="FZ197" s="255"/>
      <c r="GA197" s="255"/>
      <c r="GB197" s="255"/>
      <c r="GC197" s="255"/>
      <c r="GD197" s="255"/>
      <c r="GE197" s="255"/>
      <c r="GF197" s="255"/>
      <c r="GG197" s="255"/>
      <c r="GH197" s="255"/>
      <c r="GI197" s="255"/>
      <c r="GJ197" s="255"/>
      <c r="GK197" s="255"/>
      <c r="GL197" s="255"/>
      <c r="GM197" s="255"/>
      <c r="GN197" s="255"/>
      <c r="GO197" s="255"/>
      <c r="GP197" s="255"/>
      <c r="GQ197" s="255"/>
      <c r="GR197" s="255"/>
      <c r="GS197" s="255"/>
      <c r="GT197" s="255"/>
      <c r="GU197" s="255"/>
      <c r="GV197" s="255"/>
      <c r="GW197" s="255"/>
      <c r="GX197" s="255"/>
      <c r="GY197" s="255"/>
      <c r="GZ197" s="255"/>
      <c r="HA197" s="255"/>
      <c r="HB197" s="255"/>
      <c r="HC197" s="255"/>
      <c r="HD197" s="255"/>
      <c r="HE197" s="255"/>
      <c r="HF197" s="255"/>
      <c r="HG197" s="255"/>
      <c r="HH197" s="255"/>
      <c r="HI197" s="255"/>
      <c r="HJ197" s="255"/>
      <c r="HK197" s="255"/>
      <c r="HL197" s="255"/>
      <c r="HM197" s="255"/>
      <c r="HN197" s="255"/>
      <c r="HO197" s="255"/>
      <c r="HP197" s="255"/>
      <c r="HQ197" s="255"/>
      <c r="HR197" s="255"/>
      <c r="HS197" s="255"/>
      <c r="HT197" s="255"/>
      <c r="HU197" s="255"/>
      <c r="HV197" s="255"/>
      <c r="HW197" s="255"/>
      <c r="HX197" s="255"/>
      <c r="HY197" s="255"/>
      <c r="HZ197" s="255"/>
      <c r="IA197" s="255"/>
      <c r="IB197" s="255"/>
      <c r="IC197" s="255"/>
      <c r="ID197" s="255"/>
      <c r="IE197" s="255"/>
      <c r="IF197" s="255"/>
      <c r="IG197" s="255"/>
      <c r="IH197" s="255"/>
      <c r="II197" s="255"/>
      <c r="IJ197" s="255"/>
      <c r="IK197" s="255"/>
      <c r="IL197" s="255"/>
      <c r="IM197" s="255"/>
      <c r="IN197" s="255"/>
      <c r="IO197" s="255"/>
      <c r="IP197" s="255"/>
      <c r="IQ197" s="255"/>
      <c r="IR197" s="255"/>
      <c r="IS197" s="255"/>
      <c r="IT197" s="255"/>
      <c r="IU197" s="255"/>
      <c r="IV197" s="255"/>
      <c r="IW197" s="255"/>
      <c r="IX197" s="255"/>
      <c r="IY197" s="255"/>
      <c r="IZ197" s="255"/>
      <c r="JA197" s="255"/>
      <c r="JB197" s="255"/>
      <c r="JC197" s="255"/>
      <c r="JD197" s="255"/>
      <c r="JE197" s="255"/>
      <c r="JF197" s="255"/>
      <c r="JG197" s="255"/>
      <c r="JH197" s="255"/>
      <c r="JI197" s="255"/>
      <c r="JJ197" s="255"/>
      <c r="JK197" s="255"/>
      <c r="JL197" s="255"/>
      <c r="JM197" s="255"/>
      <c r="JN197" s="255"/>
      <c r="JO197" s="255"/>
      <c r="JP197" s="255"/>
      <c r="JQ197" s="255"/>
      <c r="JR197" s="255"/>
      <c r="JS197" s="255"/>
      <c r="JT197" s="255"/>
      <c r="JU197" s="255"/>
      <c r="JV197" s="255"/>
      <c r="JW197" s="255"/>
      <c r="JX197" s="255"/>
      <c r="JY197" s="255"/>
      <c r="JZ197" s="255"/>
      <c r="KA197" s="255"/>
      <c r="KB197" s="255"/>
      <c r="KC197" s="255"/>
      <c r="KD197" s="255"/>
      <c r="KE197" s="255"/>
      <c r="KF197" s="255"/>
      <c r="KG197" s="255"/>
      <c r="KH197" s="255"/>
      <c r="KI197" s="255"/>
      <c r="KJ197" s="255"/>
      <c r="KK197" s="255"/>
      <c r="KL197" s="255"/>
      <c r="KM197" s="255"/>
      <c r="KN197" s="255"/>
      <c r="KO197" s="255"/>
      <c r="KP197" s="255"/>
      <c r="KQ197" s="255"/>
      <c r="KR197" s="255"/>
      <c r="KS197" s="255"/>
      <c r="KT197" s="255"/>
      <c r="KU197" s="255"/>
      <c r="KV197" s="255"/>
      <c r="KW197" s="255"/>
      <c r="KX197" s="255"/>
      <c r="KY197" s="255"/>
      <c r="KZ197" s="255"/>
      <c r="LA197" s="255"/>
      <c r="LB197" s="255"/>
      <c r="LC197" s="255"/>
      <c r="LD197" s="255"/>
      <c r="LE197" s="255"/>
      <c r="LF197" s="255"/>
      <c r="LG197" s="255"/>
      <c r="LH197" s="255"/>
      <c r="LI197" s="255"/>
      <c r="LJ197" s="255"/>
      <c r="LK197" s="255"/>
      <c r="LL197" s="255"/>
      <c r="LM197" s="255"/>
      <c r="LN197" s="255"/>
      <c r="LO197" s="255"/>
      <c r="LP197" s="255"/>
      <c r="LQ197" s="255"/>
      <c r="LR197" s="255"/>
      <c r="LS197" s="255"/>
      <c r="LT197" s="255"/>
      <c r="LU197" s="255"/>
      <c r="LV197" s="255"/>
      <c r="LW197" s="255"/>
      <c r="LX197" s="255"/>
      <c r="LY197" s="255"/>
      <c r="LZ197" s="255"/>
      <c r="MA197" s="255"/>
      <c r="MB197" s="255"/>
      <c r="MC197" s="255"/>
      <c r="MD197" s="255"/>
      <c r="ME197" s="255"/>
      <c r="MF197" s="255"/>
      <c r="MG197" s="255"/>
      <c r="MH197" s="255"/>
      <c r="MI197" s="255"/>
      <c r="MJ197" s="255"/>
      <c r="MK197" s="255"/>
      <c r="ML197" s="255"/>
      <c r="MM197" s="255"/>
      <c r="MN197" s="255"/>
      <c r="MO197" s="255"/>
      <c r="MP197" s="255"/>
      <c r="MQ197" s="255"/>
      <c r="MR197" s="255"/>
      <c r="MS197" s="255"/>
      <c r="MT197" s="255"/>
      <c r="MU197" s="255"/>
      <c r="MV197" s="255"/>
      <c r="MW197" s="255"/>
      <c r="MX197" s="255"/>
      <c r="MY197" s="255"/>
      <c r="MZ197" s="255"/>
      <c r="NA197" s="255"/>
      <c r="NB197" s="255"/>
      <c r="NC197" s="255"/>
      <c r="ND197" s="255"/>
      <c r="NE197" s="255"/>
      <c r="NF197" s="255"/>
      <c r="NG197" s="255"/>
      <c r="NH197" s="255"/>
      <c r="NI197" s="255"/>
      <c r="NJ197" s="255"/>
      <c r="NK197" s="255"/>
      <c r="NL197" s="255"/>
      <c r="NM197" s="255"/>
      <c r="NN197" s="255"/>
      <c r="NO197" s="255"/>
      <c r="NP197" s="255"/>
      <c r="NQ197" s="255"/>
      <c r="NR197" s="255"/>
      <c r="NS197" s="255"/>
      <c r="NT197" s="255"/>
      <c r="NU197" s="255"/>
      <c r="NV197" s="255"/>
      <c r="NW197" s="255"/>
      <c r="NX197" s="255"/>
      <c r="NY197" s="255"/>
      <c r="NZ197" s="255"/>
      <c r="OA197" s="255"/>
      <c r="OB197" s="255"/>
      <c r="OC197" s="255"/>
      <c r="OD197" s="255"/>
      <c r="OE197" s="255"/>
      <c r="OF197" s="255"/>
      <c r="OG197" s="255"/>
      <c r="OH197" s="255"/>
      <c r="OI197" s="255"/>
      <c r="OJ197" s="255"/>
      <c r="OK197" s="255"/>
      <c r="OL197" s="255"/>
      <c r="OM197" s="255"/>
      <c r="ON197" s="255"/>
      <c r="OO197" s="255"/>
      <c r="OP197" s="255"/>
      <c r="OQ197" s="255"/>
      <c r="OR197" s="255"/>
      <c r="OS197" s="255"/>
      <c r="OT197" s="255"/>
      <c r="OU197" s="255"/>
      <c r="OV197" s="255"/>
      <c r="OW197" s="255"/>
      <c r="OX197" s="255"/>
      <c r="OY197" s="255"/>
      <c r="OZ197" s="255"/>
      <c r="PA197" s="255"/>
      <c r="PB197" s="255"/>
      <c r="PC197" s="255"/>
      <c r="PD197" s="255"/>
      <c r="PE197" s="255"/>
      <c r="PF197" s="255"/>
      <c r="PG197" s="255"/>
      <c r="PH197" s="255"/>
      <c r="PI197" s="255"/>
      <c r="PJ197" s="255"/>
      <c r="PK197" s="255"/>
      <c r="PL197" s="255"/>
      <c r="PM197" s="255"/>
      <c r="PN197" s="255"/>
      <c r="PO197" s="255"/>
      <c r="PP197" s="255"/>
      <c r="PQ197" s="255"/>
      <c r="PR197" s="255"/>
      <c r="PS197" s="255"/>
      <c r="PT197" s="255"/>
      <c r="PU197" s="255"/>
      <c r="PV197" s="255"/>
      <c r="PW197" s="255"/>
      <c r="PX197" s="255"/>
      <c r="PY197" s="255"/>
      <c r="PZ197" s="255"/>
      <c r="QA197" s="255"/>
      <c r="QB197" s="255"/>
      <c r="QC197" s="255"/>
      <c r="QD197" s="255"/>
      <c r="QE197" s="255"/>
      <c r="QF197" s="255"/>
      <c r="QG197" s="255"/>
      <c r="QH197" s="255"/>
      <c r="QI197" s="255"/>
      <c r="QJ197" s="255"/>
      <c r="QK197" s="255"/>
      <c r="QL197" s="255"/>
      <c r="QM197" s="255"/>
      <c r="QN197" s="255"/>
      <c r="QO197" s="255"/>
      <c r="QP197" s="255"/>
      <c r="QQ197" s="255"/>
      <c r="QR197" s="255"/>
      <c r="QS197" s="255"/>
      <c r="QT197" s="255"/>
      <c r="QU197" s="255"/>
      <c r="QV197" s="255"/>
      <c r="QW197" s="255"/>
      <c r="QX197" s="255"/>
      <c r="QY197" s="255"/>
      <c r="QZ197" s="255"/>
      <c r="RA197" s="255"/>
      <c r="RB197" s="255"/>
      <c r="RC197" s="255"/>
      <c r="RD197" s="255"/>
      <c r="RE197" s="255"/>
      <c r="RF197" s="255"/>
      <c r="RG197" s="255"/>
      <c r="RH197" s="255"/>
      <c r="RI197" s="255"/>
      <c r="RJ197" s="255"/>
      <c r="RK197" s="255"/>
      <c r="RL197" s="255"/>
      <c r="RM197" s="255"/>
      <c r="RN197" s="255"/>
      <c r="RO197" s="255"/>
      <c r="RP197" s="255"/>
      <c r="RQ197" s="255"/>
      <c r="RR197" s="255"/>
      <c r="RS197" s="255"/>
      <c r="RT197" s="255"/>
      <c r="RU197" s="255"/>
      <c r="RV197" s="255"/>
      <c r="RW197" s="255"/>
      <c r="RX197" s="255"/>
      <c r="RY197" s="255"/>
      <c r="RZ197" s="255"/>
      <c r="SA197" s="255"/>
      <c r="SB197" s="255"/>
      <c r="SC197" s="255"/>
      <c r="SD197" s="255"/>
      <c r="SE197" s="255"/>
      <c r="SF197" s="255"/>
      <c r="SG197" s="255"/>
      <c r="SH197" s="255"/>
      <c r="SI197" s="255"/>
      <c r="SJ197" s="255"/>
      <c r="SK197" s="255"/>
      <c r="SL197" s="255"/>
      <c r="SM197" s="255"/>
      <c r="SN197" s="255"/>
      <c r="SO197" s="255"/>
      <c r="SP197" s="255"/>
      <c r="SQ197" s="255"/>
      <c r="SR197" s="255"/>
      <c r="SS197" s="255"/>
      <c r="ST197" s="255"/>
      <c r="SU197" s="255"/>
      <c r="SV197" s="255"/>
      <c r="SW197" s="255"/>
      <c r="SX197" s="255"/>
      <c r="SY197" s="255"/>
      <c r="SZ197" s="255"/>
      <c r="TA197" s="255"/>
      <c r="TB197" s="255"/>
      <c r="TC197" s="255"/>
      <c r="TD197" s="255"/>
      <c r="TE197" s="255"/>
      <c r="TF197" s="255"/>
      <c r="TG197" s="255"/>
      <c r="TH197" s="255"/>
      <c r="TI197" s="255"/>
      <c r="TJ197" s="255"/>
      <c r="TK197" s="255"/>
      <c r="TL197" s="255"/>
      <c r="TM197" s="255"/>
      <c r="TN197" s="255"/>
      <c r="TO197" s="255"/>
      <c r="TP197" s="255"/>
      <c r="TQ197" s="255"/>
      <c r="TR197" s="255"/>
      <c r="TS197" s="255"/>
      <c r="TT197" s="255"/>
      <c r="TU197" s="255"/>
      <c r="TV197" s="255"/>
      <c r="TW197" s="255"/>
      <c r="TX197" s="255"/>
      <c r="TY197" s="255"/>
      <c r="TZ197" s="255"/>
      <c r="UA197" s="255"/>
      <c r="UB197" s="255"/>
      <c r="UC197" s="255"/>
      <c r="UD197" s="255"/>
      <c r="UE197" s="255"/>
      <c r="UF197" s="255"/>
      <c r="UG197" s="255"/>
      <c r="UH197" s="255"/>
      <c r="UI197" s="255"/>
      <c r="UJ197" s="255"/>
      <c r="UK197" s="255"/>
      <c r="UL197" s="255"/>
      <c r="UM197" s="255"/>
      <c r="UN197" s="255"/>
      <c r="UO197" s="255"/>
      <c r="UP197" s="255"/>
      <c r="UQ197" s="255"/>
      <c r="UR197" s="255"/>
      <c r="US197" s="255"/>
      <c r="UT197" s="255"/>
      <c r="UU197" s="255"/>
      <c r="UV197" s="255"/>
      <c r="UW197" s="255"/>
      <c r="UX197" s="255"/>
      <c r="UY197" s="255"/>
      <c r="UZ197" s="255"/>
      <c r="VA197" s="255"/>
      <c r="VB197" s="255"/>
      <c r="VC197" s="255"/>
      <c r="VD197" s="255"/>
      <c r="VE197" s="255"/>
      <c r="VF197" s="255"/>
      <c r="VG197" s="255"/>
      <c r="VH197" s="255"/>
      <c r="VI197" s="255"/>
      <c r="VJ197" s="255"/>
      <c r="VK197" s="255"/>
      <c r="VL197" s="255"/>
      <c r="VM197" s="255"/>
      <c r="VN197" s="255"/>
      <c r="VO197" s="255"/>
      <c r="VP197" s="255"/>
      <c r="VQ197" s="255"/>
      <c r="VR197" s="255"/>
      <c r="VS197" s="255"/>
      <c r="VT197" s="255"/>
      <c r="VU197" s="255"/>
      <c r="VV197" s="255"/>
      <c r="VW197" s="255"/>
      <c r="VX197" s="255"/>
      <c r="VY197" s="255"/>
      <c r="VZ197" s="255"/>
      <c r="WA197" s="255"/>
      <c r="WB197" s="255"/>
      <c r="WC197" s="255"/>
      <c r="WD197" s="255"/>
      <c r="WE197" s="255"/>
      <c r="WF197" s="255"/>
      <c r="WG197" s="255"/>
      <c r="WH197" s="255"/>
      <c r="WI197" s="255"/>
      <c r="WJ197" s="255"/>
      <c r="WK197" s="255"/>
      <c r="WL197" s="255"/>
      <c r="WM197" s="255"/>
      <c r="WN197" s="255"/>
      <c r="WO197" s="255"/>
      <c r="WP197" s="255"/>
      <c r="WQ197" s="255"/>
      <c r="WR197" s="255"/>
      <c r="WS197" s="255"/>
      <c r="WT197" s="255"/>
      <c r="WU197" s="255"/>
      <c r="WV197" s="255"/>
      <c r="WW197" s="255"/>
      <c r="WX197" s="255"/>
      <c r="WY197" s="255"/>
      <c r="WZ197" s="255"/>
      <c r="XA197" s="255"/>
      <c r="XB197" s="255"/>
      <c r="XC197" s="255"/>
      <c r="XD197" s="255"/>
      <c r="XE197" s="255"/>
      <c r="XF197" s="255"/>
      <c r="XG197" s="255"/>
      <c r="XH197" s="255"/>
      <c r="XI197" s="255"/>
      <c r="XJ197" s="255"/>
      <c r="XK197" s="255"/>
      <c r="XL197" s="255"/>
      <c r="XM197" s="255"/>
      <c r="XN197" s="255"/>
      <c r="XO197" s="255"/>
      <c r="XP197" s="255"/>
      <c r="XQ197" s="255"/>
      <c r="XR197" s="255"/>
      <c r="XS197" s="255"/>
      <c r="XT197" s="255"/>
      <c r="XU197" s="255"/>
      <c r="XV197" s="255"/>
      <c r="XW197" s="255"/>
      <c r="XX197" s="255"/>
      <c r="XY197" s="255"/>
      <c r="XZ197" s="255"/>
      <c r="YA197" s="255"/>
      <c r="YB197" s="255"/>
      <c r="YC197" s="255"/>
      <c r="YD197" s="255"/>
      <c r="YE197" s="255"/>
      <c r="YF197" s="255"/>
      <c r="YG197" s="255"/>
      <c r="YH197" s="255"/>
      <c r="YI197" s="255"/>
      <c r="YJ197" s="255"/>
      <c r="YK197" s="255"/>
      <c r="YL197" s="255"/>
      <c r="YM197" s="255"/>
      <c r="YN197" s="255"/>
      <c r="YO197" s="255"/>
      <c r="YP197" s="255"/>
      <c r="YQ197" s="255"/>
      <c r="YR197" s="255"/>
      <c r="YS197" s="255"/>
      <c r="YT197" s="255"/>
      <c r="YU197" s="255"/>
      <c r="YV197" s="255"/>
      <c r="YW197" s="255"/>
      <c r="YX197" s="255"/>
      <c r="YY197" s="255"/>
      <c r="YZ197" s="255"/>
      <c r="ZA197" s="255"/>
      <c r="ZB197" s="255"/>
      <c r="ZC197" s="255"/>
      <c r="ZD197" s="255"/>
      <c r="ZE197" s="255"/>
      <c r="ZF197" s="255"/>
      <c r="ZG197" s="255"/>
      <c r="ZH197" s="255"/>
      <c r="ZI197" s="255"/>
      <c r="ZJ197" s="255"/>
      <c r="ZK197" s="255"/>
      <c r="ZL197" s="255"/>
      <c r="ZM197" s="255"/>
      <c r="ZN197" s="255"/>
      <c r="ZO197" s="255"/>
      <c r="ZP197" s="255"/>
      <c r="ZQ197" s="255"/>
      <c r="ZR197" s="255"/>
      <c r="ZS197" s="255"/>
      <c r="ZT197" s="255"/>
      <c r="ZU197" s="255"/>
      <c r="ZV197" s="255"/>
      <c r="ZW197" s="255"/>
      <c r="ZX197" s="255"/>
      <c r="ZY197" s="255"/>
      <c r="ZZ197" s="255"/>
      <c r="AAA197" s="255"/>
      <c r="AAB197" s="255"/>
      <c r="AAC197" s="255"/>
      <c r="AAD197" s="255"/>
      <c r="AAE197" s="255"/>
      <c r="AAF197" s="255"/>
      <c r="AAG197" s="255"/>
      <c r="AAH197" s="255"/>
      <c r="AAI197" s="255"/>
      <c r="AAJ197" s="255"/>
      <c r="AAK197" s="255"/>
      <c r="AAL197" s="255"/>
      <c r="AAM197" s="255"/>
      <c r="AAN197" s="255"/>
      <c r="AAO197" s="255"/>
      <c r="AAP197" s="255"/>
      <c r="AAQ197" s="255"/>
      <c r="AAR197" s="255"/>
      <c r="AAS197" s="255"/>
      <c r="AAT197" s="255"/>
      <c r="AAU197" s="255"/>
      <c r="AAV197" s="255"/>
      <c r="AAW197" s="255"/>
      <c r="AAX197" s="255"/>
      <c r="AAY197" s="255"/>
      <c r="AAZ197" s="255"/>
      <c r="ABA197" s="255"/>
      <c r="ABB197" s="255"/>
      <c r="ABC197" s="255"/>
      <c r="ABD197" s="255"/>
      <c r="ABE197" s="255"/>
      <c r="ABF197" s="255"/>
      <c r="ABG197" s="255"/>
      <c r="ABH197" s="255"/>
      <c r="ABI197" s="255"/>
      <c r="ABJ197" s="255"/>
      <c r="ABK197" s="255"/>
      <c r="ABL197" s="255"/>
      <c r="ABM197" s="255"/>
      <c r="ABN197" s="255"/>
      <c r="ABO197" s="255"/>
      <c r="ABP197" s="255"/>
      <c r="ABQ197" s="255"/>
      <c r="ABR197" s="255"/>
      <c r="ABS197" s="255"/>
      <c r="ABT197" s="255"/>
      <c r="ABU197" s="255"/>
      <c r="ABV197" s="255"/>
      <c r="ABW197" s="255"/>
      <c r="ABX197" s="255"/>
      <c r="ABY197" s="255"/>
      <c r="ABZ197" s="255"/>
      <c r="ACA197" s="255"/>
      <c r="ACB197" s="255"/>
      <c r="ACC197" s="255"/>
      <c r="ACD197" s="255"/>
      <c r="ACE197" s="255"/>
      <c r="ACF197" s="255"/>
      <c r="ACG197" s="255"/>
      <c r="ACH197" s="255"/>
      <c r="ACI197" s="255"/>
      <c r="ACJ197" s="255"/>
      <c r="ACK197" s="255"/>
      <c r="ACL197" s="255"/>
      <c r="ACM197" s="255"/>
      <c r="ACN197" s="255"/>
      <c r="ACO197" s="255"/>
      <c r="ACP197" s="255"/>
      <c r="ACQ197" s="255"/>
      <c r="ACR197" s="255"/>
      <c r="ACS197" s="255"/>
      <c r="ACT197" s="255"/>
      <c r="ACU197" s="255"/>
      <c r="ACV197" s="255"/>
      <c r="ACW197" s="255"/>
      <c r="ACX197" s="255"/>
      <c r="ACY197" s="255"/>
      <c r="ACZ197" s="255"/>
      <c r="ADA197" s="255"/>
      <c r="ADB197" s="255"/>
      <c r="ADC197" s="255"/>
      <c r="ADD197" s="255"/>
      <c r="ADE197" s="255"/>
      <c r="ADF197" s="255"/>
      <c r="ADG197" s="255"/>
      <c r="ADH197" s="255"/>
      <c r="ADI197" s="255"/>
      <c r="ADJ197" s="255"/>
      <c r="ADK197" s="255"/>
      <c r="ADL197" s="255"/>
      <c r="ADM197" s="255"/>
      <c r="ADN197" s="255"/>
      <c r="ADO197" s="255"/>
      <c r="ADP197" s="255"/>
      <c r="ADQ197" s="255"/>
      <c r="ADR197" s="255"/>
      <c r="ADS197" s="255"/>
      <c r="ADT197" s="255"/>
      <c r="ADU197" s="255"/>
      <c r="ADV197" s="255"/>
      <c r="ADW197" s="255"/>
      <c r="ADX197" s="255"/>
      <c r="ADY197" s="255"/>
      <c r="ADZ197" s="255"/>
      <c r="AEA197" s="255"/>
      <c r="AEB197" s="255"/>
      <c r="AEC197" s="255"/>
      <c r="AED197" s="255"/>
      <c r="AEE197" s="255"/>
      <c r="AEF197" s="255"/>
      <c r="AEG197" s="255"/>
      <c r="AEH197" s="255"/>
      <c r="AEI197" s="255"/>
      <c r="AEJ197" s="255"/>
      <c r="AEK197" s="255"/>
      <c r="AEL197" s="255"/>
      <c r="AEM197" s="255"/>
      <c r="AEN197" s="255"/>
      <c r="AEO197" s="255"/>
      <c r="AEP197" s="255"/>
      <c r="AEQ197" s="255"/>
      <c r="AER197" s="255"/>
      <c r="AES197" s="255"/>
      <c r="AET197" s="255"/>
      <c r="AEU197" s="255"/>
      <c r="AEV197" s="255"/>
      <c r="AEW197" s="255"/>
      <c r="AEX197" s="255"/>
      <c r="AEY197" s="255"/>
      <c r="AEZ197" s="255"/>
      <c r="AFA197" s="255"/>
      <c r="AFB197" s="255"/>
      <c r="AFC197" s="255"/>
      <c r="AFD197" s="255"/>
      <c r="AFE197" s="255"/>
      <c r="AFF197" s="255"/>
      <c r="AFG197" s="255"/>
      <c r="AFH197" s="255"/>
      <c r="AFI197" s="255"/>
      <c r="AFJ197" s="255"/>
      <c r="AFK197" s="255"/>
      <c r="AFL197" s="255"/>
      <c r="AFM197" s="255"/>
      <c r="AFN197" s="255"/>
      <c r="AFO197" s="255"/>
      <c r="AFP197" s="255"/>
      <c r="AFQ197" s="255"/>
      <c r="AFR197" s="255"/>
      <c r="AFS197" s="255"/>
      <c r="AFT197" s="255"/>
      <c r="AFU197" s="255"/>
      <c r="AFV197" s="255"/>
      <c r="AFW197" s="255"/>
      <c r="AFX197" s="255"/>
      <c r="AFY197" s="255"/>
      <c r="AFZ197" s="255"/>
      <c r="AGA197" s="255"/>
      <c r="AGB197" s="255"/>
      <c r="AGC197" s="255"/>
      <c r="AGD197" s="255"/>
      <c r="AGE197" s="255"/>
      <c r="AGF197" s="255"/>
      <c r="AGG197" s="255"/>
      <c r="AGH197" s="255"/>
      <c r="AGI197" s="255"/>
      <c r="AGJ197" s="255"/>
      <c r="AGK197" s="255"/>
      <c r="AGL197" s="255"/>
      <c r="AGM197" s="255"/>
      <c r="AGN197" s="255"/>
      <c r="AGO197" s="255"/>
      <c r="AGP197" s="255"/>
      <c r="AGQ197" s="255"/>
      <c r="AGR197" s="255"/>
      <c r="AGS197" s="255"/>
      <c r="AGT197" s="255"/>
      <c r="AGU197" s="255"/>
      <c r="AGV197" s="255"/>
      <c r="AGW197" s="255"/>
      <c r="AGX197" s="255"/>
      <c r="AGY197" s="255"/>
      <c r="AGZ197" s="255"/>
      <c r="AHA197" s="255"/>
      <c r="AHB197" s="255"/>
      <c r="AHC197" s="255"/>
      <c r="AHD197" s="255"/>
      <c r="AHE197" s="255"/>
      <c r="AHF197" s="255"/>
      <c r="AHG197" s="255"/>
      <c r="AHH197" s="255"/>
      <c r="AHI197" s="255"/>
      <c r="AHJ197" s="255"/>
      <c r="AHK197" s="255"/>
      <c r="AHL197" s="255"/>
      <c r="AHM197" s="255"/>
      <c r="AHN197" s="255"/>
      <c r="AHO197" s="255"/>
      <c r="AHP197" s="255"/>
      <c r="AHQ197" s="255"/>
      <c r="AHR197" s="255"/>
      <c r="AHS197" s="255"/>
      <c r="AHT197" s="255"/>
      <c r="AHU197" s="255"/>
      <c r="AHV197" s="255"/>
      <c r="AHW197" s="255"/>
      <c r="AHX197" s="255"/>
      <c r="AHY197" s="255"/>
      <c r="AHZ197" s="255"/>
      <c r="AIA197" s="255"/>
      <c r="AIB197" s="255"/>
      <c r="AIC197" s="255"/>
      <c r="AID197" s="255"/>
      <c r="AIE197" s="255"/>
      <c r="AIF197" s="255"/>
      <c r="AIG197" s="255"/>
      <c r="AIH197" s="255"/>
      <c r="AII197" s="255"/>
      <c r="AIJ197" s="255"/>
      <c r="AIK197" s="255"/>
      <c r="AIL197" s="255"/>
      <c r="AIM197" s="255"/>
      <c r="AIN197" s="255"/>
      <c r="AIO197" s="255"/>
      <c r="AIP197" s="255"/>
      <c r="AIQ197" s="255"/>
      <c r="AIR197" s="255"/>
      <c r="AIS197" s="255"/>
      <c r="AIT197" s="255"/>
      <c r="AIU197" s="255"/>
      <c r="AIV197" s="255"/>
      <c r="AIW197" s="255"/>
      <c r="AIX197" s="255"/>
      <c r="AIY197" s="255"/>
      <c r="AIZ197" s="255"/>
      <c r="AJA197" s="255"/>
      <c r="AJB197" s="255"/>
      <c r="AJC197" s="255"/>
      <c r="AJD197" s="255"/>
      <c r="AJE197" s="255"/>
      <c r="AJF197" s="255"/>
      <c r="AJG197" s="255"/>
      <c r="AJH197" s="255"/>
      <c r="AJI197" s="255"/>
      <c r="AJJ197" s="255"/>
      <c r="AJK197" s="255"/>
      <c r="AJL197" s="255"/>
      <c r="AJM197" s="255"/>
      <c r="AJN197" s="255"/>
      <c r="AJO197" s="255"/>
      <c r="AJP197" s="255"/>
      <c r="AJQ197" s="255"/>
      <c r="AJR197" s="255"/>
      <c r="AJS197" s="255"/>
      <c r="AJT197" s="255"/>
      <c r="AJU197" s="255"/>
      <c r="AJV197" s="255"/>
      <c r="AJW197" s="255"/>
      <c r="AJX197" s="255"/>
      <c r="AJY197" s="255"/>
      <c r="AJZ197" s="255"/>
      <c r="AKA197" s="255"/>
      <c r="AKB197" s="255"/>
      <c r="AKC197" s="255"/>
      <c r="AKD197" s="255"/>
      <c r="AKE197" s="255"/>
      <c r="AKF197" s="255"/>
      <c r="AKG197" s="255"/>
      <c r="AKH197" s="255"/>
      <c r="AKI197" s="255"/>
      <c r="AKJ197" s="255"/>
      <c r="AKK197" s="255"/>
      <c r="AKL197" s="255"/>
      <c r="AKM197" s="255"/>
      <c r="AKN197" s="255"/>
      <c r="AKO197" s="255"/>
      <c r="AKP197" s="255"/>
      <c r="AKQ197" s="255"/>
      <c r="AKR197" s="255"/>
      <c r="AKS197" s="255"/>
      <c r="AKT197" s="255"/>
      <c r="AKU197" s="255"/>
      <c r="AKV197" s="255"/>
      <c r="AKW197" s="255"/>
      <c r="AKX197" s="255"/>
      <c r="AKY197" s="255"/>
      <c r="AKZ197" s="255"/>
      <c r="ALA197" s="255"/>
      <c r="ALB197" s="255"/>
      <c r="ALC197" s="255"/>
      <c r="ALD197" s="255"/>
      <c r="ALE197" s="42"/>
      <c r="ALF197" s="42"/>
      <c r="ALG197" s="42"/>
      <c r="ALH197" s="42"/>
      <c r="ALI197" s="42"/>
      <c r="ALJ197" s="42"/>
      <c r="ALK197" s="42"/>
      <c r="ALL197" s="42"/>
      <c r="ALM197" s="42"/>
    </row>
    <row r="198" spans="1:1001" s="191" customFormat="1" ht="12.75" customHeight="1">
      <c r="A198" s="680" t="s">
        <v>7103</v>
      </c>
      <c r="B198" s="680"/>
      <c r="C198" s="680"/>
      <c r="D198" s="680"/>
      <c r="E198" s="680"/>
      <c r="F198" s="680"/>
      <c r="G198" s="680"/>
      <c r="H198" s="680"/>
      <c r="I198" s="680"/>
      <c r="J198" s="281">
        <f>SUMPRODUCT($E$11:$E$194,$G$11:$G$194)+SUMPRODUCT($E$11:$E$194,$H$11:$H$194)</f>
        <v>276778.97786936729</v>
      </c>
      <c r="K198" s="255"/>
      <c r="L198" s="255"/>
      <c r="M198" s="255"/>
      <c r="N198" s="255"/>
      <c r="O198" s="255"/>
      <c r="P198" s="255"/>
      <c r="Q198" s="255"/>
      <c r="R198" s="255"/>
      <c r="S198" s="255"/>
      <c r="T198" s="255"/>
      <c r="U198" s="255"/>
      <c r="V198" s="255"/>
      <c r="W198" s="255"/>
      <c r="X198" s="255"/>
      <c r="Y198" s="255"/>
      <c r="Z198" s="255"/>
      <c r="AA198" s="255"/>
      <c r="AB198" s="255"/>
      <c r="AC198" s="255"/>
      <c r="AD198" s="255"/>
      <c r="AE198" s="255"/>
      <c r="AF198" s="255"/>
      <c r="AG198" s="255"/>
      <c r="AH198" s="255"/>
      <c r="AI198" s="255"/>
      <c r="AJ198" s="255"/>
      <c r="AK198" s="255"/>
      <c r="AL198" s="255"/>
      <c r="AM198" s="255"/>
      <c r="AN198" s="255"/>
      <c r="AO198" s="255"/>
      <c r="AP198" s="255"/>
      <c r="AQ198" s="255"/>
      <c r="AR198" s="255"/>
      <c r="AS198" s="255"/>
      <c r="AT198" s="255"/>
      <c r="AU198" s="255"/>
      <c r="AV198" s="255"/>
      <c r="AW198" s="255"/>
      <c r="AX198" s="255"/>
      <c r="AY198" s="255"/>
      <c r="AZ198" s="255"/>
      <c r="BA198" s="255"/>
      <c r="BB198" s="255"/>
      <c r="BC198" s="255"/>
      <c r="BD198" s="255"/>
      <c r="BE198" s="255"/>
      <c r="BF198" s="255"/>
      <c r="BG198" s="255"/>
      <c r="BH198" s="255"/>
      <c r="BI198" s="255"/>
      <c r="BJ198" s="255"/>
      <c r="BK198" s="255"/>
      <c r="BL198" s="255"/>
      <c r="BM198" s="255"/>
      <c r="BN198" s="255"/>
      <c r="BO198" s="255"/>
      <c r="BP198" s="255"/>
      <c r="BQ198" s="255"/>
      <c r="BR198" s="255"/>
      <c r="BS198" s="255"/>
      <c r="BT198" s="255"/>
      <c r="BU198" s="255"/>
      <c r="BV198" s="255"/>
      <c r="BW198" s="255"/>
      <c r="BX198" s="255"/>
      <c r="BY198" s="255"/>
      <c r="BZ198" s="255"/>
      <c r="CA198" s="255"/>
      <c r="CB198" s="255"/>
      <c r="CC198" s="255"/>
      <c r="CD198" s="255"/>
      <c r="CE198" s="255"/>
      <c r="CF198" s="255"/>
      <c r="CG198" s="255"/>
      <c r="CH198" s="255"/>
      <c r="CI198" s="255"/>
      <c r="CJ198" s="255"/>
      <c r="CK198" s="255"/>
      <c r="CL198" s="255"/>
      <c r="CM198" s="255"/>
      <c r="CN198" s="255"/>
      <c r="CO198" s="255"/>
      <c r="CP198" s="255"/>
      <c r="CQ198" s="255"/>
      <c r="CR198" s="255"/>
      <c r="CS198" s="255"/>
      <c r="CT198" s="255"/>
      <c r="CU198" s="255"/>
      <c r="CV198" s="255"/>
      <c r="CW198" s="255"/>
      <c r="CX198" s="255"/>
      <c r="CY198" s="255"/>
      <c r="CZ198" s="255"/>
      <c r="DA198" s="255"/>
      <c r="DB198" s="255"/>
      <c r="DC198" s="255"/>
      <c r="DD198" s="255"/>
      <c r="DE198" s="255"/>
      <c r="DF198" s="255"/>
      <c r="DG198" s="255"/>
      <c r="DH198" s="255"/>
      <c r="DI198" s="255"/>
      <c r="DJ198" s="255"/>
      <c r="DK198" s="255"/>
      <c r="DL198" s="255"/>
      <c r="DM198" s="255"/>
      <c r="DN198" s="255"/>
      <c r="DO198" s="255"/>
      <c r="DP198" s="255"/>
      <c r="DQ198" s="255"/>
      <c r="DR198" s="255"/>
      <c r="DS198" s="255"/>
      <c r="DT198" s="255"/>
      <c r="DU198" s="255"/>
      <c r="DV198" s="255"/>
      <c r="DW198" s="255"/>
      <c r="DX198" s="255"/>
      <c r="DY198" s="255"/>
      <c r="DZ198" s="255"/>
      <c r="EA198" s="255"/>
      <c r="EB198" s="255"/>
      <c r="EC198" s="255"/>
      <c r="ED198" s="255"/>
      <c r="EE198" s="255"/>
      <c r="EF198" s="255"/>
      <c r="EG198" s="255"/>
      <c r="EH198" s="255"/>
      <c r="EI198" s="255"/>
      <c r="EJ198" s="255"/>
      <c r="EK198" s="255"/>
      <c r="EL198" s="255"/>
      <c r="EM198" s="255"/>
      <c r="EN198" s="255"/>
      <c r="EO198" s="255"/>
      <c r="EP198" s="255"/>
      <c r="EQ198" s="255"/>
      <c r="ER198" s="255"/>
      <c r="ES198" s="255"/>
      <c r="ET198" s="255"/>
      <c r="EU198" s="255"/>
      <c r="EV198" s="255"/>
      <c r="EW198" s="255"/>
      <c r="EX198" s="255"/>
      <c r="EY198" s="255"/>
      <c r="EZ198" s="255"/>
      <c r="FA198" s="255"/>
      <c r="FB198" s="255"/>
      <c r="FC198" s="255"/>
      <c r="FD198" s="255"/>
      <c r="FE198" s="255"/>
      <c r="FF198" s="255"/>
      <c r="FG198" s="255"/>
      <c r="FH198" s="255"/>
      <c r="FI198" s="255"/>
      <c r="FJ198" s="255"/>
      <c r="FK198" s="255"/>
      <c r="FL198" s="255"/>
      <c r="FM198" s="255"/>
      <c r="FN198" s="255"/>
      <c r="FO198" s="255"/>
      <c r="FP198" s="255"/>
      <c r="FQ198" s="255"/>
      <c r="FR198" s="255"/>
      <c r="FS198" s="255"/>
      <c r="FT198" s="255"/>
      <c r="FU198" s="255"/>
      <c r="FV198" s="255"/>
      <c r="FW198" s="255"/>
      <c r="FX198" s="255"/>
      <c r="FY198" s="255"/>
      <c r="FZ198" s="255"/>
      <c r="GA198" s="255"/>
      <c r="GB198" s="255"/>
      <c r="GC198" s="255"/>
      <c r="GD198" s="255"/>
      <c r="GE198" s="255"/>
      <c r="GF198" s="255"/>
      <c r="GG198" s="255"/>
      <c r="GH198" s="255"/>
      <c r="GI198" s="255"/>
      <c r="GJ198" s="255"/>
      <c r="GK198" s="255"/>
      <c r="GL198" s="255"/>
      <c r="GM198" s="255"/>
      <c r="GN198" s="255"/>
      <c r="GO198" s="255"/>
      <c r="GP198" s="255"/>
      <c r="GQ198" s="255"/>
      <c r="GR198" s="255"/>
      <c r="GS198" s="255"/>
      <c r="GT198" s="255"/>
      <c r="GU198" s="255"/>
      <c r="GV198" s="255"/>
      <c r="GW198" s="255"/>
      <c r="GX198" s="255"/>
      <c r="GY198" s="255"/>
      <c r="GZ198" s="255"/>
      <c r="HA198" s="255"/>
      <c r="HB198" s="255"/>
      <c r="HC198" s="255"/>
      <c r="HD198" s="255"/>
      <c r="HE198" s="255"/>
      <c r="HF198" s="255"/>
      <c r="HG198" s="255"/>
      <c r="HH198" s="255"/>
      <c r="HI198" s="255"/>
      <c r="HJ198" s="255"/>
      <c r="HK198" s="255"/>
      <c r="HL198" s="255"/>
      <c r="HM198" s="255"/>
      <c r="HN198" s="255"/>
      <c r="HO198" s="255"/>
      <c r="HP198" s="255"/>
      <c r="HQ198" s="255"/>
      <c r="HR198" s="255"/>
      <c r="HS198" s="255"/>
      <c r="HT198" s="255"/>
      <c r="HU198" s="255"/>
      <c r="HV198" s="255"/>
      <c r="HW198" s="255"/>
      <c r="HX198" s="255"/>
      <c r="HY198" s="255"/>
      <c r="HZ198" s="255"/>
      <c r="IA198" s="255"/>
      <c r="IB198" s="255"/>
      <c r="IC198" s="255"/>
      <c r="ID198" s="255"/>
      <c r="IE198" s="255"/>
      <c r="IF198" s="255"/>
      <c r="IG198" s="255"/>
      <c r="IH198" s="255"/>
      <c r="II198" s="255"/>
      <c r="IJ198" s="255"/>
      <c r="IK198" s="255"/>
      <c r="IL198" s="255"/>
      <c r="IM198" s="255"/>
      <c r="IN198" s="255"/>
      <c r="IO198" s="255"/>
      <c r="IP198" s="255"/>
      <c r="IQ198" s="255"/>
      <c r="IR198" s="255"/>
      <c r="IS198" s="255"/>
      <c r="IT198" s="255"/>
      <c r="IU198" s="255"/>
      <c r="IV198" s="255"/>
      <c r="IW198" s="255"/>
      <c r="IX198" s="255"/>
      <c r="IY198" s="255"/>
      <c r="IZ198" s="255"/>
      <c r="JA198" s="255"/>
      <c r="JB198" s="255"/>
      <c r="JC198" s="255"/>
      <c r="JD198" s="255"/>
      <c r="JE198" s="255"/>
      <c r="JF198" s="255"/>
      <c r="JG198" s="255"/>
      <c r="JH198" s="255"/>
      <c r="JI198" s="255"/>
      <c r="JJ198" s="255"/>
      <c r="JK198" s="255"/>
      <c r="JL198" s="255"/>
      <c r="JM198" s="255"/>
      <c r="JN198" s="255"/>
      <c r="JO198" s="255"/>
      <c r="JP198" s="255"/>
      <c r="JQ198" s="255"/>
      <c r="JR198" s="255"/>
      <c r="JS198" s="255"/>
      <c r="JT198" s="255"/>
      <c r="JU198" s="255"/>
      <c r="JV198" s="255"/>
      <c r="JW198" s="255"/>
      <c r="JX198" s="255"/>
      <c r="JY198" s="255"/>
      <c r="JZ198" s="255"/>
      <c r="KA198" s="255"/>
      <c r="KB198" s="255"/>
      <c r="KC198" s="255"/>
      <c r="KD198" s="255"/>
      <c r="KE198" s="255"/>
      <c r="KF198" s="255"/>
      <c r="KG198" s="255"/>
      <c r="KH198" s="255"/>
      <c r="KI198" s="255"/>
      <c r="KJ198" s="255"/>
      <c r="KK198" s="255"/>
      <c r="KL198" s="255"/>
      <c r="KM198" s="255"/>
      <c r="KN198" s="255"/>
      <c r="KO198" s="255"/>
      <c r="KP198" s="255"/>
      <c r="KQ198" s="255"/>
      <c r="KR198" s="255"/>
      <c r="KS198" s="255"/>
      <c r="KT198" s="255"/>
      <c r="KU198" s="255"/>
      <c r="KV198" s="255"/>
      <c r="KW198" s="255"/>
      <c r="KX198" s="255"/>
      <c r="KY198" s="255"/>
      <c r="KZ198" s="255"/>
      <c r="LA198" s="255"/>
      <c r="LB198" s="255"/>
      <c r="LC198" s="255"/>
      <c r="LD198" s="255"/>
      <c r="LE198" s="255"/>
      <c r="LF198" s="255"/>
      <c r="LG198" s="255"/>
      <c r="LH198" s="255"/>
      <c r="LI198" s="255"/>
      <c r="LJ198" s="255"/>
      <c r="LK198" s="255"/>
      <c r="LL198" s="255"/>
      <c r="LM198" s="255"/>
      <c r="LN198" s="255"/>
      <c r="LO198" s="255"/>
      <c r="LP198" s="255"/>
      <c r="LQ198" s="255"/>
      <c r="LR198" s="255"/>
      <c r="LS198" s="255"/>
      <c r="LT198" s="255"/>
      <c r="LU198" s="255"/>
      <c r="LV198" s="255"/>
      <c r="LW198" s="255"/>
      <c r="LX198" s="255"/>
      <c r="LY198" s="255"/>
      <c r="LZ198" s="255"/>
      <c r="MA198" s="255"/>
      <c r="MB198" s="255"/>
      <c r="MC198" s="255"/>
      <c r="MD198" s="255"/>
      <c r="ME198" s="255"/>
      <c r="MF198" s="255"/>
      <c r="MG198" s="255"/>
      <c r="MH198" s="255"/>
      <c r="MI198" s="255"/>
      <c r="MJ198" s="255"/>
      <c r="MK198" s="255"/>
      <c r="ML198" s="255"/>
      <c r="MM198" s="255"/>
      <c r="MN198" s="255"/>
      <c r="MO198" s="255"/>
      <c r="MP198" s="255"/>
      <c r="MQ198" s="255"/>
      <c r="MR198" s="255"/>
      <c r="MS198" s="255"/>
      <c r="MT198" s="255"/>
      <c r="MU198" s="255"/>
      <c r="MV198" s="255"/>
      <c r="MW198" s="255"/>
      <c r="MX198" s="255"/>
      <c r="MY198" s="255"/>
      <c r="MZ198" s="255"/>
      <c r="NA198" s="255"/>
      <c r="NB198" s="255"/>
      <c r="NC198" s="255"/>
      <c r="ND198" s="255"/>
      <c r="NE198" s="255"/>
      <c r="NF198" s="255"/>
      <c r="NG198" s="255"/>
      <c r="NH198" s="255"/>
      <c r="NI198" s="255"/>
      <c r="NJ198" s="255"/>
      <c r="NK198" s="255"/>
      <c r="NL198" s="255"/>
      <c r="NM198" s="255"/>
      <c r="NN198" s="255"/>
      <c r="NO198" s="255"/>
      <c r="NP198" s="255"/>
      <c r="NQ198" s="255"/>
      <c r="NR198" s="255"/>
      <c r="NS198" s="255"/>
      <c r="NT198" s="255"/>
      <c r="NU198" s="255"/>
      <c r="NV198" s="255"/>
      <c r="NW198" s="255"/>
      <c r="NX198" s="255"/>
      <c r="NY198" s="255"/>
      <c r="NZ198" s="255"/>
      <c r="OA198" s="255"/>
      <c r="OB198" s="255"/>
      <c r="OC198" s="255"/>
      <c r="OD198" s="255"/>
      <c r="OE198" s="255"/>
      <c r="OF198" s="255"/>
      <c r="OG198" s="255"/>
      <c r="OH198" s="255"/>
      <c r="OI198" s="255"/>
      <c r="OJ198" s="255"/>
      <c r="OK198" s="255"/>
      <c r="OL198" s="255"/>
      <c r="OM198" s="255"/>
      <c r="ON198" s="255"/>
      <c r="OO198" s="255"/>
      <c r="OP198" s="255"/>
      <c r="OQ198" s="255"/>
      <c r="OR198" s="255"/>
      <c r="OS198" s="255"/>
      <c r="OT198" s="255"/>
      <c r="OU198" s="255"/>
      <c r="OV198" s="255"/>
      <c r="OW198" s="255"/>
      <c r="OX198" s="255"/>
      <c r="OY198" s="255"/>
      <c r="OZ198" s="255"/>
      <c r="PA198" s="255"/>
      <c r="PB198" s="255"/>
      <c r="PC198" s="255"/>
      <c r="PD198" s="255"/>
      <c r="PE198" s="255"/>
      <c r="PF198" s="255"/>
      <c r="PG198" s="255"/>
      <c r="PH198" s="255"/>
      <c r="PI198" s="255"/>
      <c r="PJ198" s="255"/>
      <c r="PK198" s="255"/>
      <c r="PL198" s="255"/>
      <c r="PM198" s="255"/>
      <c r="PN198" s="255"/>
      <c r="PO198" s="255"/>
      <c r="PP198" s="255"/>
      <c r="PQ198" s="255"/>
      <c r="PR198" s="255"/>
      <c r="PS198" s="255"/>
      <c r="PT198" s="255"/>
      <c r="PU198" s="255"/>
      <c r="PV198" s="255"/>
      <c r="PW198" s="255"/>
      <c r="PX198" s="255"/>
      <c r="PY198" s="255"/>
      <c r="PZ198" s="255"/>
      <c r="QA198" s="255"/>
      <c r="QB198" s="255"/>
      <c r="QC198" s="255"/>
      <c r="QD198" s="255"/>
      <c r="QE198" s="255"/>
      <c r="QF198" s="255"/>
      <c r="QG198" s="255"/>
      <c r="QH198" s="255"/>
      <c r="QI198" s="255"/>
      <c r="QJ198" s="255"/>
      <c r="QK198" s="255"/>
      <c r="QL198" s="255"/>
      <c r="QM198" s="255"/>
      <c r="QN198" s="255"/>
      <c r="QO198" s="255"/>
      <c r="QP198" s="255"/>
      <c r="QQ198" s="255"/>
      <c r="QR198" s="255"/>
      <c r="QS198" s="255"/>
      <c r="QT198" s="255"/>
      <c r="QU198" s="255"/>
      <c r="QV198" s="255"/>
      <c r="QW198" s="255"/>
      <c r="QX198" s="255"/>
      <c r="QY198" s="255"/>
      <c r="QZ198" s="255"/>
      <c r="RA198" s="255"/>
      <c r="RB198" s="255"/>
      <c r="RC198" s="255"/>
      <c r="RD198" s="255"/>
      <c r="RE198" s="255"/>
      <c r="RF198" s="255"/>
      <c r="RG198" s="255"/>
      <c r="RH198" s="255"/>
      <c r="RI198" s="255"/>
      <c r="RJ198" s="255"/>
      <c r="RK198" s="255"/>
      <c r="RL198" s="255"/>
      <c r="RM198" s="255"/>
      <c r="RN198" s="255"/>
      <c r="RO198" s="255"/>
      <c r="RP198" s="255"/>
      <c r="RQ198" s="255"/>
      <c r="RR198" s="255"/>
      <c r="RS198" s="255"/>
      <c r="RT198" s="255"/>
      <c r="RU198" s="255"/>
      <c r="RV198" s="255"/>
      <c r="RW198" s="255"/>
      <c r="RX198" s="255"/>
      <c r="RY198" s="255"/>
      <c r="RZ198" s="255"/>
      <c r="SA198" s="255"/>
      <c r="SB198" s="255"/>
      <c r="SC198" s="255"/>
      <c r="SD198" s="255"/>
      <c r="SE198" s="255"/>
      <c r="SF198" s="255"/>
      <c r="SG198" s="255"/>
      <c r="SH198" s="255"/>
      <c r="SI198" s="255"/>
      <c r="SJ198" s="255"/>
      <c r="SK198" s="255"/>
      <c r="SL198" s="255"/>
      <c r="SM198" s="255"/>
      <c r="SN198" s="255"/>
      <c r="SO198" s="255"/>
      <c r="SP198" s="255"/>
      <c r="SQ198" s="255"/>
      <c r="SR198" s="255"/>
      <c r="SS198" s="255"/>
      <c r="ST198" s="255"/>
      <c r="SU198" s="255"/>
      <c r="SV198" s="255"/>
      <c r="SW198" s="255"/>
      <c r="SX198" s="255"/>
      <c r="SY198" s="255"/>
      <c r="SZ198" s="255"/>
      <c r="TA198" s="255"/>
      <c r="TB198" s="255"/>
      <c r="TC198" s="255"/>
      <c r="TD198" s="255"/>
      <c r="TE198" s="255"/>
      <c r="TF198" s="255"/>
      <c r="TG198" s="255"/>
      <c r="TH198" s="255"/>
      <c r="TI198" s="255"/>
      <c r="TJ198" s="255"/>
      <c r="TK198" s="255"/>
      <c r="TL198" s="255"/>
      <c r="TM198" s="255"/>
      <c r="TN198" s="255"/>
      <c r="TO198" s="255"/>
      <c r="TP198" s="255"/>
      <c r="TQ198" s="255"/>
      <c r="TR198" s="255"/>
      <c r="TS198" s="255"/>
      <c r="TT198" s="255"/>
      <c r="TU198" s="255"/>
      <c r="TV198" s="255"/>
      <c r="TW198" s="255"/>
      <c r="TX198" s="255"/>
      <c r="TY198" s="255"/>
      <c r="TZ198" s="255"/>
      <c r="UA198" s="255"/>
      <c r="UB198" s="255"/>
      <c r="UC198" s="255"/>
      <c r="UD198" s="255"/>
      <c r="UE198" s="255"/>
      <c r="UF198" s="255"/>
      <c r="UG198" s="255"/>
      <c r="UH198" s="255"/>
      <c r="UI198" s="255"/>
      <c r="UJ198" s="255"/>
      <c r="UK198" s="255"/>
      <c r="UL198" s="255"/>
      <c r="UM198" s="255"/>
      <c r="UN198" s="255"/>
      <c r="UO198" s="255"/>
      <c r="UP198" s="255"/>
      <c r="UQ198" s="255"/>
      <c r="UR198" s="255"/>
      <c r="US198" s="255"/>
      <c r="UT198" s="255"/>
      <c r="UU198" s="255"/>
      <c r="UV198" s="255"/>
      <c r="UW198" s="255"/>
      <c r="UX198" s="255"/>
      <c r="UY198" s="255"/>
      <c r="UZ198" s="255"/>
      <c r="VA198" s="255"/>
      <c r="VB198" s="255"/>
      <c r="VC198" s="255"/>
      <c r="VD198" s="255"/>
      <c r="VE198" s="255"/>
      <c r="VF198" s="255"/>
      <c r="VG198" s="255"/>
      <c r="VH198" s="255"/>
      <c r="VI198" s="255"/>
      <c r="VJ198" s="255"/>
      <c r="VK198" s="255"/>
      <c r="VL198" s="255"/>
      <c r="VM198" s="255"/>
      <c r="VN198" s="255"/>
      <c r="VO198" s="255"/>
      <c r="VP198" s="255"/>
      <c r="VQ198" s="255"/>
      <c r="VR198" s="255"/>
      <c r="VS198" s="255"/>
      <c r="VT198" s="255"/>
      <c r="VU198" s="255"/>
      <c r="VV198" s="255"/>
      <c r="VW198" s="255"/>
      <c r="VX198" s="255"/>
      <c r="VY198" s="255"/>
      <c r="VZ198" s="255"/>
      <c r="WA198" s="255"/>
      <c r="WB198" s="255"/>
      <c r="WC198" s="255"/>
      <c r="WD198" s="255"/>
      <c r="WE198" s="255"/>
      <c r="WF198" s="255"/>
      <c r="WG198" s="255"/>
      <c r="WH198" s="255"/>
      <c r="WI198" s="255"/>
      <c r="WJ198" s="255"/>
      <c r="WK198" s="255"/>
      <c r="WL198" s="255"/>
      <c r="WM198" s="255"/>
      <c r="WN198" s="255"/>
      <c r="WO198" s="255"/>
      <c r="WP198" s="255"/>
      <c r="WQ198" s="255"/>
      <c r="WR198" s="255"/>
      <c r="WS198" s="255"/>
      <c r="WT198" s="255"/>
      <c r="WU198" s="255"/>
      <c r="WV198" s="255"/>
      <c r="WW198" s="255"/>
      <c r="WX198" s="255"/>
      <c r="WY198" s="255"/>
      <c r="WZ198" s="255"/>
      <c r="XA198" s="255"/>
      <c r="XB198" s="255"/>
      <c r="XC198" s="255"/>
      <c r="XD198" s="255"/>
      <c r="XE198" s="255"/>
      <c r="XF198" s="255"/>
      <c r="XG198" s="255"/>
      <c r="XH198" s="255"/>
      <c r="XI198" s="255"/>
      <c r="XJ198" s="255"/>
      <c r="XK198" s="255"/>
      <c r="XL198" s="255"/>
      <c r="XM198" s="255"/>
      <c r="XN198" s="255"/>
      <c r="XO198" s="255"/>
      <c r="XP198" s="255"/>
      <c r="XQ198" s="255"/>
      <c r="XR198" s="255"/>
      <c r="XS198" s="255"/>
      <c r="XT198" s="255"/>
      <c r="XU198" s="255"/>
      <c r="XV198" s="255"/>
      <c r="XW198" s="255"/>
      <c r="XX198" s="255"/>
      <c r="XY198" s="255"/>
      <c r="XZ198" s="255"/>
      <c r="YA198" s="255"/>
      <c r="YB198" s="255"/>
      <c r="YC198" s="255"/>
      <c r="YD198" s="255"/>
      <c r="YE198" s="255"/>
      <c r="YF198" s="255"/>
      <c r="YG198" s="255"/>
      <c r="YH198" s="255"/>
      <c r="YI198" s="255"/>
      <c r="YJ198" s="255"/>
      <c r="YK198" s="255"/>
      <c r="YL198" s="255"/>
      <c r="YM198" s="255"/>
      <c r="YN198" s="255"/>
      <c r="YO198" s="255"/>
      <c r="YP198" s="255"/>
      <c r="YQ198" s="255"/>
      <c r="YR198" s="255"/>
      <c r="YS198" s="255"/>
      <c r="YT198" s="255"/>
      <c r="YU198" s="255"/>
      <c r="YV198" s="255"/>
      <c r="YW198" s="255"/>
      <c r="YX198" s="255"/>
      <c r="YY198" s="255"/>
      <c r="YZ198" s="255"/>
      <c r="ZA198" s="255"/>
      <c r="ZB198" s="255"/>
      <c r="ZC198" s="255"/>
      <c r="ZD198" s="255"/>
      <c r="ZE198" s="255"/>
      <c r="ZF198" s="255"/>
      <c r="ZG198" s="255"/>
      <c r="ZH198" s="255"/>
      <c r="ZI198" s="255"/>
      <c r="ZJ198" s="255"/>
      <c r="ZK198" s="255"/>
      <c r="ZL198" s="255"/>
      <c r="ZM198" s="255"/>
      <c r="ZN198" s="255"/>
      <c r="ZO198" s="255"/>
      <c r="ZP198" s="255"/>
      <c r="ZQ198" s="255"/>
      <c r="ZR198" s="255"/>
      <c r="ZS198" s="255"/>
      <c r="ZT198" s="255"/>
      <c r="ZU198" s="255"/>
      <c r="ZV198" s="255"/>
      <c r="ZW198" s="255"/>
      <c r="ZX198" s="255"/>
      <c r="ZY198" s="255"/>
      <c r="ZZ198" s="255"/>
      <c r="AAA198" s="255"/>
      <c r="AAB198" s="255"/>
      <c r="AAC198" s="255"/>
      <c r="AAD198" s="255"/>
      <c r="AAE198" s="255"/>
      <c r="AAF198" s="255"/>
      <c r="AAG198" s="255"/>
      <c r="AAH198" s="255"/>
      <c r="AAI198" s="255"/>
      <c r="AAJ198" s="255"/>
      <c r="AAK198" s="255"/>
      <c r="AAL198" s="255"/>
      <c r="AAM198" s="255"/>
      <c r="AAN198" s="255"/>
      <c r="AAO198" s="255"/>
      <c r="AAP198" s="255"/>
      <c r="AAQ198" s="255"/>
      <c r="AAR198" s="255"/>
      <c r="AAS198" s="255"/>
      <c r="AAT198" s="255"/>
      <c r="AAU198" s="255"/>
      <c r="AAV198" s="255"/>
      <c r="AAW198" s="255"/>
      <c r="AAX198" s="255"/>
      <c r="AAY198" s="255"/>
      <c r="AAZ198" s="255"/>
      <c r="ABA198" s="255"/>
      <c r="ABB198" s="255"/>
      <c r="ABC198" s="255"/>
      <c r="ABD198" s="255"/>
      <c r="ABE198" s="255"/>
      <c r="ABF198" s="255"/>
      <c r="ABG198" s="255"/>
      <c r="ABH198" s="255"/>
      <c r="ABI198" s="255"/>
      <c r="ABJ198" s="255"/>
      <c r="ABK198" s="255"/>
      <c r="ABL198" s="255"/>
      <c r="ABM198" s="255"/>
      <c r="ABN198" s="255"/>
      <c r="ABO198" s="255"/>
      <c r="ABP198" s="255"/>
      <c r="ABQ198" s="255"/>
      <c r="ABR198" s="255"/>
      <c r="ABS198" s="255"/>
      <c r="ABT198" s="255"/>
      <c r="ABU198" s="255"/>
      <c r="ABV198" s="255"/>
      <c r="ABW198" s="255"/>
      <c r="ABX198" s="255"/>
      <c r="ABY198" s="255"/>
      <c r="ABZ198" s="255"/>
      <c r="ACA198" s="255"/>
      <c r="ACB198" s="255"/>
      <c r="ACC198" s="255"/>
      <c r="ACD198" s="255"/>
      <c r="ACE198" s="255"/>
      <c r="ACF198" s="255"/>
      <c r="ACG198" s="255"/>
      <c r="ACH198" s="255"/>
      <c r="ACI198" s="255"/>
      <c r="ACJ198" s="255"/>
      <c r="ACK198" s="255"/>
      <c r="ACL198" s="255"/>
      <c r="ACM198" s="255"/>
      <c r="ACN198" s="255"/>
      <c r="ACO198" s="255"/>
      <c r="ACP198" s="255"/>
      <c r="ACQ198" s="255"/>
      <c r="ACR198" s="255"/>
      <c r="ACS198" s="255"/>
      <c r="ACT198" s="255"/>
      <c r="ACU198" s="255"/>
      <c r="ACV198" s="255"/>
      <c r="ACW198" s="255"/>
      <c r="ACX198" s="255"/>
      <c r="ACY198" s="255"/>
      <c r="ACZ198" s="255"/>
      <c r="ADA198" s="255"/>
      <c r="ADB198" s="255"/>
      <c r="ADC198" s="255"/>
      <c r="ADD198" s="255"/>
      <c r="ADE198" s="255"/>
      <c r="ADF198" s="255"/>
      <c r="ADG198" s="255"/>
      <c r="ADH198" s="255"/>
      <c r="ADI198" s="255"/>
      <c r="ADJ198" s="255"/>
      <c r="ADK198" s="255"/>
      <c r="ADL198" s="255"/>
      <c r="ADM198" s="255"/>
      <c r="ADN198" s="255"/>
      <c r="ADO198" s="255"/>
      <c r="ADP198" s="255"/>
      <c r="ADQ198" s="255"/>
      <c r="ADR198" s="255"/>
      <c r="ADS198" s="255"/>
      <c r="ADT198" s="255"/>
      <c r="ADU198" s="255"/>
      <c r="ADV198" s="255"/>
      <c r="ADW198" s="255"/>
      <c r="ADX198" s="255"/>
      <c r="ADY198" s="255"/>
      <c r="ADZ198" s="255"/>
      <c r="AEA198" s="255"/>
      <c r="AEB198" s="255"/>
      <c r="AEC198" s="255"/>
      <c r="AED198" s="255"/>
      <c r="AEE198" s="255"/>
      <c r="AEF198" s="255"/>
      <c r="AEG198" s="255"/>
      <c r="AEH198" s="255"/>
      <c r="AEI198" s="255"/>
      <c r="AEJ198" s="255"/>
      <c r="AEK198" s="255"/>
      <c r="AEL198" s="255"/>
      <c r="AEM198" s="255"/>
      <c r="AEN198" s="255"/>
      <c r="AEO198" s="255"/>
      <c r="AEP198" s="255"/>
      <c r="AEQ198" s="255"/>
      <c r="AER198" s="255"/>
      <c r="AES198" s="255"/>
      <c r="AET198" s="255"/>
      <c r="AEU198" s="255"/>
      <c r="AEV198" s="255"/>
      <c r="AEW198" s="255"/>
      <c r="AEX198" s="255"/>
      <c r="AEY198" s="255"/>
      <c r="AEZ198" s="255"/>
      <c r="AFA198" s="255"/>
      <c r="AFB198" s="255"/>
      <c r="AFC198" s="255"/>
      <c r="AFD198" s="255"/>
      <c r="AFE198" s="255"/>
      <c r="AFF198" s="255"/>
      <c r="AFG198" s="255"/>
      <c r="AFH198" s="255"/>
      <c r="AFI198" s="255"/>
      <c r="AFJ198" s="255"/>
      <c r="AFK198" s="255"/>
      <c r="AFL198" s="255"/>
      <c r="AFM198" s="255"/>
      <c r="AFN198" s="255"/>
      <c r="AFO198" s="255"/>
      <c r="AFP198" s="255"/>
      <c r="AFQ198" s="255"/>
      <c r="AFR198" s="255"/>
      <c r="AFS198" s="255"/>
      <c r="AFT198" s="255"/>
      <c r="AFU198" s="255"/>
      <c r="AFV198" s="255"/>
      <c r="AFW198" s="255"/>
      <c r="AFX198" s="255"/>
      <c r="AFY198" s="255"/>
      <c r="AFZ198" s="255"/>
      <c r="AGA198" s="255"/>
      <c r="AGB198" s="255"/>
      <c r="AGC198" s="255"/>
      <c r="AGD198" s="255"/>
      <c r="AGE198" s="255"/>
      <c r="AGF198" s="255"/>
      <c r="AGG198" s="255"/>
      <c r="AGH198" s="255"/>
      <c r="AGI198" s="255"/>
      <c r="AGJ198" s="255"/>
      <c r="AGK198" s="255"/>
      <c r="AGL198" s="255"/>
      <c r="AGM198" s="255"/>
      <c r="AGN198" s="255"/>
      <c r="AGO198" s="255"/>
      <c r="AGP198" s="255"/>
      <c r="AGQ198" s="255"/>
      <c r="AGR198" s="255"/>
      <c r="AGS198" s="255"/>
      <c r="AGT198" s="255"/>
      <c r="AGU198" s="255"/>
      <c r="AGV198" s="255"/>
      <c r="AGW198" s="255"/>
      <c r="AGX198" s="255"/>
      <c r="AGY198" s="255"/>
      <c r="AGZ198" s="255"/>
      <c r="AHA198" s="255"/>
      <c r="AHB198" s="255"/>
      <c r="AHC198" s="255"/>
      <c r="AHD198" s="255"/>
      <c r="AHE198" s="255"/>
      <c r="AHF198" s="255"/>
      <c r="AHG198" s="255"/>
      <c r="AHH198" s="255"/>
      <c r="AHI198" s="255"/>
      <c r="AHJ198" s="255"/>
      <c r="AHK198" s="255"/>
      <c r="AHL198" s="255"/>
      <c r="AHM198" s="255"/>
      <c r="AHN198" s="255"/>
      <c r="AHO198" s="255"/>
      <c r="AHP198" s="255"/>
      <c r="AHQ198" s="255"/>
      <c r="AHR198" s="255"/>
      <c r="AHS198" s="255"/>
      <c r="AHT198" s="255"/>
      <c r="AHU198" s="255"/>
      <c r="AHV198" s="255"/>
      <c r="AHW198" s="255"/>
      <c r="AHX198" s="255"/>
      <c r="AHY198" s="255"/>
      <c r="AHZ198" s="255"/>
      <c r="AIA198" s="255"/>
      <c r="AIB198" s="255"/>
      <c r="AIC198" s="255"/>
      <c r="AID198" s="255"/>
      <c r="AIE198" s="255"/>
      <c r="AIF198" s="255"/>
      <c r="AIG198" s="255"/>
      <c r="AIH198" s="255"/>
      <c r="AII198" s="255"/>
      <c r="AIJ198" s="255"/>
      <c r="AIK198" s="255"/>
      <c r="AIL198" s="255"/>
      <c r="AIM198" s="255"/>
      <c r="AIN198" s="255"/>
      <c r="AIO198" s="255"/>
      <c r="AIP198" s="255"/>
      <c r="AIQ198" s="255"/>
      <c r="AIR198" s="255"/>
      <c r="AIS198" s="255"/>
      <c r="AIT198" s="255"/>
      <c r="AIU198" s="255"/>
      <c r="AIV198" s="255"/>
      <c r="AIW198" s="255"/>
      <c r="AIX198" s="255"/>
      <c r="AIY198" s="255"/>
      <c r="AIZ198" s="255"/>
      <c r="AJA198" s="255"/>
      <c r="AJB198" s="255"/>
      <c r="AJC198" s="255"/>
      <c r="AJD198" s="255"/>
      <c r="AJE198" s="255"/>
      <c r="AJF198" s="255"/>
      <c r="AJG198" s="255"/>
      <c r="AJH198" s="255"/>
      <c r="AJI198" s="255"/>
      <c r="AJJ198" s="255"/>
      <c r="AJK198" s="255"/>
      <c r="AJL198" s="255"/>
      <c r="AJM198" s="255"/>
      <c r="AJN198" s="255"/>
      <c r="AJO198" s="255"/>
      <c r="AJP198" s="255"/>
      <c r="AJQ198" s="255"/>
      <c r="AJR198" s="255"/>
      <c r="AJS198" s="255"/>
      <c r="AJT198" s="255"/>
      <c r="AJU198" s="255"/>
      <c r="AJV198" s="255"/>
      <c r="AJW198" s="255"/>
      <c r="AJX198" s="255"/>
      <c r="AJY198" s="255"/>
      <c r="AJZ198" s="255"/>
      <c r="AKA198" s="255"/>
      <c r="AKB198" s="255"/>
      <c r="AKC198" s="255"/>
      <c r="AKD198" s="255"/>
      <c r="AKE198" s="255"/>
      <c r="AKF198" s="255"/>
      <c r="AKG198" s="255"/>
      <c r="AKH198" s="255"/>
      <c r="AKI198" s="255"/>
      <c r="AKJ198" s="255"/>
      <c r="AKK198" s="255"/>
      <c r="AKL198" s="255"/>
      <c r="AKM198" s="255"/>
      <c r="AKN198" s="255"/>
      <c r="AKO198" s="255"/>
      <c r="AKP198" s="255"/>
      <c r="AKQ198" s="255"/>
      <c r="AKR198" s="255"/>
      <c r="AKS198" s="255"/>
      <c r="AKT198" s="255"/>
      <c r="AKU198" s="255"/>
      <c r="AKV198" s="255"/>
      <c r="AKW198" s="255"/>
      <c r="AKX198" s="255"/>
      <c r="AKY198" s="255"/>
      <c r="AKZ198" s="255"/>
      <c r="ALA198" s="255"/>
      <c r="ALB198" s="255"/>
      <c r="ALC198" s="255"/>
      <c r="ALD198" s="255"/>
      <c r="ALE198" s="42"/>
      <c r="ALF198" s="42"/>
      <c r="ALG198" s="42"/>
      <c r="ALH198" s="42"/>
      <c r="ALI198" s="42"/>
      <c r="ALJ198" s="42"/>
      <c r="ALK198" s="42"/>
      <c r="ALL198" s="42"/>
      <c r="ALM198" s="42"/>
    </row>
    <row r="199" spans="1:1001" ht="15">
      <c r="A199" s="680" t="s">
        <v>6928</v>
      </c>
      <c r="B199" s="695"/>
      <c r="C199" s="695"/>
      <c r="D199" s="695"/>
      <c r="E199" s="695"/>
      <c r="F199" s="695"/>
      <c r="G199" s="695"/>
      <c r="H199" s="695"/>
      <c r="I199" s="695"/>
      <c r="J199" s="281">
        <f>J195+J189+J178+J174+J167+J164+J160+J149+J146+J143+J138+J117+J86+J19+J15</f>
        <v>372824.72649692738</v>
      </c>
      <c r="K199" s="255"/>
      <c r="L199" s="255"/>
      <c r="M199" s="255"/>
      <c r="N199" s="255"/>
      <c r="O199" s="255"/>
      <c r="P199" s="255"/>
    </row>
    <row r="200" spans="1:1001">
      <c r="D200" s="16" t="s">
        <v>6922</v>
      </c>
      <c r="K200" s="255"/>
      <c r="L200" s="255"/>
      <c r="M200" s="255"/>
      <c r="N200" s="255"/>
      <c r="O200" s="255"/>
      <c r="P200" s="255"/>
    </row>
    <row r="201" spans="1:1001">
      <c r="D201" s="16" t="s">
        <v>6922</v>
      </c>
      <c r="K201" s="255"/>
      <c r="L201" s="255"/>
      <c r="M201" s="255"/>
      <c r="N201" s="255"/>
      <c r="O201" s="255"/>
      <c r="P201" s="255"/>
    </row>
    <row r="202" spans="1:1001">
      <c r="D202" s="16" t="s">
        <v>6922</v>
      </c>
      <c r="K202" s="255"/>
      <c r="L202" s="255"/>
      <c r="M202" s="255"/>
      <c r="N202" s="255"/>
      <c r="O202" s="255"/>
      <c r="P202" s="255"/>
    </row>
    <row r="203" spans="1:1001">
      <c r="D203" s="16" t="s">
        <v>6922</v>
      </c>
      <c r="K203" s="255"/>
      <c r="L203" s="255"/>
      <c r="M203" s="255"/>
      <c r="N203" s="255"/>
      <c r="O203" s="255"/>
      <c r="P203" s="255"/>
    </row>
    <row r="204" spans="1:1001" ht="13.5">
      <c r="B204" s="98"/>
      <c r="C204" s="87"/>
      <c r="D204" s="12" t="s">
        <v>6922</v>
      </c>
      <c r="K204" s="255"/>
      <c r="L204" s="255"/>
      <c r="M204" s="255"/>
      <c r="N204" s="255"/>
      <c r="O204" s="255"/>
      <c r="P204" s="255"/>
    </row>
    <row r="205" spans="1:1001" ht="13.5">
      <c r="B205" s="98"/>
      <c r="C205" s="87"/>
      <c r="D205" s="12" t="s">
        <v>6922</v>
      </c>
      <c r="K205" s="255"/>
      <c r="L205" s="255"/>
      <c r="M205" s="255"/>
      <c r="N205" s="255"/>
      <c r="O205" s="255"/>
      <c r="P205" s="255"/>
    </row>
    <row r="206" spans="1:1001" ht="13.5">
      <c r="B206" s="98"/>
      <c r="C206" s="87"/>
      <c r="D206" s="12" t="s">
        <v>6922</v>
      </c>
      <c r="K206" s="255"/>
      <c r="L206" s="255"/>
      <c r="M206" s="255"/>
      <c r="N206" s="255"/>
      <c r="O206" s="255"/>
      <c r="P206" s="255"/>
    </row>
    <row r="207" spans="1:1001" ht="13.5">
      <c r="B207" s="98"/>
      <c r="C207" s="87"/>
      <c r="D207" s="12" t="s">
        <v>6922</v>
      </c>
      <c r="K207" s="255"/>
      <c r="L207" s="255"/>
      <c r="M207" s="255"/>
      <c r="N207" s="255"/>
      <c r="O207" s="255"/>
      <c r="P207" s="255"/>
    </row>
    <row r="208" spans="1:1001" ht="13.5">
      <c r="B208" s="98"/>
      <c r="C208" s="87"/>
      <c r="D208" s="12" t="s">
        <v>6922</v>
      </c>
      <c r="K208" s="255"/>
      <c r="L208" s="255"/>
      <c r="M208" s="255"/>
      <c r="N208" s="255"/>
      <c r="O208" s="255"/>
      <c r="P208" s="255"/>
    </row>
    <row r="209" spans="2:16" ht="13.5">
      <c r="B209" s="98"/>
      <c r="C209" s="87"/>
      <c r="D209" s="12" t="s">
        <v>6922</v>
      </c>
      <c r="K209" s="255"/>
      <c r="L209" s="255"/>
      <c r="M209" s="255"/>
      <c r="N209" s="255"/>
      <c r="O209" s="255"/>
      <c r="P209" s="255"/>
    </row>
    <row r="210" spans="2:16" ht="13.5">
      <c r="B210" s="98"/>
      <c r="C210" s="87"/>
      <c r="D210" s="12" t="s">
        <v>6922</v>
      </c>
      <c r="K210" s="255"/>
      <c r="L210" s="255"/>
      <c r="M210" s="255"/>
      <c r="N210" s="255"/>
      <c r="O210" s="255"/>
      <c r="P210" s="255"/>
    </row>
    <row r="211" spans="2:16" ht="13.5">
      <c r="B211" s="98"/>
      <c r="C211" s="87"/>
      <c r="D211" s="12" t="s">
        <v>6922</v>
      </c>
      <c r="K211" s="255"/>
      <c r="L211" s="255"/>
      <c r="M211" s="255"/>
      <c r="N211" s="255"/>
      <c r="O211" s="255"/>
      <c r="P211" s="255"/>
    </row>
    <row r="212" spans="2:16" ht="13.5">
      <c r="B212" s="98"/>
      <c r="C212" s="87"/>
      <c r="D212" s="12" t="s">
        <v>6922</v>
      </c>
      <c r="K212" s="255"/>
      <c r="L212" s="255"/>
      <c r="M212" s="255"/>
      <c r="N212" s="255"/>
      <c r="O212" s="255"/>
      <c r="P212" s="255"/>
    </row>
    <row r="213" spans="2:16" ht="13.5">
      <c r="B213" s="98"/>
      <c r="C213" s="87"/>
      <c r="D213" s="12" t="s">
        <v>6922</v>
      </c>
      <c r="K213" s="255"/>
      <c r="L213" s="255"/>
      <c r="M213" s="255"/>
      <c r="N213" s="255"/>
      <c r="O213" s="255"/>
      <c r="P213" s="255"/>
    </row>
    <row r="214" spans="2:16" ht="13.5">
      <c r="B214" s="98"/>
      <c r="C214" s="87"/>
      <c r="D214" s="12" t="s">
        <v>6922</v>
      </c>
      <c r="K214" s="255"/>
      <c r="L214" s="255"/>
      <c r="M214" s="255"/>
      <c r="N214" s="255"/>
      <c r="O214" s="255"/>
      <c r="P214" s="255"/>
    </row>
    <row r="215" spans="2:16" ht="13.5">
      <c r="B215" s="98"/>
      <c r="C215" s="87"/>
      <c r="D215" s="12" t="s">
        <v>6922</v>
      </c>
      <c r="K215" s="255"/>
      <c r="L215" s="255"/>
      <c r="M215" s="255"/>
      <c r="N215" s="255"/>
      <c r="O215" s="255"/>
      <c r="P215" s="255"/>
    </row>
    <row r="216" spans="2:16" ht="13.5">
      <c r="B216" s="98"/>
      <c r="C216" s="87"/>
      <c r="D216" s="12" t="s">
        <v>6922</v>
      </c>
    </row>
    <row r="217" spans="2:16" ht="13.5">
      <c r="B217" s="98"/>
      <c r="C217" s="87"/>
      <c r="D217" s="12" t="s">
        <v>6922</v>
      </c>
    </row>
    <row r="218" spans="2:16" ht="13.5">
      <c r="B218" s="98"/>
      <c r="C218" s="87"/>
      <c r="D218" s="12" t="s">
        <v>6922</v>
      </c>
    </row>
    <row r="219" spans="2:16" ht="13.5">
      <c r="B219" s="98"/>
      <c r="C219" s="87"/>
      <c r="D219" s="12" t="s">
        <v>6922</v>
      </c>
    </row>
    <row r="220" spans="2:16" ht="13.5">
      <c r="B220" s="98"/>
      <c r="C220" s="87"/>
      <c r="D220" s="12" t="s">
        <v>6922</v>
      </c>
    </row>
    <row r="221" spans="2:16" ht="13.5">
      <c r="B221" s="98"/>
      <c r="C221" s="87"/>
      <c r="D221" s="12" t="s">
        <v>6922</v>
      </c>
    </row>
    <row r="222" spans="2:16" ht="13.5">
      <c r="B222" s="98"/>
      <c r="C222" s="87"/>
      <c r="D222" s="12" t="s">
        <v>6922</v>
      </c>
    </row>
    <row r="223" spans="2:16" ht="13.5">
      <c r="B223" s="98"/>
      <c r="C223" s="87"/>
      <c r="D223" s="12" t="s">
        <v>6922</v>
      </c>
    </row>
    <row r="224" spans="2:16" ht="13.5">
      <c r="B224" s="98"/>
      <c r="C224" s="87"/>
      <c r="D224" s="12" t="s">
        <v>6922</v>
      </c>
    </row>
    <row r="225" spans="2:4" ht="13.5">
      <c r="B225" s="98"/>
      <c r="C225" s="87"/>
      <c r="D225" s="12" t="s">
        <v>6922</v>
      </c>
    </row>
    <row r="226" spans="2:4" ht="13.5">
      <c r="B226" s="98"/>
      <c r="C226" s="87"/>
      <c r="D226" s="12" t="s">
        <v>6922</v>
      </c>
    </row>
    <row r="227" spans="2:4" ht="13.5">
      <c r="B227" s="98"/>
      <c r="C227" s="87"/>
      <c r="D227" s="12" t="s">
        <v>6922</v>
      </c>
    </row>
    <row r="228" spans="2:4" ht="13.5">
      <c r="B228" s="98"/>
      <c r="C228" s="87"/>
      <c r="D228" s="12" t="s">
        <v>6922</v>
      </c>
    </row>
    <row r="229" spans="2:4" ht="13.5">
      <c r="B229" s="98"/>
      <c r="C229" s="87"/>
      <c r="D229" s="12" t="s">
        <v>6922</v>
      </c>
    </row>
    <row r="230" spans="2:4" ht="13.5">
      <c r="B230" s="98"/>
      <c r="C230" s="87"/>
      <c r="D230" s="12" t="s">
        <v>6922</v>
      </c>
    </row>
    <row r="231" spans="2:4" ht="13.5">
      <c r="B231" s="98"/>
      <c r="C231" s="87"/>
      <c r="D231" s="12" t="s">
        <v>6922</v>
      </c>
    </row>
    <row r="232" spans="2:4" ht="13.5">
      <c r="B232" s="98"/>
      <c r="C232" s="87"/>
      <c r="D232" s="12" t="s">
        <v>6922</v>
      </c>
    </row>
    <row r="233" spans="2:4" ht="13.5">
      <c r="B233" s="98"/>
      <c r="C233" s="87"/>
      <c r="D233" s="12"/>
    </row>
    <row r="234" spans="2:4" ht="13.5">
      <c r="B234" s="98"/>
      <c r="C234" s="87"/>
      <c r="D234" s="12"/>
    </row>
    <row r="235" spans="2:4" ht="13.5">
      <c r="B235" s="98"/>
      <c r="C235" s="87"/>
      <c r="D235" s="12"/>
    </row>
    <row r="236" spans="2:4" ht="13.5">
      <c r="B236" s="98"/>
      <c r="C236" s="87"/>
      <c r="D236" s="12"/>
    </row>
    <row r="237" spans="2:4" ht="13.5">
      <c r="B237" s="98"/>
      <c r="C237" s="87"/>
      <c r="D237" s="12"/>
    </row>
    <row r="238" spans="2:4" ht="13.5">
      <c r="B238" s="98"/>
      <c r="C238" s="87"/>
      <c r="D238" s="12"/>
    </row>
    <row r="239" spans="2:4" ht="13.5">
      <c r="B239" s="98"/>
      <c r="C239" s="87"/>
      <c r="D239" s="12"/>
    </row>
    <row r="240" spans="2:4" ht="13.5">
      <c r="B240" s="98"/>
      <c r="C240" s="87"/>
      <c r="D240" s="12"/>
    </row>
    <row r="241" spans="2:4" ht="13.5">
      <c r="B241" s="98"/>
      <c r="C241" s="87"/>
      <c r="D241" s="12"/>
    </row>
    <row r="242" spans="2:4" ht="13.5">
      <c r="B242" s="98"/>
      <c r="C242" s="87"/>
      <c r="D242" s="12"/>
    </row>
    <row r="243" spans="2:4" ht="13.5">
      <c r="B243" s="98"/>
      <c r="C243" s="87"/>
      <c r="D243" s="12"/>
    </row>
    <row r="244" spans="2:4" ht="13.5">
      <c r="B244" s="98"/>
      <c r="C244" s="87"/>
      <c r="D244" s="12"/>
    </row>
    <row r="245" spans="2:4" ht="13.5">
      <c r="B245" s="98"/>
      <c r="C245" s="87"/>
      <c r="D245" s="12"/>
    </row>
  </sheetData>
  <autoFilter ref="A12:J232" xr:uid="{00000000-0009-0000-0000-00000B000000}"/>
  <mergeCells count="18">
    <mergeCell ref="A146:I146"/>
    <mergeCell ref="A149:I149"/>
    <mergeCell ref="A160:I160"/>
    <mergeCell ref="A195:I195"/>
    <mergeCell ref="A199:I199"/>
    <mergeCell ref="A164:I164"/>
    <mergeCell ref="A167:I167"/>
    <mergeCell ref="A174:I174"/>
    <mergeCell ref="A178:I178"/>
    <mergeCell ref="A189:I189"/>
    <mergeCell ref="A197:I197"/>
    <mergeCell ref="A198:I198"/>
    <mergeCell ref="A15:I15"/>
    <mergeCell ref="A19:I19"/>
    <mergeCell ref="A117:I117"/>
    <mergeCell ref="A138:I138"/>
    <mergeCell ref="A143:I143"/>
    <mergeCell ref="A86:I86"/>
  </mergeCells>
  <pageMargins left="0.43307086614173229" right="0.23622047244094488"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LT215"/>
  <sheetViews>
    <sheetView showGridLines="0" view="pageBreakPreview" zoomScaleNormal="82" zoomScaleSheetLayoutView="100" workbookViewId="0">
      <selection activeCell="C4" sqref="C4:J6"/>
    </sheetView>
  </sheetViews>
  <sheetFormatPr defaultColWidth="9.140625" defaultRowHeight="12.75"/>
  <cols>
    <col min="1" max="1" width="10.7109375" style="16" customWidth="1"/>
    <col min="2" max="2" width="10.7109375" style="83" customWidth="1"/>
    <col min="3" max="3" width="70.7109375" style="132" customWidth="1"/>
    <col min="4" max="4" width="4.7109375" style="16" bestFit="1" customWidth="1"/>
    <col min="5" max="8" width="11.7109375" style="75" customWidth="1"/>
    <col min="9" max="9" width="14.28515625" style="75" customWidth="1"/>
    <col min="10" max="10" width="14.28515625" style="66" customWidth="1"/>
    <col min="11" max="13" width="12.140625" style="14" bestFit="1" customWidth="1"/>
    <col min="14" max="1008" width="9.140625" style="14"/>
    <col min="1009" max="16384" width="9.140625" style="18"/>
  </cols>
  <sheetData>
    <row r="1" spans="1:16" ht="24.95" customHeight="1">
      <c r="A1" s="416"/>
      <c r="B1" s="505"/>
      <c r="C1" s="506"/>
      <c r="D1" s="43"/>
      <c r="E1" s="56"/>
      <c r="F1" s="56"/>
      <c r="G1" s="56"/>
      <c r="H1" s="56"/>
      <c r="I1" s="56"/>
      <c r="J1" s="507"/>
    </row>
    <row r="2" spans="1:16" ht="24.95" customHeight="1">
      <c r="A2" s="418"/>
      <c r="B2" s="82"/>
      <c r="C2" s="129"/>
      <c r="D2" s="37"/>
      <c r="E2" s="57"/>
      <c r="F2" s="57"/>
      <c r="G2" s="57"/>
      <c r="H2" s="57"/>
      <c r="I2" s="57"/>
      <c r="J2" s="508"/>
    </row>
    <row r="3" spans="1:16" ht="24.95" customHeight="1">
      <c r="A3" s="418"/>
      <c r="B3" s="82"/>
      <c r="C3" s="129"/>
      <c r="D3" s="37"/>
      <c r="E3" s="57"/>
      <c r="F3" s="57"/>
      <c r="G3" s="57"/>
      <c r="H3" s="57"/>
      <c r="I3" s="57"/>
      <c r="J3" s="508"/>
    </row>
    <row r="4" spans="1:16" ht="14.1" customHeight="1">
      <c r="A4" s="426" t="s">
        <v>6295</v>
      </c>
      <c r="B4" s="470"/>
      <c r="C4" s="697" t="str">
        <f>+RESUMO!B5</f>
        <v>CONCLUSÃO DA CONSTRUÇÃO DO CENTRO DE ATENDIMENTO SÓCIO EDUCATIVO - CASE ITUMBIARA</v>
      </c>
      <c r="D4" s="698"/>
      <c r="E4" s="698"/>
      <c r="F4" s="698"/>
      <c r="G4" s="698"/>
      <c r="H4" s="698"/>
      <c r="I4" s="698"/>
      <c r="J4" s="699"/>
    </row>
    <row r="5" spans="1:16" ht="14.85" customHeight="1">
      <c r="A5" s="426" t="s">
        <v>6297</v>
      </c>
      <c r="B5" s="470"/>
      <c r="C5" s="509" t="str">
        <f>+RESUMO!B6</f>
        <v>SINAPI – NOVEMBRO/2020 (ONERADA)</v>
      </c>
      <c r="D5" s="422"/>
      <c r="E5" s="428"/>
      <c r="F5" s="428"/>
      <c r="G5" s="428"/>
      <c r="H5" s="428"/>
      <c r="I5" s="428"/>
      <c r="J5" s="510"/>
    </row>
    <row r="6" spans="1:16" ht="14.85" customHeight="1">
      <c r="A6" s="448" t="s">
        <v>5545</v>
      </c>
      <c r="B6" s="470"/>
      <c r="C6" s="509" t="str">
        <f>+RESUMO!B7</f>
        <v>MAIO / 2021</v>
      </c>
      <c r="D6" s="450"/>
      <c r="E6" s="428"/>
      <c r="F6" s="428"/>
      <c r="G6" s="428"/>
      <c r="H6" s="428"/>
      <c r="I6" s="428"/>
      <c r="J6" s="510"/>
      <c r="M6" s="255"/>
    </row>
    <row r="7" spans="1:16" ht="14.85" customHeight="1">
      <c r="A7" s="448" t="s">
        <v>6298</v>
      </c>
      <c r="B7" s="470"/>
      <c r="C7" s="511">
        <v>2.02000036012687E+18</v>
      </c>
      <c r="D7" s="457"/>
      <c r="E7" s="439"/>
      <c r="F7" s="439"/>
      <c r="G7" s="439"/>
      <c r="H7" s="439"/>
      <c r="I7" s="439"/>
      <c r="J7" s="510"/>
    </row>
    <row r="8" spans="1:16" ht="14.85" customHeight="1">
      <c r="A8" s="448" t="s">
        <v>6299</v>
      </c>
      <c r="B8" s="470"/>
      <c r="C8" s="512" t="s">
        <v>6923</v>
      </c>
      <c r="D8" s="457"/>
      <c r="E8" s="439"/>
      <c r="F8" s="439"/>
      <c r="G8" s="439"/>
      <c r="H8" s="439"/>
      <c r="I8" s="439"/>
      <c r="J8" s="510"/>
    </row>
    <row r="9" spans="1:16" ht="14.85" customHeight="1">
      <c r="A9" s="448" t="s">
        <v>6300</v>
      </c>
      <c r="B9" s="470"/>
      <c r="C9" s="512" t="s">
        <v>6341</v>
      </c>
      <c r="D9" s="457"/>
      <c r="E9" s="439"/>
      <c r="F9" s="439"/>
      <c r="G9" s="439"/>
      <c r="H9" s="439"/>
      <c r="I9" s="439"/>
      <c r="J9" s="510"/>
    </row>
    <row r="10" spans="1:16" ht="14.85" customHeight="1">
      <c r="A10" s="38"/>
      <c r="B10" s="82"/>
      <c r="C10" s="130"/>
      <c r="D10" s="38"/>
      <c r="E10" s="57"/>
      <c r="F10" s="57"/>
      <c r="G10" s="57"/>
      <c r="H10" s="57"/>
      <c r="I10" s="57"/>
      <c r="J10" s="64"/>
    </row>
    <row r="11" spans="1:16" ht="20.85" customHeight="1">
      <c r="A11" s="15" t="s">
        <v>5551</v>
      </c>
      <c r="B11" s="72" t="s">
        <v>0</v>
      </c>
      <c r="C11" s="131" t="s">
        <v>6305</v>
      </c>
      <c r="D11" s="15" t="s">
        <v>6306</v>
      </c>
      <c r="E11" s="59" t="s">
        <v>6311</v>
      </c>
      <c r="F11" s="59" t="s">
        <v>6285</v>
      </c>
      <c r="G11" s="59" t="s">
        <v>586</v>
      </c>
      <c r="H11" s="59" t="s">
        <v>6286</v>
      </c>
      <c r="I11" s="59" t="s">
        <v>6308</v>
      </c>
      <c r="J11" s="65" t="s">
        <v>6309</v>
      </c>
    </row>
    <row r="12" spans="1:16">
      <c r="A12" s="251"/>
      <c r="B12" s="272"/>
      <c r="C12" s="365"/>
      <c r="D12" s="274"/>
      <c r="E12" s="276"/>
      <c r="F12" s="276"/>
      <c r="G12" s="276"/>
      <c r="H12" s="276"/>
      <c r="I12" s="276"/>
      <c r="J12" s="366"/>
      <c r="L12" s="255"/>
      <c r="M12" s="255"/>
    </row>
    <row r="13" spans="1:16">
      <c r="A13" s="251"/>
      <c r="B13" s="299">
        <v>165</v>
      </c>
      <c r="C13" s="332" t="s">
        <v>611</v>
      </c>
      <c r="D13" s="274"/>
      <c r="E13" s="276"/>
      <c r="F13" s="276"/>
      <c r="G13" s="276"/>
      <c r="H13" s="276"/>
      <c r="I13" s="276"/>
      <c r="J13" s="366"/>
    </row>
    <row r="14" spans="1:16" ht="24">
      <c r="A14" s="251" t="s">
        <v>6307</v>
      </c>
      <c r="B14" s="290">
        <v>450</v>
      </c>
      <c r="C14" s="278" t="str">
        <f>(IF($A14="SINAPI",INDEX(SINAPI_NOV2020_NDES!$A$7:$H$6703,MATCH($B14,SINAPI_NOV2020_NDES!$A$7:$A$6703,0),2),IF($A14="GOINFRA",INDEX(#REF!,MATCH($B14,#REF!,0),2),(INDEX(COMPOS!$A$4:$G$39000,MATCH($B14,COMPOS!$A$4:A$39000,0),2)))))</f>
        <v>TRANSPORTE DE ENTULHO EM CAÇAMBA ESTACIONÁRIA INCLUSO A CARGA MANUAL</v>
      </c>
      <c r="D14" s="274" t="str">
        <f>(IF($A14="SINAPI",INDEX(SINAPI_NOV2020_NDES!$A$7:$H$6790,MATCH($B14,SINAPI_NOV2020_NDES!$A$7:$A$6790,0),3),(INDEX(COMPOS!$A$4:$G$5000,MATCH($B14,COMPOS!$A$4:$A$5000,0),3))))</f>
        <v>M3</v>
      </c>
      <c r="E14" s="276">
        <f>16.34*0.07*0.5</f>
        <v>0.57190000000000007</v>
      </c>
      <c r="F14" s="279">
        <f>(IF($A14="SINAPI",INDEX(SINAPI_NOV2020_NDES!$A$7:$H$6703,MATCH($B14,SINAPI_NOV2020_NDES!$A$7:$A$6703,0),5),(INDEX(COMPOS!$A$4:$G$801,MATCH($B14,COMPOS!$A$4:A$801,0),4))))</f>
        <v>10.879199999999999</v>
      </c>
      <c r="G14" s="280">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35.03985548</v>
      </c>
      <c r="K14" s="255"/>
      <c r="L14" s="255"/>
      <c r="M14" s="255"/>
      <c r="N14" s="255"/>
      <c r="O14" s="257"/>
      <c r="P14" s="255"/>
    </row>
    <row r="15" spans="1:16" s="88" customFormat="1" ht="24" customHeight="1">
      <c r="A15" s="680" t="s">
        <v>6927</v>
      </c>
      <c r="B15" s="680"/>
      <c r="C15" s="680"/>
      <c r="D15" s="680"/>
      <c r="E15" s="680"/>
      <c r="F15" s="680"/>
      <c r="G15" s="680"/>
      <c r="H15" s="680"/>
      <c r="I15" s="680"/>
      <c r="J15" s="281">
        <f>SUM(J13:J14)</f>
        <v>35.03985548</v>
      </c>
      <c r="K15" s="255"/>
      <c r="L15" s="255"/>
      <c r="M15" s="255"/>
      <c r="N15" s="255"/>
      <c r="O15" s="255"/>
      <c r="P15" s="255"/>
    </row>
    <row r="16" spans="1:16">
      <c r="A16" s="251"/>
      <c r="B16" s="299">
        <v>166</v>
      </c>
      <c r="C16" s="332" t="s">
        <v>609</v>
      </c>
      <c r="D16" s="274"/>
      <c r="E16" s="276"/>
      <c r="F16" s="276"/>
      <c r="G16" s="276"/>
      <c r="H16" s="276"/>
      <c r="I16" s="276"/>
      <c r="J16" s="366"/>
      <c r="K16" s="255"/>
      <c r="L16" s="255"/>
      <c r="M16" s="255"/>
      <c r="N16" s="255"/>
      <c r="O16" s="255"/>
      <c r="P16" s="255"/>
    </row>
    <row r="17" spans="1:16" ht="24">
      <c r="A17" s="250" t="s">
        <v>6307</v>
      </c>
      <c r="B17" s="302">
        <v>305</v>
      </c>
      <c r="C17" s="278"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03">
        <v>14.2</v>
      </c>
      <c r="F17" s="279">
        <f>(IF($A17="SINAPI",INDEX(SINAPI_NOV2020_NDES!$A$7:$H$6703,MATCH($B17,SINAPI_NOV2020_NDES!$A$7:$A$6703,0),5),(INDEX(COMPOS!$A$4:$G$801,MATCH($B17,COMPOS!$A$4:A$801,0),4))))</f>
        <v>2.842123</v>
      </c>
      <c r="G17" s="280">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40.358146599999998</v>
      </c>
      <c r="K17" s="255"/>
      <c r="L17" s="255"/>
      <c r="M17" s="255"/>
      <c r="N17" s="255"/>
      <c r="O17" s="257"/>
      <c r="P17" s="255"/>
    </row>
    <row r="18" spans="1:16">
      <c r="A18" s="250" t="s">
        <v>6307</v>
      </c>
      <c r="B18" s="302">
        <v>302</v>
      </c>
      <c r="C18" s="278"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03">
        <v>14.2</v>
      </c>
      <c r="F18" s="276">
        <f>(IF($A18="SINAPI",INDEX(SINAPI_NOV2020_NDES!$A$7:$H$6703,MATCH($B18,SINAPI_NOV2020_NDES!$A$7:$A$6703,0),5),(INDEX(COMPOS!$A$4:$G$801,MATCH($B18,COMPOS!$A$4:A$801,0),4))))</f>
        <v>6.0440000000000005</v>
      </c>
      <c r="G18" s="276">
        <f>(IF($A18="SINAPI",INDEX(SINAPI_NOV2020_NDES!$A$7:$H$6703,MATCH($B18,SINAPI_NOV2020_NDES!$A$7:$A$6703,0),6),(INDEX(COMPOS!$A$4:$G$801,MATCH($B18,COMPOS!$A$4:A$801,0),5))))</f>
        <v>0</v>
      </c>
      <c r="H18" s="276">
        <f>(IF($A18="SINAPI",INDEX(SINAPI_NOV2020_NDES!$A$7:$H$6703,MATCH($B18,SINAPI_NOV2020_NDES!$A$7:$A$6703,0),7),(INDEX(COMPOS!$A$4:$G$801,MATCH($B18,COMPOS!$A$4:A$801,0),6))))</f>
        <v>0</v>
      </c>
      <c r="I18" s="276">
        <f>SUM(F18:H18)</f>
        <v>6.0440000000000005</v>
      </c>
      <c r="J18" s="276">
        <f>+I18*E18</f>
        <v>85.824799999999996</v>
      </c>
      <c r="K18" s="255"/>
      <c r="L18" s="255"/>
      <c r="M18" s="255"/>
      <c r="N18" s="255"/>
      <c r="O18" s="257"/>
      <c r="P18" s="255"/>
    </row>
    <row r="19" spans="1:16" s="88" customFormat="1" ht="24" customHeight="1">
      <c r="A19" s="680" t="s">
        <v>6927</v>
      </c>
      <c r="B19" s="680"/>
      <c r="C19" s="680"/>
      <c r="D19" s="680"/>
      <c r="E19" s="680"/>
      <c r="F19" s="680"/>
      <c r="G19" s="680"/>
      <c r="H19" s="680"/>
      <c r="I19" s="680"/>
      <c r="J19" s="281">
        <f>SUM(J17:J18)</f>
        <v>126.18294659999999</v>
      </c>
      <c r="K19" s="255"/>
      <c r="L19" s="255"/>
      <c r="M19" s="255"/>
      <c r="N19" s="255"/>
      <c r="O19" s="255"/>
      <c r="P19" s="255"/>
    </row>
    <row r="20" spans="1:16">
      <c r="A20" s="251"/>
      <c r="B20" s="299">
        <v>169</v>
      </c>
      <c r="C20" s="332" t="s">
        <v>605</v>
      </c>
      <c r="D20" s="274"/>
      <c r="E20" s="276"/>
      <c r="F20" s="276"/>
      <c r="G20" s="276"/>
      <c r="H20" s="276"/>
      <c r="I20" s="276"/>
      <c r="J20" s="366"/>
      <c r="K20" s="255"/>
      <c r="L20" s="255"/>
      <c r="M20" s="255"/>
      <c r="N20" s="255"/>
      <c r="O20" s="255"/>
      <c r="P20" s="255"/>
    </row>
    <row r="21" spans="1:16" ht="24">
      <c r="A21" s="251" t="s">
        <v>7</v>
      </c>
      <c r="B21" s="283">
        <v>101554</v>
      </c>
      <c r="C21" s="278" t="str">
        <f>(IF($A21="SINAPI",INDEX(SINAPI_NOV2020_NDES!$A$7:$H$6703,MATCH($B21,SINAPI_NOV2020_NDES!$A$7:$A$6703,0),2),IF($A21="GOINFRA",INDEX(#REF!,MATCH($B21,#REF!,0),2),(INDEX(COMPOS!$A$4:$G$390,MATCH($B21,COMPOS!$A$4:A$390,0),2)))))</f>
        <v>ALÇA PREFORMADA DE DISTRIBUIÇÃO, EM  AÇO GALVANIZADO, AWG 2 - FORNECIMENTO E INSTALAÇÃO. AF_07/2020</v>
      </c>
      <c r="D21" s="274" t="str">
        <f>(IF($A21="SINAPI",INDEX(SINAPI_NOV2020_NDES!$A$7:$H$6790,MATCH($B21,SINAPI_NOV2020_NDES!$A$7:$A$6790,0),3),(INDEX(COMPOS!$A$4:$G$5000,MATCH($B21,COMPOS!$A$4:$A$5000,0),3))))</f>
        <v>UN</v>
      </c>
      <c r="E21" s="276">
        <v>1</v>
      </c>
      <c r="F21" s="279">
        <f>(IF($A21="SINAPI",INDEX(SINAPI_NOV2020_NDES!$A$7:$H$6703,MATCH($B21,SINAPI_NOV2020_NDES!$A$7:$A$6703,0),5),(INDEX(COMPOS!$A$4:$G$801,MATCH($B21,COMPOS!$A$4:A$801,0),4))))</f>
        <v>2.93</v>
      </c>
      <c r="G21" s="280">
        <f>(IF($A21="SINAPI",INDEX(SINAPI_NOV2020_NDES!$A$7:$H$6703,MATCH($B21,SINAPI_NOV2020_NDES!$A$7:$A$6703,0),6),(INDEX(COMPOS!$A$4:$G$801,MATCH($B21,COMPOS!$A$4:A$801,0),5))))</f>
        <v>5.54</v>
      </c>
      <c r="H21" s="280">
        <f>(IF($A21="SINAPI",INDEX(SINAPI_NOV2020_NDES!$A$7:$H$6703,MATCH($B21,SINAPI_NOV2020_NDES!$A$7:$A$6703,0),7),(INDEX(COMPOS!$A$4:$G$801,MATCH($B21,COMPOS!$A$4:A$801,0),6))))</f>
        <v>0</v>
      </c>
      <c r="I21" s="279">
        <f t="shared" ref="I21" si="4">SUM(F21:H21)</f>
        <v>8.4700000000000006</v>
      </c>
      <c r="J21" s="276">
        <f t="shared" ref="J21" si="5">+I21*E21</f>
        <v>8.4700000000000006</v>
      </c>
      <c r="K21" s="255"/>
      <c r="L21" s="255"/>
      <c r="M21" s="255"/>
      <c r="N21" s="255"/>
      <c r="O21" s="257"/>
      <c r="P21" s="255"/>
    </row>
    <row r="22" spans="1:16">
      <c r="A22" s="251" t="s">
        <v>6307</v>
      </c>
      <c r="B22" s="283">
        <v>701</v>
      </c>
      <c r="C22" s="278" t="str">
        <f>(IF($A22="SINAPI",INDEX(SINAPI_NOV2020_NDES!$A$7:$H$6703,MATCH($B22,SINAPI_NOV2020_NDES!$A$7:$A$6703,0),2),IF($A22="GOINFRA",INDEX(#REF!,MATCH($B22,#REF!,0),2),(INDEX(COMPOS!$A$4:$G$390,MATCH($B22,COMPOS!$A$4:A$390,0),2)))))</f>
        <v>BRAÇO C AÇO GALVANIZADO , CONFORME NTD-18</v>
      </c>
      <c r="D22" s="274" t="str">
        <f>(IF($A22="SINAPI",INDEX(SINAPI_NOV2020_NDES!$A$7:$H$6790,MATCH($B22,SINAPI_NOV2020_NDES!$A$7:$A$6790,0),3),(INDEX(COMPOS!$A$4:$G$5000,MATCH($B22,COMPOS!$A$4:$A$5000,0),3))))</f>
        <v>UN</v>
      </c>
      <c r="E22" s="276">
        <v>1</v>
      </c>
      <c r="F22" s="276">
        <f>(IF($A22="SINAPI",INDEX(SINAPI_NOV2020_NDES!$A$7:$H$6703,MATCH($B22,SINAPI_NOV2020_NDES!$A$7:$A$6703,0),5),(INDEX(COMPOS!$A$4:$G$801,MATCH($B22,COMPOS!$A$4:A$801,0),4))))</f>
        <v>7.726</v>
      </c>
      <c r="G22" s="276">
        <f>(IF($A22="SINAPI",INDEX(SINAPI_NOV2020_NDES!$A$7:$H$6703,MATCH($B22,SINAPI_NOV2020_NDES!$A$7:$A$6703,0),6),(INDEX(COMPOS!$A$4:$G$801,MATCH($B22,COMPOS!$A$4:A$801,0),5))))</f>
        <v>113.48</v>
      </c>
      <c r="H22" s="276">
        <f>(IF($A22="SINAPI",INDEX(SINAPI_NOV2020_NDES!$A$7:$H$6703,MATCH($B22,SINAPI_NOV2020_NDES!$A$7:$A$6703,0),7),(INDEX(COMPOS!$A$4:$G$801,MATCH($B22,COMPOS!$A$4:A$801,0),6))))</f>
        <v>0</v>
      </c>
      <c r="I22" s="276">
        <f t="shared" ref="I22:I52" si="6">SUM(F22:H22)</f>
        <v>121.206</v>
      </c>
      <c r="J22" s="276">
        <f t="shared" ref="J22:J52" si="7">+I22*E22</f>
        <v>121.206</v>
      </c>
      <c r="K22" s="255"/>
      <c r="L22" s="255"/>
      <c r="M22" s="255"/>
      <c r="N22" s="255"/>
      <c r="O22" s="257"/>
      <c r="P22" s="255"/>
    </row>
    <row r="23" spans="1:16">
      <c r="A23" s="251" t="s">
        <v>6307</v>
      </c>
      <c r="B23" s="283">
        <v>246</v>
      </c>
      <c r="C23" s="278" t="str">
        <f>(IF($A23="SINAPI",INDEX(SINAPI_NOV2020_NDES!$A$7:$H$6703,MATCH($B23,SINAPI_NOV2020_NDES!$A$7:$A$6703,0),2),IF($A23="GOINFRA",INDEX(#REF!,MATCH($B23,#REF!,0),2),(INDEX(COMPOS!$A$4:$G$390,MATCH($B23,COMPOS!$A$4:A$390,0),2)))))</f>
        <v>BUCHA E ARRUELA METALICA DIAM. 4"</v>
      </c>
      <c r="D23" s="274" t="str">
        <f>(IF($A23="SINAPI",INDEX(SINAPI_NOV2020_NDES!$A$7:$H$6790,MATCH($B23,SINAPI_NOV2020_NDES!$A$7:$A$6790,0),3),(INDEX(COMPOS!$A$4:$G$5000,MATCH($B23,COMPOS!$A$4:$A$5000,0),3))))</f>
        <v>UN</v>
      </c>
      <c r="E23" s="276">
        <v>2</v>
      </c>
      <c r="F23" s="276">
        <f>(IF($A23="SINAPI",INDEX(SINAPI_NOV2020_NDES!$A$7:$H$6703,MATCH($B23,SINAPI_NOV2020_NDES!$A$7:$A$6703,0),5),(INDEX(COMPOS!$A$4:$G$801,MATCH($B23,COMPOS!$A$4:A$801,0),4))))</f>
        <v>9.6574999999999989</v>
      </c>
      <c r="G23" s="276">
        <f>(IF($A23="SINAPI",INDEX(SINAPI_NOV2020_NDES!$A$7:$H$6703,MATCH($B23,SINAPI_NOV2020_NDES!$A$7:$A$6703,0),6),(INDEX(COMPOS!$A$4:$G$801,MATCH($B23,COMPOS!$A$4:A$801,0),5))))</f>
        <v>5.79</v>
      </c>
      <c r="H23" s="276">
        <f>(IF($A23="SINAPI",INDEX(SINAPI_NOV2020_NDES!$A$7:$H$6703,MATCH($B23,SINAPI_NOV2020_NDES!$A$7:$A$6703,0),7),(INDEX(COMPOS!$A$4:$G$801,MATCH($B23,COMPOS!$A$4:A$801,0),6))))</f>
        <v>0</v>
      </c>
      <c r="I23" s="276">
        <f t="shared" si="6"/>
        <v>15.447499999999998</v>
      </c>
      <c r="J23" s="276">
        <f t="shared" si="7"/>
        <v>30.894999999999996</v>
      </c>
      <c r="K23" s="255"/>
      <c r="L23" s="255"/>
      <c r="M23" s="255"/>
      <c r="N23" s="255"/>
      <c r="O23" s="257"/>
      <c r="P23" s="255"/>
    </row>
    <row r="24" spans="1:16">
      <c r="A24" s="251" t="s">
        <v>6307</v>
      </c>
      <c r="B24" s="283">
        <v>704</v>
      </c>
      <c r="C24" s="278" t="str">
        <f>(IF($A24="SINAPI",INDEX(SINAPI_NOV2020_NDES!$A$7:$H$6703,MATCH($B24,SINAPI_NOV2020_NDES!$A$7:$A$6703,0),2),IF($A24="GOINFRA",INDEX(#REF!,MATCH($B24,#REF!,0),2),(INDEX(COMPOS!$A$4:$G$390,MATCH($B24,COMPOS!$A$4:A$390,0),2)))))</f>
        <v>CABECOTE DE LIGA DE ALUMINIO DIAM. 4"</v>
      </c>
      <c r="D24" s="274" t="str">
        <f>(IF($A24="SINAPI",INDEX(SINAPI_NOV2020_NDES!$A$7:$H$6790,MATCH($B24,SINAPI_NOV2020_NDES!$A$7:$A$6790,0),3),(INDEX(COMPOS!$A$4:$G$5000,MATCH($B24,COMPOS!$A$4:$A$5000,0),3))))</f>
        <v>UN</v>
      </c>
      <c r="E24" s="276">
        <v>2</v>
      </c>
      <c r="F24" s="276">
        <f>(IF($A24="SINAPI",INDEX(SINAPI_NOV2020_NDES!$A$7:$H$6703,MATCH($B24,SINAPI_NOV2020_NDES!$A$7:$A$6703,0),5),(INDEX(COMPOS!$A$4:$G$801,MATCH($B24,COMPOS!$A$4:A$801,0),4))))</f>
        <v>21.246500000000005</v>
      </c>
      <c r="G24" s="276">
        <f>(IF($A24="SINAPI",INDEX(SINAPI_NOV2020_NDES!$A$7:$H$6703,MATCH($B24,SINAPI_NOV2020_NDES!$A$7:$A$6703,0),6),(INDEX(COMPOS!$A$4:$G$801,MATCH($B24,COMPOS!$A$4:A$801,0),5))))</f>
        <v>41.61</v>
      </c>
      <c r="H24" s="276">
        <f>(IF($A24="SINAPI",INDEX(SINAPI_NOV2020_NDES!$A$7:$H$6703,MATCH($B24,SINAPI_NOV2020_NDES!$A$7:$A$6703,0),7),(INDEX(COMPOS!$A$4:$G$801,MATCH($B24,COMPOS!$A$4:A$801,0),6))))</f>
        <v>0</v>
      </c>
      <c r="I24" s="276">
        <f t="shared" si="6"/>
        <v>62.856500000000004</v>
      </c>
      <c r="J24" s="276">
        <f t="shared" si="7"/>
        <v>125.71300000000001</v>
      </c>
      <c r="K24" s="255"/>
      <c r="L24" s="255"/>
      <c r="M24" s="255"/>
      <c r="N24" s="255"/>
      <c r="O24" s="257"/>
      <c r="P24" s="255"/>
    </row>
    <row r="25" spans="1:16" ht="24">
      <c r="A25" s="251" t="s">
        <v>7</v>
      </c>
      <c r="B25" s="283">
        <v>96974</v>
      </c>
      <c r="C25" s="278" t="str">
        <f>(IF($A25="SINAPI",INDEX(SINAPI_NOV2020_NDES!$A$7:$H$6703,MATCH($B25,SINAPI_NOV2020_NDES!$A$7:$A$6703,0),2),IF($A25="GOINFRA",INDEX(#REF!,MATCH($B25,#REF!,0),2),(INDEX(COMPOS!$A$4:$G$390,MATCH($B25,COMPOS!$A$4:A$390,0),2)))))</f>
        <v>CORDOALHA DE COBRE NU 50 MM², NÃO ENTERRADA, COM ISOLADOR - FORNECIMENTO E INSTALAÇÃO. AF_12/2017</v>
      </c>
      <c r="D25" s="274" t="str">
        <f>(IF($A25="SINAPI",INDEX(SINAPI_NOV2020_NDES!$A$7:$H$6790,MATCH($B25,SINAPI_NOV2020_NDES!$A$7:$A$6790,0),3),(INDEX(COMPOS!$A$4:$G$5000,MATCH($B25,COMPOS!$A$4:$A$5000,0),3))))</f>
        <v>M</v>
      </c>
      <c r="E25" s="276">
        <v>32</v>
      </c>
      <c r="F25" s="276">
        <f>(IF($A25="SINAPI",INDEX(SINAPI_NOV2020_NDES!$A$7:$H$6703,MATCH($B25,SINAPI_NOV2020_NDES!$A$7:$A$6703,0),5),(INDEX(COMPOS!$A$4:$G$801,MATCH($B25,COMPOS!$A$4:A$801,0),4))))</f>
        <v>14.24</v>
      </c>
      <c r="G25" s="276">
        <f>(IF($A25="SINAPI",INDEX(SINAPI_NOV2020_NDES!$A$7:$H$6703,MATCH($B25,SINAPI_NOV2020_NDES!$A$7:$A$6703,0),6),(INDEX(COMPOS!$A$4:$G$801,MATCH($B25,COMPOS!$A$4:A$801,0),5))))</f>
        <v>42.67</v>
      </c>
      <c r="H25" s="276">
        <f>(IF($A25="SINAPI",INDEX(SINAPI_NOV2020_NDES!$A$7:$H$6703,MATCH($B25,SINAPI_NOV2020_NDES!$A$7:$A$6703,0),7),(INDEX(COMPOS!$A$4:$G$801,MATCH($B25,COMPOS!$A$4:A$801,0),6))))</f>
        <v>0</v>
      </c>
      <c r="I25" s="276">
        <f t="shared" si="6"/>
        <v>56.910000000000004</v>
      </c>
      <c r="J25" s="276">
        <f t="shared" si="7"/>
        <v>1821.1200000000001</v>
      </c>
      <c r="K25" s="255"/>
      <c r="L25" s="255"/>
      <c r="M25" s="255"/>
      <c r="N25" s="255"/>
      <c r="O25" s="257"/>
      <c r="P25" s="255"/>
    </row>
    <row r="26" spans="1:16">
      <c r="A26" s="251" t="s">
        <v>6307</v>
      </c>
      <c r="B26" s="283">
        <v>705</v>
      </c>
      <c r="C26" s="278" t="str">
        <f>(IF($A26="SINAPI",INDEX(SINAPI_NOV2020_NDES!$A$7:$H$6703,MATCH($B26,SINAPI_NOV2020_NDES!$A$7:$A$6703,0),2),IF($A26="GOINFRA",INDEX(#REF!,MATCH($B26,#REF!,0),2),(INDEX(COMPOS!$A$4:$G$390,MATCH($B26,COMPOS!$A$4:A$390,0),2)))))</f>
        <v>CAIXA DE PASSAGEM - TAMPA EM CONCRETO ARMADO 25 MPA E=5CM</v>
      </c>
      <c r="D26" s="274" t="str">
        <f>(IF($A26="SINAPI",INDEX(SINAPI_NOV2020_NDES!$A$7:$H$6790,MATCH($B26,SINAPI_NOV2020_NDES!$A$7:$A$6790,0),3),(INDEX(COMPOS!$A$4:$G$5000,MATCH($B26,COMPOS!$A$4:$A$5000,0),3))))</f>
        <v>m2</v>
      </c>
      <c r="E26" s="276">
        <v>1.25</v>
      </c>
      <c r="F26" s="276">
        <f>(IF($A26="SINAPI",INDEX(SINAPI_NOV2020_NDES!$A$7:$H$6703,MATCH($B26,SINAPI_NOV2020_NDES!$A$7:$A$6703,0),5),(INDEX(COMPOS!$A$4:$G$801,MATCH($B26,COMPOS!$A$4:A$801,0),4))))</f>
        <v>20.327442000000001</v>
      </c>
      <c r="G26" s="276">
        <f>(IF($A26="SINAPI",INDEX(SINAPI_NOV2020_NDES!$A$7:$H$6703,MATCH($B26,SINAPI_NOV2020_NDES!$A$7:$A$6703,0),6),(INDEX(COMPOS!$A$4:$G$801,MATCH($B26,COMPOS!$A$4:A$801,0),5))))</f>
        <v>51.395687694214885</v>
      </c>
      <c r="H26" s="276">
        <f>(IF($A26="SINAPI",INDEX(SINAPI_NOV2020_NDES!$A$7:$H$6703,MATCH($B26,SINAPI_NOV2020_NDES!$A$7:$A$6703,0),7),(INDEX(COMPOS!$A$4:$G$801,MATCH($B26,COMPOS!$A$4:A$801,0),6))))</f>
        <v>0</v>
      </c>
      <c r="I26" s="276">
        <f t="shared" si="6"/>
        <v>71.72312969421489</v>
      </c>
      <c r="J26" s="276">
        <f t="shared" si="7"/>
        <v>89.653912117768613</v>
      </c>
      <c r="K26" s="255"/>
      <c r="L26" s="255"/>
      <c r="M26" s="255"/>
      <c r="N26" s="255"/>
      <c r="O26" s="257"/>
      <c r="P26" s="255"/>
    </row>
    <row r="27" spans="1:16">
      <c r="A27" s="251" t="s">
        <v>6307</v>
      </c>
      <c r="B27" s="283">
        <v>708</v>
      </c>
      <c r="C27" s="278" t="str">
        <f>(IF($A27="SINAPI",INDEX(SINAPI_NOV2020_NDES!$A$7:$H$6703,MATCH($B27,SINAPI_NOV2020_NDES!$A$7:$A$6703,0),2),IF($A27="GOINFRA",INDEX(#REF!,MATCH($B27,#REF!,0),2),(INDEX(COMPOS!$A$4:$G$390,MATCH($B27,COMPOS!$A$4:A$390,0),2)))))</f>
        <v>CAIXA METÁLICA PARA PROTEÇÃO GERAL 1200X1000X310MM DE 500A A 800A</v>
      </c>
      <c r="D27" s="274" t="str">
        <f>(IF($A27="SINAPI",INDEX(SINAPI_NOV2020_NDES!$A$7:$H$6790,MATCH($B27,SINAPI_NOV2020_NDES!$A$7:$A$6790,0),3),(INDEX(COMPOS!$A$4:$G$5000,MATCH($B27,COMPOS!$A$4:$A$5000,0),3))))</f>
        <v>UN</v>
      </c>
      <c r="E27" s="276">
        <v>1</v>
      </c>
      <c r="F27" s="276">
        <f>(IF($A27="SINAPI",INDEX(SINAPI_NOV2020_NDES!$A$7:$H$6703,MATCH($B27,SINAPI_NOV2020_NDES!$A$7:$A$6703,0),5),(INDEX(COMPOS!$A$4:$G$801,MATCH($B27,COMPOS!$A$4:A$801,0),4))))</f>
        <v>78.840500000000006</v>
      </c>
      <c r="G27" s="276">
        <f>(IF($A27="SINAPI",INDEX(SINAPI_NOV2020_NDES!$A$7:$H$6703,MATCH($B27,SINAPI_NOV2020_NDES!$A$7:$A$6703,0),6),(INDEX(COMPOS!$A$4:$G$801,MATCH($B27,COMPOS!$A$4:A$801,0),5))))</f>
        <v>759.80719999999997</v>
      </c>
      <c r="H27" s="276">
        <f>(IF($A27="SINAPI",INDEX(SINAPI_NOV2020_NDES!$A$7:$H$6703,MATCH($B27,SINAPI_NOV2020_NDES!$A$7:$A$6703,0),7),(INDEX(COMPOS!$A$4:$G$801,MATCH($B27,COMPOS!$A$4:A$801,0),6))))</f>
        <v>0</v>
      </c>
      <c r="I27" s="276">
        <f t="shared" si="6"/>
        <v>838.64769999999999</v>
      </c>
      <c r="J27" s="276">
        <f t="shared" si="7"/>
        <v>838.64769999999999</v>
      </c>
      <c r="K27" s="255"/>
      <c r="L27" s="255"/>
      <c r="M27" s="255"/>
      <c r="N27" s="255"/>
      <c r="O27" s="257"/>
      <c r="P27" s="255"/>
    </row>
    <row r="28" spans="1:16">
      <c r="A28" s="251" t="s">
        <v>6307</v>
      </c>
      <c r="B28" s="283">
        <v>709</v>
      </c>
      <c r="C28" s="278" t="str">
        <f>(IF($A28="SINAPI",INDEX(SINAPI_NOV2020_NDES!$A$7:$H$6703,MATCH($B28,SINAPI_NOV2020_NDES!$A$7:$A$6703,0),2),IF($A28="GOINFRA",INDEX(#REF!,MATCH($B28,#REF!,0),2),(INDEX(COMPOS!$A$4:$G$390,MATCH($B28,COMPOS!$A$4:A$390,0),2)))))</f>
        <v>CAIXA METÁLICA PARA T.C. 1200X1000X310MM DE 500A A 800A</v>
      </c>
      <c r="D28" s="274" t="str">
        <f>(IF($A28="SINAPI",INDEX(SINAPI_NOV2020_NDES!$A$7:$H$6790,MATCH($B28,SINAPI_NOV2020_NDES!$A$7:$A$6790,0),3),(INDEX(COMPOS!$A$4:$G$5000,MATCH($B28,COMPOS!$A$4:$A$5000,0),3))))</f>
        <v>UN</v>
      </c>
      <c r="E28" s="276">
        <v>1</v>
      </c>
      <c r="F28" s="276">
        <f>(IF($A28="SINAPI",INDEX(SINAPI_NOV2020_NDES!$A$7:$H$6703,MATCH($B28,SINAPI_NOV2020_NDES!$A$7:$A$6703,0),5),(INDEX(COMPOS!$A$4:$G$801,MATCH($B28,COMPOS!$A$4:A$801,0),4))))</f>
        <v>78.840500000000006</v>
      </c>
      <c r="G28" s="276">
        <f>(IF($A28="SINAPI",INDEX(SINAPI_NOV2020_NDES!$A$7:$H$6703,MATCH($B28,SINAPI_NOV2020_NDES!$A$7:$A$6703,0),6),(INDEX(COMPOS!$A$4:$G$801,MATCH($B28,COMPOS!$A$4:A$801,0),5))))</f>
        <v>759.80719999999997</v>
      </c>
      <c r="H28" s="276">
        <f>(IF($A28="SINAPI",INDEX(SINAPI_NOV2020_NDES!$A$7:$H$6703,MATCH($B28,SINAPI_NOV2020_NDES!$A$7:$A$6703,0),7),(INDEX(COMPOS!$A$4:$G$801,MATCH($B28,COMPOS!$A$4:A$801,0),6))))</f>
        <v>0</v>
      </c>
      <c r="I28" s="276">
        <f t="shared" si="6"/>
        <v>838.64769999999999</v>
      </c>
      <c r="J28" s="276">
        <f t="shared" si="7"/>
        <v>838.64769999999999</v>
      </c>
      <c r="K28" s="255"/>
      <c r="L28" s="255"/>
      <c r="M28" s="255"/>
      <c r="N28" s="255"/>
      <c r="O28" s="257"/>
      <c r="P28" s="255"/>
    </row>
    <row r="29" spans="1:16">
      <c r="A29" s="251" t="s">
        <v>6307</v>
      </c>
      <c r="B29" s="283">
        <v>471</v>
      </c>
      <c r="C29" s="278" t="str">
        <f>(IF($A29="SINAPI",INDEX(SINAPI_NOV2020_NDES!$A$7:$H$6703,MATCH($B29,SINAPI_NOV2020_NDES!$A$7:$A$6703,0),2),IF($A29="GOINFRA",INDEX(#REF!,MATCH($B29,#REF!,0),2),(INDEX(COMPOS!$A$4:$G$390,MATCH($B29,COMPOS!$A$4:A$390,0),2)))))</f>
        <v>CAIXA DE PASSAGEM 20X20X25 FUNDO BRITA COM TAMPA</v>
      </c>
      <c r="D29" s="274" t="str">
        <f>(IF($A29="SINAPI",INDEX(SINAPI_NOV2020_NDES!$A$7:$H$6790,MATCH($B29,SINAPI_NOV2020_NDES!$A$7:$A$6790,0),3),(INDEX(COMPOS!$A$4:$G$5000,MATCH($B29,COMPOS!$A$4:$A$5000,0),3))))</f>
        <v>UN</v>
      </c>
      <c r="E29" s="276">
        <v>1</v>
      </c>
      <c r="F29" s="276">
        <f>(IF($A29="SINAPI",INDEX(SINAPI_NOV2020_NDES!$A$7:$H$6703,MATCH($B29,SINAPI_NOV2020_NDES!$A$7:$A$6703,0),5),(INDEX(COMPOS!$A$4:$G$801,MATCH($B29,COMPOS!$A$4:A$801,0),4))))</f>
        <v>39.464161000000004</v>
      </c>
      <c r="G29" s="276">
        <f>(IF($A29="SINAPI",INDEX(SINAPI_NOV2020_NDES!$A$7:$H$6703,MATCH($B29,SINAPI_NOV2020_NDES!$A$7:$A$6703,0),6),(INDEX(COMPOS!$A$4:$G$801,MATCH($B29,COMPOS!$A$4:A$801,0),5))))</f>
        <v>28.903701999999999</v>
      </c>
      <c r="H29" s="276">
        <f>(IF($A29="SINAPI",INDEX(SINAPI_NOV2020_NDES!$A$7:$H$6703,MATCH($B29,SINAPI_NOV2020_NDES!$A$7:$A$6703,0),7),(INDEX(COMPOS!$A$4:$G$801,MATCH($B29,COMPOS!$A$4:A$801,0),6))))</f>
        <v>0</v>
      </c>
      <c r="I29" s="276">
        <f t="shared" si="6"/>
        <v>68.367863</v>
      </c>
      <c r="J29" s="276">
        <f t="shared" si="7"/>
        <v>68.367863</v>
      </c>
      <c r="K29" s="255"/>
      <c r="L29" s="255"/>
      <c r="M29" s="255"/>
      <c r="N29" s="255"/>
      <c r="O29" s="257"/>
      <c r="P29" s="255"/>
    </row>
    <row r="30" spans="1:16">
      <c r="A30" s="251" t="s">
        <v>6307</v>
      </c>
      <c r="B30" s="283">
        <v>711</v>
      </c>
      <c r="C30" s="278" t="str">
        <f>(IF($A30="SINAPI",INDEX(SINAPI_NOV2020_NDES!$A$7:$H$6703,MATCH($B30,SINAPI_NOV2020_NDES!$A$7:$A$6703,0),2),IF($A30="GOINFRA",INDEX(#REF!,MATCH($B30,#REF!,0),2),(INDEX(COMPOS!$A$4:$G$390,MATCH($B30,COMPOS!$A$4:A$390,0),2)))))</f>
        <v>CANTONEIRA AUXILIAR PARA BRAÇO TIPO C</v>
      </c>
      <c r="D30" s="274" t="str">
        <f>(IF($A30="SINAPI",INDEX(SINAPI_NOV2020_NDES!$A$7:$H$6790,MATCH($B30,SINAPI_NOV2020_NDES!$A$7:$A$6790,0),3),(INDEX(COMPOS!$A$4:$G$5000,MATCH($B30,COMPOS!$A$4:$A$5000,0),3))))</f>
        <v>UN</v>
      </c>
      <c r="E30" s="276">
        <v>1</v>
      </c>
      <c r="F30" s="276">
        <f>(IF($A30="SINAPI",INDEX(SINAPI_NOV2020_NDES!$A$7:$H$6703,MATCH($B30,SINAPI_NOV2020_NDES!$A$7:$A$6703,0),5),(INDEX(COMPOS!$A$4:$G$801,MATCH($B30,COMPOS!$A$4:A$801,0),4))))</f>
        <v>3.863</v>
      </c>
      <c r="G30" s="276">
        <f>(IF($A30="SINAPI",INDEX(SINAPI_NOV2020_NDES!$A$7:$H$6703,MATCH($B30,SINAPI_NOV2020_NDES!$A$7:$A$6703,0),6),(INDEX(COMPOS!$A$4:$G$801,MATCH($B30,COMPOS!$A$4:A$801,0),5))))</f>
        <v>65.260000000000005</v>
      </c>
      <c r="H30" s="276">
        <f>(IF($A30="SINAPI",INDEX(SINAPI_NOV2020_NDES!$A$7:$H$6703,MATCH($B30,SINAPI_NOV2020_NDES!$A$7:$A$6703,0),7),(INDEX(COMPOS!$A$4:$G$801,MATCH($B30,COMPOS!$A$4:A$801,0),6))))</f>
        <v>0</v>
      </c>
      <c r="I30" s="276">
        <f t="shared" si="6"/>
        <v>69.123000000000005</v>
      </c>
      <c r="J30" s="276">
        <f t="shared" si="7"/>
        <v>69.123000000000005</v>
      </c>
      <c r="K30" s="255"/>
      <c r="L30" s="255"/>
      <c r="M30" s="255"/>
      <c r="N30" s="255"/>
      <c r="O30" s="257"/>
      <c r="P30" s="255"/>
    </row>
    <row r="31" spans="1:16">
      <c r="A31" s="251" t="s">
        <v>6307</v>
      </c>
      <c r="B31" s="283">
        <v>712</v>
      </c>
      <c r="C31" s="278" t="str">
        <f>(IF($A31="SINAPI",INDEX(SINAPI_NOV2020_NDES!$A$7:$H$6703,MATCH($B31,SINAPI_NOV2020_NDES!$A$7:$A$6703,0),2),IF($A31="GOINFRA",INDEX(#REF!,MATCH($B31,#REF!,0),2),(INDEX(COMPOS!$A$4:$G$390,MATCH($B31,COMPOS!$A$4:A$390,0),2)))))</f>
        <v>CINTA DE ACO GALVANIZADO DIAM.230MM</v>
      </c>
      <c r="D31" s="274" t="str">
        <f>(IF($A31="SINAPI",INDEX(SINAPI_NOV2020_NDES!$A$7:$H$6790,MATCH($B31,SINAPI_NOV2020_NDES!$A$7:$A$6790,0),3),(INDEX(COMPOS!$A$4:$G$5000,MATCH($B31,COMPOS!$A$4:$A$5000,0),3))))</f>
        <v>UN</v>
      </c>
      <c r="E31" s="276">
        <v>3</v>
      </c>
      <c r="F31" s="276">
        <f>(IF($A31="SINAPI",INDEX(SINAPI_NOV2020_NDES!$A$7:$H$6703,MATCH($B31,SINAPI_NOV2020_NDES!$A$7:$A$6703,0),5),(INDEX(COMPOS!$A$4:$G$801,MATCH($B31,COMPOS!$A$4:A$801,0),4))))</f>
        <v>7.726</v>
      </c>
      <c r="G31" s="276">
        <f>(IF($A31="SINAPI",INDEX(SINAPI_NOV2020_NDES!$A$7:$H$6703,MATCH($B31,SINAPI_NOV2020_NDES!$A$7:$A$6703,0),6),(INDEX(COMPOS!$A$4:$G$801,MATCH($B31,COMPOS!$A$4:A$801,0),5))))</f>
        <v>29.35</v>
      </c>
      <c r="H31" s="276">
        <f>(IF($A31="SINAPI",INDEX(SINAPI_NOV2020_NDES!$A$7:$H$6703,MATCH($B31,SINAPI_NOV2020_NDES!$A$7:$A$6703,0),7),(INDEX(COMPOS!$A$4:$G$801,MATCH($B31,COMPOS!$A$4:A$801,0),6))))</f>
        <v>0</v>
      </c>
      <c r="I31" s="276">
        <f t="shared" si="6"/>
        <v>37.076000000000001</v>
      </c>
      <c r="J31" s="276">
        <f t="shared" si="7"/>
        <v>111.22800000000001</v>
      </c>
      <c r="K31" s="255"/>
      <c r="L31" s="255"/>
      <c r="M31" s="255"/>
      <c r="N31" s="255"/>
      <c r="O31" s="257"/>
      <c r="P31" s="255"/>
    </row>
    <row r="32" spans="1:16">
      <c r="A32" s="251" t="s">
        <v>6307</v>
      </c>
      <c r="B32" s="283">
        <v>714</v>
      </c>
      <c r="C32" s="278" t="str">
        <f>(IF($A32="SINAPI",INDEX(SINAPI_NOV2020_NDES!$A$7:$H$6703,MATCH($B32,SINAPI_NOV2020_NDES!$A$7:$A$6703,0),2),IF($A32="GOINFRA",INDEX(#REF!,MATCH($B32,#REF!,0),2),(INDEX(COMPOS!$A$4:$G$390,MATCH($B32,COMPOS!$A$4:A$390,0),2)))))</f>
        <v>CONECTOR DE COMPRESSÃO FORMATO H PARA CABO 25 A 70 MM2</v>
      </c>
      <c r="D32" s="274" t="str">
        <f>(IF($A32="SINAPI",INDEX(SINAPI_NOV2020_NDES!$A$7:$H$6790,MATCH($B32,SINAPI_NOV2020_NDES!$A$7:$A$6790,0),3),(INDEX(COMPOS!$A$4:$G$5000,MATCH($B32,COMPOS!$A$4:$A$5000,0),3))))</f>
        <v>UN</v>
      </c>
      <c r="E32" s="276">
        <v>3</v>
      </c>
      <c r="F32" s="276">
        <f>(IF($A32="SINAPI",INDEX(SINAPI_NOV2020_NDES!$A$7:$H$6703,MATCH($B32,SINAPI_NOV2020_NDES!$A$7:$A$6703,0),5),(INDEX(COMPOS!$A$4:$G$801,MATCH($B32,COMPOS!$A$4:A$801,0),4))))</f>
        <v>15.452</v>
      </c>
      <c r="G32" s="276">
        <f>(IF($A32="SINAPI",INDEX(SINAPI_NOV2020_NDES!$A$7:$H$6703,MATCH($B32,SINAPI_NOV2020_NDES!$A$7:$A$6703,0),6),(INDEX(COMPOS!$A$4:$G$801,MATCH($B32,COMPOS!$A$4:A$801,0),5))))</f>
        <v>5.0599999999999996</v>
      </c>
      <c r="H32" s="276">
        <f>(IF($A32="SINAPI",INDEX(SINAPI_NOV2020_NDES!$A$7:$H$6703,MATCH($B32,SINAPI_NOV2020_NDES!$A$7:$A$6703,0),7),(INDEX(COMPOS!$A$4:$G$801,MATCH($B32,COMPOS!$A$4:A$801,0),6))))</f>
        <v>0</v>
      </c>
      <c r="I32" s="276">
        <f t="shared" si="6"/>
        <v>20.512</v>
      </c>
      <c r="J32" s="276">
        <f t="shared" si="7"/>
        <v>61.536000000000001</v>
      </c>
      <c r="K32" s="255"/>
      <c r="L32" s="255"/>
      <c r="M32" s="255"/>
      <c r="N32" s="255"/>
      <c r="O32" s="257"/>
      <c r="P32" s="255"/>
    </row>
    <row r="33" spans="1:16">
      <c r="A33" s="251" t="s">
        <v>6307</v>
      </c>
      <c r="B33" s="283">
        <v>250</v>
      </c>
      <c r="C33" s="278" t="str">
        <f>(IF($A33="SINAPI",INDEX(SINAPI_NOV2020_NDES!$A$7:$H$6703,MATCH($B33,SINAPI_NOV2020_NDES!$A$7:$A$6703,0),2),IF($A33="GOINFRA",INDEX(#REF!,MATCH($B33,#REF!,0),2),(INDEX(COMPOS!$A$4:$G$3900,MATCH($B33,COMPOS!$A$4:A$3900,0),2)))))</f>
        <v>CURVA 90 GRAUS DE FERRO GALVANIZADO, COM ROSCA BSP FEMEA, DE 4"</v>
      </c>
      <c r="D33" s="274" t="str">
        <f>(IF($A33="SINAPI",INDEX(SINAPI_NOV2020_NDES!$A$7:$H$6790,MATCH($B33,SINAPI_NOV2020_NDES!$A$7:$A$6790,0),3),(INDEX(COMPOS!$A$4:$G$5000,MATCH($B33,COMPOS!$A$4:$A$5000,0),3))))</f>
        <v>UN</v>
      </c>
      <c r="E33" s="276">
        <v>2</v>
      </c>
      <c r="F33" s="276">
        <f>(IF($A33="SINAPI",INDEX(SINAPI_NOV2020_NDES!$A$7:$H$6703,MATCH($B33,SINAPI_NOV2020_NDES!$A$7:$A$6703,0),5),(INDEX(COMPOS!$A$4:$G$801,MATCH($B33,COMPOS!$A$4:A$801,0),4))))</f>
        <v>69.533999999999992</v>
      </c>
      <c r="G33" s="276">
        <f>(IF($A33="SINAPI",INDEX(SINAPI_NOV2020_NDES!$A$7:$H$6703,MATCH($B33,SINAPI_NOV2020_NDES!$A$7:$A$6703,0),6),(INDEX(COMPOS!$A$4:$G$801,MATCH($B33,COMPOS!$A$4:A$801,0),5))))</f>
        <v>434.54</v>
      </c>
      <c r="H33" s="276">
        <f>(IF($A33="SINAPI",INDEX(SINAPI_NOV2020_NDES!$A$7:$H$6703,MATCH($B33,SINAPI_NOV2020_NDES!$A$7:$A$6703,0),7),(INDEX(COMPOS!$A$4:$G$801,MATCH($B33,COMPOS!$A$4:A$801,0),6))))</f>
        <v>0</v>
      </c>
      <c r="I33" s="276">
        <f t="shared" si="6"/>
        <v>504.07400000000001</v>
      </c>
      <c r="J33" s="276">
        <f t="shared" si="7"/>
        <v>1008.148</v>
      </c>
      <c r="K33" s="255"/>
      <c r="L33" s="255"/>
      <c r="M33" s="255"/>
      <c r="N33" s="255"/>
      <c r="O33" s="257"/>
      <c r="P33" s="255"/>
    </row>
    <row r="34" spans="1:16">
      <c r="A34" s="251" t="s">
        <v>6307</v>
      </c>
      <c r="B34" s="283">
        <v>720</v>
      </c>
      <c r="C34" s="278" t="str">
        <f>(IF($A34="SINAPI",INDEX(SINAPI_NOV2020_NDES!$A$7:$H$6703,MATCH($B34,SINAPI_NOV2020_NDES!$A$7:$A$6703,0),2),IF($A34="GOINFRA",INDEX(#REF!,MATCH($B34,#REF!,0),2),(INDEX(COMPOS!$A$4:$G$390,MATCH($B34,COMPOS!$A$4:A$390,0),2)))))</f>
        <v>ELETRODUTO EM AÇO GALVANIZADO A FOGO DIÂMETRO 4" - PESADO</v>
      </c>
      <c r="D34" s="274" t="str">
        <f>(IF($A34="SINAPI",INDEX(SINAPI_NOV2020_NDES!$A$7:$H$6790,MATCH($B34,SINAPI_NOV2020_NDES!$A$7:$A$6790,0),3),(INDEX(COMPOS!$A$4:$G$5000,MATCH($B34,COMPOS!$A$4:$A$5000,0),3))))</f>
        <v>M</v>
      </c>
      <c r="E34" s="276">
        <v>12</v>
      </c>
      <c r="F34" s="276">
        <f>(IF($A34="SINAPI",INDEX(SINAPI_NOV2020_NDES!$A$7:$H$6703,MATCH($B34,SINAPI_NOV2020_NDES!$A$7:$A$6703,0),5),(INDEX(COMPOS!$A$4:$G$801,MATCH($B34,COMPOS!$A$4:A$801,0),4))))</f>
        <v>77.259999999999991</v>
      </c>
      <c r="G34" s="276">
        <f>(IF($A34="SINAPI",INDEX(SINAPI_NOV2020_NDES!$A$7:$H$6703,MATCH($B34,SINAPI_NOV2020_NDES!$A$7:$A$6703,0),6),(INDEX(COMPOS!$A$4:$G$801,MATCH($B34,COMPOS!$A$4:A$801,0),5))))</f>
        <v>75.23</v>
      </c>
      <c r="H34" s="276">
        <f>(IF($A34="SINAPI",INDEX(SINAPI_NOV2020_NDES!$A$7:$H$6703,MATCH($B34,SINAPI_NOV2020_NDES!$A$7:$A$6703,0),7),(INDEX(COMPOS!$A$4:$G$801,MATCH($B34,COMPOS!$A$4:A$801,0),6))))</f>
        <v>0</v>
      </c>
      <c r="I34" s="276">
        <f t="shared" si="6"/>
        <v>152.49</v>
      </c>
      <c r="J34" s="276">
        <f t="shared" si="7"/>
        <v>1829.88</v>
      </c>
      <c r="K34" s="255"/>
      <c r="L34" s="255"/>
      <c r="M34" s="255"/>
      <c r="N34" s="255"/>
      <c r="O34" s="257"/>
      <c r="P34" s="255"/>
    </row>
    <row r="35" spans="1:16">
      <c r="A35" s="251" t="s">
        <v>6307</v>
      </c>
      <c r="B35" s="283">
        <v>391</v>
      </c>
      <c r="C35" s="278" t="str">
        <f>(IF($A35="SINAPI",INDEX(SINAPI_NOV2020_NDES!$A$7:$H$6703,MATCH($B35,SINAPI_NOV2020_NDES!$A$7:$A$6703,0),2),IF($A35="GOINFRA",INDEX(#REF!,MATCH($B35,#REF!,0),2),(INDEX(COMPOS!$A$4:$G$390,MATCH($B35,COMPOS!$A$4:A$390,0),2)))))</f>
        <v>FITA DE AUTO FUSÃO, ROLO DE 10M</v>
      </c>
      <c r="D35" s="274" t="str">
        <f>(IF($A35="SINAPI",INDEX(SINAPI_NOV2020_NDES!$A$7:$H$6790,MATCH($B35,SINAPI_NOV2020_NDES!$A$7:$A$6790,0),3),(INDEX(COMPOS!$A$4:$G$5000,MATCH($B35,COMPOS!$A$4:$A$5000,0),3))))</f>
        <v>UN</v>
      </c>
      <c r="E35" s="276">
        <v>2</v>
      </c>
      <c r="F35" s="276">
        <f>(IF($A35="SINAPI",INDEX(SINAPI_NOV2020_NDES!$A$7:$H$6703,MATCH($B35,SINAPI_NOV2020_NDES!$A$7:$A$6703,0),5),(INDEX(COMPOS!$A$4:$G$801,MATCH($B35,COMPOS!$A$4:A$801,0),4))))</f>
        <v>7.726</v>
      </c>
      <c r="G35" s="276">
        <f>(IF($A35="SINAPI",INDEX(SINAPI_NOV2020_NDES!$A$7:$H$6703,MATCH($B35,SINAPI_NOV2020_NDES!$A$7:$A$6703,0),6),(INDEX(COMPOS!$A$4:$G$801,MATCH($B35,COMPOS!$A$4:A$801,0),5))))</f>
        <v>13.6</v>
      </c>
      <c r="H35" s="276">
        <f>(IF($A35="SINAPI",INDEX(SINAPI_NOV2020_NDES!$A$7:$H$6703,MATCH($B35,SINAPI_NOV2020_NDES!$A$7:$A$6703,0),7),(INDEX(COMPOS!$A$4:$G$801,MATCH($B35,COMPOS!$A$4:A$801,0),6))))</f>
        <v>0</v>
      </c>
      <c r="I35" s="276">
        <f t="shared" si="6"/>
        <v>21.326000000000001</v>
      </c>
      <c r="J35" s="276">
        <f t="shared" si="7"/>
        <v>42.652000000000001</v>
      </c>
      <c r="K35" s="255"/>
      <c r="L35" s="255"/>
      <c r="M35" s="255"/>
      <c r="N35" s="255"/>
      <c r="O35" s="257"/>
      <c r="P35" s="255"/>
    </row>
    <row r="36" spans="1:16">
      <c r="A36" s="251" t="s">
        <v>6307</v>
      </c>
      <c r="B36" s="283">
        <v>722</v>
      </c>
      <c r="C36" s="278" t="str">
        <f>(IF($A36="SINAPI",INDEX(SINAPI_NOV2020_NDES!$A$7:$H$6703,MATCH($B36,SINAPI_NOV2020_NDES!$A$7:$A$6703,0),2),IF($A36="GOINFRA",INDEX(#REF!,MATCH($B36,#REF!,0),2),(INDEX(COMPOS!$A$4:$G$390,MATCH($B36,COMPOS!$A$4:A$390,0),2)))))</f>
        <v>FITA ISOLANTE, ROLO DE 20,00 M</v>
      </c>
      <c r="D36" s="274" t="str">
        <f>(IF($A36="SINAPI",INDEX(SINAPI_NOV2020_NDES!$A$7:$H$6790,MATCH($B36,SINAPI_NOV2020_NDES!$A$7:$A$6790,0),3),(INDEX(COMPOS!$A$4:$G$5000,MATCH($B36,COMPOS!$A$4:$A$5000,0),3))))</f>
        <v>UN</v>
      </c>
      <c r="E36" s="276">
        <v>4</v>
      </c>
      <c r="F36" s="276">
        <f>(IF($A36="SINAPI",INDEX(SINAPI_NOV2020_NDES!$A$7:$H$6703,MATCH($B36,SINAPI_NOV2020_NDES!$A$7:$A$6703,0),5),(INDEX(COMPOS!$A$4:$G$801,MATCH($B36,COMPOS!$A$4:A$801,0),4))))</f>
        <v>15.452</v>
      </c>
      <c r="G36" s="276">
        <f>(IF($A36="SINAPI",INDEX(SINAPI_NOV2020_NDES!$A$7:$H$6703,MATCH($B36,SINAPI_NOV2020_NDES!$A$7:$A$6703,0),6),(INDEX(COMPOS!$A$4:$G$801,MATCH($B36,COMPOS!$A$4:A$801,0),5))))</f>
        <v>10</v>
      </c>
      <c r="H36" s="276">
        <f>(IF($A36="SINAPI",INDEX(SINAPI_NOV2020_NDES!$A$7:$H$6703,MATCH($B36,SINAPI_NOV2020_NDES!$A$7:$A$6703,0),7),(INDEX(COMPOS!$A$4:$G$801,MATCH($B36,COMPOS!$A$4:A$801,0),6))))</f>
        <v>0</v>
      </c>
      <c r="I36" s="276">
        <f t="shared" si="6"/>
        <v>25.451999999999998</v>
      </c>
      <c r="J36" s="276">
        <f t="shared" si="7"/>
        <v>101.80799999999999</v>
      </c>
      <c r="K36" s="255"/>
      <c r="L36" s="255"/>
      <c r="M36" s="255"/>
      <c r="N36" s="255"/>
      <c r="O36" s="257"/>
      <c r="P36" s="255"/>
    </row>
    <row r="37" spans="1:16">
      <c r="A37" s="251" t="s">
        <v>6307</v>
      </c>
      <c r="B37" s="283">
        <v>723</v>
      </c>
      <c r="C37" s="278" t="str">
        <f>(IF($A37="SINAPI",INDEX(SINAPI_NOV2020_NDES!$A$7:$H$6703,MATCH($B37,SINAPI_NOV2020_NDES!$A$7:$A$6703,0),2),IF($A37="GOINFRA",INDEX(#REF!,MATCH($B37,#REF!,0),2),(INDEX(COMPOS!$A$4:$G$390,MATCH($B37,COMPOS!$A$4:A$390,0),2)))))</f>
        <v>GRAMPO DE ANCORAGEM POLIMÉRICO</v>
      </c>
      <c r="D37" s="274" t="str">
        <f>(IF($A37="SINAPI",INDEX(SINAPI_NOV2020_NDES!$A$7:$H$6790,MATCH($B37,SINAPI_NOV2020_NDES!$A$7:$A$6790,0),3),(INDEX(COMPOS!$A$4:$G$5000,MATCH($B37,COMPOS!$A$4:$A$5000,0),3))))</f>
        <v>UN</v>
      </c>
      <c r="E37" s="276">
        <v>3</v>
      </c>
      <c r="F37" s="276">
        <f>(IF($A37="SINAPI",INDEX(SINAPI_NOV2020_NDES!$A$7:$H$6703,MATCH($B37,SINAPI_NOV2020_NDES!$A$7:$A$6703,0),5),(INDEX(COMPOS!$A$4:$G$801,MATCH($B37,COMPOS!$A$4:A$801,0),4))))</f>
        <v>15.452</v>
      </c>
      <c r="G37" s="276">
        <f>(IF($A37="SINAPI",INDEX(SINAPI_NOV2020_NDES!$A$7:$H$6703,MATCH($B37,SINAPI_NOV2020_NDES!$A$7:$A$6703,0),6),(INDEX(COMPOS!$A$4:$G$801,MATCH($B37,COMPOS!$A$4:A$801,0),5))))</f>
        <v>29.4</v>
      </c>
      <c r="H37" s="276">
        <f>(IF($A37="SINAPI",INDEX(SINAPI_NOV2020_NDES!$A$7:$H$6703,MATCH($B37,SINAPI_NOV2020_NDES!$A$7:$A$6703,0),7),(INDEX(COMPOS!$A$4:$G$801,MATCH($B37,COMPOS!$A$4:A$801,0),6))))</f>
        <v>0</v>
      </c>
      <c r="I37" s="276">
        <f t="shared" si="6"/>
        <v>44.851999999999997</v>
      </c>
      <c r="J37" s="276">
        <f t="shared" si="7"/>
        <v>134.55599999999998</v>
      </c>
      <c r="K37" s="255"/>
      <c r="L37" s="255"/>
      <c r="M37" s="255"/>
      <c r="N37" s="255"/>
      <c r="O37" s="257"/>
      <c r="P37" s="255"/>
    </row>
    <row r="38" spans="1:16" ht="24">
      <c r="A38" s="251" t="s">
        <v>7</v>
      </c>
      <c r="B38" s="283">
        <v>96985</v>
      </c>
      <c r="C38" s="278" t="str">
        <f>(IF($A38="SINAPI",INDEX(SINAPI_NOV2020_NDES!$A$7:$H$6703,MATCH($B38,SINAPI_NOV2020_NDES!$A$7:$A$6703,0),2),IF($A38="GOINFRA",INDEX(#REF!,MATCH($B38,#REF!,0),2),(INDEX(COMPOS!$A$4:$G$390,MATCH($B38,COMPOS!$A$4:A$390,0),2)))))</f>
        <v>HASTE DE ATERRAMENTO 5/8  PARA SPDA - FORNECIMENTO E INSTALAÇÃO. AF_12/2017</v>
      </c>
      <c r="D38" s="274" t="str">
        <f>(IF($A38="SINAPI",INDEX(SINAPI_NOV2020_NDES!$A$7:$H$6790,MATCH($B38,SINAPI_NOV2020_NDES!$A$7:$A$6790,0),3),(INDEX(COMPOS!$A$4:$G$5000,MATCH($B38,COMPOS!$A$4:$A$5000,0),3))))</f>
        <v>UN</v>
      </c>
      <c r="E38" s="276">
        <v>8</v>
      </c>
      <c r="F38" s="276">
        <f>(IF($A38="SINAPI",INDEX(SINAPI_NOV2020_NDES!$A$7:$H$6703,MATCH($B38,SINAPI_NOV2020_NDES!$A$7:$A$6703,0),5),(INDEX(COMPOS!$A$4:$G$801,MATCH($B38,COMPOS!$A$4:A$801,0),4))))</f>
        <v>7.44</v>
      </c>
      <c r="G38" s="276">
        <f>(IF($A38="SINAPI",INDEX(SINAPI_NOV2020_NDES!$A$7:$H$6703,MATCH($B38,SINAPI_NOV2020_NDES!$A$7:$A$6703,0),6),(INDEX(COMPOS!$A$4:$G$801,MATCH($B38,COMPOS!$A$4:A$801,0),5))))</f>
        <v>38.17</v>
      </c>
      <c r="H38" s="276">
        <f>(IF($A38="SINAPI",INDEX(SINAPI_NOV2020_NDES!$A$7:$H$6703,MATCH($B38,SINAPI_NOV2020_NDES!$A$7:$A$6703,0),7),(INDEX(COMPOS!$A$4:$G$801,MATCH($B38,COMPOS!$A$4:A$801,0),6))))</f>
        <v>0</v>
      </c>
      <c r="I38" s="276">
        <f t="shared" si="6"/>
        <v>45.61</v>
      </c>
      <c r="J38" s="276">
        <f t="shared" si="7"/>
        <v>364.88</v>
      </c>
      <c r="K38" s="255"/>
      <c r="L38" s="255"/>
      <c r="M38" s="255"/>
      <c r="N38" s="255"/>
      <c r="O38" s="257"/>
      <c r="P38" s="255"/>
    </row>
    <row r="39" spans="1:16">
      <c r="A39" s="251" t="s">
        <v>6307</v>
      </c>
      <c r="B39" s="283">
        <v>725</v>
      </c>
      <c r="C39" s="278" t="str">
        <f>(IF($A39="SINAPI",INDEX(SINAPI_NOV2020_NDES!$A$7:$H$6703,MATCH($B39,SINAPI_NOV2020_NDES!$A$7:$A$6703,0),2),IF($A39="GOINFRA",INDEX(#REF!,MATCH($B39,#REF!,0),2),(INDEX(COMPOS!$A$4:$G$390,MATCH($B39,COMPOS!$A$4:A$390,0),2)))))</f>
        <v>ISOLADOR DE ANCORAGEM POLIMÉRICO 15KV</v>
      </c>
      <c r="D39" s="274" t="str">
        <f>(IF($A39="SINAPI",INDEX(SINAPI_NOV2020_NDES!$A$7:$H$6790,MATCH($B39,SINAPI_NOV2020_NDES!$A$7:$A$6790,0),3),(INDEX(COMPOS!$A$4:$G$5000,MATCH($B39,COMPOS!$A$4:$A$5000,0),3))))</f>
        <v>UN</v>
      </c>
      <c r="E39" s="276">
        <v>3</v>
      </c>
      <c r="F39" s="276">
        <f>(IF($A39="SINAPI",INDEX(SINAPI_NOV2020_NDES!$A$7:$H$6703,MATCH($B39,SINAPI_NOV2020_NDES!$A$7:$A$6703,0),5),(INDEX(COMPOS!$A$4:$G$801,MATCH($B39,COMPOS!$A$4:A$801,0),4))))</f>
        <v>7.726</v>
      </c>
      <c r="G39" s="276">
        <f>(IF($A39="SINAPI",INDEX(SINAPI_NOV2020_NDES!$A$7:$H$6703,MATCH($B39,SINAPI_NOV2020_NDES!$A$7:$A$6703,0),6),(INDEX(COMPOS!$A$4:$G$801,MATCH($B39,COMPOS!$A$4:A$801,0),5))))</f>
        <v>46.94</v>
      </c>
      <c r="H39" s="276">
        <f>(IF($A39="SINAPI",INDEX(SINAPI_NOV2020_NDES!$A$7:$H$6703,MATCH($B39,SINAPI_NOV2020_NDES!$A$7:$A$6703,0),7),(INDEX(COMPOS!$A$4:$G$801,MATCH($B39,COMPOS!$A$4:A$801,0),6))))</f>
        <v>0</v>
      </c>
      <c r="I39" s="276">
        <f t="shared" si="6"/>
        <v>54.665999999999997</v>
      </c>
      <c r="J39" s="276">
        <f t="shared" si="7"/>
        <v>163.99799999999999</v>
      </c>
      <c r="K39" s="255"/>
      <c r="L39" s="255"/>
      <c r="M39" s="255"/>
      <c r="N39" s="255"/>
      <c r="O39" s="257"/>
      <c r="P39" s="255"/>
    </row>
    <row r="40" spans="1:16" ht="24">
      <c r="A40" s="251" t="s">
        <v>7</v>
      </c>
      <c r="B40" s="283">
        <v>101548</v>
      </c>
      <c r="C40" s="278" t="str">
        <f>(IF($A40="SINAPI",INDEX(SINAPI_NOV2020_NDES!$A$7:$H$6703,MATCH($B40,SINAPI_NOV2020_NDES!$A$7:$A$6703,0),2),IF($A40="GOINFRA",INDEX(#REF!,MATCH($B40,#REF!,0),2),(INDEX(COMPOS!$A$4:$G$390,MATCH($B40,COMPOS!$A$4:A$390,0),2)))))</f>
        <v>ISOLADOR, TIPO ROLDANA, PARA BAIXA TENSÃO - FORNECIMENTO E INSTALAÇÃO. AF_07/2020</v>
      </c>
      <c r="D40" s="274" t="str">
        <f>(IF($A40="SINAPI",INDEX(SINAPI_NOV2020_NDES!$A$7:$H$6790,MATCH($B40,SINAPI_NOV2020_NDES!$A$7:$A$6790,0),3),(INDEX(COMPOS!$A$4:$G$5000,MATCH($B40,COMPOS!$A$4:$A$5000,0),3))))</f>
        <v>UN</v>
      </c>
      <c r="E40" s="276">
        <v>1</v>
      </c>
      <c r="F40" s="276">
        <f>(IF($A40="SINAPI",INDEX(SINAPI_NOV2020_NDES!$A$7:$H$6703,MATCH($B40,SINAPI_NOV2020_NDES!$A$7:$A$6703,0),5),(INDEX(COMPOS!$A$4:$G$801,MATCH($B40,COMPOS!$A$4:A$801,0),4))))</f>
        <v>1.1499999999999999</v>
      </c>
      <c r="G40" s="276">
        <f>(IF($A40="SINAPI",INDEX(SINAPI_NOV2020_NDES!$A$7:$H$6703,MATCH($B40,SINAPI_NOV2020_NDES!$A$7:$A$6703,0),6),(INDEX(COMPOS!$A$4:$G$801,MATCH($B40,COMPOS!$A$4:A$801,0),5))))</f>
        <v>4.3499999999999996</v>
      </c>
      <c r="H40" s="276">
        <f>(IF($A40="SINAPI",INDEX(SINAPI_NOV2020_NDES!$A$7:$H$6703,MATCH($B40,SINAPI_NOV2020_NDES!$A$7:$A$6703,0),7),(INDEX(COMPOS!$A$4:$G$801,MATCH($B40,COMPOS!$A$4:A$801,0),6))))</f>
        <v>0</v>
      </c>
      <c r="I40" s="276">
        <f t="shared" si="6"/>
        <v>5.5</v>
      </c>
      <c r="J40" s="276">
        <f t="shared" si="7"/>
        <v>5.5</v>
      </c>
      <c r="K40" s="255"/>
      <c r="L40" s="255"/>
      <c r="M40" s="255"/>
      <c r="N40" s="255"/>
      <c r="O40" s="257"/>
      <c r="P40" s="255"/>
    </row>
    <row r="41" spans="1:16">
      <c r="A41" s="251" t="s">
        <v>6307</v>
      </c>
      <c r="B41" s="283">
        <v>726</v>
      </c>
      <c r="C41" s="278" t="str">
        <f>(IF($A41="SINAPI",INDEX(SINAPI_NOV2020_NDES!$A$7:$H$6703,MATCH($B41,SINAPI_NOV2020_NDES!$A$7:$A$6703,0),2),IF($A41="GOINFRA",INDEX(#REF!,MATCH($B41,#REF!,0),2),(INDEX(COMPOS!$A$4:$G$390,MATCH($B41,COMPOS!$A$4:A$390,0),2)))))</f>
        <v>LUVA EM AÇO GALVANIZADO DIÂMETRO 4"</v>
      </c>
      <c r="D41" s="274" t="str">
        <f>(IF($A41="SINAPI",INDEX(SINAPI_NOV2020_NDES!$A$7:$H$6790,MATCH($B41,SINAPI_NOV2020_NDES!$A$7:$A$6790,0),3),(INDEX(COMPOS!$A$4:$G$5000,MATCH($B41,COMPOS!$A$4:$A$5000,0),3))))</f>
        <v>UN</v>
      </c>
      <c r="E41" s="276">
        <v>4</v>
      </c>
      <c r="F41" s="276">
        <f>(IF($A41="SINAPI",INDEX(SINAPI_NOV2020_NDES!$A$7:$H$6703,MATCH($B41,SINAPI_NOV2020_NDES!$A$7:$A$6703,0),5),(INDEX(COMPOS!$A$4:$G$801,MATCH($B41,COMPOS!$A$4:A$801,0),4))))</f>
        <v>21.246500000000005</v>
      </c>
      <c r="G41" s="276">
        <f>(IF($A41="SINAPI",INDEX(SINAPI_NOV2020_NDES!$A$7:$H$6703,MATCH($B41,SINAPI_NOV2020_NDES!$A$7:$A$6703,0),6),(INDEX(COMPOS!$A$4:$G$801,MATCH($B41,COMPOS!$A$4:A$801,0),5))))</f>
        <v>18.079999999999998</v>
      </c>
      <c r="H41" s="276">
        <f>(IF($A41="SINAPI",INDEX(SINAPI_NOV2020_NDES!$A$7:$H$6703,MATCH($B41,SINAPI_NOV2020_NDES!$A$7:$A$6703,0),7),(INDEX(COMPOS!$A$4:$G$801,MATCH($B41,COMPOS!$A$4:A$801,0),6))))</f>
        <v>0</v>
      </c>
      <c r="I41" s="276">
        <f t="shared" si="6"/>
        <v>39.326500000000003</v>
      </c>
      <c r="J41" s="276">
        <f t="shared" si="7"/>
        <v>157.30600000000001</v>
      </c>
      <c r="K41" s="255"/>
      <c r="L41" s="255"/>
      <c r="M41" s="255"/>
      <c r="N41" s="255"/>
      <c r="O41" s="257"/>
      <c r="P41" s="255"/>
    </row>
    <row r="42" spans="1:16">
      <c r="A42" s="251" t="s">
        <v>6307</v>
      </c>
      <c r="B42" s="283">
        <v>728</v>
      </c>
      <c r="C42" s="278" t="str">
        <f>(IF($A42="SINAPI",INDEX(SINAPI_NOV2020_NDES!$A$7:$H$6703,MATCH($B42,SINAPI_NOV2020_NDES!$A$7:$A$6703,0),2),IF($A42="GOINFRA",INDEX(#REF!,MATCH($B42,#REF!,0),2),(INDEX(COMPOS!$A$4:$G$390,MATCH($B42,COMPOS!$A$4:A$390,0),2)))))</f>
        <v>MANILHA-SAPATILHA EM AÇO GALVANIZADO</v>
      </c>
      <c r="D42" s="274" t="str">
        <f>(IF($A42="SINAPI",INDEX(SINAPI_NOV2020_NDES!$A$7:$H$6790,MATCH($B42,SINAPI_NOV2020_NDES!$A$7:$A$6790,0),3),(INDEX(COMPOS!$A$4:$G$5000,MATCH($B42,COMPOS!$A$4:$A$5000,0),3))))</f>
        <v>UN</v>
      </c>
      <c r="E42" s="276">
        <v>3</v>
      </c>
      <c r="F42" s="276">
        <f>(IF($A42="SINAPI",INDEX(SINAPI_NOV2020_NDES!$A$7:$H$6703,MATCH($B42,SINAPI_NOV2020_NDES!$A$7:$A$6703,0),5),(INDEX(COMPOS!$A$4:$G$801,MATCH($B42,COMPOS!$A$4:A$801,0),4))))</f>
        <v>15.452</v>
      </c>
      <c r="G42" s="276">
        <f>(IF($A42="SINAPI",INDEX(SINAPI_NOV2020_NDES!$A$7:$H$6703,MATCH($B42,SINAPI_NOV2020_NDES!$A$7:$A$6703,0),6),(INDEX(COMPOS!$A$4:$G$801,MATCH($B42,COMPOS!$A$4:A$801,0),5))))</f>
        <v>10.69</v>
      </c>
      <c r="H42" s="276">
        <f>(IF($A42="SINAPI",INDEX(SINAPI_NOV2020_NDES!$A$7:$H$6703,MATCH($B42,SINAPI_NOV2020_NDES!$A$7:$A$6703,0),7),(INDEX(COMPOS!$A$4:$G$801,MATCH($B42,COMPOS!$A$4:A$801,0),6))))</f>
        <v>0</v>
      </c>
      <c r="I42" s="276">
        <f t="shared" si="6"/>
        <v>26.141999999999999</v>
      </c>
      <c r="J42" s="276">
        <f t="shared" si="7"/>
        <v>78.426000000000002</v>
      </c>
      <c r="K42" s="255"/>
      <c r="L42" s="255"/>
      <c r="M42" s="255"/>
      <c r="N42" s="255"/>
      <c r="O42" s="257"/>
      <c r="P42" s="255"/>
    </row>
    <row r="43" spans="1:16" ht="36">
      <c r="A43" s="251" t="s">
        <v>6307</v>
      </c>
      <c r="B43" s="283">
        <v>729</v>
      </c>
      <c r="C43" s="278" t="str">
        <f>(IF($A43="SINAPI",INDEX(SINAPI_NOV2020_NDES!$A$7:$H$6703,MATCH($B43,SINAPI_NOV2020_NDES!$A$7:$A$6703,0),2),IF($A43="GOINFRA",INDEX(#REF!,MATCH($B43,#REF!,0),2),(INDEX(COMPOS!$A$4:$G$390,MATCH($B43,COMPOS!$A$4:A$390,0),2)))))</f>
        <v>MURETA MEDIÇÃO ALVEN. 1 1/2 V.(35CM) REBOC.C/PINTURA ACRÍL. E LAJE CONC. 20MPA MALHA 8.0MM CADA 10CM REVEST.C/ARGAMASSA 1:3 C/ IMPERMEABILIZANTE</v>
      </c>
      <c r="D43" s="274" t="str">
        <f>(IF($A43="SINAPI",INDEX(SINAPI_NOV2020_NDES!$A$7:$H$6790,MATCH($B43,SINAPI_NOV2020_NDES!$A$7:$A$6790,0),3),(INDEX(COMPOS!$A$4:$G$5000,MATCH($B43,COMPOS!$A$4:$A$5000,0),3))))</f>
        <v>M2</v>
      </c>
      <c r="E43" s="316">
        <v>3.8</v>
      </c>
      <c r="F43" s="316">
        <f>(IF($A43="SINAPI",INDEX(SINAPI_NOV2020_NDES!$A$7:$H$6703,MATCH($B43,SINAPI_NOV2020_NDES!$A$7:$A$6703,0),5),(INDEX(COMPOS!$A$4:$G$801,MATCH($B43,COMPOS!$A$4:A$801,0),4))))</f>
        <v>208.25929999999997</v>
      </c>
      <c r="G43" s="316">
        <f>(IF($A43="SINAPI",INDEX(SINAPI_NOV2020_NDES!$A$7:$H$6703,MATCH($B43,SINAPI_NOV2020_NDES!$A$7:$A$6703,0),6),(INDEX(COMPOS!$A$4:$G$801,MATCH($B43,COMPOS!$A$4:A$801,0),5))))</f>
        <v>225.85207107438018</v>
      </c>
      <c r="H43" s="316">
        <f>(IF($A43="SINAPI",INDEX(SINAPI_NOV2020_NDES!$A$7:$H$6703,MATCH($B43,SINAPI_NOV2020_NDES!$A$7:$A$6703,0),7),(INDEX(COMPOS!$A$4:$G$801,MATCH($B43,COMPOS!$A$4:A$801,0),6))))</f>
        <v>0</v>
      </c>
      <c r="I43" s="316">
        <f t="shared" si="6"/>
        <v>434.11137107438014</v>
      </c>
      <c r="J43" s="316">
        <f t="shared" si="7"/>
        <v>1649.6232100826444</v>
      </c>
      <c r="K43" s="255"/>
      <c r="L43" s="255"/>
      <c r="M43" s="255"/>
      <c r="N43" s="255"/>
      <c r="O43" s="257"/>
      <c r="P43" s="255"/>
    </row>
    <row r="44" spans="1:16">
      <c r="A44" s="251" t="s">
        <v>6307</v>
      </c>
      <c r="B44" s="283">
        <v>730</v>
      </c>
      <c r="C44" s="278" t="str">
        <f>(IF($A44="SINAPI",INDEX(SINAPI_NOV2020_NDES!$A$7:$H$6703,MATCH($B44,SINAPI_NOV2020_NDES!$A$7:$A$6703,0),2),IF($A44="GOINFRA",INDEX(#REF!,MATCH($B44,#REF!,0),2),(INDEX(COMPOS!$A$4:$G$390,MATCH($B44,COMPOS!$A$4:A$390,0),2)))))</f>
        <v>NIPLE METALICO Fo.Zo. DIAMETRO 1 1/4"</v>
      </c>
      <c r="D44" s="274" t="str">
        <f>(IF($A44="SINAPI",INDEX(SINAPI_NOV2020_NDES!$A$7:$H$6790,MATCH($B44,SINAPI_NOV2020_NDES!$A$7:$A$6790,0),3),(INDEX(COMPOS!$A$4:$G$5000,MATCH($B44,COMPOS!$A$4:$A$5000,0),3))))</f>
        <v>UN</v>
      </c>
      <c r="E44" s="276">
        <v>1</v>
      </c>
      <c r="F44" s="276">
        <f>(IF($A44="SINAPI",INDEX(SINAPI_NOV2020_NDES!$A$7:$H$6703,MATCH($B44,SINAPI_NOV2020_NDES!$A$7:$A$6703,0),5),(INDEX(COMPOS!$A$4:$G$801,MATCH($B44,COMPOS!$A$4:A$801,0),4))))</f>
        <v>3.863</v>
      </c>
      <c r="G44" s="276">
        <f>(IF($A44="SINAPI",INDEX(SINAPI_NOV2020_NDES!$A$7:$H$6703,MATCH($B44,SINAPI_NOV2020_NDES!$A$7:$A$6703,0),6),(INDEX(COMPOS!$A$4:$G$801,MATCH($B44,COMPOS!$A$4:A$801,0),5))))</f>
        <v>10.220000000000001</v>
      </c>
      <c r="H44" s="276">
        <f>(IF($A44="SINAPI",INDEX(SINAPI_NOV2020_NDES!$A$7:$H$6703,MATCH($B44,SINAPI_NOV2020_NDES!$A$7:$A$6703,0),7),(INDEX(COMPOS!$A$4:$G$801,MATCH($B44,COMPOS!$A$4:A$801,0),6))))</f>
        <v>0</v>
      </c>
      <c r="I44" s="276">
        <f t="shared" si="6"/>
        <v>14.083</v>
      </c>
      <c r="J44" s="276">
        <f t="shared" si="7"/>
        <v>14.083</v>
      </c>
      <c r="K44" s="255"/>
      <c r="L44" s="255"/>
      <c r="M44" s="255"/>
      <c r="N44" s="255"/>
      <c r="O44" s="257"/>
      <c r="P44" s="255"/>
    </row>
    <row r="45" spans="1:16">
      <c r="A45" s="251" t="s">
        <v>6307</v>
      </c>
      <c r="B45" s="283">
        <v>731</v>
      </c>
      <c r="C45" s="278" t="str">
        <f>(IF($A45="SINAPI",INDEX(SINAPI_NOV2020_NDES!$A$7:$H$6703,MATCH($B45,SINAPI_NOV2020_NDES!$A$7:$A$6703,0),2),IF($A45="GOINFRA",INDEX(#REF!,MATCH($B45,#REF!,0),2),(INDEX(COMPOS!$A$4:$G$390,MATCH($B45,COMPOS!$A$4:A$390,0),2)))))</f>
        <v>NIPLE METALICO Fo.Zo. DIAMETRO 4"</v>
      </c>
      <c r="D45" s="274" t="str">
        <f>(IF($A45="SINAPI",INDEX(SINAPI_NOV2020_NDES!$A$7:$H$6790,MATCH($B45,SINAPI_NOV2020_NDES!$A$7:$A$6790,0),3),(INDEX(COMPOS!$A$4:$G$5000,MATCH($B45,COMPOS!$A$4:$A$5000,0),3))))</f>
        <v>UN</v>
      </c>
      <c r="E45" s="276">
        <v>2</v>
      </c>
      <c r="F45" s="276">
        <f>(IF($A45="SINAPI",INDEX(SINAPI_NOV2020_NDES!$A$7:$H$6703,MATCH($B45,SINAPI_NOV2020_NDES!$A$7:$A$6703,0),5),(INDEX(COMPOS!$A$4:$G$801,MATCH($B45,COMPOS!$A$4:A$801,0),4))))</f>
        <v>21.246500000000005</v>
      </c>
      <c r="G45" s="276">
        <f>(IF($A45="SINAPI",INDEX(SINAPI_NOV2020_NDES!$A$7:$H$6703,MATCH($B45,SINAPI_NOV2020_NDES!$A$7:$A$6703,0),6),(INDEX(COMPOS!$A$4:$G$801,MATCH($B45,COMPOS!$A$4:A$801,0),5))))</f>
        <v>84.63</v>
      </c>
      <c r="H45" s="276">
        <f>(IF($A45="SINAPI",INDEX(SINAPI_NOV2020_NDES!$A$7:$H$6703,MATCH($B45,SINAPI_NOV2020_NDES!$A$7:$A$6703,0),7),(INDEX(COMPOS!$A$4:$G$801,MATCH($B45,COMPOS!$A$4:A$801,0),6))))</f>
        <v>0</v>
      </c>
      <c r="I45" s="276">
        <f t="shared" si="6"/>
        <v>105.87649999999999</v>
      </c>
      <c r="J45" s="276">
        <f t="shared" si="7"/>
        <v>211.75299999999999</v>
      </c>
      <c r="K45" s="255"/>
      <c r="L45" s="255"/>
      <c r="M45" s="255"/>
      <c r="N45" s="255"/>
      <c r="O45" s="257"/>
      <c r="P45" s="255"/>
    </row>
    <row r="46" spans="1:16">
      <c r="A46" s="251" t="s">
        <v>6307</v>
      </c>
      <c r="B46" s="283">
        <v>251</v>
      </c>
      <c r="C46" s="278" t="str">
        <f>(IF($A46="SINAPI",INDEX(SINAPI_NOV2020_NDES!$A$7:$H$6703,MATCH($B46,SINAPI_NOV2020_NDES!$A$7:$A$6703,0),2),IF($A46="GOINFRA",INDEX(#REF!,MATCH($B46,#REF!,0),2),(INDEX(COMPOS!$A$4:$G$3900,MATCH($B46,COMPOS!$A$4:A$3900,0),2)))))</f>
        <v>PORCA OLHAL EM ACO GALVANIZADO, DIAMETRO NOMINAL DE 16 MM</v>
      </c>
      <c r="D46" s="274" t="str">
        <f>(IF($A46="SINAPI",INDEX(SINAPI_NOV2020_NDES!$A$7:$H$6790,MATCH($B46,SINAPI_NOV2020_NDES!$A$7:$A$6790,0),3),(INDEX(COMPOS!$A$4:$G$5000,MATCH($B46,COMPOS!$A$4:$A$5000,0),3))))</f>
        <v>UN</v>
      </c>
      <c r="E46" s="276">
        <v>3</v>
      </c>
      <c r="F46" s="276">
        <f>(IF($A46="SINAPI",INDEX(SINAPI_NOV2020_NDES!$A$7:$H$6703,MATCH($B46,SINAPI_NOV2020_NDES!$A$7:$A$6703,0),5),(INDEX(COMPOS!$A$4:$G$801,MATCH($B46,COMPOS!$A$4:A$801,0),4))))</f>
        <v>11.588999999999999</v>
      </c>
      <c r="G46" s="276">
        <f>(IF($A46="SINAPI",INDEX(SINAPI_NOV2020_NDES!$A$7:$H$6703,MATCH($B46,SINAPI_NOV2020_NDES!$A$7:$A$6703,0),6),(INDEX(COMPOS!$A$4:$G$801,MATCH($B46,COMPOS!$A$4:A$801,0),5))))</f>
        <v>7.85</v>
      </c>
      <c r="H46" s="276">
        <f>(IF($A46="SINAPI",INDEX(SINAPI_NOV2020_NDES!$A$7:$H$6703,MATCH($B46,SINAPI_NOV2020_NDES!$A$7:$A$6703,0),7),(INDEX(COMPOS!$A$4:$G$801,MATCH($B46,COMPOS!$A$4:A$801,0),6))))</f>
        <v>0</v>
      </c>
      <c r="I46" s="276">
        <f t="shared" si="6"/>
        <v>19.439</v>
      </c>
      <c r="J46" s="276">
        <f t="shared" si="7"/>
        <v>58.317</v>
      </c>
      <c r="K46" s="255"/>
      <c r="L46" s="255"/>
      <c r="M46" s="255"/>
      <c r="N46" s="255"/>
      <c r="O46" s="257"/>
      <c r="P46" s="255"/>
    </row>
    <row r="47" spans="1:16" ht="36">
      <c r="A47" s="251" t="s">
        <v>6307</v>
      </c>
      <c r="B47" s="283">
        <v>255</v>
      </c>
      <c r="C47" s="278" t="str">
        <f>(IF($A47="SINAPI",INDEX(SINAPI_NOV2020_NDES!$A$7:$H$6703,MATCH($B47,SINAPI_NOV2020_NDES!$A$7:$A$6703,0),2),IF($A47="GOINFRA",INDEX(#REF!,MATCH($B47,#REF!,0),2),(INDEX(COMPOS!$A$4:$G$3900,MATCH($B47,COMPOS!$A$4:A$3900,0),2)))))</f>
        <v xml:space="preserve">PARA-RAIOS DE DISTRIBUICAO, TENSAO NOMINAL 15 KV, CORRENTE NOMINAL DE DESCARGA 5 KA
</v>
      </c>
      <c r="D47" s="274" t="str">
        <f>(IF($A47="SINAPI",INDEX(SINAPI_NOV2020_NDES!$A$7:$H$6790,MATCH($B47,SINAPI_NOV2020_NDES!$A$7:$A$6790,0),3),(INDEX(COMPOS!$A$4:$G$5000,MATCH($B47,COMPOS!$A$4:$A$5000,0),3))))</f>
        <v>UN</v>
      </c>
      <c r="E47" s="276">
        <v>3</v>
      </c>
      <c r="F47" s="276">
        <f>(IF($A47="SINAPI",INDEX(SINAPI_NOV2020_NDES!$A$7:$H$6703,MATCH($B47,SINAPI_NOV2020_NDES!$A$7:$A$6703,0),5),(INDEX(COMPOS!$A$4:$G$801,MATCH($B47,COMPOS!$A$4:A$801,0),4))))</f>
        <v>57.945</v>
      </c>
      <c r="G47" s="276">
        <f>(IF($A47="SINAPI",INDEX(SINAPI_NOV2020_NDES!$A$7:$H$6703,MATCH($B47,SINAPI_NOV2020_NDES!$A$7:$A$6703,0),6),(INDEX(COMPOS!$A$4:$G$801,MATCH($B47,COMPOS!$A$4:A$801,0),5))))</f>
        <v>228.45</v>
      </c>
      <c r="H47" s="276">
        <f>(IF($A47="SINAPI",INDEX(SINAPI_NOV2020_NDES!$A$7:$H$6703,MATCH($B47,SINAPI_NOV2020_NDES!$A$7:$A$6703,0),7),(INDEX(COMPOS!$A$4:$G$801,MATCH($B47,COMPOS!$A$4:A$801,0),6))))</f>
        <v>0</v>
      </c>
      <c r="I47" s="276">
        <f t="shared" si="6"/>
        <v>286.39499999999998</v>
      </c>
      <c r="J47" s="276">
        <f t="shared" si="7"/>
        <v>859.18499999999995</v>
      </c>
      <c r="K47" s="255"/>
      <c r="L47" s="255"/>
      <c r="M47" s="255"/>
      <c r="N47" s="255"/>
      <c r="O47" s="257"/>
      <c r="P47" s="255"/>
    </row>
    <row r="48" spans="1:16" ht="24">
      <c r="A48" s="251" t="s">
        <v>6307</v>
      </c>
      <c r="B48" s="283">
        <v>735</v>
      </c>
      <c r="C48" s="278" t="str">
        <f>(IF($A48="SINAPI",INDEX(SINAPI_NOV2020_NDES!$A$7:$H$6703,MATCH($B48,SINAPI_NOV2020_NDES!$A$7:$A$6703,0),2),IF($A48="GOINFRA",INDEX(#REF!,MATCH($B48,#REF!,0),2),(INDEX(COMPOS!$A$4:$G$390,MATCH($B48,COMPOS!$A$4:A$390,0),2)))))</f>
        <v>POSTE - FUNDAÇÃO EM CONCRETO SIMPLES DA BASE DOS POSTES 11/600 PARA TRAFO ( DIAM. 1000MM)</v>
      </c>
      <c r="D48" s="274" t="str">
        <f>(IF($A48="SINAPI",INDEX(SINAPI_NOV2020_NDES!$A$7:$H$6790,MATCH($B48,SINAPI_NOV2020_NDES!$A$7:$A$6790,0),3),(INDEX(COMPOS!$A$4:$G$5000,MATCH($B48,COMPOS!$A$4:$A$5000,0),3))))</f>
        <v>M</v>
      </c>
      <c r="E48" s="276">
        <v>1.7</v>
      </c>
      <c r="F48" s="276">
        <f>(IF($A48="SINAPI",INDEX(SINAPI_NOV2020_NDES!$A$7:$H$6703,MATCH($B48,SINAPI_NOV2020_NDES!$A$7:$A$6703,0),5),(INDEX(COMPOS!$A$4:$G$801,MATCH($B48,COMPOS!$A$4:A$801,0),4))))</f>
        <v>377.86340000000001</v>
      </c>
      <c r="G48" s="276">
        <f>(IF($A48="SINAPI",INDEX(SINAPI_NOV2020_NDES!$A$7:$H$6703,MATCH($B48,SINAPI_NOV2020_NDES!$A$7:$A$6703,0),6),(INDEX(COMPOS!$A$4:$G$801,MATCH($B48,COMPOS!$A$4:A$801,0),5))))</f>
        <v>223.879605</v>
      </c>
      <c r="H48" s="276">
        <f>(IF($A48="SINAPI",INDEX(SINAPI_NOV2020_NDES!$A$7:$H$6703,MATCH($B48,SINAPI_NOV2020_NDES!$A$7:$A$6703,0),7),(INDEX(COMPOS!$A$4:$G$801,MATCH($B48,COMPOS!$A$4:A$801,0),6))))</f>
        <v>0</v>
      </c>
      <c r="I48" s="276">
        <f t="shared" si="6"/>
        <v>601.74300500000004</v>
      </c>
      <c r="J48" s="276">
        <f t="shared" si="7"/>
        <v>1022.9631085000001</v>
      </c>
      <c r="K48" s="255"/>
      <c r="L48" s="255"/>
      <c r="M48" s="255"/>
      <c r="N48" s="255"/>
      <c r="O48" s="257"/>
      <c r="P48" s="255"/>
    </row>
    <row r="49" spans="1:16" ht="36">
      <c r="A49" s="251" t="s">
        <v>7</v>
      </c>
      <c r="B49" s="283">
        <v>100612</v>
      </c>
      <c r="C49" s="278" t="str">
        <f>(IF($A49="SINAPI",INDEX(SINAPI_NOV2020_NDES!$A$7:$H$6703,MATCH($B49,SINAPI_NOV2020_NDES!$A$7:$A$6703,0),2),IF($A49="GOINFRA",INDEX(#REF!,MATCH($B49,#REF!,0),2),(INDEX(COMPOS!$A$4:$G$390,MATCH($B49,COMPOS!$A$4:A$390,0),2)))))</f>
        <v>ASSENTAMENTO DE POSTE DE CONCRETO COM COMPRIMENTO NOMINAL DE 11 M, CARGA NOMINAL DE 600 DAN, ENGASTAMENTO BASE CONCRETADA COM 1 M DE CONCRETO E 0,7 M DE SOLO (NÃO INCLUI FORNECIMENTO). AF_11/2019</v>
      </c>
      <c r="D49" s="274" t="str">
        <f>(IF($A49="SINAPI",INDEX(SINAPI_NOV2020_NDES!$A$7:$H$6790,MATCH($B49,SINAPI_NOV2020_NDES!$A$7:$A$6790,0),3),(INDEX(COMPOS!$A$4:$G$5000,MATCH($B49,COMPOS!$A$4:$A$5000,0),3))))</f>
        <v>UN</v>
      </c>
      <c r="E49" s="276">
        <v>1</v>
      </c>
      <c r="F49" s="276">
        <f>(IF($A49="SINAPI",INDEX(SINAPI_NOV2020_NDES!$A$7:$H$6703,MATCH($B49,SINAPI_NOV2020_NDES!$A$7:$A$6703,0),5),(INDEX(COMPOS!$A$4:$G$801,MATCH($B49,COMPOS!$A$4:A$801,0),4))))</f>
        <v>238.92</v>
      </c>
      <c r="G49" s="276">
        <f>(IF($A49="SINAPI",INDEX(SINAPI_NOV2020_NDES!$A$7:$H$6703,MATCH($B49,SINAPI_NOV2020_NDES!$A$7:$A$6703,0),6),(INDEX(COMPOS!$A$4:$G$801,MATCH($B49,COMPOS!$A$4:A$801,0),5))))</f>
        <v>532.35</v>
      </c>
      <c r="H49" s="276">
        <f>(IF($A49="SINAPI",INDEX(SINAPI_NOV2020_NDES!$A$7:$H$6703,MATCH($B49,SINAPI_NOV2020_NDES!$A$7:$A$6703,0),7),(INDEX(COMPOS!$A$4:$G$801,MATCH($B49,COMPOS!$A$4:A$801,0),6))))</f>
        <v>2.85</v>
      </c>
      <c r="I49" s="276">
        <f t="shared" si="6"/>
        <v>774.12</v>
      </c>
      <c r="J49" s="276">
        <f t="shared" si="7"/>
        <v>774.12</v>
      </c>
      <c r="K49" s="255"/>
      <c r="L49" s="255"/>
      <c r="M49" s="255"/>
      <c r="N49" s="255"/>
      <c r="O49" s="257"/>
      <c r="P49" s="255"/>
    </row>
    <row r="50" spans="1:16">
      <c r="A50" s="251" t="s">
        <v>6307</v>
      </c>
      <c r="B50" s="283">
        <v>736</v>
      </c>
      <c r="C50" s="278" t="str">
        <f>(IF($A50="SINAPI",INDEX(SINAPI_NOV2020_NDES!$A$7:$H$6703,MATCH($B50,SINAPI_NOV2020_NDES!$A$7:$A$6703,0),2),IF($A50="GOINFRA",INDEX(#REF!,MATCH($B50,#REF!,0),2),(INDEX(COMPOS!$A$4:$G$390,MATCH($B50,COMPOS!$A$4:A$390,0),2)))))</f>
        <v>POSTE/TRAFO - CAMINHÃO MUNCK 12 TON. (MÍNIMO 4H/DIA)</v>
      </c>
      <c r="D50" s="274" t="str">
        <f>(IF($A50="SINAPI",INDEX(SINAPI_NOV2020_NDES!$A$7:$H$6790,MATCH($B50,SINAPI_NOV2020_NDES!$A$7:$A$6790,0),3),(INDEX(COMPOS!$A$4:$G$5000,MATCH($B50,COMPOS!$A$4:$A$5000,0),3))))</f>
        <v>H</v>
      </c>
      <c r="E50" s="276">
        <v>5</v>
      </c>
      <c r="F50" s="276">
        <f>(IF($A50="SINAPI",INDEX(SINAPI_NOV2020_NDES!$A$7:$H$6703,MATCH($B50,SINAPI_NOV2020_NDES!$A$7:$A$6703,0),5),(INDEX(COMPOS!$A$4:$G$801,MATCH($B50,COMPOS!$A$4:A$801,0),4))))</f>
        <v>0</v>
      </c>
      <c r="G50" s="276">
        <f>(IF($A50="SINAPI",INDEX(SINAPI_NOV2020_NDES!$A$7:$H$6703,MATCH($B50,SINAPI_NOV2020_NDES!$A$7:$A$6703,0),6),(INDEX(COMPOS!$A$4:$G$801,MATCH($B50,COMPOS!$A$4:A$801,0),5))))</f>
        <v>140</v>
      </c>
      <c r="H50" s="276">
        <f>(IF($A50="SINAPI",INDEX(SINAPI_NOV2020_NDES!$A$7:$H$6703,MATCH($B50,SINAPI_NOV2020_NDES!$A$7:$A$6703,0),7),(INDEX(COMPOS!$A$4:$G$801,MATCH($B50,COMPOS!$A$4:A$801,0),6))))</f>
        <v>0</v>
      </c>
      <c r="I50" s="276">
        <f t="shared" si="6"/>
        <v>140</v>
      </c>
      <c r="J50" s="276">
        <f t="shared" si="7"/>
        <v>700</v>
      </c>
      <c r="K50" s="255"/>
      <c r="L50" s="255"/>
      <c r="M50" s="255"/>
      <c r="N50" s="255"/>
      <c r="O50" s="257"/>
      <c r="P50" s="255"/>
    </row>
    <row r="51" spans="1:16">
      <c r="A51" s="251" t="s">
        <v>6307</v>
      </c>
      <c r="B51" s="283">
        <v>737</v>
      </c>
      <c r="C51" s="278" t="str">
        <f>(IF($A51="SINAPI",INDEX(SINAPI_NOV2020_NDES!$A$7:$H$6703,MATCH($B51,SINAPI_NOV2020_NDES!$A$7:$A$6703,0),2),IF($A51="GOINFRA",INDEX(#REF!,MATCH($B51,#REF!,0),2),(INDEX(COMPOS!$A$4:$G$390,MATCH($B51,COMPOS!$A$4:A$390,0),2)))))</f>
        <v>PROTETOR PARA PARA-RAIO POLIMÉRICO</v>
      </c>
      <c r="D51" s="274" t="str">
        <f>(IF($A51="SINAPI",INDEX(SINAPI_NOV2020_NDES!$A$7:$H$6790,MATCH($B51,SINAPI_NOV2020_NDES!$A$7:$A$6790,0),3),(INDEX(COMPOS!$A$4:$G$5000,MATCH($B51,COMPOS!$A$4:$A$5000,0),3))))</f>
        <v>UN</v>
      </c>
      <c r="E51" s="276">
        <v>3</v>
      </c>
      <c r="F51" s="276">
        <f>(IF($A51="SINAPI",INDEX(SINAPI_NOV2020_NDES!$A$7:$H$6703,MATCH($B51,SINAPI_NOV2020_NDES!$A$7:$A$6703,0),5),(INDEX(COMPOS!$A$4:$G$801,MATCH($B51,COMPOS!$A$4:A$801,0),4))))</f>
        <v>0.57945000000000002</v>
      </c>
      <c r="G51" s="276">
        <f>(IF($A51="SINAPI",INDEX(SINAPI_NOV2020_NDES!$A$7:$H$6703,MATCH($B51,SINAPI_NOV2020_NDES!$A$7:$A$6703,0),6),(INDEX(COMPOS!$A$4:$G$801,MATCH($B51,COMPOS!$A$4:A$801,0),5))))</f>
        <v>16.73</v>
      </c>
      <c r="H51" s="276">
        <f>(IF($A51="SINAPI",INDEX(SINAPI_NOV2020_NDES!$A$7:$H$6703,MATCH($B51,SINAPI_NOV2020_NDES!$A$7:$A$6703,0),7),(INDEX(COMPOS!$A$4:$G$801,MATCH($B51,COMPOS!$A$4:A$801,0),6))))</f>
        <v>0</v>
      </c>
      <c r="I51" s="276">
        <f t="shared" si="6"/>
        <v>17.309450000000002</v>
      </c>
      <c r="J51" s="276">
        <f t="shared" si="7"/>
        <v>51.928350000000009</v>
      </c>
      <c r="K51" s="255"/>
      <c r="L51" s="255"/>
      <c r="M51" s="255"/>
      <c r="N51" s="255"/>
      <c r="O51" s="257"/>
      <c r="P51" s="255"/>
    </row>
    <row r="52" spans="1:16">
      <c r="A52" s="251" t="s">
        <v>6307</v>
      </c>
      <c r="B52" s="283">
        <v>742</v>
      </c>
      <c r="C52" s="278" t="str">
        <f>(IF($A52="SINAPI",INDEX(SINAPI_NOV2020_NDES!$A$7:$H$6703,MATCH($B52,SINAPI_NOV2020_NDES!$A$7:$A$6703,0),2),IF($A52="GOINFRA",INDEX(#REF!,MATCH($B52,#REF!,0),2),(INDEX(COMPOS!$A$4:$G$390,MATCH($B52,COMPOS!$A$4:A$390,0),2)))))</f>
        <v>SAPATILHA DE AÇO GALVANIZADO PARA POSTE COM TRANSFORMADOR</v>
      </c>
      <c r="D52" s="274" t="str">
        <f>(IF($A52="SINAPI",INDEX(SINAPI_NOV2020_NDES!$A$7:$H$6790,MATCH($B52,SINAPI_NOV2020_NDES!$A$7:$A$6790,0),3),(INDEX(COMPOS!$A$4:$G$5000,MATCH($B52,COMPOS!$A$4:$A$5000,0),3))))</f>
        <v>UN</v>
      </c>
      <c r="E52" s="276">
        <v>1</v>
      </c>
      <c r="F52" s="276">
        <f>(IF($A52="SINAPI",INDEX(SINAPI_NOV2020_NDES!$A$7:$H$6703,MATCH($B52,SINAPI_NOV2020_NDES!$A$7:$A$6703,0),5),(INDEX(COMPOS!$A$4:$G$801,MATCH($B52,COMPOS!$A$4:A$801,0),4))))</f>
        <v>15.452</v>
      </c>
      <c r="G52" s="276">
        <f>(IF($A52="SINAPI",INDEX(SINAPI_NOV2020_NDES!$A$7:$H$6703,MATCH($B52,SINAPI_NOV2020_NDES!$A$7:$A$6703,0),6),(INDEX(COMPOS!$A$4:$G$801,MATCH($B52,COMPOS!$A$4:A$801,0),5))))</f>
        <v>2.67</v>
      </c>
      <c r="H52" s="276">
        <f>(IF($A52="SINAPI",INDEX(SINAPI_NOV2020_NDES!$A$7:$H$6703,MATCH($B52,SINAPI_NOV2020_NDES!$A$7:$A$6703,0),7),(INDEX(COMPOS!$A$4:$G$801,MATCH($B52,COMPOS!$A$4:A$801,0),6))))</f>
        <v>0</v>
      </c>
      <c r="I52" s="276">
        <f t="shared" si="6"/>
        <v>18.122</v>
      </c>
      <c r="J52" s="276">
        <f t="shared" si="7"/>
        <v>18.122</v>
      </c>
      <c r="K52" s="255"/>
      <c r="L52" s="255"/>
      <c r="M52" s="255"/>
      <c r="N52" s="255"/>
      <c r="O52" s="257"/>
      <c r="P52" s="255"/>
    </row>
    <row r="53" spans="1:16">
      <c r="A53" s="251" t="s">
        <v>7</v>
      </c>
      <c r="B53" s="283">
        <v>73624</v>
      </c>
      <c r="C53" s="278" t="str">
        <f>(IF($A53="SINAPI",INDEX(SINAPI_NOV2020_NDES!$A$7:$H$6703,MATCH($B53,SINAPI_NOV2020_NDES!$A$7:$A$6703,0),2),IF($A53="GOINFRA",INDEX(#REF!,MATCH($B53,#REF!,0),2),(INDEX(COMPOS!$A$4:$G$390,MATCH($B53,COMPOS!$A$4:A$390,0),2)))))</f>
        <v>SUPORTE PARA TRANSFORMADOR EM POSTE DE CONCRETO CIRCULAR</v>
      </c>
      <c r="D53" s="274" t="str">
        <f>(IF($A53="SINAPI",INDEX(SINAPI_NOV2020_NDES!$A$7:$H$6790,MATCH($B53,SINAPI_NOV2020_NDES!$A$7:$A$6790,0),3),(INDEX(COMPOS!$A$4:$G$5000,MATCH($B53,COMPOS!$A$4:$A$5000,0),3))))</f>
        <v>UN</v>
      </c>
      <c r="E53" s="276">
        <v>1</v>
      </c>
      <c r="F53" s="276">
        <f>(IF($A53="SINAPI",INDEX(SINAPI_NOV2020_NDES!$A$7:$H$6703,MATCH($B53,SINAPI_NOV2020_NDES!$A$7:$A$6703,0),5),(INDEX(COMPOS!$A$4:$G$801,MATCH($B53,COMPOS!$A$4:A$801,0),4))))</f>
        <v>44.21</v>
      </c>
      <c r="G53" s="276">
        <f>(IF($A53="SINAPI",INDEX(SINAPI_NOV2020_NDES!$A$7:$H$6703,MATCH($B53,SINAPI_NOV2020_NDES!$A$7:$A$6703,0),6),(INDEX(COMPOS!$A$4:$G$801,MATCH($B53,COMPOS!$A$4:A$801,0),5))))</f>
        <v>40.36</v>
      </c>
      <c r="H53" s="276">
        <f>(IF($A53="SINAPI",INDEX(SINAPI_NOV2020_NDES!$A$7:$H$6703,MATCH($B53,SINAPI_NOV2020_NDES!$A$7:$A$6703,0),7),(INDEX(COMPOS!$A$4:$G$801,MATCH($B53,COMPOS!$A$4:A$801,0),6))))</f>
        <v>0</v>
      </c>
      <c r="I53" s="276">
        <f t="shared" ref="I53:I72" si="8">SUM(F53:H53)</f>
        <v>84.57</v>
      </c>
      <c r="J53" s="276">
        <f t="shared" ref="J53:J72" si="9">+I53*E53</f>
        <v>84.57</v>
      </c>
      <c r="K53" s="255"/>
      <c r="L53" s="255"/>
      <c r="M53" s="255"/>
      <c r="N53" s="255"/>
      <c r="O53" s="257"/>
      <c r="P53" s="255"/>
    </row>
    <row r="54" spans="1:16">
      <c r="A54" s="251" t="s">
        <v>6307</v>
      </c>
      <c r="B54" s="283">
        <v>754</v>
      </c>
      <c r="C54" s="278" t="str">
        <f>(IF($A54="SINAPI",INDEX(SINAPI_NOV2020_NDES!$A$7:$H$6703,MATCH($B54,SINAPI_NOV2020_NDES!$A$7:$A$6703,0),2),IF($A54="GOINFRA",INDEX(#REF!,MATCH($B54,#REF!,0),2),(INDEX(COMPOS!$A$4:$G$390,MATCH($B54,COMPOS!$A$4:A$390,0),2)))))</f>
        <v>SUPORTE DE AÇO GALVANIZADO PARA FIXAÇÃO DO PÁRA-RAIO POLIMÉRICO</v>
      </c>
      <c r="D54" s="274" t="str">
        <f>(IF($A54="SINAPI",INDEX(SINAPI_NOV2020_NDES!$A$7:$H$6790,MATCH($B54,SINAPI_NOV2020_NDES!$A$7:$A$6790,0),3),(INDEX(COMPOS!$A$4:$G$5000,MATCH($B54,COMPOS!$A$4:$A$5000,0),3))))</f>
        <v>UN</v>
      </c>
      <c r="E54" s="276">
        <v>3</v>
      </c>
      <c r="F54" s="276">
        <f>(IF($A54="SINAPI",INDEX(SINAPI_NOV2020_NDES!$A$7:$H$6703,MATCH($B54,SINAPI_NOV2020_NDES!$A$7:$A$6703,0),5),(INDEX(COMPOS!$A$4:$G$801,MATCH($B54,COMPOS!$A$4:A$801,0),4))))</f>
        <v>15.452</v>
      </c>
      <c r="G54" s="276">
        <f>(IF($A54="SINAPI",INDEX(SINAPI_NOV2020_NDES!$A$7:$H$6703,MATCH($B54,SINAPI_NOV2020_NDES!$A$7:$A$6703,0),6),(INDEX(COMPOS!$A$4:$G$801,MATCH($B54,COMPOS!$A$4:A$801,0),5))))</f>
        <v>29.55</v>
      </c>
      <c r="H54" s="276">
        <f>(IF($A54="SINAPI",INDEX(SINAPI_NOV2020_NDES!$A$7:$H$6703,MATCH($B54,SINAPI_NOV2020_NDES!$A$7:$A$6703,0),7),(INDEX(COMPOS!$A$4:$G$801,MATCH($B54,COMPOS!$A$4:A$801,0),6))))</f>
        <v>0</v>
      </c>
      <c r="I54" s="276">
        <f t="shared" si="8"/>
        <v>45.002000000000002</v>
      </c>
      <c r="J54" s="276">
        <f t="shared" si="9"/>
        <v>135.006</v>
      </c>
      <c r="K54" s="255"/>
      <c r="L54" s="255"/>
      <c r="M54" s="255"/>
      <c r="N54" s="255"/>
      <c r="O54" s="257"/>
      <c r="P54" s="255"/>
    </row>
    <row r="55" spans="1:16">
      <c r="A55" s="251" t="s">
        <v>6307</v>
      </c>
      <c r="B55" s="283">
        <v>744</v>
      </c>
      <c r="C55" s="278" t="str">
        <f>(IF($A55="SINAPI",INDEX(SINAPI_NOV2020_NDES!$A$7:$H$6703,MATCH($B55,SINAPI_NOV2020_NDES!$A$7:$A$6703,0),2),IF($A55="GOINFRA",INDEX(#REF!,MATCH($B55,#REF!,0),2),(INDEX(COMPOS!$A$4:$G$390,MATCH($B55,COMPOS!$A$4:A$390,0),2)))))</f>
        <v>SUPORTE Z COMPLETO</v>
      </c>
      <c r="D55" s="274" t="str">
        <f>(IF($A55="SINAPI",INDEX(SINAPI_NOV2020_NDES!$A$7:$H$6790,MATCH($B55,SINAPI_NOV2020_NDES!$A$7:$A$6790,0),3),(INDEX(COMPOS!$A$4:$G$5000,MATCH($B55,COMPOS!$A$4:$A$5000,0),3))))</f>
        <v>UN</v>
      </c>
      <c r="E55" s="276">
        <v>3</v>
      </c>
      <c r="F55" s="276">
        <f>(IF($A55="SINAPI",INDEX(SINAPI_NOV2020_NDES!$A$7:$H$6703,MATCH($B55,SINAPI_NOV2020_NDES!$A$7:$A$6703,0),5),(INDEX(COMPOS!$A$4:$G$801,MATCH($B55,COMPOS!$A$4:A$801,0),4))))</f>
        <v>15.452</v>
      </c>
      <c r="G55" s="276">
        <f>(IF($A55="SINAPI",INDEX(SINAPI_NOV2020_NDES!$A$7:$H$6703,MATCH($B55,SINAPI_NOV2020_NDES!$A$7:$A$6703,0),6),(INDEX(COMPOS!$A$4:$G$801,MATCH($B55,COMPOS!$A$4:A$801,0),5))))</f>
        <v>25.66</v>
      </c>
      <c r="H55" s="276">
        <f>(IF($A55="SINAPI",INDEX(SINAPI_NOV2020_NDES!$A$7:$H$6703,MATCH($B55,SINAPI_NOV2020_NDES!$A$7:$A$6703,0),7),(INDEX(COMPOS!$A$4:$G$801,MATCH($B55,COMPOS!$A$4:A$801,0),6))))</f>
        <v>0</v>
      </c>
      <c r="I55" s="276">
        <f t="shared" si="8"/>
        <v>41.112000000000002</v>
      </c>
      <c r="J55" s="276">
        <f t="shared" si="9"/>
        <v>123.33600000000001</v>
      </c>
      <c r="K55" s="255"/>
      <c r="L55" s="255"/>
      <c r="M55" s="255"/>
      <c r="N55" s="255"/>
      <c r="O55" s="257"/>
      <c r="P55" s="255"/>
    </row>
    <row r="56" spans="1:16">
      <c r="A56" s="251" t="s">
        <v>6307</v>
      </c>
      <c r="B56" s="283">
        <v>176</v>
      </c>
      <c r="C56" s="278" t="str">
        <f>(IF($A56="SINAPI",INDEX(SINAPI_NOV2020_NDES!$A$7:$H$6703,MATCH($B56,SINAPI_NOV2020_NDES!$A$7:$A$6703,0),2),IF($A56="GOINFRA",INDEX(#REF!,MATCH($B56,#REF!,0),2),(INDEX(COMPOS!$A$4:$G$390,MATCH($B56,COMPOS!$A$4:A$390,0),2)))))</f>
        <v>TERMINAL DE COMPRESSÃO P/CABO 10MM2</v>
      </c>
      <c r="D56" s="274" t="str">
        <f>(IF($A56="SINAPI",INDEX(SINAPI_NOV2020_NDES!$A$7:$H$6790,MATCH($B56,SINAPI_NOV2020_NDES!$A$7:$A$6790,0),3),(INDEX(COMPOS!$A$4:$G$5000,MATCH($B56,COMPOS!$A$4:$A$5000,0),3))))</f>
        <v>UN</v>
      </c>
      <c r="E56" s="276">
        <v>1</v>
      </c>
      <c r="F56" s="276">
        <f>(IF($A56="SINAPI",INDEX(SINAPI_NOV2020_NDES!$A$7:$H$6703,MATCH($B56,SINAPI_NOV2020_NDES!$A$7:$A$6703,0),5),(INDEX(COMPOS!$A$4:$G$801,MATCH($B56,COMPOS!$A$4:A$801,0),4))))</f>
        <v>13.520499999999998</v>
      </c>
      <c r="G56" s="276">
        <f>(IF($A56="SINAPI",INDEX(SINAPI_NOV2020_NDES!$A$7:$H$6703,MATCH($B56,SINAPI_NOV2020_NDES!$A$7:$A$6703,0),6),(INDEX(COMPOS!$A$4:$G$801,MATCH($B56,COMPOS!$A$4:A$801,0),5))))</f>
        <v>2.92</v>
      </c>
      <c r="H56" s="276">
        <f>(IF($A56="SINAPI",INDEX(SINAPI_NOV2020_NDES!$A$7:$H$6703,MATCH($B56,SINAPI_NOV2020_NDES!$A$7:$A$6703,0),7),(INDEX(COMPOS!$A$4:$G$801,MATCH($B56,COMPOS!$A$4:A$801,0),6))))</f>
        <v>0</v>
      </c>
      <c r="I56" s="276">
        <f t="shared" si="8"/>
        <v>16.4405</v>
      </c>
      <c r="J56" s="276">
        <f t="shared" si="9"/>
        <v>16.4405</v>
      </c>
      <c r="K56" s="255"/>
      <c r="L56" s="255"/>
      <c r="M56" s="255"/>
      <c r="N56" s="255"/>
      <c r="O56" s="257"/>
      <c r="P56" s="255"/>
    </row>
    <row r="57" spans="1:16">
      <c r="A57" s="251" t="s">
        <v>6307</v>
      </c>
      <c r="B57" s="283">
        <v>746</v>
      </c>
      <c r="C57" s="278" t="str">
        <f>(IF($A57="SINAPI",INDEX(SINAPI_NOV2020_NDES!$A$7:$H$6703,MATCH($B57,SINAPI_NOV2020_NDES!$A$7:$A$6703,0),2),IF($A57="GOINFRA",INDEX(#REF!,MATCH($B57,#REF!,0),2),(INDEX(COMPOS!$A$4:$G$390,MATCH($B57,COMPOS!$A$4:A$390,0),2)))))</f>
        <v>TERMINAL DE PRESSAO 16MM3</v>
      </c>
      <c r="D57" s="274" t="str">
        <f>(IF($A57="SINAPI",INDEX(SINAPI_NOV2020_NDES!$A$7:$H$6790,MATCH($B57,SINAPI_NOV2020_NDES!$A$7:$A$6790,0),3),(INDEX(COMPOS!$A$4:$G$5000,MATCH($B57,COMPOS!$A$4:$A$5000,0),3))))</f>
        <v>UN</v>
      </c>
      <c r="E57" s="276">
        <v>1</v>
      </c>
      <c r="F57" s="276">
        <f>(IF($A57="SINAPI",INDEX(SINAPI_NOV2020_NDES!$A$7:$H$6703,MATCH($B57,SINAPI_NOV2020_NDES!$A$7:$A$6703,0),5),(INDEX(COMPOS!$A$4:$G$801,MATCH($B57,COMPOS!$A$4:A$801,0),4))))</f>
        <v>13.520499999999998</v>
      </c>
      <c r="G57" s="276">
        <f>(IF($A57="SINAPI",INDEX(SINAPI_NOV2020_NDES!$A$7:$H$6703,MATCH($B57,SINAPI_NOV2020_NDES!$A$7:$A$6703,0),6),(INDEX(COMPOS!$A$4:$G$801,MATCH($B57,COMPOS!$A$4:A$801,0),5))))</f>
        <v>2.87</v>
      </c>
      <c r="H57" s="276">
        <f>(IF($A57="SINAPI",INDEX(SINAPI_NOV2020_NDES!$A$7:$H$6703,MATCH($B57,SINAPI_NOV2020_NDES!$A$7:$A$6703,0),7),(INDEX(COMPOS!$A$4:$G$801,MATCH($B57,COMPOS!$A$4:A$801,0),6))))</f>
        <v>0</v>
      </c>
      <c r="I57" s="276">
        <f t="shared" si="8"/>
        <v>16.390499999999999</v>
      </c>
      <c r="J57" s="276">
        <f t="shared" si="9"/>
        <v>16.390499999999999</v>
      </c>
      <c r="K57" s="255"/>
      <c r="L57" s="255"/>
      <c r="M57" s="255"/>
      <c r="N57" s="255"/>
      <c r="O57" s="257"/>
      <c r="P57" s="255"/>
    </row>
    <row r="58" spans="1:16">
      <c r="A58" s="251" t="s">
        <v>6307</v>
      </c>
      <c r="B58" s="283">
        <v>181</v>
      </c>
      <c r="C58" s="278" t="str">
        <f>(IF($A58="SINAPI",INDEX(SINAPI_NOV2020_NDES!$A$7:$H$6703,MATCH($B58,SINAPI_NOV2020_NDES!$A$7:$A$6703,0),2),IF($A58="GOINFRA",INDEX(#REF!,MATCH($B58,#REF!,0),2),(INDEX(COMPOS!$A$4:$G$390,MATCH($B58,COMPOS!$A$4:A$390,0),2)))))</f>
        <v>TERMINAL DE COMPRESSÃO PARA CABO DE 50MM2</v>
      </c>
      <c r="D58" s="274" t="str">
        <f>(IF($A58="SINAPI",INDEX(SINAPI_NOV2020_NDES!$A$7:$H$6790,MATCH($B58,SINAPI_NOV2020_NDES!$A$7:$A$6790,0),3),(INDEX(COMPOS!$A$4:$G$5000,MATCH($B58,COMPOS!$A$4:$A$5000,0),3))))</f>
        <v>UN</v>
      </c>
      <c r="E58" s="276">
        <v>1</v>
      </c>
      <c r="F58" s="276">
        <f>(IF($A58="SINAPI",INDEX(SINAPI_NOV2020_NDES!$A$7:$H$6703,MATCH($B58,SINAPI_NOV2020_NDES!$A$7:$A$6703,0),5),(INDEX(COMPOS!$A$4:$G$801,MATCH($B58,COMPOS!$A$4:A$801,0),4))))</f>
        <v>15.452</v>
      </c>
      <c r="G58" s="276">
        <f>(IF($A58="SINAPI",INDEX(SINAPI_NOV2020_NDES!$A$7:$H$6703,MATCH($B58,SINAPI_NOV2020_NDES!$A$7:$A$6703,0),6),(INDEX(COMPOS!$A$4:$G$801,MATCH($B58,COMPOS!$A$4:A$801,0),5))))</f>
        <v>5.07</v>
      </c>
      <c r="H58" s="276">
        <f>(IF($A58="SINAPI",INDEX(SINAPI_NOV2020_NDES!$A$7:$H$6703,MATCH($B58,SINAPI_NOV2020_NDES!$A$7:$A$6703,0),7),(INDEX(COMPOS!$A$4:$G$801,MATCH($B58,COMPOS!$A$4:A$801,0),6))))</f>
        <v>0</v>
      </c>
      <c r="I58" s="276">
        <f t="shared" si="8"/>
        <v>20.521999999999998</v>
      </c>
      <c r="J58" s="276">
        <f t="shared" si="9"/>
        <v>20.521999999999998</v>
      </c>
      <c r="K58" s="255"/>
      <c r="L58" s="255"/>
      <c r="M58" s="255"/>
      <c r="N58" s="255"/>
      <c r="O58" s="257"/>
      <c r="P58" s="255"/>
    </row>
    <row r="59" spans="1:16">
      <c r="A59" s="251" t="s">
        <v>6307</v>
      </c>
      <c r="B59" s="283">
        <v>747</v>
      </c>
      <c r="C59" s="278" t="str">
        <f>(IF($A59="SINAPI",INDEX(SINAPI_NOV2020_NDES!$A$7:$H$6703,MATCH($B59,SINAPI_NOV2020_NDES!$A$7:$A$6703,0),2),IF($A59="GOINFRA",INDEX(#REF!,MATCH($B59,#REF!,0),2),(INDEX(COMPOS!$A$4:$G$390,MATCH($B59,COMPOS!$A$4:A$390,0),2)))))</f>
        <v>TERMINAL DE PRESSAO 95MM3</v>
      </c>
      <c r="D59" s="274" t="str">
        <f>(IF($A59="SINAPI",INDEX(SINAPI_NOV2020_NDES!$A$7:$H$6790,MATCH($B59,SINAPI_NOV2020_NDES!$A$7:$A$6790,0),3),(INDEX(COMPOS!$A$4:$G$5000,MATCH($B59,COMPOS!$A$4:$A$5000,0),3))))</f>
        <v>UN</v>
      </c>
      <c r="E59" s="276">
        <v>2</v>
      </c>
      <c r="F59" s="276">
        <f>(IF($A59="SINAPI",INDEX(SINAPI_NOV2020_NDES!$A$7:$H$6703,MATCH($B59,SINAPI_NOV2020_NDES!$A$7:$A$6703,0),5),(INDEX(COMPOS!$A$4:$G$801,MATCH($B59,COMPOS!$A$4:A$801,0),4))))</f>
        <v>17.383499999999998</v>
      </c>
      <c r="G59" s="276">
        <f>(IF($A59="SINAPI",INDEX(SINAPI_NOV2020_NDES!$A$7:$H$6703,MATCH($B59,SINAPI_NOV2020_NDES!$A$7:$A$6703,0),6),(INDEX(COMPOS!$A$4:$G$801,MATCH($B59,COMPOS!$A$4:A$801,0),5))))</f>
        <v>9.2100000000000009</v>
      </c>
      <c r="H59" s="276">
        <f>(IF($A59="SINAPI",INDEX(SINAPI_NOV2020_NDES!$A$7:$H$6703,MATCH($B59,SINAPI_NOV2020_NDES!$A$7:$A$6703,0),7),(INDEX(COMPOS!$A$4:$G$801,MATCH($B59,COMPOS!$A$4:A$801,0),6))))</f>
        <v>0</v>
      </c>
      <c r="I59" s="276">
        <f t="shared" si="8"/>
        <v>26.593499999999999</v>
      </c>
      <c r="J59" s="276">
        <f t="shared" si="9"/>
        <v>53.186999999999998</v>
      </c>
      <c r="K59" s="255"/>
      <c r="L59" s="255"/>
      <c r="M59" s="255"/>
      <c r="N59" s="255"/>
      <c r="O59" s="257"/>
      <c r="P59" s="255"/>
    </row>
    <row r="60" spans="1:16">
      <c r="A60" s="251" t="s">
        <v>6307</v>
      </c>
      <c r="B60" s="283">
        <v>188</v>
      </c>
      <c r="C60" s="278" t="str">
        <f>(IF($A60="SINAPI",INDEX(SINAPI_NOV2020_NDES!$A$7:$H$6703,MATCH($B60,SINAPI_NOV2020_NDES!$A$7:$A$6703,0),2),IF($A60="GOINFRA",INDEX(#REF!,MATCH($B60,#REF!,0),2),(INDEX(COMPOS!$A$4:$G$390,MATCH($B60,COMPOS!$A$4:A$390,0),2)))))</f>
        <v>TERMINAL DE COMPRESSÃO P/CABO 120MM2</v>
      </c>
      <c r="D60" s="274" t="str">
        <f>(IF($A60="SINAPI",INDEX(SINAPI_NOV2020_NDES!$A$7:$H$6790,MATCH($B60,SINAPI_NOV2020_NDES!$A$7:$A$6790,0),3),(INDEX(COMPOS!$A$4:$G$5000,MATCH($B60,COMPOS!$A$4:$A$5000,0),3))))</f>
        <v>UN</v>
      </c>
      <c r="E60" s="276">
        <v>1</v>
      </c>
      <c r="F60" s="276">
        <f>(IF($A60="SINAPI",INDEX(SINAPI_NOV2020_NDES!$A$7:$H$6703,MATCH($B60,SINAPI_NOV2020_NDES!$A$7:$A$6703,0),5),(INDEX(COMPOS!$A$4:$G$801,MATCH($B60,COMPOS!$A$4:A$801,0),4))))</f>
        <v>17.383499999999998</v>
      </c>
      <c r="G60" s="276">
        <f>(IF($A60="SINAPI",INDEX(SINAPI_NOV2020_NDES!$A$7:$H$6703,MATCH($B60,SINAPI_NOV2020_NDES!$A$7:$A$6703,0),6),(INDEX(COMPOS!$A$4:$G$801,MATCH($B60,COMPOS!$A$4:A$801,0),5))))</f>
        <v>13.66</v>
      </c>
      <c r="H60" s="276">
        <f>(IF($A60="SINAPI",INDEX(SINAPI_NOV2020_NDES!$A$7:$H$6703,MATCH($B60,SINAPI_NOV2020_NDES!$A$7:$A$6703,0),7),(INDEX(COMPOS!$A$4:$G$801,MATCH($B60,COMPOS!$A$4:A$801,0),6))))</f>
        <v>0</v>
      </c>
      <c r="I60" s="276">
        <f t="shared" si="8"/>
        <v>31.043499999999998</v>
      </c>
      <c r="J60" s="276">
        <f t="shared" si="9"/>
        <v>31.043499999999998</v>
      </c>
      <c r="K60" s="255"/>
      <c r="L60" s="255"/>
      <c r="M60" s="255"/>
      <c r="N60" s="255"/>
      <c r="O60" s="257"/>
      <c r="P60" s="255"/>
    </row>
    <row r="61" spans="1:16" ht="24">
      <c r="A61" s="251" t="s">
        <v>7</v>
      </c>
      <c r="B61" s="283" t="s">
        <v>6697</v>
      </c>
      <c r="C61" s="278" t="str">
        <f>(IF($A61="SINAPI",INDEX(SINAPI_NOV2020_NDES!$A$7:$H$6703,MATCH($B61,SINAPI_NOV2020_NDES!$A$7:$A$6703,0),2),IF($A61="GOINFRA",INDEX(#REF!,MATCH($B61,#REF!,0),2),(INDEX(COMPOS!$A$4:$G$390,MATCH($B61,COMPOS!$A$4:A$390,0),2)))))</f>
        <v>TRANSFORMADOR DISTRIBUICAO  300KVA TRIFASICO 60HZ CLASSE 15KV IMERSO EM ÓLEO MINERAL FORNECIMENTO E INSTALACAO</v>
      </c>
      <c r="D61" s="274" t="str">
        <f>(IF($A61="SINAPI",INDEX(SINAPI_NOV2020_NDES!$A$7:$H$6790,MATCH($B61,SINAPI_NOV2020_NDES!$A$7:$A$6790,0),3),(INDEX(COMPOS!$A$4:$G$5000,MATCH($B61,COMPOS!$A$4:$A$5000,0),3))))</f>
        <v>UN</v>
      </c>
      <c r="E61" s="276">
        <v>1</v>
      </c>
      <c r="F61" s="276">
        <f>(IF($A61="SINAPI",INDEX(SINAPI_NOV2020_NDES!$A$7:$H$6703,MATCH($B61,SINAPI_NOV2020_NDES!$A$7:$A$6703,0),5),(INDEX(COMPOS!$A$4:$G$801,MATCH($B61,COMPOS!$A$4:A$801,0),4))))</f>
        <v>111.8</v>
      </c>
      <c r="G61" s="276">
        <f>(IF($A61="SINAPI",INDEX(SINAPI_NOV2020_NDES!$A$7:$H$6703,MATCH($B61,SINAPI_NOV2020_NDES!$A$7:$A$6703,0),6),(INDEX(COMPOS!$A$4:$G$801,MATCH($B61,COMPOS!$A$4:A$801,0),5))))</f>
        <v>18559.98</v>
      </c>
      <c r="H61" s="276">
        <f>(IF($A61="SINAPI",INDEX(SINAPI_NOV2020_NDES!$A$7:$H$6703,MATCH($B61,SINAPI_NOV2020_NDES!$A$7:$A$6703,0),7),(INDEX(COMPOS!$A$4:$G$801,MATCH($B61,COMPOS!$A$4:A$801,0),6))))</f>
        <v>0</v>
      </c>
      <c r="I61" s="276">
        <f t="shared" si="8"/>
        <v>18671.78</v>
      </c>
      <c r="J61" s="276">
        <f t="shared" si="9"/>
        <v>18671.78</v>
      </c>
      <c r="K61" s="255"/>
      <c r="L61" s="255"/>
      <c r="M61" s="255"/>
      <c r="N61" s="255"/>
      <c r="O61" s="257"/>
      <c r="P61" s="255"/>
    </row>
    <row r="62" spans="1:16">
      <c r="A62" s="251" t="s">
        <v>6307</v>
      </c>
      <c r="B62" s="283">
        <v>749</v>
      </c>
      <c r="C62" s="278" t="str">
        <f>(IF($A62="SINAPI",INDEX(SINAPI_NOV2020_NDES!$A$7:$H$6703,MATCH($B62,SINAPI_NOV2020_NDES!$A$7:$A$6703,0),2),IF($A62="GOINFRA",INDEX(#REF!,MATCH($B62,#REF!,0),2),(INDEX(COMPOS!$A$4:$G$390,MATCH($B62,COMPOS!$A$4:A$390,0),2)))))</f>
        <v>TRANSFORMADOR DE CORRENTE RELAÇÃO 600:5 A</v>
      </c>
      <c r="D62" s="274" t="str">
        <f>(IF($A62="SINAPI",INDEX(SINAPI_NOV2020_NDES!$A$7:$H$6790,MATCH($B62,SINAPI_NOV2020_NDES!$A$7:$A$6790,0),3),(INDEX(COMPOS!$A$4:$G$5000,MATCH($B62,COMPOS!$A$4:$A$5000,0),3))))</f>
        <v>UN</v>
      </c>
      <c r="E62" s="276">
        <v>3</v>
      </c>
      <c r="F62" s="276">
        <f>(IF($A62="SINAPI",INDEX(SINAPI_NOV2020_NDES!$A$7:$H$6703,MATCH($B62,SINAPI_NOV2020_NDES!$A$7:$A$6703,0),5),(INDEX(COMPOS!$A$4:$G$801,MATCH($B62,COMPOS!$A$4:A$801,0),4))))</f>
        <v>12.875378999999999</v>
      </c>
      <c r="G62" s="276">
        <f>(IF($A62="SINAPI",INDEX(SINAPI_NOV2020_NDES!$A$7:$H$6703,MATCH($B62,SINAPI_NOV2020_NDES!$A$7:$A$6703,0),6),(INDEX(COMPOS!$A$4:$G$801,MATCH($B62,COMPOS!$A$4:A$801,0),5))))</f>
        <v>74.92</v>
      </c>
      <c r="H62" s="276">
        <f>(IF($A62="SINAPI",INDEX(SINAPI_NOV2020_NDES!$A$7:$H$6703,MATCH($B62,SINAPI_NOV2020_NDES!$A$7:$A$6703,0),7),(INDEX(COMPOS!$A$4:$G$801,MATCH($B62,COMPOS!$A$4:A$801,0),6))))</f>
        <v>0</v>
      </c>
      <c r="I62" s="276">
        <f t="shared" si="8"/>
        <v>87.795378999999997</v>
      </c>
      <c r="J62" s="276">
        <f t="shared" si="9"/>
        <v>263.38613699999996</v>
      </c>
      <c r="K62" s="255"/>
      <c r="L62" s="255"/>
      <c r="M62" s="255"/>
      <c r="N62" s="255"/>
      <c r="O62" s="257"/>
      <c r="P62" s="255"/>
    </row>
    <row r="63" spans="1:16">
      <c r="A63" s="251" t="s">
        <v>6307</v>
      </c>
      <c r="B63" s="283">
        <v>761</v>
      </c>
      <c r="C63" s="278" t="str">
        <f>(IF($A63="SINAPI",INDEX(SINAPI_NOV2020_NDES!$A$7:$H$6703,MATCH($B63,SINAPI_NOV2020_NDES!$A$7:$A$6703,0),2),IF($A63="GOINFRA",INDEX(#REF!,MATCH($B63,#REF!,0),2),(INDEX(COMPOS!$A$4:$G$390,MATCH($B63,COMPOS!$A$4:A$390,0),2)))))</f>
        <v>DISJUNTOR TRIPOLAR 500A</v>
      </c>
      <c r="D63" s="274" t="str">
        <f>(IF($A63="SINAPI",INDEX(SINAPI_NOV2020_NDES!$A$7:$H$6790,MATCH($B63,SINAPI_NOV2020_NDES!$A$7:$A$6790,0),3),(INDEX(COMPOS!$A$4:$G$5000,MATCH($B63,COMPOS!$A$4:$A$5000,0),3))))</f>
        <v>UN</v>
      </c>
      <c r="E63" s="276">
        <v>1</v>
      </c>
      <c r="F63" s="276">
        <f>(IF($A63="SINAPI",INDEX(SINAPI_NOV2020_NDES!$A$7:$H$6703,MATCH($B63,SINAPI_NOV2020_NDES!$A$7:$A$6703,0),5),(INDEX(COMPOS!$A$4:$G$801,MATCH($B63,COMPOS!$A$4:A$801,0),4))))</f>
        <v>34.766999999999996</v>
      </c>
      <c r="G63" s="276">
        <f>(IF($A63="SINAPI",INDEX(SINAPI_NOV2020_NDES!$A$7:$H$6703,MATCH($B63,SINAPI_NOV2020_NDES!$A$7:$A$6703,0),6),(INDEX(COMPOS!$A$4:$G$801,MATCH($B63,COMPOS!$A$4:A$801,0),5))))</f>
        <v>2358.81</v>
      </c>
      <c r="H63" s="276">
        <f>(IF($A63="SINAPI",INDEX(SINAPI_NOV2020_NDES!$A$7:$H$6703,MATCH($B63,SINAPI_NOV2020_NDES!$A$7:$A$6703,0),7),(INDEX(COMPOS!$A$4:$G$801,MATCH($B63,COMPOS!$A$4:A$801,0),6))))</f>
        <v>0</v>
      </c>
      <c r="I63" s="276">
        <f t="shared" si="8"/>
        <v>2393.5769999999998</v>
      </c>
      <c r="J63" s="276">
        <f t="shared" si="9"/>
        <v>2393.5769999999998</v>
      </c>
      <c r="K63" s="255"/>
      <c r="L63" s="255"/>
      <c r="M63" s="255"/>
      <c r="N63" s="255"/>
      <c r="O63" s="257"/>
      <c r="P63" s="255"/>
    </row>
    <row r="64" spans="1:16" ht="27.75" customHeight="1">
      <c r="A64" s="251" t="s">
        <v>6307</v>
      </c>
      <c r="B64" s="283">
        <v>765</v>
      </c>
      <c r="C64" s="301" t="str">
        <f>(IF($A64="SINAPI",INDEX(SINAPI_NOV2020_NDES!$A$7:$H$6703,MATCH($B64,SINAPI_NOV2020_NDES!$A$7:$A$6703,0),2),IF($A64="GOINFRA",INDEX(#REF!,MATCH($B64,#REF!,0),2),(INDEX(COMPOS!$A$4:$G$390,MATCH($B64,COMPOS!$A$4:A$390,0),2)))))</f>
        <v>DISPOSITIVO DE PROTEÇÃO CONTRA SURTOS (D.P.S.) 275V 40 KA</v>
      </c>
      <c r="D64" s="274" t="str">
        <f>(IF($A64="SINAPI",INDEX(SINAPI_NOV2020_NDES!$A$7:$H$6790,MATCH($B64,SINAPI_NOV2020_NDES!$A$7:$A$6790,0),3),(INDEX(COMPOS!$A$4:$G$5000,MATCH($B64,COMPOS!$A$4:$A$5000,0),3))))</f>
        <v>UN</v>
      </c>
      <c r="E64" s="276">
        <v>3</v>
      </c>
      <c r="F64" s="276">
        <f>(IF($A64="SINAPI",INDEX(SINAPI_NOV2020_NDES!$A$7:$H$6703,MATCH($B64,SINAPI_NOV2020_NDES!$A$7:$A$6703,0),5),(INDEX(COMPOS!$A$4:$G$801,MATCH($B64,COMPOS!$A$4:A$801,0),4))))</f>
        <v>38.629999999999995</v>
      </c>
      <c r="G64" s="276">
        <f>(IF($A64="SINAPI",INDEX(SINAPI_NOV2020_NDES!$A$7:$H$6703,MATCH($B64,SINAPI_NOV2020_NDES!$A$7:$A$6703,0),6),(INDEX(COMPOS!$A$4:$G$801,MATCH($B64,COMPOS!$A$4:A$801,0),5))))</f>
        <v>96.88</v>
      </c>
      <c r="H64" s="276">
        <f>(IF($A64="SINAPI",INDEX(SINAPI_NOV2020_NDES!$A$7:$H$6703,MATCH($B64,SINAPI_NOV2020_NDES!$A$7:$A$6703,0),7),(INDEX(COMPOS!$A$4:$G$801,MATCH($B64,COMPOS!$A$4:A$801,0),6))))</f>
        <v>0</v>
      </c>
      <c r="I64" s="276">
        <f t="shared" si="8"/>
        <v>135.51</v>
      </c>
      <c r="J64" s="276">
        <f t="shared" si="9"/>
        <v>406.53</v>
      </c>
      <c r="K64" s="255"/>
      <c r="L64" s="255"/>
      <c r="M64" s="255"/>
      <c r="N64" s="255"/>
      <c r="O64" s="257"/>
      <c r="P64" s="255"/>
    </row>
    <row r="65" spans="1:16">
      <c r="A65" s="251" t="s">
        <v>6307</v>
      </c>
      <c r="B65" s="283">
        <v>766</v>
      </c>
      <c r="C65" s="278" t="str">
        <f>(IF($A65="SINAPI",INDEX(SINAPI_NOV2020_NDES!$A$7:$H$6703,MATCH($B65,SINAPI_NOV2020_NDES!$A$7:$A$6703,0),2),IF($A65="GOINFRA",INDEX(#REF!,MATCH($B65,#REF!,0),2),(INDEX(COMPOS!$A$4:$G$390,MATCH($B65,COMPOS!$A$4:A$390,0),2)))))</f>
        <v>PLACA DE COBRE 200X40X10 MM</v>
      </c>
      <c r="D65" s="274" t="str">
        <f>(IF($A65="SINAPI",INDEX(SINAPI_NOV2020_NDES!$A$7:$H$6790,MATCH($B65,SINAPI_NOV2020_NDES!$A$7:$A$6790,0),3),(INDEX(COMPOS!$A$4:$G$5000,MATCH($B65,COMPOS!$A$4:$A$5000,0),3))))</f>
        <v>UN</v>
      </c>
      <c r="E65" s="276">
        <v>1</v>
      </c>
      <c r="F65" s="276">
        <f>(IF($A65="SINAPI",INDEX(SINAPI_NOV2020_NDES!$A$7:$H$6703,MATCH($B65,SINAPI_NOV2020_NDES!$A$7:$A$6703,0),5),(INDEX(COMPOS!$A$4:$G$801,MATCH($B65,COMPOS!$A$4:A$801,0),4))))</f>
        <v>25.882100000000001</v>
      </c>
      <c r="G65" s="276">
        <f>(IF($A65="SINAPI",INDEX(SINAPI_NOV2020_NDES!$A$7:$H$6703,MATCH($B65,SINAPI_NOV2020_NDES!$A$7:$A$6703,0),6),(INDEX(COMPOS!$A$4:$G$801,MATCH($B65,COMPOS!$A$4:A$801,0),5))))</f>
        <v>71.852324472000006</v>
      </c>
      <c r="H65" s="276">
        <f>(IF($A65="SINAPI",INDEX(SINAPI_NOV2020_NDES!$A$7:$H$6703,MATCH($B65,SINAPI_NOV2020_NDES!$A$7:$A$6703,0),7),(INDEX(COMPOS!$A$4:$G$801,MATCH($B65,COMPOS!$A$4:A$801,0),6))))</f>
        <v>0</v>
      </c>
      <c r="I65" s="276">
        <f t="shared" si="8"/>
        <v>97.734424472000001</v>
      </c>
      <c r="J65" s="276">
        <f t="shared" si="9"/>
        <v>97.734424472000001</v>
      </c>
      <c r="K65" s="255"/>
      <c r="L65" s="255"/>
      <c r="M65" s="255"/>
      <c r="N65" s="255"/>
      <c r="O65" s="257"/>
      <c r="P65" s="255"/>
    </row>
    <row r="66" spans="1:16">
      <c r="A66" s="251" t="s">
        <v>6307</v>
      </c>
      <c r="B66" s="283">
        <v>767</v>
      </c>
      <c r="C66" s="278" t="str">
        <f>(IF($A66="SINAPI",INDEX(SINAPI_NOV2020_NDES!$A$7:$H$6703,MATCH($B66,SINAPI_NOV2020_NDES!$A$7:$A$6703,0),2),IF($A66="GOINFRA",INDEX(#REF!,MATCH($B66,#REF!,0),2),(INDEX(COMPOS!$A$4:$G$390,MATCH($B66,COMPOS!$A$4:A$390,0),2)))))</f>
        <v>CAIXA DE PASSAGEM 110X110X110 CM FUNDO DE BRITA SEM TAMPA</v>
      </c>
      <c r="D66" s="274" t="str">
        <f>(IF($A66="SINAPI",INDEX(SINAPI_NOV2020_NDES!$A$7:$H$6790,MATCH($B66,SINAPI_NOV2020_NDES!$A$7:$A$6790,0),3),(INDEX(COMPOS!$A$4:$G$5000,MATCH($B66,COMPOS!$A$4:$A$5000,0),3))))</f>
        <v>UN</v>
      </c>
      <c r="E66" s="276">
        <v>1</v>
      </c>
      <c r="F66" s="276">
        <f>(IF($A66="SINAPI",INDEX(SINAPI_NOV2020_NDES!$A$7:$H$6703,MATCH($B66,SINAPI_NOV2020_NDES!$A$7:$A$6703,0),5),(INDEX(COMPOS!$A$4:$G$801,MATCH($B66,COMPOS!$A$4:A$801,0),4))))</f>
        <v>576.4461</v>
      </c>
      <c r="G66" s="276">
        <f>(IF($A66="SINAPI",INDEX(SINAPI_NOV2020_NDES!$A$7:$H$6703,MATCH($B66,SINAPI_NOV2020_NDES!$A$7:$A$6703,0),6),(INDEX(COMPOS!$A$4:$G$801,MATCH($B66,COMPOS!$A$4:A$801,0),5))))</f>
        <v>311.57200799999998</v>
      </c>
      <c r="H66" s="276">
        <f>(IF($A66="SINAPI",INDEX(SINAPI_NOV2020_NDES!$A$7:$H$6703,MATCH($B66,SINAPI_NOV2020_NDES!$A$7:$A$6703,0),7),(INDEX(COMPOS!$A$4:$G$801,MATCH($B66,COMPOS!$A$4:A$801,0),6))))</f>
        <v>0</v>
      </c>
      <c r="I66" s="276">
        <f t="shared" si="8"/>
        <v>888.01810799999998</v>
      </c>
      <c r="J66" s="276">
        <f t="shared" si="9"/>
        <v>888.01810799999998</v>
      </c>
      <c r="K66" s="255"/>
      <c r="L66" s="255"/>
      <c r="M66" s="255"/>
      <c r="N66" s="255"/>
      <c r="O66" s="257"/>
      <c r="P66" s="255"/>
    </row>
    <row r="67" spans="1:16">
      <c r="A67" s="251" t="s">
        <v>6307</v>
      </c>
      <c r="B67" s="283">
        <v>768</v>
      </c>
      <c r="C67" s="278" t="str">
        <f>(IF($A67="SINAPI",INDEX(SINAPI_NOV2020_NDES!$A$7:$H$6703,MATCH($B67,SINAPI_NOV2020_NDES!$A$7:$A$6703,0),2),IF($A67="GOINFRA",INDEX(#REF!,MATCH($B67,#REF!,0),2),(INDEX(COMPOS!$A$4:$G$390,MATCH($B67,COMPOS!$A$4:A$390,0),2)))))</f>
        <v>TERMINAL DE PRESSAO 185 MM3</v>
      </c>
      <c r="D67" s="274" t="str">
        <f>(IF($A67="SINAPI",INDEX(SINAPI_NOV2020_NDES!$A$7:$H$6790,MATCH($B67,SINAPI_NOV2020_NDES!$A$7:$A$6790,0),3),(INDEX(COMPOS!$A$4:$G$5000,MATCH($B67,COMPOS!$A$4:$A$5000,0),3))))</f>
        <v>UN</v>
      </c>
      <c r="E67" s="276">
        <v>4</v>
      </c>
      <c r="F67" s="276">
        <f>(IF($A67="SINAPI",INDEX(SINAPI_NOV2020_NDES!$A$7:$H$6703,MATCH($B67,SINAPI_NOV2020_NDES!$A$7:$A$6703,0),5),(INDEX(COMPOS!$A$4:$G$801,MATCH($B67,COMPOS!$A$4:A$801,0),4))))</f>
        <v>21.246500000000005</v>
      </c>
      <c r="G67" s="276">
        <f>(IF($A67="SINAPI",INDEX(SINAPI_NOV2020_NDES!$A$7:$H$6703,MATCH($B67,SINAPI_NOV2020_NDES!$A$7:$A$6703,0),6),(INDEX(COMPOS!$A$4:$G$801,MATCH($B67,COMPOS!$A$4:A$801,0),5))))</f>
        <v>26.6967</v>
      </c>
      <c r="H67" s="276">
        <f>(IF($A67="SINAPI",INDEX(SINAPI_NOV2020_NDES!$A$7:$H$6703,MATCH($B67,SINAPI_NOV2020_NDES!$A$7:$A$6703,0),7),(INDEX(COMPOS!$A$4:$G$801,MATCH($B67,COMPOS!$A$4:A$801,0),6))))</f>
        <v>0</v>
      </c>
      <c r="I67" s="276">
        <f t="shared" si="8"/>
        <v>47.943200000000004</v>
      </c>
      <c r="J67" s="276">
        <f t="shared" si="9"/>
        <v>191.77280000000002</v>
      </c>
      <c r="K67" s="255"/>
      <c r="L67" s="255"/>
      <c r="M67" s="255"/>
      <c r="N67" s="255"/>
      <c r="O67" s="257"/>
      <c r="P67" s="255"/>
    </row>
    <row r="68" spans="1:16">
      <c r="A68" s="251" t="s">
        <v>6307</v>
      </c>
      <c r="B68" s="283">
        <v>192</v>
      </c>
      <c r="C68" s="278" t="str">
        <f>(IF($A68="SINAPI",INDEX(SINAPI_NOV2020_NDES!$A$7:$H$6703,MATCH($B68,SINAPI_NOV2020_NDES!$A$7:$A$6703,0),2),IF($A68="GOINFRA",INDEX(#REF!,MATCH($B68,#REF!,0),2),(INDEX(COMPOS!$A$4:$G$390,MATCH($B68,COMPOS!$A$4:A$390,0),2)))))</f>
        <v>CAIXA METÁLICA PARA MEDIDOR POLIFÁSICO</v>
      </c>
      <c r="D68" s="274" t="str">
        <f>(IF($A68="SINAPI",INDEX(SINAPI_NOV2020_NDES!$A$7:$H$6790,MATCH($B68,SINAPI_NOV2020_NDES!$A$7:$A$6790,0),3),(INDEX(COMPOS!$A$4:$G$5000,MATCH($B68,COMPOS!$A$4:$A$5000,0),3))))</f>
        <v>UN</v>
      </c>
      <c r="E68" s="276">
        <v>1</v>
      </c>
      <c r="F68" s="276">
        <f>(IF($A68="SINAPI",INDEX(SINAPI_NOV2020_NDES!$A$7:$H$6703,MATCH($B68,SINAPI_NOV2020_NDES!$A$7:$A$6703,0),5),(INDEX(COMPOS!$A$4:$G$801,MATCH($B68,COMPOS!$A$4:A$801,0),4))))</f>
        <v>30.544899999999998</v>
      </c>
      <c r="G68" s="276">
        <f>(IF($A68="SINAPI",INDEX(SINAPI_NOV2020_NDES!$A$7:$H$6703,MATCH($B68,SINAPI_NOV2020_NDES!$A$7:$A$6703,0),6),(INDEX(COMPOS!$A$4:$G$801,MATCH($B68,COMPOS!$A$4:A$801,0),5))))</f>
        <v>199.53900000000002</v>
      </c>
      <c r="H68" s="276">
        <f>(IF($A68="SINAPI",INDEX(SINAPI_NOV2020_NDES!$A$7:$H$6703,MATCH($B68,SINAPI_NOV2020_NDES!$A$7:$A$6703,0),7),(INDEX(COMPOS!$A$4:$G$801,MATCH($B68,COMPOS!$A$4:A$801,0),6))))</f>
        <v>0</v>
      </c>
      <c r="I68" s="276">
        <f t="shared" si="8"/>
        <v>230.08390000000003</v>
      </c>
      <c r="J68" s="276">
        <f t="shared" si="9"/>
        <v>230.08390000000003</v>
      </c>
      <c r="K68" s="255"/>
      <c r="L68" s="255"/>
      <c r="M68" s="255"/>
      <c r="N68" s="255"/>
      <c r="O68" s="257"/>
      <c r="P68" s="255"/>
    </row>
    <row r="69" spans="1:16">
      <c r="A69" s="251" t="s">
        <v>6307</v>
      </c>
      <c r="B69" s="283">
        <v>769</v>
      </c>
      <c r="C69" s="278" t="str">
        <f>(IF($A69="SINAPI",INDEX(SINAPI_NOV2020_NDES!$A$7:$H$6703,MATCH($B69,SINAPI_NOV2020_NDES!$A$7:$A$6703,0),2),IF($A69="GOINFRA",INDEX(#REF!,MATCH($B69,#REF!,0),2),(INDEX(COMPOS!$A$4:$G$390,MATCH($B69,COMPOS!$A$4:A$390,0),2)))))</f>
        <v>PARAFUSO CABEÇA ABAULADA M16x45MM COM ARUELA QUADRADA E PORCA</v>
      </c>
      <c r="D69" s="274" t="str">
        <f>(IF($A69="SINAPI",INDEX(SINAPI_NOV2020_NDES!$A$7:$H$6790,MATCH($B69,SINAPI_NOV2020_NDES!$A$7:$A$6790,0),3),(INDEX(COMPOS!$A$4:$G$5000,MATCH($B69,COMPOS!$A$4:$A$5000,0),3))))</f>
        <v>UN</v>
      </c>
      <c r="E69" s="276">
        <v>1</v>
      </c>
      <c r="F69" s="276">
        <f>(IF($A69="SINAPI",INDEX(SINAPI_NOV2020_NDES!$A$7:$H$6703,MATCH($B69,SINAPI_NOV2020_NDES!$A$7:$A$6703,0),5),(INDEX(COMPOS!$A$4:$G$801,MATCH($B69,COMPOS!$A$4:A$801,0),4))))</f>
        <v>0.25495799999999996</v>
      </c>
      <c r="G69" s="276">
        <f>(IF($A69="SINAPI",INDEX(SINAPI_NOV2020_NDES!$A$7:$H$6703,MATCH($B69,SINAPI_NOV2020_NDES!$A$7:$A$6703,0),6),(INDEX(COMPOS!$A$4:$G$801,MATCH($B69,COMPOS!$A$4:A$801,0),5))))</f>
        <v>2.66</v>
      </c>
      <c r="H69" s="276">
        <f>(IF($A69="SINAPI",INDEX(SINAPI_NOV2020_NDES!$A$7:$H$6703,MATCH($B69,SINAPI_NOV2020_NDES!$A$7:$A$6703,0),7),(INDEX(COMPOS!$A$4:$G$801,MATCH($B69,COMPOS!$A$4:A$801,0),6))))</f>
        <v>0</v>
      </c>
      <c r="I69" s="276">
        <f t="shared" si="8"/>
        <v>2.9149579999999999</v>
      </c>
      <c r="J69" s="276">
        <f t="shared" si="9"/>
        <v>2.9149579999999999</v>
      </c>
      <c r="K69" s="255"/>
      <c r="L69" s="255"/>
      <c r="M69" s="255"/>
      <c r="N69" s="255"/>
      <c r="O69" s="257"/>
      <c r="P69" s="255"/>
    </row>
    <row r="70" spans="1:16">
      <c r="A70" s="251" t="s">
        <v>6307</v>
      </c>
      <c r="B70" s="283">
        <v>770</v>
      </c>
      <c r="C70" s="278" t="str">
        <f>(IF($A70="SINAPI",INDEX(SINAPI_NOV2020_NDES!$A$7:$H$6703,MATCH($B70,SINAPI_NOV2020_NDES!$A$7:$A$6703,0),2),IF($A70="GOINFRA",INDEX(#REF!,MATCH($B70,#REF!,0),2),(INDEX(COMPOS!$A$4:$G$390,MATCH($B70,COMPOS!$A$4:A$390,0),2)))))</f>
        <v>PARAFUSO CABEÇA QUADRADA M16x150MM COM ARRUELA QUADRADA E PORCA</v>
      </c>
      <c r="D70" s="274" t="str">
        <f>(IF($A70="SINAPI",INDEX(SINAPI_NOV2020_NDES!$A$7:$H$6790,MATCH($B70,SINAPI_NOV2020_NDES!$A$7:$A$6790,0),3),(INDEX(COMPOS!$A$4:$G$5000,MATCH($B70,COMPOS!$A$4:$A$5000,0),3))))</f>
        <v>UN</v>
      </c>
      <c r="E70" s="276">
        <v>2</v>
      </c>
      <c r="F70" s="276">
        <f>(IF($A70="SINAPI",INDEX(SINAPI_NOV2020_NDES!$A$7:$H$6703,MATCH($B70,SINAPI_NOV2020_NDES!$A$7:$A$6703,0),5),(INDEX(COMPOS!$A$4:$G$801,MATCH($B70,COMPOS!$A$4:A$801,0),4))))</f>
        <v>0.25495799999999996</v>
      </c>
      <c r="G70" s="276">
        <f>(IF($A70="SINAPI",INDEX(SINAPI_NOV2020_NDES!$A$7:$H$6703,MATCH($B70,SINAPI_NOV2020_NDES!$A$7:$A$6703,0),6),(INDEX(COMPOS!$A$4:$G$801,MATCH($B70,COMPOS!$A$4:A$801,0),5))))</f>
        <v>4.4400000000000004</v>
      </c>
      <c r="H70" s="276">
        <f>(IF($A70="SINAPI",INDEX(SINAPI_NOV2020_NDES!$A$7:$H$6703,MATCH($B70,SINAPI_NOV2020_NDES!$A$7:$A$6703,0),7),(INDEX(COMPOS!$A$4:$G$801,MATCH($B70,COMPOS!$A$4:A$801,0),6))))</f>
        <v>0</v>
      </c>
      <c r="I70" s="276">
        <f t="shared" si="8"/>
        <v>4.6949580000000006</v>
      </c>
      <c r="J70" s="276">
        <f t="shared" si="9"/>
        <v>9.3899160000000013</v>
      </c>
      <c r="K70" s="255"/>
      <c r="L70" s="255"/>
      <c r="M70" s="255"/>
      <c r="N70" s="255"/>
      <c r="O70" s="257"/>
      <c r="P70" s="255"/>
    </row>
    <row r="71" spans="1:16">
      <c r="A71" s="251" t="s">
        <v>6307</v>
      </c>
      <c r="B71" s="283">
        <v>349</v>
      </c>
      <c r="C71" s="278" t="str">
        <f>(IF($A71="SINAPI",INDEX(SINAPI_NOV2020_NDES!$A$7:$H$6703,MATCH($B71,SINAPI_NOV2020_NDES!$A$7:$A$6703,0),2),IF($A71="GOINFRA",INDEX(#REF!,MATCH($B71,#REF!,0),2),(INDEX(COMPOS!$A$4:$G$390,MATCH($B71,COMPOS!$A$4:A$390,0),2)))))</f>
        <v>PISO EM CONCRETO DESEMPENADO 5CM (1:2,5:3,5)</v>
      </c>
      <c r="D71" s="274" t="str">
        <f>(IF($A71="SINAPI",INDEX(SINAPI_NOV2020_NDES!$A$7:$H$6790,MATCH($B71,SINAPI_NOV2020_NDES!$A$7:$A$6790,0),3),(INDEX(COMPOS!$A$4:$G$5000,MATCH($B71,COMPOS!$A$4:$A$5000,0),3))))</f>
        <v>M2</v>
      </c>
      <c r="E71" s="276">
        <v>3.75</v>
      </c>
      <c r="F71" s="276">
        <f>(IF($A71="SINAPI",INDEX(SINAPI_NOV2020_NDES!$A$7:$H$6703,MATCH($B71,SINAPI_NOV2020_NDES!$A$7:$A$6703,0),5),(INDEX(COMPOS!$A$4:$G$801,MATCH($B71,COMPOS!$A$4:A$801,0),4))))</f>
        <v>14.561212999999999</v>
      </c>
      <c r="G71" s="276">
        <f>(IF($A71="SINAPI",INDEX(SINAPI_NOV2020_NDES!$A$7:$H$6703,MATCH($B71,SINAPI_NOV2020_NDES!$A$7:$A$6703,0),6),(INDEX(COMPOS!$A$4:$G$801,MATCH($B71,COMPOS!$A$4:A$801,0),5))))</f>
        <v>15.349762</v>
      </c>
      <c r="H71" s="276">
        <f>(IF($A71="SINAPI",INDEX(SINAPI_NOV2020_NDES!$A$7:$H$6703,MATCH($B71,SINAPI_NOV2020_NDES!$A$7:$A$6703,0),7),(INDEX(COMPOS!$A$4:$G$801,MATCH($B71,COMPOS!$A$4:A$801,0),6))))</f>
        <v>0</v>
      </c>
      <c r="I71" s="276">
        <f t="shared" si="8"/>
        <v>29.910975000000001</v>
      </c>
      <c r="J71" s="276">
        <f t="shared" si="9"/>
        <v>112.16615625</v>
      </c>
      <c r="K71" s="255"/>
      <c r="L71" s="255"/>
      <c r="M71" s="255"/>
      <c r="N71" s="255"/>
      <c r="O71" s="257"/>
      <c r="P71" s="255"/>
    </row>
    <row r="72" spans="1:16" ht="24">
      <c r="A72" s="251" t="s">
        <v>7</v>
      </c>
      <c r="B72" s="283">
        <v>91341</v>
      </c>
      <c r="C72" s="278" t="str">
        <f>(IF($A72="SINAPI",INDEX(SINAPI_NOV2020_NDES!$A$7:$H$6703,MATCH($B72,SINAPI_NOV2020_NDES!$A$7:$A$6703,0),2),IF($A72="GOINFRA",INDEX(#REF!,MATCH($B72,#REF!,0),2),(INDEX(COMPOS!$A$4:$G$390,MATCH($B72,COMPOS!$A$4:A$390,0),2)))))</f>
        <v>PORTA EM ALUMÍNIO DE ABRIR TIPO VENEZIANA COM GUARNIÇÃO, FIXAÇÃO COM PARAFUSOS - FORNECIMENTO E INSTALAÇÃO. AF_12/2019</v>
      </c>
      <c r="D72" s="274" t="str">
        <f>(IF($A72="SINAPI",INDEX(SINAPI_NOV2020_NDES!$A$7:$H$6790,MATCH($B72,SINAPI_NOV2020_NDES!$A$7:$A$6790,0),3),(INDEX(COMPOS!$A$4:$G$5000,MATCH($B72,COMPOS!$A$4:$A$5000,0),3))))</f>
        <v>M2</v>
      </c>
      <c r="E72" s="276">
        <v>1</v>
      </c>
      <c r="F72" s="276">
        <f>(IF($A72="SINAPI",INDEX(SINAPI_NOV2020_NDES!$A$7:$H$6703,MATCH($B72,SINAPI_NOV2020_NDES!$A$7:$A$6703,0),5),(INDEX(COMPOS!$A$4:$G$801,MATCH($B72,COMPOS!$A$4:A$801,0),4))))</f>
        <v>8.56</v>
      </c>
      <c r="G72" s="276">
        <f>(IF($A72="SINAPI",INDEX(SINAPI_NOV2020_NDES!$A$7:$H$6703,MATCH($B72,SINAPI_NOV2020_NDES!$A$7:$A$6703,0),6),(INDEX(COMPOS!$A$4:$G$801,MATCH($B72,COMPOS!$A$4:A$801,0),5))))</f>
        <v>463.33</v>
      </c>
      <c r="H72" s="276">
        <f>(IF($A72="SINAPI",INDEX(SINAPI_NOV2020_NDES!$A$7:$H$6703,MATCH($B72,SINAPI_NOV2020_NDES!$A$7:$A$6703,0),7),(INDEX(COMPOS!$A$4:$G$801,MATCH($B72,COMPOS!$A$4:A$801,0),6))))</f>
        <v>0</v>
      </c>
      <c r="I72" s="276">
        <f t="shared" si="8"/>
        <v>471.89</v>
      </c>
      <c r="J72" s="276">
        <f t="shared" si="9"/>
        <v>471.89</v>
      </c>
      <c r="K72" s="255"/>
      <c r="L72" s="255"/>
      <c r="M72" s="255"/>
      <c r="N72" s="255"/>
      <c r="O72" s="257"/>
      <c r="P72" s="255"/>
    </row>
    <row r="73" spans="1:16" ht="24">
      <c r="A73" s="251" t="s">
        <v>6307</v>
      </c>
      <c r="B73" s="283">
        <v>820</v>
      </c>
      <c r="C73" s="278" t="str">
        <f>(IF($A73="SINAPI",INDEX(SINAPI_NOV2020_NDES!$A$7:$H$6703,MATCH($B73,SINAPI_NOV2020_NDES!$A$7:$A$6703,0),2),IF($A73="GOINFRA",INDEX(#REF!,MATCH($B73,#REF!,0),2),(INDEX(COMPOS!$A$4:$G$390,MATCH($B73,COMPOS!$A$4:A$390,0),2)))))</f>
        <v>GRUPO MOTOR GERADOR 200KVA 380V COM REDUTOR DE RUIDO MÍNIMO DE 75 dB E QUADRO DE TRANSFERÊNCIA AUTOMÁTICA</v>
      </c>
      <c r="D73" s="274" t="str">
        <f>(IF($A73="SINAPI",INDEX(SINAPI_NOV2020_NDES!$A$7:$H$6790,MATCH($B73,SINAPI_NOV2020_NDES!$A$7:$A$6790,0),3),(INDEX(COMPOS!$A$4:$G$5000,MATCH($B73,COMPOS!$A$4:$A$5000,0),3))))</f>
        <v>UN</v>
      </c>
      <c r="E73" s="276">
        <v>1</v>
      </c>
      <c r="F73" s="276">
        <f>(IF($A73="SINAPI",INDEX(SINAPI_NOV2020_NDES!$A$7:$H$6703,MATCH($B73,SINAPI_NOV2020_NDES!$A$7:$A$6703,0),5),(INDEX(COMPOS!$A$4:$G$801,MATCH($B73,COMPOS!$A$4:A$801,0),4))))</f>
        <v>309.03999999999996</v>
      </c>
      <c r="G73" s="276">
        <f>(IF($A73="SINAPI",INDEX(SINAPI_NOV2020_NDES!$A$7:$H$6703,MATCH($B73,SINAPI_NOV2020_NDES!$A$7:$A$6703,0),6),(INDEX(COMPOS!$A$4:$G$801,MATCH($B73,COMPOS!$A$4:A$801,0),5))))</f>
        <v>131840</v>
      </c>
      <c r="H73" s="276">
        <f>(IF($A73="SINAPI",INDEX(SINAPI_NOV2020_NDES!$A$7:$H$6703,MATCH($B73,SINAPI_NOV2020_NDES!$A$7:$A$6703,0),7),(INDEX(COMPOS!$A$4:$G$801,MATCH($B73,COMPOS!$A$4:A$801,0),6))))</f>
        <v>300.10000000000002</v>
      </c>
      <c r="I73" s="276">
        <f t="shared" ref="I73" si="10">SUM(F73:H73)</f>
        <v>132449.14000000001</v>
      </c>
      <c r="J73" s="276">
        <f t="shared" ref="J73" si="11">+I73*E73</f>
        <v>132449.14000000001</v>
      </c>
      <c r="K73" s="255"/>
      <c r="L73" s="255"/>
      <c r="M73" s="255"/>
      <c r="N73" s="255"/>
      <c r="O73" s="257"/>
      <c r="P73" s="255"/>
    </row>
    <row r="74" spans="1:16" s="88" customFormat="1" ht="24" customHeight="1">
      <c r="A74" s="680" t="s">
        <v>6927</v>
      </c>
      <c r="B74" s="680"/>
      <c r="C74" s="680"/>
      <c r="D74" s="680"/>
      <c r="E74" s="680"/>
      <c r="F74" s="680"/>
      <c r="G74" s="680"/>
      <c r="H74" s="680"/>
      <c r="I74" s="680"/>
      <c r="J74" s="281">
        <f>SUM(J21:J73)</f>
        <v>170100.73574342241</v>
      </c>
      <c r="K74" s="255"/>
      <c r="L74" s="255"/>
      <c r="M74" s="255"/>
      <c r="N74" s="255"/>
      <c r="O74" s="255"/>
      <c r="P74" s="255"/>
    </row>
    <row r="75" spans="1:16">
      <c r="A75" s="251"/>
      <c r="B75" s="299">
        <v>170</v>
      </c>
      <c r="C75" s="332" t="s">
        <v>604</v>
      </c>
      <c r="D75" s="274"/>
      <c r="E75" s="276"/>
      <c r="F75" s="276"/>
      <c r="G75" s="276"/>
      <c r="H75" s="276"/>
      <c r="I75" s="276"/>
      <c r="J75" s="366"/>
      <c r="K75" s="255"/>
      <c r="L75" s="255"/>
      <c r="M75" s="255"/>
      <c r="N75" s="255"/>
      <c r="O75" s="255"/>
      <c r="P75" s="255"/>
    </row>
    <row r="76" spans="1:16" ht="36">
      <c r="A76" s="251" t="s">
        <v>7</v>
      </c>
      <c r="B76" s="290">
        <v>89737</v>
      </c>
      <c r="C76" s="278" t="str">
        <f>(IF($A76="SINAPI",INDEX(SINAPI_NOV2020_NDES!$A$7:$H$6703,MATCH($B76,SINAPI_NOV2020_NDES!$A$7:$A$6703,0),2),IF($A76="GOINFRA",INDEX(#REF!,MATCH($B76,#REF!,0),2),(INDEX(COMPOS!$A$4:$G$390,MATCH($B76,COMPOS!$A$4:A$390,0),2)))))</f>
        <v>JOELHO 90 GRAUS, PVC, SERIE NORMAL, ESGOTO PREDIAL, DN 75 MM, JUNTA ELÁSTICA, FORNECIDO E INSTALADO EM RAMAL DE DESCARGA OU RAMAL DE ESGOTO SANITÁRIO. AF_12/2014</v>
      </c>
      <c r="D76" s="274" t="str">
        <f>(IF($A76="SINAPI",INDEX(SINAPI_NOV2020_NDES!$A$7:$H$6790,MATCH($B76,SINAPI_NOV2020_NDES!$A$7:$A$6790,0),3),(INDEX(COMPOS!$A$4:$G$5000,MATCH($B76,COMPOS!$A$4:$A$5000,0),3))))</f>
        <v>UN</v>
      </c>
      <c r="E76" s="276">
        <v>1</v>
      </c>
      <c r="F76" s="279">
        <f>(IF($A76="SINAPI",INDEX(SINAPI_NOV2020_NDES!$A$7:$H$6703,MATCH($B76,SINAPI_NOV2020_NDES!$A$7:$A$6703,0),5),(INDEX(COMPOS!$A$4:$G$801,MATCH($B76,COMPOS!$A$4:A$801,0),4))))</f>
        <v>5.54</v>
      </c>
      <c r="G76" s="280">
        <f>(IF($A76="SINAPI",INDEX(SINAPI_NOV2020_NDES!$A$7:$H$6703,MATCH($B76,SINAPI_NOV2020_NDES!$A$7:$A$6703,0),6),(INDEX(COMPOS!$A$4:$G$801,MATCH($B76,COMPOS!$A$4:A$801,0),5))))</f>
        <v>9.01</v>
      </c>
      <c r="H76" s="280">
        <f>(IF($A76="SINAPI",INDEX(SINAPI_NOV2020_NDES!$A$7:$H$6703,MATCH($B76,SINAPI_NOV2020_NDES!$A$7:$A$6703,0),7),(INDEX(COMPOS!$A$4:$G$801,MATCH($B76,COMPOS!$A$4:A$801,0),6))))</f>
        <v>0</v>
      </c>
      <c r="I76" s="279">
        <f t="shared" ref="I76" si="12">SUM(F76:H76)</f>
        <v>14.55</v>
      </c>
      <c r="J76" s="276">
        <f t="shared" ref="J76" si="13">+I76*E76</f>
        <v>14.55</v>
      </c>
      <c r="K76" s="255"/>
      <c r="L76" s="255"/>
      <c r="M76" s="255"/>
      <c r="N76" s="255"/>
      <c r="O76" s="257"/>
      <c r="P76" s="255"/>
    </row>
    <row r="77" spans="1:16" ht="36">
      <c r="A77" s="251" t="s">
        <v>7</v>
      </c>
      <c r="B77" s="290">
        <v>89713</v>
      </c>
      <c r="C77" s="278" t="str">
        <f>(IF($A77="SINAPI",INDEX(SINAPI_NOV2020_NDES!$A$7:$H$6703,MATCH($B77,SINAPI_NOV2020_NDES!$A$7:$A$6703,0),2),IF($A77="GOINFRA",INDEX(#REF!,MATCH($B77,#REF!,0),2),(INDEX(COMPOS!$A$4:$G$390,MATCH($B77,COMPOS!$A$4:A$390,0),2)))))</f>
        <v>TUBO PVC, SERIE NORMAL, ESGOTO PREDIAL, DN 75 MM, FORNECIDO E INSTALADO EM RAMAL DE DESCARGA OU RAMAL DE ESGOTO SANITÁRIO. AF_12/2014</v>
      </c>
      <c r="D77" s="274" t="str">
        <f>(IF($A77="SINAPI",INDEX(SINAPI_NOV2020_NDES!$A$7:$H$6790,MATCH($B77,SINAPI_NOV2020_NDES!$A$7:$A$6790,0),3),(INDEX(COMPOS!$A$4:$G$5000,MATCH($B77,COMPOS!$A$4:$A$5000,0),3))))</f>
        <v>M</v>
      </c>
      <c r="E77" s="276">
        <v>4</v>
      </c>
      <c r="F77" s="276">
        <f>(IF($A77="SINAPI",INDEX(SINAPI_NOV2020_NDES!$A$7:$H$6703,MATCH($B77,SINAPI_NOV2020_NDES!$A$7:$A$6703,0),5),(INDEX(COMPOS!$A$4:$G$801,MATCH($B77,COMPOS!$A$4:A$801,0),4))))</f>
        <v>16.36</v>
      </c>
      <c r="G77" s="276">
        <f>(IF($A77="SINAPI",INDEX(SINAPI_NOV2020_NDES!$A$7:$H$6703,MATCH($B77,SINAPI_NOV2020_NDES!$A$7:$A$6703,0),6),(INDEX(COMPOS!$A$4:$G$801,MATCH($B77,COMPOS!$A$4:A$801,0),5))))</f>
        <v>17.649999999999999</v>
      </c>
      <c r="H77" s="276">
        <f>(IF($A77="SINAPI",INDEX(SINAPI_NOV2020_NDES!$A$7:$H$6703,MATCH($B77,SINAPI_NOV2020_NDES!$A$7:$A$6703,0),7),(INDEX(COMPOS!$A$4:$G$801,MATCH($B77,COMPOS!$A$4:A$801,0),6))))</f>
        <v>0</v>
      </c>
      <c r="I77" s="276">
        <f>SUM(F77:H77)</f>
        <v>34.01</v>
      </c>
      <c r="J77" s="276">
        <f>+I77*E77</f>
        <v>136.04</v>
      </c>
      <c r="K77" s="255"/>
      <c r="L77" s="255"/>
      <c r="M77" s="255"/>
      <c r="N77" s="255"/>
      <c r="O77" s="257"/>
      <c r="P77" s="255"/>
    </row>
    <row r="78" spans="1:16" s="88" customFormat="1" ht="24" customHeight="1">
      <c r="A78" s="680" t="s">
        <v>6927</v>
      </c>
      <c r="B78" s="680"/>
      <c r="C78" s="680"/>
      <c r="D78" s="680"/>
      <c r="E78" s="680"/>
      <c r="F78" s="680"/>
      <c r="G78" s="680"/>
      <c r="H78" s="680"/>
      <c r="I78" s="680"/>
      <c r="J78" s="281">
        <f>SUM(J76:J77)</f>
        <v>150.59</v>
      </c>
      <c r="K78" s="255"/>
      <c r="L78" s="255"/>
      <c r="M78" s="255"/>
      <c r="N78" s="255"/>
      <c r="O78" s="255"/>
      <c r="P78" s="255"/>
    </row>
    <row r="79" spans="1:16">
      <c r="A79" s="251"/>
      <c r="B79" s="299">
        <v>172</v>
      </c>
      <c r="C79" s="332" t="s">
        <v>602</v>
      </c>
      <c r="D79" s="340"/>
      <c r="E79" s="276"/>
      <c r="F79" s="276"/>
      <c r="G79" s="276"/>
      <c r="H79" s="276"/>
      <c r="I79" s="276"/>
      <c r="J79" s="366"/>
      <c r="K79" s="255"/>
      <c r="L79" s="255"/>
      <c r="M79" s="255"/>
      <c r="N79" s="255"/>
      <c r="O79" s="255"/>
      <c r="P79" s="255"/>
    </row>
    <row r="80" spans="1:16" ht="48">
      <c r="A80" s="251" t="s">
        <v>7</v>
      </c>
      <c r="B80" s="290">
        <v>87503</v>
      </c>
      <c r="C80" s="278" t="str">
        <f>(IF($A80="SINAPI",INDEX(SINAPI_NOV2020_NDES!$A$7:$H$6703,MATCH($B80,SINAPI_NOV2020_NDES!$A$7:$A$6703,0),2),IF($A80="GOINFRA",INDEX(#REF!,MATCH($B80,#REF!,0),2),(INDEX(COMPOS!$A$4:$G$390,MATCH($B80,COMPOS!$A$4:A$390,0),2)))))</f>
        <v>ALVENARIA DE VEDAÇÃO DE BLOCOS CERÂMICOS FURADOS NA HORIZONTAL DE 9X19X19CM (ESPESSURA 9CM) DE PAREDES COM ÁREA LÍQUIDA MAIOR OU IGUAL A 6M² SEM VÃOS E ARGAMASSA DE ASSENTAMENTO COM PREPARO EM BETONEIRA. AF_06/2014</v>
      </c>
      <c r="D80" s="274" t="str">
        <f>(IF($A80="SINAPI",INDEX(SINAPI_NOV2020_NDES!$A$7:$H$6790,MATCH($B80,SINAPI_NOV2020_NDES!$A$7:$A$6790,0),3),(INDEX(COMPOS!$A$4:$G$5000,MATCH($B80,COMPOS!$A$4:$A$5000,0),3))))</f>
        <v>M2</v>
      </c>
      <c r="E80" s="276">
        <v>9.8000000000000007</v>
      </c>
      <c r="F80" s="279">
        <f>(IF($A80="SINAPI",INDEX(SINAPI_NOV2020_NDES!$A$7:$H$6703,MATCH($B80,SINAPI_NOV2020_NDES!$A$7:$A$6703,0),5),(INDEX(COMPOS!$A$4:$G$801,MATCH($B80,COMPOS!$A$4:A$801,0),4))))</f>
        <v>31.67</v>
      </c>
      <c r="G80" s="280">
        <f>(IF($A80="SINAPI",INDEX(SINAPI_NOV2020_NDES!$A$7:$H$6703,MATCH($B80,SINAPI_NOV2020_NDES!$A$7:$A$6703,0),6),(INDEX(COMPOS!$A$4:$G$801,MATCH($B80,COMPOS!$A$4:A$801,0),5))))</f>
        <v>32.130000000000003</v>
      </c>
      <c r="H80" s="280">
        <f>(IF($A80="SINAPI",INDEX(SINAPI_NOV2020_NDES!$A$7:$H$6703,MATCH($B80,SINAPI_NOV2020_NDES!$A$7:$A$6703,0),7),(INDEX(COMPOS!$A$4:$G$801,MATCH($B80,COMPOS!$A$4:A$801,0),6))))</f>
        <v>0</v>
      </c>
      <c r="I80" s="279">
        <f t="shared" ref="I80" si="14">SUM(F80:H80)</f>
        <v>63.800000000000004</v>
      </c>
      <c r="J80" s="276">
        <f t="shared" ref="J80" si="15">+I80*E80</f>
        <v>625.24000000000012</v>
      </c>
      <c r="K80" s="255"/>
      <c r="L80" s="255"/>
      <c r="M80" s="255"/>
      <c r="N80" s="255"/>
      <c r="O80" s="257"/>
      <c r="P80" s="255"/>
    </row>
    <row r="81" spans="1:16" s="88" customFormat="1" ht="24" customHeight="1">
      <c r="A81" s="680" t="s">
        <v>6927</v>
      </c>
      <c r="B81" s="680"/>
      <c r="C81" s="680"/>
      <c r="D81" s="680"/>
      <c r="E81" s="680"/>
      <c r="F81" s="680"/>
      <c r="G81" s="680"/>
      <c r="H81" s="680"/>
      <c r="I81" s="680"/>
      <c r="J81" s="281">
        <f>SUM(J79:J80)</f>
        <v>625.24000000000012</v>
      </c>
      <c r="K81" s="255"/>
      <c r="L81" s="255"/>
      <c r="M81" s="255"/>
      <c r="N81" s="255"/>
      <c r="O81" s="255"/>
      <c r="P81" s="255"/>
    </row>
    <row r="82" spans="1:16">
      <c r="A82" s="251"/>
      <c r="B82" s="299">
        <v>175</v>
      </c>
      <c r="C82" s="332" t="s">
        <v>600</v>
      </c>
      <c r="D82" s="274"/>
      <c r="E82" s="276"/>
      <c r="F82" s="276"/>
      <c r="G82" s="276"/>
      <c r="H82" s="276"/>
      <c r="I82" s="276"/>
      <c r="J82" s="366"/>
      <c r="K82" s="255"/>
      <c r="L82" s="255"/>
      <c r="M82" s="255"/>
      <c r="N82" s="255"/>
      <c r="O82" s="255"/>
      <c r="P82" s="255"/>
    </row>
    <row r="83" spans="1:16" ht="24">
      <c r="A83" s="251" t="s">
        <v>6307</v>
      </c>
      <c r="B83" s="290">
        <v>417</v>
      </c>
      <c r="C83" s="278" t="str">
        <f>(IF($A83="SINAPI",INDEX(SINAPI_NOV2020_NDES!$A$7:$H$6703,MATCH($B83,SINAPI_NOV2020_NDES!$A$7:$A$6703,0),2),IF($A83="GOINFRA",INDEX(#REF!,MATCH($B83,#REF!,0),2),(INDEX(COMPOS!$A$4:$G$390,MATCH($B83,COMPOS!$A$4:A$390,0),2)))))</f>
        <v>EMBOÇO (ISOLANTE TÉRMICO E ACÚSTICO) COM VERMICULITA (1CI:2CH:1ARM:8,3333VERM) ESP.=3CM</v>
      </c>
      <c r="D83" s="274" t="str">
        <f>(IF($A83="SINAPI",INDEX(SINAPI_NOV2020_NDES!$A$7:$H$6790,MATCH($B83,SINAPI_NOV2020_NDES!$A$7:$A$6790,0),3),(INDEX(COMPOS!$A$4:$G$5000,MATCH($B83,COMPOS!$A$4:$A$5000,0),3))))</f>
        <v>M2</v>
      </c>
      <c r="E83" s="276">
        <v>55.4</v>
      </c>
      <c r="F83" s="279">
        <f>(IF($A83="SINAPI",INDEX(SINAPI_NOV2020_NDES!$A$7:$H$6703,MATCH($B83,SINAPI_NOV2020_NDES!$A$7:$A$6703,0),5),(INDEX(COMPOS!$A$4:$G$801,MATCH($B83,COMPOS!$A$4:A$801,0),4))))</f>
        <v>14.456771</v>
      </c>
      <c r="G83" s="280">
        <f>(IF($A83="SINAPI",INDEX(SINAPI_NOV2020_NDES!$A$7:$H$6703,MATCH($B83,SINAPI_NOV2020_NDES!$A$7:$A$6703,0),6),(INDEX(COMPOS!$A$4:$G$801,MATCH($B83,COMPOS!$A$4:A$801,0),5))))</f>
        <v>21.017659000000002</v>
      </c>
      <c r="H83" s="280">
        <f>(IF($A83="SINAPI",INDEX(SINAPI_NOV2020_NDES!$A$7:$H$6703,MATCH($B83,SINAPI_NOV2020_NDES!$A$7:$A$6703,0),7),(INDEX(COMPOS!$A$4:$G$801,MATCH($B83,COMPOS!$A$4:A$801,0),6))))</f>
        <v>0</v>
      </c>
      <c r="I83" s="279">
        <f t="shared" ref="I83" si="16">SUM(F83:H83)</f>
        <v>35.474429999999998</v>
      </c>
      <c r="J83" s="276">
        <f t="shared" ref="J83" si="17">+I83*E83</f>
        <v>1965.2834219999997</v>
      </c>
      <c r="K83" s="255"/>
      <c r="L83" s="255"/>
      <c r="M83" s="255"/>
      <c r="N83" s="255"/>
      <c r="O83" s="257"/>
      <c r="P83" s="255"/>
    </row>
    <row r="84" spans="1:16" s="88" customFormat="1" ht="24" customHeight="1">
      <c r="A84" s="680" t="s">
        <v>6927</v>
      </c>
      <c r="B84" s="680"/>
      <c r="C84" s="680"/>
      <c r="D84" s="680"/>
      <c r="E84" s="680"/>
      <c r="F84" s="680"/>
      <c r="G84" s="680"/>
      <c r="H84" s="680"/>
      <c r="I84" s="680"/>
      <c r="J84" s="281">
        <f>SUM(J82:J83)</f>
        <v>1965.2834219999997</v>
      </c>
      <c r="K84" s="255"/>
      <c r="L84" s="255"/>
      <c r="M84" s="255"/>
      <c r="N84" s="255"/>
      <c r="O84" s="255"/>
      <c r="P84" s="255"/>
    </row>
    <row r="85" spans="1:16">
      <c r="A85" s="251"/>
      <c r="B85" s="299">
        <v>176</v>
      </c>
      <c r="C85" s="332" t="s">
        <v>599</v>
      </c>
      <c r="D85" s="274"/>
      <c r="E85" s="276"/>
      <c r="F85" s="276"/>
      <c r="G85" s="276"/>
      <c r="H85" s="276"/>
      <c r="I85" s="276"/>
      <c r="J85" s="366"/>
      <c r="K85" s="255"/>
      <c r="L85" s="255"/>
      <c r="M85" s="255"/>
      <c r="N85" s="255"/>
      <c r="O85" s="255"/>
      <c r="P85" s="255"/>
    </row>
    <row r="86" spans="1:16" ht="36">
      <c r="A86" s="251" t="s">
        <v>7</v>
      </c>
      <c r="B86" s="290">
        <v>92580</v>
      </c>
      <c r="C86" s="278" t="str">
        <f>(IF($A86="SINAPI",INDEX(SINAPI_NOV2020_NDES!$A$7:$H$6703,MATCH($B86,SINAPI_NOV2020_NDES!$A$7:$A$6703,0),2),IF($A86="GOINFRA",INDEX(#REF!,MATCH($B86,#REF!,0),2),(INDEX(COMPOS!$A$4:$G$390,MATCH($B86,COMPOS!$A$4:A$390,0),2)))))</f>
        <v>TRAMA DE AÇO COMPOSTA POR TERÇAS PARA TELHADOS DE ATÉ 2 ÁGUAS PARA TELHA ONDULADA DE FIBROCIMENTO, METÁLICA, PLÁSTICA OU TERMOACÚSTICA, INCLUSO TRANSPORTE VERTICAL. AF_07/2019</v>
      </c>
      <c r="D86" s="274" t="str">
        <f>(IF($A86="SINAPI",INDEX(SINAPI_NOV2020_NDES!$A$7:$H$6790,MATCH($B86,SINAPI_NOV2020_NDES!$A$7:$A$6790,0),3),(INDEX(COMPOS!$A$4:$G$5000,MATCH($B86,COMPOS!$A$4:$A$5000,0),3))))</f>
        <v>M2</v>
      </c>
      <c r="E86" s="276">
        <v>21.5</v>
      </c>
      <c r="F86" s="279">
        <f>(IF($A86="SINAPI",INDEX(SINAPI_NOV2020_NDES!$A$7:$H$6703,MATCH($B86,SINAPI_NOV2020_NDES!$A$7:$A$6703,0),5),(INDEX(COMPOS!$A$4:$G$801,MATCH($B86,COMPOS!$A$4:A$801,0),4))))</f>
        <v>6.23</v>
      </c>
      <c r="G86" s="280">
        <f>(IF($A86="SINAPI",INDEX(SINAPI_NOV2020_NDES!$A$7:$H$6703,MATCH($B86,SINAPI_NOV2020_NDES!$A$7:$A$6703,0),6),(INDEX(COMPOS!$A$4:$G$801,MATCH($B86,COMPOS!$A$4:A$801,0),5))))</f>
        <v>28.67</v>
      </c>
      <c r="H86" s="280">
        <f>(IF($A86="SINAPI",INDEX(SINAPI_NOV2020_NDES!$A$7:$H$6703,MATCH($B86,SINAPI_NOV2020_NDES!$A$7:$A$6703,0),7),(INDEX(COMPOS!$A$4:$G$801,MATCH($B86,COMPOS!$A$4:A$801,0),6))))</f>
        <v>0</v>
      </c>
      <c r="I86" s="279">
        <f t="shared" ref="I86" si="18">SUM(F86:H86)</f>
        <v>34.900000000000006</v>
      </c>
      <c r="J86" s="276">
        <f t="shared" ref="J86" si="19">+I86*E86</f>
        <v>750.35000000000014</v>
      </c>
      <c r="K86" s="255"/>
      <c r="L86" s="255"/>
      <c r="M86" s="255"/>
      <c r="N86" s="255"/>
      <c r="O86" s="257"/>
      <c r="P86" s="255"/>
    </row>
    <row r="87" spans="1:16" s="88" customFormat="1" ht="24" customHeight="1">
      <c r="A87" s="680" t="s">
        <v>6927</v>
      </c>
      <c r="B87" s="680"/>
      <c r="C87" s="680"/>
      <c r="D87" s="680"/>
      <c r="E87" s="680"/>
      <c r="F87" s="680"/>
      <c r="G87" s="680"/>
      <c r="H87" s="680"/>
      <c r="I87" s="680"/>
      <c r="J87" s="281">
        <f>SUM(J85:J86)</f>
        <v>750.35000000000014</v>
      </c>
      <c r="K87" s="255"/>
      <c r="L87" s="255"/>
      <c r="M87" s="255"/>
      <c r="N87" s="255"/>
      <c r="O87" s="255"/>
      <c r="P87" s="255"/>
    </row>
    <row r="88" spans="1:16">
      <c r="A88" s="251"/>
      <c r="B88" s="299">
        <v>178</v>
      </c>
      <c r="C88" s="332" t="s">
        <v>597</v>
      </c>
      <c r="D88" s="274"/>
      <c r="E88" s="276"/>
      <c r="F88" s="276"/>
      <c r="G88" s="276"/>
      <c r="H88" s="276"/>
      <c r="I88" s="276"/>
      <c r="J88" s="366"/>
      <c r="K88" s="255"/>
      <c r="L88" s="255"/>
      <c r="M88" s="255"/>
      <c r="N88" s="255"/>
      <c r="O88" s="255"/>
      <c r="P88" s="255"/>
    </row>
    <row r="89" spans="1:16" ht="36">
      <c r="A89" s="251" t="s">
        <v>6307</v>
      </c>
      <c r="B89" s="283">
        <v>610</v>
      </c>
      <c r="C89" s="278" t="str">
        <f>(IF($A89="SINAPI",INDEX(SINAPI_NOV2020_NDES!$A$7:$H$6703,MATCH($B89,SINAPI_NOV2020_NDES!$A$7:$A$6703,0),2),IF($A89="GOINFRA",INDEX(#REF!,MATCH($B89,#REF!,0),2),(INDEX(COMPOS!$A$4:$G$3900,MATCH($B89,COMPOS!$A$4:A$3900,0),2)))))</f>
        <v>TELHAMENTO COM TELHA ONDULADA DE FIBROCIMENTO E = 8 MM, COM RECOBRIMENTO LATERAL DE 1 1/4 DE ONDA PARA TELHADO COM INCLINAÇÃO MÁXIMA DE 10°, COM ATÉ 2 ÁGUAS, INCLUSO IÇAMENTO.</v>
      </c>
      <c r="D89" s="274" t="str">
        <f>(IF($A89="SINAPI",INDEX(SINAPI_NOV2020_NDES!$A$7:$H$6790,MATCH($B89,SINAPI_NOV2020_NDES!$A$7:$A$6790,0),3),(INDEX(COMPOS!$A$4:$G$5000,MATCH($B89,COMPOS!$A$4:$A$5000,0),3))))</f>
        <v>M2</v>
      </c>
      <c r="E89" s="276">
        <v>21.5</v>
      </c>
      <c r="F89" s="279">
        <f>(IF($A89="SINAPI",INDEX(SINAPI_NOV2020_NDES!$A$7:$H$6703,MATCH($B89,SINAPI_NOV2020_NDES!$A$7:$A$6703,0),5),(INDEX(COMPOS!$A$4:$G$801,MATCH($B89,COMPOS!$A$4:A$801,0),4))))</f>
        <v>5.4586600000000001</v>
      </c>
      <c r="G89" s="280">
        <f>(IF($A89="SINAPI",INDEX(SINAPI_NOV2020_NDES!$A$7:$H$6703,MATCH($B89,SINAPI_NOV2020_NDES!$A$7:$A$6703,0),6),(INDEX(COMPOS!$A$4:$G$801,MATCH($B89,COMPOS!$A$4:A$801,0),5))))</f>
        <v>48.806269999999998</v>
      </c>
      <c r="H89" s="280">
        <f>(IF($A89="SINAPI",INDEX(SINAPI_NOV2020_NDES!$A$7:$H$6703,MATCH($B89,SINAPI_NOV2020_NDES!$A$7:$A$6703,0),7),(INDEX(COMPOS!$A$4:$G$801,MATCH($B89,COMPOS!$A$4:A$801,0),6))))</f>
        <v>0</v>
      </c>
      <c r="I89" s="279">
        <f t="shared" ref="I89" si="20">SUM(F89:H89)</f>
        <v>54.26493</v>
      </c>
      <c r="J89" s="276">
        <f t="shared" ref="J89" si="21">+I89*E89</f>
        <v>1166.695995</v>
      </c>
      <c r="K89" s="255"/>
      <c r="L89" s="255"/>
      <c r="M89" s="255"/>
      <c r="N89" s="255"/>
      <c r="O89" s="257"/>
      <c r="P89" s="255"/>
    </row>
    <row r="90" spans="1:16">
      <c r="A90" s="251" t="s">
        <v>6307</v>
      </c>
      <c r="B90" s="290">
        <v>342</v>
      </c>
      <c r="C90" s="278" t="str">
        <f>(IF($A90="SINAPI",INDEX(SINAPI_NOV2020_NDES!$A$7:$H$6703,MATCH($B90,SINAPI_NOV2020_NDES!$A$7:$A$6703,0),2),IF($A90="GOINFRA",INDEX(#REF!,MATCH($B90,#REF!,0),2),(INDEX(COMPOS!$A$4:$G$390,MATCH($B90,COMPOS!$A$4:A$390,0),2)))))</f>
        <v>CALHA DE CHAPA GALVANIZADA Nº 26, 60CM</v>
      </c>
      <c r="D90" s="274" t="str">
        <f>(IF($A90="SINAPI",INDEX(SINAPI_NOV2020_NDES!$A$7:$H$6790,MATCH($B90,SINAPI_NOV2020_NDES!$A$7:$A$6790,0),3),(INDEX(COMPOS!$A$4:$G$5000,MATCH($B90,COMPOS!$A$4:$A$5000,0),3))))</f>
        <v>M</v>
      </c>
      <c r="E90" s="276">
        <v>5</v>
      </c>
      <c r="F90" s="276">
        <f>(IF($A90="SINAPI",INDEX(SINAPI_NOV2020_NDES!$A$7:$H$6703,MATCH($B90,SINAPI_NOV2020_NDES!$A$7:$A$6703,0),5),(INDEX(COMPOS!$A$4:$G$801,MATCH($B90,COMPOS!$A$4:A$801,0),4))))</f>
        <v>39.185000000000002</v>
      </c>
      <c r="G90" s="276">
        <f>(IF($A90="SINAPI",INDEX(SINAPI_NOV2020_NDES!$A$7:$H$6703,MATCH($B90,SINAPI_NOV2020_NDES!$A$7:$A$6703,0),6),(INDEX(COMPOS!$A$4:$G$801,MATCH($B90,COMPOS!$A$4:A$801,0),5))))</f>
        <v>20.28</v>
      </c>
      <c r="H90" s="276">
        <f>(IF($A90="SINAPI",INDEX(SINAPI_NOV2020_NDES!$A$7:$H$6703,MATCH($B90,SINAPI_NOV2020_NDES!$A$7:$A$6703,0),7),(INDEX(COMPOS!$A$4:$G$801,MATCH($B90,COMPOS!$A$4:A$801,0),6))))</f>
        <v>0</v>
      </c>
      <c r="I90" s="276">
        <f>SUM(F90:H90)</f>
        <v>59.465000000000003</v>
      </c>
      <c r="J90" s="276">
        <f>+I90*E90</f>
        <v>297.32500000000005</v>
      </c>
      <c r="K90" s="255"/>
      <c r="L90" s="255"/>
      <c r="M90" s="255"/>
      <c r="N90" s="255"/>
      <c r="O90" s="257"/>
      <c r="P90" s="255"/>
    </row>
    <row r="91" spans="1:16">
      <c r="A91" s="251" t="s">
        <v>6307</v>
      </c>
      <c r="B91" s="290">
        <v>343</v>
      </c>
      <c r="C91" s="278" t="str">
        <f>(IF($A91="SINAPI",INDEX(SINAPI_NOV2020_NDES!$A$7:$H$6703,MATCH($B91,SINAPI_NOV2020_NDES!$A$7:$A$6703,0),2),IF($A91="GOINFRA",INDEX(#REF!,MATCH($B91,#REF!,0),2),(INDEX(COMPOS!$A$4:$G$390,MATCH($B91,COMPOS!$A$4:A$390,0),2)))))</f>
        <v>RUFO DE CHAPA GALVANIZADA</v>
      </c>
      <c r="D91" s="274" t="str">
        <f>(IF($A91="SINAPI",INDEX(SINAPI_NOV2020_NDES!$A$7:$H$6790,MATCH($B91,SINAPI_NOV2020_NDES!$A$7:$A$6790,0),3),(INDEX(COMPOS!$A$4:$G$5000,MATCH($B91,COMPOS!$A$4:$A$5000,0),3))))</f>
        <v>M</v>
      </c>
      <c r="E91" s="276">
        <v>14.04</v>
      </c>
      <c r="F91" s="276">
        <f>(IF($A91="SINAPI",INDEX(SINAPI_NOV2020_NDES!$A$7:$H$6703,MATCH($B91,SINAPI_NOV2020_NDES!$A$7:$A$6703,0),5),(INDEX(COMPOS!$A$4:$G$801,MATCH($B91,COMPOS!$A$4:A$801,0),4))))</f>
        <v>18.405000000000001</v>
      </c>
      <c r="G91" s="276">
        <f>(IF($A91="SINAPI",INDEX(SINAPI_NOV2020_NDES!$A$7:$H$6703,MATCH($B91,SINAPI_NOV2020_NDES!$A$7:$A$6703,0),6),(INDEX(COMPOS!$A$4:$G$801,MATCH($B91,COMPOS!$A$4:A$801,0),5))))</f>
        <v>15.034979999999999</v>
      </c>
      <c r="H91" s="276">
        <f>(IF($A91="SINAPI",INDEX(SINAPI_NOV2020_NDES!$A$7:$H$6703,MATCH($B91,SINAPI_NOV2020_NDES!$A$7:$A$6703,0),7),(INDEX(COMPOS!$A$4:$G$801,MATCH($B91,COMPOS!$A$4:A$801,0),6))))</f>
        <v>0</v>
      </c>
      <c r="I91" s="276">
        <f>SUM(F91:H91)</f>
        <v>33.439979999999998</v>
      </c>
      <c r="J91" s="276">
        <f>+I91*E91</f>
        <v>469.49731919999994</v>
      </c>
      <c r="K91" s="255"/>
      <c r="L91" s="255"/>
      <c r="M91" s="255"/>
      <c r="N91" s="255"/>
      <c r="O91" s="257"/>
      <c r="P91" s="255"/>
    </row>
    <row r="92" spans="1:16" s="88" customFormat="1" ht="24" customHeight="1">
      <c r="A92" s="680" t="s">
        <v>6927</v>
      </c>
      <c r="B92" s="680"/>
      <c r="C92" s="680"/>
      <c r="D92" s="680"/>
      <c r="E92" s="680"/>
      <c r="F92" s="680"/>
      <c r="G92" s="680"/>
      <c r="H92" s="680"/>
      <c r="I92" s="680"/>
      <c r="J92" s="281">
        <f>SUM(J89:J91)</f>
        <v>1933.5183142000001</v>
      </c>
      <c r="K92" s="255"/>
      <c r="L92" s="255"/>
      <c r="M92" s="255"/>
      <c r="N92" s="255"/>
      <c r="O92" s="255"/>
      <c r="P92" s="255"/>
    </row>
    <row r="93" spans="1:16">
      <c r="A93" s="251"/>
      <c r="B93" s="299">
        <v>180</v>
      </c>
      <c r="C93" s="332" t="s">
        <v>595</v>
      </c>
      <c r="D93" s="274"/>
      <c r="E93" s="276"/>
      <c r="F93" s="276"/>
      <c r="G93" s="276"/>
      <c r="H93" s="276"/>
      <c r="I93" s="276"/>
      <c r="J93" s="366"/>
      <c r="K93" s="255"/>
      <c r="L93" s="255"/>
      <c r="M93" s="255"/>
      <c r="N93" s="255"/>
      <c r="O93" s="255"/>
      <c r="P93" s="255"/>
    </row>
    <row r="94" spans="1:16" ht="24">
      <c r="A94" s="251" t="s">
        <v>6307</v>
      </c>
      <c r="B94" s="290">
        <v>156</v>
      </c>
      <c r="C94" s="278" t="str">
        <f>(IF($A94="SINAPI",INDEX(SINAPI_NOV2020_NDES!$A$7:$H$6703,MATCH($B94,SINAPI_NOV2020_NDES!$A$7:$A$6703,0),2),IF($A94="GOINFRA",INDEX(#REF!,MATCH($B94,#REF!,0),2),(INDEX(COMPOS!$A$4:$G$390,MATCH($B94,COMPOS!$A$4:A$390,0),2)))))</f>
        <v>JANELA DE AÇO TIPO CORRER/BASCULANTE/VIDRO J8/J9/J10/J11/J12/J13/J17/J20 - 200X70 CM</v>
      </c>
      <c r="D94" s="274" t="str">
        <f>(IF($A94="SINAPI",INDEX(SINAPI_NOV2020_NDES!$A$7:$H$6790,MATCH($B94,SINAPI_NOV2020_NDES!$A$7:$A$6790,0),3),(INDEX(COMPOS!$A$4:$G$5000,MATCH($B94,COMPOS!$A$4:$A$5000,0),3))))</f>
        <v>M2</v>
      </c>
      <c r="E94" s="276">
        <v>1.08</v>
      </c>
      <c r="F94" s="279">
        <f>(IF($A94="SINAPI",INDEX(SINAPI_NOV2020_NDES!$A$7:$H$6703,MATCH($B94,SINAPI_NOV2020_NDES!$A$7:$A$6703,0),5),(INDEX(COMPOS!$A$4:$G$801,MATCH($B94,COMPOS!$A$4:A$801,0),4))))</f>
        <v>134.02471</v>
      </c>
      <c r="G94" s="280">
        <f>(IF($A94="SINAPI",INDEX(SINAPI_NOV2020_NDES!$A$7:$H$6703,MATCH($B94,SINAPI_NOV2020_NDES!$A$7:$A$6703,0),6),(INDEX(COMPOS!$A$4:$G$801,MATCH($B94,COMPOS!$A$4:A$801,0),5))))</f>
        <v>503.49081699999999</v>
      </c>
      <c r="H94" s="280">
        <f>(IF($A94="SINAPI",INDEX(SINAPI_NOV2020_NDES!$A$7:$H$6703,MATCH($B94,SINAPI_NOV2020_NDES!$A$7:$A$6703,0),7),(INDEX(COMPOS!$A$4:$G$801,MATCH($B94,COMPOS!$A$4:A$801,0),6))))</f>
        <v>0</v>
      </c>
      <c r="I94" s="279">
        <f t="shared" ref="I94" si="22">SUM(F94:H94)</f>
        <v>637.51552700000002</v>
      </c>
      <c r="J94" s="276">
        <f t="shared" ref="J94" si="23">+I94*E94</f>
        <v>688.51676916000008</v>
      </c>
      <c r="K94" s="255"/>
      <c r="L94" s="255"/>
      <c r="M94" s="255"/>
      <c r="N94" s="255"/>
      <c r="O94" s="257"/>
      <c r="P94" s="255"/>
    </row>
    <row r="95" spans="1:16">
      <c r="A95" s="251" t="s">
        <v>6307</v>
      </c>
      <c r="B95" s="290">
        <v>419</v>
      </c>
      <c r="C95" s="278" t="str">
        <f>(IF($A95="SINAPI",INDEX(SINAPI_NOV2020_NDES!$A$7:$H$6703,MATCH($B95,SINAPI_NOV2020_NDES!$A$7:$A$6703,0),2),IF($A95="GOINFRA",INDEX(#REF!,MATCH($B95,#REF!,0),2),(INDEX(COMPOS!$A$4:$G$390,MATCH($B95,COMPOS!$A$4:A$390,0),2)))))</f>
        <v>PORTA ABRIR/VENEZIANA PF-4 C/FERRAGENS</v>
      </c>
      <c r="D95" s="274" t="str">
        <f>(IF($A95="SINAPI",INDEX(SINAPI_NOV2020_NDES!$A$7:$H$6790,MATCH($B95,SINAPI_NOV2020_NDES!$A$7:$A$6790,0),3),(INDEX(COMPOS!$A$4:$G$5000,MATCH($B95,COMPOS!$A$4:$A$5000,0),3))))</f>
        <v>M2</v>
      </c>
      <c r="E95" s="276">
        <v>2.52</v>
      </c>
      <c r="F95" s="276">
        <f>(IF($A95="SINAPI",INDEX(SINAPI_NOV2020_NDES!$A$7:$H$6703,MATCH($B95,SINAPI_NOV2020_NDES!$A$7:$A$6703,0),5),(INDEX(COMPOS!$A$4:$G$801,MATCH($B95,COMPOS!$A$4:A$801,0),4))))</f>
        <v>164.877015</v>
      </c>
      <c r="G95" s="276">
        <f>(IF($A95="SINAPI",INDEX(SINAPI_NOV2020_NDES!$A$7:$H$6703,MATCH($B95,SINAPI_NOV2020_NDES!$A$7:$A$6703,0),6),(INDEX(COMPOS!$A$4:$G$801,MATCH($B95,COMPOS!$A$4:A$801,0),5))))</f>
        <v>267.08872400000001</v>
      </c>
      <c r="H95" s="276">
        <f>(IF($A95="SINAPI",INDEX(SINAPI_NOV2020_NDES!$A$7:$H$6703,MATCH($B95,SINAPI_NOV2020_NDES!$A$7:$A$6703,0),7),(INDEX(COMPOS!$A$4:$G$801,MATCH($B95,COMPOS!$A$4:A$801,0),6))))</f>
        <v>0</v>
      </c>
      <c r="I95" s="276">
        <f>SUM(F95:H95)</f>
        <v>431.96573899999999</v>
      </c>
      <c r="J95" s="276">
        <f>+I95*E95</f>
        <v>1088.55366228</v>
      </c>
      <c r="K95" s="255"/>
      <c r="L95" s="255"/>
      <c r="M95" s="255"/>
      <c r="N95" s="255"/>
      <c r="O95" s="257"/>
      <c r="P95" s="255"/>
    </row>
    <row r="96" spans="1:16">
      <c r="A96" s="251" t="s">
        <v>6307</v>
      </c>
      <c r="B96" s="283">
        <v>6</v>
      </c>
      <c r="C96" s="278" t="str">
        <f>(IF($A96="SINAPI",INDEX(SINAPI_NOV2020_NDES!$A$7:$H$6703,MATCH($B96,SINAPI_NOV2020_NDES!$A$7:$A$6703,0),2),IF($A96="GOINFRA",INDEX(#REF!,MATCH($B96,#REF!,0),2),(INDEX(COMPOS!$A$4:$G$390,MATCH($B96,COMPOS!$A$4:A$390,0),2)))))</f>
        <v>CHAPA XADREZ ANTIDERRAPANTE NAS CANALETAS</v>
      </c>
      <c r="D96" s="274" t="str">
        <f>(IF($A96="SINAPI",INDEX(SINAPI_NOV2020_NDES!$A$7:$H$6790,MATCH($B96,SINAPI_NOV2020_NDES!$A$7:$A$6790,0),3),(INDEX(COMPOS!$A$4:$G$5000,MATCH($B96,COMPOS!$A$4:$A$5000,0),3))))</f>
        <v>M2</v>
      </c>
      <c r="E96" s="276">
        <v>0.61</v>
      </c>
      <c r="F96" s="276">
        <f>(IF($A96="SINAPI",INDEX(SINAPI_NOV2020_NDES!$A$7:$H$6703,MATCH($B96,SINAPI_NOV2020_NDES!$A$7:$A$6703,0),5),(INDEX(COMPOS!$A$4:$G$801,MATCH($B96,COMPOS!$A$4:A$801,0),4))))</f>
        <v>26.223134999999999</v>
      </c>
      <c r="G96" s="276">
        <f>(IF($A96="SINAPI",INDEX(SINAPI_NOV2020_NDES!$A$7:$H$6703,MATCH($B96,SINAPI_NOV2020_NDES!$A$7:$A$6703,0),6),(INDEX(COMPOS!$A$4:$G$801,MATCH($B96,COMPOS!$A$4:A$801,0),5))))</f>
        <v>818.82899999999995</v>
      </c>
      <c r="H96" s="276">
        <f>(IF($A96="SINAPI",INDEX(SINAPI_NOV2020_NDES!$A$7:$H$6703,MATCH($B96,SINAPI_NOV2020_NDES!$A$7:$A$6703,0),7),(INDEX(COMPOS!$A$4:$G$801,MATCH($B96,COMPOS!$A$4:A$801,0),6))))</f>
        <v>0</v>
      </c>
      <c r="I96" s="276">
        <f>SUM(F96:H96)</f>
        <v>845.05213499999991</v>
      </c>
      <c r="J96" s="276">
        <f>+I96*E96</f>
        <v>515.48180234999995</v>
      </c>
      <c r="K96" s="255"/>
      <c r="L96" s="255"/>
      <c r="M96" s="255"/>
      <c r="N96" s="255"/>
      <c r="O96" s="257"/>
      <c r="P96" s="255"/>
    </row>
    <row r="97" spans="1:16" s="88" customFormat="1" ht="24" customHeight="1">
      <c r="A97" s="680" t="s">
        <v>6927</v>
      </c>
      <c r="B97" s="680"/>
      <c r="C97" s="680"/>
      <c r="D97" s="680"/>
      <c r="E97" s="680"/>
      <c r="F97" s="680"/>
      <c r="G97" s="680"/>
      <c r="H97" s="680"/>
      <c r="I97" s="680"/>
      <c r="J97" s="281">
        <f>SUM(J94:J96)</f>
        <v>2292.5522337900002</v>
      </c>
      <c r="K97" s="255"/>
      <c r="L97" s="255"/>
      <c r="M97" s="255"/>
      <c r="N97" s="255"/>
      <c r="O97" s="255"/>
      <c r="P97" s="255"/>
    </row>
    <row r="98" spans="1:16">
      <c r="A98" s="251"/>
      <c r="B98" s="299">
        <v>182</v>
      </c>
      <c r="C98" s="332" t="s">
        <v>593</v>
      </c>
      <c r="D98" s="274"/>
      <c r="E98" s="276"/>
      <c r="F98" s="276"/>
      <c r="G98" s="276"/>
      <c r="H98" s="276"/>
      <c r="I98" s="276"/>
      <c r="J98" s="366"/>
      <c r="K98" s="255"/>
      <c r="L98" s="255"/>
      <c r="M98" s="255"/>
      <c r="N98" s="255"/>
      <c r="O98" s="255"/>
      <c r="P98" s="255"/>
    </row>
    <row r="99" spans="1:16" ht="36">
      <c r="A99" s="251" t="s">
        <v>7</v>
      </c>
      <c r="B99" s="290">
        <v>87879</v>
      </c>
      <c r="C99" s="278" t="str">
        <f>(IF($A99="SINAPI",INDEX(SINAPI_NOV2020_NDES!$A$7:$H$6703,MATCH($B99,SINAPI_NOV2020_NDES!$A$7:$A$6703,0),2),IF($A99="GOINFRA",INDEX(#REF!,MATCH($B99,#REF!,0),2),(INDEX(COMPOS!$A$4:$G$390,MATCH($B99,COMPOS!$A$4:A$390,0),2)))))</f>
        <v>CHAPISCO APLICADO EM ALVENARIAS E ESTRUTURAS DE CONCRETO INTERNAS, COM COLHER DE PEDREIRO.  ARGAMASSA TRAÇO 1:3 COM PREPARO EM BETONEIRA 400L. AF_06/2014</v>
      </c>
      <c r="D99" s="274" t="str">
        <f>(IF($A99="SINAPI",INDEX(SINAPI_NOV2020_NDES!$A$7:$H$6790,MATCH($B99,SINAPI_NOV2020_NDES!$A$7:$A$6790,0),3),(INDEX(COMPOS!$A$4:$G$5000,MATCH($B99,COMPOS!$A$4:$A$5000,0),3))))</f>
        <v>M2</v>
      </c>
      <c r="E99" s="276">
        <v>9.8000000000000007</v>
      </c>
      <c r="F99" s="279">
        <f>(IF($A99="SINAPI",INDEX(SINAPI_NOV2020_NDES!$A$7:$H$6703,MATCH($B99,SINAPI_NOV2020_NDES!$A$7:$A$6703,0),5),(INDEX(COMPOS!$A$4:$G$801,MATCH($B99,COMPOS!$A$4:A$801,0),4))))</f>
        <v>1.67</v>
      </c>
      <c r="G99" s="280">
        <f>(IF($A99="SINAPI",INDEX(SINAPI_NOV2020_NDES!$A$7:$H$6703,MATCH($B99,SINAPI_NOV2020_NDES!$A$7:$A$6703,0),6),(INDEX(COMPOS!$A$4:$G$801,MATCH($B99,COMPOS!$A$4:A$801,0),5))))</f>
        <v>1.74</v>
      </c>
      <c r="H99" s="280">
        <f>(IF($A99="SINAPI",INDEX(SINAPI_NOV2020_NDES!$A$7:$H$6703,MATCH($B99,SINAPI_NOV2020_NDES!$A$7:$A$6703,0),7),(INDEX(COMPOS!$A$4:$G$801,MATCH($B99,COMPOS!$A$4:A$801,0),6))))</f>
        <v>0</v>
      </c>
      <c r="I99" s="279">
        <f t="shared" ref="I99" si="24">SUM(F99:H99)</f>
        <v>3.41</v>
      </c>
      <c r="J99" s="276">
        <f t="shared" ref="J99" si="25">+I99*E99</f>
        <v>33.418000000000006</v>
      </c>
      <c r="K99" s="255"/>
      <c r="L99" s="255"/>
      <c r="M99" s="255"/>
      <c r="N99" s="255"/>
      <c r="O99" s="257"/>
      <c r="P99" s="255"/>
    </row>
    <row r="100" spans="1:16" ht="36">
      <c r="A100" s="251" t="s">
        <v>7</v>
      </c>
      <c r="B100" s="290">
        <v>87894</v>
      </c>
      <c r="C100" s="278" t="str">
        <f>(IF($A100="SINAPI",INDEX(SINAPI_NOV2020_NDES!$A$7:$H$6703,MATCH($B100,SINAPI_NOV2020_NDES!$A$7:$A$6703,0),2),IF($A100="GOINFRA",INDEX(#REF!,MATCH($B100,#REF!,0),2),(INDEX(COMPOS!$A$4:$G$390,MATCH($B100,COMPOS!$A$4:A$390,0),2)))))</f>
        <v>CHAPISCO APLICADO EM ALVENARIA (SEM PRESENÇA DE VÃOS) E ESTRUTURAS DE CONCRETO DE FACHADA, COM COLHER DE PEDREIRO.  ARGAMASSA TRAÇO 1:3 COM PREPARO EM BETONEIRA 400L. AF_06/2014</v>
      </c>
      <c r="D100" s="274" t="str">
        <f>(IF($A100="SINAPI",INDEX(SINAPI_NOV2020_NDES!$A$7:$H$6790,MATCH($B100,SINAPI_NOV2020_NDES!$A$7:$A$6790,0),3),(INDEX(COMPOS!$A$4:$G$5000,MATCH($B100,COMPOS!$A$4:$A$5000,0),3))))</f>
        <v>M2</v>
      </c>
      <c r="E100" s="276">
        <v>9.8000000000000007</v>
      </c>
      <c r="F100" s="276">
        <f>(IF($A100="SINAPI",INDEX(SINAPI_NOV2020_NDES!$A$7:$H$6703,MATCH($B100,SINAPI_NOV2020_NDES!$A$7:$A$6703,0),5),(INDEX(COMPOS!$A$4:$G$801,MATCH($B100,COMPOS!$A$4:A$801,0),4))))</f>
        <v>3.2</v>
      </c>
      <c r="G100" s="276">
        <f>(IF($A100="SINAPI",INDEX(SINAPI_NOV2020_NDES!$A$7:$H$6703,MATCH($B100,SINAPI_NOV2020_NDES!$A$7:$A$6703,0),6),(INDEX(COMPOS!$A$4:$G$801,MATCH($B100,COMPOS!$A$4:A$801,0),5))))</f>
        <v>2.2200000000000002</v>
      </c>
      <c r="H100" s="276">
        <f>(IF($A100="SINAPI",INDEX(SINAPI_NOV2020_NDES!$A$7:$H$6703,MATCH($B100,SINAPI_NOV2020_NDES!$A$7:$A$6703,0),7),(INDEX(COMPOS!$A$4:$G$801,MATCH($B100,COMPOS!$A$4:A$801,0),6))))</f>
        <v>0</v>
      </c>
      <c r="I100" s="276">
        <f>SUM(F100:H100)</f>
        <v>5.42</v>
      </c>
      <c r="J100" s="276">
        <f>+I100*E100</f>
        <v>53.116</v>
      </c>
      <c r="K100" s="255"/>
      <c r="L100" s="255"/>
      <c r="M100" s="255"/>
      <c r="N100" s="255"/>
      <c r="O100" s="257"/>
      <c r="P100" s="255"/>
    </row>
    <row r="101" spans="1:16" ht="48">
      <c r="A101" s="251" t="s">
        <v>7</v>
      </c>
      <c r="B101" s="290">
        <v>87529</v>
      </c>
      <c r="C101" s="278" t="str">
        <f>(IF($A101="SINAPI",INDEX(SINAPI_NOV2020_NDES!$A$7:$H$6703,MATCH($B101,SINAPI_NOV2020_NDES!$A$7:$A$6703,0),2),IF($A101="GOINFRA",INDEX(#REF!,MATCH($B101,#REF!,0),2),(INDEX(COMPOS!$A$4:$G$390,MATCH($B101,COMPOS!$A$4:A$390,0),2)))))</f>
        <v>MASSA ÚNICA, PARA RECEBIMENTO DE PINTURA, EM ARGAMASSA TRAÇO 1:2:8, PREPARO MECÂNICO COM BETONEIRA 400L, APLICADA MANUALMENTE EM FACES INTERNAS DE PAREDES, ESPESSURA DE 20MM, COM EXECUÇÃO DE TALISCAS. AF_06/2014</v>
      </c>
      <c r="D101" s="274" t="str">
        <f>(IF($A101="SINAPI",INDEX(SINAPI_NOV2020_NDES!$A$7:$H$6790,MATCH($B101,SINAPI_NOV2020_NDES!$A$7:$A$6790,0),3),(INDEX(COMPOS!$A$4:$G$5000,MATCH($B101,COMPOS!$A$4:$A$5000,0),3))))</f>
        <v>M2</v>
      </c>
      <c r="E101" s="276">
        <f>9.8*2</f>
        <v>19.600000000000001</v>
      </c>
      <c r="F101" s="276">
        <f>(IF($A101="SINAPI",INDEX(SINAPI_NOV2020_NDES!$A$7:$H$6703,MATCH($B101,SINAPI_NOV2020_NDES!$A$7:$A$6703,0),5),(INDEX(COMPOS!$A$4:$G$801,MATCH($B101,COMPOS!$A$4:A$801,0),4))))</f>
        <v>13.35</v>
      </c>
      <c r="G101" s="276">
        <f>(IF($A101="SINAPI",INDEX(SINAPI_NOV2020_NDES!$A$7:$H$6703,MATCH($B101,SINAPI_NOV2020_NDES!$A$7:$A$6703,0),6),(INDEX(COMPOS!$A$4:$G$801,MATCH($B101,COMPOS!$A$4:A$801,0),5))))</f>
        <v>17.5</v>
      </c>
      <c r="H101" s="276">
        <f>(IF($A101="SINAPI",INDEX(SINAPI_NOV2020_NDES!$A$7:$H$6703,MATCH($B101,SINAPI_NOV2020_NDES!$A$7:$A$6703,0),7),(INDEX(COMPOS!$A$4:$G$801,MATCH($B101,COMPOS!$A$4:A$801,0),6))))</f>
        <v>0.03</v>
      </c>
      <c r="I101" s="276">
        <f>SUM(F101:H101)</f>
        <v>30.880000000000003</v>
      </c>
      <c r="J101" s="276">
        <f>+I101*E101</f>
        <v>605.24800000000005</v>
      </c>
      <c r="K101" s="255"/>
      <c r="L101" s="255"/>
      <c r="M101" s="255"/>
      <c r="N101" s="255"/>
      <c r="O101" s="257"/>
      <c r="P101" s="255"/>
    </row>
    <row r="102" spans="1:16" ht="24">
      <c r="A102" s="251" t="s">
        <v>6952</v>
      </c>
      <c r="B102" s="290">
        <v>347</v>
      </c>
      <c r="C102" s="278" t="str">
        <f>(IF($A102="SINAPI",INDEX(SINAPI_NOV2020_NDES!$A$7:$H$6703,MATCH($B102,SINAPI_NOV2020_NDES!$A$7:$A$6703,0),2),IF($A102="GOINFRA",INDEX(#REF!,MATCH($B102,#REF!,0),2),(INDEX(COMPOS!$A$4:$G$390,MATCH($B102,COMPOS!$A$4:A$390,0),2)))))</f>
        <v>MOLDURA TIPO “U” INVERTIDO EM ARGAMASSA COM 2CM DE ESPESSURA TIPO PINGADEIRA EM MURO/PLATIBANDA (A PARTE VETICAL DESCE 2,5CM)</v>
      </c>
      <c r="D102" s="274" t="str">
        <f>(IF($A102="SINAPI",INDEX(SINAPI_NOV2020_NDES!$A$7:$H$6790,MATCH($B102,SINAPI_NOV2020_NDES!$A$7:$A$6790,0),3),(INDEX(COMPOS!$A$4:$G$5000,MATCH($B102,COMPOS!$A$4:$A$5000,0),3))))</f>
        <v>M2</v>
      </c>
      <c r="E102" s="276">
        <v>20.2</v>
      </c>
      <c r="F102" s="276">
        <f>(IF($A102="SINAPI",INDEX(SINAPI_NOV2020_NDES!$A$7:$H$6703,MATCH($B102,SINAPI_NOV2020_NDES!$A$7:$A$6703,0),5),(INDEX(COMPOS!$A$4:$G$801,MATCH($B102,COMPOS!$A$4:A$801,0),4))))</f>
        <v>48.24633</v>
      </c>
      <c r="G102" s="276">
        <f>(IF($A102="SINAPI",INDEX(SINAPI_NOV2020_NDES!$A$7:$H$6703,MATCH($B102,SINAPI_NOV2020_NDES!$A$7:$A$6703,0),6),(INDEX(COMPOS!$A$4:$G$801,MATCH($B102,COMPOS!$A$4:A$801,0),5))))</f>
        <v>15.812080000000002</v>
      </c>
      <c r="H102" s="276">
        <f>(IF($A102="SINAPI",INDEX(SINAPI_NOV2020_NDES!$A$7:$H$6703,MATCH($B102,SINAPI_NOV2020_NDES!$A$7:$A$6703,0),7),(INDEX(COMPOS!$A$4:$G$801,MATCH($B102,COMPOS!$A$4:A$801,0),6))))</f>
        <v>0</v>
      </c>
      <c r="I102" s="276">
        <f>SUM(F102:H102)</f>
        <v>64.058410000000009</v>
      </c>
      <c r="J102" s="276">
        <f>+I102*E102</f>
        <v>1293.9798820000001</v>
      </c>
      <c r="K102" s="255"/>
      <c r="L102" s="255"/>
      <c r="M102" s="255"/>
      <c r="N102" s="255"/>
      <c r="O102" s="257"/>
      <c r="P102" s="255"/>
    </row>
    <row r="103" spans="1:16" s="88" customFormat="1" ht="24" customHeight="1">
      <c r="A103" s="680">
        <v>3</v>
      </c>
      <c r="B103" s="680"/>
      <c r="C103" s="680"/>
      <c r="D103" s="680"/>
      <c r="E103" s="680"/>
      <c r="F103" s="680"/>
      <c r="G103" s="680"/>
      <c r="H103" s="680"/>
      <c r="I103" s="680"/>
      <c r="J103" s="281">
        <f>SUM(J99:J102)</f>
        <v>1985.7618820000002</v>
      </c>
      <c r="K103" s="255"/>
      <c r="L103" s="255"/>
      <c r="M103" s="255"/>
      <c r="N103" s="255"/>
      <c r="O103" s="255"/>
      <c r="P103" s="255"/>
    </row>
    <row r="104" spans="1:16">
      <c r="A104" s="251"/>
      <c r="B104" s="299">
        <v>183</v>
      </c>
      <c r="C104" s="332" t="s">
        <v>592</v>
      </c>
      <c r="D104" s="274"/>
      <c r="E104" s="276"/>
      <c r="F104" s="276"/>
      <c r="G104" s="276"/>
      <c r="H104" s="276"/>
      <c r="I104" s="276"/>
      <c r="J104" s="366"/>
      <c r="K104" s="255"/>
      <c r="L104" s="255"/>
      <c r="M104" s="255"/>
      <c r="N104" s="255"/>
      <c r="O104" s="255"/>
      <c r="P104" s="255"/>
    </row>
    <row r="105" spans="1:16" ht="36">
      <c r="A105" s="251" t="s">
        <v>7</v>
      </c>
      <c r="B105" s="283">
        <v>87882</v>
      </c>
      <c r="C105" s="278" t="str">
        <f>(IF($A105="SINAPI",INDEX(SINAPI_NOV2020_NDES!$A$7:$H$6703,MATCH($B105,SINAPI_NOV2020_NDES!$A$7:$A$6703,0),2),IF($A105="GOINFRA",INDEX(#REF!,MATCH($B105,#REF!,0),2),(INDEX(COMPOS!$A$4:$G$390,MATCH($B105,COMPOS!$A$4:A$390,0),2)))))</f>
        <v>CHAPISCO APLICADO NO TETO, COM ROLO PARA TEXTURA ACRÍLICA. ARGAMASSA TRAÇO 1:4 E EMULSÃO POLIMÉRICA (ADESIVO) COM PREPARO EM BETONEIRA 400L. AF_06/2014</v>
      </c>
      <c r="D105" s="274" t="str">
        <f>(IF($A105="SINAPI",INDEX(SINAPI_NOV2020_NDES!$A$7:$H$6790,MATCH($B105,SINAPI_NOV2020_NDES!$A$7:$A$6790,0),3),(INDEX(COMPOS!$A$4:$G$5000,MATCH($B105,COMPOS!$A$4:$A$5000,0),3))))</f>
        <v>M2</v>
      </c>
      <c r="E105" s="276">
        <f>14+9.1</f>
        <v>23.1</v>
      </c>
      <c r="F105" s="279">
        <f>(IF($A105="SINAPI",INDEX(SINAPI_NOV2020_NDES!$A$7:$H$6703,MATCH($B105,SINAPI_NOV2020_NDES!$A$7:$A$6703,0),5),(INDEX(COMPOS!$A$4:$G$801,MATCH($B105,COMPOS!$A$4:A$801,0),4))))</f>
        <v>0.82</v>
      </c>
      <c r="G105" s="280">
        <f>(IF($A105="SINAPI",INDEX(SINAPI_NOV2020_NDES!$A$7:$H$6703,MATCH($B105,SINAPI_NOV2020_NDES!$A$7:$A$6703,0),6),(INDEX(COMPOS!$A$4:$G$801,MATCH($B105,COMPOS!$A$4:A$801,0),5))))</f>
        <v>3.11</v>
      </c>
      <c r="H105" s="280">
        <f>(IF($A105="SINAPI",INDEX(SINAPI_NOV2020_NDES!$A$7:$H$6703,MATCH($B105,SINAPI_NOV2020_NDES!$A$7:$A$6703,0),7),(INDEX(COMPOS!$A$4:$G$801,MATCH($B105,COMPOS!$A$4:A$801,0),6))))</f>
        <v>0</v>
      </c>
      <c r="I105" s="279">
        <f t="shared" ref="I105" si="26">SUM(F105:H105)</f>
        <v>3.9299999999999997</v>
      </c>
      <c r="J105" s="276">
        <f t="shared" ref="J105" si="27">+I105*E105</f>
        <v>90.783000000000001</v>
      </c>
      <c r="K105" s="255"/>
      <c r="L105" s="255"/>
      <c r="M105" s="255"/>
      <c r="N105" s="255"/>
      <c r="O105" s="257"/>
      <c r="P105" s="255"/>
    </row>
    <row r="106" spans="1:16" ht="36">
      <c r="A106" s="251" t="s">
        <v>7</v>
      </c>
      <c r="B106" s="283">
        <v>90406</v>
      </c>
      <c r="C106" s="278" t="str">
        <f>(IF($A106="SINAPI",INDEX(SINAPI_NOV2020_NDES!$A$7:$H$6703,MATCH($B106,SINAPI_NOV2020_NDES!$A$7:$A$6703,0),2),IF($A106="GOINFRA",INDEX(#REF!,MATCH($B106,#REF!,0),2),(INDEX(COMPOS!$A$4:$G$390,MATCH($B106,COMPOS!$A$4:A$390,0),2)))))</f>
        <v>MASSA ÚNICA, PARA RECEBIMENTO DE PINTURA, EM ARGAMASSA TRAÇO 1:2:8, PREPARO MECÂNICO COM BETONEIRA 400L, APLICADA MANUALMENTE EM TETO, ESPESSURA DE 20MM, COM EXECUÇÃO DE TALISCAS. AF_03/2015</v>
      </c>
      <c r="D106" s="274" t="str">
        <f>(IF($A106="SINAPI",INDEX(SINAPI_NOV2020_NDES!$A$7:$H$6790,MATCH($B106,SINAPI_NOV2020_NDES!$A$7:$A$6790,0),3),(INDEX(COMPOS!$A$4:$G$5000,MATCH($B106,COMPOS!$A$4:$A$5000,0),3))))</f>
        <v>M2</v>
      </c>
      <c r="E106" s="276">
        <f>14+9.1</f>
        <v>23.1</v>
      </c>
      <c r="F106" s="276">
        <f>(IF($A106="SINAPI",INDEX(SINAPI_NOV2020_NDES!$A$7:$H$6703,MATCH($B106,SINAPI_NOV2020_NDES!$A$7:$A$6703,0),5),(INDEX(COMPOS!$A$4:$G$801,MATCH($B106,COMPOS!$A$4:A$801,0),4))))</f>
        <v>20.13</v>
      </c>
      <c r="G106" s="276">
        <f>(IF($A106="SINAPI",INDEX(SINAPI_NOV2020_NDES!$A$7:$H$6703,MATCH($B106,SINAPI_NOV2020_NDES!$A$7:$A$6703,0),6),(INDEX(COMPOS!$A$4:$G$801,MATCH($B106,COMPOS!$A$4:A$801,0),5))))</f>
        <v>19.45</v>
      </c>
      <c r="H106" s="276">
        <f>(IF($A106="SINAPI",INDEX(SINAPI_NOV2020_NDES!$A$7:$H$6703,MATCH($B106,SINAPI_NOV2020_NDES!$A$7:$A$6703,0),7),(INDEX(COMPOS!$A$4:$G$801,MATCH($B106,COMPOS!$A$4:A$801,0),6))))</f>
        <v>0.03</v>
      </c>
      <c r="I106" s="276">
        <f>SUM(F106:H106)</f>
        <v>39.61</v>
      </c>
      <c r="J106" s="276">
        <f>+I106*E106</f>
        <v>914.9910000000001</v>
      </c>
      <c r="K106" s="255"/>
      <c r="L106" s="255"/>
      <c r="M106" s="255"/>
      <c r="N106" s="255"/>
      <c r="O106" s="257"/>
      <c r="P106" s="255"/>
    </row>
    <row r="107" spans="1:16" s="88" customFormat="1" ht="24" customHeight="1">
      <c r="A107" s="680" t="s">
        <v>6927</v>
      </c>
      <c r="B107" s="680"/>
      <c r="C107" s="680"/>
      <c r="D107" s="680"/>
      <c r="E107" s="680"/>
      <c r="F107" s="680"/>
      <c r="G107" s="680"/>
      <c r="H107" s="680"/>
      <c r="I107" s="680"/>
      <c r="J107" s="281">
        <f>SUM(J105:J106)</f>
        <v>1005.7740000000001</v>
      </c>
      <c r="K107" s="255"/>
      <c r="L107" s="255"/>
      <c r="M107" s="255"/>
      <c r="N107" s="255"/>
      <c r="O107" s="255"/>
      <c r="P107" s="255"/>
    </row>
    <row r="108" spans="1:16">
      <c r="A108" s="251"/>
      <c r="B108" s="299">
        <v>184</v>
      </c>
      <c r="C108" s="332" t="s">
        <v>591</v>
      </c>
      <c r="D108" s="274"/>
      <c r="E108" s="276"/>
      <c r="F108" s="276"/>
      <c r="G108" s="276"/>
      <c r="H108" s="276"/>
      <c r="I108" s="276"/>
      <c r="J108" s="366"/>
      <c r="K108" s="255"/>
      <c r="L108" s="255"/>
      <c r="M108" s="255"/>
      <c r="N108" s="255"/>
      <c r="O108" s="255"/>
      <c r="P108" s="255"/>
    </row>
    <row r="109" spans="1:16" ht="24">
      <c r="A109" s="251" t="s">
        <v>7</v>
      </c>
      <c r="B109" s="290">
        <v>95241</v>
      </c>
      <c r="C109" s="278" t="str">
        <f>(IF($A109="SINAPI",INDEX(SINAPI_NOV2020_NDES!$A$7:$H$6703,MATCH($B109,SINAPI_NOV2020_NDES!$A$7:$A$6703,0),2),IF($A109="GOINFRA",INDEX(#REF!,MATCH($B109,#REF!,0),2),(INDEX(COMPOS!$A$4:$G$390,MATCH($B109,COMPOS!$A$4:A$390,0),2)))))</f>
        <v>LASTRO DE CONCRETO MAGRO, APLICADO EM PISOS OU RADIERS, ESPESSURA DE 5 CM. AF_07/2016</v>
      </c>
      <c r="D109" s="274" t="str">
        <f>(IF($A109="SINAPI",INDEX(SINAPI_NOV2020_NDES!$A$7:$H$6790,MATCH($B109,SINAPI_NOV2020_NDES!$A$7:$A$6790,0),3),(INDEX(COMPOS!$A$4:$G$5000,MATCH($B109,COMPOS!$A$4:$A$5000,0),3))))</f>
        <v>M2</v>
      </c>
      <c r="E109" s="276">
        <v>14.2</v>
      </c>
      <c r="F109" s="279">
        <f>(IF($A109="SINAPI",INDEX(SINAPI_NOV2020_NDES!$A$7:$H$6703,MATCH($B109,SINAPI_NOV2020_NDES!$A$7:$A$6703,0),5),(INDEX(COMPOS!$A$4:$G$801,MATCH($B109,COMPOS!$A$4:A$801,0),4))))</f>
        <v>8.26</v>
      </c>
      <c r="G109" s="280">
        <f>(IF($A109="SINAPI",INDEX(SINAPI_NOV2020_NDES!$A$7:$H$6703,MATCH($B109,SINAPI_NOV2020_NDES!$A$7:$A$6703,0),6),(INDEX(COMPOS!$A$4:$G$801,MATCH($B109,COMPOS!$A$4:A$801,0),5))))</f>
        <v>16.48</v>
      </c>
      <c r="H109" s="280">
        <f>(IF($A109="SINAPI",INDEX(SINAPI_NOV2020_NDES!$A$7:$H$6703,MATCH($B109,SINAPI_NOV2020_NDES!$A$7:$A$6703,0),7),(INDEX(COMPOS!$A$4:$G$801,MATCH($B109,COMPOS!$A$4:A$801,0),6))))</f>
        <v>0.09</v>
      </c>
      <c r="I109" s="279">
        <f t="shared" ref="I109" si="28">SUM(F109:H109)</f>
        <v>24.830000000000002</v>
      </c>
      <c r="J109" s="276">
        <f t="shared" ref="J109" si="29">+I109*E109</f>
        <v>352.58600000000001</v>
      </c>
      <c r="K109" s="255"/>
      <c r="L109" s="255"/>
      <c r="M109" s="255"/>
      <c r="N109" s="255"/>
      <c r="O109" s="257"/>
      <c r="P109" s="255"/>
    </row>
    <row r="110" spans="1:16" ht="24">
      <c r="A110" s="251" t="s">
        <v>6307</v>
      </c>
      <c r="B110" s="290">
        <v>348</v>
      </c>
      <c r="C110" s="278" t="str">
        <f>(IF($A110="SINAPI",INDEX(SINAPI_NOV2020_NDES!$A$7:$H$6703,MATCH($B110,SINAPI_NOV2020_NDES!$A$7:$A$6703,0),2),IF($A110="GOINFRA",INDEX(#REF!,MATCH($B110,#REF!,0),2),(INDEX(COMPOS!$A$4:$G$390,MATCH($B110,COMPOS!$A$4:A$390,0),2)))))</f>
        <v>PASSEIO DE PROTEÇÃO EM CONCRETO DESEMPENADO 5CM (1:2,5:3,5) (INCLUSO ESPELHO DE 30CM/ESCAVAÇÃO/REATERRO/APILOAMENTO/ATERRO INTERNO)</v>
      </c>
      <c r="D110" s="274" t="str">
        <f>(IF($A110="SINAPI",INDEX(SINAPI_NOV2020_NDES!$A$7:$H$6790,MATCH($B110,SINAPI_NOV2020_NDES!$A$7:$A$6790,0),3),(INDEX(COMPOS!$A$4:$G$5000,MATCH($B110,COMPOS!$A$4:$A$5000,0),3))))</f>
        <v>M2</v>
      </c>
      <c r="E110" s="276">
        <v>7.12</v>
      </c>
      <c r="F110" s="276">
        <f>(IF($A110="SINAPI",INDEX(SINAPI_NOV2020_NDES!$A$7:$H$6703,MATCH($B110,SINAPI_NOV2020_NDES!$A$7:$A$6703,0),5),(INDEX(COMPOS!$A$4:$G$801,MATCH($B110,COMPOS!$A$4:A$801,0),4))))</f>
        <v>43.421984000000002</v>
      </c>
      <c r="G110" s="276">
        <f>(IF($A110="SINAPI",INDEX(SINAPI_NOV2020_NDES!$A$7:$H$6703,MATCH($B110,SINAPI_NOV2020_NDES!$A$7:$A$6703,0),6),(INDEX(COMPOS!$A$4:$G$801,MATCH($B110,COMPOS!$A$4:A$801,0),5))))</f>
        <v>31.570292999999999</v>
      </c>
      <c r="H110" s="276">
        <f>(IF($A110="SINAPI",INDEX(SINAPI_NOV2020_NDES!$A$7:$H$6703,MATCH($B110,SINAPI_NOV2020_NDES!$A$7:$A$6703,0),7),(INDEX(COMPOS!$A$4:$G$801,MATCH($B110,COMPOS!$A$4:A$801,0),6))))</f>
        <v>0</v>
      </c>
      <c r="I110" s="276">
        <f>SUM(F110:H110)</f>
        <v>74.992277000000001</v>
      </c>
      <c r="J110" s="276">
        <f>+I110*E110</f>
        <v>533.94501223999998</v>
      </c>
      <c r="K110" s="255"/>
      <c r="L110" s="255"/>
      <c r="M110" s="255"/>
      <c r="N110" s="255"/>
      <c r="O110" s="257"/>
      <c r="P110" s="255"/>
    </row>
    <row r="111" spans="1:16">
      <c r="A111" s="251" t="s">
        <v>6307</v>
      </c>
      <c r="B111" s="290">
        <v>349</v>
      </c>
      <c r="C111" s="278" t="str">
        <f>(IF($A111="SINAPI",INDEX(SINAPI_NOV2020_NDES!$A$7:$H$6703,MATCH($B111,SINAPI_NOV2020_NDES!$A$7:$A$6703,0),2),IF($A111="GOINFRA",INDEX(#REF!,MATCH($B111,#REF!,0),2),(INDEX(COMPOS!$A$4:$G$390,MATCH($B111,COMPOS!$A$4:A$390,0),2)))))</f>
        <v>PISO EM CONCRETO DESEMPENADO 5CM (1:2,5:3,5)</v>
      </c>
      <c r="D111" s="274" t="str">
        <f>(IF($A111="SINAPI",INDEX(SINAPI_NOV2020_NDES!$A$7:$H$6790,MATCH($B111,SINAPI_NOV2020_NDES!$A$7:$A$6790,0),3),(INDEX(COMPOS!$A$4:$G$5000,MATCH($B111,COMPOS!$A$4:$A$5000,0),3))))</f>
        <v>M2</v>
      </c>
      <c r="E111" s="276">
        <f>10.75</f>
        <v>10.75</v>
      </c>
      <c r="F111" s="276">
        <f>(IF($A111="SINAPI",INDEX(SINAPI_NOV2020_NDES!$A$7:$H$6703,MATCH($B111,SINAPI_NOV2020_NDES!$A$7:$A$6703,0),5),(INDEX(COMPOS!$A$4:$G$801,MATCH($B111,COMPOS!$A$4:A$801,0),4))))</f>
        <v>14.561212999999999</v>
      </c>
      <c r="G111" s="276">
        <f>(IF($A111="SINAPI",INDEX(SINAPI_NOV2020_NDES!$A$7:$H$6703,MATCH($B111,SINAPI_NOV2020_NDES!$A$7:$A$6703,0),6),(INDEX(COMPOS!$A$4:$G$801,MATCH($B111,COMPOS!$A$4:A$801,0),5))))</f>
        <v>15.349762</v>
      </c>
      <c r="H111" s="276">
        <f>(IF($A111="SINAPI",INDEX(SINAPI_NOV2020_NDES!$A$7:$H$6703,MATCH($B111,SINAPI_NOV2020_NDES!$A$7:$A$6703,0),7),(INDEX(COMPOS!$A$4:$G$801,MATCH($B111,COMPOS!$A$4:A$801,0),6))))</f>
        <v>0</v>
      </c>
      <c r="I111" s="276">
        <f>SUM(F111:H111)</f>
        <v>29.910975000000001</v>
      </c>
      <c r="J111" s="276">
        <f>+I111*E111</f>
        <v>321.54298125000003</v>
      </c>
      <c r="K111" s="255"/>
      <c r="L111" s="255"/>
      <c r="M111" s="255"/>
      <c r="N111" s="255"/>
      <c r="O111" s="257"/>
      <c r="P111" s="255"/>
    </row>
    <row r="112" spans="1:16">
      <c r="A112" s="251" t="s">
        <v>7</v>
      </c>
      <c r="B112" s="283">
        <v>101747</v>
      </c>
      <c r="C112" s="278" t="str">
        <f>(IF($A112="SINAPI",INDEX(SINAPI_NOV2020_NDES!$A$7:$H$6703,MATCH($B112,SINAPI_NOV2020_NDES!$A$7:$A$6703,0),2),IF($A112="GOINFRA",INDEX(#REF!,MATCH($B112,#REF!,0),2),(INDEX(COMPOS!$A$4:$G$390,MATCH($B112,COMPOS!$A$4:A$390,0),2)))))</f>
        <v>PISO EM CONCRETO 20 MPA PREPARO MECÂNICO, ESPESSURA 7CM. AF_09/2020</v>
      </c>
      <c r="D112" s="274" t="str">
        <f>(IF($A112="SINAPI",INDEX(SINAPI_NOV2020_NDES!$A$7:$H$6790,MATCH($B112,SINAPI_NOV2020_NDES!$A$7:$A$6790,0),3),(INDEX(COMPOS!$A$4:$G$5000,MATCH($B112,COMPOS!$A$4:$A$5000,0),3))))</f>
        <v>M2</v>
      </c>
      <c r="E112" s="276">
        <v>3.45</v>
      </c>
      <c r="F112" s="276">
        <f>(IF($A112="SINAPI",INDEX(SINAPI_NOV2020_NDES!$A$7:$H$6703,MATCH($B112,SINAPI_NOV2020_NDES!$A$7:$A$6703,0),5),(INDEX(COMPOS!$A$4:$G$801,MATCH($B112,COMPOS!$A$4:A$801,0),4))))</f>
        <v>2.38</v>
      </c>
      <c r="G112" s="276">
        <f>(IF($A112="SINAPI",INDEX(SINAPI_NOV2020_NDES!$A$7:$H$6703,MATCH($B112,SINAPI_NOV2020_NDES!$A$7:$A$6703,0),6),(INDEX(COMPOS!$A$4:$G$801,MATCH($B112,COMPOS!$A$4:A$801,0),5))))</f>
        <v>50.65</v>
      </c>
      <c r="H112" s="276">
        <f>(IF($A112="SINAPI",INDEX(SINAPI_NOV2020_NDES!$A$7:$H$6703,MATCH($B112,SINAPI_NOV2020_NDES!$A$7:$A$6703,0),7),(INDEX(COMPOS!$A$4:$G$801,MATCH($B112,COMPOS!$A$4:A$801,0),6))))</f>
        <v>0</v>
      </c>
      <c r="I112" s="276">
        <f>SUM(F112:H112)</f>
        <v>53.03</v>
      </c>
      <c r="J112" s="276">
        <f>+I112*E112</f>
        <v>182.95350000000002</v>
      </c>
      <c r="K112" s="255"/>
      <c r="L112" s="255"/>
      <c r="M112" s="255"/>
      <c r="N112" s="255"/>
      <c r="O112" s="257"/>
      <c r="P112" s="255"/>
    </row>
    <row r="113" spans="1:1001" s="88" customFormat="1" ht="24" customHeight="1">
      <c r="A113" s="680" t="s">
        <v>6927</v>
      </c>
      <c r="B113" s="680"/>
      <c r="C113" s="680"/>
      <c r="D113" s="680"/>
      <c r="E113" s="680"/>
      <c r="F113" s="680"/>
      <c r="G113" s="680"/>
      <c r="H113" s="680"/>
      <c r="I113" s="680"/>
      <c r="J113" s="281">
        <f>SUM(J109:J112)</f>
        <v>1391.0274934900001</v>
      </c>
      <c r="K113" s="255"/>
      <c r="L113" s="255"/>
      <c r="M113" s="255"/>
      <c r="N113" s="255"/>
      <c r="O113" s="255"/>
      <c r="P113" s="255"/>
    </row>
    <row r="114" spans="1:1001">
      <c r="A114" s="251"/>
      <c r="B114" s="299">
        <v>188</v>
      </c>
      <c r="C114" s="332" t="s">
        <v>587</v>
      </c>
      <c r="D114" s="274"/>
      <c r="E114" s="276"/>
      <c r="F114" s="276"/>
      <c r="G114" s="276"/>
      <c r="H114" s="276"/>
      <c r="I114" s="276"/>
      <c r="J114" s="366"/>
      <c r="K114" s="255"/>
      <c r="L114" s="255"/>
      <c r="M114" s="255"/>
      <c r="N114" s="255"/>
      <c r="O114" s="255"/>
      <c r="P114" s="255"/>
    </row>
    <row r="115" spans="1:1001" ht="24.75" customHeight="1">
      <c r="A115" s="251" t="s">
        <v>7</v>
      </c>
      <c r="B115" s="283">
        <v>88482</v>
      </c>
      <c r="C115" s="278" t="str">
        <f>(IF($A115="SINAPI",INDEX(SINAPI_NOV2020_NDES!$A$7:$H$6703,MATCH($B115,SINAPI_NOV2020_NDES!$A$7:$A$6703,0),2),IF($A115="GOINFRA",INDEX(#REF!,MATCH($B115,#REF!,0),2),(INDEX(COMPOS!$A$4:$G$390,MATCH($B115,COMPOS!$A$4:A$390,0),2)))))</f>
        <v>APLICAÇÃO DE FUNDO SELADOR LÁTEX PVA EM TETO, UMA DEMÃO. AF_06/2014</v>
      </c>
      <c r="D115" s="274" t="str">
        <f>(IF($A115="SINAPI",INDEX(SINAPI_NOV2020_NDES!$A$7:$H$6790,MATCH($B115,SINAPI_NOV2020_NDES!$A$7:$A$6790,0),3),(INDEX(COMPOS!$A$4:$G$5000,MATCH($B115,COMPOS!$A$4:$A$5000,0),3))))</f>
        <v>M2</v>
      </c>
      <c r="E115" s="276">
        <v>14</v>
      </c>
      <c r="F115" s="279">
        <f>(IF($A115="SINAPI",INDEX(SINAPI_NOV2020_NDES!$A$7:$H$6703,MATCH($B115,SINAPI_NOV2020_NDES!$A$7:$A$6703,0),5),(INDEX(COMPOS!$A$4:$G$801,MATCH($B115,COMPOS!$A$4:A$801,0),4))))</f>
        <v>0.74</v>
      </c>
      <c r="G115" s="280">
        <f>(IF($A115="SINAPI",INDEX(SINAPI_NOV2020_NDES!$A$7:$H$6703,MATCH($B115,SINAPI_NOV2020_NDES!$A$7:$A$6703,0),6),(INDEX(COMPOS!$A$4:$G$801,MATCH($B115,COMPOS!$A$4:A$801,0),5))))</f>
        <v>2.44</v>
      </c>
      <c r="H115" s="280">
        <f>(IF($A115="SINAPI",INDEX(SINAPI_NOV2020_NDES!$A$7:$H$6703,MATCH($B115,SINAPI_NOV2020_NDES!$A$7:$A$6703,0),7),(INDEX(COMPOS!$A$4:$G$801,MATCH($B115,COMPOS!$A$4:A$801,0),6))))</f>
        <v>0</v>
      </c>
      <c r="I115" s="279">
        <f t="shared" ref="I115" si="30">SUM(F115:H115)</f>
        <v>3.1799999999999997</v>
      </c>
      <c r="J115" s="276">
        <f t="shared" ref="J115" si="31">+I115*E115</f>
        <v>44.519999999999996</v>
      </c>
      <c r="K115" s="255"/>
      <c r="L115" s="255"/>
      <c r="M115" s="255"/>
      <c r="N115" s="255"/>
      <c r="O115" s="257"/>
      <c r="P115" s="255"/>
    </row>
    <row r="116" spans="1:1001" ht="24.75" customHeight="1">
      <c r="A116" s="251" t="s">
        <v>7</v>
      </c>
      <c r="B116" s="283">
        <v>88496</v>
      </c>
      <c r="C116" s="278" t="str">
        <f>(IF($A116="SINAPI",INDEX(SINAPI_NOV2020_NDES!$A$7:$H$6703,MATCH($B116,SINAPI_NOV2020_NDES!$A$7:$A$6703,0),2),IF($A116="GOINFRA",INDEX(#REF!,MATCH($B116,#REF!,0),2),(INDEX(COMPOS!$A$4:$G$390,MATCH($B116,COMPOS!$A$4:A$390,0),2)))))</f>
        <v>APLICAÇÃO E LIXAMENTO DE MASSA LÁTEX EM TETO, DUAS DEMÃOS. AF_06/2014</v>
      </c>
      <c r="D116" s="274" t="str">
        <f>(IF($A116="SINAPI",INDEX(SINAPI_NOV2020_NDES!$A$7:$H$6790,MATCH($B116,SINAPI_NOV2020_NDES!$A$7:$A$6790,0),3),(INDEX(COMPOS!$A$4:$G$5000,MATCH($B116,COMPOS!$A$4:$A$5000,0),3))))</f>
        <v>M2</v>
      </c>
      <c r="E116" s="276">
        <v>14</v>
      </c>
      <c r="F116" s="276">
        <f>(IF($A116="SINAPI",INDEX(SINAPI_NOV2020_NDES!$A$7:$H$6703,MATCH($B116,SINAPI_NOV2020_NDES!$A$7:$A$6703,0),5),(INDEX(COMPOS!$A$4:$G$801,MATCH($B116,COMPOS!$A$4:A$801,0),4))))</f>
        <v>14.1</v>
      </c>
      <c r="G116" s="276">
        <f>(IF($A116="SINAPI",INDEX(SINAPI_NOV2020_NDES!$A$7:$H$6703,MATCH($B116,SINAPI_NOV2020_NDES!$A$7:$A$6703,0),6),(INDEX(COMPOS!$A$4:$G$801,MATCH($B116,COMPOS!$A$4:A$801,0),5))))</f>
        <v>7.4</v>
      </c>
      <c r="H116" s="276">
        <f>(IF($A116="SINAPI",INDEX(SINAPI_NOV2020_NDES!$A$7:$H$6703,MATCH($B116,SINAPI_NOV2020_NDES!$A$7:$A$6703,0),7),(INDEX(COMPOS!$A$4:$G$801,MATCH($B116,COMPOS!$A$4:A$801,0),6))))</f>
        <v>0</v>
      </c>
      <c r="I116" s="276">
        <f t="shared" ref="I116:I121" si="32">SUM(F116:H116)</f>
        <v>21.5</v>
      </c>
      <c r="J116" s="276">
        <f t="shared" ref="J116:J121" si="33">+I116*E116</f>
        <v>301</v>
      </c>
      <c r="K116" s="255"/>
      <c r="L116" s="255"/>
      <c r="M116" s="255"/>
      <c r="N116" s="255"/>
      <c r="O116" s="257"/>
      <c r="P116" s="255"/>
    </row>
    <row r="117" spans="1:1001" ht="24.75" customHeight="1">
      <c r="A117" s="251" t="s">
        <v>7</v>
      </c>
      <c r="B117" s="283">
        <v>88486</v>
      </c>
      <c r="C117" s="278" t="str">
        <f>(IF($A117="SINAPI",INDEX(SINAPI_NOV2020_NDES!$A$7:$H$6703,MATCH($B117,SINAPI_NOV2020_NDES!$A$7:$A$6703,0),2),IF($A117="GOINFRA",INDEX(#REF!,MATCH($B117,#REF!,0),2),(INDEX(COMPOS!$A$4:$G$390,MATCH($B117,COMPOS!$A$4:A$390,0),2)))))</f>
        <v>APLICAÇÃO MANUAL DE PINTURA COM TINTA LÁTEX PVA EM TETO, DUAS DEMÃOS. AF_06/2014</v>
      </c>
      <c r="D117" s="274" t="str">
        <f>(IF($A117="SINAPI",INDEX(SINAPI_NOV2020_NDES!$A$7:$H$6790,MATCH($B117,SINAPI_NOV2020_NDES!$A$7:$A$6790,0),3),(INDEX(COMPOS!$A$4:$G$5000,MATCH($B117,COMPOS!$A$4:$A$5000,0),3))))</f>
        <v>M2</v>
      </c>
      <c r="E117" s="276">
        <v>14</v>
      </c>
      <c r="F117" s="276">
        <f>(IF($A117="SINAPI",INDEX(SINAPI_NOV2020_NDES!$A$7:$H$6703,MATCH($B117,SINAPI_NOV2020_NDES!$A$7:$A$6703,0),5),(INDEX(COMPOS!$A$4:$G$801,MATCH($B117,COMPOS!$A$4:A$801,0),4))))</f>
        <v>3.54</v>
      </c>
      <c r="G117" s="276">
        <f>(IF($A117="SINAPI",INDEX(SINAPI_NOV2020_NDES!$A$7:$H$6703,MATCH($B117,SINAPI_NOV2020_NDES!$A$7:$A$6703,0),6),(INDEX(COMPOS!$A$4:$G$801,MATCH($B117,COMPOS!$A$4:A$801,0),5))))</f>
        <v>7.47</v>
      </c>
      <c r="H117" s="276">
        <f>(IF($A117="SINAPI",INDEX(SINAPI_NOV2020_NDES!$A$7:$H$6703,MATCH($B117,SINAPI_NOV2020_NDES!$A$7:$A$6703,0),7),(INDEX(COMPOS!$A$4:$G$801,MATCH($B117,COMPOS!$A$4:A$801,0),6))))</f>
        <v>0</v>
      </c>
      <c r="I117" s="276">
        <f t="shared" si="32"/>
        <v>11.01</v>
      </c>
      <c r="J117" s="276">
        <f t="shared" si="33"/>
        <v>154.13999999999999</v>
      </c>
      <c r="K117" s="255"/>
      <c r="L117" s="255"/>
      <c r="M117" s="255"/>
      <c r="N117" s="255"/>
      <c r="O117" s="257"/>
      <c r="P117" s="255"/>
    </row>
    <row r="118" spans="1:1001" ht="24.75" customHeight="1">
      <c r="A118" s="251" t="s">
        <v>7</v>
      </c>
      <c r="B118" s="283">
        <v>88485</v>
      </c>
      <c r="C118" s="278" t="str">
        <f>(IF($A118="SINAPI",INDEX(SINAPI_NOV2020_NDES!$A$7:$H$6703,MATCH($B118,SINAPI_NOV2020_NDES!$A$7:$A$6703,0),2),IF($A118="GOINFRA",INDEX(#REF!,MATCH($B118,#REF!,0),2),(INDEX(COMPOS!$A$4:$G$390,MATCH($B118,COMPOS!$A$4:A$390,0),2)))))</f>
        <v>APLICAÇÃO DE FUNDO SELADOR ACRÍLICO EM PAREDES, UMA DEMÃO. AF_06/2014</v>
      </c>
      <c r="D118" s="274" t="str">
        <f>(IF($A118="SINAPI",INDEX(SINAPI_NOV2020_NDES!$A$7:$H$6790,MATCH($B118,SINAPI_NOV2020_NDES!$A$7:$A$6790,0),3),(INDEX(COMPOS!$A$4:$G$5000,MATCH($B118,COMPOS!$A$4:$A$5000,0),3))))</f>
        <v>M2</v>
      </c>
      <c r="E118" s="276">
        <v>43.06</v>
      </c>
      <c r="F118" s="276">
        <f>(IF($A118="SINAPI",INDEX(SINAPI_NOV2020_NDES!$A$7:$H$6703,MATCH($B118,SINAPI_NOV2020_NDES!$A$7:$A$6703,0),5),(INDEX(COMPOS!$A$4:$G$801,MATCH($B118,COMPOS!$A$4:A$801,0),4))))</f>
        <v>0.81</v>
      </c>
      <c r="G118" s="276">
        <f>(IF($A118="SINAPI",INDEX(SINAPI_NOV2020_NDES!$A$7:$H$6703,MATCH($B118,SINAPI_NOV2020_NDES!$A$7:$A$6703,0),6),(INDEX(COMPOS!$A$4:$G$801,MATCH($B118,COMPOS!$A$4:A$801,0),5))))</f>
        <v>1.43</v>
      </c>
      <c r="H118" s="276">
        <f>(IF($A118="SINAPI",INDEX(SINAPI_NOV2020_NDES!$A$7:$H$6703,MATCH($B118,SINAPI_NOV2020_NDES!$A$7:$A$6703,0),7),(INDEX(COMPOS!$A$4:$G$801,MATCH($B118,COMPOS!$A$4:A$801,0),6))))</f>
        <v>0</v>
      </c>
      <c r="I118" s="276">
        <f t="shared" si="32"/>
        <v>2.2400000000000002</v>
      </c>
      <c r="J118" s="276">
        <f t="shared" si="33"/>
        <v>96.454400000000021</v>
      </c>
      <c r="K118" s="255"/>
      <c r="L118" s="255"/>
      <c r="M118" s="255"/>
      <c r="N118" s="255"/>
      <c r="O118" s="257"/>
      <c r="P118" s="255"/>
    </row>
    <row r="119" spans="1:1001" ht="24.75" customHeight="1">
      <c r="A119" s="251" t="s">
        <v>7</v>
      </c>
      <c r="B119" s="283">
        <v>88423</v>
      </c>
      <c r="C119" s="278" t="str">
        <f>(IF($A119="SINAPI",INDEX(SINAPI_NOV2020_NDES!$A$7:$H$6703,MATCH($B119,SINAPI_NOV2020_NDES!$A$7:$A$6703,0),2),IF($A119="GOINFRA",INDEX(#REF!,MATCH($B119,#REF!,0),2),(INDEX(COMPOS!$A$4:$G$390,MATCH($B119,COMPOS!$A$4:A$390,0),2)))))</f>
        <v>APLICAÇÃO MANUAL DE PINTURA COM TINTA TEXTURIZADA ACRÍLICA EM PAREDES EXTERNAS DE CASAS, UMA COR. AF_06/2014</v>
      </c>
      <c r="D119" s="274" t="str">
        <f>(IF($A119="SINAPI",INDEX(SINAPI_NOV2020_NDES!$A$7:$H$6790,MATCH($B119,SINAPI_NOV2020_NDES!$A$7:$A$6790,0),3),(INDEX(COMPOS!$A$4:$G$5000,MATCH($B119,COMPOS!$A$4:$A$5000,0),3))))</f>
        <v>M2</v>
      </c>
      <c r="E119" s="276">
        <v>43.06</v>
      </c>
      <c r="F119" s="276">
        <f>(IF($A119="SINAPI",INDEX(SINAPI_NOV2020_NDES!$A$7:$H$6703,MATCH($B119,SINAPI_NOV2020_NDES!$A$7:$A$6703,0),5),(INDEX(COMPOS!$A$4:$G$801,MATCH($B119,COMPOS!$A$4:A$801,0),4))))</f>
        <v>3.45</v>
      </c>
      <c r="G119" s="276">
        <f>(IF($A119="SINAPI",INDEX(SINAPI_NOV2020_NDES!$A$7:$H$6703,MATCH($B119,SINAPI_NOV2020_NDES!$A$7:$A$6703,0),6),(INDEX(COMPOS!$A$4:$G$801,MATCH($B119,COMPOS!$A$4:A$801,0),5))))</f>
        <v>14.24</v>
      </c>
      <c r="H119" s="276">
        <f>(IF($A119="SINAPI",INDEX(SINAPI_NOV2020_NDES!$A$7:$H$6703,MATCH($B119,SINAPI_NOV2020_NDES!$A$7:$A$6703,0),7),(INDEX(COMPOS!$A$4:$G$801,MATCH($B119,COMPOS!$A$4:A$801,0),6))))</f>
        <v>0</v>
      </c>
      <c r="I119" s="276">
        <f t="shared" si="32"/>
        <v>17.690000000000001</v>
      </c>
      <c r="J119" s="276">
        <f t="shared" si="33"/>
        <v>761.73140000000012</v>
      </c>
      <c r="K119" s="255"/>
      <c r="L119" s="255"/>
      <c r="M119" s="255"/>
      <c r="N119" s="255"/>
      <c r="O119" s="257"/>
      <c r="P119" s="255"/>
    </row>
    <row r="120" spans="1:1001" ht="24.75" customHeight="1">
      <c r="A120" s="251" t="s">
        <v>6307</v>
      </c>
      <c r="B120" s="290">
        <v>357</v>
      </c>
      <c r="C120" s="278" t="str">
        <f>(IF($A120="SINAPI",INDEX(SINAPI_NOV2020_NDES!$A$7:$H$6703,MATCH($B120,SINAPI_NOV2020_NDES!$A$7:$A$6703,0),2),IF($A120="GOINFRA",INDEX(#REF!,MATCH($B120,#REF!,0),2),(INDEX(COMPOS!$A$4:$G$390,MATCH($B120,COMPOS!$A$4:A$390,0),2)))))</f>
        <v>PINTURA LATÉX ACRÍLICA, TRÊS DEMÃOS COM SELADOR</v>
      </c>
      <c r="D120" s="274" t="str">
        <f>(IF($A120="SINAPI",INDEX(SINAPI_NOV2020_NDES!$A$7:$H$6790,MATCH($B120,SINAPI_NOV2020_NDES!$A$7:$A$6790,0),3),(INDEX(COMPOS!$A$4:$G$5000,MATCH($B120,COMPOS!$A$4:$A$5000,0),3))))</f>
        <v>M2</v>
      </c>
      <c r="E120" s="276">
        <v>80.05</v>
      </c>
      <c r="F120" s="276">
        <f>(IF($A120="SINAPI",INDEX(SINAPI_NOV2020_NDES!$A$7:$H$6703,MATCH($B120,SINAPI_NOV2020_NDES!$A$7:$A$6703,0),5),(INDEX(COMPOS!$A$4:$G$801,MATCH($B120,COMPOS!$A$4:A$801,0),4))))</f>
        <v>9.3322149999999997</v>
      </c>
      <c r="G120" s="276">
        <f>(IF($A120="SINAPI",INDEX(SINAPI_NOV2020_NDES!$A$7:$H$6703,MATCH($B120,SINAPI_NOV2020_NDES!$A$7:$A$6703,0),6),(INDEX(COMPOS!$A$4:$G$801,MATCH($B120,COMPOS!$A$4:A$801,0),5))))</f>
        <v>4.28932</v>
      </c>
      <c r="H120" s="276">
        <f>(IF($A120="SINAPI",INDEX(SINAPI_NOV2020_NDES!$A$7:$H$6703,MATCH($B120,SINAPI_NOV2020_NDES!$A$7:$A$6703,0),7),(INDEX(COMPOS!$A$4:$G$801,MATCH($B120,COMPOS!$A$4:A$801,0),6))))</f>
        <v>0</v>
      </c>
      <c r="I120" s="276">
        <f t="shared" si="32"/>
        <v>13.621535</v>
      </c>
      <c r="J120" s="276">
        <f t="shared" si="33"/>
        <v>1090.4038767499999</v>
      </c>
      <c r="K120" s="255"/>
      <c r="L120" s="255"/>
      <c r="M120" s="255"/>
      <c r="N120" s="255"/>
      <c r="O120" s="257"/>
      <c r="P120" s="255"/>
    </row>
    <row r="121" spans="1:1001" ht="24.75" customHeight="1">
      <c r="A121" s="251" t="s">
        <v>6307</v>
      </c>
      <c r="B121" s="290">
        <v>360</v>
      </c>
      <c r="C121" s="278" t="str">
        <f>(IF($A121="SINAPI",INDEX(SINAPI_NOV2020_NDES!$A$7:$H$6703,MATCH($B121,SINAPI_NOV2020_NDES!$A$7:$A$6703,0),2),IF($A121="GOINFRA",INDEX(#REF!,MATCH($B121,#REF!,0),2),(INDEX(COMPOS!$A$4:$G$390,MATCH($B121,COMPOS!$A$4:A$390,0),2)))))</f>
        <v>PINTURA ESMALTE/ESQUADRIA DE FERRO COM FUNDO ANTI-CORROSIVO</v>
      </c>
      <c r="D121" s="274" t="str">
        <f>(IF($A121="SINAPI",INDEX(SINAPI_NOV2020_NDES!$A$7:$H$6790,MATCH($B121,SINAPI_NOV2020_NDES!$A$7:$A$6790,0),3),(INDEX(COMPOS!$A$4:$G$5000,MATCH($B121,COMPOS!$A$4:$A$5000,0),3))))</f>
        <v>M2</v>
      </c>
      <c r="E121" s="276">
        <v>9.7200000000000006</v>
      </c>
      <c r="F121" s="276">
        <f>(IF($A121="SINAPI",INDEX(SINAPI_NOV2020_NDES!$A$7:$H$6703,MATCH($B121,SINAPI_NOV2020_NDES!$A$7:$A$6703,0),5),(INDEX(COMPOS!$A$4:$G$801,MATCH($B121,COMPOS!$A$4:A$801,0),4))))</f>
        <v>15.847708000000001</v>
      </c>
      <c r="G121" s="276">
        <f>(IF($A121="SINAPI",INDEX(SINAPI_NOV2020_NDES!$A$7:$H$6703,MATCH($B121,SINAPI_NOV2020_NDES!$A$7:$A$6703,0),6),(INDEX(COMPOS!$A$4:$G$801,MATCH($B121,COMPOS!$A$4:A$801,0),5))))</f>
        <v>6.5686479999999996</v>
      </c>
      <c r="H121" s="276">
        <f>(IF($A121="SINAPI",INDEX(SINAPI_NOV2020_NDES!$A$7:$H$6703,MATCH($B121,SINAPI_NOV2020_NDES!$A$7:$A$6703,0),7),(INDEX(COMPOS!$A$4:$G$801,MATCH($B121,COMPOS!$A$4:A$801,0),6))))</f>
        <v>0</v>
      </c>
      <c r="I121" s="276">
        <f t="shared" si="32"/>
        <v>22.416356</v>
      </c>
      <c r="J121" s="276">
        <f t="shared" si="33"/>
        <v>217.88698032000002</v>
      </c>
      <c r="K121" s="255"/>
      <c r="L121" s="255"/>
      <c r="M121" s="255"/>
      <c r="N121" s="255"/>
      <c r="O121" s="257"/>
      <c r="P121" s="255"/>
    </row>
    <row r="122" spans="1:1001" s="88" customFormat="1" ht="24" customHeight="1">
      <c r="A122" s="680" t="s">
        <v>6927</v>
      </c>
      <c r="B122" s="680"/>
      <c r="C122" s="680"/>
      <c r="D122" s="680"/>
      <c r="E122" s="680"/>
      <c r="F122" s="680"/>
      <c r="G122" s="680"/>
      <c r="H122" s="680"/>
      <c r="I122" s="680"/>
      <c r="J122" s="281">
        <f>SUM(J115:J121)</f>
        <v>2666.1366570699997</v>
      </c>
      <c r="K122" s="255"/>
      <c r="L122" s="255"/>
      <c r="M122" s="255"/>
      <c r="N122" s="255"/>
      <c r="O122" s="255"/>
      <c r="P122" s="255"/>
    </row>
    <row r="123" spans="1:1001">
      <c r="A123" s="251"/>
      <c r="B123" s="299">
        <v>189</v>
      </c>
      <c r="C123" s="332" t="s">
        <v>2</v>
      </c>
      <c r="D123" s="274"/>
      <c r="E123" s="276"/>
      <c r="F123" s="276"/>
      <c r="G123" s="276"/>
      <c r="H123" s="276"/>
      <c r="I123" s="276"/>
      <c r="J123" s="366"/>
      <c r="K123" s="255"/>
      <c r="L123" s="255"/>
      <c r="M123" s="255"/>
      <c r="N123" s="255"/>
      <c r="O123" s="255"/>
      <c r="P123" s="255"/>
    </row>
    <row r="124" spans="1:1001">
      <c r="A124" s="251" t="s">
        <v>6307</v>
      </c>
      <c r="B124" s="290">
        <v>362</v>
      </c>
      <c r="C124" s="278" t="str">
        <f>(IF($A124="SINAPI",INDEX(SINAPI_NOV2020_NDES!$A$7:$H$6703,MATCH($B124,SINAPI_NOV2020_NDES!$A$7:$A$6703,0),2),IF($A124="GOINFRA",INDEX(#REF!,MATCH($B124,#REF!,0),2),(INDEX(COMPOS!$A$4:$G$390,MATCH($B124,COMPOS!$A$4:A$390,0),2)))))</f>
        <v>LIMPEZA FINAL DA OBRA</v>
      </c>
      <c r="D124" s="274" t="str">
        <f>(IF($A124="SINAPI",INDEX(SINAPI_NOV2020_NDES!$A$7:$H$6790,MATCH($B124,SINAPI_NOV2020_NDES!$A$7:$A$6790,0),3),(INDEX(COMPOS!$A$4:$G$5000,MATCH($B124,COMPOS!$A$4:$A$5000,0),3))))</f>
        <v>M2</v>
      </c>
      <c r="E124" s="276">
        <v>16.34</v>
      </c>
      <c r="F124" s="279">
        <f>(IF($A124="SINAPI",INDEX(SINAPI_NOV2020_NDES!$A$7:$H$6703,MATCH($B124,SINAPI_NOV2020_NDES!$A$7:$A$6703,0),5),(INDEX(COMPOS!$A$4:$G$801,MATCH($B124,COMPOS!$A$4:A$801,0),4))))</f>
        <v>2.2664999999999997</v>
      </c>
      <c r="G124" s="280">
        <f>(IF($A124="SINAPI",INDEX(SINAPI_NOV2020_NDES!$A$7:$H$6703,MATCH($B124,SINAPI_NOV2020_NDES!$A$7:$A$6703,0),6),(INDEX(COMPOS!$A$4:$G$801,MATCH($B124,COMPOS!$A$4:A$801,0),5))))</f>
        <v>0.62687100000000007</v>
      </c>
      <c r="H124" s="280">
        <f>(IF($A124="SINAPI",INDEX(SINAPI_NOV2020_NDES!$A$7:$H$6703,MATCH($B124,SINAPI_NOV2020_NDES!$A$7:$A$6703,0),7),(INDEX(COMPOS!$A$4:$G$801,MATCH($B124,COMPOS!$A$4:A$801,0),6))))</f>
        <v>0</v>
      </c>
      <c r="I124" s="279">
        <f t="shared" ref="I124" si="34">SUM(F124:H124)</f>
        <v>2.8933709999999997</v>
      </c>
      <c r="J124" s="276">
        <f t="shared" ref="J124" si="35">+I124*E124</f>
        <v>47.277682139999996</v>
      </c>
      <c r="K124" s="255"/>
      <c r="L124" s="255"/>
      <c r="M124" s="255"/>
      <c r="N124" s="255"/>
      <c r="O124" s="257"/>
      <c r="P124" s="255"/>
    </row>
    <row r="125" spans="1:1001" s="88" customFormat="1" ht="24" customHeight="1">
      <c r="A125" s="680" t="s">
        <v>6927</v>
      </c>
      <c r="B125" s="680"/>
      <c r="C125" s="680"/>
      <c r="D125" s="680"/>
      <c r="E125" s="680"/>
      <c r="F125" s="680"/>
      <c r="G125" s="680"/>
      <c r="H125" s="680"/>
      <c r="I125" s="680"/>
      <c r="J125" s="281">
        <f>SUM(J124)</f>
        <v>47.277682139999996</v>
      </c>
      <c r="K125" s="255"/>
      <c r="L125" s="255"/>
      <c r="M125" s="255"/>
      <c r="N125" s="255"/>
      <c r="O125" s="255"/>
      <c r="P125" s="255"/>
    </row>
    <row r="126" spans="1:1001">
      <c r="A126" s="334"/>
      <c r="B126" s="334"/>
      <c r="C126" s="367"/>
      <c r="D126" s="334"/>
      <c r="E126" s="334"/>
      <c r="F126" s="334"/>
      <c r="G126" s="334"/>
      <c r="H126" s="334"/>
      <c r="I126" s="334"/>
      <c r="J126" s="335"/>
      <c r="K126" s="255"/>
      <c r="L126" s="255"/>
      <c r="M126" s="255"/>
      <c r="N126" s="255"/>
      <c r="O126" s="255"/>
      <c r="P126" s="255"/>
    </row>
    <row r="127" spans="1:1001" s="191" customFormat="1" ht="12.75" customHeight="1">
      <c r="A127" s="680" t="s">
        <v>7104</v>
      </c>
      <c r="B127" s="680"/>
      <c r="C127" s="680"/>
      <c r="D127" s="680"/>
      <c r="E127" s="680"/>
      <c r="F127" s="680"/>
      <c r="G127" s="680"/>
      <c r="H127" s="680"/>
      <c r="I127" s="680"/>
      <c r="J127" s="577">
        <f>SUMPRODUCT($E$11:$E$125,$F$11:$F$125)</f>
        <v>12131.895409019997</v>
      </c>
      <c r="K127" s="255"/>
      <c r="L127" s="255"/>
      <c r="M127" s="255"/>
      <c r="N127" s="255"/>
      <c r="O127" s="255"/>
      <c r="P127" s="257"/>
      <c r="Q127" s="255"/>
      <c r="R127" s="255"/>
      <c r="S127" s="255"/>
      <c r="T127" s="255"/>
      <c r="U127" s="255"/>
      <c r="V127" s="255"/>
      <c r="W127" s="255"/>
      <c r="X127" s="255"/>
      <c r="Y127" s="255"/>
      <c r="Z127" s="255"/>
      <c r="AA127" s="255"/>
      <c r="AB127" s="255"/>
      <c r="AC127" s="255"/>
      <c r="AD127" s="255"/>
      <c r="AE127" s="255"/>
      <c r="AF127" s="255"/>
      <c r="AG127" s="255"/>
      <c r="AH127" s="255"/>
      <c r="AI127" s="255"/>
      <c r="AJ127" s="255"/>
      <c r="AK127" s="255"/>
      <c r="AL127" s="255"/>
      <c r="AM127" s="255"/>
      <c r="AN127" s="255"/>
      <c r="AO127" s="255"/>
      <c r="AP127" s="255"/>
      <c r="AQ127" s="255"/>
      <c r="AR127" s="255"/>
      <c r="AS127" s="255"/>
      <c r="AT127" s="255"/>
      <c r="AU127" s="255"/>
      <c r="AV127" s="255"/>
      <c r="AW127" s="255"/>
      <c r="AX127" s="255"/>
      <c r="AY127" s="255"/>
      <c r="AZ127" s="255"/>
      <c r="BA127" s="255"/>
      <c r="BB127" s="255"/>
      <c r="BC127" s="255"/>
      <c r="BD127" s="255"/>
      <c r="BE127" s="255"/>
      <c r="BF127" s="255"/>
      <c r="BG127" s="255"/>
      <c r="BH127" s="255"/>
      <c r="BI127" s="255"/>
      <c r="BJ127" s="255"/>
      <c r="BK127" s="255"/>
      <c r="BL127" s="255"/>
      <c r="BM127" s="255"/>
      <c r="BN127" s="255"/>
      <c r="BO127" s="255"/>
      <c r="BP127" s="255"/>
      <c r="BQ127" s="255"/>
      <c r="BR127" s="255"/>
      <c r="BS127" s="255"/>
      <c r="BT127" s="255"/>
      <c r="BU127" s="255"/>
      <c r="BV127" s="255"/>
      <c r="BW127" s="255"/>
      <c r="BX127" s="255"/>
      <c r="BY127" s="255"/>
      <c r="BZ127" s="255"/>
      <c r="CA127" s="255"/>
      <c r="CB127" s="255"/>
      <c r="CC127" s="255"/>
      <c r="CD127" s="255"/>
      <c r="CE127" s="255"/>
      <c r="CF127" s="255"/>
      <c r="CG127" s="255"/>
      <c r="CH127" s="255"/>
      <c r="CI127" s="255"/>
      <c r="CJ127" s="255"/>
      <c r="CK127" s="255"/>
      <c r="CL127" s="255"/>
      <c r="CM127" s="255"/>
      <c r="CN127" s="255"/>
      <c r="CO127" s="255"/>
      <c r="CP127" s="255"/>
      <c r="CQ127" s="255"/>
      <c r="CR127" s="255"/>
      <c r="CS127" s="255"/>
      <c r="CT127" s="255"/>
      <c r="CU127" s="255"/>
      <c r="CV127" s="255"/>
      <c r="CW127" s="255"/>
      <c r="CX127" s="255"/>
      <c r="CY127" s="255"/>
      <c r="CZ127" s="255"/>
      <c r="DA127" s="255"/>
      <c r="DB127" s="255"/>
      <c r="DC127" s="255"/>
      <c r="DD127" s="255"/>
      <c r="DE127" s="255"/>
      <c r="DF127" s="255"/>
      <c r="DG127" s="255"/>
      <c r="DH127" s="255"/>
      <c r="DI127" s="255"/>
      <c r="DJ127" s="255"/>
      <c r="DK127" s="255"/>
      <c r="DL127" s="255"/>
      <c r="DM127" s="255"/>
      <c r="DN127" s="255"/>
      <c r="DO127" s="255"/>
      <c r="DP127" s="255"/>
      <c r="DQ127" s="255"/>
      <c r="DR127" s="255"/>
      <c r="DS127" s="255"/>
      <c r="DT127" s="255"/>
      <c r="DU127" s="255"/>
      <c r="DV127" s="255"/>
      <c r="DW127" s="255"/>
      <c r="DX127" s="255"/>
      <c r="DY127" s="255"/>
      <c r="DZ127" s="255"/>
      <c r="EA127" s="255"/>
      <c r="EB127" s="255"/>
      <c r="EC127" s="255"/>
      <c r="ED127" s="255"/>
      <c r="EE127" s="255"/>
      <c r="EF127" s="255"/>
      <c r="EG127" s="255"/>
      <c r="EH127" s="255"/>
      <c r="EI127" s="255"/>
      <c r="EJ127" s="255"/>
      <c r="EK127" s="255"/>
      <c r="EL127" s="255"/>
      <c r="EM127" s="255"/>
      <c r="EN127" s="255"/>
      <c r="EO127" s="255"/>
      <c r="EP127" s="255"/>
      <c r="EQ127" s="255"/>
      <c r="ER127" s="255"/>
      <c r="ES127" s="255"/>
      <c r="ET127" s="255"/>
      <c r="EU127" s="255"/>
      <c r="EV127" s="255"/>
      <c r="EW127" s="255"/>
      <c r="EX127" s="255"/>
      <c r="EY127" s="255"/>
      <c r="EZ127" s="255"/>
      <c r="FA127" s="255"/>
      <c r="FB127" s="255"/>
      <c r="FC127" s="255"/>
      <c r="FD127" s="255"/>
      <c r="FE127" s="255"/>
      <c r="FF127" s="255"/>
      <c r="FG127" s="255"/>
      <c r="FH127" s="255"/>
      <c r="FI127" s="255"/>
      <c r="FJ127" s="255"/>
      <c r="FK127" s="255"/>
      <c r="FL127" s="255"/>
      <c r="FM127" s="255"/>
      <c r="FN127" s="255"/>
      <c r="FO127" s="255"/>
      <c r="FP127" s="255"/>
      <c r="FQ127" s="255"/>
      <c r="FR127" s="255"/>
      <c r="FS127" s="255"/>
      <c r="FT127" s="255"/>
      <c r="FU127" s="255"/>
      <c r="FV127" s="255"/>
      <c r="FW127" s="255"/>
      <c r="FX127" s="255"/>
      <c r="FY127" s="255"/>
      <c r="FZ127" s="255"/>
      <c r="GA127" s="255"/>
      <c r="GB127" s="255"/>
      <c r="GC127" s="255"/>
      <c r="GD127" s="255"/>
      <c r="GE127" s="255"/>
      <c r="GF127" s="255"/>
      <c r="GG127" s="255"/>
      <c r="GH127" s="255"/>
      <c r="GI127" s="255"/>
      <c r="GJ127" s="255"/>
      <c r="GK127" s="255"/>
      <c r="GL127" s="255"/>
      <c r="GM127" s="255"/>
      <c r="GN127" s="255"/>
      <c r="GO127" s="255"/>
      <c r="GP127" s="255"/>
      <c r="GQ127" s="255"/>
      <c r="GR127" s="255"/>
      <c r="GS127" s="255"/>
      <c r="GT127" s="255"/>
      <c r="GU127" s="255"/>
      <c r="GV127" s="255"/>
      <c r="GW127" s="255"/>
      <c r="GX127" s="255"/>
      <c r="GY127" s="255"/>
      <c r="GZ127" s="255"/>
      <c r="HA127" s="255"/>
      <c r="HB127" s="255"/>
      <c r="HC127" s="255"/>
      <c r="HD127" s="255"/>
      <c r="HE127" s="255"/>
      <c r="HF127" s="255"/>
      <c r="HG127" s="255"/>
      <c r="HH127" s="255"/>
      <c r="HI127" s="255"/>
      <c r="HJ127" s="255"/>
      <c r="HK127" s="255"/>
      <c r="HL127" s="255"/>
      <c r="HM127" s="255"/>
      <c r="HN127" s="255"/>
      <c r="HO127" s="255"/>
      <c r="HP127" s="255"/>
      <c r="HQ127" s="255"/>
      <c r="HR127" s="255"/>
      <c r="HS127" s="255"/>
      <c r="HT127" s="255"/>
      <c r="HU127" s="255"/>
      <c r="HV127" s="255"/>
      <c r="HW127" s="255"/>
      <c r="HX127" s="255"/>
      <c r="HY127" s="255"/>
      <c r="HZ127" s="255"/>
      <c r="IA127" s="255"/>
      <c r="IB127" s="255"/>
      <c r="IC127" s="255"/>
      <c r="ID127" s="255"/>
      <c r="IE127" s="255"/>
      <c r="IF127" s="255"/>
      <c r="IG127" s="255"/>
      <c r="IH127" s="255"/>
      <c r="II127" s="255"/>
      <c r="IJ127" s="255"/>
      <c r="IK127" s="255"/>
      <c r="IL127" s="255"/>
      <c r="IM127" s="255"/>
      <c r="IN127" s="255"/>
      <c r="IO127" s="255"/>
      <c r="IP127" s="255"/>
      <c r="IQ127" s="255"/>
      <c r="IR127" s="255"/>
      <c r="IS127" s="255"/>
      <c r="IT127" s="255"/>
      <c r="IU127" s="255"/>
      <c r="IV127" s="255"/>
      <c r="IW127" s="255"/>
      <c r="IX127" s="255"/>
      <c r="IY127" s="255"/>
      <c r="IZ127" s="255"/>
      <c r="JA127" s="255"/>
      <c r="JB127" s="255"/>
      <c r="JC127" s="255"/>
      <c r="JD127" s="255"/>
      <c r="JE127" s="255"/>
      <c r="JF127" s="255"/>
      <c r="JG127" s="255"/>
      <c r="JH127" s="255"/>
      <c r="JI127" s="255"/>
      <c r="JJ127" s="255"/>
      <c r="JK127" s="255"/>
      <c r="JL127" s="255"/>
      <c r="JM127" s="255"/>
      <c r="JN127" s="255"/>
      <c r="JO127" s="255"/>
      <c r="JP127" s="255"/>
      <c r="JQ127" s="255"/>
      <c r="JR127" s="255"/>
      <c r="JS127" s="255"/>
      <c r="JT127" s="255"/>
      <c r="JU127" s="255"/>
      <c r="JV127" s="255"/>
      <c r="JW127" s="255"/>
      <c r="JX127" s="255"/>
      <c r="JY127" s="255"/>
      <c r="JZ127" s="255"/>
      <c r="KA127" s="255"/>
      <c r="KB127" s="255"/>
      <c r="KC127" s="255"/>
      <c r="KD127" s="255"/>
      <c r="KE127" s="255"/>
      <c r="KF127" s="255"/>
      <c r="KG127" s="255"/>
      <c r="KH127" s="255"/>
      <c r="KI127" s="255"/>
      <c r="KJ127" s="255"/>
      <c r="KK127" s="255"/>
      <c r="KL127" s="255"/>
      <c r="KM127" s="255"/>
      <c r="KN127" s="255"/>
      <c r="KO127" s="255"/>
      <c r="KP127" s="255"/>
      <c r="KQ127" s="255"/>
      <c r="KR127" s="255"/>
      <c r="KS127" s="255"/>
      <c r="KT127" s="255"/>
      <c r="KU127" s="255"/>
      <c r="KV127" s="255"/>
      <c r="KW127" s="255"/>
      <c r="KX127" s="255"/>
      <c r="KY127" s="255"/>
      <c r="KZ127" s="255"/>
      <c r="LA127" s="255"/>
      <c r="LB127" s="255"/>
      <c r="LC127" s="255"/>
      <c r="LD127" s="255"/>
      <c r="LE127" s="255"/>
      <c r="LF127" s="255"/>
      <c r="LG127" s="255"/>
      <c r="LH127" s="255"/>
      <c r="LI127" s="255"/>
      <c r="LJ127" s="255"/>
      <c r="LK127" s="255"/>
      <c r="LL127" s="255"/>
      <c r="LM127" s="255"/>
      <c r="LN127" s="255"/>
      <c r="LO127" s="255"/>
      <c r="LP127" s="255"/>
      <c r="LQ127" s="255"/>
      <c r="LR127" s="255"/>
      <c r="LS127" s="255"/>
      <c r="LT127" s="255"/>
      <c r="LU127" s="255"/>
      <c r="LV127" s="255"/>
      <c r="LW127" s="255"/>
      <c r="LX127" s="255"/>
      <c r="LY127" s="255"/>
      <c r="LZ127" s="255"/>
      <c r="MA127" s="255"/>
      <c r="MB127" s="255"/>
      <c r="MC127" s="255"/>
      <c r="MD127" s="255"/>
      <c r="ME127" s="255"/>
      <c r="MF127" s="255"/>
      <c r="MG127" s="255"/>
      <c r="MH127" s="255"/>
      <c r="MI127" s="255"/>
      <c r="MJ127" s="255"/>
      <c r="MK127" s="255"/>
      <c r="ML127" s="255"/>
      <c r="MM127" s="255"/>
      <c r="MN127" s="255"/>
      <c r="MO127" s="255"/>
      <c r="MP127" s="255"/>
      <c r="MQ127" s="255"/>
      <c r="MR127" s="255"/>
      <c r="MS127" s="255"/>
      <c r="MT127" s="255"/>
      <c r="MU127" s="255"/>
      <c r="MV127" s="255"/>
      <c r="MW127" s="255"/>
      <c r="MX127" s="255"/>
      <c r="MY127" s="255"/>
      <c r="MZ127" s="255"/>
      <c r="NA127" s="255"/>
      <c r="NB127" s="255"/>
      <c r="NC127" s="255"/>
      <c r="ND127" s="255"/>
      <c r="NE127" s="255"/>
      <c r="NF127" s="255"/>
      <c r="NG127" s="255"/>
      <c r="NH127" s="255"/>
      <c r="NI127" s="255"/>
      <c r="NJ127" s="255"/>
      <c r="NK127" s="255"/>
      <c r="NL127" s="255"/>
      <c r="NM127" s="255"/>
      <c r="NN127" s="255"/>
      <c r="NO127" s="255"/>
      <c r="NP127" s="255"/>
      <c r="NQ127" s="255"/>
      <c r="NR127" s="255"/>
      <c r="NS127" s="255"/>
      <c r="NT127" s="255"/>
      <c r="NU127" s="255"/>
      <c r="NV127" s="255"/>
      <c r="NW127" s="255"/>
      <c r="NX127" s="255"/>
      <c r="NY127" s="255"/>
      <c r="NZ127" s="255"/>
      <c r="OA127" s="255"/>
      <c r="OB127" s="255"/>
      <c r="OC127" s="255"/>
      <c r="OD127" s="255"/>
      <c r="OE127" s="255"/>
      <c r="OF127" s="255"/>
      <c r="OG127" s="255"/>
      <c r="OH127" s="255"/>
      <c r="OI127" s="255"/>
      <c r="OJ127" s="255"/>
      <c r="OK127" s="255"/>
      <c r="OL127" s="255"/>
      <c r="OM127" s="255"/>
      <c r="ON127" s="255"/>
      <c r="OO127" s="255"/>
      <c r="OP127" s="255"/>
      <c r="OQ127" s="255"/>
      <c r="OR127" s="255"/>
      <c r="OS127" s="255"/>
      <c r="OT127" s="255"/>
      <c r="OU127" s="255"/>
      <c r="OV127" s="255"/>
      <c r="OW127" s="255"/>
      <c r="OX127" s="255"/>
      <c r="OY127" s="255"/>
      <c r="OZ127" s="255"/>
      <c r="PA127" s="255"/>
      <c r="PB127" s="255"/>
      <c r="PC127" s="255"/>
      <c r="PD127" s="255"/>
      <c r="PE127" s="255"/>
      <c r="PF127" s="255"/>
      <c r="PG127" s="255"/>
      <c r="PH127" s="255"/>
      <c r="PI127" s="255"/>
      <c r="PJ127" s="255"/>
      <c r="PK127" s="255"/>
      <c r="PL127" s="255"/>
      <c r="PM127" s="255"/>
      <c r="PN127" s="255"/>
      <c r="PO127" s="255"/>
      <c r="PP127" s="255"/>
      <c r="PQ127" s="255"/>
      <c r="PR127" s="255"/>
      <c r="PS127" s="255"/>
      <c r="PT127" s="255"/>
      <c r="PU127" s="255"/>
      <c r="PV127" s="255"/>
      <c r="PW127" s="255"/>
      <c r="PX127" s="255"/>
      <c r="PY127" s="255"/>
      <c r="PZ127" s="255"/>
      <c r="QA127" s="255"/>
      <c r="QB127" s="255"/>
      <c r="QC127" s="255"/>
      <c r="QD127" s="255"/>
      <c r="QE127" s="255"/>
      <c r="QF127" s="255"/>
      <c r="QG127" s="255"/>
      <c r="QH127" s="255"/>
      <c r="QI127" s="255"/>
      <c r="QJ127" s="255"/>
      <c r="QK127" s="255"/>
      <c r="QL127" s="255"/>
      <c r="QM127" s="255"/>
      <c r="QN127" s="255"/>
      <c r="QO127" s="255"/>
      <c r="QP127" s="255"/>
      <c r="QQ127" s="255"/>
      <c r="QR127" s="255"/>
      <c r="QS127" s="255"/>
      <c r="QT127" s="255"/>
      <c r="QU127" s="255"/>
      <c r="QV127" s="255"/>
      <c r="QW127" s="255"/>
      <c r="QX127" s="255"/>
      <c r="QY127" s="255"/>
      <c r="QZ127" s="255"/>
      <c r="RA127" s="255"/>
      <c r="RB127" s="255"/>
      <c r="RC127" s="255"/>
      <c r="RD127" s="255"/>
      <c r="RE127" s="255"/>
      <c r="RF127" s="255"/>
      <c r="RG127" s="255"/>
      <c r="RH127" s="255"/>
      <c r="RI127" s="255"/>
      <c r="RJ127" s="255"/>
      <c r="RK127" s="255"/>
      <c r="RL127" s="255"/>
      <c r="RM127" s="255"/>
      <c r="RN127" s="255"/>
      <c r="RO127" s="255"/>
      <c r="RP127" s="255"/>
      <c r="RQ127" s="255"/>
      <c r="RR127" s="255"/>
      <c r="RS127" s="255"/>
      <c r="RT127" s="255"/>
      <c r="RU127" s="255"/>
      <c r="RV127" s="255"/>
      <c r="RW127" s="255"/>
      <c r="RX127" s="255"/>
      <c r="RY127" s="255"/>
      <c r="RZ127" s="255"/>
      <c r="SA127" s="255"/>
      <c r="SB127" s="255"/>
      <c r="SC127" s="255"/>
      <c r="SD127" s="255"/>
      <c r="SE127" s="255"/>
      <c r="SF127" s="255"/>
      <c r="SG127" s="255"/>
      <c r="SH127" s="255"/>
      <c r="SI127" s="255"/>
      <c r="SJ127" s="255"/>
      <c r="SK127" s="255"/>
      <c r="SL127" s="255"/>
      <c r="SM127" s="255"/>
      <c r="SN127" s="255"/>
      <c r="SO127" s="255"/>
      <c r="SP127" s="255"/>
      <c r="SQ127" s="255"/>
      <c r="SR127" s="255"/>
      <c r="SS127" s="255"/>
      <c r="ST127" s="255"/>
      <c r="SU127" s="255"/>
      <c r="SV127" s="255"/>
      <c r="SW127" s="255"/>
      <c r="SX127" s="255"/>
      <c r="SY127" s="255"/>
      <c r="SZ127" s="255"/>
      <c r="TA127" s="255"/>
      <c r="TB127" s="255"/>
      <c r="TC127" s="255"/>
      <c r="TD127" s="255"/>
      <c r="TE127" s="255"/>
      <c r="TF127" s="255"/>
      <c r="TG127" s="255"/>
      <c r="TH127" s="255"/>
      <c r="TI127" s="255"/>
      <c r="TJ127" s="255"/>
      <c r="TK127" s="255"/>
      <c r="TL127" s="255"/>
      <c r="TM127" s="255"/>
      <c r="TN127" s="255"/>
      <c r="TO127" s="255"/>
      <c r="TP127" s="255"/>
      <c r="TQ127" s="255"/>
      <c r="TR127" s="255"/>
      <c r="TS127" s="255"/>
      <c r="TT127" s="255"/>
      <c r="TU127" s="255"/>
      <c r="TV127" s="255"/>
      <c r="TW127" s="255"/>
      <c r="TX127" s="255"/>
      <c r="TY127" s="255"/>
      <c r="TZ127" s="255"/>
      <c r="UA127" s="255"/>
      <c r="UB127" s="255"/>
      <c r="UC127" s="255"/>
      <c r="UD127" s="255"/>
      <c r="UE127" s="255"/>
      <c r="UF127" s="255"/>
      <c r="UG127" s="255"/>
      <c r="UH127" s="255"/>
      <c r="UI127" s="255"/>
      <c r="UJ127" s="255"/>
      <c r="UK127" s="255"/>
      <c r="UL127" s="255"/>
      <c r="UM127" s="255"/>
      <c r="UN127" s="255"/>
      <c r="UO127" s="255"/>
      <c r="UP127" s="255"/>
      <c r="UQ127" s="255"/>
      <c r="UR127" s="255"/>
      <c r="US127" s="255"/>
      <c r="UT127" s="255"/>
      <c r="UU127" s="255"/>
      <c r="UV127" s="255"/>
      <c r="UW127" s="255"/>
      <c r="UX127" s="255"/>
      <c r="UY127" s="255"/>
      <c r="UZ127" s="255"/>
      <c r="VA127" s="255"/>
      <c r="VB127" s="255"/>
      <c r="VC127" s="255"/>
      <c r="VD127" s="255"/>
      <c r="VE127" s="255"/>
      <c r="VF127" s="255"/>
      <c r="VG127" s="255"/>
      <c r="VH127" s="255"/>
      <c r="VI127" s="255"/>
      <c r="VJ127" s="255"/>
      <c r="VK127" s="255"/>
      <c r="VL127" s="255"/>
      <c r="VM127" s="255"/>
      <c r="VN127" s="255"/>
      <c r="VO127" s="255"/>
      <c r="VP127" s="255"/>
      <c r="VQ127" s="255"/>
      <c r="VR127" s="255"/>
      <c r="VS127" s="255"/>
      <c r="VT127" s="255"/>
      <c r="VU127" s="255"/>
      <c r="VV127" s="255"/>
      <c r="VW127" s="255"/>
      <c r="VX127" s="255"/>
      <c r="VY127" s="255"/>
      <c r="VZ127" s="255"/>
      <c r="WA127" s="255"/>
      <c r="WB127" s="255"/>
      <c r="WC127" s="255"/>
      <c r="WD127" s="255"/>
      <c r="WE127" s="255"/>
      <c r="WF127" s="255"/>
      <c r="WG127" s="255"/>
      <c r="WH127" s="255"/>
      <c r="WI127" s="255"/>
      <c r="WJ127" s="255"/>
      <c r="WK127" s="255"/>
      <c r="WL127" s="255"/>
      <c r="WM127" s="255"/>
      <c r="WN127" s="255"/>
      <c r="WO127" s="255"/>
      <c r="WP127" s="255"/>
      <c r="WQ127" s="255"/>
      <c r="WR127" s="255"/>
      <c r="WS127" s="255"/>
      <c r="WT127" s="255"/>
      <c r="WU127" s="255"/>
      <c r="WV127" s="255"/>
      <c r="WW127" s="255"/>
      <c r="WX127" s="255"/>
      <c r="WY127" s="255"/>
      <c r="WZ127" s="255"/>
      <c r="XA127" s="255"/>
      <c r="XB127" s="255"/>
      <c r="XC127" s="255"/>
      <c r="XD127" s="255"/>
      <c r="XE127" s="255"/>
      <c r="XF127" s="255"/>
      <c r="XG127" s="255"/>
      <c r="XH127" s="255"/>
      <c r="XI127" s="255"/>
      <c r="XJ127" s="255"/>
      <c r="XK127" s="255"/>
      <c r="XL127" s="255"/>
      <c r="XM127" s="255"/>
      <c r="XN127" s="255"/>
      <c r="XO127" s="255"/>
      <c r="XP127" s="255"/>
      <c r="XQ127" s="255"/>
      <c r="XR127" s="255"/>
      <c r="XS127" s="255"/>
      <c r="XT127" s="255"/>
      <c r="XU127" s="255"/>
      <c r="XV127" s="255"/>
      <c r="XW127" s="255"/>
      <c r="XX127" s="255"/>
      <c r="XY127" s="255"/>
      <c r="XZ127" s="255"/>
      <c r="YA127" s="255"/>
      <c r="YB127" s="255"/>
      <c r="YC127" s="255"/>
      <c r="YD127" s="255"/>
      <c r="YE127" s="255"/>
      <c r="YF127" s="255"/>
      <c r="YG127" s="255"/>
      <c r="YH127" s="255"/>
      <c r="YI127" s="255"/>
      <c r="YJ127" s="255"/>
      <c r="YK127" s="255"/>
      <c r="YL127" s="255"/>
      <c r="YM127" s="255"/>
      <c r="YN127" s="255"/>
      <c r="YO127" s="255"/>
      <c r="YP127" s="255"/>
      <c r="YQ127" s="255"/>
      <c r="YR127" s="255"/>
      <c r="YS127" s="255"/>
      <c r="YT127" s="255"/>
      <c r="YU127" s="255"/>
      <c r="YV127" s="255"/>
      <c r="YW127" s="255"/>
      <c r="YX127" s="255"/>
      <c r="YY127" s="255"/>
      <c r="YZ127" s="255"/>
      <c r="ZA127" s="255"/>
      <c r="ZB127" s="255"/>
      <c r="ZC127" s="255"/>
      <c r="ZD127" s="255"/>
      <c r="ZE127" s="255"/>
      <c r="ZF127" s="255"/>
      <c r="ZG127" s="255"/>
      <c r="ZH127" s="255"/>
      <c r="ZI127" s="255"/>
      <c r="ZJ127" s="255"/>
      <c r="ZK127" s="255"/>
      <c r="ZL127" s="255"/>
      <c r="ZM127" s="255"/>
      <c r="ZN127" s="255"/>
      <c r="ZO127" s="255"/>
      <c r="ZP127" s="255"/>
      <c r="ZQ127" s="255"/>
      <c r="ZR127" s="255"/>
      <c r="ZS127" s="255"/>
      <c r="ZT127" s="255"/>
      <c r="ZU127" s="255"/>
      <c r="ZV127" s="255"/>
      <c r="ZW127" s="255"/>
      <c r="ZX127" s="255"/>
      <c r="ZY127" s="255"/>
      <c r="ZZ127" s="255"/>
      <c r="AAA127" s="255"/>
      <c r="AAB127" s="255"/>
      <c r="AAC127" s="255"/>
      <c r="AAD127" s="255"/>
      <c r="AAE127" s="255"/>
      <c r="AAF127" s="255"/>
      <c r="AAG127" s="255"/>
      <c r="AAH127" s="255"/>
      <c r="AAI127" s="255"/>
      <c r="AAJ127" s="255"/>
      <c r="AAK127" s="255"/>
      <c r="AAL127" s="255"/>
      <c r="AAM127" s="255"/>
      <c r="AAN127" s="255"/>
      <c r="AAO127" s="255"/>
      <c r="AAP127" s="255"/>
      <c r="AAQ127" s="255"/>
      <c r="AAR127" s="255"/>
      <c r="AAS127" s="255"/>
      <c r="AAT127" s="255"/>
      <c r="AAU127" s="255"/>
      <c r="AAV127" s="255"/>
      <c r="AAW127" s="255"/>
      <c r="AAX127" s="255"/>
      <c r="AAY127" s="255"/>
      <c r="AAZ127" s="255"/>
      <c r="ABA127" s="255"/>
      <c r="ABB127" s="255"/>
      <c r="ABC127" s="255"/>
      <c r="ABD127" s="255"/>
      <c r="ABE127" s="255"/>
      <c r="ABF127" s="255"/>
      <c r="ABG127" s="255"/>
      <c r="ABH127" s="255"/>
      <c r="ABI127" s="255"/>
      <c r="ABJ127" s="255"/>
      <c r="ABK127" s="255"/>
      <c r="ABL127" s="255"/>
      <c r="ABM127" s="255"/>
      <c r="ABN127" s="255"/>
      <c r="ABO127" s="255"/>
      <c r="ABP127" s="255"/>
      <c r="ABQ127" s="255"/>
      <c r="ABR127" s="255"/>
      <c r="ABS127" s="255"/>
      <c r="ABT127" s="255"/>
      <c r="ABU127" s="255"/>
      <c r="ABV127" s="255"/>
      <c r="ABW127" s="255"/>
      <c r="ABX127" s="255"/>
      <c r="ABY127" s="255"/>
      <c r="ABZ127" s="255"/>
      <c r="ACA127" s="255"/>
      <c r="ACB127" s="255"/>
      <c r="ACC127" s="255"/>
      <c r="ACD127" s="255"/>
      <c r="ACE127" s="255"/>
      <c r="ACF127" s="255"/>
      <c r="ACG127" s="255"/>
      <c r="ACH127" s="255"/>
      <c r="ACI127" s="255"/>
      <c r="ACJ127" s="255"/>
      <c r="ACK127" s="255"/>
      <c r="ACL127" s="255"/>
      <c r="ACM127" s="255"/>
      <c r="ACN127" s="255"/>
      <c r="ACO127" s="255"/>
      <c r="ACP127" s="255"/>
      <c r="ACQ127" s="255"/>
      <c r="ACR127" s="255"/>
      <c r="ACS127" s="255"/>
      <c r="ACT127" s="255"/>
      <c r="ACU127" s="255"/>
      <c r="ACV127" s="255"/>
      <c r="ACW127" s="255"/>
      <c r="ACX127" s="255"/>
      <c r="ACY127" s="255"/>
      <c r="ACZ127" s="255"/>
      <c r="ADA127" s="255"/>
      <c r="ADB127" s="255"/>
      <c r="ADC127" s="255"/>
      <c r="ADD127" s="255"/>
      <c r="ADE127" s="255"/>
      <c r="ADF127" s="255"/>
      <c r="ADG127" s="255"/>
      <c r="ADH127" s="255"/>
      <c r="ADI127" s="255"/>
      <c r="ADJ127" s="255"/>
      <c r="ADK127" s="255"/>
      <c r="ADL127" s="255"/>
      <c r="ADM127" s="255"/>
      <c r="ADN127" s="255"/>
      <c r="ADO127" s="255"/>
      <c r="ADP127" s="255"/>
      <c r="ADQ127" s="255"/>
      <c r="ADR127" s="255"/>
      <c r="ADS127" s="255"/>
      <c r="ADT127" s="255"/>
      <c r="ADU127" s="255"/>
      <c r="ADV127" s="255"/>
      <c r="ADW127" s="255"/>
      <c r="ADX127" s="255"/>
      <c r="ADY127" s="255"/>
      <c r="ADZ127" s="255"/>
      <c r="AEA127" s="255"/>
      <c r="AEB127" s="255"/>
      <c r="AEC127" s="255"/>
      <c r="AED127" s="255"/>
      <c r="AEE127" s="255"/>
      <c r="AEF127" s="255"/>
      <c r="AEG127" s="255"/>
      <c r="AEH127" s="255"/>
      <c r="AEI127" s="255"/>
      <c r="AEJ127" s="255"/>
      <c r="AEK127" s="255"/>
      <c r="AEL127" s="255"/>
      <c r="AEM127" s="255"/>
      <c r="AEN127" s="255"/>
      <c r="AEO127" s="255"/>
      <c r="AEP127" s="255"/>
      <c r="AEQ127" s="255"/>
      <c r="AER127" s="255"/>
      <c r="AES127" s="255"/>
      <c r="AET127" s="255"/>
      <c r="AEU127" s="255"/>
      <c r="AEV127" s="255"/>
      <c r="AEW127" s="255"/>
      <c r="AEX127" s="255"/>
      <c r="AEY127" s="255"/>
      <c r="AEZ127" s="255"/>
      <c r="AFA127" s="255"/>
      <c r="AFB127" s="255"/>
      <c r="AFC127" s="255"/>
      <c r="AFD127" s="255"/>
      <c r="AFE127" s="255"/>
      <c r="AFF127" s="255"/>
      <c r="AFG127" s="255"/>
      <c r="AFH127" s="255"/>
      <c r="AFI127" s="255"/>
      <c r="AFJ127" s="255"/>
      <c r="AFK127" s="255"/>
      <c r="AFL127" s="255"/>
      <c r="AFM127" s="255"/>
      <c r="AFN127" s="255"/>
      <c r="AFO127" s="255"/>
      <c r="AFP127" s="255"/>
      <c r="AFQ127" s="255"/>
      <c r="AFR127" s="255"/>
      <c r="AFS127" s="255"/>
      <c r="AFT127" s="255"/>
      <c r="AFU127" s="255"/>
      <c r="AFV127" s="255"/>
      <c r="AFW127" s="255"/>
      <c r="AFX127" s="255"/>
      <c r="AFY127" s="255"/>
      <c r="AFZ127" s="255"/>
      <c r="AGA127" s="255"/>
      <c r="AGB127" s="255"/>
      <c r="AGC127" s="255"/>
      <c r="AGD127" s="255"/>
      <c r="AGE127" s="255"/>
      <c r="AGF127" s="255"/>
      <c r="AGG127" s="255"/>
      <c r="AGH127" s="255"/>
      <c r="AGI127" s="255"/>
      <c r="AGJ127" s="255"/>
      <c r="AGK127" s="255"/>
      <c r="AGL127" s="255"/>
      <c r="AGM127" s="255"/>
      <c r="AGN127" s="255"/>
      <c r="AGO127" s="255"/>
      <c r="AGP127" s="255"/>
      <c r="AGQ127" s="255"/>
      <c r="AGR127" s="255"/>
      <c r="AGS127" s="255"/>
      <c r="AGT127" s="255"/>
      <c r="AGU127" s="255"/>
      <c r="AGV127" s="255"/>
      <c r="AGW127" s="255"/>
      <c r="AGX127" s="255"/>
      <c r="AGY127" s="255"/>
      <c r="AGZ127" s="255"/>
      <c r="AHA127" s="255"/>
      <c r="AHB127" s="255"/>
      <c r="AHC127" s="255"/>
      <c r="AHD127" s="255"/>
      <c r="AHE127" s="255"/>
      <c r="AHF127" s="255"/>
      <c r="AHG127" s="255"/>
      <c r="AHH127" s="255"/>
      <c r="AHI127" s="255"/>
      <c r="AHJ127" s="255"/>
      <c r="AHK127" s="255"/>
      <c r="AHL127" s="255"/>
      <c r="AHM127" s="255"/>
      <c r="AHN127" s="255"/>
      <c r="AHO127" s="255"/>
      <c r="AHP127" s="255"/>
      <c r="AHQ127" s="255"/>
      <c r="AHR127" s="255"/>
      <c r="AHS127" s="255"/>
      <c r="AHT127" s="255"/>
      <c r="AHU127" s="255"/>
      <c r="AHV127" s="255"/>
      <c r="AHW127" s="255"/>
      <c r="AHX127" s="255"/>
      <c r="AHY127" s="255"/>
      <c r="AHZ127" s="255"/>
      <c r="AIA127" s="255"/>
      <c r="AIB127" s="255"/>
      <c r="AIC127" s="255"/>
      <c r="AID127" s="255"/>
      <c r="AIE127" s="255"/>
      <c r="AIF127" s="255"/>
      <c r="AIG127" s="255"/>
      <c r="AIH127" s="255"/>
      <c r="AII127" s="255"/>
      <c r="AIJ127" s="255"/>
      <c r="AIK127" s="255"/>
      <c r="AIL127" s="255"/>
      <c r="AIM127" s="255"/>
      <c r="AIN127" s="255"/>
      <c r="AIO127" s="255"/>
      <c r="AIP127" s="255"/>
      <c r="AIQ127" s="255"/>
      <c r="AIR127" s="255"/>
      <c r="AIS127" s="255"/>
      <c r="AIT127" s="255"/>
      <c r="AIU127" s="255"/>
      <c r="AIV127" s="255"/>
      <c r="AIW127" s="255"/>
      <c r="AIX127" s="255"/>
      <c r="AIY127" s="255"/>
      <c r="AIZ127" s="255"/>
      <c r="AJA127" s="255"/>
      <c r="AJB127" s="255"/>
      <c r="AJC127" s="255"/>
      <c r="AJD127" s="255"/>
      <c r="AJE127" s="255"/>
      <c r="AJF127" s="255"/>
      <c r="AJG127" s="255"/>
      <c r="AJH127" s="255"/>
      <c r="AJI127" s="255"/>
      <c r="AJJ127" s="255"/>
      <c r="AJK127" s="255"/>
      <c r="AJL127" s="255"/>
      <c r="AJM127" s="255"/>
      <c r="AJN127" s="255"/>
      <c r="AJO127" s="255"/>
      <c r="AJP127" s="255"/>
      <c r="AJQ127" s="255"/>
      <c r="AJR127" s="255"/>
      <c r="AJS127" s="255"/>
      <c r="AJT127" s="255"/>
      <c r="AJU127" s="255"/>
      <c r="AJV127" s="255"/>
      <c r="AJW127" s="255"/>
      <c r="AJX127" s="255"/>
      <c r="AJY127" s="255"/>
      <c r="AJZ127" s="255"/>
      <c r="AKA127" s="255"/>
      <c r="AKB127" s="255"/>
      <c r="AKC127" s="255"/>
      <c r="AKD127" s="255"/>
      <c r="AKE127" s="255"/>
      <c r="AKF127" s="255"/>
      <c r="AKG127" s="255"/>
      <c r="AKH127" s="255"/>
      <c r="AKI127" s="255"/>
      <c r="AKJ127" s="255"/>
      <c r="AKK127" s="255"/>
      <c r="AKL127" s="255"/>
      <c r="AKM127" s="255"/>
      <c r="AKN127" s="255"/>
      <c r="AKO127" s="255"/>
      <c r="AKP127" s="255"/>
      <c r="AKQ127" s="255"/>
      <c r="AKR127" s="255"/>
      <c r="AKS127" s="255"/>
      <c r="AKT127" s="255"/>
      <c r="AKU127" s="255"/>
      <c r="AKV127" s="255"/>
      <c r="AKW127" s="255"/>
      <c r="AKX127" s="255"/>
      <c r="AKY127" s="255"/>
      <c r="AKZ127" s="255"/>
      <c r="ALA127" s="255"/>
      <c r="ALB127" s="255"/>
      <c r="ALC127" s="255"/>
      <c r="ALD127" s="255"/>
      <c r="ALE127" s="42"/>
      <c r="ALF127" s="42"/>
      <c r="ALG127" s="42"/>
      <c r="ALH127" s="42"/>
      <c r="ALI127" s="42"/>
      <c r="ALJ127" s="42"/>
      <c r="ALK127" s="42"/>
      <c r="ALL127" s="42"/>
      <c r="ALM127" s="42"/>
    </row>
    <row r="128" spans="1:1001" s="191" customFormat="1" ht="12.75" customHeight="1">
      <c r="A128" s="680" t="s">
        <v>7103</v>
      </c>
      <c r="B128" s="680"/>
      <c r="C128" s="680"/>
      <c r="D128" s="680"/>
      <c r="E128" s="680"/>
      <c r="F128" s="680"/>
      <c r="G128" s="680"/>
      <c r="H128" s="680"/>
      <c r="I128" s="680"/>
      <c r="J128" s="577">
        <f>SUMPRODUCT($E$11:$E$125,$G$11:$G$125)+SUMPRODUCT($E$11:$E$125,$H$11:$H$125)</f>
        <v>172943.57482117234</v>
      </c>
      <c r="K128" s="255"/>
      <c r="L128" s="255"/>
      <c r="M128" s="255"/>
      <c r="N128" s="255"/>
      <c r="O128" s="255"/>
      <c r="P128" s="255"/>
      <c r="Q128" s="255"/>
      <c r="R128" s="255"/>
      <c r="S128" s="255"/>
      <c r="T128" s="255"/>
      <c r="U128" s="255"/>
      <c r="V128" s="255"/>
      <c r="W128" s="255"/>
      <c r="X128" s="255"/>
      <c r="Y128" s="255"/>
      <c r="Z128" s="255"/>
      <c r="AA128" s="255"/>
      <c r="AB128" s="255"/>
      <c r="AC128" s="255"/>
      <c r="AD128" s="255"/>
      <c r="AE128" s="255"/>
      <c r="AF128" s="255"/>
      <c r="AG128" s="255"/>
      <c r="AH128" s="255"/>
      <c r="AI128" s="255"/>
      <c r="AJ128" s="255"/>
      <c r="AK128" s="255"/>
      <c r="AL128" s="255"/>
      <c r="AM128" s="255"/>
      <c r="AN128" s="255"/>
      <c r="AO128" s="255"/>
      <c r="AP128" s="255"/>
      <c r="AQ128" s="255"/>
      <c r="AR128" s="255"/>
      <c r="AS128" s="255"/>
      <c r="AT128" s="255"/>
      <c r="AU128" s="255"/>
      <c r="AV128" s="255"/>
      <c r="AW128" s="255"/>
      <c r="AX128" s="255"/>
      <c r="AY128" s="255"/>
      <c r="AZ128" s="255"/>
      <c r="BA128" s="255"/>
      <c r="BB128" s="255"/>
      <c r="BC128" s="255"/>
      <c r="BD128" s="255"/>
      <c r="BE128" s="255"/>
      <c r="BF128" s="255"/>
      <c r="BG128" s="255"/>
      <c r="BH128" s="255"/>
      <c r="BI128" s="255"/>
      <c r="BJ128" s="255"/>
      <c r="BK128" s="255"/>
      <c r="BL128" s="255"/>
      <c r="BM128" s="255"/>
      <c r="BN128" s="255"/>
      <c r="BO128" s="255"/>
      <c r="BP128" s="255"/>
      <c r="BQ128" s="255"/>
      <c r="BR128" s="255"/>
      <c r="BS128" s="255"/>
      <c r="BT128" s="255"/>
      <c r="BU128" s="255"/>
      <c r="BV128" s="255"/>
      <c r="BW128" s="255"/>
      <c r="BX128" s="255"/>
      <c r="BY128" s="255"/>
      <c r="BZ128" s="255"/>
      <c r="CA128" s="255"/>
      <c r="CB128" s="255"/>
      <c r="CC128" s="255"/>
      <c r="CD128" s="255"/>
      <c r="CE128" s="255"/>
      <c r="CF128" s="255"/>
      <c r="CG128" s="255"/>
      <c r="CH128" s="255"/>
      <c r="CI128" s="255"/>
      <c r="CJ128" s="255"/>
      <c r="CK128" s="255"/>
      <c r="CL128" s="255"/>
      <c r="CM128" s="255"/>
      <c r="CN128" s="255"/>
      <c r="CO128" s="255"/>
      <c r="CP128" s="255"/>
      <c r="CQ128" s="255"/>
      <c r="CR128" s="255"/>
      <c r="CS128" s="255"/>
      <c r="CT128" s="255"/>
      <c r="CU128" s="255"/>
      <c r="CV128" s="255"/>
      <c r="CW128" s="255"/>
      <c r="CX128" s="255"/>
      <c r="CY128" s="255"/>
      <c r="CZ128" s="255"/>
      <c r="DA128" s="255"/>
      <c r="DB128" s="255"/>
      <c r="DC128" s="255"/>
      <c r="DD128" s="255"/>
      <c r="DE128" s="255"/>
      <c r="DF128" s="255"/>
      <c r="DG128" s="255"/>
      <c r="DH128" s="255"/>
      <c r="DI128" s="255"/>
      <c r="DJ128" s="255"/>
      <c r="DK128" s="255"/>
      <c r="DL128" s="255"/>
      <c r="DM128" s="255"/>
      <c r="DN128" s="255"/>
      <c r="DO128" s="255"/>
      <c r="DP128" s="255"/>
      <c r="DQ128" s="255"/>
      <c r="DR128" s="255"/>
      <c r="DS128" s="255"/>
      <c r="DT128" s="255"/>
      <c r="DU128" s="255"/>
      <c r="DV128" s="255"/>
      <c r="DW128" s="255"/>
      <c r="DX128" s="255"/>
      <c r="DY128" s="255"/>
      <c r="DZ128" s="255"/>
      <c r="EA128" s="255"/>
      <c r="EB128" s="255"/>
      <c r="EC128" s="255"/>
      <c r="ED128" s="255"/>
      <c r="EE128" s="255"/>
      <c r="EF128" s="255"/>
      <c r="EG128" s="255"/>
      <c r="EH128" s="255"/>
      <c r="EI128" s="255"/>
      <c r="EJ128" s="255"/>
      <c r="EK128" s="255"/>
      <c r="EL128" s="255"/>
      <c r="EM128" s="255"/>
      <c r="EN128" s="255"/>
      <c r="EO128" s="255"/>
      <c r="EP128" s="255"/>
      <c r="EQ128" s="255"/>
      <c r="ER128" s="255"/>
      <c r="ES128" s="255"/>
      <c r="ET128" s="255"/>
      <c r="EU128" s="255"/>
      <c r="EV128" s="255"/>
      <c r="EW128" s="255"/>
      <c r="EX128" s="255"/>
      <c r="EY128" s="255"/>
      <c r="EZ128" s="255"/>
      <c r="FA128" s="255"/>
      <c r="FB128" s="255"/>
      <c r="FC128" s="255"/>
      <c r="FD128" s="255"/>
      <c r="FE128" s="255"/>
      <c r="FF128" s="255"/>
      <c r="FG128" s="255"/>
      <c r="FH128" s="255"/>
      <c r="FI128" s="255"/>
      <c r="FJ128" s="255"/>
      <c r="FK128" s="255"/>
      <c r="FL128" s="255"/>
      <c r="FM128" s="255"/>
      <c r="FN128" s="255"/>
      <c r="FO128" s="255"/>
      <c r="FP128" s="255"/>
      <c r="FQ128" s="255"/>
      <c r="FR128" s="255"/>
      <c r="FS128" s="255"/>
      <c r="FT128" s="255"/>
      <c r="FU128" s="255"/>
      <c r="FV128" s="255"/>
      <c r="FW128" s="255"/>
      <c r="FX128" s="255"/>
      <c r="FY128" s="255"/>
      <c r="FZ128" s="255"/>
      <c r="GA128" s="255"/>
      <c r="GB128" s="255"/>
      <c r="GC128" s="255"/>
      <c r="GD128" s="255"/>
      <c r="GE128" s="255"/>
      <c r="GF128" s="255"/>
      <c r="GG128" s="255"/>
      <c r="GH128" s="255"/>
      <c r="GI128" s="255"/>
      <c r="GJ128" s="255"/>
      <c r="GK128" s="255"/>
      <c r="GL128" s="255"/>
      <c r="GM128" s="255"/>
      <c r="GN128" s="255"/>
      <c r="GO128" s="255"/>
      <c r="GP128" s="255"/>
      <c r="GQ128" s="255"/>
      <c r="GR128" s="255"/>
      <c r="GS128" s="255"/>
      <c r="GT128" s="255"/>
      <c r="GU128" s="255"/>
      <c r="GV128" s="255"/>
      <c r="GW128" s="255"/>
      <c r="GX128" s="255"/>
      <c r="GY128" s="255"/>
      <c r="GZ128" s="255"/>
      <c r="HA128" s="255"/>
      <c r="HB128" s="255"/>
      <c r="HC128" s="255"/>
      <c r="HD128" s="255"/>
      <c r="HE128" s="255"/>
      <c r="HF128" s="255"/>
      <c r="HG128" s="255"/>
      <c r="HH128" s="255"/>
      <c r="HI128" s="255"/>
      <c r="HJ128" s="255"/>
      <c r="HK128" s="255"/>
      <c r="HL128" s="255"/>
      <c r="HM128" s="255"/>
      <c r="HN128" s="255"/>
      <c r="HO128" s="255"/>
      <c r="HP128" s="255"/>
      <c r="HQ128" s="255"/>
      <c r="HR128" s="255"/>
      <c r="HS128" s="255"/>
      <c r="HT128" s="255"/>
      <c r="HU128" s="255"/>
      <c r="HV128" s="255"/>
      <c r="HW128" s="255"/>
      <c r="HX128" s="255"/>
      <c r="HY128" s="255"/>
      <c r="HZ128" s="255"/>
      <c r="IA128" s="255"/>
      <c r="IB128" s="255"/>
      <c r="IC128" s="255"/>
      <c r="ID128" s="255"/>
      <c r="IE128" s="255"/>
      <c r="IF128" s="255"/>
      <c r="IG128" s="255"/>
      <c r="IH128" s="255"/>
      <c r="II128" s="255"/>
      <c r="IJ128" s="255"/>
      <c r="IK128" s="255"/>
      <c r="IL128" s="255"/>
      <c r="IM128" s="255"/>
      <c r="IN128" s="255"/>
      <c r="IO128" s="255"/>
      <c r="IP128" s="255"/>
      <c r="IQ128" s="255"/>
      <c r="IR128" s="255"/>
      <c r="IS128" s="255"/>
      <c r="IT128" s="255"/>
      <c r="IU128" s="255"/>
      <c r="IV128" s="255"/>
      <c r="IW128" s="255"/>
      <c r="IX128" s="255"/>
      <c r="IY128" s="255"/>
      <c r="IZ128" s="255"/>
      <c r="JA128" s="255"/>
      <c r="JB128" s="255"/>
      <c r="JC128" s="255"/>
      <c r="JD128" s="255"/>
      <c r="JE128" s="255"/>
      <c r="JF128" s="255"/>
      <c r="JG128" s="255"/>
      <c r="JH128" s="255"/>
      <c r="JI128" s="255"/>
      <c r="JJ128" s="255"/>
      <c r="JK128" s="255"/>
      <c r="JL128" s="255"/>
      <c r="JM128" s="255"/>
      <c r="JN128" s="255"/>
      <c r="JO128" s="255"/>
      <c r="JP128" s="255"/>
      <c r="JQ128" s="255"/>
      <c r="JR128" s="255"/>
      <c r="JS128" s="255"/>
      <c r="JT128" s="255"/>
      <c r="JU128" s="255"/>
      <c r="JV128" s="255"/>
      <c r="JW128" s="255"/>
      <c r="JX128" s="255"/>
      <c r="JY128" s="255"/>
      <c r="JZ128" s="255"/>
      <c r="KA128" s="255"/>
      <c r="KB128" s="255"/>
      <c r="KC128" s="255"/>
      <c r="KD128" s="255"/>
      <c r="KE128" s="255"/>
      <c r="KF128" s="255"/>
      <c r="KG128" s="255"/>
      <c r="KH128" s="255"/>
      <c r="KI128" s="255"/>
      <c r="KJ128" s="255"/>
      <c r="KK128" s="255"/>
      <c r="KL128" s="255"/>
      <c r="KM128" s="255"/>
      <c r="KN128" s="255"/>
      <c r="KO128" s="255"/>
      <c r="KP128" s="255"/>
      <c r="KQ128" s="255"/>
      <c r="KR128" s="255"/>
      <c r="KS128" s="255"/>
      <c r="KT128" s="255"/>
      <c r="KU128" s="255"/>
      <c r="KV128" s="255"/>
      <c r="KW128" s="255"/>
      <c r="KX128" s="255"/>
      <c r="KY128" s="255"/>
      <c r="KZ128" s="255"/>
      <c r="LA128" s="255"/>
      <c r="LB128" s="255"/>
      <c r="LC128" s="255"/>
      <c r="LD128" s="255"/>
      <c r="LE128" s="255"/>
      <c r="LF128" s="255"/>
      <c r="LG128" s="255"/>
      <c r="LH128" s="255"/>
      <c r="LI128" s="255"/>
      <c r="LJ128" s="255"/>
      <c r="LK128" s="255"/>
      <c r="LL128" s="255"/>
      <c r="LM128" s="255"/>
      <c r="LN128" s="255"/>
      <c r="LO128" s="255"/>
      <c r="LP128" s="255"/>
      <c r="LQ128" s="255"/>
      <c r="LR128" s="255"/>
      <c r="LS128" s="255"/>
      <c r="LT128" s="255"/>
      <c r="LU128" s="255"/>
      <c r="LV128" s="255"/>
      <c r="LW128" s="255"/>
      <c r="LX128" s="255"/>
      <c r="LY128" s="255"/>
      <c r="LZ128" s="255"/>
      <c r="MA128" s="255"/>
      <c r="MB128" s="255"/>
      <c r="MC128" s="255"/>
      <c r="MD128" s="255"/>
      <c r="ME128" s="255"/>
      <c r="MF128" s="255"/>
      <c r="MG128" s="255"/>
      <c r="MH128" s="255"/>
      <c r="MI128" s="255"/>
      <c r="MJ128" s="255"/>
      <c r="MK128" s="255"/>
      <c r="ML128" s="255"/>
      <c r="MM128" s="255"/>
      <c r="MN128" s="255"/>
      <c r="MO128" s="255"/>
      <c r="MP128" s="255"/>
      <c r="MQ128" s="255"/>
      <c r="MR128" s="255"/>
      <c r="MS128" s="255"/>
      <c r="MT128" s="255"/>
      <c r="MU128" s="255"/>
      <c r="MV128" s="255"/>
      <c r="MW128" s="255"/>
      <c r="MX128" s="255"/>
      <c r="MY128" s="255"/>
      <c r="MZ128" s="255"/>
      <c r="NA128" s="255"/>
      <c r="NB128" s="255"/>
      <c r="NC128" s="255"/>
      <c r="ND128" s="255"/>
      <c r="NE128" s="255"/>
      <c r="NF128" s="255"/>
      <c r="NG128" s="255"/>
      <c r="NH128" s="255"/>
      <c r="NI128" s="255"/>
      <c r="NJ128" s="255"/>
      <c r="NK128" s="255"/>
      <c r="NL128" s="255"/>
      <c r="NM128" s="255"/>
      <c r="NN128" s="255"/>
      <c r="NO128" s="255"/>
      <c r="NP128" s="255"/>
      <c r="NQ128" s="255"/>
      <c r="NR128" s="255"/>
      <c r="NS128" s="255"/>
      <c r="NT128" s="255"/>
      <c r="NU128" s="255"/>
      <c r="NV128" s="255"/>
      <c r="NW128" s="255"/>
      <c r="NX128" s="255"/>
      <c r="NY128" s="255"/>
      <c r="NZ128" s="255"/>
      <c r="OA128" s="255"/>
      <c r="OB128" s="255"/>
      <c r="OC128" s="255"/>
      <c r="OD128" s="255"/>
      <c r="OE128" s="255"/>
      <c r="OF128" s="255"/>
      <c r="OG128" s="255"/>
      <c r="OH128" s="255"/>
      <c r="OI128" s="255"/>
      <c r="OJ128" s="255"/>
      <c r="OK128" s="255"/>
      <c r="OL128" s="255"/>
      <c r="OM128" s="255"/>
      <c r="ON128" s="255"/>
      <c r="OO128" s="255"/>
      <c r="OP128" s="255"/>
      <c r="OQ128" s="255"/>
      <c r="OR128" s="255"/>
      <c r="OS128" s="255"/>
      <c r="OT128" s="255"/>
      <c r="OU128" s="255"/>
      <c r="OV128" s="255"/>
      <c r="OW128" s="255"/>
      <c r="OX128" s="255"/>
      <c r="OY128" s="255"/>
      <c r="OZ128" s="255"/>
      <c r="PA128" s="255"/>
      <c r="PB128" s="255"/>
      <c r="PC128" s="255"/>
      <c r="PD128" s="255"/>
      <c r="PE128" s="255"/>
      <c r="PF128" s="255"/>
      <c r="PG128" s="255"/>
      <c r="PH128" s="255"/>
      <c r="PI128" s="255"/>
      <c r="PJ128" s="255"/>
      <c r="PK128" s="255"/>
      <c r="PL128" s="255"/>
      <c r="PM128" s="255"/>
      <c r="PN128" s="255"/>
      <c r="PO128" s="255"/>
      <c r="PP128" s="255"/>
      <c r="PQ128" s="255"/>
      <c r="PR128" s="255"/>
      <c r="PS128" s="255"/>
      <c r="PT128" s="255"/>
      <c r="PU128" s="255"/>
      <c r="PV128" s="255"/>
      <c r="PW128" s="255"/>
      <c r="PX128" s="255"/>
      <c r="PY128" s="255"/>
      <c r="PZ128" s="255"/>
      <c r="QA128" s="255"/>
      <c r="QB128" s="255"/>
      <c r="QC128" s="255"/>
      <c r="QD128" s="255"/>
      <c r="QE128" s="255"/>
      <c r="QF128" s="255"/>
      <c r="QG128" s="255"/>
      <c r="QH128" s="255"/>
      <c r="QI128" s="255"/>
      <c r="QJ128" s="255"/>
      <c r="QK128" s="255"/>
      <c r="QL128" s="255"/>
      <c r="QM128" s="255"/>
      <c r="QN128" s="255"/>
      <c r="QO128" s="255"/>
      <c r="QP128" s="255"/>
      <c r="QQ128" s="255"/>
      <c r="QR128" s="255"/>
      <c r="QS128" s="255"/>
      <c r="QT128" s="255"/>
      <c r="QU128" s="255"/>
      <c r="QV128" s="255"/>
      <c r="QW128" s="255"/>
      <c r="QX128" s="255"/>
      <c r="QY128" s="255"/>
      <c r="QZ128" s="255"/>
      <c r="RA128" s="255"/>
      <c r="RB128" s="255"/>
      <c r="RC128" s="255"/>
      <c r="RD128" s="255"/>
      <c r="RE128" s="255"/>
      <c r="RF128" s="255"/>
      <c r="RG128" s="255"/>
      <c r="RH128" s="255"/>
      <c r="RI128" s="255"/>
      <c r="RJ128" s="255"/>
      <c r="RK128" s="255"/>
      <c r="RL128" s="255"/>
      <c r="RM128" s="255"/>
      <c r="RN128" s="255"/>
      <c r="RO128" s="255"/>
      <c r="RP128" s="255"/>
      <c r="RQ128" s="255"/>
      <c r="RR128" s="255"/>
      <c r="RS128" s="255"/>
      <c r="RT128" s="255"/>
      <c r="RU128" s="255"/>
      <c r="RV128" s="255"/>
      <c r="RW128" s="255"/>
      <c r="RX128" s="255"/>
      <c r="RY128" s="255"/>
      <c r="RZ128" s="255"/>
      <c r="SA128" s="255"/>
      <c r="SB128" s="255"/>
      <c r="SC128" s="255"/>
      <c r="SD128" s="255"/>
      <c r="SE128" s="255"/>
      <c r="SF128" s="255"/>
      <c r="SG128" s="255"/>
      <c r="SH128" s="255"/>
      <c r="SI128" s="255"/>
      <c r="SJ128" s="255"/>
      <c r="SK128" s="255"/>
      <c r="SL128" s="255"/>
      <c r="SM128" s="255"/>
      <c r="SN128" s="255"/>
      <c r="SO128" s="255"/>
      <c r="SP128" s="255"/>
      <c r="SQ128" s="255"/>
      <c r="SR128" s="255"/>
      <c r="SS128" s="255"/>
      <c r="ST128" s="255"/>
      <c r="SU128" s="255"/>
      <c r="SV128" s="255"/>
      <c r="SW128" s="255"/>
      <c r="SX128" s="255"/>
      <c r="SY128" s="255"/>
      <c r="SZ128" s="255"/>
      <c r="TA128" s="255"/>
      <c r="TB128" s="255"/>
      <c r="TC128" s="255"/>
      <c r="TD128" s="255"/>
      <c r="TE128" s="255"/>
      <c r="TF128" s="255"/>
      <c r="TG128" s="255"/>
      <c r="TH128" s="255"/>
      <c r="TI128" s="255"/>
      <c r="TJ128" s="255"/>
      <c r="TK128" s="255"/>
      <c r="TL128" s="255"/>
      <c r="TM128" s="255"/>
      <c r="TN128" s="255"/>
      <c r="TO128" s="255"/>
      <c r="TP128" s="255"/>
      <c r="TQ128" s="255"/>
      <c r="TR128" s="255"/>
      <c r="TS128" s="255"/>
      <c r="TT128" s="255"/>
      <c r="TU128" s="255"/>
      <c r="TV128" s="255"/>
      <c r="TW128" s="255"/>
      <c r="TX128" s="255"/>
      <c r="TY128" s="255"/>
      <c r="TZ128" s="255"/>
      <c r="UA128" s="255"/>
      <c r="UB128" s="255"/>
      <c r="UC128" s="255"/>
      <c r="UD128" s="255"/>
      <c r="UE128" s="255"/>
      <c r="UF128" s="255"/>
      <c r="UG128" s="255"/>
      <c r="UH128" s="255"/>
      <c r="UI128" s="255"/>
      <c r="UJ128" s="255"/>
      <c r="UK128" s="255"/>
      <c r="UL128" s="255"/>
      <c r="UM128" s="255"/>
      <c r="UN128" s="255"/>
      <c r="UO128" s="255"/>
      <c r="UP128" s="255"/>
      <c r="UQ128" s="255"/>
      <c r="UR128" s="255"/>
      <c r="US128" s="255"/>
      <c r="UT128" s="255"/>
      <c r="UU128" s="255"/>
      <c r="UV128" s="255"/>
      <c r="UW128" s="255"/>
      <c r="UX128" s="255"/>
      <c r="UY128" s="255"/>
      <c r="UZ128" s="255"/>
      <c r="VA128" s="255"/>
      <c r="VB128" s="255"/>
      <c r="VC128" s="255"/>
      <c r="VD128" s="255"/>
      <c r="VE128" s="255"/>
      <c r="VF128" s="255"/>
      <c r="VG128" s="255"/>
      <c r="VH128" s="255"/>
      <c r="VI128" s="255"/>
      <c r="VJ128" s="255"/>
      <c r="VK128" s="255"/>
      <c r="VL128" s="255"/>
      <c r="VM128" s="255"/>
      <c r="VN128" s="255"/>
      <c r="VO128" s="255"/>
      <c r="VP128" s="255"/>
      <c r="VQ128" s="255"/>
      <c r="VR128" s="255"/>
      <c r="VS128" s="255"/>
      <c r="VT128" s="255"/>
      <c r="VU128" s="255"/>
      <c r="VV128" s="255"/>
      <c r="VW128" s="255"/>
      <c r="VX128" s="255"/>
      <c r="VY128" s="255"/>
      <c r="VZ128" s="255"/>
      <c r="WA128" s="255"/>
      <c r="WB128" s="255"/>
      <c r="WC128" s="255"/>
      <c r="WD128" s="255"/>
      <c r="WE128" s="255"/>
      <c r="WF128" s="255"/>
      <c r="WG128" s="255"/>
      <c r="WH128" s="255"/>
      <c r="WI128" s="255"/>
      <c r="WJ128" s="255"/>
      <c r="WK128" s="255"/>
      <c r="WL128" s="255"/>
      <c r="WM128" s="255"/>
      <c r="WN128" s="255"/>
      <c r="WO128" s="255"/>
      <c r="WP128" s="255"/>
      <c r="WQ128" s="255"/>
      <c r="WR128" s="255"/>
      <c r="WS128" s="255"/>
      <c r="WT128" s="255"/>
      <c r="WU128" s="255"/>
      <c r="WV128" s="255"/>
      <c r="WW128" s="255"/>
      <c r="WX128" s="255"/>
      <c r="WY128" s="255"/>
      <c r="WZ128" s="255"/>
      <c r="XA128" s="255"/>
      <c r="XB128" s="255"/>
      <c r="XC128" s="255"/>
      <c r="XD128" s="255"/>
      <c r="XE128" s="255"/>
      <c r="XF128" s="255"/>
      <c r="XG128" s="255"/>
      <c r="XH128" s="255"/>
      <c r="XI128" s="255"/>
      <c r="XJ128" s="255"/>
      <c r="XK128" s="255"/>
      <c r="XL128" s="255"/>
      <c r="XM128" s="255"/>
      <c r="XN128" s="255"/>
      <c r="XO128" s="255"/>
      <c r="XP128" s="255"/>
      <c r="XQ128" s="255"/>
      <c r="XR128" s="255"/>
      <c r="XS128" s="255"/>
      <c r="XT128" s="255"/>
      <c r="XU128" s="255"/>
      <c r="XV128" s="255"/>
      <c r="XW128" s="255"/>
      <c r="XX128" s="255"/>
      <c r="XY128" s="255"/>
      <c r="XZ128" s="255"/>
      <c r="YA128" s="255"/>
      <c r="YB128" s="255"/>
      <c r="YC128" s="255"/>
      <c r="YD128" s="255"/>
      <c r="YE128" s="255"/>
      <c r="YF128" s="255"/>
      <c r="YG128" s="255"/>
      <c r="YH128" s="255"/>
      <c r="YI128" s="255"/>
      <c r="YJ128" s="255"/>
      <c r="YK128" s="255"/>
      <c r="YL128" s="255"/>
      <c r="YM128" s="255"/>
      <c r="YN128" s="255"/>
      <c r="YO128" s="255"/>
      <c r="YP128" s="255"/>
      <c r="YQ128" s="255"/>
      <c r="YR128" s="255"/>
      <c r="YS128" s="255"/>
      <c r="YT128" s="255"/>
      <c r="YU128" s="255"/>
      <c r="YV128" s="255"/>
      <c r="YW128" s="255"/>
      <c r="YX128" s="255"/>
      <c r="YY128" s="255"/>
      <c r="YZ128" s="255"/>
      <c r="ZA128" s="255"/>
      <c r="ZB128" s="255"/>
      <c r="ZC128" s="255"/>
      <c r="ZD128" s="255"/>
      <c r="ZE128" s="255"/>
      <c r="ZF128" s="255"/>
      <c r="ZG128" s="255"/>
      <c r="ZH128" s="255"/>
      <c r="ZI128" s="255"/>
      <c r="ZJ128" s="255"/>
      <c r="ZK128" s="255"/>
      <c r="ZL128" s="255"/>
      <c r="ZM128" s="255"/>
      <c r="ZN128" s="255"/>
      <c r="ZO128" s="255"/>
      <c r="ZP128" s="255"/>
      <c r="ZQ128" s="255"/>
      <c r="ZR128" s="255"/>
      <c r="ZS128" s="255"/>
      <c r="ZT128" s="255"/>
      <c r="ZU128" s="255"/>
      <c r="ZV128" s="255"/>
      <c r="ZW128" s="255"/>
      <c r="ZX128" s="255"/>
      <c r="ZY128" s="255"/>
      <c r="ZZ128" s="255"/>
      <c r="AAA128" s="255"/>
      <c r="AAB128" s="255"/>
      <c r="AAC128" s="255"/>
      <c r="AAD128" s="255"/>
      <c r="AAE128" s="255"/>
      <c r="AAF128" s="255"/>
      <c r="AAG128" s="255"/>
      <c r="AAH128" s="255"/>
      <c r="AAI128" s="255"/>
      <c r="AAJ128" s="255"/>
      <c r="AAK128" s="255"/>
      <c r="AAL128" s="255"/>
      <c r="AAM128" s="255"/>
      <c r="AAN128" s="255"/>
      <c r="AAO128" s="255"/>
      <c r="AAP128" s="255"/>
      <c r="AAQ128" s="255"/>
      <c r="AAR128" s="255"/>
      <c r="AAS128" s="255"/>
      <c r="AAT128" s="255"/>
      <c r="AAU128" s="255"/>
      <c r="AAV128" s="255"/>
      <c r="AAW128" s="255"/>
      <c r="AAX128" s="255"/>
      <c r="AAY128" s="255"/>
      <c r="AAZ128" s="255"/>
      <c r="ABA128" s="255"/>
      <c r="ABB128" s="255"/>
      <c r="ABC128" s="255"/>
      <c r="ABD128" s="255"/>
      <c r="ABE128" s="255"/>
      <c r="ABF128" s="255"/>
      <c r="ABG128" s="255"/>
      <c r="ABH128" s="255"/>
      <c r="ABI128" s="255"/>
      <c r="ABJ128" s="255"/>
      <c r="ABK128" s="255"/>
      <c r="ABL128" s="255"/>
      <c r="ABM128" s="255"/>
      <c r="ABN128" s="255"/>
      <c r="ABO128" s="255"/>
      <c r="ABP128" s="255"/>
      <c r="ABQ128" s="255"/>
      <c r="ABR128" s="255"/>
      <c r="ABS128" s="255"/>
      <c r="ABT128" s="255"/>
      <c r="ABU128" s="255"/>
      <c r="ABV128" s="255"/>
      <c r="ABW128" s="255"/>
      <c r="ABX128" s="255"/>
      <c r="ABY128" s="255"/>
      <c r="ABZ128" s="255"/>
      <c r="ACA128" s="255"/>
      <c r="ACB128" s="255"/>
      <c r="ACC128" s="255"/>
      <c r="ACD128" s="255"/>
      <c r="ACE128" s="255"/>
      <c r="ACF128" s="255"/>
      <c r="ACG128" s="255"/>
      <c r="ACH128" s="255"/>
      <c r="ACI128" s="255"/>
      <c r="ACJ128" s="255"/>
      <c r="ACK128" s="255"/>
      <c r="ACL128" s="255"/>
      <c r="ACM128" s="255"/>
      <c r="ACN128" s="255"/>
      <c r="ACO128" s="255"/>
      <c r="ACP128" s="255"/>
      <c r="ACQ128" s="255"/>
      <c r="ACR128" s="255"/>
      <c r="ACS128" s="255"/>
      <c r="ACT128" s="255"/>
      <c r="ACU128" s="255"/>
      <c r="ACV128" s="255"/>
      <c r="ACW128" s="255"/>
      <c r="ACX128" s="255"/>
      <c r="ACY128" s="255"/>
      <c r="ACZ128" s="255"/>
      <c r="ADA128" s="255"/>
      <c r="ADB128" s="255"/>
      <c r="ADC128" s="255"/>
      <c r="ADD128" s="255"/>
      <c r="ADE128" s="255"/>
      <c r="ADF128" s="255"/>
      <c r="ADG128" s="255"/>
      <c r="ADH128" s="255"/>
      <c r="ADI128" s="255"/>
      <c r="ADJ128" s="255"/>
      <c r="ADK128" s="255"/>
      <c r="ADL128" s="255"/>
      <c r="ADM128" s="255"/>
      <c r="ADN128" s="255"/>
      <c r="ADO128" s="255"/>
      <c r="ADP128" s="255"/>
      <c r="ADQ128" s="255"/>
      <c r="ADR128" s="255"/>
      <c r="ADS128" s="255"/>
      <c r="ADT128" s="255"/>
      <c r="ADU128" s="255"/>
      <c r="ADV128" s="255"/>
      <c r="ADW128" s="255"/>
      <c r="ADX128" s="255"/>
      <c r="ADY128" s="255"/>
      <c r="ADZ128" s="255"/>
      <c r="AEA128" s="255"/>
      <c r="AEB128" s="255"/>
      <c r="AEC128" s="255"/>
      <c r="AED128" s="255"/>
      <c r="AEE128" s="255"/>
      <c r="AEF128" s="255"/>
      <c r="AEG128" s="255"/>
      <c r="AEH128" s="255"/>
      <c r="AEI128" s="255"/>
      <c r="AEJ128" s="255"/>
      <c r="AEK128" s="255"/>
      <c r="AEL128" s="255"/>
      <c r="AEM128" s="255"/>
      <c r="AEN128" s="255"/>
      <c r="AEO128" s="255"/>
      <c r="AEP128" s="255"/>
      <c r="AEQ128" s="255"/>
      <c r="AER128" s="255"/>
      <c r="AES128" s="255"/>
      <c r="AET128" s="255"/>
      <c r="AEU128" s="255"/>
      <c r="AEV128" s="255"/>
      <c r="AEW128" s="255"/>
      <c r="AEX128" s="255"/>
      <c r="AEY128" s="255"/>
      <c r="AEZ128" s="255"/>
      <c r="AFA128" s="255"/>
      <c r="AFB128" s="255"/>
      <c r="AFC128" s="255"/>
      <c r="AFD128" s="255"/>
      <c r="AFE128" s="255"/>
      <c r="AFF128" s="255"/>
      <c r="AFG128" s="255"/>
      <c r="AFH128" s="255"/>
      <c r="AFI128" s="255"/>
      <c r="AFJ128" s="255"/>
      <c r="AFK128" s="255"/>
      <c r="AFL128" s="255"/>
      <c r="AFM128" s="255"/>
      <c r="AFN128" s="255"/>
      <c r="AFO128" s="255"/>
      <c r="AFP128" s="255"/>
      <c r="AFQ128" s="255"/>
      <c r="AFR128" s="255"/>
      <c r="AFS128" s="255"/>
      <c r="AFT128" s="255"/>
      <c r="AFU128" s="255"/>
      <c r="AFV128" s="255"/>
      <c r="AFW128" s="255"/>
      <c r="AFX128" s="255"/>
      <c r="AFY128" s="255"/>
      <c r="AFZ128" s="255"/>
      <c r="AGA128" s="255"/>
      <c r="AGB128" s="255"/>
      <c r="AGC128" s="255"/>
      <c r="AGD128" s="255"/>
      <c r="AGE128" s="255"/>
      <c r="AGF128" s="255"/>
      <c r="AGG128" s="255"/>
      <c r="AGH128" s="255"/>
      <c r="AGI128" s="255"/>
      <c r="AGJ128" s="255"/>
      <c r="AGK128" s="255"/>
      <c r="AGL128" s="255"/>
      <c r="AGM128" s="255"/>
      <c r="AGN128" s="255"/>
      <c r="AGO128" s="255"/>
      <c r="AGP128" s="255"/>
      <c r="AGQ128" s="255"/>
      <c r="AGR128" s="255"/>
      <c r="AGS128" s="255"/>
      <c r="AGT128" s="255"/>
      <c r="AGU128" s="255"/>
      <c r="AGV128" s="255"/>
      <c r="AGW128" s="255"/>
      <c r="AGX128" s="255"/>
      <c r="AGY128" s="255"/>
      <c r="AGZ128" s="255"/>
      <c r="AHA128" s="255"/>
      <c r="AHB128" s="255"/>
      <c r="AHC128" s="255"/>
      <c r="AHD128" s="255"/>
      <c r="AHE128" s="255"/>
      <c r="AHF128" s="255"/>
      <c r="AHG128" s="255"/>
      <c r="AHH128" s="255"/>
      <c r="AHI128" s="255"/>
      <c r="AHJ128" s="255"/>
      <c r="AHK128" s="255"/>
      <c r="AHL128" s="255"/>
      <c r="AHM128" s="255"/>
      <c r="AHN128" s="255"/>
      <c r="AHO128" s="255"/>
      <c r="AHP128" s="255"/>
      <c r="AHQ128" s="255"/>
      <c r="AHR128" s="255"/>
      <c r="AHS128" s="255"/>
      <c r="AHT128" s="255"/>
      <c r="AHU128" s="255"/>
      <c r="AHV128" s="255"/>
      <c r="AHW128" s="255"/>
      <c r="AHX128" s="255"/>
      <c r="AHY128" s="255"/>
      <c r="AHZ128" s="255"/>
      <c r="AIA128" s="255"/>
      <c r="AIB128" s="255"/>
      <c r="AIC128" s="255"/>
      <c r="AID128" s="255"/>
      <c r="AIE128" s="255"/>
      <c r="AIF128" s="255"/>
      <c r="AIG128" s="255"/>
      <c r="AIH128" s="255"/>
      <c r="AII128" s="255"/>
      <c r="AIJ128" s="255"/>
      <c r="AIK128" s="255"/>
      <c r="AIL128" s="255"/>
      <c r="AIM128" s="255"/>
      <c r="AIN128" s="255"/>
      <c r="AIO128" s="255"/>
      <c r="AIP128" s="255"/>
      <c r="AIQ128" s="255"/>
      <c r="AIR128" s="255"/>
      <c r="AIS128" s="255"/>
      <c r="AIT128" s="255"/>
      <c r="AIU128" s="255"/>
      <c r="AIV128" s="255"/>
      <c r="AIW128" s="255"/>
      <c r="AIX128" s="255"/>
      <c r="AIY128" s="255"/>
      <c r="AIZ128" s="255"/>
      <c r="AJA128" s="255"/>
      <c r="AJB128" s="255"/>
      <c r="AJC128" s="255"/>
      <c r="AJD128" s="255"/>
      <c r="AJE128" s="255"/>
      <c r="AJF128" s="255"/>
      <c r="AJG128" s="255"/>
      <c r="AJH128" s="255"/>
      <c r="AJI128" s="255"/>
      <c r="AJJ128" s="255"/>
      <c r="AJK128" s="255"/>
      <c r="AJL128" s="255"/>
      <c r="AJM128" s="255"/>
      <c r="AJN128" s="255"/>
      <c r="AJO128" s="255"/>
      <c r="AJP128" s="255"/>
      <c r="AJQ128" s="255"/>
      <c r="AJR128" s="255"/>
      <c r="AJS128" s="255"/>
      <c r="AJT128" s="255"/>
      <c r="AJU128" s="255"/>
      <c r="AJV128" s="255"/>
      <c r="AJW128" s="255"/>
      <c r="AJX128" s="255"/>
      <c r="AJY128" s="255"/>
      <c r="AJZ128" s="255"/>
      <c r="AKA128" s="255"/>
      <c r="AKB128" s="255"/>
      <c r="AKC128" s="255"/>
      <c r="AKD128" s="255"/>
      <c r="AKE128" s="255"/>
      <c r="AKF128" s="255"/>
      <c r="AKG128" s="255"/>
      <c r="AKH128" s="255"/>
      <c r="AKI128" s="255"/>
      <c r="AKJ128" s="255"/>
      <c r="AKK128" s="255"/>
      <c r="AKL128" s="255"/>
      <c r="AKM128" s="255"/>
      <c r="AKN128" s="255"/>
      <c r="AKO128" s="255"/>
      <c r="AKP128" s="255"/>
      <c r="AKQ128" s="255"/>
      <c r="AKR128" s="255"/>
      <c r="AKS128" s="255"/>
      <c r="AKT128" s="255"/>
      <c r="AKU128" s="255"/>
      <c r="AKV128" s="255"/>
      <c r="AKW128" s="255"/>
      <c r="AKX128" s="255"/>
      <c r="AKY128" s="255"/>
      <c r="AKZ128" s="255"/>
      <c r="ALA128" s="255"/>
      <c r="ALB128" s="255"/>
      <c r="ALC128" s="255"/>
      <c r="ALD128" s="255"/>
      <c r="ALE128" s="42"/>
      <c r="ALF128" s="42"/>
      <c r="ALG128" s="42"/>
      <c r="ALH128" s="42"/>
      <c r="ALI128" s="42"/>
      <c r="ALJ128" s="42"/>
      <c r="ALK128" s="42"/>
      <c r="ALL128" s="42"/>
      <c r="ALM128" s="42"/>
    </row>
    <row r="129" spans="1:16" ht="15">
      <c r="A129" s="680" t="s">
        <v>6928</v>
      </c>
      <c r="B129" s="695"/>
      <c r="C129" s="695"/>
      <c r="D129" s="695"/>
      <c r="E129" s="695"/>
      <c r="F129" s="695"/>
      <c r="G129" s="695"/>
      <c r="H129" s="695"/>
      <c r="I129" s="695"/>
      <c r="J129" s="610">
        <f>J125+J122+J113+J107+J103+J97+J92+J87+J84+J81+J78+J74+J19+J15</f>
        <v>185075.47023019238</v>
      </c>
      <c r="K129" s="255"/>
      <c r="L129" s="255"/>
      <c r="M129" s="255"/>
      <c r="N129" s="255"/>
      <c r="O129" s="255"/>
      <c r="P129" s="255"/>
    </row>
    <row r="130" spans="1:16">
      <c r="K130" s="255"/>
      <c r="L130" s="255"/>
      <c r="M130" s="255"/>
      <c r="N130" s="255"/>
      <c r="O130" s="255"/>
      <c r="P130" s="255"/>
    </row>
    <row r="131" spans="1:16">
      <c r="K131" s="255"/>
      <c r="L131" s="255"/>
      <c r="M131" s="255"/>
      <c r="N131" s="255"/>
      <c r="O131" s="255"/>
      <c r="P131" s="255"/>
    </row>
    <row r="132" spans="1:16" ht="13.5">
      <c r="B132" s="98"/>
      <c r="C132" s="125"/>
      <c r="D132" s="12"/>
      <c r="K132" s="255"/>
      <c r="L132" s="255"/>
      <c r="M132" s="255"/>
      <c r="N132" s="255"/>
      <c r="O132" s="255"/>
      <c r="P132" s="255"/>
    </row>
    <row r="133" spans="1:16" ht="13.5">
      <c r="B133" s="98"/>
      <c r="C133" s="125"/>
      <c r="D133" s="12"/>
      <c r="K133" s="255"/>
      <c r="L133" s="255"/>
      <c r="M133" s="255"/>
      <c r="N133" s="255"/>
      <c r="O133" s="255"/>
      <c r="P133" s="255"/>
    </row>
    <row r="134" spans="1:16" ht="13.5">
      <c r="B134" s="98"/>
      <c r="C134" s="125"/>
      <c r="D134" s="12"/>
      <c r="K134" s="255"/>
      <c r="L134" s="255"/>
      <c r="M134" s="255"/>
      <c r="N134" s="255"/>
      <c r="O134" s="255"/>
      <c r="P134" s="255"/>
    </row>
    <row r="135" spans="1:16">
      <c r="K135" s="255"/>
      <c r="L135" s="255"/>
      <c r="M135" s="255"/>
      <c r="N135" s="255"/>
      <c r="O135" s="255"/>
      <c r="P135" s="255"/>
    </row>
    <row r="136" spans="1:16">
      <c r="K136" s="255"/>
      <c r="L136" s="255"/>
      <c r="M136" s="255"/>
      <c r="N136" s="255"/>
      <c r="O136" s="255"/>
      <c r="P136" s="255"/>
    </row>
    <row r="137" spans="1:16">
      <c r="K137" s="255"/>
      <c r="L137" s="255"/>
      <c r="M137" s="255"/>
      <c r="N137" s="255"/>
      <c r="O137" s="255"/>
      <c r="P137" s="255"/>
    </row>
    <row r="138" spans="1:16">
      <c r="K138" s="255"/>
      <c r="L138" s="255"/>
      <c r="M138" s="255"/>
      <c r="N138" s="255"/>
      <c r="O138" s="255"/>
      <c r="P138" s="255"/>
    </row>
    <row r="139" spans="1:16">
      <c r="K139" s="255"/>
      <c r="L139" s="255"/>
      <c r="M139" s="255"/>
      <c r="N139" s="255"/>
      <c r="O139" s="255"/>
      <c r="P139" s="255"/>
    </row>
    <row r="140" spans="1:16">
      <c r="K140" s="255"/>
      <c r="L140" s="255"/>
      <c r="M140" s="255"/>
      <c r="N140" s="255"/>
      <c r="O140" s="255"/>
      <c r="P140" s="255"/>
    </row>
    <row r="141" spans="1:16">
      <c r="K141" s="255"/>
      <c r="L141" s="255"/>
      <c r="M141" s="255"/>
      <c r="N141" s="255"/>
      <c r="O141" s="255"/>
      <c r="P141" s="255"/>
    </row>
    <row r="142" spans="1:16">
      <c r="K142" s="255"/>
      <c r="L142" s="255"/>
      <c r="M142" s="255"/>
      <c r="N142" s="255"/>
      <c r="O142" s="255"/>
      <c r="P142" s="255"/>
    </row>
    <row r="143" spans="1:16">
      <c r="K143" s="255"/>
      <c r="L143" s="255"/>
      <c r="M143" s="255"/>
      <c r="N143" s="255"/>
      <c r="O143" s="255"/>
      <c r="P143" s="255"/>
    </row>
    <row r="144" spans="1:16">
      <c r="K144" s="255"/>
      <c r="L144" s="255"/>
      <c r="M144" s="255"/>
      <c r="N144" s="255"/>
      <c r="O144" s="255"/>
      <c r="P144" s="255"/>
    </row>
    <row r="145" spans="11:16">
      <c r="K145" s="255"/>
      <c r="L145" s="255"/>
      <c r="M145" s="255"/>
      <c r="N145" s="255"/>
      <c r="O145" s="255"/>
      <c r="P145" s="255"/>
    </row>
    <row r="146" spans="11:16">
      <c r="K146" s="255"/>
      <c r="L146" s="255"/>
      <c r="M146" s="255"/>
      <c r="N146" s="255"/>
      <c r="O146" s="255"/>
      <c r="P146" s="255"/>
    </row>
    <row r="147" spans="11:16">
      <c r="K147" s="255"/>
      <c r="L147" s="255"/>
      <c r="M147" s="255"/>
      <c r="N147" s="255"/>
      <c r="O147" s="255"/>
      <c r="P147" s="255"/>
    </row>
    <row r="148" spans="11:16">
      <c r="K148" s="255"/>
      <c r="L148" s="255"/>
      <c r="M148" s="255"/>
      <c r="N148" s="255"/>
      <c r="O148" s="255"/>
      <c r="P148" s="255"/>
    </row>
    <row r="149" spans="11:16">
      <c r="K149" s="255"/>
      <c r="L149" s="255"/>
      <c r="M149" s="255"/>
      <c r="N149" s="255"/>
      <c r="O149" s="255"/>
      <c r="P149" s="255"/>
    </row>
    <row r="150" spans="11:16">
      <c r="K150" s="255"/>
      <c r="L150" s="255"/>
      <c r="M150" s="255"/>
      <c r="N150" s="255"/>
      <c r="O150" s="255"/>
      <c r="P150" s="255"/>
    </row>
    <row r="151" spans="11:16">
      <c r="K151" s="255"/>
      <c r="L151" s="255"/>
      <c r="M151" s="255"/>
      <c r="N151" s="255"/>
      <c r="O151" s="255"/>
      <c r="P151" s="255"/>
    </row>
    <row r="152" spans="11:16">
      <c r="K152" s="255"/>
      <c r="L152" s="255"/>
      <c r="M152" s="255"/>
      <c r="N152" s="255"/>
      <c r="O152" s="255"/>
      <c r="P152" s="255"/>
    </row>
    <row r="153" spans="11:16">
      <c r="K153" s="255"/>
      <c r="L153" s="255"/>
      <c r="M153" s="255"/>
      <c r="N153" s="255"/>
      <c r="O153" s="255"/>
      <c r="P153" s="255"/>
    </row>
    <row r="154" spans="11:16">
      <c r="K154" s="255"/>
      <c r="L154" s="255"/>
      <c r="M154" s="255"/>
      <c r="N154" s="255"/>
      <c r="O154" s="255"/>
      <c r="P154" s="255"/>
    </row>
    <row r="155" spans="11:16">
      <c r="K155" s="255"/>
      <c r="L155" s="255"/>
      <c r="M155" s="255"/>
      <c r="N155" s="255"/>
      <c r="O155" s="255"/>
      <c r="P155" s="255"/>
    </row>
    <row r="156" spans="11:16">
      <c r="K156" s="255"/>
      <c r="L156" s="255"/>
      <c r="M156" s="255"/>
      <c r="N156" s="255"/>
      <c r="O156" s="255"/>
      <c r="P156" s="255"/>
    </row>
    <row r="157" spans="11:16">
      <c r="K157" s="255"/>
      <c r="L157" s="255"/>
      <c r="M157" s="255"/>
      <c r="N157" s="255"/>
      <c r="O157" s="255"/>
      <c r="P157" s="255"/>
    </row>
    <row r="158" spans="11:16">
      <c r="K158" s="255"/>
      <c r="L158" s="255"/>
      <c r="M158" s="255"/>
      <c r="N158" s="255"/>
      <c r="O158" s="255"/>
      <c r="P158" s="255"/>
    </row>
    <row r="159" spans="11:16">
      <c r="K159" s="255"/>
      <c r="L159" s="255"/>
      <c r="M159" s="255"/>
      <c r="N159" s="255"/>
      <c r="O159" s="255"/>
      <c r="P159" s="255"/>
    </row>
    <row r="160" spans="11:16">
      <c r="K160" s="255"/>
      <c r="L160" s="255"/>
      <c r="M160" s="255"/>
      <c r="N160" s="255"/>
      <c r="O160" s="255"/>
      <c r="P160" s="255"/>
    </row>
    <row r="161" spans="11:16">
      <c r="K161" s="255"/>
      <c r="L161" s="255"/>
      <c r="M161" s="255"/>
      <c r="N161" s="255"/>
      <c r="O161" s="255"/>
      <c r="P161" s="255"/>
    </row>
    <row r="162" spans="11:16">
      <c r="K162" s="255"/>
      <c r="L162" s="255"/>
      <c r="M162" s="255"/>
      <c r="N162" s="255"/>
      <c r="O162" s="255"/>
      <c r="P162" s="255"/>
    </row>
    <row r="163" spans="11:16">
      <c r="K163" s="255"/>
      <c r="L163" s="255"/>
      <c r="M163" s="255"/>
      <c r="N163" s="255"/>
      <c r="O163" s="255"/>
      <c r="P163" s="255"/>
    </row>
    <row r="164" spans="11:16">
      <c r="K164" s="255"/>
      <c r="L164" s="255"/>
      <c r="M164" s="255"/>
      <c r="N164" s="255"/>
      <c r="O164" s="255"/>
      <c r="P164" s="255"/>
    </row>
    <row r="165" spans="11:16">
      <c r="K165" s="255"/>
      <c r="L165" s="255"/>
      <c r="M165" s="255"/>
      <c r="N165" s="255"/>
      <c r="O165" s="255"/>
      <c r="P165" s="255"/>
    </row>
    <row r="166" spans="11:16">
      <c r="K166" s="255"/>
      <c r="L166" s="255"/>
      <c r="M166" s="255"/>
      <c r="N166" s="255"/>
      <c r="O166" s="255"/>
      <c r="P166" s="255"/>
    </row>
    <row r="167" spans="11:16">
      <c r="K167" s="255"/>
      <c r="L167" s="255"/>
      <c r="M167" s="255"/>
      <c r="N167" s="255"/>
      <c r="O167" s="255"/>
      <c r="P167" s="255"/>
    </row>
    <row r="168" spans="11:16">
      <c r="K168" s="255"/>
      <c r="L168" s="255"/>
      <c r="M168" s="255"/>
      <c r="N168" s="255"/>
      <c r="O168" s="255"/>
      <c r="P168" s="255"/>
    </row>
    <row r="169" spans="11:16">
      <c r="K169" s="255"/>
      <c r="L169" s="255"/>
      <c r="M169" s="255"/>
      <c r="N169" s="255"/>
      <c r="O169" s="255"/>
      <c r="P169" s="255"/>
    </row>
    <row r="170" spans="11:16">
      <c r="K170" s="255"/>
      <c r="L170" s="255"/>
      <c r="M170" s="255"/>
      <c r="N170" s="255"/>
      <c r="O170" s="255"/>
      <c r="P170" s="255"/>
    </row>
    <row r="171" spans="11:16">
      <c r="K171" s="255"/>
      <c r="L171" s="255"/>
      <c r="M171" s="255"/>
      <c r="N171" s="255"/>
      <c r="O171" s="255"/>
      <c r="P171" s="255"/>
    </row>
    <row r="172" spans="11:16">
      <c r="K172" s="255"/>
      <c r="L172" s="255"/>
      <c r="M172" s="255"/>
      <c r="N172" s="255"/>
      <c r="O172" s="255"/>
      <c r="P172" s="255"/>
    </row>
    <row r="173" spans="11:16">
      <c r="K173" s="255"/>
      <c r="L173" s="255"/>
      <c r="M173" s="255"/>
      <c r="N173" s="255"/>
      <c r="O173" s="255"/>
      <c r="P173" s="255"/>
    </row>
    <row r="174" spans="11:16">
      <c r="K174" s="255"/>
      <c r="L174" s="255"/>
      <c r="M174" s="255"/>
      <c r="N174" s="255"/>
      <c r="O174" s="255"/>
      <c r="P174" s="255"/>
    </row>
    <row r="175" spans="11:16">
      <c r="K175" s="255"/>
      <c r="L175" s="255"/>
      <c r="M175" s="255"/>
      <c r="N175" s="255"/>
      <c r="O175" s="255"/>
      <c r="P175" s="255"/>
    </row>
    <row r="176" spans="11:16">
      <c r="K176" s="255"/>
      <c r="L176" s="255"/>
      <c r="M176" s="255"/>
      <c r="N176" s="255"/>
      <c r="O176" s="255"/>
      <c r="P176" s="255"/>
    </row>
    <row r="177" spans="11:16">
      <c r="K177" s="255"/>
      <c r="L177" s="255"/>
      <c r="M177" s="255"/>
      <c r="N177" s="255"/>
      <c r="O177" s="255"/>
      <c r="P177" s="255"/>
    </row>
    <row r="178" spans="11:16">
      <c r="K178" s="255"/>
      <c r="L178" s="255"/>
      <c r="M178" s="255"/>
      <c r="N178" s="255"/>
      <c r="O178" s="255"/>
      <c r="P178" s="255"/>
    </row>
    <row r="179" spans="11:16">
      <c r="K179" s="255"/>
      <c r="L179" s="255"/>
      <c r="M179" s="255"/>
      <c r="N179" s="255"/>
      <c r="O179" s="255"/>
      <c r="P179" s="255"/>
    </row>
    <row r="180" spans="11:16">
      <c r="K180" s="255"/>
      <c r="L180" s="255"/>
      <c r="M180" s="255"/>
      <c r="N180" s="255"/>
      <c r="O180" s="255"/>
      <c r="P180" s="255"/>
    </row>
    <row r="181" spans="11:16">
      <c r="K181" s="255"/>
      <c r="L181" s="255"/>
      <c r="M181" s="255"/>
      <c r="N181" s="255"/>
      <c r="O181" s="255"/>
      <c r="P181" s="255"/>
    </row>
    <row r="182" spans="11:16">
      <c r="K182" s="255"/>
      <c r="L182" s="255"/>
      <c r="M182" s="255"/>
      <c r="N182" s="255"/>
      <c r="O182" s="255"/>
      <c r="P182" s="255"/>
    </row>
    <row r="183" spans="11:16">
      <c r="K183" s="255"/>
      <c r="L183" s="255"/>
      <c r="M183" s="255"/>
      <c r="N183" s="255"/>
      <c r="O183" s="255"/>
      <c r="P183" s="255"/>
    </row>
    <row r="184" spans="11:16">
      <c r="K184" s="255"/>
      <c r="L184" s="255"/>
      <c r="M184" s="255"/>
      <c r="N184" s="255"/>
      <c r="O184" s="255"/>
      <c r="P184" s="255"/>
    </row>
    <row r="185" spans="11:16">
      <c r="K185" s="255"/>
      <c r="L185" s="255"/>
      <c r="M185" s="255"/>
      <c r="N185" s="255"/>
      <c r="O185" s="255"/>
      <c r="P185" s="255"/>
    </row>
    <row r="186" spans="11:16">
      <c r="K186" s="255"/>
      <c r="L186" s="255"/>
      <c r="M186" s="255"/>
      <c r="N186" s="255"/>
      <c r="O186" s="255"/>
      <c r="P186" s="255"/>
    </row>
    <row r="187" spans="11:16">
      <c r="K187" s="255"/>
      <c r="L187" s="255"/>
      <c r="M187" s="255"/>
      <c r="N187" s="255"/>
      <c r="O187" s="255"/>
      <c r="P187" s="255"/>
    </row>
    <row r="188" spans="11:16">
      <c r="K188" s="255"/>
      <c r="L188" s="255"/>
      <c r="M188" s="255"/>
      <c r="N188" s="255"/>
      <c r="O188" s="255"/>
      <c r="P188" s="255"/>
    </row>
    <row r="189" spans="11:16">
      <c r="K189" s="255"/>
      <c r="L189" s="255"/>
      <c r="M189" s="255"/>
      <c r="N189" s="255"/>
      <c r="O189" s="255"/>
      <c r="P189" s="255"/>
    </row>
    <row r="190" spans="11:16">
      <c r="K190" s="255"/>
      <c r="L190" s="255"/>
      <c r="M190" s="255"/>
      <c r="N190" s="255"/>
      <c r="O190" s="255"/>
      <c r="P190" s="255"/>
    </row>
    <row r="191" spans="11:16">
      <c r="K191" s="255"/>
      <c r="L191" s="255"/>
      <c r="M191" s="255"/>
      <c r="N191" s="255"/>
      <c r="O191" s="255"/>
      <c r="P191" s="255"/>
    </row>
    <row r="192" spans="11:16">
      <c r="K192" s="255"/>
      <c r="L192" s="255"/>
      <c r="M192" s="255"/>
      <c r="N192" s="255"/>
      <c r="O192" s="255"/>
      <c r="P192" s="255"/>
    </row>
    <row r="193" spans="11:16">
      <c r="K193" s="255"/>
      <c r="L193" s="255"/>
      <c r="M193" s="255"/>
      <c r="N193" s="255"/>
      <c r="O193" s="255"/>
      <c r="P193" s="255"/>
    </row>
    <row r="194" spans="11:16">
      <c r="K194" s="255"/>
      <c r="L194" s="255"/>
      <c r="M194" s="255"/>
      <c r="N194" s="255"/>
      <c r="O194" s="255"/>
      <c r="P194" s="255"/>
    </row>
    <row r="195" spans="11:16">
      <c r="K195" s="255"/>
      <c r="L195" s="255"/>
      <c r="M195" s="255"/>
      <c r="N195" s="255"/>
      <c r="O195" s="255"/>
      <c r="P195" s="255"/>
    </row>
    <row r="196" spans="11:16">
      <c r="K196" s="255"/>
      <c r="L196" s="255"/>
      <c r="M196" s="255"/>
      <c r="N196" s="255"/>
      <c r="O196" s="255"/>
      <c r="P196" s="255"/>
    </row>
    <row r="197" spans="11:16">
      <c r="K197" s="255"/>
      <c r="L197" s="255"/>
      <c r="M197" s="255"/>
      <c r="N197" s="255"/>
      <c r="O197" s="255"/>
      <c r="P197" s="255"/>
    </row>
    <row r="198" spans="11:16">
      <c r="K198" s="255"/>
      <c r="L198" s="255"/>
      <c r="M198" s="255"/>
      <c r="N198" s="255"/>
      <c r="O198" s="255"/>
      <c r="P198" s="255"/>
    </row>
    <row r="199" spans="11:16">
      <c r="K199" s="255"/>
      <c r="L199" s="255"/>
      <c r="M199" s="255"/>
      <c r="N199" s="255"/>
      <c r="O199" s="255"/>
      <c r="P199" s="255"/>
    </row>
    <row r="200" spans="11:16">
      <c r="K200" s="255"/>
      <c r="L200" s="255"/>
      <c r="M200" s="255"/>
      <c r="N200" s="255"/>
      <c r="O200" s="255"/>
      <c r="P200" s="255"/>
    </row>
    <row r="201" spans="11:16">
      <c r="K201" s="255"/>
      <c r="L201" s="255"/>
      <c r="M201" s="255"/>
      <c r="N201" s="255"/>
      <c r="O201" s="255"/>
      <c r="P201" s="255"/>
    </row>
    <row r="202" spans="11:16">
      <c r="K202" s="255"/>
      <c r="L202" s="255"/>
      <c r="M202" s="255"/>
      <c r="N202" s="255"/>
      <c r="O202" s="255"/>
      <c r="P202" s="255"/>
    </row>
    <row r="203" spans="11:16">
      <c r="K203" s="255"/>
      <c r="L203" s="255"/>
      <c r="M203" s="255"/>
      <c r="N203" s="255"/>
      <c r="O203" s="255"/>
      <c r="P203" s="255"/>
    </row>
    <row r="204" spans="11:16">
      <c r="K204" s="255"/>
      <c r="L204" s="255"/>
      <c r="M204" s="255"/>
      <c r="N204" s="255"/>
      <c r="O204" s="255"/>
      <c r="P204" s="255"/>
    </row>
    <row r="205" spans="11:16">
      <c r="K205" s="255"/>
      <c r="L205" s="255"/>
      <c r="M205" s="255"/>
      <c r="N205" s="255"/>
      <c r="O205" s="255"/>
      <c r="P205" s="255"/>
    </row>
    <row r="206" spans="11:16">
      <c r="K206" s="255"/>
      <c r="L206" s="255"/>
      <c r="M206" s="255"/>
      <c r="N206" s="255"/>
      <c r="O206" s="255"/>
      <c r="P206" s="255"/>
    </row>
    <row r="207" spans="11:16">
      <c r="K207" s="255"/>
      <c r="L207" s="255"/>
      <c r="M207" s="255"/>
      <c r="N207" s="255"/>
      <c r="O207" s="255"/>
      <c r="P207" s="255"/>
    </row>
    <row r="208" spans="11:16">
      <c r="K208" s="255"/>
      <c r="L208" s="255"/>
      <c r="M208" s="255"/>
      <c r="N208" s="255"/>
      <c r="O208" s="255"/>
      <c r="P208" s="255"/>
    </row>
    <row r="209" spans="11:16">
      <c r="K209" s="255"/>
      <c r="L209" s="255"/>
      <c r="M209" s="255"/>
      <c r="N209" s="255"/>
      <c r="O209" s="255"/>
      <c r="P209" s="255"/>
    </row>
    <row r="210" spans="11:16">
      <c r="K210" s="255"/>
      <c r="L210" s="255"/>
      <c r="M210" s="255"/>
      <c r="N210" s="255"/>
      <c r="O210" s="255"/>
      <c r="P210" s="255"/>
    </row>
    <row r="211" spans="11:16">
      <c r="K211" s="255"/>
      <c r="L211" s="255"/>
      <c r="M211" s="255"/>
      <c r="N211" s="255"/>
      <c r="O211" s="255"/>
      <c r="P211" s="255"/>
    </row>
    <row r="212" spans="11:16">
      <c r="K212" s="255"/>
      <c r="L212" s="255"/>
      <c r="M212" s="255"/>
      <c r="N212" s="255"/>
      <c r="O212" s="255"/>
      <c r="P212" s="255"/>
    </row>
    <row r="213" spans="11:16">
      <c r="K213" s="255"/>
      <c r="L213" s="255"/>
      <c r="M213" s="255"/>
      <c r="N213" s="255"/>
      <c r="O213" s="255"/>
      <c r="P213" s="255"/>
    </row>
    <row r="214" spans="11:16">
      <c r="K214" s="255"/>
      <c r="L214" s="255"/>
      <c r="M214" s="255"/>
      <c r="N214" s="255"/>
      <c r="O214" s="255"/>
      <c r="P214" s="255"/>
    </row>
    <row r="215" spans="11:16">
      <c r="K215" s="255"/>
      <c r="L215" s="255"/>
      <c r="M215" s="255"/>
      <c r="N215" s="255"/>
      <c r="O215" s="255"/>
      <c r="P215" s="255"/>
    </row>
  </sheetData>
  <autoFilter ref="A12:J125" xr:uid="{00000000-0009-0000-0000-00000C000000}"/>
  <mergeCells count="18">
    <mergeCell ref="A122:I122"/>
    <mergeCell ref="A125:I125"/>
    <mergeCell ref="A129:I129"/>
    <mergeCell ref="A87:I87"/>
    <mergeCell ref="A92:I92"/>
    <mergeCell ref="A97:I97"/>
    <mergeCell ref="A103:I103"/>
    <mergeCell ref="A113:I113"/>
    <mergeCell ref="A107:I107"/>
    <mergeCell ref="A127:I127"/>
    <mergeCell ref="A128:I128"/>
    <mergeCell ref="C4:J4"/>
    <mergeCell ref="A84:I84"/>
    <mergeCell ref="A15:I15"/>
    <mergeCell ref="A19:I19"/>
    <mergeCell ref="A74:I74"/>
    <mergeCell ref="A78:I78"/>
    <mergeCell ref="A81:I81"/>
  </mergeCells>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LT214"/>
  <sheetViews>
    <sheetView showGridLines="0" view="pageBreakPreview" zoomScaleNormal="82" zoomScaleSheetLayoutView="100" workbookViewId="0">
      <selection activeCell="C4" sqref="C4:J6"/>
    </sheetView>
  </sheetViews>
  <sheetFormatPr defaultColWidth="9.28515625" defaultRowHeight="12.75"/>
  <cols>
    <col min="1" max="1" width="10.7109375" style="16" customWidth="1"/>
    <col min="2" max="2" width="10.7109375" style="74" customWidth="1"/>
    <col min="3" max="3" width="70.7109375" style="39" customWidth="1"/>
    <col min="4" max="4" width="4.7109375" style="16" bestFit="1" customWidth="1"/>
    <col min="5" max="8" width="11.7109375" style="54" customWidth="1"/>
    <col min="9" max="10" width="14.28515625" style="54" customWidth="1"/>
    <col min="11" max="13" width="12.140625" style="14" customWidth="1"/>
    <col min="14" max="15" width="9.140625" style="14" customWidth="1"/>
    <col min="16" max="16" width="9.140625" style="223" customWidth="1"/>
    <col min="17" max="39" width="9.140625" style="14" customWidth="1"/>
    <col min="40" max="1008" width="9.28515625" style="14"/>
    <col min="1009" max="16384" width="9.28515625" style="18"/>
  </cols>
  <sheetData>
    <row r="1" spans="1:1008" ht="24.95" customHeight="1">
      <c r="A1" s="416"/>
      <c r="B1" s="68"/>
      <c r="C1" s="43"/>
      <c r="D1" s="43"/>
      <c r="E1" s="43"/>
      <c r="F1" s="56"/>
      <c r="G1" s="56"/>
      <c r="H1" s="56"/>
      <c r="I1" s="56"/>
      <c r="J1" s="417"/>
    </row>
    <row r="2" spans="1:1008" ht="24.95" customHeight="1">
      <c r="A2" s="418"/>
      <c r="B2" s="69"/>
      <c r="C2" s="37"/>
      <c r="D2" s="37"/>
      <c r="E2" s="37"/>
      <c r="F2" s="57"/>
      <c r="G2" s="57"/>
      <c r="H2" s="57"/>
      <c r="I2" s="57"/>
      <c r="J2" s="419"/>
    </row>
    <row r="3" spans="1:1008" ht="24.95" customHeight="1">
      <c r="A3" s="418"/>
      <c r="B3" s="69"/>
      <c r="C3" s="37"/>
      <c r="D3" s="37"/>
      <c r="E3" s="37"/>
      <c r="F3" s="57"/>
      <c r="G3" s="57"/>
      <c r="H3" s="57"/>
      <c r="I3" s="57"/>
      <c r="J3" s="419"/>
    </row>
    <row r="4" spans="1:1008" ht="14.1" customHeight="1">
      <c r="A4" s="426" t="s">
        <v>6295</v>
      </c>
      <c r="B4" s="427"/>
      <c r="C4" s="697" t="str">
        <f>+RESUMO!B5</f>
        <v>CONCLUSÃO DA CONSTRUÇÃO DO CENTRO DE ATENDIMENTO SÓCIO EDUCATIVO - CASE ITUMBIARA</v>
      </c>
      <c r="D4" s="698"/>
      <c r="E4" s="698"/>
      <c r="F4" s="698"/>
      <c r="G4" s="698"/>
      <c r="H4" s="698"/>
      <c r="I4" s="698"/>
      <c r="J4" s="699"/>
    </row>
    <row r="5" spans="1:1008" ht="14.85" customHeight="1">
      <c r="A5" s="426" t="s">
        <v>6297</v>
      </c>
      <c r="B5" s="427"/>
      <c r="C5" s="509" t="str">
        <f>+RESUMO!B6</f>
        <v>SINAPI – NOVEMBRO/2020 (ONERADA)</v>
      </c>
      <c r="D5" s="422"/>
      <c r="E5" s="428"/>
      <c r="F5" s="428"/>
      <c r="G5" s="428"/>
      <c r="H5" s="428"/>
      <c r="I5" s="428"/>
      <c r="J5" s="510"/>
    </row>
    <row r="6" spans="1:1008" ht="14.85" customHeight="1">
      <c r="A6" s="448" t="s">
        <v>5545</v>
      </c>
      <c r="B6" s="513"/>
      <c r="C6" s="509" t="str">
        <f>+RESUMO!B7</f>
        <v>MAIO / 2021</v>
      </c>
      <c r="D6" s="450"/>
      <c r="E6" s="428"/>
      <c r="F6" s="428"/>
      <c r="G6" s="428"/>
      <c r="H6" s="428"/>
      <c r="I6" s="428"/>
      <c r="J6" s="510"/>
    </row>
    <row r="7" spans="1:1008" ht="14.85" customHeight="1">
      <c r="A7" s="448" t="s">
        <v>6298</v>
      </c>
      <c r="B7" s="513"/>
      <c r="C7" s="442">
        <v>2.02000036012687E+18</v>
      </c>
      <c r="D7" s="408"/>
      <c r="E7" s="408"/>
      <c r="F7" s="409"/>
      <c r="G7" s="409"/>
      <c r="H7" s="409"/>
      <c r="I7" s="409"/>
      <c r="J7" s="410"/>
      <c r="N7" s="255"/>
    </row>
    <row r="8" spans="1:1008" ht="14.85" customHeight="1">
      <c r="A8" s="448" t="s">
        <v>6299</v>
      </c>
      <c r="B8" s="513"/>
      <c r="C8" s="457" t="s">
        <v>6334</v>
      </c>
      <c r="D8" s="408"/>
      <c r="E8" s="408"/>
      <c r="F8" s="409"/>
      <c r="G8" s="409"/>
      <c r="H8" s="409"/>
      <c r="I8" s="409"/>
      <c r="J8" s="410"/>
    </row>
    <row r="9" spans="1:1008" ht="14.85" customHeight="1">
      <c r="A9" s="448" t="s">
        <v>6300</v>
      </c>
      <c r="B9" s="513"/>
      <c r="C9" s="457" t="s">
        <v>6335</v>
      </c>
      <c r="D9" s="408"/>
      <c r="E9" s="408"/>
      <c r="F9" s="409"/>
      <c r="G9" s="409"/>
      <c r="H9" s="409"/>
      <c r="I9" s="409"/>
      <c r="J9" s="410"/>
    </row>
    <row r="10" spans="1:1008" ht="14.85" customHeight="1">
      <c r="A10" s="13"/>
      <c r="B10" s="71"/>
      <c r="C10" s="13"/>
      <c r="D10" s="13"/>
      <c r="E10" s="37"/>
      <c r="F10" s="10"/>
      <c r="G10" s="10"/>
      <c r="H10" s="10"/>
      <c r="I10" s="10"/>
      <c r="J10" s="10"/>
    </row>
    <row r="11" spans="1:1008" ht="20.85" customHeight="1">
      <c r="A11" s="15" t="s">
        <v>5551</v>
      </c>
      <c r="B11" s="72" t="s">
        <v>0</v>
      </c>
      <c r="C11" s="45" t="s">
        <v>6305</v>
      </c>
      <c r="D11" s="15" t="s">
        <v>6306</v>
      </c>
      <c r="E11" s="59" t="s">
        <v>6311</v>
      </c>
      <c r="F11" s="59" t="s">
        <v>6285</v>
      </c>
      <c r="G11" s="59" t="s">
        <v>586</v>
      </c>
      <c r="H11" s="59" t="s">
        <v>6286</v>
      </c>
      <c r="I11" s="59" t="s">
        <v>6308</v>
      </c>
      <c r="J11" s="59" t="s">
        <v>6309</v>
      </c>
      <c r="K11" s="18"/>
      <c r="L11" s="18"/>
      <c r="M11" s="18"/>
      <c r="N11" s="18"/>
      <c r="O11" s="18"/>
      <c r="P11" s="263"/>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c r="JF11" s="18"/>
      <c r="JG11" s="18"/>
      <c r="JH11" s="18"/>
      <c r="JI11" s="18"/>
      <c r="JJ11" s="18"/>
      <c r="JK11" s="18"/>
      <c r="JL11" s="18"/>
      <c r="JM11" s="18"/>
      <c r="JN11" s="18"/>
      <c r="JO11" s="18"/>
      <c r="JP11" s="18"/>
      <c r="JQ11" s="18"/>
      <c r="JR11" s="18"/>
      <c r="JS11" s="18"/>
      <c r="JT11" s="18"/>
      <c r="JU11" s="18"/>
      <c r="JV11" s="18"/>
      <c r="JW11" s="18"/>
      <c r="JX11" s="18"/>
      <c r="JY11" s="18"/>
      <c r="JZ11" s="18"/>
      <c r="KA11" s="18"/>
      <c r="KB11" s="18"/>
      <c r="KC11" s="18"/>
      <c r="KD11" s="18"/>
      <c r="KE11" s="18"/>
      <c r="KF11" s="18"/>
      <c r="KG11" s="18"/>
      <c r="KH11" s="18"/>
      <c r="KI11" s="18"/>
      <c r="KJ11" s="18"/>
      <c r="KK11" s="18"/>
      <c r="KL11" s="18"/>
      <c r="KM11" s="18"/>
      <c r="KN11" s="18"/>
      <c r="KO11" s="18"/>
      <c r="KP11" s="18"/>
      <c r="KQ11" s="18"/>
      <c r="KR11" s="18"/>
      <c r="KS11" s="18"/>
      <c r="KT11" s="18"/>
      <c r="KU11" s="18"/>
      <c r="KV11" s="18"/>
      <c r="KW11" s="18"/>
      <c r="KX11" s="18"/>
      <c r="KY11" s="18"/>
      <c r="KZ11" s="18"/>
      <c r="LA11" s="18"/>
      <c r="LB11" s="18"/>
      <c r="LC11" s="18"/>
      <c r="LD11" s="18"/>
      <c r="LE11" s="18"/>
      <c r="LF11" s="18"/>
      <c r="LG11" s="18"/>
      <c r="LH11" s="18"/>
      <c r="LI11" s="18"/>
      <c r="LJ11" s="18"/>
      <c r="LK11" s="18"/>
      <c r="LL11" s="18"/>
      <c r="LM11" s="18"/>
      <c r="LN11" s="18"/>
      <c r="LO11" s="18"/>
      <c r="LP11" s="18"/>
      <c r="LQ11" s="18"/>
      <c r="LR11" s="18"/>
      <c r="LS11" s="18"/>
      <c r="LT11" s="18"/>
      <c r="LU11" s="18"/>
      <c r="LV11" s="18"/>
      <c r="LW11" s="18"/>
      <c r="LX11" s="18"/>
      <c r="LY11" s="18"/>
      <c r="LZ11" s="18"/>
      <c r="MA11" s="18"/>
      <c r="MB11" s="18"/>
      <c r="MC11" s="18"/>
      <c r="MD11" s="18"/>
      <c r="ME11" s="18"/>
      <c r="MF11" s="18"/>
      <c r="MG11" s="18"/>
      <c r="MH11" s="18"/>
      <c r="MI11" s="18"/>
      <c r="MJ11" s="18"/>
      <c r="MK11" s="18"/>
      <c r="ML11" s="18"/>
      <c r="MM11" s="18"/>
      <c r="MN11" s="18"/>
      <c r="MO11" s="18"/>
      <c r="MP11" s="18"/>
      <c r="MQ11" s="18"/>
      <c r="MR11" s="18"/>
      <c r="MS11" s="18"/>
      <c r="MT11" s="18"/>
      <c r="MU11" s="18"/>
      <c r="MV11" s="18"/>
      <c r="MW11" s="18"/>
      <c r="MX11" s="18"/>
      <c r="MY11" s="18"/>
      <c r="MZ11" s="18"/>
      <c r="NA11" s="18"/>
      <c r="NB11" s="18"/>
      <c r="NC11" s="18"/>
      <c r="ND11" s="18"/>
      <c r="NE11" s="18"/>
      <c r="NF11" s="18"/>
      <c r="NG11" s="18"/>
      <c r="NH11" s="18"/>
      <c r="NI11" s="18"/>
      <c r="NJ11" s="18"/>
      <c r="NK11" s="18"/>
      <c r="NL11" s="18"/>
      <c r="NM11" s="18"/>
      <c r="NN11" s="18"/>
      <c r="NO11" s="18"/>
      <c r="NP11" s="18"/>
      <c r="NQ11" s="18"/>
      <c r="NR11" s="18"/>
      <c r="NS11" s="18"/>
      <c r="NT11" s="18"/>
      <c r="NU11" s="18"/>
      <c r="NV11" s="18"/>
      <c r="NW11" s="18"/>
      <c r="NX11" s="18"/>
      <c r="NY11" s="18"/>
      <c r="NZ11" s="18"/>
      <c r="OA11" s="18"/>
      <c r="OB11" s="18"/>
      <c r="OC11" s="18"/>
      <c r="OD11" s="18"/>
      <c r="OE11" s="18"/>
      <c r="OF11" s="18"/>
      <c r="OG11" s="18"/>
      <c r="OH11" s="18"/>
      <c r="OI11" s="18"/>
      <c r="OJ11" s="18"/>
      <c r="OK11" s="18"/>
      <c r="OL11" s="18"/>
      <c r="OM11" s="18"/>
      <c r="ON11" s="18"/>
      <c r="OO11" s="18"/>
      <c r="OP11" s="18"/>
      <c r="OQ11" s="18"/>
      <c r="OR11" s="18"/>
      <c r="OS11" s="18"/>
      <c r="OT11" s="18"/>
      <c r="OU11" s="18"/>
      <c r="OV11" s="18"/>
      <c r="OW11" s="18"/>
      <c r="OX11" s="18"/>
      <c r="OY11" s="18"/>
      <c r="OZ11" s="18"/>
      <c r="PA11" s="18"/>
      <c r="PB11" s="18"/>
      <c r="PC11" s="18"/>
      <c r="PD11" s="18"/>
      <c r="PE11" s="18"/>
      <c r="PF11" s="18"/>
      <c r="PG11" s="18"/>
      <c r="PH11" s="18"/>
      <c r="PI11" s="18"/>
      <c r="PJ11" s="18"/>
      <c r="PK11" s="18"/>
      <c r="PL11" s="18"/>
      <c r="PM11" s="18"/>
      <c r="PN11" s="18"/>
      <c r="PO11" s="18"/>
      <c r="PP11" s="18"/>
      <c r="PQ11" s="18"/>
      <c r="PR11" s="18"/>
      <c r="PS11" s="18"/>
      <c r="PT11" s="18"/>
      <c r="PU11" s="18"/>
      <c r="PV11" s="18"/>
      <c r="PW11" s="18"/>
      <c r="PX11" s="18"/>
      <c r="PY11" s="18"/>
      <c r="PZ11" s="18"/>
      <c r="QA11" s="18"/>
      <c r="QB11" s="18"/>
      <c r="QC11" s="18"/>
      <c r="QD11" s="18"/>
      <c r="QE11" s="18"/>
      <c r="QF11" s="18"/>
      <c r="QG11" s="18"/>
      <c r="QH11" s="18"/>
      <c r="QI11" s="18"/>
      <c r="QJ11" s="18"/>
      <c r="QK11" s="18"/>
      <c r="QL11" s="18"/>
      <c r="QM11" s="18"/>
      <c r="QN11" s="18"/>
      <c r="QO11" s="18"/>
      <c r="QP11" s="18"/>
      <c r="QQ11" s="18"/>
      <c r="QR11" s="18"/>
      <c r="QS11" s="18"/>
      <c r="QT11" s="18"/>
      <c r="QU11" s="18"/>
      <c r="QV11" s="18"/>
      <c r="QW11" s="18"/>
      <c r="QX11" s="18"/>
      <c r="QY11" s="18"/>
      <c r="QZ11" s="18"/>
      <c r="RA11" s="18"/>
      <c r="RB11" s="18"/>
      <c r="RC11" s="18"/>
      <c r="RD11" s="18"/>
      <c r="RE11" s="18"/>
      <c r="RF11" s="18"/>
      <c r="RG11" s="18"/>
      <c r="RH11" s="18"/>
      <c r="RI11" s="18"/>
      <c r="RJ11" s="18"/>
      <c r="RK11" s="18"/>
      <c r="RL11" s="18"/>
      <c r="RM11" s="18"/>
      <c r="RN11" s="18"/>
      <c r="RO11" s="18"/>
      <c r="RP11" s="18"/>
      <c r="RQ11" s="18"/>
      <c r="RR11" s="18"/>
      <c r="RS11" s="18"/>
      <c r="RT11" s="18"/>
      <c r="RU11" s="18"/>
      <c r="RV11" s="18"/>
      <c r="RW11" s="18"/>
      <c r="RX11" s="18"/>
      <c r="RY11" s="18"/>
      <c r="RZ11" s="18"/>
      <c r="SA11" s="18"/>
      <c r="SB11" s="18"/>
      <c r="SC11" s="18"/>
      <c r="SD11" s="18"/>
      <c r="SE11" s="18"/>
      <c r="SF11" s="18"/>
      <c r="SG11" s="18"/>
      <c r="SH11" s="18"/>
      <c r="SI11" s="18"/>
      <c r="SJ11" s="18"/>
      <c r="SK11" s="18"/>
      <c r="SL11" s="18"/>
      <c r="SM11" s="18"/>
      <c r="SN11" s="18"/>
      <c r="SO11" s="18"/>
      <c r="SP11" s="18"/>
      <c r="SQ11" s="18"/>
      <c r="SR11" s="18"/>
      <c r="SS11" s="18"/>
      <c r="ST11" s="18"/>
      <c r="SU11" s="18"/>
      <c r="SV11" s="18"/>
      <c r="SW11" s="18"/>
      <c r="SX11" s="18"/>
      <c r="SY11" s="18"/>
      <c r="SZ11" s="18"/>
      <c r="TA11" s="18"/>
      <c r="TB11" s="18"/>
      <c r="TC11" s="18"/>
      <c r="TD11" s="18"/>
      <c r="TE11" s="18"/>
      <c r="TF11" s="18"/>
      <c r="TG11" s="18"/>
      <c r="TH11" s="18"/>
      <c r="TI11" s="18"/>
      <c r="TJ11" s="18"/>
      <c r="TK11" s="18"/>
      <c r="TL11" s="18"/>
      <c r="TM11" s="18"/>
      <c r="TN11" s="18"/>
      <c r="TO11" s="18"/>
      <c r="TP11" s="18"/>
      <c r="TQ11" s="18"/>
      <c r="TR11" s="18"/>
      <c r="TS11" s="18"/>
      <c r="TT11" s="18"/>
      <c r="TU11" s="18"/>
      <c r="TV11" s="18"/>
      <c r="TW11" s="18"/>
      <c r="TX11" s="18"/>
      <c r="TY11" s="18"/>
      <c r="TZ11" s="18"/>
      <c r="UA11" s="18"/>
      <c r="UB11" s="18"/>
      <c r="UC11" s="18"/>
      <c r="UD11" s="18"/>
      <c r="UE11" s="18"/>
      <c r="UF11" s="18"/>
      <c r="UG11" s="18"/>
      <c r="UH11" s="18"/>
      <c r="UI11" s="18"/>
      <c r="UJ11" s="18"/>
      <c r="UK11" s="18"/>
      <c r="UL11" s="18"/>
      <c r="UM11" s="18"/>
      <c r="UN11" s="18"/>
      <c r="UO11" s="18"/>
      <c r="UP11" s="18"/>
      <c r="UQ11" s="18"/>
      <c r="UR11" s="18"/>
      <c r="US11" s="18"/>
      <c r="UT11" s="18"/>
      <c r="UU11" s="18"/>
      <c r="UV11" s="18"/>
      <c r="UW11" s="18"/>
      <c r="UX11" s="18"/>
      <c r="UY11" s="18"/>
      <c r="UZ11" s="18"/>
      <c r="VA11" s="18"/>
      <c r="VB11" s="18"/>
      <c r="VC11" s="18"/>
      <c r="VD11" s="18"/>
      <c r="VE11" s="18"/>
      <c r="VF11" s="18"/>
      <c r="VG11" s="18"/>
      <c r="VH11" s="18"/>
      <c r="VI11" s="18"/>
      <c r="VJ11" s="18"/>
      <c r="VK11" s="18"/>
      <c r="VL11" s="18"/>
      <c r="VM11" s="18"/>
      <c r="VN11" s="18"/>
      <c r="VO11" s="18"/>
      <c r="VP11" s="18"/>
      <c r="VQ11" s="18"/>
      <c r="VR11" s="18"/>
      <c r="VS11" s="18"/>
      <c r="VT11" s="18"/>
      <c r="VU11" s="18"/>
      <c r="VV11" s="18"/>
      <c r="VW11" s="18"/>
      <c r="VX11" s="18"/>
      <c r="VY11" s="18"/>
      <c r="VZ11" s="18"/>
      <c r="WA11" s="18"/>
      <c r="WB11" s="18"/>
      <c r="WC11" s="18"/>
      <c r="WD11" s="18"/>
      <c r="WE11" s="18"/>
      <c r="WF11" s="18"/>
      <c r="WG11" s="18"/>
      <c r="WH11" s="18"/>
      <c r="WI11" s="18"/>
      <c r="WJ11" s="18"/>
      <c r="WK11" s="18"/>
      <c r="WL11" s="18"/>
      <c r="WM11" s="18"/>
      <c r="WN11" s="18"/>
      <c r="WO11" s="18"/>
      <c r="WP11" s="18"/>
      <c r="WQ11" s="18"/>
      <c r="WR11" s="18"/>
      <c r="WS11" s="18"/>
      <c r="WT11" s="18"/>
      <c r="WU11" s="18"/>
      <c r="WV11" s="18"/>
      <c r="WW11" s="18"/>
      <c r="WX11" s="18"/>
      <c r="WY11" s="18"/>
      <c r="WZ11" s="18"/>
      <c r="XA11" s="18"/>
      <c r="XB11" s="18"/>
      <c r="XC11" s="18"/>
      <c r="XD11" s="18"/>
      <c r="XE11" s="18"/>
      <c r="XF11" s="18"/>
      <c r="XG11" s="18"/>
      <c r="XH11" s="18"/>
      <c r="XI11" s="18"/>
      <c r="XJ11" s="18"/>
      <c r="XK11" s="18"/>
      <c r="XL11" s="18"/>
      <c r="XM11" s="18"/>
      <c r="XN11" s="18"/>
      <c r="XO11" s="18"/>
      <c r="XP11" s="18"/>
      <c r="XQ11" s="18"/>
      <c r="XR11" s="18"/>
      <c r="XS11" s="18"/>
      <c r="XT11" s="18"/>
      <c r="XU11" s="18"/>
      <c r="XV11" s="18"/>
      <c r="XW11" s="18"/>
      <c r="XX11" s="18"/>
      <c r="XY11" s="18"/>
      <c r="XZ11" s="18"/>
      <c r="YA11" s="18"/>
      <c r="YB11" s="18"/>
      <c r="YC11" s="18"/>
      <c r="YD11" s="18"/>
      <c r="YE11" s="18"/>
      <c r="YF11" s="18"/>
      <c r="YG11" s="18"/>
      <c r="YH11" s="18"/>
      <c r="YI11" s="18"/>
      <c r="YJ11" s="18"/>
      <c r="YK11" s="18"/>
      <c r="YL11" s="18"/>
      <c r="YM11" s="18"/>
      <c r="YN11" s="18"/>
      <c r="YO11" s="18"/>
      <c r="YP11" s="18"/>
      <c r="YQ11" s="18"/>
      <c r="YR11" s="18"/>
      <c r="YS11" s="18"/>
      <c r="YT11" s="18"/>
      <c r="YU11" s="18"/>
      <c r="YV11" s="18"/>
      <c r="YW11" s="18"/>
      <c r="YX11" s="18"/>
      <c r="YY11" s="18"/>
      <c r="YZ11" s="18"/>
      <c r="ZA11" s="18"/>
      <c r="ZB11" s="18"/>
      <c r="ZC11" s="18"/>
      <c r="ZD11" s="18"/>
      <c r="ZE11" s="18"/>
      <c r="ZF11" s="18"/>
      <c r="ZG11" s="18"/>
      <c r="ZH11" s="18"/>
      <c r="ZI11" s="18"/>
      <c r="ZJ11" s="18"/>
      <c r="ZK11" s="18"/>
      <c r="ZL11" s="18"/>
      <c r="ZM11" s="18"/>
      <c r="ZN11" s="18"/>
      <c r="ZO11" s="18"/>
      <c r="ZP11" s="18"/>
      <c r="ZQ11" s="18"/>
      <c r="ZR11" s="18"/>
      <c r="ZS11" s="18"/>
      <c r="ZT11" s="18"/>
      <c r="ZU11" s="18"/>
      <c r="ZV11" s="18"/>
      <c r="ZW11" s="18"/>
      <c r="ZX11" s="18"/>
      <c r="ZY11" s="18"/>
      <c r="ZZ11" s="18"/>
      <c r="AAA11" s="18"/>
      <c r="AAB11" s="18"/>
      <c r="AAC11" s="18"/>
      <c r="AAD11" s="18"/>
      <c r="AAE11" s="18"/>
      <c r="AAF11" s="18"/>
      <c r="AAG11" s="18"/>
      <c r="AAH11" s="18"/>
      <c r="AAI11" s="18"/>
      <c r="AAJ11" s="18"/>
      <c r="AAK11" s="18"/>
      <c r="AAL11" s="18"/>
      <c r="AAM11" s="18"/>
      <c r="AAN11" s="18"/>
      <c r="AAO11" s="18"/>
      <c r="AAP11" s="18"/>
      <c r="AAQ11" s="18"/>
      <c r="AAR11" s="18"/>
      <c r="AAS11" s="18"/>
      <c r="AAT11" s="18"/>
      <c r="AAU11" s="18"/>
      <c r="AAV11" s="18"/>
      <c r="AAW11" s="18"/>
      <c r="AAX11" s="18"/>
      <c r="AAY11" s="18"/>
      <c r="AAZ11" s="18"/>
      <c r="ABA11" s="18"/>
      <c r="ABB11" s="18"/>
      <c r="ABC11" s="18"/>
      <c r="ABD11" s="18"/>
      <c r="ABE11" s="18"/>
      <c r="ABF11" s="18"/>
      <c r="ABG11" s="18"/>
      <c r="ABH11" s="18"/>
      <c r="ABI11" s="18"/>
      <c r="ABJ11" s="18"/>
      <c r="ABK11" s="18"/>
      <c r="ABL11" s="18"/>
      <c r="ABM11" s="18"/>
      <c r="ABN11" s="18"/>
      <c r="ABO11" s="18"/>
      <c r="ABP11" s="18"/>
      <c r="ABQ11" s="18"/>
      <c r="ABR11" s="18"/>
      <c r="ABS11" s="18"/>
      <c r="ABT11" s="18"/>
      <c r="ABU11" s="18"/>
      <c r="ABV11" s="18"/>
      <c r="ABW11" s="18"/>
      <c r="ABX11" s="18"/>
      <c r="ABY11" s="18"/>
      <c r="ABZ11" s="18"/>
      <c r="ACA11" s="18"/>
      <c r="ACB11" s="18"/>
      <c r="ACC11" s="18"/>
      <c r="ACD11" s="18"/>
      <c r="ACE11" s="18"/>
      <c r="ACF11" s="18"/>
      <c r="ACG11" s="18"/>
      <c r="ACH11" s="18"/>
      <c r="ACI11" s="18"/>
      <c r="ACJ11" s="18"/>
      <c r="ACK11" s="18"/>
      <c r="ACL11" s="18"/>
      <c r="ACM11" s="18"/>
      <c r="ACN11" s="18"/>
      <c r="ACO11" s="18"/>
      <c r="ACP11" s="18"/>
      <c r="ACQ11" s="18"/>
      <c r="ACR11" s="18"/>
      <c r="ACS11" s="18"/>
      <c r="ACT11" s="18"/>
      <c r="ACU11" s="18"/>
      <c r="ACV11" s="18"/>
      <c r="ACW11" s="18"/>
      <c r="ACX11" s="18"/>
      <c r="ACY11" s="18"/>
      <c r="ACZ11" s="18"/>
      <c r="ADA11" s="18"/>
      <c r="ADB11" s="18"/>
      <c r="ADC11" s="18"/>
      <c r="ADD11" s="18"/>
      <c r="ADE11" s="18"/>
      <c r="ADF11" s="18"/>
      <c r="ADG11" s="18"/>
      <c r="ADH11" s="18"/>
      <c r="ADI11" s="18"/>
      <c r="ADJ11" s="18"/>
      <c r="ADK11" s="18"/>
      <c r="ADL11" s="18"/>
      <c r="ADM11" s="18"/>
      <c r="ADN11" s="18"/>
      <c r="ADO11" s="18"/>
      <c r="ADP11" s="18"/>
      <c r="ADQ11" s="18"/>
      <c r="ADR11" s="18"/>
      <c r="ADS11" s="18"/>
      <c r="ADT11" s="18"/>
      <c r="ADU11" s="18"/>
      <c r="ADV11" s="18"/>
      <c r="ADW11" s="18"/>
      <c r="ADX11" s="18"/>
      <c r="ADY11" s="18"/>
      <c r="ADZ11" s="18"/>
      <c r="AEA11" s="18"/>
      <c r="AEB11" s="18"/>
      <c r="AEC11" s="18"/>
      <c r="AED11" s="18"/>
      <c r="AEE11" s="18"/>
      <c r="AEF11" s="18"/>
      <c r="AEG11" s="18"/>
      <c r="AEH11" s="18"/>
      <c r="AEI11" s="18"/>
      <c r="AEJ11" s="18"/>
      <c r="AEK11" s="18"/>
      <c r="AEL11" s="18"/>
      <c r="AEM11" s="18"/>
      <c r="AEN11" s="18"/>
      <c r="AEO11" s="18"/>
      <c r="AEP11" s="18"/>
      <c r="AEQ11" s="18"/>
      <c r="AER11" s="18"/>
      <c r="AES11" s="18"/>
      <c r="AET11" s="18"/>
      <c r="AEU11" s="18"/>
      <c r="AEV11" s="18"/>
      <c r="AEW11" s="18"/>
      <c r="AEX11" s="18"/>
      <c r="AEY11" s="18"/>
      <c r="AEZ11" s="18"/>
      <c r="AFA11" s="18"/>
      <c r="AFB11" s="18"/>
      <c r="AFC11" s="18"/>
      <c r="AFD11" s="18"/>
      <c r="AFE11" s="18"/>
      <c r="AFF11" s="18"/>
      <c r="AFG11" s="18"/>
      <c r="AFH11" s="18"/>
      <c r="AFI11" s="18"/>
      <c r="AFJ11" s="18"/>
      <c r="AFK11" s="18"/>
      <c r="AFL11" s="18"/>
      <c r="AFM11" s="18"/>
      <c r="AFN11" s="18"/>
      <c r="AFO11" s="18"/>
      <c r="AFP11" s="18"/>
      <c r="AFQ11" s="18"/>
      <c r="AFR11" s="18"/>
      <c r="AFS11" s="18"/>
      <c r="AFT11" s="18"/>
      <c r="AFU11" s="18"/>
      <c r="AFV11" s="18"/>
      <c r="AFW11" s="18"/>
      <c r="AFX11" s="18"/>
      <c r="AFY11" s="18"/>
      <c r="AFZ11" s="18"/>
      <c r="AGA11" s="18"/>
      <c r="AGB11" s="18"/>
      <c r="AGC11" s="18"/>
      <c r="AGD11" s="18"/>
      <c r="AGE11" s="18"/>
      <c r="AGF11" s="18"/>
      <c r="AGG11" s="18"/>
      <c r="AGH11" s="18"/>
      <c r="AGI11" s="18"/>
      <c r="AGJ11" s="18"/>
      <c r="AGK11" s="18"/>
      <c r="AGL11" s="18"/>
      <c r="AGM11" s="18"/>
      <c r="AGN11" s="18"/>
      <c r="AGO11" s="18"/>
      <c r="AGP11" s="18"/>
      <c r="AGQ11" s="18"/>
      <c r="AGR11" s="18"/>
      <c r="AGS11" s="18"/>
      <c r="AGT11" s="18"/>
      <c r="AGU11" s="18"/>
      <c r="AGV11" s="18"/>
      <c r="AGW11" s="18"/>
      <c r="AGX11" s="18"/>
      <c r="AGY11" s="18"/>
      <c r="AGZ11" s="18"/>
      <c r="AHA11" s="18"/>
      <c r="AHB11" s="18"/>
      <c r="AHC11" s="18"/>
      <c r="AHD11" s="18"/>
      <c r="AHE11" s="18"/>
      <c r="AHF11" s="18"/>
      <c r="AHG11" s="18"/>
      <c r="AHH11" s="18"/>
      <c r="AHI11" s="18"/>
      <c r="AHJ11" s="18"/>
      <c r="AHK11" s="18"/>
      <c r="AHL11" s="18"/>
      <c r="AHM11" s="18"/>
      <c r="AHN11" s="18"/>
      <c r="AHO11" s="18"/>
      <c r="AHP11" s="18"/>
      <c r="AHQ11" s="18"/>
      <c r="AHR11" s="18"/>
      <c r="AHS11" s="18"/>
      <c r="AHT11" s="18"/>
      <c r="AHU11" s="18"/>
      <c r="AHV11" s="18"/>
      <c r="AHW11" s="18"/>
      <c r="AHX11" s="18"/>
      <c r="AHY11" s="18"/>
      <c r="AHZ11" s="18"/>
      <c r="AIA11" s="18"/>
      <c r="AIB11" s="18"/>
      <c r="AIC11" s="18"/>
      <c r="AID11" s="18"/>
      <c r="AIE11" s="18"/>
      <c r="AIF11" s="18"/>
      <c r="AIG11" s="18"/>
      <c r="AIH11" s="18"/>
      <c r="AII11" s="18"/>
      <c r="AIJ11" s="18"/>
      <c r="AIK11" s="18"/>
      <c r="AIL11" s="18"/>
      <c r="AIM11" s="18"/>
      <c r="AIN11" s="18"/>
      <c r="AIO11" s="18"/>
      <c r="AIP11" s="18"/>
      <c r="AIQ11" s="18"/>
      <c r="AIR11" s="18"/>
      <c r="AIS11" s="18"/>
      <c r="AIT11" s="18"/>
      <c r="AIU11" s="18"/>
      <c r="AIV11" s="18"/>
      <c r="AIW11" s="18"/>
      <c r="AIX11" s="18"/>
      <c r="AIY11" s="18"/>
      <c r="AIZ11" s="18"/>
      <c r="AJA11" s="18"/>
      <c r="AJB11" s="18"/>
      <c r="AJC11" s="18"/>
      <c r="AJD11" s="18"/>
      <c r="AJE11" s="18"/>
      <c r="AJF11" s="18"/>
      <c r="AJG11" s="18"/>
      <c r="AJH11" s="18"/>
      <c r="AJI11" s="18"/>
      <c r="AJJ11" s="18"/>
      <c r="AJK11" s="18"/>
      <c r="AJL11" s="18"/>
      <c r="AJM11" s="18"/>
      <c r="AJN11" s="18"/>
      <c r="AJO11" s="18"/>
      <c r="AJP11" s="18"/>
      <c r="AJQ11" s="18"/>
      <c r="AJR11" s="18"/>
      <c r="AJS11" s="18"/>
      <c r="AJT11" s="18"/>
      <c r="AJU11" s="18"/>
      <c r="AJV11" s="18"/>
      <c r="AJW11" s="18"/>
      <c r="AJX11" s="18"/>
      <c r="AJY11" s="18"/>
      <c r="AJZ11" s="18"/>
      <c r="AKA11" s="18"/>
      <c r="AKB11" s="18"/>
      <c r="AKC11" s="18"/>
      <c r="AKD11" s="18"/>
      <c r="AKE11" s="18"/>
      <c r="AKF11" s="18"/>
      <c r="AKG11" s="18"/>
      <c r="AKH11" s="18"/>
      <c r="AKI11" s="18"/>
      <c r="AKJ11" s="18"/>
      <c r="AKK11" s="18"/>
      <c r="AKL11" s="18"/>
      <c r="AKM11" s="18"/>
      <c r="AKN11" s="18"/>
      <c r="AKO11" s="18"/>
      <c r="AKP11" s="18"/>
      <c r="AKQ11" s="18"/>
      <c r="AKR11" s="18"/>
      <c r="AKS11" s="18"/>
      <c r="AKT11" s="18"/>
      <c r="AKU11" s="18"/>
      <c r="AKV11" s="18"/>
      <c r="AKW11" s="18"/>
      <c r="AKX11" s="18"/>
      <c r="AKY11" s="18"/>
      <c r="AKZ11" s="18"/>
      <c r="ALA11" s="18"/>
      <c r="ALB11" s="18"/>
      <c r="ALC11" s="18"/>
      <c r="ALD11" s="18"/>
      <c r="ALE11" s="18"/>
      <c r="ALF11" s="18"/>
      <c r="ALG11" s="18"/>
      <c r="ALH11" s="18"/>
      <c r="ALI11" s="18"/>
      <c r="ALJ11" s="18"/>
      <c r="ALK11" s="18"/>
      <c r="ALL11" s="18"/>
      <c r="ALM11" s="18"/>
      <c r="ALN11" s="18"/>
      <c r="ALO11" s="18"/>
      <c r="ALP11" s="18"/>
      <c r="ALQ11" s="18"/>
      <c r="ALR11" s="18"/>
      <c r="ALS11" s="18"/>
      <c r="ALT11" s="18"/>
    </row>
    <row r="12" spans="1:1008">
      <c r="A12" s="266"/>
      <c r="B12" s="368"/>
      <c r="C12" s="369"/>
      <c r="D12" s="269"/>
      <c r="E12" s="271"/>
      <c r="F12" s="271"/>
      <c r="G12" s="271"/>
      <c r="H12" s="271"/>
      <c r="I12" s="271"/>
      <c r="J12" s="271"/>
      <c r="K12" s="18"/>
      <c r="L12" s="191"/>
      <c r="M12" s="191"/>
      <c r="N12" s="18"/>
      <c r="O12" s="18"/>
      <c r="P12" s="263"/>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c r="JF12" s="18"/>
      <c r="JG12" s="18"/>
      <c r="JH12" s="18"/>
      <c r="JI12" s="18"/>
      <c r="JJ12" s="18"/>
      <c r="JK12" s="18"/>
      <c r="JL12" s="18"/>
      <c r="JM12" s="18"/>
      <c r="JN12" s="18"/>
      <c r="JO12" s="18"/>
      <c r="JP12" s="18"/>
      <c r="JQ12" s="18"/>
      <c r="JR12" s="18"/>
      <c r="JS12" s="18"/>
      <c r="JT12" s="18"/>
      <c r="JU12" s="18"/>
      <c r="JV12" s="18"/>
      <c r="JW12" s="18"/>
      <c r="JX12" s="18"/>
      <c r="JY12" s="18"/>
      <c r="JZ12" s="18"/>
      <c r="KA12" s="18"/>
      <c r="KB12" s="18"/>
      <c r="KC12" s="18"/>
      <c r="KD12" s="18"/>
      <c r="KE12" s="18"/>
      <c r="KF12" s="18"/>
      <c r="KG12" s="18"/>
      <c r="KH12" s="18"/>
      <c r="KI12" s="18"/>
      <c r="KJ12" s="18"/>
      <c r="KK12" s="18"/>
      <c r="KL12" s="18"/>
      <c r="KM12" s="18"/>
      <c r="KN12" s="18"/>
      <c r="KO12" s="18"/>
      <c r="KP12" s="18"/>
      <c r="KQ12" s="18"/>
      <c r="KR12" s="18"/>
      <c r="KS12" s="18"/>
      <c r="KT12" s="18"/>
      <c r="KU12" s="18"/>
      <c r="KV12" s="18"/>
      <c r="KW12" s="18"/>
      <c r="KX12" s="18"/>
      <c r="KY12" s="18"/>
      <c r="KZ12" s="18"/>
      <c r="LA12" s="18"/>
      <c r="LB12" s="18"/>
      <c r="LC12" s="18"/>
      <c r="LD12" s="18"/>
      <c r="LE12" s="18"/>
      <c r="LF12" s="18"/>
      <c r="LG12" s="18"/>
      <c r="LH12" s="18"/>
      <c r="LI12" s="18"/>
      <c r="LJ12" s="18"/>
      <c r="LK12" s="18"/>
      <c r="LL12" s="18"/>
      <c r="LM12" s="18"/>
      <c r="LN12" s="18"/>
      <c r="LO12" s="18"/>
      <c r="LP12" s="18"/>
      <c r="LQ12" s="18"/>
      <c r="LR12" s="18"/>
      <c r="LS12" s="18"/>
      <c r="LT12" s="18"/>
      <c r="LU12" s="18"/>
      <c r="LV12" s="18"/>
      <c r="LW12" s="18"/>
      <c r="LX12" s="18"/>
      <c r="LY12" s="18"/>
      <c r="LZ12" s="18"/>
      <c r="MA12" s="18"/>
      <c r="MB12" s="18"/>
      <c r="MC12" s="18"/>
      <c r="MD12" s="18"/>
      <c r="ME12" s="18"/>
      <c r="MF12" s="18"/>
      <c r="MG12" s="18"/>
      <c r="MH12" s="18"/>
      <c r="MI12" s="18"/>
      <c r="MJ12" s="18"/>
      <c r="MK12" s="18"/>
      <c r="ML12" s="18"/>
      <c r="MM12" s="18"/>
      <c r="MN12" s="18"/>
      <c r="MO12" s="18"/>
      <c r="MP12" s="18"/>
      <c r="MQ12" s="18"/>
      <c r="MR12" s="18"/>
      <c r="MS12" s="18"/>
      <c r="MT12" s="18"/>
      <c r="MU12" s="18"/>
      <c r="MV12" s="18"/>
      <c r="MW12" s="18"/>
      <c r="MX12" s="18"/>
      <c r="MY12" s="18"/>
      <c r="MZ12" s="18"/>
      <c r="NA12" s="18"/>
      <c r="NB12" s="18"/>
      <c r="NC12" s="18"/>
      <c r="ND12" s="18"/>
      <c r="NE12" s="18"/>
      <c r="NF12" s="18"/>
      <c r="NG12" s="18"/>
      <c r="NH12" s="18"/>
      <c r="NI12" s="18"/>
      <c r="NJ12" s="18"/>
      <c r="NK12" s="18"/>
      <c r="NL12" s="18"/>
      <c r="NM12" s="18"/>
      <c r="NN12" s="18"/>
      <c r="NO12" s="18"/>
      <c r="NP12" s="18"/>
      <c r="NQ12" s="18"/>
      <c r="NR12" s="18"/>
      <c r="NS12" s="18"/>
      <c r="NT12" s="18"/>
      <c r="NU12" s="18"/>
      <c r="NV12" s="18"/>
      <c r="NW12" s="18"/>
      <c r="NX12" s="18"/>
      <c r="NY12" s="18"/>
      <c r="NZ12" s="18"/>
      <c r="OA12" s="18"/>
      <c r="OB12" s="18"/>
      <c r="OC12" s="18"/>
      <c r="OD12" s="18"/>
      <c r="OE12" s="18"/>
      <c r="OF12" s="18"/>
      <c r="OG12" s="18"/>
      <c r="OH12" s="18"/>
      <c r="OI12" s="18"/>
      <c r="OJ12" s="18"/>
      <c r="OK12" s="18"/>
      <c r="OL12" s="18"/>
      <c r="OM12" s="18"/>
      <c r="ON12" s="18"/>
      <c r="OO12" s="18"/>
      <c r="OP12" s="18"/>
      <c r="OQ12" s="18"/>
      <c r="OR12" s="18"/>
      <c r="OS12" s="18"/>
      <c r="OT12" s="18"/>
      <c r="OU12" s="18"/>
      <c r="OV12" s="18"/>
      <c r="OW12" s="18"/>
      <c r="OX12" s="18"/>
      <c r="OY12" s="18"/>
      <c r="OZ12" s="18"/>
      <c r="PA12" s="18"/>
      <c r="PB12" s="18"/>
      <c r="PC12" s="18"/>
      <c r="PD12" s="18"/>
      <c r="PE12" s="18"/>
      <c r="PF12" s="18"/>
      <c r="PG12" s="18"/>
      <c r="PH12" s="18"/>
      <c r="PI12" s="18"/>
      <c r="PJ12" s="18"/>
      <c r="PK12" s="18"/>
      <c r="PL12" s="18"/>
      <c r="PM12" s="18"/>
      <c r="PN12" s="18"/>
      <c r="PO12" s="18"/>
      <c r="PP12" s="18"/>
      <c r="PQ12" s="18"/>
      <c r="PR12" s="18"/>
      <c r="PS12" s="18"/>
      <c r="PT12" s="18"/>
      <c r="PU12" s="18"/>
      <c r="PV12" s="18"/>
      <c r="PW12" s="18"/>
      <c r="PX12" s="18"/>
      <c r="PY12" s="18"/>
      <c r="PZ12" s="18"/>
      <c r="QA12" s="18"/>
      <c r="QB12" s="18"/>
      <c r="QC12" s="18"/>
      <c r="QD12" s="18"/>
      <c r="QE12" s="18"/>
      <c r="QF12" s="18"/>
      <c r="QG12" s="18"/>
      <c r="QH12" s="18"/>
      <c r="QI12" s="18"/>
      <c r="QJ12" s="18"/>
      <c r="QK12" s="18"/>
      <c r="QL12" s="18"/>
      <c r="QM12" s="18"/>
      <c r="QN12" s="18"/>
      <c r="QO12" s="18"/>
      <c r="QP12" s="18"/>
      <c r="QQ12" s="18"/>
      <c r="QR12" s="18"/>
      <c r="QS12" s="18"/>
      <c r="QT12" s="18"/>
      <c r="QU12" s="18"/>
      <c r="QV12" s="18"/>
      <c r="QW12" s="18"/>
      <c r="QX12" s="18"/>
      <c r="QY12" s="18"/>
      <c r="QZ12" s="18"/>
      <c r="RA12" s="18"/>
      <c r="RB12" s="18"/>
      <c r="RC12" s="18"/>
      <c r="RD12" s="18"/>
      <c r="RE12" s="18"/>
      <c r="RF12" s="18"/>
      <c r="RG12" s="18"/>
      <c r="RH12" s="18"/>
      <c r="RI12" s="18"/>
      <c r="RJ12" s="18"/>
      <c r="RK12" s="18"/>
      <c r="RL12" s="18"/>
      <c r="RM12" s="18"/>
      <c r="RN12" s="18"/>
      <c r="RO12" s="18"/>
      <c r="RP12" s="18"/>
      <c r="RQ12" s="18"/>
      <c r="RR12" s="18"/>
      <c r="RS12" s="18"/>
      <c r="RT12" s="18"/>
      <c r="RU12" s="18"/>
      <c r="RV12" s="18"/>
      <c r="RW12" s="18"/>
      <c r="RX12" s="18"/>
      <c r="RY12" s="18"/>
      <c r="RZ12" s="18"/>
      <c r="SA12" s="18"/>
      <c r="SB12" s="18"/>
      <c r="SC12" s="18"/>
      <c r="SD12" s="18"/>
      <c r="SE12" s="18"/>
      <c r="SF12" s="18"/>
      <c r="SG12" s="18"/>
      <c r="SH12" s="18"/>
      <c r="SI12" s="18"/>
      <c r="SJ12" s="18"/>
      <c r="SK12" s="18"/>
      <c r="SL12" s="18"/>
      <c r="SM12" s="18"/>
      <c r="SN12" s="18"/>
      <c r="SO12" s="18"/>
      <c r="SP12" s="18"/>
      <c r="SQ12" s="18"/>
      <c r="SR12" s="18"/>
      <c r="SS12" s="18"/>
      <c r="ST12" s="18"/>
      <c r="SU12" s="18"/>
      <c r="SV12" s="18"/>
      <c r="SW12" s="18"/>
      <c r="SX12" s="18"/>
      <c r="SY12" s="18"/>
      <c r="SZ12" s="18"/>
      <c r="TA12" s="18"/>
      <c r="TB12" s="18"/>
      <c r="TC12" s="18"/>
      <c r="TD12" s="18"/>
      <c r="TE12" s="18"/>
      <c r="TF12" s="18"/>
      <c r="TG12" s="18"/>
      <c r="TH12" s="18"/>
      <c r="TI12" s="18"/>
      <c r="TJ12" s="18"/>
      <c r="TK12" s="18"/>
      <c r="TL12" s="18"/>
      <c r="TM12" s="18"/>
      <c r="TN12" s="18"/>
      <c r="TO12" s="18"/>
      <c r="TP12" s="18"/>
      <c r="TQ12" s="18"/>
      <c r="TR12" s="18"/>
      <c r="TS12" s="18"/>
      <c r="TT12" s="18"/>
      <c r="TU12" s="18"/>
      <c r="TV12" s="18"/>
      <c r="TW12" s="18"/>
      <c r="TX12" s="18"/>
      <c r="TY12" s="18"/>
      <c r="TZ12" s="18"/>
      <c r="UA12" s="18"/>
      <c r="UB12" s="18"/>
      <c r="UC12" s="18"/>
      <c r="UD12" s="18"/>
      <c r="UE12" s="18"/>
      <c r="UF12" s="18"/>
      <c r="UG12" s="18"/>
      <c r="UH12" s="18"/>
      <c r="UI12" s="18"/>
      <c r="UJ12" s="18"/>
      <c r="UK12" s="18"/>
      <c r="UL12" s="18"/>
      <c r="UM12" s="18"/>
      <c r="UN12" s="18"/>
      <c r="UO12" s="18"/>
      <c r="UP12" s="18"/>
      <c r="UQ12" s="18"/>
      <c r="UR12" s="18"/>
      <c r="US12" s="18"/>
      <c r="UT12" s="18"/>
      <c r="UU12" s="18"/>
      <c r="UV12" s="18"/>
      <c r="UW12" s="18"/>
      <c r="UX12" s="18"/>
      <c r="UY12" s="18"/>
      <c r="UZ12" s="18"/>
      <c r="VA12" s="18"/>
      <c r="VB12" s="18"/>
      <c r="VC12" s="18"/>
      <c r="VD12" s="18"/>
      <c r="VE12" s="18"/>
      <c r="VF12" s="18"/>
      <c r="VG12" s="18"/>
      <c r="VH12" s="18"/>
      <c r="VI12" s="18"/>
      <c r="VJ12" s="18"/>
      <c r="VK12" s="18"/>
      <c r="VL12" s="18"/>
      <c r="VM12" s="18"/>
      <c r="VN12" s="18"/>
      <c r="VO12" s="18"/>
      <c r="VP12" s="18"/>
      <c r="VQ12" s="18"/>
      <c r="VR12" s="18"/>
      <c r="VS12" s="18"/>
      <c r="VT12" s="18"/>
      <c r="VU12" s="18"/>
      <c r="VV12" s="18"/>
      <c r="VW12" s="18"/>
      <c r="VX12" s="18"/>
      <c r="VY12" s="18"/>
      <c r="VZ12" s="18"/>
      <c r="WA12" s="18"/>
      <c r="WB12" s="18"/>
      <c r="WC12" s="18"/>
      <c r="WD12" s="18"/>
      <c r="WE12" s="18"/>
      <c r="WF12" s="18"/>
      <c r="WG12" s="18"/>
      <c r="WH12" s="18"/>
      <c r="WI12" s="18"/>
      <c r="WJ12" s="18"/>
      <c r="WK12" s="18"/>
      <c r="WL12" s="18"/>
      <c r="WM12" s="18"/>
      <c r="WN12" s="18"/>
      <c r="WO12" s="18"/>
      <c r="WP12" s="18"/>
      <c r="WQ12" s="18"/>
      <c r="WR12" s="18"/>
      <c r="WS12" s="18"/>
      <c r="WT12" s="18"/>
      <c r="WU12" s="18"/>
      <c r="WV12" s="18"/>
      <c r="WW12" s="18"/>
      <c r="WX12" s="18"/>
      <c r="WY12" s="18"/>
      <c r="WZ12" s="18"/>
      <c r="XA12" s="18"/>
      <c r="XB12" s="18"/>
      <c r="XC12" s="18"/>
      <c r="XD12" s="18"/>
      <c r="XE12" s="18"/>
      <c r="XF12" s="18"/>
      <c r="XG12" s="18"/>
      <c r="XH12" s="18"/>
      <c r="XI12" s="18"/>
      <c r="XJ12" s="18"/>
      <c r="XK12" s="18"/>
      <c r="XL12" s="18"/>
      <c r="XM12" s="18"/>
      <c r="XN12" s="18"/>
      <c r="XO12" s="18"/>
      <c r="XP12" s="18"/>
      <c r="XQ12" s="18"/>
      <c r="XR12" s="18"/>
      <c r="XS12" s="18"/>
      <c r="XT12" s="18"/>
      <c r="XU12" s="18"/>
      <c r="XV12" s="18"/>
      <c r="XW12" s="18"/>
      <c r="XX12" s="18"/>
      <c r="XY12" s="18"/>
      <c r="XZ12" s="18"/>
      <c r="YA12" s="18"/>
      <c r="YB12" s="18"/>
      <c r="YC12" s="18"/>
      <c r="YD12" s="18"/>
      <c r="YE12" s="18"/>
      <c r="YF12" s="18"/>
      <c r="YG12" s="18"/>
      <c r="YH12" s="18"/>
      <c r="YI12" s="18"/>
      <c r="YJ12" s="18"/>
      <c r="YK12" s="18"/>
      <c r="YL12" s="18"/>
      <c r="YM12" s="18"/>
      <c r="YN12" s="18"/>
      <c r="YO12" s="18"/>
      <c r="YP12" s="18"/>
      <c r="YQ12" s="18"/>
      <c r="YR12" s="18"/>
      <c r="YS12" s="18"/>
      <c r="YT12" s="18"/>
      <c r="YU12" s="18"/>
      <c r="YV12" s="18"/>
      <c r="YW12" s="18"/>
      <c r="YX12" s="18"/>
      <c r="YY12" s="18"/>
      <c r="YZ12" s="18"/>
      <c r="ZA12" s="18"/>
      <c r="ZB12" s="18"/>
      <c r="ZC12" s="18"/>
      <c r="ZD12" s="18"/>
      <c r="ZE12" s="18"/>
      <c r="ZF12" s="18"/>
      <c r="ZG12" s="18"/>
      <c r="ZH12" s="18"/>
      <c r="ZI12" s="18"/>
      <c r="ZJ12" s="18"/>
      <c r="ZK12" s="18"/>
      <c r="ZL12" s="18"/>
      <c r="ZM12" s="18"/>
      <c r="ZN12" s="18"/>
      <c r="ZO12" s="18"/>
      <c r="ZP12" s="18"/>
      <c r="ZQ12" s="18"/>
      <c r="ZR12" s="18"/>
      <c r="ZS12" s="18"/>
      <c r="ZT12" s="18"/>
      <c r="ZU12" s="18"/>
      <c r="ZV12" s="18"/>
      <c r="ZW12" s="18"/>
      <c r="ZX12" s="18"/>
      <c r="ZY12" s="18"/>
      <c r="ZZ12" s="18"/>
      <c r="AAA12" s="18"/>
      <c r="AAB12" s="18"/>
      <c r="AAC12" s="18"/>
      <c r="AAD12" s="18"/>
      <c r="AAE12" s="18"/>
      <c r="AAF12" s="18"/>
      <c r="AAG12" s="18"/>
      <c r="AAH12" s="18"/>
      <c r="AAI12" s="18"/>
      <c r="AAJ12" s="18"/>
      <c r="AAK12" s="18"/>
      <c r="AAL12" s="18"/>
      <c r="AAM12" s="18"/>
      <c r="AAN12" s="18"/>
      <c r="AAO12" s="18"/>
      <c r="AAP12" s="18"/>
      <c r="AAQ12" s="18"/>
      <c r="AAR12" s="18"/>
      <c r="AAS12" s="18"/>
      <c r="AAT12" s="18"/>
      <c r="AAU12" s="18"/>
      <c r="AAV12" s="18"/>
      <c r="AAW12" s="18"/>
      <c r="AAX12" s="18"/>
      <c r="AAY12" s="18"/>
      <c r="AAZ12" s="18"/>
      <c r="ABA12" s="18"/>
      <c r="ABB12" s="18"/>
      <c r="ABC12" s="18"/>
      <c r="ABD12" s="18"/>
      <c r="ABE12" s="18"/>
      <c r="ABF12" s="18"/>
      <c r="ABG12" s="18"/>
      <c r="ABH12" s="18"/>
      <c r="ABI12" s="18"/>
      <c r="ABJ12" s="18"/>
      <c r="ABK12" s="18"/>
      <c r="ABL12" s="18"/>
      <c r="ABM12" s="18"/>
      <c r="ABN12" s="18"/>
      <c r="ABO12" s="18"/>
      <c r="ABP12" s="18"/>
      <c r="ABQ12" s="18"/>
      <c r="ABR12" s="18"/>
      <c r="ABS12" s="18"/>
      <c r="ABT12" s="18"/>
      <c r="ABU12" s="18"/>
      <c r="ABV12" s="18"/>
      <c r="ABW12" s="18"/>
      <c r="ABX12" s="18"/>
      <c r="ABY12" s="18"/>
      <c r="ABZ12" s="18"/>
      <c r="ACA12" s="18"/>
      <c r="ACB12" s="18"/>
      <c r="ACC12" s="18"/>
      <c r="ACD12" s="18"/>
      <c r="ACE12" s="18"/>
      <c r="ACF12" s="18"/>
      <c r="ACG12" s="18"/>
      <c r="ACH12" s="18"/>
      <c r="ACI12" s="18"/>
      <c r="ACJ12" s="18"/>
      <c r="ACK12" s="18"/>
      <c r="ACL12" s="18"/>
      <c r="ACM12" s="18"/>
      <c r="ACN12" s="18"/>
      <c r="ACO12" s="18"/>
      <c r="ACP12" s="18"/>
      <c r="ACQ12" s="18"/>
      <c r="ACR12" s="18"/>
      <c r="ACS12" s="18"/>
      <c r="ACT12" s="18"/>
      <c r="ACU12" s="18"/>
      <c r="ACV12" s="18"/>
      <c r="ACW12" s="18"/>
      <c r="ACX12" s="18"/>
      <c r="ACY12" s="18"/>
      <c r="ACZ12" s="18"/>
      <c r="ADA12" s="18"/>
      <c r="ADB12" s="18"/>
      <c r="ADC12" s="18"/>
      <c r="ADD12" s="18"/>
      <c r="ADE12" s="18"/>
      <c r="ADF12" s="18"/>
      <c r="ADG12" s="18"/>
      <c r="ADH12" s="18"/>
      <c r="ADI12" s="18"/>
      <c r="ADJ12" s="18"/>
      <c r="ADK12" s="18"/>
      <c r="ADL12" s="18"/>
      <c r="ADM12" s="18"/>
      <c r="ADN12" s="18"/>
      <c r="ADO12" s="18"/>
      <c r="ADP12" s="18"/>
      <c r="ADQ12" s="18"/>
      <c r="ADR12" s="18"/>
      <c r="ADS12" s="18"/>
      <c r="ADT12" s="18"/>
      <c r="ADU12" s="18"/>
      <c r="ADV12" s="18"/>
      <c r="ADW12" s="18"/>
      <c r="ADX12" s="18"/>
      <c r="ADY12" s="18"/>
      <c r="ADZ12" s="18"/>
      <c r="AEA12" s="18"/>
      <c r="AEB12" s="18"/>
      <c r="AEC12" s="18"/>
      <c r="AED12" s="18"/>
      <c r="AEE12" s="18"/>
      <c r="AEF12" s="18"/>
      <c r="AEG12" s="18"/>
      <c r="AEH12" s="18"/>
      <c r="AEI12" s="18"/>
      <c r="AEJ12" s="18"/>
      <c r="AEK12" s="18"/>
      <c r="AEL12" s="18"/>
      <c r="AEM12" s="18"/>
      <c r="AEN12" s="18"/>
      <c r="AEO12" s="18"/>
      <c r="AEP12" s="18"/>
      <c r="AEQ12" s="18"/>
      <c r="AER12" s="18"/>
      <c r="AES12" s="18"/>
      <c r="AET12" s="18"/>
      <c r="AEU12" s="18"/>
      <c r="AEV12" s="18"/>
      <c r="AEW12" s="18"/>
      <c r="AEX12" s="18"/>
      <c r="AEY12" s="18"/>
      <c r="AEZ12" s="18"/>
      <c r="AFA12" s="18"/>
      <c r="AFB12" s="18"/>
      <c r="AFC12" s="18"/>
      <c r="AFD12" s="18"/>
      <c r="AFE12" s="18"/>
      <c r="AFF12" s="18"/>
      <c r="AFG12" s="18"/>
      <c r="AFH12" s="18"/>
      <c r="AFI12" s="18"/>
      <c r="AFJ12" s="18"/>
      <c r="AFK12" s="18"/>
      <c r="AFL12" s="18"/>
      <c r="AFM12" s="18"/>
      <c r="AFN12" s="18"/>
      <c r="AFO12" s="18"/>
      <c r="AFP12" s="18"/>
      <c r="AFQ12" s="18"/>
      <c r="AFR12" s="18"/>
      <c r="AFS12" s="18"/>
      <c r="AFT12" s="18"/>
      <c r="AFU12" s="18"/>
      <c r="AFV12" s="18"/>
      <c r="AFW12" s="18"/>
      <c r="AFX12" s="18"/>
      <c r="AFY12" s="18"/>
      <c r="AFZ12" s="18"/>
      <c r="AGA12" s="18"/>
      <c r="AGB12" s="18"/>
      <c r="AGC12" s="18"/>
      <c r="AGD12" s="18"/>
      <c r="AGE12" s="18"/>
      <c r="AGF12" s="18"/>
      <c r="AGG12" s="18"/>
      <c r="AGH12" s="18"/>
      <c r="AGI12" s="18"/>
      <c r="AGJ12" s="18"/>
      <c r="AGK12" s="18"/>
      <c r="AGL12" s="18"/>
      <c r="AGM12" s="18"/>
      <c r="AGN12" s="18"/>
      <c r="AGO12" s="18"/>
      <c r="AGP12" s="18"/>
      <c r="AGQ12" s="18"/>
      <c r="AGR12" s="18"/>
      <c r="AGS12" s="18"/>
      <c r="AGT12" s="18"/>
      <c r="AGU12" s="18"/>
      <c r="AGV12" s="18"/>
      <c r="AGW12" s="18"/>
      <c r="AGX12" s="18"/>
      <c r="AGY12" s="18"/>
      <c r="AGZ12" s="18"/>
      <c r="AHA12" s="18"/>
      <c r="AHB12" s="18"/>
      <c r="AHC12" s="18"/>
      <c r="AHD12" s="18"/>
      <c r="AHE12" s="18"/>
      <c r="AHF12" s="18"/>
      <c r="AHG12" s="18"/>
      <c r="AHH12" s="18"/>
      <c r="AHI12" s="18"/>
      <c r="AHJ12" s="18"/>
      <c r="AHK12" s="18"/>
      <c r="AHL12" s="18"/>
      <c r="AHM12" s="18"/>
      <c r="AHN12" s="18"/>
      <c r="AHO12" s="18"/>
      <c r="AHP12" s="18"/>
      <c r="AHQ12" s="18"/>
      <c r="AHR12" s="18"/>
      <c r="AHS12" s="18"/>
      <c r="AHT12" s="18"/>
      <c r="AHU12" s="18"/>
      <c r="AHV12" s="18"/>
      <c r="AHW12" s="18"/>
      <c r="AHX12" s="18"/>
      <c r="AHY12" s="18"/>
      <c r="AHZ12" s="18"/>
      <c r="AIA12" s="18"/>
      <c r="AIB12" s="18"/>
      <c r="AIC12" s="18"/>
      <c r="AID12" s="18"/>
      <c r="AIE12" s="18"/>
      <c r="AIF12" s="18"/>
      <c r="AIG12" s="18"/>
      <c r="AIH12" s="18"/>
      <c r="AII12" s="18"/>
      <c r="AIJ12" s="18"/>
      <c r="AIK12" s="18"/>
      <c r="AIL12" s="18"/>
      <c r="AIM12" s="18"/>
      <c r="AIN12" s="18"/>
      <c r="AIO12" s="18"/>
      <c r="AIP12" s="18"/>
      <c r="AIQ12" s="18"/>
      <c r="AIR12" s="18"/>
      <c r="AIS12" s="18"/>
      <c r="AIT12" s="18"/>
      <c r="AIU12" s="18"/>
      <c r="AIV12" s="18"/>
      <c r="AIW12" s="18"/>
      <c r="AIX12" s="18"/>
      <c r="AIY12" s="18"/>
      <c r="AIZ12" s="18"/>
      <c r="AJA12" s="18"/>
      <c r="AJB12" s="18"/>
      <c r="AJC12" s="18"/>
      <c r="AJD12" s="18"/>
      <c r="AJE12" s="18"/>
      <c r="AJF12" s="18"/>
      <c r="AJG12" s="18"/>
      <c r="AJH12" s="18"/>
      <c r="AJI12" s="18"/>
      <c r="AJJ12" s="18"/>
      <c r="AJK12" s="18"/>
      <c r="AJL12" s="18"/>
      <c r="AJM12" s="18"/>
      <c r="AJN12" s="18"/>
      <c r="AJO12" s="18"/>
      <c r="AJP12" s="18"/>
      <c r="AJQ12" s="18"/>
      <c r="AJR12" s="18"/>
      <c r="AJS12" s="18"/>
      <c r="AJT12" s="18"/>
      <c r="AJU12" s="18"/>
      <c r="AJV12" s="18"/>
      <c r="AJW12" s="18"/>
      <c r="AJX12" s="18"/>
      <c r="AJY12" s="18"/>
      <c r="AJZ12" s="18"/>
      <c r="AKA12" s="18"/>
      <c r="AKB12" s="18"/>
      <c r="AKC12" s="18"/>
      <c r="AKD12" s="18"/>
      <c r="AKE12" s="18"/>
      <c r="AKF12" s="18"/>
      <c r="AKG12" s="18"/>
      <c r="AKH12" s="18"/>
      <c r="AKI12" s="18"/>
      <c r="AKJ12" s="18"/>
      <c r="AKK12" s="18"/>
      <c r="AKL12" s="18"/>
      <c r="AKM12" s="18"/>
      <c r="AKN12" s="18"/>
      <c r="AKO12" s="18"/>
      <c r="AKP12" s="18"/>
      <c r="AKQ12" s="18"/>
      <c r="AKR12" s="18"/>
      <c r="AKS12" s="18"/>
      <c r="AKT12" s="18"/>
      <c r="AKU12" s="18"/>
      <c r="AKV12" s="18"/>
      <c r="AKW12" s="18"/>
      <c r="AKX12" s="18"/>
      <c r="AKY12" s="18"/>
      <c r="AKZ12" s="18"/>
      <c r="ALA12" s="18"/>
      <c r="ALB12" s="18"/>
      <c r="ALC12" s="18"/>
      <c r="ALD12" s="18"/>
      <c r="ALE12" s="18"/>
      <c r="ALF12" s="18"/>
      <c r="ALG12" s="18"/>
      <c r="ALH12" s="18"/>
      <c r="ALI12" s="18"/>
      <c r="ALJ12" s="18"/>
      <c r="ALK12" s="18"/>
      <c r="ALL12" s="18"/>
      <c r="ALM12" s="18"/>
      <c r="ALN12" s="18"/>
      <c r="ALO12" s="18"/>
      <c r="ALP12" s="18"/>
      <c r="ALQ12" s="18"/>
      <c r="ALR12" s="18"/>
      <c r="ALS12" s="18"/>
      <c r="ALT12" s="18"/>
    </row>
    <row r="13" spans="1:1008">
      <c r="A13" s="251"/>
      <c r="B13" s="370">
        <v>165</v>
      </c>
      <c r="C13" s="340" t="s">
        <v>611</v>
      </c>
      <c r="D13" s="274"/>
      <c r="E13" s="276"/>
      <c r="F13" s="276"/>
      <c r="G13" s="276"/>
      <c r="H13" s="276"/>
      <c r="I13" s="276"/>
      <c r="J13" s="276"/>
      <c r="K13" s="18"/>
      <c r="L13" s="18"/>
      <c r="M13" s="18"/>
      <c r="N13" s="18"/>
      <c r="O13" s="18"/>
      <c r="P13" s="263"/>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c r="JF13" s="18"/>
      <c r="JG13" s="18"/>
      <c r="JH13" s="18"/>
      <c r="JI13" s="18"/>
      <c r="JJ13" s="18"/>
      <c r="JK13" s="18"/>
      <c r="JL13" s="18"/>
      <c r="JM13" s="18"/>
      <c r="JN13" s="18"/>
      <c r="JO13" s="18"/>
      <c r="JP13" s="18"/>
      <c r="JQ13" s="18"/>
      <c r="JR13" s="18"/>
      <c r="JS13" s="18"/>
      <c r="JT13" s="18"/>
      <c r="JU13" s="18"/>
      <c r="JV13" s="18"/>
      <c r="JW13" s="18"/>
      <c r="JX13" s="18"/>
      <c r="JY13" s="18"/>
      <c r="JZ13" s="18"/>
      <c r="KA13" s="18"/>
      <c r="KB13" s="18"/>
      <c r="KC13" s="18"/>
      <c r="KD13" s="18"/>
      <c r="KE13" s="18"/>
      <c r="KF13" s="18"/>
      <c r="KG13" s="18"/>
      <c r="KH13" s="18"/>
      <c r="KI13" s="18"/>
      <c r="KJ13" s="18"/>
      <c r="KK13" s="18"/>
      <c r="KL13" s="18"/>
      <c r="KM13" s="18"/>
      <c r="KN13" s="18"/>
      <c r="KO13" s="18"/>
      <c r="KP13" s="18"/>
      <c r="KQ13" s="18"/>
      <c r="KR13" s="18"/>
      <c r="KS13" s="18"/>
      <c r="KT13" s="18"/>
      <c r="KU13" s="18"/>
      <c r="KV13" s="18"/>
      <c r="KW13" s="18"/>
      <c r="KX13" s="18"/>
      <c r="KY13" s="18"/>
      <c r="KZ13" s="18"/>
      <c r="LA13" s="18"/>
      <c r="LB13" s="18"/>
      <c r="LC13" s="18"/>
      <c r="LD13" s="18"/>
      <c r="LE13" s="18"/>
      <c r="LF13" s="18"/>
      <c r="LG13" s="18"/>
      <c r="LH13" s="18"/>
      <c r="LI13" s="18"/>
      <c r="LJ13" s="18"/>
      <c r="LK13" s="18"/>
      <c r="LL13" s="18"/>
      <c r="LM13" s="18"/>
      <c r="LN13" s="18"/>
      <c r="LO13" s="18"/>
      <c r="LP13" s="18"/>
      <c r="LQ13" s="18"/>
      <c r="LR13" s="18"/>
      <c r="LS13" s="18"/>
      <c r="LT13" s="18"/>
      <c r="LU13" s="18"/>
      <c r="LV13" s="18"/>
      <c r="LW13" s="18"/>
      <c r="LX13" s="18"/>
      <c r="LY13" s="18"/>
      <c r="LZ13" s="18"/>
      <c r="MA13" s="18"/>
      <c r="MB13" s="18"/>
      <c r="MC13" s="18"/>
      <c r="MD13" s="18"/>
      <c r="ME13" s="18"/>
      <c r="MF13" s="18"/>
      <c r="MG13" s="18"/>
      <c r="MH13" s="18"/>
      <c r="MI13" s="18"/>
      <c r="MJ13" s="18"/>
      <c r="MK13" s="18"/>
      <c r="ML13" s="18"/>
      <c r="MM13" s="18"/>
      <c r="MN13" s="18"/>
      <c r="MO13" s="18"/>
      <c r="MP13" s="18"/>
      <c r="MQ13" s="18"/>
      <c r="MR13" s="18"/>
      <c r="MS13" s="18"/>
      <c r="MT13" s="18"/>
      <c r="MU13" s="18"/>
      <c r="MV13" s="18"/>
      <c r="MW13" s="18"/>
      <c r="MX13" s="18"/>
      <c r="MY13" s="18"/>
      <c r="MZ13" s="18"/>
      <c r="NA13" s="18"/>
      <c r="NB13" s="18"/>
      <c r="NC13" s="18"/>
      <c r="ND13" s="18"/>
      <c r="NE13" s="18"/>
      <c r="NF13" s="18"/>
      <c r="NG13" s="18"/>
      <c r="NH13" s="18"/>
      <c r="NI13" s="18"/>
      <c r="NJ13" s="18"/>
      <c r="NK13" s="18"/>
      <c r="NL13" s="18"/>
      <c r="NM13" s="18"/>
      <c r="NN13" s="18"/>
      <c r="NO13" s="18"/>
      <c r="NP13" s="18"/>
      <c r="NQ13" s="18"/>
      <c r="NR13" s="18"/>
      <c r="NS13" s="18"/>
      <c r="NT13" s="18"/>
      <c r="NU13" s="18"/>
      <c r="NV13" s="18"/>
      <c r="NW13" s="18"/>
      <c r="NX13" s="18"/>
      <c r="NY13" s="18"/>
      <c r="NZ13" s="18"/>
      <c r="OA13" s="18"/>
      <c r="OB13" s="18"/>
      <c r="OC13" s="18"/>
      <c r="OD13" s="18"/>
      <c r="OE13" s="18"/>
      <c r="OF13" s="18"/>
      <c r="OG13" s="18"/>
      <c r="OH13" s="18"/>
      <c r="OI13" s="18"/>
      <c r="OJ13" s="18"/>
      <c r="OK13" s="18"/>
      <c r="OL13" s="18"/>
      <c r="OM13" s="18"/>
      <c r="ON13" s="18"/>
      <c r="OO13" s="18"/>
      <c r="OP13" s="18"/>
      <c r="OQ13" s="18"/>
      <c r="OR13" s="18"/>
      <c r="OS13" s="18"/>
      <c r="OT13" s="18"/>
      <c r="OU13" s="18"/>
      <c r="OV13" s="18"/>
      <c r="OW13" s="18"/>
      <c r="OX13" s="18"/>
      <c r="OY13" s="18"/>
      <c r="OZ13" s="18"/>
      <c r="PA13" s="18"/>
      <c r="PB13" s="18"/>
      <c r="PC13" s="18"/>
      <c r="PD13" s="18"/>
      <c r="PE13" s="18"/>
      <c r="PF13" s="18"/>
      <c r="PG13" s="18"/>
      <c r="PH13" s="18"/>
      <c r="PI13" s="18"/>
      <c r="PJ13" s="18"/>
      <c r="PK13" s="18"/>
      <c r="PL13" s="18"/>
      <c r="PM13" s="18"/>
      <c r="PN13" s="18"/>
      <c r="PO13" s="18"/>
      <c r="PP13" s="18"/>
      <c r="PQ13" s="18"/>
      <c r="PR13" s="18"/>
      <c r="PS13" s="18"/>
      <c r="PT13" s="18"/>
      <c r="PU13" s="18"/>
      <c r="PV13" s="18"/>
      <c r="PW13" s="18"/>
      <c r="PX13" s="18"/>
      <c r="PY13" s="18"/>
      <c r="PZ13" s="18"/>
      <c r="QA13" s="18"/>
      <c r="QB13" s="18"/>
      <c r="QC13" s="18"/>
      <c r="QD13" s="18"/>
      <c r="QE13" s="18"/>
      <c r="QF13" s="18"/>
      <c r="QG13" s="18"/>
      <c r="QH13" s="18"/>
      <c r="QI13" s="18"/>
      <c r="QJ13" s="18"/>
      <c r="QK13" s="18"/>
      <c r="QL13" s="18"/>
      <c r="QM13" s="18"/>
      <c r="QN13" s="18"/>
      <c r="QO13" s="18"/>
      <c r="QP13" s="18"/>
      <c r="QQ13" s="18"/>
      <c r="QR13" s="18"/>
      <c r="QS13" s="18"/>
      <c r="QT13" s="18"/>
      <c r="QU13" s="18"/>
      <c r="QV13" s="18"/>
      <c r="QW13" s="18"/>
      <c r="QX13" s="18"/>
      <c r="QY13" s="18"/>
      <c r="QZ13" s="18"/>
      <c r="RA13" s="18"/>
      <c r="RB13" s="18"/>
      <c r="RC13" s="18"/>
      <c r="RD13" s="18"/>
      <c r="RE13" s="18"/>
      <c r="RF13" s="18"/>
      <c r="RG13" s="18"/>
      <c r="RH13" s="18"/>
      <c r="RI13" s="18"/>
      <c r="RJ13" s="18"/>
      <c r="RK13" s="18"/>
      <c r="RL13" s="18"/>
      <c r="RM13" s="18"/>
      <c r="RN13" s="18"/>
      <c r="RO13" s="18"/>
      <c r="RP13" s="18"/>
      <c r="RQ13" s="18"/>
      <c r="RR13" s="18"/>
      <c r="RS13" s="18"/>
      <c r="RT13" s="18"/>
      <c r="RU13" s="18"/>
      <c r="RV13" s="18"/>
      <c r="RW13" s="18"/>
      <c r="RX13" s="18"/>
      <c r="RY13" s="18"/>
      <c r="RZ13" s="18"/>
      <c r="SA13" s="18"/>
      <c r="SB13" s="18"/>
      <c r="SC13" s="18"/>
      <c r="SD13" s="18"/>
      <c r="SE13" s="18"/>
      <c r="SF13" s="18"/>
      <c r="SG13" s="18"/>
      <c r="SH13" s="18"/>
      <c r="SI13" s="18"/>
      <c r="SJ13" s="18"/>
      <c r="SK13" s="18"/>
      <c r="SL13" s="18"/>
      <c r="SM13" s="18"/>
      <c r="SN13" s="18"/>
      <c r="SO13" s="18"/>
      <c r="SP13" s="18"/>
      <c r="SQ13" s="18"/>
      <c r="SR13" s="18"/>
      <c r="SS13" s="18"/>
      <c r="ST13" s="18"/>
      <c r="SU13" s="18"/>
      <c r="SV13" s="18"/>
      <c r="SW13" s="18"/>
      <c r="SX13" s="18"/>
      <c r="SY13" s="18"/>
      <c r="SZ13" s="18"/>
      <c r="TA13" s="18"/>
      <c r="TB13" s="18"/>
      <c r="TC13" s="18"/>
      <c r="TD13" s="18"/>
      <c r="TE13" s="18"/>
      <c r="TF13" s="18"/>
      <c r="TG13" s="18"/>
      <c r="TH13" s="18"/>
      <c r="TI13" s="18"/>
      <c r="TJ13" s="18"/>
      <c r="TK13" s="18"/>
      <c r="TL13" s="18"/>
      <c r="TM13" s="18"/>
      <c r="TN13" s="18"/>
      <c r="TO13" s="18"/>
      <c r="TP13" s="18"/>
      <c r="TQ13" s="18"/>
      <c r="TR13" s="18"/>
      <c r="TS13" s="18"/>
      <c r="TT13" s="18"/>
      <c r="TU13" s="18"/>
      <c r="TV13" s="18"/>
      <c r="TW13" s="18"/>
      <c r="TX13" s="18"/>
      <c r="TY13" s="18"/>
      <c r="TZ13" s="18"/>
      <c r="UA13" s="18"/>
      <c r="UB13" s="18"/>
      <c r="UC13" s="18"/>
      <c r="UD13" s="18"/>
      <c r="UE13" s="18"/>
      <c r="UF13" s="18"/>
      <c r="UG13" s="18"/>
      <c r="UH13" s="18"/>
      <c r="UI13" s="18"/>
      <c r="UJ13" s="18"/>
      <c r="UK13" s="18"/>
      <c r="UL13" s="18"/>
      <c r="UM13" s="18"/>
      <c r="UN13" s="18"/>
      <c r="UO13" s="18"/>
      <c r="UP13" s="18"/>
      <c r="UQ13" s="18"/>
      <c r="UR13" s="18"/>
      <c r="US13" s="18"/>
      <c r="UT13" s="18"/>
      <c r="UU13" s="18"/>
      <c r="UV13" s="18"/>
      <c r="UW13" s="18"/>
      <c r="UX13" s="18"/>
      <c r="UY13" s="18"/>
      <c r="UZ13" s="18"/>
      <c r="VA13" s="18"/>
      <c r="VB13" s="18"/>
      <c r="VC13" s="18"/>
      <c r="VD13" s="18"/>
      <c r="VE13" s="18"/>
      <c r="VF13" s="18"/>
      <c r="VG13" s="18"/>
      <c r="VH13" s="18"/>
      <c r="VI13" s="18"/>
      <c r="VJ13" s="18"/>
      <c r="VK13" s="18"/>
      <c r="VL13" s="18"/>
      <c r="VM13" s="18"/>
      <c r="VN13" s="18"/>
      <c r="VO13" s="18"/>
      <c r="VP13" s="18"/>
      <c r="VQ13" s="18"/>
      <c r="VR13" s="18"/>
      <c r="VS13" s="18"/>
      <c r="VT13" s="18"/>
      <c r="VU13" s="18"/>
      <c r="VV13" s="18"/>
      <c r="VW13" s="18"/>
      <c r="VX13" s="18"/>
      <c r="VY13" s="18"/>
      <c r="VZ13" s="18"/>
      <c r="WA13" s="18"/>
      <c r="WB13" s="18"/>
      <c r="WC13" s="18"/>
      <c r="WD13" s="18"/>
      <c r="WE13" s="18"/>
      <c r="WF13" s="18"/>
      <c r="WG13" s="18"/>
      <c r="WH13" s="18"/>
      <c r="WI13" s="18"/>
      <c r="WJ13" s="18"/>
      <c r="WK13" s="18"/>
      <c r="WL13" s="18"/>
      <c r="WM13" s="18"/>
      <c r="WN13" s="18"/>
      <c r="WO13" s="18"/>
      <c r="WP13" s="18"/>
      <c r="WQ13" s="18"/>
      <c r="WR13" s="18"/>
      <c r="WS13" s="18"/>
      <c r="WT13" s="18"/>
      <c r="WU13" s="18"/>
      <c r="WV13" s="18"/>
      <c r="WW13" s="18"/>
      <c r="WX13" s="18"/>
      <c r="WY13" s="18"/>
      <c r="WZ13" s="18"/>
      <c r="XA13" s="18"/>
      <c r="XB13" s="18"/>
      <c r="XC13" s="18"/>
      <c r="XD13" s="18"/>
      <c r="XE13" s="18"/>
      <c r="XF13" s="18"/>
      <c r="XG13" s="18"/>
      <c r="XH13" s="18"/>
      <c r="XI13" s="18"/>
      <c r="XJ13" s="18"/>
      <c r="XK13" s="18"/>
      <c r="XL13" s="18"/>
      <c r="XM13" s="18"/>
      <c r="XN13" s="18"/>
      <c r="XO13" s="18"/>
      <c r="XP13" s="18"/>
      <c r="XQ13" s="18"/>
      <c r="XR13" s="18"/>
      <c r="XS13" s="18"/>
      <c r="XT13" s="18"/>
      <c r="XU13" s="18"/>
      <c r="XV13" s="18"/>
      <c r="XW13" s="18"/>
      <c r="XX13" s="18"/>
      <c r="XY13" s="18"/>
      <c r="XZ13" s="18"/>
      <c r="YA13" s="18"/>
      <c r="YB13" s="18"/>
      <c r="YC13" s="18"/>
      <c r="YD13" s="18"/>
      <c r="YE13" s="18"/>
      <c r="YF13" s="18"/>
      <c r="YG13" s="18"/>
      <c r="YH13" s="18"/>
      <c r="YI13" s="18"/>
      <c r="YJ13" s="18"/>
      <c r="YK13" s="18"/>
      <c r="YL13" s="18"/>
      <c r="YM13" s="18"/>
      <c r="YN13" s="18"/>
      <c r="YO13" s="18"/>
      <c r="YP13" s="18"/>
      <c r="YQ13" s="18"/>
      <c r="YR13" s="18"/>
      <c r="YS13" s="18"/>
      <c r="YT13" s="18"/>
      <c r="YU13" s="18"/>
      <c r="YV13" s="18"/>
      <c r="YW13" s="18"/>
      <c r="YX13" s="18"/>
      <c r="YY13" s="18"/>
      <c r="YZ13" s="18"/>
      <c r="ZA13" s="18"/>
      <c r="ZB13" s="18"/>
      <c r="ZC13" s="18"/>
      <c r="ZD13" s="18"/>
      <c r="ZE13" s="18"/>
      <c r="ZF13" s="18"/>
      <c r="ZG13" s="18"/>
      <c r="ZH13" s="18"/>
      <c r="ZI13" s="18"/>
      <c r="ZJ13" s="18"/>
      <c r="ZK13" s="18"/>
      <c r="ZL13" s="18"/>
      <c r="ZM13" s="18"/>
      <c r="ZN13" s="18"/>
      <c r="ZO13" s="18"/>
      <c r="ZP13" s="18"/>
      <c r="ZQ13" s="18"/>
      <c r="ZR13" s="18"/>
      <c r="ZS13" s="18"/>
      <c r="ZT13" s="18"/>
      <c r="ZU13" s="18"/>
      <c r="ZV13" s="18"/>
      <c r="ZW13" s="18"/>
      <c r="ZX13" s="18"/>
      <c r="ZY13" s="18"/>
      <c r="ZZ13" s="18"/>
      <c r="AAA13" s="18"/>
      <c r="AAB13" s="18"/>
      <c r="AAC13" s="18"/>
      <c r="AAD13" s="18"/>
      <c r="AAE13" s="18"/>
      <c r="AAF13" s="18"/>
      <c r="AAG13" s="18"/>
      <c r="AAH13" s="18"/>
      <c r="AAI13" s="18"/>
      <c r="AAJ13" s="18"/>
      <c r="AAK13" s="18"/>
      <c r="AAL13" s="18"/>
      <c r="AAM13" s="18"/>
      <c r="AAN13" s="18"/>
      <c r="AAO13" s="18"/>
      <c r="AAP13" s="18"/>
      <c r="AAQ13" s="18"/>
      <c r="AAR13" s="18"/>
      <c r="AAS13" s="18"/>
      <c r="AAT13" s="18"/>
      <c r="AAU13" s="18"/>
      <c r="AAV13" s="18"/>
      <c r="AAW13" s="18"/>
      <c r="AAX13" s="18"/>
      <c r="AAY13" s="18"/>
      <c r="AAZ13" s="18"/>
      <c r="ABA13" s="18"/>
      <c r="ABB13" s="18"/>
      <c r="ABC13" s="18"/>
      <c r="ABD13" s="18"/>
      <c r="ABE13" s="18"/>
      <c r="ABF13" s="18"/>
      <c r="ABG13" s="18"/>
      <c r="ABH13" s="18"/>
      <c r="ABI13" s="18"/>
      <c r="ABJ13" s="18"/>
      <c r="ABK13" s="18"/>
      <c r="ABL13" s="18"/>
      <c r="ABM13" s="18"/>
      <c r="ABN13" s="18"/>
      <c r="ABO13" s="18"/>
      <c r="ABP13" s="18"/>
      <c r="ABQ13" s="18"/>
      <c r="ABR13" s="18"/>
      <c r="ABS13" s="18"/>
      <c r="ABT13" s="18"/>
      <c r="ABU13" s="18"/>
      <c r="ABV13" s="18"/>
      <c r="ABW13" s="18"/>
      <c r="ABX13" s="18"/>
      <c r="ABY13" s="18"/>
      <c r="ABZ13" s="18"/>
      <c r="ACA13" s="18"/>
      <c r="ACB13" s="18"/>
      <c r="ACC13" s="18"/>
      <c r="ACD13" s="18"/>
      <c r="ACE13" s="18"/>
      <c r="ACF13" s="18"/>
      <c r="ACG13" s="18"/>
      <c r="ACH13" s="18"/>
      <c r="ACI13" s="18"/>
      <c r="ACJ13" s="18"/>
      <c r="ACK13" s="18"/>
      <c r="ACL13" s="18"/>
      <c r="ACM13" s="18"/>
      <c r="ACN13" s="18"/>
      <c r="ACO13" s="18"/>
      <c r="ACP13" s="18"/>
      <c r="ACQ13" s="18"/>
      <c r="ACR13" s="18"/>
      <c r="ACS13" s="18"/>
      <c r="ACT13" s="18"/>
      <c r="ACU13" s="18"/>
      <c r="ACV13" s="18"/>
      <c r="ACW13" s="18"/>
      <c r="ACX13" s="18"/>
      <c r="ACY13" s="18"/>
      <c r="ACZ13" s="18"/>
      <c r="ADA13" s="18"/>
      <c r="ADB13" s="18"/>
      <c r="ADC13" s="18"/>
      <c r="ADD13" s="18"/>
      <c r="ADE13" s="18"/>
      <c r="ADF13" s="18"/>
      <c r="ADG13" s="18"/>
      <c r="ADH13" s="18"/>
      <c r="ADI13" s="18"/>
      <c r="ADJ13" s="18"/>
      <c r="ADK13" s="18"/>
      <c r="ADL13" s="18"/>
      <c r="ADM13" s="18"/>
      <c r="ADN13" s="18"/>
      <c r="ADO13" s="18"/>
      <c r="ADP13" s="18"/>
      <c r="ADQ13" s="18"/>
      <c r="ADR13" s="18"/>
      <c r="ADS13" s="18"/>
      <c r="ADT13" s="18"/>
      <c r="ADU13" s="18"/>
      <c r="ADV13" s="18"/>
      <c r="ADW13" s="18"/>
      <c r="ADX13" s="18"/>
      <c r="ADY13" s="18"/>
      <c r="ADZ13" s="18"/>
      <c r="AEA13" s="18"/>
      <c r="AEB13" s="18"/>
      <c r="AEC13" s="18"/>
      <c r="AED13" s="18"/>
      <c r="AEE13" s="18"/>
      <c r="AEF13" s="18"/>
      <c r="AEG13" s="18"/>
      <c r="AEH13" s="18"/>
      <c r="AEI13" s="18"/>
      <c r="AEJ13" s="18"/>
      <c r="AEK13" s="18"/>
      <c r="AEL13" s="18"/>
      <c r="AEM13" s="18"/>
      <c r="AEN13" s="18"/>
      <c r="AEO13" s="18"/>
      <c r="AEP13" s="18"/>
      <c r="AEQ13" s="18"/>
      <c r="AER13" s="18"/>
      <c r="AES13" s="18"/>
      <c r="AET13" s="18"/>
      <c r="AEU13" s="18"/>
      <c r="AEV13" s="18"/>
      <c r="AEW13" s="18"/>
      <c r="AEX13" s="18"/>
      <c r="AEY13" s="18"/>
      <c r="AEZ13" s="18"/>
      <c r="AFA13" s="18"/>
      <c r="AFB13" s="18"/>
      <c r="AFC13" s="18"/>
      <c r="AFD13" s="18"/>
      <c r="AFE13" s="18"/>
      <c r="AFF13" s="18"/>
      <c r="AFG13" s="18"/>
      <c r="AFH13" s="18"/>
      <c r="AFI13" s="18"/>
      <c r="AFJ13" s="18"/>
      <c r="AFK13" s="18"/>
      <c r="AFL13" s="18"/>
      <c r="AFM13" s="18"/>
      <c r="AFN13" s="18"/>
      <c r="AFO13" s="18"/>
      <c r="AFP13" s="18"/>
      <c r="AFQ13" s="18"/>
      <c r="AFR13" s="18"/>
      <c r="AFS13" s="18"/>
      <c r="AFT13" s="18"/>
      <c r="AFU13" s="18"/>
      <c r="AFV13" s="18"/>
      <c r="AFW13" s="18"/>
      <c r="AFX13" s="18"/>
      <c r="AFY13" s="18"/>
      <c r="AFZ13" s="18"/>
      <c r="AGA13" s="18"/>
      <c r="AGB13" s="18"/>
      <c r="AGC13" s="18"/>
      <c r="AGD13" s="18"/>
      <c r="AGE13" s="18"/>
      <c r="AGF13" s="18"/>
      <c r="AGG13" s="18"/>
      <c r="AGH13" s="18"/>
      <c r="AGI13" s="18"/>
      <c r="AGJ13" s="18"/>
      <c r="AGK13" s="18"/>
      <c r="AGL13" s="18"/>
      <c r="AGM13" s="18"/>
      <c r="AGN13" s="18"/>
      <c r="AGO13" s="18"/>
      <c r="AGP13" s="18"/>
      <c r="AGQ13" s="18"/>
      <c r="AGR13" s="18"/>
      <c r="AGS13" s="18"/>
      <c r="AGT13" s="18"/>
      <c r="AGU13" s="18"/>
      <c r="AGV13" s="18"/>
      <c r="AGW13" s="18"/>
      <c r="AGX13" s="18"/>
      <c r="AGY13" s="18"/>
      <c r="AGZ13" s="18"/>
      <c r="AHA13" s="18"/>
      <c r="AHB13" s="18"/>
      <c r="AHC13" s="18"/>
      <c r="AHD13" s="18"/>
      <c r="AHE13" s="18"/>
      <c r="AHF13" s="18"/>
      <c r="AHG13" s="18"/>
      <c r="AHH13" s="18"/>
      <c r="AHI13" s="18"/>
      <c r="AHJ13" s="18"/>
      <c r="AHK13" s="18"/>
      <c r="AHL13" s="18"/>
      <c r="AHM13" s="18"/>
      <c r="AHN13" s="18"/>
      <c r="AHO13" s="18"/>
      <c r="AHP13" s="18"/>
      <c r="AHQ13" s="18"/>
      <c r="AHR13" s="18"/>
      <c r="AHS13" s="18"/>
      <c r="AHT13" s="18"/>
      <c r="AHU13" s="18"/>
      <c r="AHV13" s="18"/>
      <c r="AHW13" s="18"/>
      <c r="AHX13" s="18"/>
      <c r="AHY13" s="18"/>
      <c r="AHZ13" s="18"/>
      <c r="AIA13" s="18"/>
      <c r="AIB13" s="18"/>
      <c r="AIC13" s="18"/>
      <c r="AID13" s="18"/>
      <c r="AIE13" s="18"/>
      <c r="AIF13" s="18"/>
      <c r="AIG13" s="18"/>
      <c r="AIH13" s="18"/>
      <c r="AII13" s="18"/>
      <c r="AIJ13" s="18"/>
      <c r="AIK13" s="18"/>
      <c r="AIL13" s="18"/>
      <c r="AIM13" s="18"/>
      <c r="AIN13" s="18"/>
      <c r="AIO13" s="18"/>
      <c r="AIP13" s="18"/>
      <c r="AIQ13" s="18"/>
      <c r="AIR13" s="18"/>
      <c r="AIS13" s="18"/>
      <c r="AIT13" s="18"/>
      <c r="AIU13" s="18"/>
      <c r="AIV13" s="18"/>
      <c r="AIW13" s="18"/>
      <c r="AIX13" s="18"/>
      <c r="AIY13" s="18"/>
      <c r="AIZ13" s="18"/>
      <c r="AJA13" s="18"/>
      <c r="AJB13" s="18"/>
      <c r="AJC13" s="18"/>
      <c r="AJD13" s="18"/>
      <c r="AJE13" s="18"/>
      <c r="AJF13" s="18"/>
      <c r="AJG13" s="18"/>
      <c r="AJH13" s="18"/>
      <c r="AJI13" s="18"/>
      <c r="AJJ13" s="18"/>
      <c r="AJK13" s="18"/>
      <c r="AJL13" s="18"/>
      <c r="AJM13" s="18"/>
      <c r="AJN13" s="18"/>
      <c r="AJO13" s="18"/>
      <c r="AJP13" s="18"/>
      <c r="AJQ13" s="18"/>
      <c r="AJR13" s="18"/>
      <c r="AJS13" s="18"/>
      <c r="AJT13" s="18"/>
      <c r="AJU13" s="18"/>
      <c r="AJV13" s="18"/>
      <c r="AJW13" s="18"/>
      <c r="AJX13" s="18"/>
      <c r="AJY13" s="18"/>
      <c r="AJZ13" s="18"/>
      <c r="AKA13" s="18"/>
      <c r="AKB13" s="18"/>
      <c r="AKC13" s="18"/>
      <c r="AKD13" s="18"/>
      <c r="AKE13" s="18"/>
      <c r="AKF13" s="18"/>
      <c r="AKG13" s="18"/>
      <c r="AKH13" s="18"/>
      <c r="AKI13" s="18"/>
      <c r="AKJ13" s="18"/>
      <c r="AKK13" s="18"/>
      <c r="AKL13" s="18"/>
      <c r="AKM13" s="18"/>
      <c r="AKN13" s="18"/>
      <c r="AKO13" s="18"/>
      <c r="AKP13" s="18"/>
      <c r="AKQ13" s="18"/>
      <c r="AKR13" s="18"/>
      <c r="AKS13" s="18"/>
      <c r="AKT13" s="18"/>
      <c r="AKU13" s="18"/>
      <c r="AKV13" s="18"/>
      <c r="AKW13" s="18"/>
      <c r="AKX13" s="18"/>
      <c r="AKY13" s="18"/>
      <c r="AKZ13" s="18"/>
      <c r="ALA13" s="18"/>
      <c r="ALB13" s="18"/>
      <c r="ALC13" s="18"/>
      <c r="ALD13" s="18"/>
      <c r="ALE13" s="18"/>
      <c r="ALF13" s="18"/>
      <c r="ALG13" s="18"/>
      <c r="ALH13" s="18"/>
      <c r="ALI13" s="18"/>
      <c r="ALJ13" s="18"/>
      <c r="ALK13" s="18"/>
      <c r="ALL13" s="18"/>
      <c r="ALM13" s="18"/>
      <c r="ALN13" s="18"/>
      <c r="ALO13" s="18"/>
      <c r="ALP13" s="18"/>
      <c r="ALQ13" s="18"/>
      <c r="ALR13" s="18"/>
      <c r="ALS13" s="18"/>
      <c r="ALT13" s="18"/>
    </row>
    <row r="14" spans="1:1008" ht="24">
      <c r="A14" s="251" t="s">
        <v>6307</v>
      </c>
      <c r="B14" s="290">
        <v>450</v>
      </c>
      <c r="C14" s="278" t="str">
        <f>(IF($A14="SINAPI",INDEX(SINAPI_NOV2020_NDES!$A$7:$H$6703,MATCH($B14,SINAPI_NOV2020_NDES!$A$7:$A$6703,0),2),IF($A14="GOINFRA",INDEX(#REF!,MATCH($B14,#REF!,0),2),(INDEX(COMPOS!$A$4:$G$3900,MATCH($B14,COMPOS!$A$4:A$3900,0),2)))))</f>
        <v>TRANSPORTE DE ENTULHO EM CAÇAMBA ESTACIONÁRIA INCLUSO A CARGA MANUAL</v>
      </c>
      <c r="D14" s="274" t="str">
        <f>(IF($A14="SINAPI",INDEX(SINAPI_NOV2020_NDES!$A$7:$H$6790,MATCH($B14,SINAPI_NOV2020_NDES!$A$7:$A$6790,0),3),(INDEX(COMPOS!$A$4:$G$5000,MATCH($B14,COMPOS!$A$4:$A$5000,0),3))))</f>
        <v>M3</v>
      </c>
      <c r="E14" s="314">
        <f>52.24*0.07*0.5</f>
        <v>1.8284000000000002</v>
      </c>
      <c r="F14" s="279">
        <f>(IF($A14="SINAPI",INDEX(SINAPI_NOV2020_NDES!$A$7:$H$6703,MATCH($B14,SINAPI_NOV2020_NDES!$A$7:$A$6703,0),5),(INDEX(COMPOS!$A$4:$G$801,MATCH($B14,COMPOS!$A$4:A$801,0),4))))</f>
        <v>10.879199999999999</v>
      </c>
      <c r="G14" s="280">
        <f>(IF($A14="SINAPI",INDEX(SINAPI_NOV2020_NDES!$A$7:$H$6703,MATCH($B14,SINAPI_NOV2020_NDES!$A$7:$A$6703,0),6),(INDEX(COMPOS!$A$4:$G$801,MATCH($B14,COMPOS!$A$4:A$801,0),5))))</f>
        <v>50.39</v>
      </c>
      <c r="H14" s="280">
        <f>(IF($A14="SINAPI",INDEX(SINAPI_NOV2020_NDES!$A$7:$H$6703,MATCH($B14,SINAPI_NOV2020_NDES!$A$7:$A$6703,0),7),(INDEX(COMPOS!$A$4:$G$801,MATCH($B14,COMPOS!$A$4:A$801,0),6))))</f>
        <v>0</v>
      </c>
      <c r="I14" s="279">
        <f t="shared" ref="I14" si="0">SUM(F14:H14)</f>
        <v>61.269199999999998</v>
      </c>
      <c r="J14" s="276">
        <f t="shared" ref="J14" si="1">+I14*E14</f>
        <v>112.02460528000002</v>
      </c>
      <c r="K14" s="191"/>
      <c r="L14" s="191"/>
      <c r="M14" s="191"/>
      <c r="N14" s="191"/>
      <c r="O14" s="262"/>
      <c r="P14" s="263"/>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c r="JF14" s="18"/>
      <c r="JG14" s="18"/>
      <c r="JH14" s="18"/>
      <c r="JI14" s="18"/>
      <c r="JJ14" s="18"/>
      <c r="JK14" s="18"/>
      <c r="JL14" s="18"/>
      <c r="JM14" s="18"/>
      <c r="JN14" s="18"/>
      <c r="JO14" s="18"/>
      <c r="JP14" s="18"/>
      <c r="JQ14" s="18"/>
      <c r="JR14" s="18"/>
      <c r="JS14" s="18"/>
      <c r="JT14" s="18"/>
      <c r="JU14" s="18"/>
      <c r="JV14" s="18"/>
      <c r="JW14" s="18"/>
      <c r="JX14" s="18"/>
      <c r="JY14" s="18"/>
      <c r="JZ14" s="18"/>
      <c r="KA14" s="18"/>
      <c r="KB14" s="18"/>
      <c r="KC14" s="18"/>
      <c r="KD14" s="18"/>
      <c r="KE14" s="18"/>
      <c r="KF14" s="18"/>
      <c r="KG14" s="18"/>
      <c r="KH14" s="18"/>
      <c r="KI14" s="18"/>
      <c r="KJ14" s="18"/>
      <c r="KK14" s="18"/>
      <c r="KL14" s="18"/>
      <c r="KM14" s="18"/>
      <c r="KN14" s="18"/>
      <c r="KO14" s="18"/>
      <c r="KP14" s="18"/>
      <c r="KQ14" s="18"/>
      <c r="KR14" s="18"/>
      <c r="KS14" s="18"/>
      <c r="KT14" s="18"/>
      <c r="KU14" s="18"/>
      <c r="KV14" s="18"/>
      <c r="KW14" s="18"/>
      <c r="KX14" s="18"/>
      <c r="KY14" s="18"/>
      <c r="KZ14" s="18"/>
      <c r="LA14" s="18"/>
      <c r="LB14" s="18"/>
      <c r="LC14" s="18"/>
      <c r="LD14" s="18"/>
      <c r="LE14" s="18"/>
      <c r="LF14" s="18"/>
      <c r="LG14" s="18"/>
      <c r="LH14" s="18"/>
      <c r="LI14" s="18"/>
      <c r="LJ14" s="18"/>
      <c r="LK14" s="18"/>
      <c r="LL14" s="18"/>
      <c r="LM14" s="18"/>
      <c r="LN14" s="18"/>
      <c r="LO14" s="18"/>
      <c r="LP14" s="18"/>
      <c r="LQ14" s="18"/>
      <c r="LR14" s="18"/>
      <c r="LS14" s="18"/>
      <c r="LT14" s="18"/>
      <c r="LU14" s="18"/>
      <c r="LV14" s="18"/>
      <c r="LW14" s="18"/>
      <c r="LX14" s="18"/>
      <c r="LY14" s="18"/>
      <c r="LZ14" s="18"/>
      <c r="MA14" s="18"/>
      <c r="MB14" s="18"/>
      <c r="MC14" s="18"/>
      <c r="MD14" s="18"/>
      <c r="ME14" s="18"/>
      <c r="MF14" s="18"/>
      <c r="MG14" s="18"/>
      <c r="MH14" s="18"/>
      <c r="MI14" s="18"/>
      <c r="MJ14" s="18"/>
      <c r="MK14" s="18"/>
      <c r="ML14" s="18"/>
      <c r="MM14" s="18"/>
      <c r="MN14" s="18"/>
      <c r="MO14" s="18"/>
      <c r="MP14" s="18"/>
      <c r="MQ14" s="18"/>
      <c r="MR14" s="18"/>
      <c r="MS14" s="18"/>
      <c r="MT14" s="18"/>
      <c r="MU14" s="18"/>
      <c r="MV14" s="18"/>
      <c r="MW14" s="18"/>
      <c r="MX14" s="18"/>
      <c r="MY14" s="18"/>
      <c r="MZ14" s="18"/>
      <c r="NA14" s="18"/>
      <c r="NB14" s="18"/>
      <c r="NC14" s="18"/>
      <c r="ND14" s="18"/>
      <c r="NE14" s="18"/>
      <c r="NF14" s="18"/>
      <c r="NG14" s="18"/>
      <c r="NH14" s="18"/>
      <c r="NI14" s="18"/>
      <c r="NJ14" s="18"/>
      <c r="NK14" s="18"/>
      <c r="NL14" s="18"/>
      <c r="NM14" s="18"/>
      <c r="NN14" s="18"/>
      <c r="NO14" s="18"/>
      <c r="NP14" s="18"/>
      <c r="NQ14" s="18"/>
      <c r="NR14" s="18"/>
      <c r="NS14" s="18"/>
      <c r="NT14" s="18"/>
      <c r="NU14" s="18"/>
      <c r="NV14" s="18"/>
      <c r="NW14" s="18"/>
      <c r="NX14" s="18"/>
      <c r="NY14" s="18"/>
      <c r="NZ14" s="18"/>
      <c r="OA14" s="18"/>
      <c r="OB14" s="18"/>
      <c r="OC14" s="18"/>
      <c r="OD14" s="18"/>
      <c r="OE14" s="18"/>
      <c r="OF14" s="18"/>
      <c r="OG14" s="18"/>
      <c r="OH14" s="18"/>
      <c r="OI14" s="18"/>
      <c r="OJ14" s="18"/>
      <c r="OK14" s="18"/>
      <c r="OL14" s="18"/>
      <c r="OM14" s="18"/>
      <c r="ON14" s="18"/>
      <c r="OO14" s="18"/>
      <c r="OP14" s="18"/>
      <c r="OQ14" s="18"/>
      <c r="OR14" s="18"/>
      <c r="OS14" s="18"/>
      <c r="OT14" s="18"/>
      <c r="OU14" s="18"/>
      <c r="OV14" s="18"/>
      <c r="OW14" s="18"/>
      <c r="OX14" s="18"/>
      <c r="OY14" s="18"/>
      <c r="OZ14" s="18"/>
      <c r="PA14" s="18"/>
      <c r="PB14" s="18"/>
      <c r="PC14" s="18"/>
      <c r="PD14" s="18"/>
      <c r="PE14" s="18"/>
      <c r="PF14" s="18"/>
      <c r="PG14" s="18"/>
      <c r="PH14" s="18"/>
      <c r="PI14" s="18"/>
      <c r="PJ14" s="18"/>
      <c r="PK14" s="18"/>
      <c r="PL14" s="18"/>
      <c r="PM14" s="18"/>
      <c r="PN14" s="18"/>
      <c r="PO14" s="18"/>
      <c r="PP14" s="18"/>
      <c r="PQ14" s="18"/>
      <c r="PR14" s="18"/>
      <c r="PS14" s="18"/>
      <c r="PT14" s="18"/>
      <c r="PU14" s="18"/>
      <c r="PV14" s="18"/>
      <c r="PW14" s="18"/>
      <c r="PX14" s="18"/>
      <c r="PY14" s="18"/>
      <c r="PZ14" s="18"/>
      <c r="QA14" s="18"/>
      <c r="QB14" s="18"/>
      <c r="QC14" s="18"/>
      <c r="QD14" s="18"/>
      <c r="QE14" s="18"/>
      <c r="QF14" s="18"/>
      <c r="QG14" s="18"/>
      <c r="QH14" s="18"/>
      <c r="QI14" s="18"/>
      <c r="QJ14" s="18"/>
      <c r="QK14" s="18"/>
      <c r="QL14" s="18"/>
      <c r="QM14" s="18"/>
      <c r="QN14" s="18"/>
      <c r="QO14" s="18"/>
      <c r="QP14" s="18"/>
      <c r="QQ14" s="18"/>
      <c r="QR14" s="18"/>
      <c r="QS14" s="18"/>
      <c r="QT14" s="18"/>
      <c r="QU14" s="18"/>
      <c r="QV14" s="18"/>
      <c r="QW14" s="18"/>
      <c r="QX14" s="18"/>
      <c r="QY14" s="18"/>
      <c r="QZ14" s="18"/>
      <c r="RA14" s="18"/>
      <c r="RB14" s="18"/>
      <c r="RC14" s="18"/>
      <c r="RD14" s="18"/>
      <c r="RE14" s="18"/>
      <c r="RF14" s="18"/>
      <c r="RG14" s="18"/>
      <c r="RH14" s="18"/>
      <c r="RI14" s="18"/>
      <c r="RJ14" s="18"/>
      <c r="RK14" s="18"/>
      <c r="RL14" s="18"/>
      <c r="RM14" s="18"/>
      <c r="RN14" s="18"/>
      <c r="RO14" s="18"/>
      <c r="RP14" s="18"/>
      <c r="RQ14" s="18"/>
      <c r="RR14" s="18"/>
      <c r="RS14" s="18"/>
      <c r="RT14" s="18"/>
      <c r="RU14" s="18"/>
      <c r="RV14" s="18"/>
      <c r="RW14" s="18"/>
      <c r="RX14" s="18"/>
      <c r="RY14" s="18"/>
      <c r="RZ14" s="18"/>
      <c r="SA14" s="18"/>
      <c r="SB14" s="18"/>
      <c r="SC14" s="18"/>
      <c r="SD14" s="18"/>
      <c r="SE14" s="18"/>
      <c r="SF14" s="18"/>
      <c r="SG14" s="18"/>
      <c r="SH14" s="18"/>
      <c r="SI14" s="18"/>
      <c r="SJ14" s="18"/>
      <c r="SK14" s="18"/>
      <c r="SL14" s="18"/>
      <c r="SM14" s="18"/>
      <c r="SN14" s="18"/>
      <c r="SO14" s="18"/>
      <c r="SP14" s="18"/>
      <c r="SQ14" s="18"/>
      <c r="SR14" s="18"/>
      <c r="SS14" s="18"/>
      <c r="ST14" s="18"/>
      <c r="SU14" s="18"/>
      <c r="SV14" s="18"/>
      <c r="SW14" s="18"/>
      <c r="SX14" s="18"/>
      <c r="SY14" s="18"/>
      <c r="SZ14" s="18"/>
      <c r="TA14" s="18"/>
      <c r="TB14" s="18"/>
      <c r="TC14" s="18"/>
      <c r="TD14" s="18"/>
      <c r="TE14" s="18"/>
      <c r="TF14" s="18"/>
      <c r="TG14" s="18"/>
      <c r="TH14" s="18"/>
      <c r="TI14" s="18"/>
      <c r="TJ14" s="18"/>
      <c r="TK14" s="18"/>
      <c r="TL14" s="18"/>
      <c r="TM14" s="18"/>
      <c r="TN14" s="18"/>
      <c r="TO14" s="18"/>
      <c r="TP14" s="18"/>
      <c r="TQ14" s="18"/>
      <c r="TR14" s="18"/>
      <c r="TS14" s="18"/>
      <c r="TT14" s="18"/>
      <c r="TU14" s="18"/>
      <c r="TV14" s="18"/>
      <c r="TW14" s="18"/>
      <c r="TX14" s="18"/>
      <c r="TY14" s="18"/>
      <c r="TZ14" s="18"/>
      <c r="UA14" s="18"/>
      <c r="UB14" s="18"/>
      <c r="UC14" s="18"/>
      <c r="UD14" s="18"/>
      <c r="UE14" s="18"/>
      <c r="UF14" s="18"/>
      <c r="UG14" s="18"/>
      <c r="UH14" s="18"/>
      <c r="UI14" s="18"/>
      <c r="UJ14" s="18"/>
      <c r="UK14" s="18"/>
      <c r="UL14" s="18"/>
      <c r="UM14" s="18"/>
      <c r="UN14" s="18"/>
      <c r="UO14" s="18"/>
      <c r="UP14" s="18"/>
      <c r="UQ14" s="18"/>
      <c r="UR14" s="18"/>
      <c r="US14" s="18"/>
      <c r="UT14" s="18"/>
      <c r="UU14" s="18"/>
      <c r="UV14" s="18"/>
      <c r="UW14" s="18"/>
      <c r="UX14" s="18"/>
      <c r="UY14" s="18"/>
      <c r="UZ14" s="18"/>
      <c r="VA14" s="18"/>
      <c r="VB14" s="18"/>
      <c r="VC14" s="18"/>
      <c r="VD14" s="18"/>
      <c r="VE14" s="18"/>
      <c r="VF14" s="18"/>
      <c r="VG14" s="18"/>
      <c r="VH14" s="18"/>
      <c r="VI14" s="18"/>
      <c r="VJ14" s="18"/>
      <c r="VK14" s="18"/>
      <c r="VL14" s="18"/>
      <c r="VM14" s="18"/>
      <c r="VN14" s="18"/>
      <c r="VO14" s="18"/>
      <c r="VP14" s="18"/>
      <c r="VQ14" s="18"/>
      <c r="VR14" s="18"/>
      <c r="VS14" s="18"/>
      <c r="VT14" s="18"/>
      <c r="VU14" s="18"/>
      <c r="VV14" s="18"/>
      <c r="VW14" s="18"/>
      <c r="VX14" s="18"/>
      <c r="VY14" s="18"/>
      <c r="VZ14" s="18"/>
      <c r="WA14" s="18"/>
      <c r="WB14" s="18"/>
      <c r="WC14" s="18"/>
      <c r="WD14" s="18"/>
      <c r="WE14" s="18"/>
      <c r="WF14" s="18"/>
      <c r="WG14" s="18"/>
      <c r="WH14" s="18"/>
      <c r="WI14" s="18"/>
      <c r="WJ14" s="18"/>
      <c r="WK14" s="18"/>
      <c r="WL14" s="18"/>
      <c r="WM14" s="18"/>
      <c r="WN14" s="18"/>
      <c r="WO14" s="18"/>
      <c r="WP14" s="18"/>
      <c r="WQ14" s="18"/>
      <c r="WR14" s="18"/>
      <c r="WS14" s="18"/>
      <c r="WT14" s="18"/>
      <c r="WU14" s="18"/>
      <c r="WV14" s="18"/>
      <c r="WW14" s="18"/>
      <c r="WX14" s="18"/>
      <c r="WY14" s="18"/>
      <c r="WZ14" s="18"/>
      <c r="XA14" s="18"/>
      <c r="XB14" s="18"/>
      <c r="XC14" s="18"/>
      <c r="XD14" s="18"/>
      <c r="XE14" s="18"/>
      <c r="XF14" s="18"/>
      <c r="XG14" s="18"/>
      <c r="XH14" s="18"/>
      <c r="XI14" s="18"/>
      <c r="XJ14" s="18"/>
      <c r="XK14" s="18"/>
      <c r="XL14" s="18"/>
      <c r="XM14" s="18"/>
      <c r="XN14" s="18"/>
      <c r="XO14" s="18"/>
      <c r="XP14" s="18"/>
      <c r="XQ14" s="18"/>
      <c r="XR14" s="18"/>
      <c r="XS14" s="18"/>
      <c r="XT14" s="18"/>
      <c r="XU14" s="18"/>
      <c r="XV14" s="18"/>
      <c r="XW14" s="18"/>
      <c r="XX14" s="18"/>
      <c r="XY14" s="18"/>
      <c r="XZ14" s="18"/>
      <c r="YA14" s="18"/>
      <c r="YB14" s="18"/>
      <c r="YC14" s="18"/>
      <c r="YD14" s="18"/>
      <c r="YE14" s="18"/>
      <c r="YF14" s="18"/>
      <c r="YG14" s="18"/>
      <c r="YH14" s="18"/>
      <c r="YI14" s="18"/>
      <c r="YJ14" s="18"/>
      <c r="YK14" s="18"/>
      <c r="YL14" s="18"/>
      <c r="YM14" s="18"/>
      <c r="YN14" s="18"/>
      <c r="YO14" s="18"/>
      <c r="YP14" s="18"/>
      <c r="YQ14" s="18"/>
      <c r="YR14" s="18"/>
      <c r="YS14" s="18"/>
      <c r="YT14" s="18"/>
      <c r="YU14" s="18"/>
      <c r="YV14" s="18"/>
      <c r="YW14" s="18"/>
      <c r="YX14" s="18"/>
      <c r="YY14" s="18"/>
      <c r="YZ14" s="18"/>
      <c r="ZA14" s="18"/>
      <c r="ZB14" s="18"/>
      <c r="ZC14" s="18"/>
      <c r="ZD14" s="18"/>
      <c r="ZE14" s="18"/>
      <c r="ZF14" s="18"/>
      <c r="ZG14" s="18"/>
      <c r="ZH14" s="18"/>
      <c r="ZI14" s="18"/>
      <c r="ZJ14" s="18"/>
      <c r="ZK14" s="18"/>
      <c r="ZL14" s="18"/>
      <c r="ZM14" s="18"/>
      <c r="ZN14" s="18"/>
      <c r="ZO14" s="18"/>
      <c r="ZP14" s="18"/>
      <c r="ZQ14" s="18"/>
      <c r="ZR14" s="18"/>
      <c r="ZS14" s="18"/>
      <c r="ZT14" s="18"/>
      <c r="ZU14" s="18"/>
      <c r="ZV14" s="18"/>
      <c r="ZW14" s="18"/>
      <c r="ZX14" s="18"/>
      <c r="ZY14" s="18"/>
      <c r="ZZ14" s="18"/>
      <c r="AAA14" s="18"/>
      <c r="AAB14" s="18"/>
      <c r="AAC14" s="18"/>
      <c r="AAD14" s="18"/>
      <c r="AAE14" s="18"/>
      <c r="AAF14" s="18"/>
      <c r="AAG14" s="18"/>
      <c r="AAH14" s="18"/>
      <c r="AAI14" s="18"/>
      <c r="AAJ14" s="18"/>
      <c r="AAK14" s="18"/>
      <c r="AAL14" s="18"/>
      <c r="AAM14" s="18"/>
      <c r="AAN14" s="18"/>
      <c r="AAO14" s="18"/>
      <c r="AAP14" s="18"/>
      <c r="AAQ14" s="18"/>
      <c r="AAR14" s="18"/>
      <c r="AAS14" s="18"/>
      <c r="AAT14" s="18"/>
      <c r="AAU14" s="18"/>
      <c r="AAV14" s="18"/>
      <c r="AAW14" s="18"/>
      <c r="AAX14" s="18"/>
      <c r="AAY14" s="18"/>
      <c r="AAZ14" s="18"/>
      <c r="ABA14" s="18"/>
      <c r="ABB14" s="18"/>
      <c r="ABC14" s="18"/>
      <c r="ABD14" s="18"/>
      <c r="ABE14" s="18"/>
      <c r="ABF14" s="18"/>
      <c r="ABG14" s="18"/>
      <c r="ABH14" s="18"/>
      <c r="ABI14" s="18"/>
      <c r="ABJ14" s="18"/>
      <c r="ABK14" s="18"/>
      <c r="ABL14" s="18"/>
      <c r="ABM14" s="18"/>
      <c r="ABN14" s="18"/>
      <c r="ABO14" s="18"/>
      <c r="ABP14" s="18"/>
      <c r="ABQ14" s="18"/>
      <c r="ABR14" s="18"/>
      <c r="ABS14" s="18"/>
      <c r="ABT14" s="18"/>
      <c r="ABU14" s="18"/>
      <c r="ABV14" s="18"/>
      <c r="ABW14" s="18"/>
      <c r="ABX14" s="18"/>
      <c r="ABY14" s="18"/>
      <c r="ABZ14" s="18"/>
      <c r="ACA14" s="18"/>
      <c r="ACB14" s="18"/>
      <c r="ACC14" s="18"/>
      <c r="ACD14" s="18"/>
      <c r="ACE14" s="18"/>
      <c r="ACF14" s="18"/>
      <c r="ACG14" s="18"/>
      <c r="ACH14" s="18"/>
      <c r="ACI14" s="18"/>
      <c r="ACJ14" s="18"/>
      <c r="ACK14" s="18"/>
      <c r="ACL14" s="18"/>
      <c r="ACM14" s="18"/>
      <c r="ACN14" s="18"/>
      <c r="ACO14" s="18"/>
      <c r="ACP14" s="18"/>
      <c r="ACQ14" s="18"/>
      <c r="ACR14" s="18"/>
      <c r="ACS14" s="18"/>
      <c r="ACT14" s="18"/>
      <c r="ACU14" s="18"/>
      <c r="ACV14" s="18"/>
      <c r="ACW14" s="18"/>
      <c r="ACX14" s="18"/>
      <c r="ACY14" s="18"/>
      <c r="ACZ14" s="18"/>
      <c r="ADA14" s="18"/>
      <c r="ADB14" s="18"/>
      <c r="ADC14" s="18"/>
      <c r="ADD14" s="18"/>
      <c r="ADE14" s="18"/>
      <c r="ADF14" s="18"/>
      <c r="ADG14" s="18"/>
      <c r="ADH14" s="18"/>
      <c r="ADI14" s="18"/>
      <c r="ADJ14" s="18"/>
      <c r="ADK14" s="18"/>
      <c r="ADL14" s="18"/>
      <c r="ADM14" s="18"/>
      <c r="ADN14" s="18"/>
      <c r="ADO14" s="18"/>
      <c r="ADP14" s="18"/>
      <c r="ADQ14" s="18"/>
      <c r="ADR14" s="18"/>
      <c r="ADS14" s="18"/>
      <c r="ADT14" s="18"/>
      <c r="ADU14" s="18"/>
      <c r="ADV14" s="18"/>
      <c r="ADW14" s="18"/>
      <c r="ADX14" s="18"/>
      <c r="ADY14" s="18"/>
      <c r="ADZ14" s="18"/>
      <c r="AEA14" s="18"/>
      <c r="AEB14" s="18"/>
      <c r="AEC14" s="18"/>
      <c r="AED14" s="18"/>
      <c r="AEE14" s="18"/>
      <c r="AEF14" s="18"/>
      <c r="AEG14" s="18"/>
      <c r="AEH14" s="18"/>
      <c r="AEI14" s="18"/>
      <c r="AEJ14" s="18"/>
      <c r="AEK14" s="18"/>
      <c r="AEL14" s="18"/>
      <c r="AEM14" s="18"/>
      <c r="AEN14" s="18"/>
      <c r="AEO14" s="18"/>
      <c r="AEP14" s="18"/>
      <c r="AEQ14" s="18"/>
      <c r="AER14" s="18"/>
      <c r="AES14" s="18"/>
      <c r="AET14" s="18"/>
      <c r="AEU14" s="18"/>
      <c r="AEV14" s="18"/>
      <c r="AEW14" s="18"/>
      <c r="AEX14" s="18"/>
      <c r="AEY14" s="18"/>
      <c r="AEZ14" s="18"/>
      <c r="AFA14" s="18"/>
      <c r="AFB14" s="18"/>
      <c r="AFC14" s="18"/>
      <c r="AFD14" s="18"/>
      <c r="AFE14" s="18"/>
      <c r="AFF14" s="18"/>
      <c r="AFG14" s="18"/>
      <c r="AFH14" s="18"/>
      <c r="AFI14" s="18"/>
      <c r="AFJ14" s="18"/>
      <c r="AFK14" s="18"/>
      <c r="AFL14" s="18"/>
      <c r="AFM14" s="18"/>
      <c r="AFN14" s="18"/>
      <c r="AFO14" s="18"/>
      <c r="AFP14" s="18"/>
      <c r="AFQ14" s="18"/>
      <c r="AFR14" s="18"/>
      <c r="AFS14" s="18"/>
      <c r="AFT14" s="18"/>
      <c r="AFU14" s="18"/>
      <c r="AFV14" s="18"/>
      <c r="AFW14" s="18"/>
      <c r="AFX14" s="18"/>
      <c r="AFY14" s="18"/>
      <c r="AFZ14" s="18"/>
      <c r="AGA14" s="18"/>
      <c r="AGB14" s="18"/>
      <c r="AGC14" s="18"/>
      <c r="AGD14" s="18"/>
      <c r="AGE14" s="18"/>
      <c r="AGF14" s="18"/>
      <c r="AGG14" s="18"/>
      <c r="AGH14" s="18"/>
      <c r="AGI14" s="18"/>
      <c r="AGJ14" s="18"/>
      <c r="AGK14" s="18"/>
      <c r="AGL14" s="18"/>
      <c r="AGM14" s="18"/>
      <c r="AGN14" s="18"/>
      <c r="AGO14" s="18"/>
      <c r="AGP14" s="18"/>
      <c r="AGQ14" s="18"/>
      <c r="AGR14" s="18"/>
      <c r="AGS14" s="18"/>
      <c r="AGT14" s="18"/>
      <c r="AGU14" s="18"/>
      <c r="AGV14" s="18"/>
      <c r="AGW14" s="18"/>
      <c r="AGX14" s="18"/>
      <c r="AGY14" s="18"/>
      <c r="AGZ14" s="18"/>
      <c r="AHA14" s="18"/>
      <c r="AHB14" s="18"/>
      <c r="AHC14" s="18"/>
      <c r="AHD14" s="18"/>
      <c r="AHE14" s="18"/>
      <c r="AHF14" s="18"/>
      <c r="AHG14" s="18"/>
      <c r="AHH14" s="18"/>
      <c r="AHI14" s="18"/>
      <c r="AHJ14" s="18"/>
      <c r="AHK14" s="18"/>
      <c r="AHL14" s="18"/>
      <c r="AHM14" s="18"/>
      <c r="AHN14" s="18"/>
      <c r="AHO14" s="18"/>
      <c r="AHP14" s="18"/>
      <c r="AHQ14" s="18"/>
      <c r="AHR14" s="18"/>
      <c r="AHS14" s="18"/>
      <c r="AHT14" s="18"/>
      <c r="AHU14" s="18"/>
      <c r="AHV14" s="18"/>
      <c r="AHW14" s="18"/>
      <c r="AHX14" s="18"/>
      <c r="AHY14" s="18"/>
      <c r="AHZ14" s="18"/>
      <c r="AIA14" s="18"/>
      <c r="AIB14" s="18"/>
      <c r="AIC14" s="18"/>
      <c r="AID14" s="18"/>
      <c r="AIE14" s="18"/>
      <c r="AIF14" s="18"/>
      <c r="AIG14" s="18"/>
      <c r="AIH14" s="18"/>
      <c r="AII14" s="18"/>
      <c r="AIJ14" s="18"/>
      <c r="AIK14" s="18"/>
      <c r="AIL14" s="18"/>
      <c r="AIM14" s="18"/>
      <c r="AIN14" s="18"/>
      <c r="AIO14" s="18"/>
      <c r="AIP14" s="18"/>
      <c r="AIQ14" s="18"/>
      <c r="AIR14" s="18"/>
      <c r="AIS14" s="18"/>
      <c r="AIT14" s="18"/>
      <c r="AIU14" s="18"/>
      <c r="AIV14" s="18"/>
      <c r="AIW14" s="18"/>
      <c r="AIX14" s="18"/>
      <c r="AIY14" s="18"/>
      <c r="AIZ14" s="18"/>
      <c r="AJA14" s="18"/>
      <c r="AJB14" s="18"/>
      <c r="AJC14" s="18"/>
      <c r="AJD14" s="18"/>
      <c r="AJE14" s="18"/>
      <c r="AJF14" s="18"/>
      <c r="AJG14" s="18"/>
      <c r="AJH14" s="18"/>
      <c r="AJI14" s="18"/>
      <c r="AJJ14" s="18"/>
      <c r="AJK14" s="18"/>
      <c r="AJL14" s="18"/>
      <c r="AJM14" s="18"/>
      <c r="AJN14" s="18"/>
      <c r="AJO14" s="18"/>
      <c r="AJP14" s="18"/>
      <c r="AJQ14" s="18"/>
      <c r="AJR14" s="18"/>
      <c r="AJS14" s="18"/>
      <c r="AJT14" s="18"/>
      <c r="AJU14" s="18"/>
      <c r="AJV14" s="18"/>
      <c r="AJW14" s="18"/>
      <c r="AJX14" s="18"/>
      <c r="AJY14" s="18"/>
      <c r="AJZ14" s="18"/>
      <c r="AKA14" s="18"/>
      <c r="AKB14" s="18"/>
      <c r="AKC14" s="18"/>
      <c r="AKD14" s="18"/>
      <c r="AKE14" s="18"/>
      <c r="AKF14" s="18"/>
      <c r="AKG14" s="18"/>
      <c r="AKH14" s="18"/>
      <c r="AKI14" s="18"/>
      <c r="AKJ14" s="18"/>
      <c r="AKK14" s="18"/>
      <c r="AKL14" s="18"/>
      <c r="AKM14" s="18"/>
      <c r="AKN14" s="18"/>
      <c r="AKO14" s="18"/>
      <c r="AKP14" s="18"/>
      <c r="AKQ14" s="18"/>
      <c r="AKR14" s="18"/>
      <c r="AKS14" s="18"/>
      <c r="AKT14" s="18"/>
      <c r="AKU14" s="18"/>
      <c r="AKV14" s="18"/>
      <c r="AKW14" s="18"/>
      <c r="AKX14" s="18"/>
      <c r="AKY14" s="18"/>
      <c r="AKZ14" s="18"/>
      <c r="ALA14" s="18"/>
      <c r="ALB14" s="18"/>
      <c r="ALC14" s="18"/>
      <c r="ALD14" s="18"/>
      <c r="ALE14" s="18"/>
      <c r="ALF14" s="18"/>
      <c r="ALG14" s="18"/>
      <c r="ALH14" s="18"/>
      <c r="ALI14" s="18"/>
      <c r="ALJ14" s="18"/>
      <c r="ALK14" s="18"/>
      <c r="ALL14" s="18"/>
      <c r="ALM14" s="18"/>
      <c r="ALN14" s="18"/>
      <c r="ALO14" s="18"/>
      <c r="ALP14" s="18"/>
      <c r="ALQ14" s="18"/>
      <c r="ALR14" s="18"/>
      <c r="ALS14" s="18"/>
      <c r="ALT14" s="18"/>
    </row>
    <row r="15" spans="1:1008" s="88" customFormat="1" ht="24" customHeight="1">
      <c r="A15" s="680" t="s">
        <v>6927</v>
      </c>
      <c r="B15" s="680"/>
      <c r="C15" s="680"/>
      <c r="D15" s="680"/>
      <c r="E15" s="680"/>
      <c r="F15" s="680"/>
      <c r="G15" s="680"/>
      <c r="H15" s="680"/>
      <c r="I15" s="680"/>
      <c r="J15" s="281">
        <f>SUM(J13:J14)</f>
        <v>112.02460528000002</v>
      </c>
      <c r="K15" s="191"/>
      <c r="L15" s="191"/>
      <c r="M15" s="191"/>
      <c r="N15" s="191"/>
      <c r="O15" s="191"/>
      <c r="P15" s="263"/>
    </row>
    <row r="16" spans="1:1008">
      <c r="A16" s="251"/>
      <c r="B16" s="370">
        <v>166</v>
      </c>
      <c r="C16" s="340" t="s">
        <v>6336</v>
      </c>
      <c r="D16" s="274"/>
      <c r="E16" s="276"/>
      <c r="F16" s="276"/>
      <c r="G16" s="276"/>
      <c r="H16" s="276"/>
      <c r="I16" s="276"/>
      <c r="J16" s="276"/>
      <c r="K16" s="191"/>
      <c r="L16" s="191"/>
      <c r="M16" s="191"/>
      <c r="N16" s="191"/>
      <c r="O16" s="191"/>
      <c r="P16" s="263"/>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c r="JF16" s="18"/>
      <c r="JG16" s="18"/>
      <c r="JH16" s="18"/>
      <c r="JI16" s="18"/>
      <c r="JJ16" s="18"/>
      <c r="JK16" s="18"/>
      <c r="JL16" s="18"/>
      <c r="JM16" s="18"/>
      <c r="JN16" s="18"/>
      <c r="JO16" s="18"/>
      <c r="JP16" s="18"/>
      <c r="JQ16" s="18"/>
      <c r="JR16" s="18"/>
      <c r="JS16" s="18"/>
      <c r="JT16" s="18"/>
      <c r="JU16" s="18"/>
      <c r="JV16" s="18"/>
      <c r="JW16" s="18"/>
      <c r="JX16" s="18"/>
      <c r="JY16" s="18"/>
      <c r="JZ16" s="18"/>
      <c r="KA16" s="18"/>
      <c r="KB16" s="18"/>
      <c r="KC16" s="18"/>
      <c r="KD16" s="18"/>
      <c r="KE16" s="18"/>
      <c r="KF16" s="18"/>
      <c r="KG16" s="18"/>
      <c r="KH16" s="18"/>
      <c r="KI16" s="18"/>
      <c r="KJ16" s="18"/>
      <c r="KK16" s="18"/>
      <c r="KL16" s="18"/>
      <c r="KM16" s="18"/>
      <c r="KN16" s="18"/>
      <c r="KO16" s="18"/>
      <c r="KP16" s="18"/>
      <c r="KQ16" s="18"/>
      <c r="KR16" s="18"/>
      <c r="KS16" s="18"/>
      <c r="KT16" s="18"/>
      <c r="KU16" s="18"/>
      <c r="KV16" s="18"/>
      <c r="KW16" s="18"/>
      <c r="KX16" s="18"/>
      <c r="KY16" s="18"/>
      <c r="KZ16" s="18"/>
      <c r="LA16" s="18"/>
      <c r="LB16" s="18"/>
      <c r="LC16" s="18"/>
      <c r="LD16" s="18"/>
      <c r="LE16" s="18"/>
      <c r="LF16" s="18"/>
      <c r="LG16" s="18"/>
      <c r="LH16" s="18"/>
      <c r="LI16" s="18"/>
      <c r="LJ16" s="18"/>
      <c r="LK16" s="18"/>
      <c r="LL16" s="18"/>
      <c r="LM16" s="18"/>
      <c r="LN16" s="18"/>
      <c r="LO16" s="18"/>
      <c r="LP16" s="18"/>
      <c r="LQ16" s="18"/>
      <c r="LR16" s="18"/>
      <c r="LS16" s="18"/>
      <c r="LT16" s="18"/>
      <c r="LU16" s="18"/>
      <c r="LV16" s="18"/>
      <c r="LW16" s="18"/>
      <c r="LX16" s="18"/>
      <c r="LY16" s="18"/>
      <c r="LZ16" s="18"/>
      <c r="MA16" s="18"/>
      <c r="MB16" s="18"/>
      <c r="MC16" s="18"/>
      <c r="MD16" s="18"/>
      <c r="ME16" s="18"/>
      <c r="MF16" s="18"/>
      <c r="MG16" s="18"/>
      <c r="MH16" s="18"/>
      <c r="MI16" s="18"/>
      <c r="MJ16" s="18"/>
      <c r="MK16" s="18"/>
      <c r="ML16" s="18"/>
      <c r="MM16" s="18"/>
      <c r="MN16" s="18"/>
      <c r="MO16" s="18"/>
      <c r="MP16" s="18"/>
      <c r="MQ16" s="18"/>
      <c r="MR16" s="18"/>
      <c r="MS16" s="18"/>
      <c r="MT16" s="18"/>
      <c r="MU16" s="18"/>
      <c r="MV16" s="18"/>
      <c r="MW16" s="18"/>
      <c r="MX16" s="18"/>
      <c r="MY16" s="18"/>
      <c r="MZ16" s="18"/>
      <c r="NA16" s="18"/>
      <c r="NB16" s="18"/>
      <c r="NC16" s="18"/>
      <c r="ND16" s="18"/>
      <c r="NE16" s="18"/>
      <c r="NF16" s="18"/>
      <c r="NG16" s="18"/>
      <c r="NH16" s="18"/>
      <c r="NI16" s="18"/>
      <c r="NJ16" s="18"/>
      <c r="NK16" s="18"/>
      <c r="NL16" s="18"/>
      <c r="NM16" s="18"/>
      <c r="NN16" s="18"/>
      <c r="NO16" s="18"/>
      <c r="NP16" s="18"/>
      <c r="NQ16" s="18"/>
      <c r="NR16" s="18"/>
      <c r="NS16" s="18"/>
      <c r="NT16" s="18"/>
      <c r="NU16" s="18"/>
      <c r="NV16" s="18"/>
      <c r="NW16" s="18"/>
      <c r="NX16" s="18"/>
      <c r="NY16" s="18"/>
      <c r="NZ16" s="18"/>
      <c r="OA16" s="18"/>
      <c r="OB16" s="18"/>
      <c r="OC16" s="18"/>
      <c r="OD16" s="18"/>
      <c r="OE16" s="18"/>
      <c r="OF16" s="18"/>
      <c r="OG16" s="18"/>
      <c r="OH16" s="18"/>
      <c r="OI16" s="18"/>
      <c r="OJ16" s="18"/>
      <c r="OK16" s="18"/>
      <c r="OL16" s="18"/>
      <c r="OM16" s="18"/>
      <c r="ON16" s="18"/>
      <c r="OO16" s="18"/>
      <c r="OP16" s="18"/>
      <c r="OQ16" s="18"/>
      <c r="OR16" s="18"/>
      <c r="OS16" s="18"/>
      <c r="OT16" s="18"/>
      <c r="OU16" s="18"/>
      <c r="OV16" s="18"/>
      <c r="OW16" s="18"/>
      <c r="OX16" s="18"/>
      <c r="OY16" s="18"/>
      <c r="OZ16" s="18"/>
      <c r="PA16" s="18"/>
      <c r="PB16" s="18"/>
      <c r="PC16" s="18"/>
      <c r="PD16" s="18"/>
      <c r="PE16" s="18"/>
      <c r="PF16" s="18"/>
      <c r="PG16" s="18"/>
      <c r="PH16" s="18"/>
      <c r="PI16" s="18"/>
      <c r="PJ16" s="18"/>
      <c r="PK16" s="18"/>
      <c r="PL16" s="18"/>
      <c r="PM16" s="18"/>
      <c r="PN16" s="18"/>
      <c r="PO16" s="18"/>
      <c r="PP16" s="18"/>
      <c r="PQ16" s="18"/>
      <c r="PR16" s="18"/>
      <c r="PS16" s="18"/>
      <c r="PT16" s="18"/>
      <c r="PU16" s="18"/>
      <c r="PV16" s="18"/>
      <c r="PW16" s="18"/>
      <c r="PX16" s="18"/>
      <c r="PY16" s="18"/>
      <c r="PZ16" s="18"/>
      <c r="QA16" s="18"/>
      <c r="QB16" s="18"/>
      <c r="QC16" s="18"/>
      <c r="QD16" s="18"/>
      <c r="QE16" s="18"/>
      <c r="QF16" s="18"/>
      <c r="QG16" s="18"/>
      <c r="QH16" s="18"/>
      <c r="QI16" s="18"/>
      <c r="QJ16" s="18"/>
      <c r="QK16" s="18"/>
      <c r="QL16" s="18"/>
      <c r="QM16" s="18"/>
      <c r="QN16" s="18"/>
      <c r="QO16" s="18"/>
      <c r="QP16" s="18"/>
      <c r="QQ16" s="18"/>
      <c r="QR16" s="18"/>
      <c r="QS16" s="18"/>
      <c r="QT16" s="18"/>
      <c r="QU16" s="18"/>
      <c r="QV16" s="18"/>
      <c r="QW16" s="18"/>
      <c r="QX16" s="18"/>
      <c r="QY16" s="18"/>
      <c r="QZ16" s="18"/>
      <c r="RA16" s="18"/>
      <c r="RB16" s="18"/>
      <c r="RC16" s="18"/>
      <c r="RD16" s="18"/>
      <c r="RE16" s="18"/>
      <c r="RF16" s="18"/>
      <c r="RG16" s="18"/>
      <c r="RH16" s="18"/>
      <c r="RI16" s="18"/>
      <c r="RJ16" s="18"/>
      <c r="RK16" s="18"/>
      <c r="RL16" s="18"/>
      <c r="RM16" s="18"/>
      <c r="RN16" s="18"/>
      <c r="RO16" s="18"/>
      <c r="RP16" s="18"/>
      <c r="RQ16" s="18"/>
      <c r="RR16" s="18"/>
      <c r="RS16" s="18"/>
      <c r="RT16" s="18"/>
      <c r="RU16" s="18"/>
      <c r="RV16" s="18"/>
      <c r="RW16" s="18"/>
      <c r="RX16" s="18"/>
      <c r="RY16" s="18"/>
      <c r="RZ16" s="18"/>
      <c r="SA16" s="18"/>
      <c r="SB16" s="18"/>
      <c r="SC16" s="18"/>
      <c r="SD16" s="18"/>
      <c r="SE16" s="18"/>
      <c r="SF16" s="18"/>
      <c r="SG16" s="18"/>
      <c r="SH16" s="18"/>
      <c r="SI16" s="18"/>
      <c r="SJ16" s="18"/>
      <c r="SK16" s="18"/>
      <c r="SL16" s="18"/>
      <c r="SM16" s="18"/>
      <c r="SN16" s="18"/>
      <c r="SO16" s="18"/>
      <c r="SP16" s="18"/>
      <c r="SQ16" s="18"/>
      <c r="SR16" s="18"/>
      <c r="SS16" s="18"/>
      <c r="ST16" s="18"/>
      <c r="SU16" s="18"/>
      <c r="SV16" s="18"/>
      <c r="SW16" s="18"/>
      <c r="SX16" s="18"/>
      <c r="SY16" s="18"/>
      <c r="SZ16" s="18"/>
      <c r="TA16" s="18"/>
      <c r="TB16" s="18"/>
      <c r="TC16" s="18"/>
      <c r="TD16" s="18"/>
      <c r="TE16" s="18"/>
      <c r="TF16" s="18"/>
      <c r="TG16" s="18"/>
      <c r="TH16" s="18"/>
      <c r="TI16" s="18"/>
      <c r="TJ16" s="18"/>
      <c r="TK16" s="18"/>
      <c r="TL16" s="18"/>
      <c r="TM16" s="18"/>
      <c r="TN16" s="18"/>
      <c r="TO16" s="18"/>
      <c r="TP16" s="18"/>
      <c r="TQ16" s="18"/>
      <c r="TR16" s="18"/>
      <c r="TS16" s="18"/>
      <c r="TT16" s="18"/>
      <c r="TU16" s="18"/>
      <c r="TV16" s="18"/>
      <c r="TW16" s="18"/>
      <c r="TX16" s="18"/>
      <c r="TY16" s="18"/>
      <c r="TZ16" s="18"/>
      <c r="UA16" s="18"/>
      <c r="UB16" s="18"/>
      <c r="UC16" s="18"/>
      <c r="UD16" s="18"/>
      <c r="UE16" s="18"/>
      <c r="UF16" s="18"/>
      <c r="UG16" s="18"/>
      <c r="UH16" s="18"/>
      <c r="UI16" s="18"/>
      <c r="UJ16" s="18"/>
      <c r="UK16" s="18"/>
      <c r="UL16" s="18"/>
      <c r="UM16" s="18"/>
      <c r="UN16" s="18"/>
      <c r="UO16" s="18"/>
      <c r="UP16" s="18"/>
      <c r="UQ16" s="18"/>
      <c r="UR16" s="18"/>
      <c r="US16" s="18"/>
      <c r="UT16" s="18"/>
      <c r="UU16" s="18"/>
      <c r="UV16" s="18"/>
      <c r="UW16" s="18"/>
      <c r="UX16" s="18"/>
      <c r="UY16" s="18"/>
      <c r="UZ16" s="18"/>
      <c r="VA16" s="18"/>
      <c r="VB16" s="18"/>
      <c r="VC16" s="18"/>
      <c r="VD16" s="18"/>
      <c r="VE16" s="18"/>
      <c r="VF16" s="18"/>
      <c r="VG16" s="18"/>
      <c r="VH16" s="18"/>
      <c r="VI16" s="18"/>
      <c r="VJ16" s="18"/>
      <c r="VK16" s="18"/>
      <c r="VL16" s="18"/>
      <c r="VM16" s="18"/>
      <c r="VN16" s="18"/>
      <c r="VO16" s="18"/>
      <c r="VP16" s="18"/>
      <c r="VQ16" s="18"/>
      <c r="VR16" s="18"/>
      <c r="VS16" s="18"/>
      <c r="VT16" s="18"/>
      <c r="VU16" s="18"/>
      <c r="VV16" s="18"/>
      <c r="VW16" s="18"/>
      <c r="VX16" s="18"/>
      <c r="VY16" s="18"/>
      <c r="VZ16" s="18"/>
      <c r="WA16" s="18"/>
      <c r="WB16" s="18"/>
      <c r="WC16" s="18"/>
      <c r="WD16" s="18"/>
      <c r="WE16" s="18"/>
      <c r="WF16" s="18"/>
      <c r="WG16" s="18"/>
      <c r="WH16" s="18"/>
      <c r="WI16" s="18"/>
      <c r="WJ16" s="18"/>
      <c r="WK16" s="18"/>
      <c r="WL16" s="18"/>
      <c r="WM16" s="18"/>
      <c r="WN16" s="18"/>
      <c r="WO16" s="18"/>
      <c r="WP16" s="18"/>
      <c r="WQ16" s="18"/>
      <c r="WR16" s="18"/>
      <c r="WS16" s="18"/>
      <c r="WT16" s="18"/>
      <c r="WU16" s="18"/>
      <c r="WV16" s="18"/>
      <c r="WW16" s="18"/>
      <c r="WX16" s="18"/>
      <c r="WY16" s="18"/>
      <c r="WZ16" s="18"/>
      <c r="XA16" s="18"/>
      <c r="XB16" s="18"/>
      <c r="XC16" s="18"/>
      <c r="XD16" s="18"/>
      <c r="XE16" s="18"/>
      <c r="XF16" s="18"/>
      <c r="XG16" s="18"/>
      <c r="XH16" s="18"/>
      <c r="XI16" s="18"/>
      <c r="XJ16" s="18"/>
      <c r="XK16" s="18"/>
      <c r="XL16" s="18"/>
      <c r="XM16" s="18"/>
      <c r="XN16" s="18"/>
      <c r="XO16" s="18"/>
      <c r="XP16" s="18"/>
      <c r="XQ16" s="18"/>
      <c r="XR16" s="18"/>
      <c r="XS16" s="18"/>
      <c r="XT16" s="18"/>
      <c r="XU16" s="18"/>
      <c r="XV16" s="18"/>
      <c r="XW16" s="18"/>
      <c r="XX16" s="18"/>
      <c r="XY16" s="18"/>
      <c r="XZ16" s="18"/>
      <c r="YA16" s="18"/>
      <c r="YB16" s="18"/>
      <c r="YC16" s="18"/>
      <c r="YD16" s="18"/>
      <c r="YE16" s="18"/>
      <c r="YF16" s="18"/>
      <c r="YG16" s="18"/>
      <c r="YH16" s="18"/>
      <c r="YI16" s="18"/>
      <c r="YJ16" s="18"/>
      <c r="YK16" s="18"/>
      <c r="YL16" s="18"/>
      <c r="YM16" s="18"/>
      <c r="YN16" s="18"/>
      <c r="YO16" s="18"/>
      <c r="YP16" s="18"/>
      <c r="YQ16" s="18"/>
      <c r="YR16" s="18"/>
      <c r="YS16" s="18"/>
      <c r="YT16" s="18"/>
      <c r="YU16" s="18"/>
      <c r="YV16" s="18"/>
      <c r="YW16" s="18"/>
      <c r="YX16" s="18"/>
      <c r="YY16" s="18"/>
      <c r="YZ16" s="18"/>
      <c r="ZA16" s="18"/>
      <c r="ZB16" s="18"/>
      <c r="ZC16" s="18"/>
      <c r="ZD16" s="18"/>
      <c r="ZE16" s="18"/>
      <c r="ZF16" s="18"/>
      <c r="ZG16" s="18"/>
      <c r="ZH16" s="18"/>
      <c r="ZI16" s="18"/>
      <c r="ZJ16" s="18"/>
      <c r="ZK16" s="18"/>
      <c r="ZL16" s="18"/>
      <c r="ZM16" s="18"/>
      <c r="ZN16" s="18"/>
      <c r="ZO16" s="18"/>
      <c r="ZP16" s="18"/>
      <c r="ZQ16" s="18"/>
      <c r="ZR16" s="18"/>
      <c r="ZS16" s="18"/>
      <c r="ZT16" s="18"/>
      <c r="ZU16" s="18"/>
      <c r="ZV16" s="18"/>
      <c r="ZW16" s="18"/>
      <c r="ZX16" s="18"/>
      <c r="ZY16" s="18"/>
      <c r="ZZ16" s="18"/>
      <c r="AAA16" s="18"/>
      <c r="AAB16" s="18"/>
      <c r="AAC16" s="18"/>
      <c r="AAD16" s="18"/>
      <c r="AAE16" s="18"/>
      <c r="AAF16" s="18"/>
      <c r="AAG16" s="18"/>
      <c r="AAH16" s="18"/>
      <c r="AAI16" s="18"/>
      <c r="AAJ16" s="18"/>
      <c r="AAK16" s="18"/>
      <c r="AAL16" s="18"/>
      <c r="AAM16" s="18"/>
      <c r="AAN16" s="18"/>
      <c r="AAO16" s="18"/>
      <c r="AAP16" s="18"/>
      <c r="AAQ16" s="18"/>
      <c r="AAR16" s="18"/>
      <c r="AAS16" s="18"/>
      <c r="AAT16" s="18"/>
      <c r="AAU16" s="18"/>
      <c r="AAV16" s="18"/>
      <c r="AAW16" s="18"/>
      <c r="AAX16" s="18"/>
      <c r="AAY16" s="18"/>
      <c r="AAZ16" s="18"/>
      <c r="ABA16" s="18"/>
      <c r="ABB16" s="18"/>
      <c r="ABC16" s="18"/>
      <c r="ABD16" s="18"/>
      <c r="ABE16" s="18"/>
      <c r="ABF16" s="18"/>
      <c r="ABG16" s="18"/>
      <c r="ABH16" s="18"/>
      <c r="ABI16" s="18"/>
      <c r="ABJ16" s="18"/>
      <c r="ABK16" s="18"/>
      <c r="ABL16" s="18"/>
      <c r="ABM16" s="18"/>
      <c r="ABN16" s="18"/>
      <c r="ABO16" s="18"/>
      <c r="ABP16" s="18"/>
      <c r="ABQ16" s="18"/>
      <c r="ABR16" s="18"/>
      <c r="ABS16" s="18"/>
      <c r="ABT16" s="18"/>
      <c r="ABU16" s="18"/>
      <c r="ABV16" s="18"/>
      <c r="ABW16" s="18"/>
      <c r="ABX16" s="18"/>
      <c r="ABY16" s="18"/>
      <c r="ABZ16" s="18"/>
      <c r="ACA16" s="18"/>
      <c r="ACB16" s="18"/>
      <c r="ACC16" s="18"/>
      <c r="ACD16" s="18"/>
      <c r="ACE16" s="18"/>
      <c r="ACF16" s="18"/>
      <c r="ACG16" s="18"/>
      <c r="ACH16" s="18"/>
      <c r="ACI16" s="18"/>
      <c r="ACJ16" s="18"/>
      <c r="ACK16" s="18"/>
      <c r="ACL16" s="18"/>
      <c r="ACM16" s="18"/>
      <c r="ACN16" s="18"/>
      <c r="ACO16" s="18"/>
      <c r="ACP16" s="18"/>
      <c r="ACQ16" s="18"/>
      <c r="ACR16" s="18"/>
      <c r="ACS16" s="18"/>
      <c r="ACT16" s="18"/>
      <c r="ACU16" s="18"/>
      <c r="ACV16" s="18"/>
      <c r="ACW16" s="18"/>
      <c r="ACX16" s="18"/>
      <c r="ACY16" s="18"/>
      <c r="ACZ16" s="18"/>
      <c r="ADA16" s="18"/>
      <c r="ADB16" s="18"/>
      <c r="ADC16" s="18"/>
      <c r="ADD16" s="18"/>
      <c r="ADE16" s="18"/>
      <c r="ADF16" s="18"/>
      <c r="ADG16" s="18"/>
      <c r="ADH16" s="18"/>
      <c r="ADI16" s="18"/>
      <c r="ADJ16" s="18"/>
      <c r="ADK16" s="18"/>
      <c r="ADL16" s="18"/>
      <c r="ADM16" s="18"/>
      <c r="ADN16" s="18"/>
      <c r="ADO16" s="18"/>
      <c r="ADP16" s="18"/>
      <c r="ADQ16" s="18"/>
      <c r="ADR16" s="18"/>
      <c r="ADS16" s="18"/>
      <c r="ADT16" s="18"/>
      <c r="ADU16" s="18"/>
      <c r="ADV16" s="18"/>
      <c r="ADW16" s="18"/>
      <c r="ADX16" s="18"/>
      <c r="ADY16" s="18"/>
      <c r="ADZ16" s="18"/>
      <c r="AEA16" s="18"/>
      <c r="AEB16" s="18"/>
      <c r="AEC16" s="18"/>
      <c r="AED16" s="18"/>
      <c r="AEE16" s="18"/>
      <c r="AEF16" s="18"/>
      <c r="AEG16" s="18"/>
      <c r="AEH16" s="18"/>
      <c r="AEI16" s="18"/>
      <c r="AEJ16" s="18"/>
      <c r="AEK16" s="18"/>
      <c r="AEL16" s="18"/>
      <c r="AEM16" s="18"/>
      <c r="AEN16" s="18"/>
      <c r="AEO16" s="18"/>
      <c r="AEP16" s="18"/>
      <c r="AEQ16" s="18"/>
      <c r="AER16" s="18"/>
      <c r="AES16" s="18"/>
      <c r="AET16" s="18"/>
      <c r="AEU16" s="18"/>
      <c r="AEV16" s="18"/>
      <c r="AEW16" s="18"/>
      <c r="AEX16" s="18"/>
      <c r="AEY16" s="18"/>
      <c r="AEZ16" s="18"/>
      <c r="AFA16" s="18"/>
      <c r="AFB16" s="18"/>
      <c r="AFC16" s="18"/>
      <c r="AFD16" s="18"/>
      <c r="AFE16" s="18"/>
      <c r="AFF16" s="18"/>
      <c r="AFG16" s="18"/>
      <c r="AFH16" s="18"/>
      <c r="AFI16" s="18"/>
      <c r="AFJ16" s="18"/>
      <c r="AFK16" s="18"/>
      <c r="AFL16" s="18"/>
      <c r="AFM16" s="18"/>
      <c r="AFN16" s="18"/>
      <c r="AFO16" s="18"/>
      <c r="AFP16" s="18"/>
      <c r="AFQ16" s="18"/>
      <c r="AFR16" s="18"/>
      <c r="AFS16" s="18"/>
      <c r="AFT16" s="18"/>
      <c r="AFU16" s="18"/>
      <c r="AFV16" s="18"/>
      <c r="AFW16" s="18"/>
      <c r="AFX16" s="18"/>
      <c r="AFY16" s="18"/>
      <c r="AFZ16" s="18"/>
      <c r="AGA16" s="18"/>
      <c r="AGB16" s="18"/>
      <c r="AGC16" s="18"/>
      <c r="AGD16" s="18"/>
      <c r="AGE16" s="18"/>
      <c r="AGF16" s="18"/>
      <c r="AGG16" s="18"/>
      <c r="AGH16" s="18"/>
      <c r="AGI16" s="18"/>
      <c r="AGJ16" s="18"/>
      <c r="AGK16" s="18"/>
      <c r="AGL16" s="18"/>
      <c r="AGM16" s="18"/>
      <c r="AGN16" s="18"/>
      <c r="AGO16" s="18"/>
      <c r="AGP16" s="18"/>
      <c r="AGQ16" s="18"/>
      <c r="AGR16" s="18"/>
      <c r="AGS16" s="18"/>
      <c r="AGT16" s="18"/>
      <c r="AGU16" s="18"/>
      <c r="AGV16" s="18"/>
      <c r="AGW16" s="18"/>
      <c r="AGX16" s="18"/>
      <c r="AGY16" s="18"/>
      <c r="AGZ16" s="18"/>
      <c r="AHA16" s="18"/>
      <c r="AHB16" s="18"/>
      <c r="AHC16" s="18"/>
      <c r="AHD16" s="18"/>
      <c r="AHE16" s="18"/>
      <c r="AHF16" s="18"/>
      <c r="AHG16" s="18"/>
      <c r="AHH16" s="18"/>
      <c r="AHI16" s="18"/>
      <c r="AHJ16" s="18"/>
      <c r="AHK16" s="18"/>
      <c r="AHL16" s="18"/>
      <c r="AHM16" s="18"/>
      <c r="AHN16" s="18"/>
      <c r="AHO16" s="18"/>
      <c r="AHP16" s="18"/>
      <c r="AHQ16" s="18"/>
      <c r="AHR16" s="18"/>
      <c r="AHS16" s="18"/>
      <c r="AHT16" s="18"/>
      <c r="AHU16" s="18"/>
      <c r="AHV16" s="18"/>
      <c r="AHW16" s="18"/>
      <c r="AHX16" s="18"/>
      <c r="AHY16" s="18"/>
      <c r="AHZ16" s="18"/>
      <c r="AIA16" s="18"/>
      <c r="AIB16" s="18"/>
      <c r="AIC16" s="18"/>
      <c r="AID16" s="18"/>
      <c r="AIE16" s="18"/>
      <c r="AIF16" s="18"/>
      <c r="AIG16" s="18"/>
      <c r="AIH16" s="18"/>
      <c r="AII16" s="18"/>
      <c r="AIJ16" s="18"/>
      <c r="AIK16" s="18"/>
      <c r="AIL16" s="18"/>
      <c r="AIM16" s="18"/>
      <c r="AIN16" s="18"/>
      <c r="AIO16" s="18"/>
      <c r="AIP16" s="18"/>
      <c r="AIQ16" s="18"/>
      <c r="AIR16" s="18"/>
      <c r="AIS16" s="18"/>
      <c r="AIT16" s="18"/>
      <c r="AIU16" s="18"/>
      <c r="AIV16" s="18"/>
      <c r="AIW16" s="18"/>
      <c r="AIX16" s="18"/>
      <c r="AIY16" s="18"/>
      <c r="AIZ16" s="18"/>
      <c r="AJA16" s="18"/>
      <c r="AJB16" s="18"/>
      <c r="AJC16" s="18"/>
      <c r="AJD16" s="18"/>
      <c r="AJE16" s="18"/>
      <c r="AJF16" s="18"/>
      <c r="AJG16" s="18"/>
      <c r="AJH16" s="18"/>
      <c r="AJI16" s="18"/>
      <c r="AJJ16" s="18"/>
      <c r="AJK16" s="18"/>
      <c r="AJL16" s="18"/>
      <c r="AJM16" s="18"/>
      <c r="AJN16" s="18"/>
      <c r="AJO16" s="18"/>
      <c r="AJP16" s="18"/>
      <c r="AJQ16" s="18"/>
      <c r="AJR16" s="18"/>
      <c r="AJS16" s="18"/>
      <c r="AJT16" s="18"/>
      <c r="AJU16" s="18"/>
      <c r="AJV16" s="18"/>
      <c r="AJW16" s="18"/>
      <c r="AJX16" s="18"/>
      <c r="AJY16" s="18"/>
      <c r="AJZ16" s="18"/>
      <c r="AKA16" s="18"/>
      <c r="AKB16" s="18"/>
      <c r="AKC16" s="18"/>
      <c r="AKD16" s="18"/>
      <c r="AKE16" s="18"/>
      <c r="AKF16" s="18"/>
      <c r="AKG16" s="18"/>
      <c r="AKH16" s="18"/>
      <c r="AKI16" s="18"/>
      <c r="AKJ16" s="18"/>
      <c r="AKK16" s="18"/>
      <c r="AKL16" s="18"/>
      <c r="AKM16" s="18"/>
      <c r="AKN16" s="18"/>
      <c r="AKO16" s="18"/>
      <c r="AKP16" s="18"/>
      <c r="AKQ16" s="18"/>
      <c r="AKR16" s="18"/>
      <c r="AKS16" s="18"/>
      <c r="AKT16" s="18"/>
      <c r="AKU16" s="18"/>
      <c r="AKV16" s="18"/>
      <c r="AKW16" s="18"/>
      <c r="AKX16" s="18"/>
      <c r="AKY16" s="18"/>
      <c r="AKZ16" s="18"/>
      <c r="ALA16" s="18"/>
      <c r="ALB16" s="18"/>
      <c r="ALC16" s="18"/>
      <c r="ALD16" s="18"/>
      <c r="ALE16" s="18"/>
      <c r="ALF16" s="18"/>
      <c r="ALG16" s="18"/>
      <c r="ALH16" s="18"/>
      <c r="ALI16" s="18"/>
      <c r="ALJ16" s="18"/>
      <c r="ALK16" s="18"/>
      <c r="ALL16" s="18"/>
      <c r="ALM16" s="18"/>
      <c r="ALN16" s="18"/>
      <c r="ALO16" s="18"/>
      <c r="ALP16" s="18"/>
      <c r="ALQ16" s="18"/>
      <c r="ALR16" s="18"/>
      <c r="ALS16" s="18"/>
      <c r="ALT16" s="18"/>
    </row>
    <row r="17" spans="1:1008" ht="24">
      <c r="A17" s="251" t="s">
        <v>6307</v>
      </c>
      <c r="B17" s="302">
        <v>305</v>
      </c>
      <c r="C17" s="278" t="str">
        <f>(IF($A17="SINAPI",INDEX(SINAPI_NOV2020_NDES!$A$7:$H$6703,MATCH($B17,SINAPI_NOV2020_NDES!$A$7:$A$6703,0),2),IF($A17="GOINFRA",INDEX(#REF!,MATCH($B17,#REF!,0),2),(INDEX(COMPOS!$A$4:$G$390,MATCH($B17,COMPOS!$A$4:A$390,0),2)))))</f>
        <v>REGULARIZAÇÃO DO TERRENO SEM APILOAMENTO COM TRANSPORTE MANUAL DE TERRA ESCAVADA</v>
      </c>
      <c r="D17" s="274" t="str">
        <f>(IF($A17="SINAPI",INDEX(SINAPI_NOV2020_NDES!$A$7:$H$6790,MATCH($B17,SINAPI_NOV2020_NDES!$A$7:$A$6790,0),3),(INDEX(COMPOS!$A$4:$G$5000,MATCH($B17,COMPOS!$A$4:$A$5000,0),3))))</f>
        <v>M2</v>
      </c>
      <c r="E17" s="314">
        <f>25.4*2</f>
        <v>50.8</v>
      </c>
      <c r="F17" s="279">
        <f>(IF($A17="SINAPI",INDEX(SINAPI_NOV2020_NDES!$A$7:$H$6703,MATCH($B17,SINAPI_NOV2020_NDES!$A$7:$A$6703,0),5),(INDEX(COMPOS!$A$4:$G$801,MATCH($B17,COMPOS!$A$4:A$801,0),4))))</f>
        <v>2.842123</v>
      </c>
      <c r="G17" s="280">
        <f>(IF($A17="SINAPI",INDEX(SINAPI_NOV2020_NDES!$A$7:$H$6703,MATCH($B17,SINAPI_NOV2020_NDES!$A$7:$A$6703,0),6),(INDEX(COMPOS!$A$4:$G$801,MATCH($B17,COMPOS!$A$4:A$801,0),5))))</f>
        <v>0</v>
      </c>
      <c r="H17" s="280">
        <f>(IF($A17="SINAPI",INDEX(SINAPI_NOV2020_NDES!$A$7:$H$6703,MATCH($B17,SINAPI_NOV2020_NDES!$A$7:$A$6703,0),7),(INDEX(COMPOS!$A$4:$G$801,MATCH($B17,COMPOS!$A$4:A$801,0),6))))</f>
        <v>0</v>
      </c>
      <c r="I17" s="279">
        <f t="shared" ref="I17" si="2">SUM(F17:H17)</f>
        <v>2.842123</v>
      </c>
      <c r="J17" s="276">
        <f t="shared" ref="J17" si="3">+I17*E17</f>
        <v>144.37984839999999</v>
      </c>
      <c r="K17" s="191"/>
      <c r="L17" s="191"/>
      <c r="M17" s="191"/>
      <c r="N17" s="191"/>
      <c r="O17" s="262"/>
      <c r="P17" s="263"/>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c r="JF17" s="18"/>
      <c r="JG17" s="18"/>
      <c r="JH17" s="18"/>
      <c r="JI17" s="18"/>
      <c r="JJ17" s="18"/>
      <c r="JK17" s="18"/>
      <c r="JL17" s="18"/>
      <c r="JM17" s="18"/>
      <c r="JN17" s="18"/>
      <c r="JO17" s="18"/>
      <c r="JP17" s="18"/>
      <c r="JQ17" s="18"/>
      <c r="JR17" s="18"/>
      <c r="JS17" s="18"/>
      <c r="JT17" s="18"/>
      <c r="JU17" s="18"/>
      <c r="JV17" s="18"/>
      <c r="JW17" s="18"/>
      <c r="JX17" s="18"/>
      <c r="JY17" s="18"/>
      <c r="JZ17" s="18"/>
      <c r="KA17" s="18"/>
      <c r="KB17" s="18"/>
      <c r="KC17" s="18"/>
      <c r="KD17" s="18"/>
      <c r="KE17" s="18"/>
      <c r="KF17" s="18"/>
      <c r="KG17" s="18"/>
      <c r="KH17" s="18"/>
      <c r="KI17" s="18"/>
      <c r="KJ17" s="18"/>
      <c r="KK17" s="18"/>
      <c r="KL17" s="18"/>
      <c r="KM17" s="18"/>
      <c r="KN17" s="18"/>
      <c r="KO17" s="18"/>
      <c r="KP17" s="18"/>
      <c r="KQ17" s="18"/>
      <c r="KR17" s="18"/>
      <c r="KS17" s="18"/>
      <c r="KT17" s="18"/>
      <c r="KU17" s="18"/>
      <c r="KV17" s="18"/>
      <c r="KW17" s="18"/>
      <c r="KX17" s="18"/>
      <c r="KY17" s="18"/>
      <c r="KZ17" s="18"/>
      <c r="LA17" s="18"/>
      <c r="LB17" s="18"/>
      <c r="LC17" s="18"/>
      <c r="LD17" s="18"/>
      <c r="LE17" s="18"/>
      <c r="LF17" s="18"/>
      <c r="LG17" s="18"/>
      <c r="LH17" s="18"/>
      <c r="LI17" s="18"/>
      <c r="LJ17" s="18"/>
      <c r="LK17" s="18"/>
      <c r="LL17" s="18"/>
      <c r="LM17" s="18"/>
      <c r="LN17" s="18"/>
      <c r="LO17" s="18"/>
      <c r="LP17" s="18"/>
      <c r="LQ17" s="18"/>
      <c r="LR17" s="18"/>
      <c r="LS17" s="18"/>
      <c r="LT17" s="18"/>
      <c r="LU17" s="18"/>
      <c r="LV17" s="18"/>
      <c r="LW17" s="18"/>
      <c r="LX17" s="18"/>
      <c r="LY17" s="18"/>
      <c r="LZ17" s="18"/>
      <c r="MA17" s="18"/>
      <c r="MB17" s="18"/>
      <c r="MC17" s="18"/>
      <c r="MD17" s="18"/>
      <c r="ME17" s="18"/>
      <c r="MF17" s="18"/>
      <c r="MG17" s="18"/>
      <c r="MH17" s="18"/>
      <c r="MI17" s="18"/>
      <c r="MJ17" s="18"/>
      <c r="MK17" s="18"/>
      <c r="ML17" s="18"/>
      <c r="MM17" s="18"/>
      <c r="MN17" s="18"/>
      <c r="MO17" s="18"/>
      <c r="MP17" s="18"/>
      <c r="MQ17" s="18"/>
      <c r="MR17" s="18"/>
      <c r="MS17" s="18"/>
      <c r="MT17" s="18"/>
      <c r="MU17" s="18"/>
      <c r="MV17" s="18"/>
      <c r="MW17" s="18"/>
      <c r="MX17" s="18"/>
      <c r="MY17" s="18"/>
      <c r="MZ17" s="18"/>
      <c r="NA17" s="18"/>
      <c r="NB17" s="18"/>
      <c r="NC17" s="18"/>
      <c r="ND17" s="18"/>
      <c r="NE17" s="18"/>
      <c r="NF17" s="18"/>
      <c r="NG17" s="18"/>
      <c r="NH17" s="18"/>
      <c r="NI17" s="18"/>
      <c r="NJ17" s="18"/>
      <c r="NK17" s="18"/>
      <c r="NL17" s="18"/>
      <c r="NM17" s="18"/>
      <c r="NN17" s="18"/>
      <c r="NO17" s="18"/>
      <c r="NP17" s="18"/>
      <c r="NQ17" s="18"/>
      <c r="NR17" s="18"/>
      <c r="NS17" s="18"/>
      <c r="NT17" s="18"/>
      <c r="NU17" s="18"/>
      <c r="NV17" s="18"/>
      <c r="NW17" s="18"/>
      <c r="NX17" s="18"/>
      <c r="NY17" s="18"/>
      <c r="NZ17" s="18"/>
      <c r="OA17" s="18"/>
      <c r="OB17" s="18"/>
      <c r="OC17" s="18"/>
      <c r="OD17" s="18"/>
      <c r="OE17" s="18"/>
      <c r="OF17" s="18"/>
      <c r="OG17" s="18"/>
      <c r="OH17" s="18"/>
      <c r="OI17" s="18"/>
      <c r="OJ17" s="18"/>
      <c r="OK17" s="18"/>
      <c r="OL17" s="18"/>
      <c r="OM17" s="18"/>
      <c r="ON17" s="18"/>
      <c r="OO17" s="18"/>
      <c r="OP17" s="18"/>
      <c r="OQ17" s="18"/>
      <c r="OR17" s="18"/>
      <c r="OS17" s="18"/>
      <c r="OT17" s="18"/>
      <c r="OU17" s="18"/>
      <c r="OV17" s="18"/>
      <c r="OW17" s="18"/>
      <c r="OX17" s="18"/>
      <c r="OY17" s="18"/>
      <c r="OZ17" s="18"/>
      <c r="PA17" s="18"/>
      <c r="PB17" s="18"/>
      <c r="PC17" s="18"/>
      <c r="PD17" s="18"/>
      <c r="PE17" s="18"/>
      <c r="PF17" s="18"/>
      <c r="PG17" s="18"/>
      <c r="PH17" s="18"/>
      <c r="PI17" s="18"/>
      <c r="PJ17" s="18"/>
      <c r="PK17" s="18"/>
      <c r="PL17" s="18"/>
      <c r="PM17" s="18"/>
      <c r="PN17" s="18"/>
      <c r="PO17" s="18"/>
      <c r="PP17" s="18"/>
      <c r="PQ17" s="18"/>
      <c r="PR17" s="18"/>
      <c r="PS17" s="18"/>
      <c r="PT17" s="18"/>
      <c r="PU17" s="18"/>
      <c r="PV17" s="18"/>
      <c r="PW17" s="18"/>
      <c r="PX17" s="18"/>
      <c r="PY17" s="18"/>
      <c r="PZ17" s="18"/>
      <c r="QA17" s="18"/>
      <c r="QB17" s="18"/>
      <c r="QC17" s="18"/>
      <c r="QD17" s="18"/>
      <c r="QE17" s="18"/>
      <c r="QF17" s="18"/>
      <c r="QG17" s="18"/>
      <c r="QH17" s="18"/>
      <c r="QI17" s="18"/>
      <c r="QJ17" s="18"/>
      <c r="QK17" s="18"/>
      <c r="QL17" s="18"/>
      <c r="QM17" s="18"/>
      <c r="QN17" s="18"/>
      <c r="QO17" s="18"/>
      <c r="QP17" s="18"/>
      <c r="QQ17" s="18"/>
      <c r="QR17" s="18"/>
      <c r="QS17" s="18"/>
      <c r="QT17" s="18"/>
      <c r="QU17" s="18"/>
      <c r="QV17" s="18"/>
      <c r="QW17" s="18"/>
      <c r="QX17" s="18"/>
      <c r="QY17" s="18"/>
      <c r="QZ17" s="18"/>
      <c r="RA17" s="18"/>
      <c r="RB17" s="18"/>
      <c r="RC17" s="18"/>
      <c r="RD17" s="18"/>
      <c r="RE17" s="18"/>
      <c r="RF17" s="18"/>
      <c r="RG17" s="18"/>
      <c r="RH17" s="18"/>
      <c r="RI17" s="18"/>
      <c r="RJ17" s="18"/>
      <c r="RK17" s="18"/>
      <c r="RL17" s="18"/>
      <c r="RM17" s="18"/>
      <c r="RN17" s="18"/>
      <c r="RO17" s="18"/>
      <c r="RP17" s="18"/>
      <c r="RQ17" s="18"/>
      <c r="RR17" s="18"/>
      <c r="RS17" s="18"/>
      <c r="RT17" s="18"/>
      <c r="RU17" s="18"/>
      <c r="RV17" s="18"/>
      <c r="RW17" s="18"/>
      <c r="RX17" s="18"/>
      <c r="RY17" s="18"/>
      <c r="RZ17" s="18"/>
      <c r="SA17" s="18"/>
      <c r="SB17" s="18"/>
      <c r="SC17" s="18"/>
      <c r="SD17" s="18"/>
      <c r="SE17" s="18"/>
      <c r="SF17" s="18"/>
      <c r="SG17" s="18"/>
      <c r="SH17" s="18"/>
      <c r="SI17" s="18"/>
      <c r="SJ17" s="18"/>
      <c r="SK17" s="18"/>
      <c r="SL17" s="18"/>
      <c r="SM17" s="18"/>
      <c r="SN17" s="18"/>
      <c r="SO17" s="18"/>
      <c r="SP17" s="18"/>
      <c r="SQ17" s="18"/>
      <c r="SR17" s="18"/>
      <c r="SS17" s="18"/>
      <c r="ST17" s="18"/>
      <c r="SU17" s="18"/>
      <c r="SV17" s="18"/>
      <c r="SW17" s="18"/>
      <c r="SX17" s="18"/>
      <c r="SY17" s="18"/>
      <c r="SZ17" s="18"/>
      <c r="TA17" s="18"/>
      <c r="TB17" s="18"/>
      <c r="TC17" s="18"/>
      <c r="TD17" s="18"/>
      <c r="TE17" s="18"/>
      <c r="TF17" s="18"/>
      <c r="TG17" s="18"/>
      <c r="TH17" s="18"/>
      <c r="TI17" s="18"/>
      <c r="TJ17" s="18"/>
      <c r="TK17" s="18"/>
      <c r="TL17" s="18"/>
      <c r="TM17" s="18"/>
      <c r="TN17" s="18"/>
      <c r="TO17" s="18"/>
      <c r="TP17" s="18"/>
      <c r="TQ17" s="18"/>
      <c r="TR17" s="18"/>
      <c r="TS17" s="18"/>
      <c r="TT17" s="18"/>
      <c r="TU17" s="18"/>
      <c r="TV17" s="18"/>
      <c r="TW17" s="18"/>
      <c r="TX17" s="18"/>
      <c r="TY17" s="18"/>
      <c r="TZ17" s="18"/>
      <c r="UA17" s="18"/>
      <c r="UB17" s="18"/>
      <c r="UC17" s="18"/>
      <c r="UD17" s="18"/>
      <c r="UE17" s="18"/>
      <c r="UF17" s="18"/>
      <c r="UG17" s="18"/>
      <c r="UH17" s="18"/>
      <c r="UI17" s="18"/>
      <c r="UJ17" s="18"/>
      <c r="UK17" s="18"/>
      <c r="UL17" s="18"/>
      <c r="UM17" s="18"/>
      <c r="UN17" s="18"/>
      <c r="UO17" s="18"/>
      <c r="UP17" s="18"/>
      <c r="UQ17" s="18"/>
      <c r="UR17" s="18"/>
      <c r="US17" s="18"/>
      <c r="UT17" s="18"/>
      <c r="UU17" s="18"/>
      <c r="UV17" s="18"/>
      <c r="UW17" s="18"/>
      <c r="UX17" s="18"/>
      <c r="UY17" s="18"/>
      <c r="UZ17" s="18"/>
      <c r="VA17" s="18"/>
      <c r="VB17" s="18"/>
      <c r="VC17" s="18"/>
      <c r="VD17" s="18"/>
      <c r="VE17" s="18"/>
      <c r="VF17" s="18"/>
      <c r="VG17" s="18"/>
      <c r="VH17" s="18"/>
      <c r="VI17" s="18"/>
      <c r="VJ17" s="18"/>
      <c r="VK17" s="18"/>
      <c r="VL17" s="18"/>
      <c r="VM17" s="18"/>
      <c r="VN17" s="18"/>
      <c r="VO17" s="18"/>
      <c r="VP17" s="18"/>
      <c r="VQ17" s="18"/>
      <c r="VR17" s="18"/>
      <c r="VS17" s="18"/>
      <c r="VT17" s="18"/>
      <c r="VU17" s="18"/>
      <c r="VV17" s="18"/>
      <c r="VW17" s="18"/>
      <c r="VX17" s="18"/>
      <c r="VY17" s="18"/>
      <c r="VZ17" s="18"/>
      <c r="WA17" s="18"/>
      <c r="WB17" s="18"/>
      <c r="WC17" s="18"/>
      <c r="WD17" s="18"/>
      <c r="WE17" s="18"/>
      <c r="WF17" s="18"/>
      <c r="WG17" s="18"/>
      <c r="WH17" s="18"/>
      <c r="WI17" s="18"/>
      <c r="WJ17" s="18"/>
      <c r="WK17" s="18"/>
      <c r="WL17" s="18"/>
      <c r="WM17" s="18"/>
      <c r="WN17" s="18"/>
      <c r="WO17" s="18"/>
      <c r="WP17" s="18"/>
      <c r="WQ17" s="18"/>
      <c r="WR17" s="18"/>
      <c r="WS17" s="18"/>
      <c r="WT17" s="18"/>
      <c r="WU17" s="18"/>
      <c r="WV17" s="18"/>
      <c r="WW17" s="18"/>
      <c r="WX17" s="18"/>
      <c r="WY17" s="18"/>
      <c r="WZ17" s="18"/>
      <c r="XA17" s="18"/>
      <c r="XB17" s="18"/>
      <c r="XC17" s="18"/>
      <c r="XD17" s="18"/>
      <c r="XE17" s="18"/>
      <c r="XF17" s="18"/>
      <c r="XG17" s="18"/>
      <c r="XH17" s="18"/>
      <c r="XI17" s="18"/>
      <c r="XJ17" s="18"/>
      <c r="XK17" s="18"/>
      <c r="XL17" s="18"/>
      <c r="XM17" s="18"/>
      <c r="XN17" s="18"/>
      <c r="XO17" s="18"/>
      <c r="XP17" s="18"/>
      <c r="XQ17" s="18"/>
      <c r="XR17" s="18"/>
      <c r="XS17" s="18"/>
      <c r="XT17" s="18"/>
      <c r="XU17" s="18"/>
      <c r="XV17" s="18"/>
      <c r="XW17" s="18"/>
      <c r="XX17" s="18"/>
      <c r="XY17" s="18"/>
      <c r="XZ17" s="18"/>
      <c r="YA17" s="18"/>
      <c r="YB17" s="18"/>
      <c r="YC17" s="18"/>
      <c r="YD17" s="18"/>
      <c r="YE17" s="18"/>
      <c r="YF17" s="18"/>
      <c r="YG17" s="18"/>
      <c r="YH17" s="18"/>
      <c r="YI17" s="18"/>
      <c r="YJ17" s="18"/>
      <c r="YK17" s="18"/>
      <c r="YL17" s="18"/>
      <c r="YM17" s="18"/>
      <c r="YN17" s="18"/>
      <c r="YO17" s="18"/>
      <c r="YP17" s="18"/>
      <c r="YQ17" s="18"/>
      <c r="YR17" s="18"/>
      <c r="YS17" s="18"/>
      <c r="YT17" s="18"/>
      <c r="YU17" s="18"/>
      <c r="YV17" s="18"/>
      <c r="YW17" s="18"/>
      <c r="YX17" s="18"/>
      <c r="YY17" s="18"/>
      <c r="YZ17" s="18"/>
      <c r="ZA17" s="18"/>
      <c r="ZB17" s="18"/>
      <c r="ZC17" s="18"/>
      <c r="ZD17" s="18"/>
      <c r="ZE17" s="18"/>
      <c r="ZF17" s="18"/>
      <c r="ZG17" s="18"/>
      <c r="ZH17" s="18"/>
      <c r="ZI17" s="18"/>
      <c r="ZJ17" s="18"/>
      <c r="ZK17" s="18"/>
      <c r="ZL17" s="18"/>
      <c r="ZM17" s="18"/>
      <c r="ZN17" s="18"/>
      <c r="ZO17" s="18"/>
      <c r="ZP17" s="18"/>
      <c r="ZQ17" s="18"/>
      <c r="ZR17" s="18"/>
      <c r="ZS17" s="18"/>
      <c r="ZT17" s="18"/>
      <c r="ZU17" s="18"/>
      <c r="ZV17" s="18"/>
      <c r="ZW17" s="18"/>
      <c r="ZX17" s="18"/>
      <c r="ZY17" s="18"/>
      <c r="ZZ17" s="18"/>
      <c r="AAA17" s="18"/>
      <c r="AAB17" s="18"/>
      <c r="AAC17" s="18"/>
      <c r="AAD17" s="18"/>
      <c r="AAE17" s="18"/>
      <c r="AAF17" s="18"/>
      <c r="AAG17" s="18"/>
      <c r="AAH17" s="18"/>
      <c r="AAI17" s="18"/>
      <c r="AAJ17" s="18"/>
      <c r="AAK17" s="18"/>
      <c r="AAL17" s="18"/>
      <c r="AAM17" s="18"/>
      <c r="AAN17" s="18"/>
      <c r="AAO17" s="18"/>
      <c r="AAP17" s="18"/>
      <c r="AAQ17" s="18"/>
      <c r="AAR17" s="18"/>
      <c r="AAS17" s="18"/>
      <c r="AAT17" s="18"/>
      <c r="AAU17" s="18"/>
      <c r="AAV17" s="18"/>
      <c r="AAW17" s="18"/>
      <c r="AAX17" s="18"/>
      <c r="AAY17" s="18"/>
      <c r="AAZ17" s="18"/>
      <c r="ABA17" s="18"/>
      <c r="ABB17" s="18"/>
      <c r="ABC17" s="18"/>
      <c r="ABD17" s="18"/>
      <c r="ABE17" s="18"/>
      <c r="ABF17" s="18"/>
      <c r="ABG17" s="18"/>
      <c r="ABH17" s="18"/>
      <c r="ABI17" s="18"/>
      <c r="ABJ17" s="18"/>
      <c r="ABK17" s="18"/>
      <c r="ABL17" s="18"/>
      <c r="ABM17" s="18"/>
      <c r="ABN17" s="18"/>
      <c r="ABO17" s="18"/>
      <c r="ABP17" s="18"/>
      <c r="ABQ17" s="18"/>
      <c r="ABR17" s="18"/>
      <c r="ABS17" s="18"/>
      <c r="ABT17" s="18"/>
      <c r="ABU17" s="18"/>
      <c r="ABV17" s="18"/>
      <c r="ABW17" s="18"/>
      <c r="ABX17" s="18"/>
      <c r="ABY17" s="18"/>
      <c r="ABZ17" s="18"/>
      <c r="ACA17" s="18"/>
      <c r="ACB17" s="18"/>
      <c r="ACC17" s="18"/>
      <c r="ACD17" s="18"/>
      <c r="ACE17" s="18"/>
      <c r="ACF17" s="18"/>
      <c r="ACG17" s="18"/>
      <c r="ACH17" s="18"/>
      <c r="ACI17" s="18"/>
      <c r="ACJ17" s="18"/>
      <c r="ACK17" s="18"/>
      <c r="ACL17" s="18"/>
      <c r="ACM17" s="18"/>
      <c r="ACN17" s="18"/>
      <c r="ACO17" s="18"/>
      <c r="ACP17" s="18"/>
      <c r="ACQ17" s="18"/>
      <c r="ACR17" s="18"/>
      <c r="ACS17" s="18"/>
      <c r="ACT17" s="18"/>
      <c r="ACU17" s="18"/>
      <c r="ACV17" s="18"/>
      <c r="ACW17" s="18"/>
      <c r="ACX17" s="18"/>
      <c r="ACY17" s="18"/>
      <c r="ACZ17" s="18"/>
      <c r="ADA17" s="18"/>
      <c r="ADB17" s="18"/>
      <c r="ADC17" s="18"/>
      <c r="ADD17" s="18"/>
      <c r="ADE17" s="18"/>
      <c r="ADF17" s="18"/>
      <c r="ADG17" s="18"/>
      <c r="ADH17" s="18"/>
      <c r="ADI17" s="18"/>
      <c r="ADJ17" s="18"/>
      <c r="ADK17" s="18"/>
      <c r="ADL17" s="18"/>
      <c r="ADM17" s="18"/>
      <c r="ADN17" s="18"/>
      <c r="ADO17" s="18"/>
      <c r="ADP17" s="18"/>
      <c r="ADQ17" s="18"/>
      <c r="ADR17" s="18"/>
      <c r="ADS17" s="18"/>
      <c r="ADT17" s="18"/>
      <c r="ADU17" s="18"/>
      <c r="ADV17" s="18"/>
      <c r="ADW17" s="18"/>
      <c r="ADX17" s="18"/>
      <c r="ADY17" s="18"/>
      <c r="ADZ17" s="18"/>
      <c r="AEA17" s="18"/>
      <c r="AEB17" s="18"/>
      <c r="AEC17" s="18"/>
      <c r="AED17" s="18"/>
      <c r="AEE17" s="18"/>
      <c r="AEF17" s="18"/>
      <c r="AEG17" s="18"/>
      <c r="AEH17" s="18"/>
      <c r="AEI17" s="18"/>
      <c r="AEJ17" s="18"/>
      <c r="AEK17" s="18"/>
      <c r="AEL17" s="18"/>
      <c r="AEM17" s="18"/>
      <c r="AEN17" s="18"/>
      <c r="AEO17" s="18"/>
      <c r="AEP17" s="18"/>
      <c r="AEQ17" s="18"/>
      <c r="AER17" s="18"/>
      <c r="AES17" s="18"/>
      <c r="AET17" s="18"/>
      <c r="AEU17" s="18"/>
      <c r="AEV17" s="18"/>
      <c r="AEW17" s="18"/>
      <c r="AEX17" s="18"/>
      <c r="AEY17" s="18"/>
      <c r="AEZ17" s="18"/>
      <c r="AFA17" s="18"/>
      <c r="AFB17" s="18"/>
      <c r="AFC17" s="18"/>
      <c r="AFD17" s="18"/>
      <c r="AFE17" s="18"/>
      <c r="AFF17" s="18"/>
      <c r="AFG17" s="18"/>
      <c r="AFH17" s="18"/>
      <c r="AFI17" s="18"/>
      <c r="AFJ17" s="18"/>
      <c r="AFK17" s="18"/>
      <c r="AFL17" s="18"/>
      <c r="AFM17" s="18"/>
      <c r="AFN17" s="18"/>
      <c r="AFO17" s="18"/>
      <c r="AFP17" s="18"/>
      <c r="AFQ17" s="18"/>
      <c r="AFR17" s="18"/>
      <c r="AFS17" s="18"/>
      <c r="AFT17" s="18"/>
      <c r="AFU17" s="18"/>
      <c r="AFV17" s="18"/>
      <c r="AFW17" s="18"/>
      <c r="AFX17" s="18"/>
      <c r="AFY17" s="18"/>
      <c r="AFZ17" s="18"/>
      <c r="AGA17" s="18"/>
      <c r="AGB17" s="18"/>
      <c r="AGC17" s="18"/>
      <c r="AGD17" s="18"/>
      <c r="AGE17" s="18"/>
      <c r="AGF17" s="18"/>
      <c r="AGG17" s="18"/>
      <c r="AGH17" s="18"/>
      <c r="AGI17" s="18"/>
      <c r="AGJ17" s="18"/>
      <c r="AGK17" s="18"/>
      <c r="AGL17" s="18"/>
      <c r="AGM17" s="18"/>
      <c r="AGN17" s="18"/>
      <c r="AGO17" s="18"/>
      <c r="AGP17" s="18"/>
      <c r="AGQ17" s="18"/>
      <c r="AGR17" s="18"/>
      <c r="AGS17" s="18"/>
      <c r="AGT17" s="18"/>
      <c r="AGU17" s="18"/>
      <c r="AGV17" s="18"/>
      <c r="AGW17" s="18"/>
      <c r="AGX17" s="18"/>
      <c r="AGY17" s="18"/>
      <c r="AGZ17" s="18"/>
      <c r="AHA17" s="18"/>
      <c r="AHB17" s="18"/>
      <c r="AHC17" s="18"/>
      <c r="AHD17" s="18"/>
      <c r="AHE17" s="18"/>
      <c r="AHF17" s="18"/>
      <c r="AHG17" s="18"/>
      <c r="AHH17" s="18"/>
      <c r="AHI17" s="18"/>
      <c r="AHJ17" s="18"/>
      <c r="AHK17" s="18"/>
      <c r="AHL17" s="18"/>
      <c r="AHM17" s="18"/>
      <c r="AHN17" s="18"/>
      <c r="AHO17" s="18"/>
      <c r="AHP17" s="18"/>
      <c r="AHQ17" s="18"/>
      <c r="AHR17" s="18"/>
      <c r="AHS17" s="18"/>
      <c r="AHT17" s="18"/>
      <c r="AHU17" s="18"/>
      <c r="AHV17" s="18"/>
      <c r="AHW17" s="18"/>
      <c r="AHX17" s="18"/>
      <c r="AHY17" s="18"/>
      <c r="AHZ17" s="18"/>
      <c r="AIA17" s="18"/>
      <c r="AIB17" s="18"/>
      <c r="AIC17" s="18"/>
      <c r="AID17" s="18"/>
      <c r="AIE17" s="18"/>
      <c r="AIF17" s="18"/>
      <c r="AIG17" s="18"/>
      <c r="AIH17" s="18"/>
      <c r="AII17" s="18"/>
      <c r="AIJ17" s="18"/>
      <c r="AIK17" s="18"/>
      <c r="AIL17" s="18"/>
      <c r="AIM17" s="18"/>
      <c r="AIN17" s="18"/>
      <c r="AIO17" s="18"/>
      <c r="AIP17" s="18"/>
      <c r="AIQ17" s="18"/>
      <c r="AIR17" s="18"/>
      <c r="AIS17" s="18"/>
      <c r="AIT17" s="18"/>
      <c r="AIU17" s="18"/>
      <c r="AIV17" s="18"/>
      <c r="AIW17" s="18"/>
      <c r="AIX17" s="18"/>
      <c r="AIY17" s="18"/>
      <c r="AIZ17" s="18"/>
      <c r="AJA17" s="18"/>
      <c r="AJB17" s="18"/>
      <c r="AJC17" s="18"/>
      <c r="AJD17" s="18"/>
      <c r="AJE17" s="18"/>
      <c r="AJF17" s="18"/>
      <c r="AJG17" s="18"/>
      <c r="AJH17" s="18"/>
      <c r="AJI17" s="18"/>
      <c r="AJJ17" s="18"/>
      <c r="AJK17" s="18"/>
      <c r="AJL17" s="18"/>
      <c r="AJM17" s="18"/>
      <c r="AJN17" s="18"/>
      <c r="AJO17" s="18"/>
      <c r="AJP17" s="18"/>
      <c r="AJQ17" s="18"/>
      <c r="AJR17" s="18"/>
      <c r="AJS17" s="18"/>
      <c r="AJT17" s="18"/>
      <c r="AJU17" s="18"/>
      <c r="AJV17" s="18"/>
      <c r="AJW17" s="18"/>
      <c r="AJX17" s="18"/>
      <c r="AJY17" s="18"/>
      <c r="AJZ17" s="18"/>
      <c r="AKA17" s="18"/>
      <c r="AKB17" s="18"/>
      <c r="AKC17" s="18"/>
      <c r="AKD17" s="18"/>
      <c r="AKE17" s="18"/>
      <c r="AKF17" s="18"/>
      <c r="AKG17" s="18"/>
      <c r="AKH17" s="18"/>
      <c r="AKI17" s="18"/>
      <c r="AKJ17" s="18"/>
      <c r="AKK17" s="18"/>
      <c r="AKL17" s="18"/>
      <c r="AKM17" s="18"/>
      <c r="AKN17" s="18"/>
      <c r="AKO17" s="18"/>
      <c r="AKP17" s="18"/>
      <c r="AKQ17" s="18"/>
      <c r="AKR17" s="18"/>
      <c r="AKS17" s="18"/>
      <c r="AKT17" s="18"/>
      <c r="AKU17" s="18"/>
      <c r="AKV17" s="18"/>
      <c r="AKW17" s="18"/>
      <c r="AKX17" s="18"/>
      <c r="AKY17" s="18"/>
      <c r="AKZ17" s="18"/>
      <c r="ALA17" s="18"/>
      <c r="ALB17" s="18"/>
      <c r="ALC17" s="18"/>
      <c r="ALD17" s="18"/>
      <c r="ALE17" s="18"/>
      <c r="ALF17" s="18"/>
      <c r="ALG17" s="18"/>
      <c r="ALH17" s="18"/>
      <c r="ALI17" s="18"/>
      <c r="ALJ17" s="18"/>
      <c r="ALK17" s="18"/>
      <c r="ALL17" s="18"/>
      <c r="ALM17" s="18"/>
      <c r="ALN17" s="18"/>
      <c r="ALO17" s="18"/>
      <c r="ALP17" s="18"/>
      <c r="ALQ17" s="18"/>
      <c r="ALR17" s="18"/>
      <c r="ALS17" s="18"/>
      <c r="ALT17" s="18"/>
    </row>
    <row r="18" spans="1:1008">
      <c r="A18" s="251" t="s">
        <v>6307</v>
      </c>
      <c r="B18" s="302">
        <v>302</v>
      </c>
      <c r="C18" s="278" t="str">
        <f>(IF($A18="SINAPI",INDEX(SINAPI_NOV2020_NDES!$A$7:$H$6703,MATCH($B18,SINAPI_NOV2020_NDES!$A$7:$A$6703,0),2),IF($A18="GOINFRA",INDEX(#REF!,MATCH($B18,#REF!,0),2),(INDEX(COMPOS!$A$4:$G$390,MATCH($B18,COMPOS!$A$4:A$390,0),2)))))</f>
        <v>APILOAMENTO</v>
      </c>
      <c r="D18" s="274" t="str">
        <f>(IF($A18="SINAPI",INDEX(SINAPI_NOV2020_NDES!$A$7:$H$6790,MATCH($B18,SINAPI_NOV2020_NDES!$A$7:$A$6790,0),3),(INDEX(COMPOS!$A$4:$G$5000,MATCH($B18,COMPOS!$A$4:$A$5000,0),3))))</f>
        <v>M2</v>
      </c>
      <c r="E18" s="314">
        <f>25.4*2</f>
        <v>50.8</v>
      </c>
      <c r="F18" s="279">
        <f>(IF($A18="SINAPI",INDEX(SINAPI_NOV2020_NDES!$A$7:$H$6703,MATCH($B18,SINAPI_NOV2020_NDES!$A$7:$A$6703,0),5),(INDEX(COMPOS!$A$4:$G$801,MATCH($B18,COMPOS!$A$4:A$801,0),4))))</f>
        <v>6.0440000000000005</v>
      </c>
      <c r="G18" s="280">
        <f>(IF($A18="SINAPI",INDEX(SINAPI_NOV2020_NDES!$A$7:$H$6703,MATCH($B18,SINAPI_NOV2020_NDES!$A$7:$A$6703,0),6),(INDEX(COMPOS!$A$4:$G$801,MATCH($B18,COMPOS!$A$4:A$801,0),5))))</f>
        <v>0</v>
      </c>
      <c r="H18" s="280">
        <f>(IF($A18="SINAPI",INDEX(SINAPI_NOV2020_NDES!$A$7:$H$6703,MATCH($B18,SINAPI_NOV2020_NDES!$A$7:$A$6703,0),7),(INDEX(COMPOS!$A$4:$G$801,MATCH($B18,COMPOS!$A$4:A$801,0),6))))</f>
        <v>0</v>
      </c>
      <c r="I18" s="279">
        <f t="shared" ref="I18" si="4">SUM(F18:H18)</f>
        <v>6.0440000000000005</v>
      </c>
      <c r="J18" s="276">
        <f t="shared" ref="J18" si="5">+I18*E18</f>
        <v>307.03520000000003</v>
      </c>
      <c r="K18" s="191"/>
      <c r="L18" s="191"/>
      <c r="M18" s="191"/>
      <c r="N18" s="191"/>
      <c r="O18" s="262"/>
      <c r="P18" s="263"/>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c r="JF18" s="18"/>
      <c r="JG18" s="18"/>
      <c r="JH18" s="18"/>
      <c r="JI18" s="18"/>
      <c r="JJ18" s="18"/>
      <c r="JK18" s="18"/>
      <c r="JL18" s="18"/>
      <c r="JM18" s="18"/>
      <c r="JN18" s="18"/>
      <c r="JO18" s="18"/>
      <c r="JP18" s="18"/>
      <c r="JQ18" s="18"/>
      <c r="JR18" s="18"/>
      <c r="JS18" s="18"/>
      <c r="JT18" s="18"/>
      <c r="JU18" s="18"/>
      <c r="JV18" s="18"/>
      <c r="JW18" s="18"/>
      <c r="JX18" s="18"/>
      <c r="JY18" s="18"/>
      <c r="JZ18" s="18"/>
      <c r="KA18" s="18"/>
      <c r="KB18" s="18"/>
      <c r="KC18" s="18"/>
      <c r="KD18" s="18"/>
      <c r="KE18" s="18"/>
      <c r="KF18" s="18"/>
      <c r="KG18" s="18"/>
      <c r="KH18" s="18"/>
      <c r="KI18" s="18"/>
      <c r="KJ18" s="18"/>
      <c r="KK18" s="18"/>
      <c r="KL18" s="18"/>
      <c r="KM18" s="18"/>
      <c r="KN18" s="18"/>
      <c r="KO18" s="18"/>
      <c r="KP18" s="18"/>
      <c r="KQ18" s="18"/>
      <c r="KR18" s="18"/>
      <c r="KS18" s="18"/>
      <c r="KT18" s="18"/>
      <c r="KU18" s="18"/>
      <c r="KV18" s="18"/>
      <c r="KW18" s="18"/>
      <c r="KX18" s="18"/>
      <c r="KY18" s="18"/>
      <c r="KZ18" s="18"/>
      <c r="LA18" s="18"/>
      <c r="LB18" s="18"/>
      <c r="LC18" s="18"/>
      <c r="LD18" s="18"/>
      <c r="LE18" s="18"/>
      <c r="LF18" s="18"/>
      <c r="LG18" s="18"/>
      <c r="LH18" s="18"/>
      <c r="LI18" s="18"/>
      <c r="LJ18" s="18"/>
      <c r="LK18" s="18"/>
      <c r="LL18" s="18"/>
      <c r="LM18" s="18"/>
      <c r="LN18" s="18"/>
      <c r="LO18" s="18"/>
      <c r="LP18" s="18"/>
      <c r="LQ18" s="18"/>
      <c r="LR18" s="18"/>
      <c r="LS18" s="18"/>
      <c r="LT18" s="18"/>
      <c r="LU18" s="18"/>
      <c r="LV18" s="18"/>
      <c r="LW18" s="18"/>
      <c r="LX18" s="18"/>
      <c r="LY18" s="18"/>
      <c r="LZ18" s="18"/>
      <c r="MA18" s="18"/>
      <c r="MB18" s="18"/>
      <c r="MC18" s="18"/>
      <c r="MD18" s="18"/>
      <c r="ME18" s="18"/>
      <c r="MF18" s="18"/>
      <c r="MG18" s="18"/>
      <c r="MH18" s="18"/>
      <c r="MI18" s="18"/>
      <c r="MJ18" s="18"/>
      <c r="MK18" s="18"/>
      <c r="ML18" s="18"/>
      <c r="MM18" s="18"/>
      <c r="MN18" s="18"/>
      <c r="MO18" s="18"/>
      <c r="MP18" s="18"/>
      <c r="MQ18" s="18"/>
      <c r="MR18" s="18"/>
      <c r="MS18" s="18"/>
      <c r="MT18" s="18"/>
      <c r="MU18" s="18"/>
      <c r="MV18" s="18"/>
      <c r="MW18" s="18"/>
      <c r="MX18" s="18"/>
      <c r="MY18" s="18"/>
      <c r="MZ18" s="18"/>
      <c r="NA18" s="18"/>
      <c r="NB18" s="18"/>
      <c r="NC18" s="18"/>
      <c r="ND18" s="18"/>
      <c r="NE18" s="18"/>
      <c r="NF18" s="18"/>
      <c r="NG18" s="18"/>
      <c r="NH18" s="18"/>
      <c r="NI18" s="18"/>
      <c r="NJ18" s="18"/>
      <c r="NK18" s="18"/>
      <c r="NL18" s="18"/>
      <c r="NM18" s="18"/>
      <c r="NN18" s="18"/>
      <c r="NO18" s="18"/>
      <c r="NP18" s="18"/>
      <c r="NQ18" s="18"/>
      <c r="NR18" s="18"/>
      <c r="NS18" s="18"/>
      <c r="NT18" s="18"/>
      <c r="NU18" s="18"/>
      <c r="NV18" s="18"/>
      <c r="NW18" s="18"/>
      <c r="NX18" s="18"/>
      <c r="NY18" s="18"/>
      <c r="NZ18" s="18"/>
      <c r="OA18" s="18"/>
      <c r="OB18" s="18"/>
      <c r="OC18" s="18"/>
      <c r="OD18" s="18"/>
      <c r="OE18" s="18"/>
      <c r="OF18" s="18"/>
      <c r="OG18" s="18"/>
      <c r="OH18" s="18"/>
      <c r="OI18" s="18"/>
      <c r="OJ18" s="18"/>
      <c r="OK18" s="18"/>
      <c r="OL18" s="18"/>
      <c r="OM18" s="18"/>
      <c r="ON18" s="18"/>
      <c r="OO18" s="18"/>
      <c r="OP18" s="18"/>
      <c r="OQ18" s="18"/>
      <c r="OR18" s="18"/>
      <c r="OS18" s="18"/>
      <c r="OT18" s="18"/>
      <c r="OU18" s="18"/>
      <c r="OV18" s="18"/>
      <c r="OW18" s="18"/>
      <c r="OX18" s="18"/>
      <c r="OY18" s="18"/>
      <c r="OZ18" s="18"/>
      <c r="PA18" s="18"/>
      <c r="PB18" s="18"/>
      <c r="PC18" s="18"/>
      <c r="PD18" s="18"/>
      <c r="PE18" s="18"/>
      <c r="PF18" s="18"/>
      <c r="PG18" s="18"/>
      <c r="PH18" s="18"/>
      <c r="PI18" s="18"/>
      <c r="PJ18" s="18"/>
      <c r="PK18" s="18"/>
      <c r="PL18" s="18"/>
      <c r="PM18" s="18"/>
      <c r="PN18" s="18"/>
      <c r="PO18" s="18"/>
      <c r="PP18" s="18"/>
      <c r="PQ18" s="18"/>
      <c r="PR18" s="18"/>
      <c r="PS18" s="18"/>
      <c r="PT18" s="18"/>
      <c r="PU18" s="18"/>
      <c r="PV18" s="18"/>
      <c r="PW18" s="18"/>
      <c r="PX18" s="18"/>
      <c r="PY18" s="18"/>
      <c r="PZ18" s="18"/>
      <c r="QA18" s="18"/>
      <c r="QB18" s="18"/>
      <c r="QC18" s="18"/>
      <c r="QD18" s="18"/>
      <c r="QE18" s="18"/>
      <c r="QF18" s="18"/>
      <c r="QG18" s="18"/>
      <c r="QH18" s="18"/>
      <c r="QI18" s="18"/>
      <c r="QJ18" s="18"/>
      <c r="QK18" s="18"/>
      <c r="QL18" s="18"/>
      <c r="QM18" s="18"/>
      <c r="QN18" s="18"/>
      <c r="QO18" s="18"/>
      <c r="QP18" s="18"/>
      <c r="QQ18" s="18"/>
      <c r="QR18" s="18"/>
      <c r="QS18" s="18"/>
      <c r="QT18" s="18"/>
      <c r="QU18" s="18"/>
      <c r="QV18" s="18"/>
      <c r="QW18" s="18"/>
      <c r="QX18" s="18"/>
      <c r="QY18" s="18"/>
      <c r="QZ18" s="18"/>
      <c r="RA18" s="18"/>
      <c r="RB18" s="18"/>
      <c r="RC18" s="18"/>
      <c r="RD18" s="18"/>
      <c r="RE18" s="18"/>
      <c r="RF18" s="18"/>
      <c r="RG18" s="18"/>
      <c r="RH18" s="18"/>
      <c r="RI18" s="18"/>
      <c r="RJ18" s="18"/>
      <c r="RK18" s="18"/>
      <c r="RL18" s="18"/>
      <c r="RM18" s="18"/>
      <c r="RN18" s="18"/>
      <c r="RO18" s="18"/>
      <c r="RP18" s="18"/>
      <c r="RQ18" s="18"/>
      <c r="RR18" s="18"/>
      <c r="RS18" s="18"/>
      <c r="RT18" s="18"/>
      <c r="RU18" s="18"/>
      <c r="RV18" s="18"/>
      <c r="RW18" s="18"/>
      <c r="RX18" s="18"/>
      <c r="RY18" s="18"/>
      <c r="RZ18" s="18"/>
      <c r="SA18" s="18"/>
      <c r="SB18" s="18"/>
      <c r="SC18" s="18"/>
      <c r="SD18" s="18"/>
      <c r="SE18" s="18"/>
      <c r="SF18" s="18"/>
      <c r="SG18" s="18"/>
      <c r="SH18" s="18"/>
      <c r="SI18" s="18"/>
      <c r="SJ18" s="18"/>
      <c r="SK18" s="18"/>
      <c r="SL18" s="18"/>
      <c r="SM18" s="18"/>
      <c r="SN18" s="18"/>
      <c r="SO18" s="18"/>
      <c r="SP18" s="18"/>
      <c r="SQ18" s="18"/>
      <c r="SR18" s="18"/>
      <c r="SS18" s="18"/>
      <c r="ST18" s="18"/>
      <c r="SU18" s="18"/>
      <c r="SV18" s="18"/>
      <c r="SW18" s="18"/>
      <c r="SX18" s="18"/>
      <c r="SY18" s="18"/>
      <c r="SZ18" s="18"/>
      <c r="TA18" s="18"/>
      <c r="TB18" s="18"/>
      <c r="TC18" s="18"/>
      <c r="TD18" s="18"/>
      <c r="TE18" s="18"/>
      <c r="TF18" s="18"/>
      <c r="TG18" s="18"/>
      <c r="TH18" s="18"/>
      <c r="TI18" s="18"/>
      <c r="TJ18" s="18"/>
      <c r="TK18" s="18"/>
      <c r="TL18" s="18"/>
      <c r="TM18" s="18"/>
      <c r="TN18" s="18"/>
      <c r="TO18" s="18"/>
      <c r="TP18" s="18"/>
      <c r="TQ18" s="18"/>
      <c r="TR18" s="18"/>
      <c r="TS18" s="18"/>
      <c r="TT18" s="18"/>
      <c r="TU18" s="18"/>
      <c r="TV18" s="18"/>
      <c r="TW18" s="18"/>
      <c r="TX18" s="18"/>
      <c r="TY18" s="18"/>
      <c r="TZ18" s="18"/>
      <c r="UA18" s="18"/>
      <c r="UB18" s="18"/>
      <c r="UC18" s="18"/>
      <c r="UD18" s="18"/>
      <c r="UE18" s="18"/>
      <c r="UF18" s="18"/>
      <c r="UG18" s="18"/>
      <c r="UH18" s="18"/>
      <c r="UI18" s="18"/>
      <c r="UJ18" s="18"/>
      <c r="UK18" s="18"/>
      <c r="UL18" s="18"/>
      <c r="UM18" s="18"/>
      <c r="UN18" s="18"/>
      <c r="UO18" s="18"/>
      <c r="UP18" s="18"/>
      <c r="UQ18" s="18"/>
      <c r="UR18" s="18"/>
      <c r="US18" s="18"/>
      <c r="UT18" s="18"/>
      <c r="UU18" s="18"/>
      <c r="UV18" s="18"/>
      <c r="UW18" s="18"/>
      <c r="UX18" s="18"/>
      <c r="UY18" s="18"/>
      <c r="UZ18" s="18"/>
      <c r="VA18" s="18"/>
      <c r="VB18" s="18"/>
      <c r="VC18" s="18"/>
      <c r="VD18" s="18"/>
      <c r="VE18" s="18"/>
      <c r="VF18" s="18"/>
      <c r="VG18" s="18"/>
      <c r="VH18" s="18"/>
      <c r="VI18" s="18"/>
      <c r="VJ18" s="18"/>
      <c r="VK18" s="18"/>
      <c r="VL18" s="18"/>
      <c r="VM18" s="18"/>
      <c r="VN18" s="18"/>
      <c r="VO18" s="18"/>
      <c r="VP18" s="18"/>
      <c r="VQ18" s="18"/>
      <c r="VR18" s="18"/>
      <c r="VS18" s="18"/>
      <c r="VT18" s="18"/>
      <c r="VU18" s="18"/>
      <c r="VV18" s="18"/>
      <c r="VW18" s="18"/>
      <c r="VX18" s="18"/>
      <c r="VY18" s="18"/>
      <c r="VZ18" s="18"/>
      <c r="WA18" s="18"/>
      <c r="WB18" s="18"/>
      <c r="WC18" s="18"/>
      <c r="WD18" s="18"/>
      <c r="WE18" s="18"/>
      <c r="WF18" s="18"/>
      <c r="WG18" s="18"/>
      <c r="WH18" s="18"/>
      <c r="WI18" s="18"/>
      <c r="WJ18" s="18"/>
      <c r="WK18" s="18"/>
      <c r="WL18" s="18"/>
      <c r="WM18" s="18"/>
      <c r="WN18" s="18"/>
      <c r="WO18" s="18"/>
      <c r="WP18" s="18"/>
      <c r="WQ18" s="18"/>
      <c r="WR18" s="18"/>
      <c r="WS18" s="18"/>
      <c r="WT18" s="18"/>
      <c r="WU18" s="18"/>
      <c r="WV18" s="18"/>
      <c r="WW18" s="18"/>
      <c r="WX18" s="18"/>
      <c r="WY18" s="18"/>
      <c r="WZ18" s="18"/>
      <c r="XA18" s="18"/>
      <c r="XB18" s="18"/>
      <c r="XC18" s="18"/>
      <c r="XD18" s="18"/>
      <c r="XE18" s="18"/>
      <c r="XF18" s="18"/>
      <c r="XG18" s="18"/>
      <c r="XH18" s="18"/>
      <c r="XI18" s="18"/>
      <c r="XJ18" s="18"/>
      <c r="XK18" s="18"/>
      <c r="XL18" s="18"/>
      <c r="XM18" s="18"/>
      <c r="XN18" s="18"/>
      <c r="XO18" s="18"/>
      <c r="XP18" s="18"/>
      <c r="XQ18" s="18"/>
      <c r="XR18" s="18"/>
      <c r="XS18" s="18"/>
      <c r="XT18" s="18"/>
      <c r="XU18" s="18"/>
      <c r="XV18" s="18"/>
      <c r="XW18" s="18"/>
      <c r="XX18" s="18"/>
      <c r="XY18" s="18"/>
      <c r="XZ18" s="18"/>
      <c r="YA18" s="18"/>
      <c r="YB18" s="18"/>
      <c r="YC18" s="18"/>
      <c r="YD18" s="18"/>
      <c r="YE18" s="18"/>
      <c r="YF18" s="18"/>
      <c r="YG18" s="18"/>
      <c r="YH18" s="18"/>
      <c r="YI18" s="18"/>
      <c r="YJ18" s="18"/>
      <c r="YK18" s="18"/>
      <c r="YL18" s="18"/>
      <c r="YM18" s="18"/>
      <c r="YN18" s="18"/>
      <c r="YO18" s="18"/>
      <c r="YP18" s="18"/>
      <c r="YQ18" s="18"/>
      <c r="YR18" s="18"/>
      <c r="YS18" s="18"/>
      <c r="YT18" s="18"/>
      <c r="YU18" s="18"/>
      <c r="YV18" s="18"/>
      <c r="YW18" s="18"/>
      <c r="YX18" s="18"/>
      <c r="YY18" s="18"/>
      <c r="YZ18" s="18"/>
      <c r="ZA18" s="18"/>
      <c r="ZB18" s="18"/>
      <c r="ZC18" s="18"/>
      <c r="ZD18" s="18"/>
      <c r="ZE18" s="18"/>
      <c r="ZF18" s="18"/>
      <c r="ZG18" s="18"/>
      <c r="ZH18" s="18"/>
      <c r="ZI18" s="18"/>
      <c r="ZJ18" s="18"/>
      <c r="ZK18" s="18"/>
      <c r="ZL18" s="18"/>
      <c r="ZM18" s="18"/>
      <c r="ZN18" s="18"/>
      <c r="ZO18" s="18"/>
      <c r="ZP18" s="18"/>
      <c r="ZQ18" s="18"/>
      <c r="ZR18" s="18"/>
      <c r="ZS18" s="18"/>
      <c r="ZT18" s="18"/>
      <c r="ZU18" s="18"/>
      <c r="ZV18" s="18"/>
      <c r="ZW18" s="18"/>
      <c r="ZX18" s="18"/>
      <c r="ZY18" s="18"/>
      <c r="ZZ18" s="18"/>
      <c r="AAA18" s="18"/>
      <c r="AAB18" s="18"/>
      <c r="AAC18" s="18"/>
      <c r="AAD18" s="18"/>
      <c r="AAE18" s="18"/>
      <c r="AAF18" s="18"/>
      <c r="AAG18" s="18"/>
      <c r="AAH18" s="18"/>
      <c r="AAI18" s="18"/>
      <c r="AAJ18" s="18"/>
      <c r="AAK18" s="18"/>
      <c r="AAL18" s="18"/>
      <c r="AAM18" s="18"/>
      <c r="AAN18" s="18"/>
      <c r="AAO18" s="18"/>
      <c r="AAP18" s="18"/>
      <c r="AAQ18" s="18"/>
      <c r="AAR18" s="18"/>
      <c r="AAS18" s="18"/>
      <c r="AAT18" s="18"/>
      <c r="AAU18" s="18"/>
      <c r="AAV18" s="18"/>
      <c r="AAW18" s="18"/>
      <c r="AAX18" s="18"/>
      <c r="AAY18" s="18"/>
      <c r="AAZ18" s="18"/>
      <c r="ABA18" s="18"/>
      <c r="ABB18" s="18"/>
      <c r="ABC18" s="18"/>
      <c r="ABD18" s="18"/>
      <c r="ABE18" s="18"/>
      <c r="ABF18" s="18"/>
      <c r="ABG18" s="18"/>
      <c r="ABH18" s="18"/>
      <c r="ABI18" s="18"/>
      <c r="ABJ18" s="18"/>
      <c r="ABK18" s="18"/>
      <c r="ABL18" s="18"/>
      <c r="ABM18" s="18"/>
      <c r="ABN18" s="18"/>
      <c r="ABO18" s="18"/>
      <c r="ABP18" s="18"/>
      <c r="ABQ18" s="18"/>
      <c r="ABR18" s="18"/>
      <c r="ABS18" s="18"/>
      <c r="ABT18" s="18"/>
      <c r="ABU18" s="18"/>
      <c r="ABV18" s="18"/>
      <c r="ABW18" s="18"/>
      <c r="ABX18" s="18"/>
      <c r="ABY18" s="18"/>
      <c r="ABZ18" s="18"/>
      <c r="ACA18" s="18"/>
      <c r="ACB18" s="18"/>
      <c r="ACC18" s="18"/>
      <c r="ACD18" s="18"/>
      <c r="ACE18" s="18"/>
      <c r="ACF18" s="18"/>
      <c r="ACG18" s="18"/>
      <c r="ACH18" s="18"/>
      <c r="ACI18" s="18"/>
      <c r="ACJ18" s="18"/>
      <c r="ACK18" s="18"/>
      <c r="ACL18" s="18"/>
      <c r="ACM18" s="18"/>
      <c r="ACN18" s="18"/>
      <c r="ACO18" s="18"/>
      <c r="ACP18" s="18"/>
      <c r="ACQ18" s="18"/>
      <c r="ACR18" s="18"/>
      <c r="ACS18" s="18"/>
      <c r="ACT18" s="18"/>
      <c r="ACU18" s="18"/>
      <c r="ACV18" s="18"/>
      <c r="ACW18" s="18"/>
      <c r="ACX18" s="18"/>
      <c r="ACY18" s="18"/>
      <c r="ACZ18" s="18"/>
      <c r="ADA18" s="18"/>
      <c r="ADB18" s="18"/>
      <c r="ADC18" s="18"/>
      <c r="ADD18" s="18"/>
      <c r="ADE18" s="18"/>
      <c r="ADF18" s="18"/>
      <c r="ADG18" s="18"/>
      <c r="ADH18" s="18"/>
      <c r="ADI18" s="18"/>
      <c r="ADJ18" s="18"/>
      <c r="ADK18" s="18"/>
      <c r="ADL18" s="18"/>
      <c r="ADM18" s="18"/>
      <c r="ADN18" s="18"/>
      <c r="ADO18" s="18"/>
      <c r="ADP18" s="18"/>
      <c r="ADQ18" s="18"/>
      <c r="ADR18" s="18"/>
      <c r="ADS18" s="18"/>
      <c r="ADT18" s="18"/>
      <c r="ADU18" s="18"/>
      <c r="ADV18" s="18"/>
      <c r="ADW18" s="18"/>
      <c r="ADX18" s="18"/>
      <c r="ADY18" s="18"/>
      <c r="ADZ18" s="18"/>
      <c r="AEA18" s="18"/>
      <c r="AEB18" s="18"/>
      <c r="AEC18" s="18"/>
      <c r="AED18" s="18"/>
      <c r="AEE18" s="18"/>
      <c r="AEF18" s="18"/>
      <c r="AEG18" s="18"/>
      <c r="AEH18" s="18"/>
      <c r="AEI18" s="18"/>
      <c r="AEJ18" s="18"/>
      <c r="AEK18" s="18"/>
      <c r="AEL18" s="18"/>
      <c r="AEM18" s="18"/>
      <c r="AEN18" s="18"/>
      <c r="AEO18" s="18"/>
      <c r="AEP18" s="18"/>
      <c r="AEQ18" s="18"/>
      <c r="AER18" s="18"/>
      <c r="AES18" s="18"/>
      <c r="AET18" s="18"/>
      <c r="AEU18" s="18"/>
      <c r="AEV18" s="18"/>
      <c r="AEW18" s="18"/>
      <c r="AEX18" s="18"/>
      <c r="AEY18" s="18"/>
      <c r="AEZ18" s="18"/>
      <c r="AFA18" s="18"/>
      <c r="AFB18" s="18"/>
      <c r="AFC18" s="18"/>
      <c r="AFD18" s="18"/>
      <c r="AFE18" s="18"/>
      <c r="AFF18" s="18"/>
      <c r="AFG18" s="18"/>
      <c r="AFH18" s="18"/>
      <c r="AFI18" s="18"/>
      <c r="AFJ18" s="18"/>
      <c r="AFK18" s="18"/>
      <c r="AFL18" s="18"/>
      <c r="AFM18" s="18"/>
      <c r="AFN18" s="18"/>
      <c r="AFO18" s="18"/>
      <c r="AFP18" s="18"/>
      <c r="AFQ18" s="18"/>
      <c r="AFR18" s="18"/>
      <c r="AFS18" s="18"/>
      <c r="AFT18" s="18"/>
      <c r="AFU18" s="18"/>
      <c r="AFV18" s="18"/>
      <c r="AFW18" s="18"/>
      <c r="AFX18" s="18"/>
      <c r="AFY18" s="18"/>
      <c r="AFZ18" s="18"/>
      <c r="AGA18" s="18"/>
      <c r="AGB18" s="18"/>
      <c r="AGC18" s="18"/>
      <c r="AGD18" s="18"/>
      <c r="AGE18" s="18"/>
      <c r="AGF18" s="18"/>
      <c r="AGG18" s="18"/>
      <c r="AGH18" s="18"/>
      <c r="AGI18" s="18"/>
      <c r="AGJ18" s="18"/>
      <c r="AGK18" s="18"/>
      <c r="AGL18" s="18"/>
      <c r="AGM18" s="18"/>
      <c r="AGN18" s="18"/>
      <c r="AGO18" s="18"/>
      <c r="AGP18" s="18"/>
      <c r="AGQ18" s="18"/>
      <c r="AGR18" s="18"/>
      <c r="AGS18" s="18"/>
      <c r="AGT18" s="18"/>
      <c r="AGU18" s="18"/>
      <c r="AGV18" s="18"/>
      <c r="AGW18" s="18"/>
      <c r="AGX18" s="18"/>
      <c r="AGY18" s="18"/>
      <c r="AGZ18" s="18"/>
      <c r="AHA18" s="18"/>
      <c r="AHB18" s="18"/>
      <c r="AHC18" s="18"/>
      <c r="AHD18" s="18"/>
      <c r="AHE18" s="18"/>
      <c r="AHF18" s="18"/>
      <c r="AHG18" s="18"/>
      <c r="AHH18" s="18"/>
      <c r="AHI18" s="18"/>
      <c r="AHJ18" s="18"/>
      <c r="AHK18" s="18"/>
      <c r="AHL18" s="18"/>
      <c r="AHM18" s="18"/>
      <c r="AHN18" s="18"/>
      <c r="AHO18" s="18"/>
      <c r="AHP18" s="18"/>
      <c r="AHQ18" s="18"/>
      <c r="AHR18" s="18"/>
      <c r="AHS18" s="18"/>
      <c r="AHT18" s="18"/>
      <c r="AHU18" s="18"/>
      <c r="AHV18" s="18"/>
      <c r="AHW18" s="18"/>
      <c r="AHX18" s="18"/>
      <c r="AHY18" s="18"/>
      <c r="AHZ18" s="18"/>
      <c r="AIA18" s="18"/>
      <c r="AIB18" s="18"/>
      <c r="AIC18" s="18"/>
      <c r="AID18" s="18"/>
      <c r="AIE18" s="18"/>
      <c r="AIF18" s="18"/>
      <c r="AIG18" s="18"/>
      <c r="AIH18" s="18"/>
      <c r="AII18" s="18"/>
      <c r="AIJ18" s="18"/>
      <c r="AIK18" s="18"/>
      <c r="AIL18" s="18"/>
      <c r="AIM18" s="18"/>
      <c r="AIN18" s="18"/>
      <c r="AIO18" s="18"/>
      <c r="AIP18" s="18"/>
      <c r="AIQ18" s="18"/>
      <c r="AIR18" s="18"/>
      <c r="AIS18" s="18"/>
      <c r="AIT18" s="18"/>
      <c r="AIU18" s="18"/>
      <c r="AIV18" s="18"/>
      <c r="AIW18" s="18"/>
      <c r="AIX18" s="18"/>
      <c r="AIY18" s="18"/>
      <c r="AIZ18" s="18"/>
      <c r="AJA18" s="18"/>
      <c r="AJB18" s="18"/>
      <c r="AJC18" s="18"/>
      <c r="AJD18" s="18"/>
      <c r="AJE18" s="18"/>
      <c r="AJF18" s="18"/>
      <c r="AJG18" s="18"/>
      <c r="AJH18" s="18"/>
      <c r="AJI18" s="18"/>
      <c r="AJJ18" s="18"/>
      <c r="AJK18" s="18"/>
      <c r="AJL18" s="18"/>
      <c r="AJM18" s="18"/>
      <c r="AJN18" s="18"/>
      <c r="AJO18" s="18"/>
      <c r="AJP18" s="18"/>
      <c r="AJQ18" s="18"/>
      <c r="AJR18" s="18"/>
      <c r="AJS18" s="18"/>
      <c r="AJT18" s="18"/>
      <c r="AJU18" s="18"/>
      <c r="AJV18" s="18"/>
      <c r="AJW18" s="18"/>
      <c r="AJX18" s="18"/>
      <c r="AJY18" s="18"/>
      <c r="AJZ18" s="18"/>
      <c r="AKA18" s="18"/>
      <c r="AKB18" s="18"/>
      <c r="AKC18" s="18"/>
      <c r="AKD18" s="18"/>
      <c r="AKE18" s="18"/>
      <c r="AKF18" s="18"/>
      <c r="AKG18" s="18"/>
      <c r="AKH18" s="18"/>
      <c r="AKI18" s="18"/>
      <c r="AKJ18" s="18"/>
      <c r="AKK18" s="18"/>
      <c r="AKL18" s="18"/>
      <c r="AKM18" s="18"/>
      <c r="AKN18" s="18"/>
      <c r="AKO18" s="18"/>
      <c r="AKP18" s="18"/>
      <c r="AKQ18" s="18"/>
      <c r="AKR18" s="18"/>
      <c r="AKS18" s="18"/>
      <c r="AKT18" s="18"/>
      <c r="AKU18" s="18"/>
      <c r="AKV18" s="18"/>
      <c r="AKW18" s="18"/>
      <c r="AKX18" s="18"/>
      <c r="AKY18" s="18"/>
      <c r="AKZ18" s="18"/>
      <c r="ALA18" s="18"/>
      <c r="ALB18" s="18"/>
      <c r="ALC18" s="18"/>
      <c r="ALD18" s="18"/>
      <c r="ALE18" s="18"/>
      <c r="ALF18" s="18"/>
      <c r="ALG18" s="18"/>
      <c r="ALH18" s="18"/>
      <c r="ALI18" s="18"/>
      <c r="ALJ18" s="18"/>
      <c r="ALK18" s="18"/>
      <c r="ALL18" s="18"/>
      <c r="ALM18" s="18"/>
      <c r="ALN18" s="18"/>
      <c r="ALO18" s="18"/>
      <c r="ALP18" s="18"/>
      <c r="ALQ18" s="18"/>
      <c r="ALR18" s="18"/>
      <c r="ALS18" s="18"/>
      <c r="ALT18" s="18"/>
    </row>
    <row r="19" spans="1:1008" s="88" customFormat="1" ht="24" customHeight="1">
      <c r="A19" s="680" t="s">
        <v>6927</v>
      </c>
      <c r="B19" s="680"/>
      <c r="C19" s="680"/>
      <c r="D19" s="680"/>
      <c r="E19" s="680"/>
      <c r="F19" s="680"/>
      <c r="G19" s="680"/>
      <c r="H19" s="680"/>
      <c r="I19" s="680"/>
      <c r="J19" s="281">
        <f>SUM(J17:J18)</f>
        <v>451.41504840000005</v>
      </c>
      <c r="K19" s="191"/>
      <c r="L19" s="191"/>
      <c r="M19" s="191"/>
      <c r="N19" s="191"/>
      <c r="O19" s="191"/>
      <c r="P19" s="263"/>
    </row>
    <row r="20" spans="1:1008">
      <c r="A20" s="251"/>
      <c r="B20" s="370">
        <v>169</v>
      </c>
      <c r="C20" s="340" t="s">
        <v>6328</v>
      </c>
      <c r="D20" s="274"/>
      <c r="E20" s="276"/>
      <c r="F20" s="276"/>
      <c r="G20" s="276"/>
      <c r="H20" s="276"/>
      <c r="I20" s="276"/>
      <c r="J20" s="276"/>
      <c r="K20" s="191"/>
      <c r="L20" s="191"/>
      <c r="M20" s="191"/>
      <c r="N20" s="191"/>
      <c r="O20" s="191"/>
      <c r="P20" s="263"/>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c r="JF20" s="18"/>
      <c r="JG20" s="18"/>
      <c r="JH20" s="18"/>
      <c r="JI20" s="18"/>
      <c r="JJ20" s="18"/>
      <c r="JK20" s="18"/>
      <c r="JL20" s="18"/>
      <c r="JM20" s="18"/>
      <c r="JN20" s="18"/>
      <c r="JO20" s="18"/>
      <c r="JP20" s="18"/>
      <c r="JQ20" s="18"/>
      <c r="JR20" s="18"/>
      <c r="JS20" s="18"/>
      <c r="JT20" s="18"/>
      <c r="JU20" s="18"/>
      <c r="JV20" s="18"/>
      <c r="JW20" s="18"/>
      <c r="JX20" s="18"/>
      <c r="JY20" s="18"/>
      <c r="JZ20" s="18"/>
      <c r="KA20" s="18"/>
      <c r="KB20" s="18"/>
      <c r="KC20" s="18"/>
      <c r="KD20" s="18"/>
      <c r="KE20" s="18"/>
      <c r="KF20" s="18"/>
      <c r="KG20" s="18"/>
      <c r="KH20" s="18"/>
      <c r="KI20" s="18"/>
      <c r="KJ20" s="18"/>
      <c r="KK20" s="18"/>
      <c r="KL20" s="18"/>
      <c r="KM20" s="18"/>
      <c r="KN20" s="18"/>
      <c r="KO20" s="18"/>
      <c r="KP20" s="18"/>
      <c r="KQ20" s="18"/>
      <c r="KR20" s="18"/>
      <c r="KS20" s="18"/>
      <c r="KT20" s="18"/>
      <c r="KU20" s="18"/>
      <c r="KV20" s="18"/>
      <c r="KW20" s="18"/>
      <c r="KX20" s="18"/>
      <c r="KY20" s="18"/>
      <c r="KZ20" s="18"/>
      <c r="LA20" s="18"/>
      <c r="LB20" s="18"/>
      <c r="LC20" s="18"/>
      <c r="LD20" s="18"/>
      <c r="LE20" s="18"/>
      <c r="LF20" s="18"/>
      <c r="LG20" s="18"/>
      <c r="LH20" s="18"/>
      <c r="LI20" s="18"/>
      <c r="LJ20" s="18"/>
      <c r="LK20" s="18"/>
      <c r="LL20" s="18"/>
      <c r="LM20" s="18"/>
      <c r="LN20" s="18"/>
      <c r="LO20" s="18"/>
      <c r="LP20" s="18"/>
      <c r="LQ20" s="18"/>
      <c r="LR20" s="18"/>
      <c r="LS20" s="18"/>
      <c r="LT20" s="18"/>
      <c r="LU20" s="18"/>
      <c r="LV20" s="18"/>
      <c r="LW20" s="18"/>
      <c r="LX20" s="18"/>
      <c r="LY20" s="18"/>
      <c r="LZ20" s="18"/>
      <c r="MA20" s="18"/>
      <c r="MB20" s="18"/>
      <c r="MC20" s="18"/>
      <c r="MD20" s="18"/>
      <c r="ME20" s="18"/>
      <c r="MF20" s="18"/>
      <c r="MG20" s="18"/>
      <c r="MH20" s="18"/>
      <c r="MI20" s="18"/>
      <c r="MJ20" s="18"/>
      <c r="MK20" s="18"/>
      <c r="ML20" s="18"/>
      <c r="MM20" s="18"/>
      <c r="MN20" s="18"/>
      <c r="MO20" s="18"/>
      <c r="MP20" s="18"/>
      <c r="MQ20" s="18"/>
      <c r="MR20" s="18"/>
      <c r="MS20" s="18"/>
      <c r="MT20" s="18"/>
      <c r="MU20" s="18"/>
      <c r="MV20" s="18"/>
      <c r="MW20" s="18"/>
      <c r="MX20" s="18"/>
      <c r="MY20" s="18"/>
      <c r="MZ20" s="18"/>
      <c r="NA20" s="18"/>
      <c r="NB20" s="18"/>
      <c r="NC20" s="18"/>
      <c r="ND20" s="18"/>
      <c r="NE20" s="18"/>
      <c r="NF20" s="18"/>
      <c r="NG20" s="18"/>
      <c r="NH20" s="18"/>
      <c r="NI20" s="18"/>
      <c r="NJ20" s="18"/>
      <c r="NK20" s="18"/>
      <c r="NL20" s="18"/>
      <c r="NM20" s="18"/>
      <c r="NN20" s="18"/>
      <c r="NO20" s="18"/>
      <c r="NP20" s="18"/>
      <c r="NQ20" s="18"/>
      <c r="NR20" s="18"/>
      <c r="NS20" s="18"/>
      <c r="NT20" s="18"/>
      <c r="NU20" s="18"/>
      <c r="NV20" s="18"/>
      <c r="NW20" s="18"/>
      <c r="NX20" s="18"/>
      <c r="NY20" s="18"/>
      <c r="NZ20" s="18"/>
      <c r="OA20" s="18"/>
      <c r="OB20" s="18"/>
      <c r="OC20" s="18"/>
      <c r="OD20" s="18"/>
      <c r="OE20" s="18"/>
      <c r="OF20" s="18"/>
      <c r="OG20" s="18"/>
      <c r="OH20" s="18"/>
      <c r="OI20" s="18"/>
      <c r="OJ20" s="18"/>
      <c r="OK20" s="18"/>
      <c r="OL20" s="18"/>
      <c r="OM20" s="18"/>
      <c r="ON20" s="18"/>
      <c r="OO20" s="18"/>
      <c r="OP20" s="18"/>
      <c r="OQ20" s="18"/>
      <c r="OR20" s="18"/>
      <c r="OS20" s="18"/>
      <c r="OT20" s="18"/>
      <c r="OU20" s="18"/>
      <c r="OV20" s="18"/>
      <c r="OW20" s="18"/>
      <c r="OX20" s="18"/>
      <c r="OY20" s="18"/>
      <c r="OZ20" s="18"/>
      <c r="PA20" s="18"/>
      <c r="PB20" s="18"/>
      <c r="PC20" s="18"/>
      <c r="PD20" s="18"/>
      <c r="PE20" s="18"/>
      <c r="PF20" s="18"/>
      <c r="PG20" s="18"/>
      <c r="PH20" s="18"/>
      <c r="PI20" s="18"/>
      <c r="PJ20" s="18"/>
      <c r="PK20" s="18"/>
      <c r="PL20" s="18"/>
      <c r="PM20" s="18"/>
      <c r="PN20" s="18"/>
      <c r="PO20" s="18"/>
      <c r="PP20" s="18"/>
      <c r="PQ20" s="18"/>
      <c r="PR20" s="18"/>
      <c r="PS20" s="18"/>
      <c r="PT20" s="18"/>
      <c r="PU20" s="18"/>
      <c r="PV20" s="18"/>
      <c r="PW20" s="18"/>
      <c r="PX20" s="18"/>
      <c r="PY20" s="18"/>
      <c r="PZ20" s="18"/>
      <c r="QA20" s="18"/>
      <c r="QB20" s="18"/>
      <c r="QC20" s="18"/>
      <c r="QD20" s="18"/>
      <c r="QE20" s="18"/>
      <c r="QF20" s="18"/>
      <c r="QG20" s="18"/>
      <c r="QH20" s="18"/>
      <c r="QI20" s="18"/>
      <c r="QJ20" s="18"/>
      <c r="QK20" s="18"/>
      <c r="QL20" s="18"/>
      <c r="QM20" s="18"/>
      <c r="QN20" s="18"/>
      <c r="QO20" s="18"/>
      <c r="QP20" s="18"/>
      <c r="QQ20" s="18"/>
      <c r="QR20" s="18"/>
      <c r="QS20" s="18"/>
      <c r="QT20" s="18"/>
      <c r="QU20" s="18"/>
      <c r="QV20" s="18"/>
      <c r="QW20" s="18"/>
      <c r="QX20" s="18"/>
      <c r="QY20" s="18"/>
      <c r="QZ20" s="18"/>
      <c r="RA20" s="18"/>
      <c r="RB20" s="18"/>
      <c r="RC20" s="18"/>
      <c r="RD20" s="18"/>
      <c r="RE20" s="18"/>
      <c r="RF20" s="18"/>
      <c r="RG20" s="18"/>
      <c r="RH20" s="18"/>
      <c r="RI20" s="18"/>
      <c r="RJ20" s="18"/>
      <c r="RK20" s="18"/>
      <c r="RL20" s="18"/>
      <c r="RM20" s="18"/>
      <c r="RN20" s="18"/>
      <c r="RO20" s="18"/>
      <c r="RP20" s="18"/>
      <c r="RQ20" s="18"/>
      <c r="RR20" s="18"/>
      <c r="RS20" s="18"/>
      <c r="RT20" s="18"/>
      <c r="RU20" s="18"/>
      <c r="RV20" s="18"/>
      <c r="RW20" s="18"/>
      <c r="RX20" s="18"/>
      <c r="RY20" s="18"/>
      <c r="RZ20" s="18"/>
      <c r="SA20" s="18"/>
      <c r="SB20" s="18"/>
      <c r="SC20" s="18"/>
      <c r="SD20" s="18"/>
      <c r="SE20" s="18"/>
      <c r="SF20" s="18"/>
      <c r="SG20" s="18"/>
      <c r="SH20" s="18"/>
      <c r="SI20" s="18"/>
      <c r="SJ20" s="18"/>
      <c r="SK20" s="18"/>
      <c r="SL20" s="18"/>
      <c r="SM20" s="18"/>
      <c r="SN20" s="18"/>
      <c r="SO20" s="18"/>
      <c r="SP20" s="18"/>
      <c r="SQ20" s="18"/>
      <c r="SR20" s="18"/>
      <c r="SS20" s="18"/>
      <c r="ST20" s="18"/>
      <c r="SU20" s="18"/>
      <c r="SV20" s="18"/>
      <c r="SW20" s="18"/>
      <c r="SX20" s="18"/>
      <c r="SY20" s="18"/>
      <c r="SZ20" s="18"/>
      <c r="TA20" s="18"/>
      <c r="TB20" s="18"/>
      <c r="TC20" s="18"/>
      <c r="TD20" s="18"/>
      <c r="TE20" s="18"/>
      <c r="TF20" s="18"/>
      <c r="TG20" s="18"/>
      <c r="TH20" s="18"/>
      <c r="TI20" s="18"/>
      <c r="TJ20" s="18"/>
      <c r="TK20" s="18"/>
      <c r="TL20" s="18"/>
      <c r="TM20" s="18"/>
      <c r="TN20" s="18"/>
      <c r="TO20" s="18"/>
      <c r="TP20" s="18"/>
      <c r="TQ20" s="18"/>
      <c r="TR20" s="18"/>
      <c r="TS20" s="18"/>
      <c r="TT20" s="18"/>
      <c r="TU20" s="18"/>
      <c r="TV20" s="18"/>
      <c r="TW20" s="18"/>
      <c r="TX20" s="18"/>
      <c r="TY20" s="18"/>
      <c r="TZ20" s="18"/>
      <c r="UA20" s="18"/>
      <c r="UB20" s="18"/>
      <c r="UC20" s="18"/>
      <c r="UD20" s="18"/>
      <c r="UE20" s="18"/>
      <c r="UF20" s="18"/>
      <c r="UG20" s="18"/>
      <c r="UH20" s="18"/>
      <c r="UI20" s="18"/>
      <c r="UJ20" s="18"/>
      <c r="UK20" s="18"/>
      <c r="UL20" s="18"/>
      <c r="UM20" s="18"/>
      <c r="UN20" s="18"/>
      <c r="UO20" s="18"/>
      <c r="UP20" s="18"/>
      <c r="UQ20" s="18"/>
      <c r="UR20" s="18"/>
      <c r="US20" s="18"/>
      <c r="UT20" s="18"/>
      <c r="UU20" s="18"/>
      <c r="UV20" s="18"/>
      <c r="UW20" s="18"/>
      <c r="UX20" s="18"/>
      <c r="UY20" s="18"/>
      <c r="UZ20" s="18"/>
      <c r="VA20" s="18"/>
      <c r="VB20" s="18"/>
      <c r="VC20" s="18"/>
      <c r="VD20" s="18"/>
      <c r="VE20" s="18"/>
      <c r="VF20" s="18"/>
      <c r="VG20" s="18"/>
      <c r="VH20" s="18"/>
      <c r="VI20" s="18"/>
      <c r="VJ20" s="18"/>
      <c r="VK20" s="18"/>
      <c r="VL20" s="18"/>
      <c r="VM20" s="18"/>
      <c r="VN20" s="18"/>
      <c r="VO20" s="18"/>
      <c r="VP20" s="18"/>
      <c r="VQ20" s="18"/>
      <c r="VR20" s="18"/>
      <c r="VS20" s="18"/>
      <c r="VT20" s="18"/>
      <c r="VU20" s="18"/>
      <c r="VV20" s="18"/>
      <c r="VW20" s="18"/>
      <c r="VX20" s="18"/>
      <c r="VY20" s="18"/>
      <c r="VZ20" s="18"/>
      <c r="WA20" s="18"/>
      <c r="WB20" s="18"/>
      <c r="WC20" s="18"/>
      <c r="WD20" s="18"/>
      <c r="WE20" s="18"/>
      <c r="WF20" s="18"/>
      <c r="WG20" s="18"/>
      <c r="WH20" s="18"/>
      <c r="WI20" s="18"/>
      <c r="WJ20" s="18"/>
      <c r="WK20" s="18"/>
      <c r="WL20" s="18"/>
      <c r="WM20" s="18"/>
      <c r="WN20" s="18"/>
      <c r="WO20" s="18"/>
      <c r="WP20" s="18"/>
      <c r="WQ20" s="18"/>
      <c r="WR20" s="18"/>
      <c r="WS20" s="18"/>
      <c r="WT20" s="18"/>
      <c r="WU20" s="18"/>
      <c r="WV20" s="18"/>
      <c r="WW20" s="18"/>
      <c r="WX20" s="18"/>
      <c r="WY20" s="18"/>
      <c r="WZ20" s="18"/>
      <c r="XA20" s="18"/>
      <c r="XB20" s="18"/>
      <c r="XC20" s="18"/>
      <c r="XD20" s="18"/>
      <c r="XE20" s="18"/>
      <c r="XF20" s="18"/>
      <c r="XG20" s="18"/>
      <c r="XH20" s="18"/>
      <c r="XI20" s="18"/>
      <c r="XJ20" s="18"/>
      <c r="XK20" s="18"/>
      <c r="XL20" s="18"/>
      <c r="XM20" s="18"/>
      <c r="XN20" s="18"/>
      <c r="XO20" s="18"/>
      <c r="XP20" s="18"/>
      <c r="XQ20" s="18"/>
      <c r="XR20" s="18"/>
      <c r="XS20" s="18"/>
      <c r="XT20" s="18"/>
      <c r="XU20" s="18"/>
      <c r="XV20" s="18"/>
      <c r="XW20" s="18"/>
      <c r="XX20" s="18"/>
      <c r="XY20" s="18"/>
      <c r="XZ20" s="18"/>
      <c r="YA20" s="18"/>
      <c r="YB20" s="18"/>
      <c r="YC20" s="18"/>
      <c r="YD20" s="18"/>
      <c r="YE20" s="18"/>
      <c r="YF20" s="18"/>
      <c r="YG20" s="18"/>
      <c r="YH20" s="18"/>
      <c r="YI20" s="18"/>
      <c r="YJ20" s="18"/>
      <c r="YK20" s="18"/>
      <c r="YL20" s="18"/>
      <c r="YM20" s="18"/>
      <c r="YN20" s="18"/>
      <c r="YO20" s="18"/>
      <c r="YP20" s="18"/>
      <c r="YQ20" s="18"/>
      <c r="YR20" s="18"/>
      <c r="YS20" s="18"/>
      <c r="YT20" s="18"/>
      <c r="YU20" s="18"/>
      <c r="YV20" s="18"/>
      <c r="YW20" s="18"/>
      <c r="YX20" s="18"/>
      <c r="YY20" s="18"/>
      <c r="YZ20" s="18"/>
      <c r="ZA20" s="18"/>
      <c r="ZB20" s="18"/>
      <c r="ZC20" s="18"/>
      <c r="ZD20" s="18"/>
      <c r="ZE20" s="18"/>
      <c r="ZF20" s="18"/>
      <c r="ZG20" s="18"/>
      <c r="ZH20" s="18"/>
      <c r="ZI20" s="18"/>
      <c r="ZJ20" s="18"/>
      <c r="ZK20" s="18"/>
      <c r="ZL20" s="18"/>
      <c r="ZM20" s="18"/>
      <c r="ZN20" s="18"/>
      <c r="ZO20" s="18"/>
      <c r="ZP20" s="18"/>
      <c r="ZQ20" s="18"/>
      <c r="ZR20" s="18"/>
      <c r="ZS20" s="18"/>
      <c r="ZT20" s="18"/>
      <c r="ZU20" s="18"/>
      <c r="ZV20" s="18"/>
      <c r="ZW20" s="18"/>
      <c r="ZX20" s="18"/>
      <c r="ZY20" s="18"/>
      <c r="ZZ20" s="18"/>
      <c r="AAA20" s="18"/>
      <c r="AAB20" s="18"/>
      <c r="AAC20" s="18"/>
      <c r="AAD20" s="18"/>
      <c r="AAE20" s="18"/>
      <c r="AAF20" s="18"/>
      <c r="AAG20" s="18"/>
      <c r="AAH20" s="18"/>
      <c r="AAI20" s="18"/>
      <c r="AAJ20" s="18"/>
      <c r="AAK20" s="18"/>
      <c r="AAL20" s="18"/>
      <c r="AAM20" s="18"/>
      <c r="AAN20" s="18"/>
      <c r="AAO20" s="18"/>
      <c r="AAP20" s="18"/>
      <c r="AAQ20" s="18"/>
      <c r="AAR20" s="18"/>
      <c r="AAS20" s="18"/>
      <c r="AAT20" s="18"/>
      <c r="AAU20" s="18"/>
      <c r="AAV20" s="18"/>
      <c r="AAW20" s="18"/>
      <c r="AAX20" s="18"/>
      <c r="AAY20" s="18"/>
      <c r="AAZ20" s="18"/>
      <c r="ABA20" s="18"/>
      <c r="ABB20" s="18"/>
      <c r="ABC20" s="18"/>
      <c r="ABD20" s="18"/>
      <c r="ABE20" s="18"/>
      <c r="ABF20" s="18"/>
      <c r="ABG20" s="18"/>
      <c r="ABH20" s="18"/>
      <c r="ABI20" s="18"/>
      <c r="ABJ20" s="18"/>
      <c r="ABK20" s="18"/>
      <c r="ABL20" s="18"/>
      <c r="ABM20" s="18"/>
      <c r="ABN20" s="18"/>
      <c r="ABO20" s="18"/>
      <c r="ABP20" s="18"/>
      <c r="ABQ20" s="18"/>
      <c r="ABR20" s="18"/>
      <c r="ABS20" s="18"/>
      <c r="ABT20" s="18"/>
      <c r="ABU20" s="18"/>
      <c r="ABV20" s="18"/>
      <c r="ABW20" s="18"/>
      <c r="ABX20" s="18"/>
      <c r="ABY20" s="18"/>
      <c r="ABZ20" s="18"/>
      <c r="ACA20" s="18"/>
      <c r="ACB20" s="18"/>
      <c r="ACC20" s="18"/>
      <c r="ACD20" s="18"/>
      <c r="ACE20" s="18"/>
      <c r="ACF20" s="18"/>
      <c r="ACG20" s="18"/>
      <c r="ACH20" s="18"/>
      <c r="ACI20" s="18"/>
      <c r="ACJ20" s="18"/>
      <c r="ACK20" s="18"/>
      <c r="ACL20" s="18"/>
      <c r="ACM20" s="18"/>
      <c r="ACN20" s="18"/>
      <c r="ACO20" s="18"/>
      <c r="ACP20" s="18"/>
      <c r="ACQ20" s="18"/>
      <c r="ACR20" s="18"/>
      <c r="ACS20" s="18"/>
      <c r="ACT20" s="18"/>
      <c r="ACU20" s="18"/>
      <c r="ACV20" s="18"/>
      <c r="ACW20" s="18"/>
      <c r="ACX20" s="18"/>
      <c r="ACY20" s="18"/>
      <c r="ACZ20" s="18"/>
      <c r="ADA20" s="18"/>
      <c r="ADB20" s="18"/>
      <c r="ADC20" s="18"/>
      <c r="ADD20" s="18"/>
      <c r="ADE20" s="18"/>
      <c r="ADF20" s="18"/>
      <c r="ADG20" s="18"/>
      <c r="ADH20" s="18"/>
      <c r="ADI20" s="18"/>
      <c r="ADJ20" s="18"/>
      <c r="ADK20" s="18"/>
      <c r="ADL20" s="18"/>
      <c r="ADM20" s="18"/>
      <c r="ADN20" s="18"/>
      <c r="ADO20" s="18"/>
      <c r="ADP20" s="18"/>
      <c r="ADQ20" s="18"/>
      <c r="ADR20" s="18"/>
      <c r="ADS20" s="18"/>
      <c r="ADT20" s="18"/>
      <c r="ADU20" s="18"/>
      <c r="ADV20" s="18"/>
      <c r="ADW20" s="18"/>
      <c r="ADX20" s="18"/>
      <c r="ADY20" s="18"/>
      <c r="ADZ20" s="18"/>
      <c r="AEA20" s="18"/>
      <c r="AEB20" s="18"/>
      <c r="AEC20" s="18"/>
      <c r="AED20" s="18"/>
      <c r="AEE20" s="18"/>
      <c r="AEF20" s="18"/>
      <c r="AEG20" s="18"/>
      <c r="AEH20" s="18"/>
      <c r="AEI20" s="18"/>
      <c r="AEJ20" s="18"/>
      <c r="AEK20" s="18"/>
      <c r="AEL20" s="18"/>
      <c r="AEM20" s="18"/>
      <c r="AEN20" s="18"/>
      <c r="AEO20" s="18"/>
      <c r="AEP20" s="18"/>
      <c r="AEQ20" s="18"/>
      <c r="AER20" s="18"/>
      <c r="AES20" s="18"/>
      <c r="AET20" s="18"/>
      <c r="AEU20" s="18"/>
      <c r="AEV20" s="18"/>
      <c r="AEW20" s="18"/>
      <c r="AEX20" s="18"/>
      <c r="AEY20" s="18"/>
      <c r="AEZ20" s="18"/>
      <c r="AFA20" s="18"/>
      <c r="AFB20" s="18"/>
      <c r="AFC20" s="18"/>
      <c r="AFD20" s="18"/>
      <c r="AFE20" s="18"/>
      <c r="AFF20" s="18"/>
      <c r="AFG20" s="18"/>
      <c r="AFH20" s="18"/>
      <c r="AFI20" s="18"/>
      <c r="AFJ20" s="18"/>
      <c r="AFK20" s="18"/>
      <c r="AFL20" s="18"/>
      <c r="AFM20" s="18"/>
      <c r="AFN20" s="18"/>
      <c r="AFO20" s="18"/>
      <c r="AFP20" s="18"/>
      <c r="AFQ20" s="18"/>
      <c r="AFR20" s="18"/>
      <c r="AFS20" s="18"/>
      <c r="AFT20" s="18"/>
      <c r="AFU20" s="18"/>
      <c r="AFV20" s="18"/>
      <c r="AFW20" s="18"/>
      <c r="AFX20" s="18"/>
      <c r="AFY20" s="18"/>
      <c r="AFZ20" s="18"/>
      <c r="AGA20" s="18"/>
      <c r="AGB20" s="18"/>
      <c r="AGC20" s="18"/>
      <c r="AGD20" s="18"/>
      <c r="AGE20" s="18"/>
      <c r="AGF20" s="18"/>
      <c r="AGG20" s="18"/>
      <c r="AGH20" s="18"/>
      <c r="AGI20" s="18"/>
      <c r="AGJ20" s="18"/>
      <c r="AGK20" s="18"/>
      <c r="AGL20" s="18"/>
      <c r="AGM20" s="18"/>
      <c r="AGN20" s="18"/>
      <c r="AGO20" s="18"/>
      <c r="AGP20" s="18"/>
      <c r="AGQ20" s="18"/>
      <c r="AGR20" s="18"/>
      <c r="AGS20" s="18"/>
      <c r="AGT20" s="18"/>
      <c r="AGU20" s="18"/>
      <c r="AGV20" s="18"/>
      <c r="AGW20" s="18"/>
      <c r="AGX20" s="18"/>
      <c r="AGY20" s="18"/>
      <c r="AGZ20" s="18"/>
      <c r="AHA20" s="18"/>
      <c r="AHB20" s="18"/>
      <c r="AHC20" s="18"/>
      <c r="AHD20" s="18"/>
      <c r="AHE20" s="18"/>
      <c r="AHF20" s="18"/>
      <c r="AHG20" s="18"/>
      <c r="AHH20" s="18"/>
      <c r="AHI20" s="18"/>
      <c r="AHJ20" s="18"/>
      <c r="AHK20" s="18"/>
      <c r="AHL20" s="18"/>
      <c r="AHM20" s="18"/>
      <c r="AHN20" s="18"/>
      <c r="AHO20" s="18"/>
      <c r="AHP20" s="18"/>
      <c r="AHQ20" s="18"/>
      <c r="AHR20" s="18"/>
      <c r="AHS20" s="18"/>
      <c r="AHT20" s="18"/>
      <c r="AHU20" s="18"/>
      <c r="AHV20" s="18"/>
      <c r="AHW20" s="18"/>
      <c r="AHX20" s="18"/>
      <c r="AHY20" s="18"/>
      <c r="AHZ20" s="18"/>
      <c r="AIA20" s="18"/>
      <c r="AIB20" s="18"/>
      <c r="AIC20" s="18"/>
      <c r="AID20" s="18"/>
      <c r="AIE20" s="18"/>
      <c r="AIF20" s="18"/>
      <c r="AIG20" s="18"/>
      <c r="AIH20" s="18"/>
      <c r="AII20" s="18"/>
      <c r="AIJ20" s="18"/>
      <c r="AIK20" s="18"/>
      <c r="AIL20" s="18"/>
      <c r="AIM20" s="18"/>
      <c r="AIN20" s="18"/>
      <c r="AIO20" s="18"/>
      <c r="AIP20" s="18"/>
      <c r="AIQ20" s="18"/>
      <c r="AIR20" s="18"/>
      <c r="AIS20" s="18"/>
      <c r="AIT20" s="18"/>
      <c r="AIU20" s="18"/>
      <c r="AIV20" s="18"/>
      <c r="AIW20" s="18"/>
      <c r="AIX20" s="18"/>
      <c r="AIY20" s="18"/>
      <c r="AIZ20" s="18"/>
      <c r="AJA20" s="18"/>
      <c r="AJB20" s="18"/>
      <c r="AJC20" s="18"/>
      <c r="AJD20" s="18"/>
      <c r="AJE20" s="18"/>
      <c r="AJF20" s="18"/>
      <c r="AJG20" s="18"/>
      <c r="AJH20" s="18"/>
      <c r="AJI20" s="18"/>
      <c r="AJJ20" s="18"/>
      <c r="AJK20" s="18"/>
      <c r="AJL20" s="18"/>
      <c r="AJM20" s="18"/>
      <c r="AJN20" s="18"/>
      <c r="AJO20" s="18"/>
      <c r="AJP20" s="18"/>
      <c r="AJQ20" s="18"/>
      <c r="AJR20" s="18"/>
      <c r="AJS20" s="18"/>
      <c r="AJT20" s="18"/>
      <c r="AJU20" s="18"/>
      <c r="AJV20" s="18"/>
      <c r="AJW20" s="18"/>
      <c r="AJX20" s="18"/>
      <c r="AJY20" s="18"/>
      <c r="AJZ20" s="18"/>
      <c r="AKA20" s="18"/>
      <c r="AKB20" s="18"/>
      <c r="AKC20" s="18"/>
      <c r="AKD20" s="18"/>
      <c r="AKE20" s="18"/>
      <c r="AKF20" s="18"/>
      <c r="AKG20" s="18"/>
      <c r="AKH20" s="18"/>
      <c r="AKI20" s="18"/>
      <c r="AKJ20" s="18"/>
      <c r="AKK20" s="18"/>
      <c r="AKL20" s="18"/>
      <c r="AKM20" s="18"/>
      <c r="AKN20" s="18"/>
      <c r="AKO20" s="18"/>
      <c r="AKP20" s="18"/>
      <c r="AKQ20" s="18"/>
      <c r="AKR20" s="18"/>
      <c r="AKS20" s="18"/>
      <c r="AKT20" s="18"/>
      <c r="AKU20" s="18"/>
      <c r="AKV20" s="18"/>
      <c r="AKW20" s="18"/>
      <c r="AKX20" s="18"/>
      <c r="AKY20" s="18"/>
      <c r="AKZ20" s="18"/>
      <c r="ALA20" s="18"/>
      <c r="ALB20" s="18"/>
      <c r="ALC20" s="18"/>
      <c r="ALD20" s="18"/>
      <c r="ALE20" s="18"/>
      <c r="ALF20" s="18"/>
      <c r="ALG20" s="18"/>
      <c r="ALH20" s="18"/>
      <c r="ALI20" s="18"/>
      <c r="ALJ20" s="18"/>
      <c r="ALK20" s="18"/>
      <c r="ALL20" s="18"/>
      <c r="ALM20" s="18"/>
      <c r="ALN20" s="18"/>
      <c r="ALO20" s="18"/>
      <c r="ALP20" s="18"/>
      <c r="ALQ20" s="18"/>
      <c r="ALR20" s="18"/>
      <c r="ALS20" s="18"/>
      <c r="ALT20" s="18"/>
    </row>
    <row r="21" spans="1:1008" ht="24">
      <c r="A21" s="251" t="s">
        <v>6307</v>
      </c>
      <c r="B21" s="290">
        <v>244</v>
      </c>
      <c r="C21" s="278" t="str">
        <f>(IF($A21="SINAPI",INDEX(SINAPI_NOV2020_NDES!$A$7:$H$6703,MATCH($B21,SINAPI_NOV2020_NDES!$A$7:$A$6703,0),2),IF($A21="GOINFRA",INDEX(#REF!,MATCH($B21,#REF!,0),2),(INDEX(COMPOS!$A$4:$G$390,MATCH($B21,COMPOS!$A$4:A$390,0),2)))))</f>
        <v>ARAME GALVANIZADO 12 BWG, D = 2,76 MM (0,048 KG/M) OU 14 BWG, D = 2,11 MM (0,026KG/M)</v>
      </c>
      <c r="D21" s="274" t="str">
        <f>(IF($A21="SINAPI",INDEX(SINAPI_NOV2020_NDES!$A$7:$H$6790,MATCH($B21,SINAPI_NOV2020_NDES!$A$7:$A$6790,0),3),(INDEX(COMPOS!$A$4:$G$5000,MATCH($B21,COMPOS!$A$4:$A$5000,0),3))))</f>
        <v>KG</v>
      </c>
      <c r="E21" s="314">
        <v>2</v>
      </c>
      <c r="F21" s="279">
        <f>(IF($A21="SINAPI",INDEX(SINAPI_NOV2020_NDES!$A$7:$H$6703,MATCH($B21,SINAPI_NOV2020_NDES!$A$7:$A$6703,0),5),(INDEX(COMPOS!$A$4:$G$801,MATCH($B21,COMPOS!$A$4:A$801,0),4))))</f>
        <v>35.025821000000001</v>
      </c>
      <c r="G21" s="280">
        <f>(IF($A21="SINAPI",INDEX(SINAPI_NOV2020_NDES!$A$7:$H$6703,MATCH($B21,SINAPI_NOV2020_NDES!$A$7:$A$6703,0),6),(INDEX(COMPOS!$A$4:$G$801,MATCH($B21,COMPOS!$A$4:A$801,0),5))))</f>
        <v>15</v>
      </c>
      <c r="H21" s="280">
        <f>(IF($A21="SINAPI",INDEX(SINAPI_NOV2020_NDES!$A$7:$H$6703,MATCH($B21,SINAPI_NOV2020_NDES!$A$7:$A$6703,0),7),(INDEX(COMPOS!$A$4:$G$801,MATCH($B21,COMPOS!$A$4:A$801,0),6))))</f>
        <v>0</v>
      </c>
      <c r="I21" s="279">
        <f t="shared" ref="I21" si="6">SUM(F21:H21)</f>
        <v>50.025821000000001</v>
      </c>
      <c r="J21" s="276">
        <f t="shared" ref="J21" si="7">+I21*E21</f>
        <v>100.051642</v>
      </c>
      <c r="K21" s="191"/>
      <c r="L21" s="191"/>
      <c r="M21" s="191"/>
      <c r="N21" s="191"/>
      <c r="O21" s="262"/>
      <c r="P21" s="263"/>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c r="EF21" s="18"/>
      <c r="EG21" s="18"/>
      <c r="EH21" s="18"/>
      <c r="EI21" s="18"/>
      <c r="EJ21" s="18"/>
      <c r="EK21" s="18"/>
      <c r="EL21" s="18"/>
      <c r="EM21" s="18"/>
      <c r="EN21" s="18"/>
      <c r="EO21" s="18"/>
      <c r="EP21" s="18"/>
      <c r="EQ21" s="18"/>
      <c r="ER21" s="18"/>
      <c r="ES21" s="18"/>
      <c r="ET21" s="18"/>
      <c r="EU21" s="18"/>
      <c r="EV21" s="18"/>
      <c r="EW21" s="18"/>
      <c r="EX21" s="18"/>
      <c r="EY21" s="18"/>
      <c r="EZ21" s="18"/>
      <c r="FA21" s="18"/>
      <c r="FB21" s="18"/>
      <c r="FC21" s="18"/>
      <c r="FD21" s="18"/>
      <c r="FE21" s="18"/>
      <c r="FF21" s="18"/>
      <c r="FG21" s="18"/>
      <c r="FH21" s="18"/>
      <c r="FI21" s="18"/>
      <c r="FJ21" s="18"/>
      <c r="FK21" s="18"/>
      <c r="FL21" s="18"/>
      <c r="FM21" s="18"/>
      <c r="FN21" s="18"/>
      <c r="FO21" s="18"/>
      <c r="FP21" s="18"/>
      <c r="FQ21" s="18"/>
      <c r="FR21" s="18"/>
      <c r="FS21" s="18"/>
      <c r="FT21" s="18"/>
      <c r="FU21" s="18"/>
      <c r="FV21" s="18"/>
      <c r="FW21" s="18"/>
      <c r="FX21" s="18"/>
      <c r="FY21" s="18"/>
      <c r="FZ21" s="18"/>
      <c r="GA21" s="18"/>
      <c r="GB21" s="18"/>
      <c r="GC21" s="18"/>
      <c r="GD21" s="18"/>
      <c r="GE21" s="18"/>
      <c r="GF21" s="18"/>
      <c r="GG21" s="18"/>
      <c r="GH21" s="18"/>
      <c r="GI21" s="18"/>
      <c r="GJ21" s="18"/>
      <c r="GK21" s="18"/>
      <c r="GL21" s="18"/>
      <c r="GM21" s="18"/>
      <c r="GN21" s="18"/>
      <c r="GO21" s="18"/>
      <c r="GP21" s="18"/>
      <c r="GQ21" s="18"/>
      <c r="GR21" s="18"/>
      <c r="GS21" s="18"/>
      <c r="GT21" s="18"/>
      <c r="GU21" s="18"/>
      <c r="GV21" s="18"/>
      <c r="GW21" s="18"/>
      <c r="GX21" s="18"/>
      <c r="GY21" s="18"/>
      <c r="GZ21" s="18"/>
      <c r="HA21" s="18"/>
      <c r="HB21" s="18"/>
      <c r="HC21" s="18"/>
      <c r="HD21" s="18"/>
      <c r="HE21" s="18"/>
      <c r="HF21" s="18"/>
      <c r="HG21" s="18"/>
      <c r="HH21" s="18"/>
      <c r="HI21" s="18"/>
      <c r="HJ21" s="18"/>
      <c r="HK21" s="18"/>
      <c r="HL21" s="18"/>
      <c r="HM21" s="18"/>
      <c r="HN21" s="18"/>
      <c r="HO21" s="18"/>
      <c r="HP21" s="18"/>
      <c r="HQ21" s="18"/>
      <c r="HR21" s="18"/>
      <c r="HS21" s="18"/>
      <c r="HT21" s="18"/>
      <c r="HU21" s="18"/>
      <c r="HV21" s="18"/>
      <c r="HW21" s="18"/>
      <c r="HX21" s="18"/>
      <c r="HY21" s="18"/>
      <c r="HZ21" s="18"/>
      <c r="IA21" s="18"/>
      <c r="IB21" s="18"/>
      <c r="IC21" s="18"/>
      <c r="ID21" s="18"/>
      <c r="IE21" s="18"/>
      <c r="IF21" s="18"/>
      <c r="IG21" s="18"/>
      <c r="IH21" s="18"/>
      <c r="II21" s="18"/>
      <c r="IJ21" s="18"/>
      <c r="IK21" s="18"/>
      <c r="IL21" s="18"/>
      <c r="IM21" s="18"/>
      <c r="IN21" s="18"/>
      <c r="IO21" s="18"/>
      <c r="IP21" s="18"/>
      <c r="IQ21" s="18"/>
      <c r="IR21" s="18"/>
      <c r="IS21" s="18"/>
      <c r="IT21" s="18"/>
      <c r="IU21" s="18"/>
      <c r="IV21" s="18"/>
      <c r="IW21" s="18"/>
      <c r="IX21" s="18"/>
      <c r="IY21" s="18"/>
      <c r="IZ21" s="18"/>
      <c r="JA21" s="18"/>
      <c r="JB21" s="18"/>
      <c r="JC21" s="18"/>
      <c r="JD21" s="18"/>
      <c r="JE21" s="18"/>
      <c r="JF21" s="18"/>
      <c r="JG21" s="18"/>
      <c r="JH21" s="18"/>
      <c r="JI21" s="18"/>
      <c r="JJ21" s="18"/>
      <c r="JK21" s="18"/>
      <c r="JL21" s="18"/>
      <c r="JM21" s="18"/>
      <c r="JN21" s="18"/>
      <c r="JO21" s="18"/>
      <c r="JP21" s="18"/>
      <c r="JQ21" s="18"/>
      <c r="JR21" s="18"/>
      <c r="JS21" s="18"/>
      <c r="JT21" s="18"/>
      <c r="JU21" s="18"/>
      <c r="JV21" s="18"/>
      <c r="JW21" s="18"/>
      <c r="JX21" s="18"/>
      <c r="JY21" s="18"/>
      <c r="JZ21" s="18"/>
      <c r="KA21" s="18"/>
      <c r="KB21" s="18"/>
      <c r="KC21" s="18"/>
      <c r="KD21" s="18"/>
      <c r="KE21" s="18"/>
      <c r="KF21" s="18"/>
      <c r="KG21" s="18"/>
      <c r="KH21" s="18"/>
      <c r="KI21" s="18"/>
      <c r="KJ21" s="18"/>
      <c r="KK21" s="18"/>
      <c r="KL21" s="18"/>
      <c r="KM21" s="18"/>
      <c r="KN21" s="18"/>
      <c r="KO21" s="18"/>
      <c r="KP21" s="18"/>
      <c r="KQ21" s="18"/>
      <c r="KR21" s="18"/>
      <c r="KS21" s="18"/>
      <c r="KT21" s="18"/>
      <c r="KU21" s="18"/>
      <c r="KV21" s="18"/>
      <c r="KW21" s="18"/>
      <c r="KX21" s="18"/>
      <c r="KY21" s="18"/>
      <c r="KZ21" s="18"/>
      <c r="LA21" s="18"/>
      <c r="LB21" s="18"/>
      <c r="LC21" s="18"/>
      <c r="LD21" s="18"/>
      <c r="LE21" s="18"/>
      <c r="LF21" s="18"/>
      <c r="LG21" s="18"/>
      <c r="LH21" s="18"/>
      <c r="LI21" s="18"/>
      <c r="LJ21" s="18"/>
      <c r="LK21" s="18"/>
      <c r="LL21" s="18"/>
      <c r="LM21" s="18"/>
      <c r="LN21" s="18"/>
      <c r="LO21" s="18"/>
      <c r="LP21" s="18"/>
      <c r="LQ21" s="18"/>
      <c r="LR21" s="18"/>
      <c r="LS21" s="18"/>
      <c r="LT21" s="18"/>
      <c r="LU21" s="18"/>
      <c r="LV21" s="18"/>
      <c r="LW21" s="18"/>
      <c r="LX21" s="18"/>
      <c r="LY21" s="18"/>
      <c r="LZ21" s="18"/>
      <c r="MA21" s="18"/>
      <c r="MB21" s="18"/>
      <c r="MC21" s="18"/>
      <c r="MD21" s="18"/>
      <c r="ME21" s="18"/>
      <c r="MF21" s="18"/>
      <c r="MG21" s="18"/>
      <c r="MH21" s="18"/>
      <c r="MI21" s="18"/>
      <c r="MJ21" s="18"/>
      <c r="MK21" s="18"/>
      <c r="ML21" s="18"/>
      <c r="MM21" s="18"/>
      <c r="MN21" s="18"/>
      <c r="MO21" s="18"/>
      <c r="MP21" s="18"/>
      <c r="MQ21" s="18"/>
      <c r="MR21" s="18"/>
      <c r="MS21" s="18"/>
      <c r="MT21" s="18"/>
      <c r="MU21" s="18"/>
      <c r="MV21" s="18"/>
      <c r="MW21" s="18"/>
      <c r="MX21" s="18"/>
      <c r="MY21" s="18"/>
      <c r="MZ21" s="18"/>
      <c r="NA21" s="18"/>
      <c r="NB21" s="18"/>
      <c r="NC21" s="18"/>
      <c r="ND21" s="18"/>
      <c r="NE21" s="18"/>
      <c r="NF21" s="18"/>
      <c r="NG21" s="18"/>
      <c r="NH21" s="18"/>
      <c r="NI21" s="18"/>
      <c r="NJ21" s="18"/>
      <c r="NK21" s="18"/>
      <c r="NL21" s="18"/>
      <c r="NM21" s="18"/>
      <c r="NN21" s="18"/>
      <c r="NO21" s="18"/>
      <c r="NP21" s="18"/>
      <c r="NQ21" s="18"/>
      <c r="NR21" s="18"/>
      <c r="NS21" s="18"/>
      <c r="NT21" s="18"/>
      <c r="NU21" s="18"/>
      <c r="NV21" s="18"/>
      <c r="NW21" s="18"/>
      <c r="NX21" s="18"/>
      <c r="NY21" s="18"/>
      <c r="NZ21" s="18"/>
      <c r="OA21" s="18"/>
      <c r="OB21" s="18"/>
      <c r="OC21" s="18"/>
      <c r="OD21" s="18"/>
      <c r="OE21" s="18"/>
      <c r="OF21" s="18"/>
      <c r="OG21" s="18"/>
      <c r="OH21" s="18"/>
      <c r="OI21" s="18"/>
      <c r="OJ21" s="18"/>
      <c r="OK21" s="18"/>
      <c r="OL21" s="18"/>
      <c r="OM21" s="18"/>
      <c r="ON21" s="18"/>
      <c r="OO21" s="18"/>
      <c r="OP21" s="18"/>
      <c r="OQ21" s="18"/>
      <c r="OR21" s="18"/>
      <c r="OS21" s="18"/>
      <c r="OT21" s="18"/>
      <c r="OU21" s="18"/>
      <c r="OV21" s="18"/>
      <c r="OW21" s="18"/>
      <c r="OX21" s="18"/>
      <c r="OY21" s="18"/>
      <c r="OZ21" s="18"/>
      <c r="PA21" s="18"/>
      <c r="PB21" s="18"/>
      <c r="PC21" s="18"/>
      <c r="PD21" s="18"/>
      <c r="PE21" s="18"/>
      <c r="PF21" s="18"/>
      <c r="PG21" s="18"/>
      <c r="PH21" s="18"/>
      <c r="PI21" s="18"/>
      <c r="PJ21" s="18"/>
      <c r="PK21" s="18"/>
      <c r="PL21" s="18"/>
      <c r="PM21" s="18"/>
      <c r="PN21" s="18"/>
      <c r="PO21" s="18"/>
      <c r="PP21" s="18"/>
      <c r="PQ21" s="18"/>
      <c r="PR21" s="18"/>
      <c r="PS21" s="18"/>
      <c r="PT21" s="18"/>
      <c r="PU21" s="18"/>
      <c r="PV21" s="18"/>
      <c r="PW21" s="18"/>
      <c r="PX21" s="18"/>
      <c r="PY21" s="18"/>
      <c r="PZ21" s="18"/>
      <c r="QA21" s="18"/>
      <c r="QB21" s="18"/>
      <c r="QC21" s="18"/>
      <c r="QD21" s="18"/>
      <c r="QE21" s="18"/>
      <c r="QF21" s="18"/>
      <c r="QG21" s="18"/>
      <c r="QH21" s="18"/>
      <c r="QI21" s="18"/>
      <c r="QJ21" s="18"/>
      <c r="QK21" s="18"/>
      <c r="QL21" s="18"/>
      <c r="QM21" s="18"/>
      <c r="QN21" s="18"/>
      <c r="QO21" s="18"/>
      <c r="QP21" s="18"/>
      <c r="QQ21" s="18"/>
      <c r="QR21" s="18"/>
      <c r="QS21" s="18"/>
      <c r="QT21" s="18"/>
      <c r="QU21" s="18"/>
      <c r="QV21" s="18"/>
      <c r="QW21" s="18"/>
      <c r="QX21" s="18"/>
      <c r="QY21" s="18"/>
      <c r="QZ21" s="18"/>
      <c r="RA21" s="18"/>
      <c r="RB21" s="18"/>
      <c r="RC21" s="18"/>
      <c r="RD21" s="18"/>
      <c r="RE21" s="18"/>
      <c r="RF21" s="18"/>
      <c r="RG21" s="18"/>
      <c r="RH21" s="18"/>
      <c r="RI21" s="18"/>
      <c r="RJ21" s="18"/>
      <c r="RK21" s="18"/>
      <c r="RL21" s="18"/>
      <c r="RM21" s="18"/>
      <c r="RN21" s="18"/>
      <c r="RO21" s="18"/>
      <c r="RP21" s="18"/>
      <c r="RQ21" s="18"/>
      <c r="RR21" s="18"/>
      <c r="RS21" s="18"/>
      <c r="RT21" s="18"/>
      <c r="RU21" s="18"/>
      <c r="RV21" s="18"/>
      <c r="RW21" s="18"/>
      <c r="RX21" s="18"/>
      <c r="RY21" s="18"/>
      <c r="RZ21" s="18"/>
      <c r="SA21" s="18"/>
      <c r="SB21" s="18"/>
      <c r="SC21" s="18"/>
      <c r="SD21" s="18"/>
      <c r="SE21" s="18"/>
      <c r="SF21" s="18"/>
      <c r="SG21" s="18"/>
      <c r="SH21" s="18"/>
      <c r="SI21" s="18"/>
      <c r="SJ21" s="18"/>
      <c r="SK21" s="18"/>
      <c r="SL21" s="18"/>
      <c r="SM21" s="18"/>
      <c r="SN21" s="18"/>
      <c r="SO21" s="18"/>
      <c r="SP21" s="18"/>
      <c r="SQ21" s="18"/>
      <c r="SR21" s="18"/>
      <c r="SS21" s="18"/>
      <c r="ST21" s="18"/>
      <c r="SU21" s="18"/>
      <c r="SV21" s="18"/>
      <c r="SW21" s="18"/>
      <c r="SX21" s="18"/>
      <c r="SY21" s="18"/>
      <c r="SZ21" s="18"/>
      <c r="TA21" s="18"/>
      <c r="TB21" s="18"/>
      <c r="TC21" s="18"/>
      <c r="TD21" s="18"/>
      <c r="TE21" s="18"/>
      <c r="TF21" s="18"/>
      <c r="TG21" s="18"/>
      <c r="TH21" s="18"/>
      <c r="TI21" s="18"/>
      <c r="TJ21" s="18"/>
      <c r="TK21" s="18"/>
      <c r="TL21" s="18"/>
      <c r="TM21" s="18"/>
      <c r="TN21" s="18"/>
      <c r="TO21" s="18"/>
      <c r="TP21" s="18"/>
      <c r="TQ21" s="18"/>
      <c r="TR21" s="18"/>
      <c r="TS21" s="18"/>
      <c r="TT21" s="18"/>
      <c r="TU21" s="18"/>
      <c r="TV21" s="18"/>
      <c r="TW21" s="18"/>
      <c r="TX21" s="18"/>
      <c r="TY21" s="18"/>
      <c r="TZ21" s="18"/>
      <c r="UA21" s="18"/>
      <c r="UB21" s="18"/>
      <c r="UC21" s="18"/>
      <c r="UD21" s="18"/>
      <c r="UE21" s="18"/>
      <c r="UF21" s="18"/>
      <c r="UG21" s="18"/>
      <c r="UH21" s="18"/>
      <c r="UI21" s="18"/>
      <c r="UJ21" s="18"/>
      <c r="UK21" s="18"/>
      <c r="UL21" s="18"/>
      <c r="UM21" s="18"/>
      <c r="UN21" s="18"/>
      <c r="UO21" s="18"/>
      <c r="UP21" s="18"/>
      <c r="UQ21" s="18"/>
      <c r="UR21" s="18"/>
      <c r="US21" s="18"/>
      <c r="UT21" s="18"/>
      <c r="UU21" s="18"/>
      <c r="UV21" s="18"/>
      <c r="UW21" s="18"/>
      <c r="UX21" s="18"/>
      <c r="UY21" s="18"/>
      <c r="UZ21" s="18"/>
      <c r="VA21" s="18"/>
      <c r="VB21" s="18"/>
      <c r="VC21" s="18"/>
      <c r="VD21" s="18"/>
      <c r="VE21" s="18"/>
      <c r="VF21" s="18"/>
      <c r="VG21" s="18"/>
      <c r="VH21" s="18"/>
      <c r="VI21" s="18"/>
      <c r="VJ21" s="18"/>
      <c r="VK21" s="18"/>
      <c r="VL21" s="18"/>
      <c r="VM21" s="18"/>
      <c r="VN21" s="18"/>
      <c r="VO21" s="18"/>
      <c r="VP21" s="18"/>
      <c r="VQ21" s="18"/>
      <c r="VR21" s="18"/>
      <c r="VS21" s="18"/>
      <c r="VT21" s="18"/>
      <c r="VU21" s="18"/>
      <c r="VV21" s="18"/>
      <c r="VW21" s="18"/>
      <c r="VX21" s="18"/>
      <c r="VY21" s="18"/>
      <c r="VZ21" s="18"/>
      <c r="WA21" s="18"/>
      <c r="WB21" s="18"/>
      <c r="WC21" s="18"/>
      <c r="WD21" s="18"/>
      <c r="WE21" s="18"/>
      <c r="WF21" s="18"/>
      <c r="WG21" s="18"/>
      <c r="WH21" s="18"/>
      <c r="WI21" s="18"/>
      <c r="WJ21" s="18"/>
      <c r="WK21" s="18"/>
      <c r="WL21" s="18"/>
      <c r="WM21" s="18"/>
      <c r="WN21" s="18"/>
      <c r="WO21" s="18"/>
      <c r="WP21" s="18"/>
      <c r="WQ21" s="18"/>
      <c r="WR21" s="18"/>
      <c r="WS21" s="18"/>
      <c r="WT21" s="18"/>
      <c r="WU21" s="18"/>
      <c r="WV21" s="18"/>
      <c r="WW21" s="18"/>
      <c r="WX21" s="18"/>
      <c r="WY21" s="18"/>
      <c r="WZ21" s="18"/>
      <c r="XA21" s="18"/>
      <c r="XB21" s="18"/>
      <c r="XC21" s="18"/>
      <c r="XD21" s="18"/>
      <c r="XE21" s="18"/>
      <c r="XF21" s="18"/>
      <c r="XG21" s="18"/>
      <c r="XH21" s="18"/>
      <c r="XI21" s="18"/>
      <c r="XJ21" s="18"/>
      <c r="XK21" s="18"/>
      <c r="XL21" s="18"/>
      <c r="XM21" s="18"/>
      <c r="XN21" s="18"/>
      <c r="XO21" s="18"/>
      <c r="XP21" s="18"/>
      <c r="XQ21" s="18"/>
      <c r="XR21" s="18"/>
      <c r="XS21" s="18"/>
      <c r="XT21" s="18"/>
      <c r="XU21" s="18"/>
      <c r="XV21" s="18"/>
      <c r="XW21" s="18"/>
      <c r="XX21" s="18"/>
      <c r="XY21" s="18"/>
      <c r="XZ21" s="18"/>
      <c r="YA21" s="18"/>
      <c r="YB21" s="18"/>
      <c r="YC21" s="18"/>
      <c r="YD21" s="18"/>
      <c r="YE21" s="18"/>
      <c r="YF21" s="18"/>
      <c r="YG21" s="18"/>
      <c r="YH21" s="18"/>
      <c r="YI21" s="18"/>
      <c r="YJ21" s="18"/>
      <c r="YK21" s="18"/>
      <c r="YL21" s="18"/>
      <c r="YM21" s="18"/>
      <c r="YN21" s="18"/>
      <c r="YO21" s="18"/>
      <c r="YP21" s="18"/>
      <c r="YQ21" s="18"/>
      <c r="YR21" s="18"/>
      <c r="YS21" s="18"/>
      <c r="YT21" s="18"/>
      <c r="YU21" s="18"/>
      <c r="YV21" s="18"/>
      <c r="YW21" s="18"/>
      <c r="YX21" s="18"/>
      <c r="YY21" s="18"/>
      <c r="YZ21" s="18"/>
      <c r="ZA21" s="18"/>
      <c r="ZB21" s="18"/>
      <c r="ZC21" s="18"/>
      <c r="ZD21" s="18"/>
      <c r="ZE21" s="18"/>
      <c r="ZF21" s="18"/>
      <c r="ZG21" s="18"/>
      <c r="ZH21" s="18"/>
      <c r="ZI21" s="18"/>
      <c r="ZJ21" s="18"/>
      <c r="ZK21" s="18"/>
      <c r="ZL21" s="18"/>
      <c r="ZM21" s="18"/>
      <c r="ZN21" s="18"/>
      <c r="ZO21" s="18"/>
      <c r="ZP21" s="18"/>
      <c r="ZQ21" s="18"/>
      <c r="ZR21" s="18"/>
      <c r="ZS21" s="18"/>
      <c r="ZT21" s="18"/>
      <c r="ZU21" s="18"/>
      <c r="ZV21" s="18"/>
      <c r="ZW21" s="18"/>
      <c r="ZX21" s="18"/>
      <c r="ZY21" s="18"/>
      <c r="ZZ21" s="18"/>
      <c r="AAA21" s="18"/>
      <c r="AAB21" s="18"/>
      <c r="AAC21" s="18"/>
      <c r="AAD21" s="18"/>
      <c r="AAE21" s="18"/>
      <c r="AAF21" s="18"/>
      <c r="AAG21" s="18"/>
      <c r="AAH21" s="18"/>
      <c r="AAI21" s="18"/>
      <c r="AAJ21" s="18"/>
      <c r="AAK21" s="18"/>
      <c r="AAL21" s="18"/>
      <c r="AAM21" s="18"/>
      <c r="AAN21" s="18"/>
      <c r="AAO21" s="18"/>
      <c r="AAP21" s="18"/>
      <c r="AAQ21" s="18"/>
      <c r="AAR21" s="18"/>
      <c r="AAS21" s="18"/>
      <c r="AAT21" s="18"/>
      <c r="AAU21" s="18"/>
      <c r="AAV21" s="18"/>
      <c r="AAW21" s="18"/>
      <c r="AAX21" s="18"/>
      <c r="AAY21" s="18"/>
      <c r="AAZ21" s="18"/>
      <c r="ABA21" s="18"/>
      <c r="ABB21" s="18"/>
      <c r="ABC21" s="18"/>
      <c r="ABD21" s="18"/>
      <c r="ABE21" s="18"/>
      <c r="ABF21" s="18"/>
      <c r="ABG21" s="18"/>
      <c r="ABH21" s="18"/>
      <c r="ABI21" s="18"/>
      <c r="ABJ21" s="18"/>
      <c r="ABK21" s="18"/>
      <c r="ABL21" s="18"/>
      <c r="ABM21" s="18"/>
      <c r="ABN21" s="18"/>
      <c r="ABO21" s="18"/>
      <c r="ABP21" s="18"/>
      <c r="ABQ21" s="18"/>
      <c r="ABR21" s="18"/>
      <c r="ABS21" s="18"/>
      <c r="ABT21" s="18"/>
      <c r="ABU21" s="18"/>
      <c r="ABV21" s="18"/>
      <c r="ABW21" s="18"/>
      <c r="ABX21" s="18"/>
      <c r="ABY21" s="18"/>
      <c r="ABZ21" s="18"/>
      <c r="ACA21" s="18"/>
      <c r="ACB21" s="18"/>
      <c r="ACC21" s="18"/>
      <c r="ACD21" s="18"/>
      <c r="ACE21" s="18"/>
      <c r="ACF21" s="18"/>
      <c r="ACG21" s="18"/>
      <c r="ACH21" s="18"/>
      <c r="ACI21" s="18"/>
      <c r="ACJ21" s="18"/>
      <c r="ACK21" s="18"/>
      <c r="ACL21" s="18"/>
      <c r="ACM21" s="18"/>
      <c r="ACN21" s="18"/>
      <c r="ACO21" s="18"/>
      <c r="ACP21" s="18"/>
      <c r="ACQ21" s="18"/>
      <c r="ACR21" s="18"/>
      <c r="ACS21" s="18"/>
      <c r="ACT21" s="18"/>
      <c r="ACU21" s="18"/>
      <c r="ACV21" s="18"/>
      <c r="ACW21" s="18"/>
      <c r="ACX21" s="18"/>
      <c r="ACY21" s="18"/>
      <c r="ACZ21" s="18"/>
      <c r="ADA21" s="18"/>
      <c r="ADB21" s="18"/>
      <c r="ADC21" s="18"/>
      <c r="ADD21" s="18"/>
      <c r="ADE21" s="18"/>
      <c r="ADF21" s="18"/>
      <c r="ADG21" s="18"/>
      <c r="ADH21" s="18"/>
      <c r="ADI21" s="18"/>
      <c r="ADJ21" s="18"/>
      <c r="ADK21" s="18"/>
      <c r="ADL21" s="18"/>
      <c r="ADM21" s="18"/>
      <c r="ADN21" s="18"/>
      <c r="ADO21" s="18"/>
      <c r="ADP21" s="18"/>
      <c r="ADQ21" s="18"/>
      <c r="ADR21" s="18"/>
      <c r="ADS21" s="18"/>
      <c r="ADT21" s="18"/>
      <c r="ADU21" s="18"/>
      <c r="ADV21" s="18"/>
      <c r="ADW21" s="18"/>
      <c r="ADX21" s="18"/>
      <c r="ADY21" s="18"/>
      <c r="ADZ21" s="18"/>
      <c r="AEA21" s="18"/>
      <c r="AEB21" s="18"/>
      <c r="AEC21" s="18"/>
      <c r="AED21" s="18"/>
      <c r="AEE21" s="18"/>
      <c r="AEF21" s="18"/>
      <c r="AEG21" s="18"/>
      <c r="AEH21" s="18"/>
      <c r="AEI21" s="18"/>
      <c r="AEJ21" s="18"/>
      <c r="AEK21" s="18"/>
      <c r="AEL21" s="18"/>
      <c r="AEM21" s="18"/>
      <c r="AEN21" s="18"/>
      <c r="AEO21" s="18"/>
      <c r="AEP21" s="18"/>
      <c r="AEQ21" s="18"/>
      <c r="AER21" s="18"/>
      <c r="AES21" s="18"/>
      <c r="AET21" s="18"/>
      <c r="AEU21" s="18"/>
      <c r="AEV21" s="18"/>
      <c r="AEW21" s="18"/>
      <c r="AEX21" s="18"/>
      <c r="AEY21" s="18"/>
      <c r="AEZ21" s="18"/>
      <c r="AFA21" s="18"/>
      <c r="AFB21" s="18"/>
      <c r="AFC21" s="18"/>
      <c r="AFD21" s="18"/>
      <c r="AFE21" s="18"/>
      <c r="AFF21" s="18"/>
      <c r="AFG21" s="18"/>
      <c r="AFH21" s="18"/>
      <c r="AFI21" s="18"/>
      <c r="AFJ21" s="18"/>
      <c r="AFK21" s="18"/>
      <c r="AFL21" s="18"/>
      <c r="AFM21" s="18"/>
      <c r="AFN21" s="18"/>
      <c r="AFO21" s="18"/>
      <c r="AFP21" s="18"/>
      <c r="AFQ21" s="18"/>
      <c r="AFR21" s="18"/>
      <c r="AFS21" s="18"/>
      <c r="AFT21" s="18"/>
      <c r="AFU21" s="18"/>
      <c r="AFV21" s="18"/>
      <c r="AFW21" s="18"/>
      <c r="AFX21" s="18"/>
      <c r="AFY21" s="18"/>
      <c r="AFZ21" s="18"/>
      <c r="AGA21" s="18"/>
      <c r="AGB21" s="18"/>
      <c r="AGC21" s="18"/>
      <c r="AGD21" s="18"/>
      <c r="AGE21" s="18"/>
      <c r="AGF21" s="18"/>
      <c r="AGG21" s="18"/>
      <c r="AGH21" s="18"/>
      <c r="AGI21" s="18"/>
      <c r="AGJ21" s="18"/>
      <c r="AGK21" s="18"/>
      <c r="AGL21" s="18"/>
      <c r="AGM21" s="18"/>
      <c r="AGN21" s="18"/>
      <c r="AGO21" s="18"/>
      <c r="AGP21" s="18"/>
      <c r="AGQ21" s="18"/>
      <c r="AGR21" s="18"/>
      <c r="AGS21" s="18"/>
      <c r="AGT21" s="18"/>
      <c r="AGU21" s="18"/>
      <c r="AGV21" s="18"/>
      <c r="AGW21" s="18"/>
      <c r="AGX21" s="18"/>
      <c r="AGY21" s="18"/>
      <c r="AGZ21" s="18"/>
      <c r="AHA21" s="18"/>
      <c r="AHB21" s="18"/>
      <c r="AHC21" s="18"/>
      <c r="AHD21" s="18"/>
      <c r="AHE21" s="18"/>
      <c r="AHF21" s="18"/>
      <c r="AHG21" s="18"/>
      <c r="AHH21" s="18"/>
      <c r="AHI21" s="18"/>
      <c r="AHJ21" s="18"/>
      <c r="AHK21" s="18"/>
      <c r="AHL21" s="18"/>
      <c r="AHM21" s="18"/>
      <c r="AHN21" s="18"/>
      <c r="AHO21" s="18"/>
      <c r="AHP21" s="18"/>
      <c r="AHQ21" s="18"/>
      <c r="AHR21" s="18"/>
      <c r="AHS21" s="18"/>
      <c r="AHT21" s="18"/>
      <c r="AHU21" s="18"/>
      <c r="AHV21" s="18"/>
      <c r="AHW21" s="18"/>
      <c r="AHX21" s="18"/>
      <c r="AHY21" s="18"/>
      <c r="AHZ21" s="18"/>
      <c r="AIA21" s="18"/>
      <c r="AIB21" s="18"/>
      <c r="AIC21" s="18"/>
      <c r="AID21" s="18"/>
      <c r="AIE21" s="18"/>
      <c r="AIF21" s="18"/>
      <c r="AIG21" s="18"/>
      <c r="AIH21" s="18"/>
      <c r="AII21" s="18"/>
      <c r="AIJ21" s="18"/>
      <c r="AIK21" s="18"/>
      <c r="AIL21" s="18"/>
      <c r="AIM21" s="18"/>
      <c r="AIN21" s="18"/>
      <c r="AIO21" s="18"/>
      <c r="AIP21" s="18"/>
      <c r="AIQ21" s="18"/>
      <c r="AIR21" s="18"/>
      <c r="AIS21" s="18"/>
      <c r="AIT21" s="18"/>
      <c r="AIU21" s="18"/>
      <c r="AIV21" s="18"/>
      <c r="AIW21" s="18"/>
      <c r="AIX21" s="18"/>
      <c r="AIY21" s="18"/>
      <c r="AIZ21" s="18"/>
      <c r="AJA21" s="18"/>
      <c r="AJB21" s="18"/>
      <c r="AJC21" s="18"/>
      <c r="AJD21" s="18"/>
      <c r="AJE21" s="18"/>
      <c r="AJF21" s="18"/>
      <c r="AJG21" s="18"/>
      <c r="AJH21" s="18"/>
      <c r="AJI21" s="18"/>
      <c r="AJJ21" s="18"/>
      <c r="AJK21" s="18"/>
      <c r="AJL21" s="18"/>
      <c r="AJM21" s="18"/>
      <c r="AJN21" s="18"/>
      <c r="AJO21" s="18"/>
      <c r="AJP21" s="18"/>
      <c r="AJQ21" s="18"/>
      <c r="AJR21" s="18"/>
      <c r="AJS21" s="18"/>
      <c r="AJT21" s="18"/>
      <c r="AJU21" s="18"/>
      <c r="AJV21" s="18"/>
      <c r="AJW21" s="18"/>
      <c r="AJX21" s="18"/>
      <c r="AJY21" s="18"/>
      <c r="AJZ21" s="18"/>
      <c r="AKA21" s="18"/>
      <c r="AKB21" s="18"/>
      <c r="AKC21" s="18"/>
      <c r="AKD21" s="18"/>
      <c r="AKE21" s="18"/>
      <c r="AKF21" s="18"/>
      <c r="AKG21" s="18"/>
      <c r="AKH21" s="18"/>
      <c r="AKI21" s="18"/>
      <c r="AKJ21" s="18"/>
      <c r="AKK21" s="18"/>
      <c r="AKL21" s="18"/>
      <c r="AKM21" s="18"/>
      <c r="AKN21" s="18"/>
      <c r="AKO21" s="18"/>
      <c r="AKP21" s="18"/>
      <c r="AKQ21" s="18"/>
      <c r="AKR21" s="18"/>
      <c r="AKS21" s="18"/>
      <c r="AKT21" s="18"/>
      <c r="AKU21" s="18"/>
      <c r="AKV21" s="18"/>
      <c r="AKW21" s="18"/>
      <c r="AKX21" s="18"/>
      <c r="AKY21" s="18"/>
      <c r="AKZ21" s="18"/>
      <c r="ALA21" s="18"/>
      <c r="ALB21" s="18"/>
      <c r="ALC21" s="18"/>
      <c r="ALD21" s="18"/>
      <c r="ALE21" s="18"/>
      <c r="ALF21" s="18"/>
      <c r="ALG21" s="18"/>
      <c r="ALH21" s="18"/>
      <c r="ALI21" s="18"/>
      <c r="ALJ21" s="18"/>
      <c r="ALK21" s="18"/>
      <c r="ALL21" s="18"/>
      <c r="ALM21" s="18"/>
      <c r="ALN21" s="18"/>
      <c r="ALO21" s="18"/>
      <c r="ALP21" s="18"/>
      <c r="ALQ21" s="18"/>
      <c r="ALR21" s="18"/>
      <c r="ALS21" s="18"/>
      <c r="ALT21" s="18"/>
    </row>
    <row r="22" spans="1:1008" ht="24">
      <c r="A22" s="251" t="s">
        <v>7</v>
      </c>
      <c r="B22" s="290">
        <v>91926</v>
      </c>
      <c r="C22" s="278" t="str">
        <f>(IF($A22="SINAPI",INDEX(SINAPI_NOV2020_NDES!$A$7:$H$6703,MATCH($B22,SINAPI_NOV2020_NDES!$A$7:$A$6703,0),2),IF($A22="GOINFRA",INDEX(#REF!,MATCH($B22,#REF!,0),2),(INDEX(COMPOS!$A$4:$G$390,MATCH($B22,COMPOS!$A$4:A$390,0),2)))))</f>
        <v>CABO DE COBRE FLEXÍVEL ISOLADO, 2,5 MM², ANTI-CHAMA 450/750 V, PARA CIRCUITOS TERMINAIS - FORNECIMENTO E INSTALAÇÃO. AF_12/2015</v>
      </c>
      <c r="D22" s="274" t="str">
        <f>(IF($A22="SINAPI",INDEX(SINAPI_NOV2020_NDES!$A$7:$H$6790,MATCH($B22,SINAPI_NOV2020_NDES!$A$7:$A$6790,0),3),(INDEX(COMPOS!$A$4:$G$5000,MATCH($B22,COMPOS!$A$4:$A$5000,0),3))))</f>
        <v>M</v>
      </c>
      <c r="E22" s="314">
        <v>138</v>
      </c>
      <c r="F22" s="279">
        <f>(IF($A22="SINAPI",INDEX(SINAPI_NOV2020_NDES!$A$7:$H$6703,MATCH($B22,SINAPI_NOV2020_NDES!$A$7:$A$6703,0),5),(INDEX(COMPOS!$A$4:$G$801,MATCH($B22,COMPOS!$A$4:A$801,0),4))))</f>
        <v>0.88</v>
      </c>
      <c r="G22" s="280">
        <f>(IF($A22="SINAPI",INDEX(SINAPI_NOV2020_NDES!$A$7:$H$6703,MATCH($B22,SINAPI_NOV2020_NDES!$A$7:$A$6703,0),6),(INDEX(COMPOS!$A$4:$G$801,MATCH($B22,COMPOS!$A$4:A$801,0),5))))</f>
        <v>1.9</v>
      </c>
      <c r="H22" s="280">
        <f>(IF($A22="SINAPI",INDEX(SINAPI_NOV2020_NDES!$A$7:$H$6703,MATCH($B22,SINAPI_NOV2020_NDES!$A$7:$A$6703,0),7),(INDEX(COMPOS!$A$4:$G$801,MATCH($B22,COMPOS!$A$4:A$801,0),6))))</f>
        <v>0</v>
      </c>
      <c r="I22" s="279">
        <f t="shared" ref="I22:I34" si="8">SUM(F22:H22)</f>
        <v>2.78</v>
      </c>
      <c r="J22" s="276">
        <f t="shared" ref="J22:J34" si="9">+I22*E22</f>
        <v>383.64</v>
      </c>
      <c r="K22" s="191"/>
      <c r="L22" s="191"/>
      <c r="M22" s="191"/>
      <c r="N22" s="191"/>
      <c r="O22" s="262"/>
      <c r="P22" s="263"/>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c r="EF22" s="18"/>
      <c r="EG22" s="18"/>
      <c r="EH22" s="18"/>
      <c r="EI22" s="18"/>
      <c r="EJ22" s="18"/>
      <c r="EK22" s="18"/>
      <c r="EL22" s="18"/>
      <c r="EM22" s="18"/>
      <c r="EN22" s="18"/>
      <c r="EO22" s="18"/>
      <c r="EP22" s="18"/>
      <c r="EQ22" s="18"/>
      <c r="ER22" s="18"/>
      <c r="ES22" s="18"/>
      <c r="ET22" s="18"/>
      <c r="EU22" s="18"/>
      <c r="EV22" s="18"/>
      <c r="EW22" s="18"/>
      <c r="EX22" s="18"/>
      <c r="EY22" s="18"/>
      <c r="EZ22" s="18"/>
      <c r="FA22" s="18"/>
      <c r="FB22" s="18"/>
      <c r="FC22" s="18"/>
      <c r="FD22" s="18"/>
      <c r="FE22" s="18"/>
      <c r="FF22" s="18"/>
      <c r="FG22" s="18"/>
      <c r="FH22" s="18"/>
      <c r="FI22" s="18"/>
      <c r="FJ22" s="18"/>
      <c r="FK22" s="18"/>
      <c r="FL22" s="18"/>
      <c r="FM22" s="18"/>
      <c r="FN22" s="18"/>
      <c r="FO22" s="18"/>
      <c r="FP22" s="18"/>
      <c r="FQ22" s="18"/>
      <c r="FR22" s="18"/>
      <c r="FS22" s="18"/>
      <c r="FT22" s="18"/>
      <c r="FU22" s="18"/>
      <c r="FV22" s="18"/>
      <c r="FW22" s="18"/>
      <c r="FX22" s="18"/>
      <c r="FY22" s="18"/>
      <c r="FZ22" s="18"/>
      <c r="GA22" s="18"/>
      <c r="GB22" s="18"/>
      <c r="GC22" s="18"/>
      <c r="GD22" s="18"/>
      <c r="GE22" s="18"/>
      <c r="GF22" s="18"/>
      <c r="GG22" s="18"/>
      <c r="GH22" s="18"/>
      <c r="GI22" s="18"/>
      <c r="GJ22" s="18"/>
      <c r="GK22" s="18"/>
      <c r="GL22" s="18"/>
      <c r="GM22" s="18"/>
      <c r="GN22" s="18"/>
      <c r="GO22" s="18"/>
      <c r="GP22" s="18"/>
      <c r="GQ22" s="18"/>
      <c r="GR22" s="18"/>
      <c r="GS22" s="18"/>
      <c r="GT22" s="18"/>
      <c r="GU22" s="18"/>
      <c r="GV22" s="18"/>
      <c r="GW22" s="18"/>
      <c r="GX22" s="18"/>
      <c r="GY22" s="18"/>
      <c r="GZ22" s="18"/>
      <c r="HA22" s="18"/>
      <c r="HB22" s="18"/>
      <c r="HC22" s="18"/>
      <c r="HD22" s="18"/>
      <c r="HE22" s="18"/>
      <c r="HF22" s="18"/>
      <c r="HG22" s="18"/>
      <c r="HH22" s="18"/>
      <c r="HI22" s="18"/>
      <c r="HJ22" s="18"/>
      <c r="HK22" s="18"/>
      <c r="HL22" s="18"/>
      <c r="HM22" s="18"/>
      <c r="HN22" s="18"/>
      <c r="HO22" s="18"/>
      <c r="HP22" s="18"/>
      <c r="HQ22" s="18"/>
      <c r="HR22" s="18"/>
      <c r="HS22" s="18"/>
      <c r="HT22" s="18"/>
      <c r="HU22" s="18"/>
      <c r="HV22" s="18"/>
      <c r="HW22" s="18"/>
      <c r="HX22" s="18"/>
      <c r="HY22" s="18"/>
      <c r="HZ22" s="18"/>
      <c r="IA22" s="18"/>
      <c r="IB22" s="18"/>
      <c r="IC22" s="18"/>
      <c r="ID22" s="18"/>
      <c r="IE22" s="18"/>
      <c r="IF22" s="18"/>
      <c r="IG22" s="18"/>
      <c r="IH22" s="18"/>
      <c r="II22" s="18"/>
      <c r="IJ22" s="18"/>
      <c r="IK22" s="18"/>
      <c r="IL22" s="18"/>
      <c r="IM22" s="18"/>
      <c r="IN22" s="18"/>
      <c r="IO22" s="18"/>
      <c r="IP22" s="18"/>
      <c r="IQ22" s="18"/>
      <c r="IR22" s="18"/>
      <c r="IS22" s="18"/>
      <c r="IT22" s="18"/>
      <c r="IU22" s="18"/>
      <c r="IV22" s="18"/>
      <c r="IW22" s="18"/>
      <c r="IX22" s="18"/>
      <c r="IY22" s="18"/>
      <c r="IZ22" s="18"/>
      <c r="JA22" s="18"/>
      <c r="JB22" s="18"/>
      <c r="JC22" s="18"/>
      <c r="JD22" s="18"/>
      <c r="JE22" s="18"/>
      <c r="JF22" s="18"/>
      <c r="JG22" s="18"/>
      <c r="JH22" s="18"/>
      <c r="JI22" s="18"/>
      <c r="JJ22" s="18"/>
      <c r="JK22" s="18"/>
      <c r="JL22" s="18"/>
      <c r="JM22" s="18"/>
      <c r="JN22" s="18"/>
      <c r="JO22" s="18"/>
      <c r="JP22" s="18"/>
      <c r="JQ22" s="18"/>
      <c r="JR22" s="18"/>
      <c r="JS22" s="18"/>
      <c r="JT22" s="18"/>
      <c r="JU22" s="18"/>
      <c r="JV22" s="18"/>
      <c r="JW22" s="18"/>
      <c r="JX22" s="18"/>
      <c r="JY22" s="18"/>
      <c r="JZ22" s="18"/>
      <c r="KA22" s="18"/>
      <c r="KB22" s="18"/>
      <c r="KC22" s="18"/>
      <c r="KD22" s="18"/>
      <c r="KE22" s="18"/>
      <c r="KF22" s="18"/>
      <c r="KG22" s="18"/>
      <c r="KH22" s="18"/>
      <c r="KI22" s="18"/>
      <c r="KJ22" s="18"/>
      <c r="KK22" s="18"/>
      <c r="KL22" s="18"/>
      <c r="KM22" s="18"/>
      <c r="KN22" s="18"/>
      <c r="KO22" s="18"/>
      <c r="KP22" s="18"/>
      <c r="KQ22" s="18"/>
      <c r="KR22" s="18"/>
      <c r="KS22" s="18"/>
      <c r="KT22" s="18"/>
      <c r="KU22" s="18"/>
      <c r="KV22" s="18"/>
      <c r="KW22" s="18"/>
      <c r="KX22" s="18"/>
      <c r="KY22" s="18"/>
      <c r="KZ22" s="18"/>
      <c r="LA22" s="18"/>
      <c r="LB22" s="18"/>
      <c r="LC22" s="18"/>
      <c r="LD22" s="18"/>
      <c r="LE22" s="18"/>
      <c r="LF22" s="18"/>
      <c r="LG22" s="18"/>
      <c r="LH22" s="18"/>
      <c r="LI22" s="18"/>
      <c r="LJ22" s="18"/>
      <c r="LK22" s="18"/>
      <c r="LL22" s="18"/>
      <c r="LM22" s="18"/>
      <c r="LN22" s="18"/>
      <c r="LO22" s="18"/>
      <c r="LP22" s="18"/>
      <c r="LQ22" s="18"/>
      <c r="LR22" s="18"/>
      <c r="LS22" s="18"/>
      <c r="LT22" s="18"/>
      <c r="LU22" s="18"/>
      <c r="LV22" s="18"/>
      <c r="LW22" s="18"/>
      <c r="LX22" s="18"/>
      <c r="LY22" s="18"/>
      <c r="LZ22" s="18"/>
      <c r="MA22" s="18"/>
      <c r="MB22" s="18"/>
      <c r="MC22" s="18"/>
      <c r="MD22" s="18"/>
      <c r="ME22" s="18"/>
      <c r="MF22" s="18"/>
      <c r="MG22" s="18"/>
      <c r="MH22" s="18"/>
      <c r="MI22" s="18"/>
      <c r="MJ22" s="18"/>
      <c r="MK22" s="18"/>
      <c r="ML22" s="18"/>
      <c r="MM22" s="18"/>
      <c r="MN22" s="18"/>
      <c r="MO22" s="18"/>
      <c r="MP22" s="18"/>
      <c r="MQ22" s="18"/>
      <c r="MR22" s="18"/>
      <c r="MS22" s="18"/>
      <c r="MT22" s="18"/>
      <c r="MU22" s="18"/>
      <c r="MV22" s="18"/>
      <c r="MW22" s="18"/>
      <c r="MX22" s="18"/>
      <c r="MY22" s="18"/>
      <c r="MZ22" s="18"/>
      <c r="NA22" s="18"/>
      <c r="NB22" s="18"/>
      <c r="NC22" s="18"/>
      <c r="ND22" s="18"/>
      <c r="NE22" s="18"/>
      <c r="NF22" s="18"/>
      <c r="NG22" s="18"/>
      <c r="NH22" s="18"/>
      <c r="NI22" s="18"/>
      <c r="NJ22" s="18"/>
      <c r="NK22" s="18"/>
      <c r="NL22" s="18"/>
      <c r="NM22" s="18"/>
      <c r="NN22" s="18"/>
      <c r="NO22" s="18"/>
      <c r="NP22" s="18"/>
      <c r="NQ22" s="18"/>
      <c r="NR22" s="18"/>
      <c r="NS22" s="18"/>
      <c r="NT22" s="18"/>
      <c r="NU22" s="18"/>
      <c r="NV22" s="18"/>
      <c r="NW22" s="18"/>
      <c r="NX22" s="18"/>
      <c r="NY22" s="18"/>
      <c r="NZ22" s="18"/>
      <c r="OA22" s="18"/>
      <c r="OB22" s="18"/>
      <c r="OC22" s="18"/>
      <c r="OD22" s="18"/>
      <c r="OE22" s="18"/>
      <c r="OF22" s="18"/>
      <c r="OG22" s="18"/>
      <c r="OH22" s="18"/>
      <c r="OI22" s="18"/>
      <c r="OJ22" s="18"/>
      <c r="OK22" s="18"/>
      <c r="OL22" s="18"/>
      <c r="OM22" s="18"/>
      <c r="ON22" s="18"/>
      <c r="OO22" s="18"/>
      <c r="OP22" s="18"/>
      <c r="OQ22" s="18"/>
      <c r="OR22" s="18"/>
      <c r="OS22" s="18"/>
      <c r="OT22" s="18"/>
      <c r="OU22" s="18"/>
      <c r="OV22" s="18"/>
      <c r="OW22" s="18"/>
      <c r="OX22" s="18"/>
      <c r="OY22" s="18"/>
      <c r="OZ22" s="18"/>
      <c r="PA22" s="18"/>
      <c r="PB22" s="18"/>
      <c r="PC22" s="18"/>
      <c r="PD22" s="18"/>
      <c r="PE22" s="18"/>
      <c r="PF22" s="18"/>
      <c r="PG22" s="18"/>
      <c r="PH22" s="18"/>
      <c r="PI22" s="18"/>
      <c r="PJ22" s="18"/>
      <c r="PK22" s="18"/>
      <c r="PL22" s="18"/>
      <c r="PM22" s="18"/>
      <c r="PN22" s="18"/>
      <c r="PO22" s="18"/>
      <c r="PP22" s="18"/>
      <c r="PQ22" s="18"/>
      <c r="PR22" s="18"/>
      <c r="PS22" s="18"/>
      <c r="PT22" s="18"/>
      <c r="PU22" s="18"/>
      <c r="PV22" s="18"/>
      <c r="PW22" s="18"/>
      <c r="PX22" s="18"/>
      <c r="PY22" s="18"/>
      <c r="PZ22" s="18"/>
      <c r="QA22" s="18"/>
      <c r="QB22" s="18"/>
      <c r="QC22" s="18"/>
      <c r="QD22" s="18"/>
      <c r="QE22" s="18"/>
      <c r="QF22" s="18"/>
      <c r="QG22" s="18"/>
      <c r="QH22" s="18"/>
      <c r="QI22" s="18"/>
      <c r="QJ22" s="18"/>
      <c r="QK22" s="18"/>
      <c r="QL22" s="18"/>
      <c r="QM22" s="18"/>
      <c r="QN22" s="18"/>
      <c r="QO22" s="18"/>
      <c r="QP22" s="18"/>
      <c r="QQ22" s="18"/>
      <c r="QR22" s="18"/>
      <c r="QS22" s="18"/>
      <c r="QT22" s="18"/>
      <c r="QU22" s="18"/>
      <c r="QV22" s="18"/>
      <c r="QW22" s="18"/>
      <c r="QX22" s="18"/>
      <c r="QY22" s="18"/>
      <c r="QZ22" s="18"/>
      <c r="RA22" s="18"/>
      <c r="RB22" s="18"/>
      <c r="RC22" s="18"/>
      <c r="RD22" s="18"/>
      <c r="RE22" s="18"/>
      <c r="RF22" s="18"/>
      <c r="RG22" s="18"/>
      <c r="RH22" s="18"/>
      <c r="RI22" s="18"/>
      <c r="RJ22" s="18"/>
      <c r="RK22" s="18"/>
      <c r="RL22" s="18"/>
      <c r="RM22" s="18"/>
      <c r="RN22" s="18"/>
      <c r="RO22" s="18"/>
      <c r="RP22" s="18"/>
      <c r="RQ22" s="18"/>
      <c r="RR22" s="18"/>
      <c r="RS22" s="18"/>
      <c r="RT22" s="18"/>
      <c r="RU22" s="18"/>
      <c r="RV22" s="18"/>
      <c r="RW22" s="18"/>
      <c r="RX22" s="18"/>
      <c r="RY22" s="18"/>
      <c r="RZ22" s="18"/>
      <c r="SA22" s="18"/>
      <c r="SB22" s="18"/>
      <c r="SC22" s="18"/>
      <c r="SD22" s="18"/>
      <c r="SE22" s="18"/>
      <c r="SF22" s="18"/>
      <c r="SG22" s="18"/>
      <c r="SH22" s="18"/>
      <c r="SI22" s="18"/>
      <c r="SJ22" s="18"/>
      <c r="SK22" s="18"/>
      <c r="SL22" s="18"/>
      <c r="SM22" s="18"/>
      <c r="SN22" s="18"/>
      <c r="SO22" s="18"/>
      <c r="SP22" s="18"/>
      <c r="SQ22" s="18"/>
      <c r="SR22" s="18"/>
      <c r="SS22" s="18"/>
      <c r="ST22" s="18"/>
      <c r="SU22" s="18"/>
      <c r="SV22" s="18"/>
      <c r="SW22" s="18"/>
      <c r="SX22" s="18"/>
      <c r="SY22" s="18"/>
      <c r="SZ22" s="18"/>
      <c r="TA22" s="18"/>
      <c r="TB22" s="18"/>
      <c r="TC22" s="18"/>
      <c r="TD22" s="18"/>
      <c r="TE22" s="18"/>
      <c r="TF22" s="18"/>
      <c r="TG22" s="18"/>
      <c r="TH22" s="18"/>
      <c r="TI22" s="18"/>
      <c r="TJ22" s="18"/>
      <c r="TK22" s="18"/>
      <c r="TL22" s="18"/>
      <c r="TM22" s="18"/>
      <c r="TN22" s="18"/>
      <c r="TO22" s="18"/>
      <c r="TP22" s="18"/>
      <c r="TQ22" s="18"/>
      <c r="TR22" s="18"/>
      <c r="TS22" s="18"/>
      <c r="TT22" s="18"/>
      <c r="TU22" s="18"/>
      <c r="TV22" s="18"/>
      <c r="TW22" s="18"/>
      <c r="TX22" s="18"/>
      <c r="TY22" s="18"/>
      <c r="TZ22" s="18"/>
      <c r="UA22" s="18"/>
      <c r="UB22" s="18"/>
      <c r="UC22" s="18"/>
      <c r="UD22" s="18"/>
      <c r="UE22" s="18"/>
      <c r="UF22" s="18"/>
      <c r="UG22" s="18"/>
      <c r="UH22" s="18"/>
      <c r="UI22" s="18"/>
      <c r="UJ22" s="18"/>
      <c r="UK22" s="18"/>
      <c r="UL22" s="18"/>
      <c r="UM22" s="18"/>
      <c r="UN22" s="18"/>
      <c r="UO22" s="18"/>
      <c r="UP22" s="18"/>
      <c r="UQ22" s="18"/>
      <c r="UR22" s="18"/>
      <c r="US22" s="18"/>
      <c r="UT22" s="18"/>
      <c r="UU22" s="18"/>
      <c r="UV22" s="18"/>
      <c r="UW22" s="18"/>
      <c r="UX22" s="18"/>
      <c r="UY22" s="18"/>
      <c r="UZ22" s="18"/>
      <c r="VA22" s="18"/>
      <c r="VB22" s="18"/>
      <c r="VC22" s="18"/>
      <c r="VD22" s="18"/>
      <c r="VE22" s="18"/>
      <c r="VF22" s="18"/>
      <c r="VG22" s="18"/>
      <c r="VH22" s="18"/>
      <c r="VI22" s="18"/>
      <c r="VJ22" s="18"/>
      <c r="VK22" s="18"/>
      <c r="VL22" s="18"/>
      <c r="VM22" s="18"/>
      <c r="VN22" s="18"/>
      <c r="VO22" s="18"/>
      <c r="VP22" s="18"/>
      <c r="VQ22" s="18"/>
      <c r="VR22" s="18"/>
      <c r="VS22" s="18"/>
      <c r="VT22" s="18"/>
      <c r="VU22" s="18"/>
      <c r="VV22" s="18"/>
      <c r="VW22" s="18"/>
      <c r="VX22" s="18"/>
      <c r="VY22" s="18"/>
      <c r="VZ22" s="18"/>
      <c r="WA22" s="18"/>
      <c r="WB22" s="18"/>
      <c r="WC22" s="18"/>
      <c r="WD22" s="18"/>
      <c r="WE22" s="18"/>
      <c r="WF22" s="18"/>
      <c r="WG22" s="18"/>
      <c r="WH22" s="18"/>
      <c r="WI22" s="18"/>
      <c r="WJ22" s="18"/>
      <c r="WK22" s="18"/>
      <c r="WL22" s="18"/>
      <c r="WM22" s="18"/>
      <c r="WN22" s="18"/>
      <c r="WO22" s="18"/>
      <c r="WP22" s="18"/>
      <c r="WQ22" s="18"/>
      <c r="WR22" s="18"/>
      <c r="WS22" s="18"/>
      <c r="WT22" s="18"/>
      <c r="WU22" s="18"/>
      <c r="WV22" s="18"/>
      <c r="WW22" s="18"/>
      <c r="WX22" s="18"/>
      <c r="WY22" s="18"/>
      <c r="WZ22" s="18"/>
      <c r="XA22" s="18"/>
      <c r="XB22" s="18"/>
      <c r="XC22" s="18"/>
      <c r="XD22" s="18"/>
      <c r="XE22" s="18"/>
      <c r="XF22" s="18"/>
      <c r="XG22" s="18"/>
      <c r="XH22" s="18"/>
      <c r="XI22" s="18"/>
      <c r="XJ22" s="18"/>
      <c r="XK22" s="18"/>
      <c r="XL22" s="18"/>
      <c r="XM22" s="18"/>
      <c r="XN22" s="18"/>
      <c r="XO22" s="18"/>
      <c r="XP22" s="18"/>
      <c r="XQ22" s="18"/>
      <c r="XR22" s="18"/>
      <c r="XS22" s="18"/>
      <c r="XT22" s="18"/>
      <c r="XU22" s="18"/>
      <c r="XV22" s="18"/>
      <c r="XW22" s="18"/>
      <c r="XX22" s="18"/>
      <c r="XY22" s="18"/>
      <c r="XZ22" s="18"/>
      <c r="YA22" s="18"/>
      <c r="YB22" s="18"/>
      <c r="YC22" s="18"/>
      <c r="YD22" s="18"/>
      <c r="YE22" s="18"/>
      <c r="YF22" s="18"/>
      <c r="YG22" s="18"/>
      <c r="YH22" s="18"/>
      <c r="YI22" s="18"/>
      <c r="YJ22" s="18"/>
      <c r="YK22" s="18"/>
      <c r="YL22" s="18"/>
      <c r="YM22" s="18"/>
      <c r="YN22" s="18"/>
      <c r="YO22" s="18"/>
      <c r="YP22" s="18"/>
      <c r="YQ22" s="18"/>
      <c r="YR22" s="18"/>
      <c r="YS22" s="18"/>
      <c r="YT22" s="18"/>
      <c r="YU22" s="18"/>
      <c r="YV22" s="18"/>
      <c r="YW22" s="18"/>
      <c r="YX22" s="18"/>
      <c r="YY22" s="18"/>
      <c r="YZ22" s="18"/>
      <c r="ZA22" s="18"/>
      <c r="ZB22" s="18"/>
      <c r="ZC22" s="18"/>
      <c r="ZD22" s="18"/>
      <c r="ZE22" s="18"/>
      <c r="ZF22" s="18"/>
      <c r="ZG22" s="18"/>
      <c r="ZH22" s="18"/>
      <c r="ZI22" s="18"/>
      <c r="ZJ22" s="18"/>
      <c r="ZK22" s="18"/>
      <c r="ZL22" s="18"/>
      <c r="ZM22" s="18"/>
      <c r="ZN22" s="18"/>
      <c r="ZO22" s="18"/>
      <c r="ZP22" s="18"/>
      <c r="ZQ22" s="18"/>
      <c r="ZR22" s="18"/>
      <c r="ZS22" s="18"/>
      <c r="ZT22" s="18"/>
      <c r="ZU22" s="18"/>
      <c r="ZV22" s="18"/>
      <c r="ZW22" s="18"/>
      <c r="ZX22" s="18"/>
      <c r="ZY22" s="18"/>
      <c r="ZZ22" s="18"/>
      <c r="AAA22" s="18"/>
      <c r="AAB22" s="18"/>
      <c r="AAC22" s="18"/>
      <c r="AAD22" s="18"/>
      <c r="AAE22" s="18"/>
      <c r="AAF22" s="18"/>
      <c r="AAG22" s="18"/>
      <c r="AAH22" s="18"/>
      <c r="AAI22" s="18"/>
      <c r="AAJ22" s="18"/>
      <c r="AAK22" s="18"/>
      <c r="AAL22" s="18"/>
      <c r="AAM22" s="18"/>
      <c r="AAN22" s="18"/>
      <c r="AAO22" s="18"/>
      <c r="AAP22" s="18"/>
      <c r="AAQ22" s="18"/>
      <c r="AAR22" s="18"/>
      <c r="AAS22" s="18"/>
      <c r="AAT22" s="18"/>
      <c r="AAU22" s="18"/>
      <c r="AAV22" s="18"/>
      <c r="AAW22" s="18"/>
      <c r="AAX22" s="18"/>
      <c r="AAY22" s="18"/>
      <c r="AAZ22" s="18"/>
      <c r="ABA22" s="18"/>
      <c r="ABB22" s="18"/>
      <c r="ABC22" s="18"/>
      <c r="ABD22" s="18"/>
      <c r="ABE22" s="18"/>
      <c r="ABF22" s="18"/>
      <c r="ABG22" s="18"/>
      <c r="ABH22" s="18"/>
      <c r="ABI22" s="18"/>
      <c r="ABJ22" s="18"/>
      <c r="ABK22" s="18"/>
      <c r="ABL22" s="18"/>
      <c r="ABM22" s="18"/>
      <c r="ABN22" s="18"/>
      <c r="ABO22" s="18"/>
      <c r="ABP22" s="18"/>
      <c r="ABQ22" s="18"/>
      <c r="ABR22" s="18"/>
      <c r="ABS22" s="18"/>
      <c r="ABT22" s="18"/>
      <c r="ABU22" s="18"/>
      <c r="ABV22" s="18"/>
      <c r="ABW22" s="18"/>
      <c r="ABX22" s="18"/>
      <c r="ABY22" s="18"/>
      <c r="ABZ22" s="18"/>
      <c r="ACA22" s="18"/>
      <c r="ACB22" s="18"/>
      <c r="ACC22" s="18"/>
      <c r="ACD22" s="18"/>
      <c r="ACE22" s="18"/>
      <c r="ACF22" s="18"/>
      <c r="ACG22" s="18"/>
      <c r="ACH22" s="18"/>
      <c r="ACI22" s="18"/>
      <c r="ACJ22" s="18"/>
      <c r="ACK22" s="18"/>
      <c r="ACL22" s="18"/>
      <c r="ACM22" s="18"/>
      <c r="ACN22" s="18"/>
      <c r="ACO22" s="18"/>
      <c r="ACP22" s="18"/>
      <c r="ACQ22" s="18"/>
      <c r="ACR22" s="18"/>
      <c r="ACS22" s="18"/>
      <c r="ACT22" s="18"/>
      <c r="ACU22" s="18"/>
      <c r="ACV22" s="18"/>
      <c r="ACW22" s="18"/>
      <c r="ACX22" s="18"/>
      <c r="ACY22" s="18"/>
      <c r="ACZ22" s="18"/>
      <c r="ADA22" s="18"/>
      <c r="ADB22" s="18"/>
      <c r="ADC22" s="18"/>
      <c r="ADD22" s="18"/>
      <c r="ADE22" s="18"/>
      <c r="ADF22" s="18"/>
      <c r="ADG22" s="18"/>
      <c r="ADH22" s="18"/>
      <c r="ADI22" s="18"/>
      <c r="ADJ22" s="18"/>
      <c r="ADK22" s="18"/>
      <c r="ADL22" s="18"/>
      <c r="ADM22" s="18"/>
      <c r="ADN22" s="18"/>
      <c r="ADO22" s="18"/>
      <c r="ADP22" s="18"/>
      <c r="ADQ22" s="18"/>
      <c r="ADR22" s="18"/>
      <c r="ADS22" s="18"/>
      <c r="ADT22" s="18"/>
      <c r="ADU22" s="18"/>
      <c r="ADV22" s="18"/>
      <c r="ADW22" s="18"/>
      <c r="ADX22" s="18"/>
      <c r="ADY22" s="18"/>
      <c r="ADZ22" s="18"/>
      <c r="AEA22" s="18"/>
      <c r="AEB22" s="18"/>
      <c r="AEC22" s="18"/>
      <c r="AED22" s="18"/>
      <c r="AEE22" s="18"/>
      <c r="AEF22" s="18"/>
      <c r="AEG22" s="18"/>
      <c r="AEH22" s="18"/>
      <c r="AEI22" s="18"/>
      <c r="AEJ22" s="18"/>
      <c r="AEK22" s="18"/>
      <c r="AEL22" s="18"/>
      <c r="AEM22" s="18"/>
      <c r="AEN22" s="18"/>
      <c r="AEO22" s="18"/>
      <c r="AEP22" s="18"/>
      <c r="AEQ22" s="18"/>
      <c r="AER22" s="18"/>
      <c r="AES22" s="18"/>
      <c r="AET22" s="18"/>
      <c r="AEU22" s="18"/>
      <c r="AEV22" s="18"/>
      <c r="AEW22" s="18"/>
      <c r="AEX22" s="18"/>
      <c r="AEY22" s="18"/>
      <c r="AEZ22" s="18"/>
      <c r="AFA22" s="18"/>
      <c r="AFB22" s="18"/>
      <c r="AFC22" s="18"/>
      <c r="AFD22" s="18"/>
      <c r="AFE22" s="18"/>
      <c r="AFF22" s="18"/>
      <c r="AFG22" s="18"/>
      <c r="AFH22" s="18"/>
      <c r="AFI22" s="18"/>
      <c r="AFJ22" s="18"/>
      <c r="AFK22" s="18"/>
      <c r="AFL22" s="18"/>
      <c r="AFM22" s="18"/>
      <c r="AFN22" s="18"/>
      <c r="AFO22" s="18"/>
      <c r="AFP22" s="18"/>
      <c r="AFQ22" s="18"/>
      <c r="AFR22" s="18"/>
      <c r="AFS22" s="18"/>
      <c r="AFT22" s="18"/>
      <c r="AFU22" s="18"/>
      <c r="AFV22" s="18"/>
      <c r="AFW22" s="18"/>
      <c r="AFX22" s="18"/>
      <c r="AFY22" s="18"/>
      <c r="AFZ22" s="18"/>
      <c r="AGA22" s="18"/>
      <c r="AGB22" s="18"/>
      <c r="AGC22" s="18"/>
      <c r="AGD22" s="18"/>
      <c r="AGE22" s="18"/>
      <c r="AGF22" s="18"/>
      <c r="AGG22" s="18"/>
      <c r="AGH22" s="18"/>
      <c r="AGI22" s="18"/>
      <c r="AGJ22" s="18"/>
      <c r="AGK22" s="18"/>
      <c r="AGL22" s="18"/>
      <c r="AGM22" s="18"/>
      <c r="AGN22" s="18"/>
      <c r="AGO22" s="18"/>
      <c r="AGP22" s="18"/>
      <c r="AGQ22" s="18"/>
      <c r="AGR22" s="18"/>
      <c r="AGS22" s="18"/>
      <c r="AGT22" s="18"/>
      <c r="AGU22" s="18"/>
      <c r="AGV22" s="18"/>
      <c r="AGW22" s="18"/>
      <c r="AGX22" s="18"/>
      <c r="AGY22" s="18"/>
      <c r="AGZ22" s="18"/>
      <c r="AHA22" s="18"/>
      <c r="AHB22" s="18"/>
      <c r="AHC22" s="18"/>
      <c r="AHD22" s="18"/>
      <c r="AHE22" s="18"/>
      <c r="AHF22" s="18"/>
      <c r="AHG22" s="18"/>
      <c r="AHH22" s="18"/>
      <c r="AHI22" s="18"/>
      <c r="AHJ22" s="18"/>
      <c r="AHK22" s="18"/>
      <c r="AHL22" s="18"/>
      <c r="AHM22" s="18"/>
      <c r="AHN22" s="18"/>
      <c r="AHO22" s="18"/>
      <c r="AHP22" s="18"/>
      <c r="AHQ22" s="18"/>
      <c r="AHR22" s="18"/>
      <c r="AHS22" s="18"/>
      <c r="AHT22" s="18"/>
      <c r="AHU22" s="18"/>
      <c r="AHV22" s="18"/>
      <c r="AHW22" s="18"/>
      <c r="AHX22" s="18"/>
      <c r="AHY22" s="18"/>
      <c r="AHZ22" s="18"/>
      <c r="AIA22" s="18"/>
      <c r="AIB22" s="18"/>
      <c r="AIC22" s="18"/>
      <c r="AID22" s="18"/>
      <c r="AIE22" s="18"/>
      <c r="AIF22" s="18"/>
      <c r="AIG22" s="18"/>
      <c r="AIH22" s="18"/>
      <c r="AII22" s="18"/>
      <c r="AIJ22" s="18"/>
      <c r="AIK22" s="18"/>
      <c r="AIL22" s="18"/>
      <c r="AIM22" s="18"/>
      <c r="AIN22" s="18"/>
      <c r="AIO22" s="18"/>
      <c r="AIP22" s="18"/>
      <c r="AIQ22" s="18"/>
      <c r="AIR22" s="18"/>
      <c r="AIS22" s="18"/>
      <c r="AIT22" s="18"/>
      <c r="AIU22" s="18"/>
      <c r="AIV22" s="18"/>
      <c r="AIW22" s="18"/>
      <c r="AIX22" s="18"/>
      <c r="AIY22" s="18"/>
      <c r="AIZ22" s="18"/>
      <c r="AJA22" s="18"/>
      <c r="AJB22" s="18"/>
      <c r="AJC22" s="18"/>
      <c r="AJD22" s="18"/>
      <c r="AJE22" s="18"/>
      <c r="AJF22" s="18"/>
      <c r="AJG22" s="18"/>
      <c r="AJH22" s="18"/>
      <c r="AJI22" s="18"/>
      <c r="AJJ22" s="18"/>
      <c r="AJK22" s="18"/>
      <c r="AJL22" s="18"/>
      <c r="AJM22" s="18"/>
      <c r="AJN22" s="18"/>
      <c r="AJO22" s="18"/>
      <c r="AJP22" s="18"/>
      <c r="AJQ22" s="18"/>
      <c r="AJR22" s="18"/>
      <c r="AJS22" s="18"/>
      <c r="AJT22" s="18"/>
      <c r="AJU22" s="18"/>
      <c r="AJV22" s="18"/>
      <c r="AJW22" s="18"/>
      <c r="AJX22" s="18"/>
      <c r="AJY22" s="18"/>
      <c r="AJZ22" s="18"/>
      <c r="AKA22" s="18"/>
      <c r="AKB22" s="18"/>
      <c r="AKC22" s="18"/>
      <c r="AKD22" s="18"/>
      <c r="AKE22" s="18"/>
      <c r="AKF22" s="18"/>
      <c r="AKG22" s="18"/>
      <c r="AKH22" s="18"/>
      <c r="AKI22" s="18"/>
      <c r="AKJ22" s="18"/>
      <c r="AKK22" s="18"/>
      <c r="AKL22" s="18"/>
      <c r="AKM22" s="18"/>
      <c r="AKN22" s="18"/>
      <c r="AKO22" s="18"/>
      <c r="AKP22" s="18"/>
      <c r="AKQ22" s="18"/>
      <c r="AKR22" s="18"/>
      <c r="AKS22" s="18"/>
      <c r="AKT22" s="18"/>
      <c r="AKU22" s="18"/>
      <c r="AKV22" s="18"/>
      <c r="AKW22" s="18"/>
      <c r="AKX22" s="18"/>
      <c r="AKY22" s="18"/>
      <c r="AKZ22" s="18"/>
      <c r="ALA22" s="18"/>
      <c r="ALB22" s="18"/>
      <c r="ALC22" s="18"/>
      <c r="ALD22" s="18"/>
      <c r="ALE22" s="18"/>
      <c r="ALF22" s="18"/>
      <c r="ALG22" s="18"/>
      <c r="ALH22" s="18"/>
      <c r="ALI22" s="18"/>
      <c r="ALJ22" s="18"/>
      <c r="ALK22" s="18"/>
      <c r="ALL22" s="18"/>
      <c r="ALM22" s="18"/>
      <c r="ALN22" s="18"/>
      <c r="ALO22" s="18"/>
      <c r="ALP22" s="18"/>
      <c r="ALQ22" s="18"/>
      <c r="ALR22" s="18"/>
      <c r="ALS22" s="18"/>
      <c r="ALT22" s="18"/>
    </row>
    <row r="23" spans="1:1008" ht="24">
      <c r="A23" s="251" t="s">
        <v>7</v>
      </c>
      <c r="B23" s="290">
        <v>91928</v>
      </c>
      <c r="C23" s="278" t="str">
        <f>(IF($A23="SINAPI",INDEX(SINAPI_NOV2020_NDES!$A$7:$H$6703,MATCH($B23,SINAPI_NOV2020_NDES!$A$7:$A$6703,0),2),IF($A23="GOINFRA",INDEX(#REF!,MATCH($B23,#REF!,0),2),(INDEX(COMPOS!$A$4:$G$390,MATCH($B23,COMPOS!$A$4:A$390,0),2)))))</f>
        <v>CABO DE COBRE FLEXÍVEL ISOLADO, 4 MM², ANTI-CHAMA 450/750 V, PARA CIRCUITOS TERMINAIS - FORNECIMENTO E INSTALAÇÃO. AF_12/2015</v>
      </c>
      <c r="D23" s="274" t="str">
        <f>(IF($A23="SINAPI",INDEX(SINAPI_NOV2020_NDES!$A$7:$H$6790,MATCH($B23,SINAPI_NOV2020_NDES!$A$7:$A$6790,0),3),(INDEX(COMPOS!$A$4:$G$5000,MATCH($B23,COMPOS!$A$4:$A$5000,0),3))))</f>
        <v>M</v>
      </c>
      <c r="E23" s="314">
        <v>84</v>
      </c>
      <c r="F23" s="279">
        <f>(IF($A23="SINAPI",INDEX(SINAPI_NOV2020_NDES!$A$7:$H$6703,MATCH($B23,SINAPI_NOV2020_NDES!$A$7:$A$6703,0),5),(INDEX(COMPOS!$A$4:$G$801,MATCH($B23,COMPOS!$A$4:A$801,0),4))))</f>
        <v>1.17</v>
      </c>
      <c r="G23" s="280">
        <f>(IF($A23="SINAPI",INDEX(SINAPI_NOV2020_NDES!$A$7:$H$6703,MATCH($B23,SINAPI_NOV2020_NDES!$A$7:$A$6703,0),6),(INDEX(COMPOS!$A$4:$G$801,MATCH($B23,COMPOS!$A$4:A$801,0),5))))</f>
        <v>3.25</v>
      </c>
      <c r="H23" s="280">
        <f>(IF($A23="SINAPI",INDEX(SINAPI_NOV2020_NDES!$A$7:$H$6703,MATCH($B23,SINAPI_NOV2020_NDES!$A$7:$A$6703,0),7),(INDEX(COMPOS!$A$4:$G$801,MATCH($B23,COMPOS!$A$4:A$801,0),6))))</f>
        <v>0</v>
      </c>
      <c r="I23" s="279">
        <f t="shared" si="8"/>
        <v>4.42</v>
      </c>
      <c r="J23" s="276">
        <f t="shared" si="9"/>
        <v>371.28</v>
      </c>
      <c r="K23" s="191"/>
      <c r="L23" s="191"/>
      <c r="M23" s="191"/>
      <c r="N23" s="191"/>
      <c r="O23" s="262"/>
      <c r="P23" s="263"/>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c r="EF23" s="18"/>
      <c r="EG23" s="18"/>
      <c r="EH23" s="18"/>
      <c r="EI23" s="18"/>
      <c r="EJ23" s="18"/>
      <c r="EK23" s="18"/>
      <c r="EL23" s="18"/>
      <c r="EM23" s="18"/>
      <c r="EN23" s="18"/>
      <c r="EO23" s="18"/>
      <c r="EP23" s="18"/>
      <c r="EQ23" s="18"/>
      <c r="ER23" s="18"/>
      <c r="ES23" s="18"/>
      <c r="ET23" s="18"/>
      <c r="EU23" s="18"/>
      <c r="EV23" s="18"/>
      <c r="EW23" s="18"/>
      <c r="EX23" s="18"/>
      <c r="EY23" s="18"/>
      <c r="EZ23" s="18"/>
      <c r="FA23" s="18"/>
      <c r="FB23" s="18"/>
      <c r="FC23" s="18"/>
      <c r="FD23" s="18"/>
      <c r="FE23" s="18"/>
      <c r="FF23" s="18"/>
      <c r="FG23" s="18"/>
      <c r="FH23" s="18"/>
      <c r="FI23" s="18"/>
      <c r="FJ23" s="18"/>
      <c r="FK23" s="18"/>
      <c r="FL23" s="18"/>
      <c r="FM23" s="18"/>
      <c r="FN23" s="18"/>
      <c r="FO23" s="18"/>
      <c r="FP23" s="18"/>
      <c r="FQ23" s="18"/>
      <c r="FR23" s="18"/>
      <c r="FS23" s="18"/>
      <c r="FT23" s="18"/>
      <c r="FU23" s="18"/>
      <c r="FV23" s="18"/>
      <c r="FW23" s="18"/>
      <c r="FX23" s="18"/>
      <c r="FY23" s="18"/>
      <c r="FZ23" s="18"/>
      <c r="GA23" s="18"/>
      <c r="GB23" s="18"/>
      <c r="GC23" s="18"/>
      <c r="GD23" s="18"/>
      <c r="GE23" s="18"/>
      <c r="GF23" s="18"/>
      <c r="GG23" s="18"/>
      <c r="GH23" s="18"/>
      <c r="GI23" s="18"/>
      <c r="GJ23" s="18"/>
      <c r="GK23" s="18"/>
      <c r="GL23" s="18"/>
      <c r="GM23" s="18"/>
      <c r="GN23" s="18"/>
      <c r="GO23" s="18"/>
      <c r="GP23" s="18"/>
      <c r="GQ23" s="18"/>
      <c r="GR23" s="18"/>
      <c r="GS23" s="18"/>
      <c r="GT23" s="18"/>
      <c r="GU23" s="18"/>
      <c r="GV23" s="18"/>
      <c r="GW23" s="18"/>
      <c r="GX23" s="18"/>
      <c r="GY23" s="18"/>
      <c r="GZ23" s="18"/>
      <c r="HA23" s="18"/>
      <c r="HB23" s="18"/>
      <c r="HC23" s="18"/>
      <c r="HD23" s="18"/>
      <c r="HE23" s="18"/>
      <c r="HF23" s="18"/>
      <c r="HG23" s="18"/>
      <c r="HH23" s="18"/>
      <c r="HI23" s="18"/>
      <c r="HJ23" s="18"/>
      <c r="HK23" s="18"/>
      <c r="HL23" s="18"/>
      <c r="HM23" s="18"/>
      <c r="HN23" s="18"/>
      <c r="HO23" s="18"/>
      <c r="HP23" s="18"/>
      <c r="HQ23" s="18"/>
      <c r="HR23" s="18"/>
      <c r="HS23" s="18"/>
      <c r="HT23" s="18"/>
      <c r="HU23" s="18"/>
      <c r="HV23" s="18"/>
      <c r="HW23" s="18"/>
      <c r="HX23" s="18"/>
      <c r="HY23" s="18"/>
      <c r="HZ23" s="18"/>
      <c r="IA23" s="18"/>
      <c r="IB23" s="18"/>
      <c r="IC23" s="18"/>
      <c r="ID23" s="18"/>
      <c r="IE23" s="18"/>
      <c r="IF23" s="18"/>
      <c r="IG23" s="18"/>
      <c r="IH23" s="18"/>
      <c r="II23" s="18"/>
      <c r="IJ23" s="18"/>
      <c r="IK23" s="18"/>
      <c r="IL23" s="18"/>
      <c r="IM23" s="18"/>
      <c r="IN23" s="18"/>
      <c r="IO23" s="18"/>
      <c r="IP23" s="18"/>
      <c r="IQ23" s="18"/>
      <c r="IR23" s="18"/>
      <c r="IS23" s="18"/>
      <c r="IT23" s="18"/>
      <c r="IU23" s="18"/>
      <c r="IV23" s="18"/>
      <c r="IW23" s="18"/>
      <c r="IX23" s="18"/>
      <c r="IY23" s="18"/>
      <c r="IZ23" s="18"/>
      <c r="JA23" s="18"/>
      <c r="JB23" s="18"/>
      <c r="JC23" s="18"/>
      <c r="JD23" s="18"/>
      <c r="JE23" s="18"/>
      <c r="JF23" s="18"/>
      <c r="JG23" s="18"/>
      <c r="JH23" s="18"/>
      <c r="JI23" s="18"/>
      <c r="JJ23" s="18"/>
      <c r="JK23" s="18"/>
      <c r="JL23" s="18"/>
      <c r="JM23" s="18"/>
      <c r="JN23" s="18"/>
      <c r="JO23" s="18"/>
      <c r="JP23" s="18"/>
      <c r="JQ23" s="18"/>
      <c r="JR23" s="18"/>
      <c r="JS23" s="18"/>
      <c r="JT23" s="18"/>
      <c r="JU23" s="18"/>
      <c r="JV23" s="18"/>
      <c r="JW23" s="18"/>
      <c r="JX23" s="18"/>
      <c r="JY23" s="18"/>
      <c r="JZ23" s="18"/>
      <c r="KA23" s="18"/>
      <c r="KB23" s="18"/>
      <c r="KC23" s="18"/>
      <c r="KD23" s="18"/>
      <c r="KE23" s="18"/>
      <c r="KF23" s="18"/>
      <c r="KG23" s="18"/>
      <c r="KH23" s="18"/>
      <c r="KI23" s="18"/>
      <c r="KJ23" s="18"/>
      <c r="KK23" s="18"/>
      <c r="KL23" s="18"/>
      <c r="KM23" s="18"/>
      <c r="KN23" s="18"/>
      <c r="KO23" s="18"/>
      <c r="KP23" s="18"/>
      <c r="KQ23" s="18"/>
      <c r="KR23" s="18"/>
      <c r="KS23" s="18"/>
      <c r="KT23" s="18"/>
      <c r="KU23" s="18"/>
      <c r="KV23" s="18"/>
      <c r="KW23" s="18"/>
      <c r="KX23" s="18"/>
      <c r="KY23" s="18"/>
      <c r="KZ23" s="18"/>
      <c r="LA23" s="18"/>
      <c r="LB23" s="18"/>
      <c r="LC23" s="18"/>
      <c r="LD23" s="18"/>
      <c r="LE23" s="18"/>
      <c r="LF23" s="18"/>
      <c r="LG23" s="18"/>
      <c r="LH23" s="18"/>
      <c r="LI23" s="18"/>
      <c r="LJ23" s="18"/>
      <c r="LK23" s="18"/>
      <c r="LL23" s="18"/>
      <c r="LM23" s="18"/>
      <c r="LN23" s="18"/>
      <c r="LO23" s="18"/>
      <c r="LP23" s="18"/>
      <c r="LQ23" s="18"/>
      <c r="LR23" s="18"/>
      <c r="LS23" s="18"/>
      <c r="LT23" s="18"/>
      <c r="LU23" s="18"/>
      <c r="LV23" s="18"/>
      <c r="LW23" s="18"/>
      <c r="LX23" s="18"/>
      <c r="LY23" s="18"/>
      <c r="LZ23" s="18"/>
      <c r="MA23" s="18"/>
      <c r="MB23" s="18"/>
      <c r="MC23" s="18"/>
      <c r="MD23" s="18"/>
      <c r="ME23" s="18"/>
      <c r="MF23" s="18"/>
      <c r="MG23" s="18"/>
      <c r="MH23" s="18"/>
      <c r="MI23" s="18"/>
      <c r="MJ23" s="18"/>
      <c r="MK23" s="18"/>
      <c r="ML23" s="18"/>
      <c r="MM23" s="18"/>
      <c r="MN23" s="18"/>
      <c r="MO23" s="18"/>
      <c r="MP23" s="18"/>
      <c r="MQ23" s="18"/>
      <c r="MR23" s="18"/>
      <c r="MS23" s="18"/>
      <c r="MT23" s="18"/>
      <c r="MU23" s="18"/>
      <c r="MV23" s="18"/>
      <c r="MW23" s="18"/>
      <c r="MX23" s="18"/>
      <c r="MY23" s="18"/>
      <c r="MZ23" s="18"/>
      <c r="NA23" s="18"/>
      <c r="NB23" s="18"/>
      <c r="NC23" s="18"/>
      <c r="ND23" s="18"/>
      <c r="NE23" s="18"/>
      <c r="NF23" s="18"/>
      <c r="NG23" s="18"/>
      <c r="NH23" s="18"/>
      <c r="NI23" s="18"/>
      <c r="NJ23" s="18"/>
      <c r="NK23" s="18"/>
      <c r="NL23" s="18"/>
      <c r="NM23" s="18"/>
      <c r="NN23" s="18"/>
      <c r="NO23" s="18"/>
      <c r="NP23" s="18"/>
      <c r="NQ23" s="18"/>
      <c r="NR23" s="18"/>
      <c r="NS23" s="18"/>
      <c r="NT23" s="18"/>
      <c r="NU23" s="18"/>
      <c r="NV23" s="18"/>
      <c r="NW23" s="18"/>
      <c r="NX23" s="18"/>
      <c r="NY23" s="18"/>
      <c r="NZ23" s="18"/>
      <c r="OA23" s="18"/>
      <c r="OB23" s="18"/>
      <c r="OC23" s="18"/>
      <c r="OD23" s="18"/>
      <c r="OE23" s="18"/>
      <c r="OF23" s="18"/>
      <c r="OG23" s="18"/>
      <c r="OH23" s="18"/>
      <c r="OI23" s="18"/>
      <c r="OJ23" s="18"/>
      <c r="OK23" s="18"/>
      <c r="OL23" s="18"/>
      <c r="OM23" s="18"/>
      <c r="ON23" s="18"/>
      <c r="OO23" s="18"/>
      <c r="OP23" s="18"/>
      <c r="OQ23" s="18"/>
      <c r="OR23" s="18"/>
      <c r="OS23" s="18"/>
      <c r="OT23" s="18"/>
      <c r="OU23" s="18"/>
      <c r="OV23" s="18"/>
      <c r="OW23" s="18"/>
      <c r="OX23" s="18"/>
      <c r="OY23" s="18"/>
      <c r="OZ23" s="18"/>
      <c r="PA23" s="18"/>
      <c r="PB23" s="18"/>
      <c r="PC23" s="18"/>
      <c r="PD23" s="18"/>
      <c r="PE23" s="18"/>
      <c r="PF23" s="18"/>
      <c r="PG23" s="18"/>
      <c r="PH23" s="18"/>
      <c r="PI23" s="18"/>
      <c r="PJ23" s="18"/>
      <c r="PK23" s="18"/>
      <c r="PL23" s="18"/>
      <c r="PM23" s="18"/>
      <c r="PN23" s="18"/>
      <c r="PO23" s="18"/>
      <c r="PP23" s="18"/>
      <c r="PQ23" s="18"/>
      <c r="PR23" s="18"/>
      <c r="PS23" s="18"/>
      <c r="PT23" s="18"/>
      <c r="PU23" s="18"/>
      <c r="PV23" s="18"/>
      <c r="PW23" s="18"/>
      <c r="PX23" s="18"/>
      <c r="PY23" s="18"/>
      <c r="PZ23" s="18"/>
      <c r="QA23" s="18"/>
      <c r="QB23" s="18"/>
      <c r="QC23" s="18"/>
      <c r="QD23" s="18"/>
      <c r="QE23" s="18"/>
      <c r="QF23" s="18"/>
      <c r="QG23" s="18"/>
      <c r="QH23" s="18"/>
      <c r="QI23" s="18"/>
      <c r="QJ23" s="18"/>
      <c r="QK23" s="18"/>
      <c r="QL23" s="18"/>
      <c r="QM23" s="18"/>
      <c r="QN23" s="18"/>
      <c r="QO23" s="18"/>
      <c r="QP23" s="18"/>
      <c r="QQ23" s="18"/>
      <c r="QR23" s="18"/>
      <c r="QS23" s="18"/>
      <c r="QT23" s="18"/>
      <c r="QU23" s="18"/>
      <c r="QV23" s="18"/>
      <c r="QW23" s="18"/>
      <c r="QX23" s="18"/>
      <c r="QY23" s="18"/>
      <c r="QZ23" s="18"/>
      <c r="RA23" s="18"/>
      <c r="RB23" s="18"/>
      <c r="RC23" s="18"/>
      <c r="RD23" s="18"/>
      <c r="RE23" s="18"/>
      <c r="RF23" s="18"/>
      <c r="RG23" s="18"/>
      <c r="RH23" s="18"/>
      <c r="RI23" s="18"/>
      <c r="RJ23" s="18"/>
      <c r="RK23" s="18"/>
      <c r="RL23" s="18"/>
      <c r="RM23" s="18"/>
      <c r="RN23" s="18"/>
      <c r="RO23" s="18"/>
      <c r="RP23" s="18"/>
      <c r="RQ23" s="18"/>
      <c r="RR23" s="18"/>
      <c r="RS23" s="18"/>
      <c r="RT23" s="18"/>
      <c r="RU23" s="18"/>
      <c r="RV23" s="18"/>
      <c r="RW23" s="18"/>
      <c r="RX23" s="18"/>
      <c r="RY23" s="18"/>
      <c r="RZ23" s="18"/>
      <c r="SA23" s="18"/>
      <c r="SB23" s="18"/>
      <c r="SC23" s="18"/>
      <c r="SD23" s="18"/>
      <c r="SE23" s="18"/>
      <c r="SF23" s="18"/>
      <c r="SG23" s="18"/>
      <c r="SH23" s="18"/>
      <c r="SI23" s="18"/>
      <c r="SJ23" s="18"/>
      <c r="SK23" s="18"/>
      <c r="SL23" s="18"/>
      <c r="SM23" s="18"/>
      <c r="SN23" s="18"/>
      <c r="SO23" s="18"/>
      <c r="SP23" s="18"/>
      <c r="SQ23" s="18"/>
      <c r="SR23" s="18"/>
      <c r="SS23" s="18"/>
      <c r="ST23" s="18"/>
      <c r="SU23" s="18"/>
      <c r="SV23" s="18"/>
      <c r="SW23" s="18"/>
      <c r="SX23" s="18"/>
      <c r="SY23" s="18"/>
      <c r="SZ23" s="18"/>
      <c r="TA23" s="18"/>
      <c r="TB23" s="18"/>
      <c r="TC23" s="18"/>
      <c r="TD23" s="18"/>
      <c r="TE23" s="18"/>
      <c r="TF23" s="18"/>
      <c r="TG23" s="18"/>
      <c r="TH23" s="18"/>
      <c r="TI23" s="18"/>
      <c r="TJ23" s="18"/>
      <c r="TK23" s="18"/>
      <c r="TL23" s="18"/>
      <c r="TM23" s="18"/>
      <c r="TN23" s="18"/>
      <c r="TO23" s="18"/>
      <c r="TP23" s="18"/>
      <c r="TQ23" s="18"/>
      <c r="TR23" s="18"/>
      <c r="TS23" s="18"/>
      <c r="TT23" s="18"/>
      <c r="TU23" s="18"/>
      <c r="TV23" s="18"/>
      <c r="TW23" s="18"/>
      <c r="TX23" s="18"/>
      <c r="TY23" s="18"/>
      <c r="TZ23" s="18"/>
      <c r="UA23" s="18"/>
      <c r="UB23" s="18"/>
      <c r="UC23" s="18"/>
      <c r="UD23" s="18"/>
      <c r="UE23" s="18"/>
      <c r="UF23" s="18"/>
      <c r="UG23" s="18"/>
      <c r="UH23" s="18"/>
      <c r="UI23" s="18"/>
      <c r="UJ23" s="18"/>
      <c r="UK23" s="18"/>
      <c r="UL23" s="18"/>
      <c r="UM23" s="18"/>
      <c r="UN23" s="18"/>
      <c r="UO23" s="18"/>
      <c r="UP23" s="18"/>
      <c r="UQ23" s="18"/>
      <c r="UR23" s="18"/>
      <c r="US23" s="18"/>
      <c r="UT23" s="18"/>
      <c r="UU23" s="18"/>
      <c r="UV23" s="18"/>
      <c r="UW23" s="18"/>
      <c r="UX23" s="18"/>
      <c r="UY23" s="18"/>
      <c r="UZ23" s="18"/>
      <c r="VA23" s="18"/>
      <c r="VB23" s="18"/>
      <c r="VC23" s="18"/>
      <c r="VD23" s="18"/>
      <c r="VE23" s="18"/>
      <c r="VF23" s="18"/>
      <c r="VG23" s="18"/>
      <c r="VH23" s="18"/>
      <c r="VI23" s="18"/>
      <c r="VJ23" s="18"/>
      <c r="VK23" s="18"/>
      <c r="VL23" s="18"/>
      <c r="VM23" s="18"/>
      <c r="VN23" s="18"/>
      <c r="VO23" s="18"/>
      <c r="VP23" s="18"/>
      <c r="VQ23" s="18"/>
      <c r="VR23" s="18"/>
      <c r="VS23" s="18"/>
      <c r="VT23" s="18"/>
      <c r="VU23" s="18"/>
      <c r="VV23" s="18"/>
      <c r="VW23" s="18"/>
      <c r="VX23" s="18"/>
      <c r="VY23" s="18"/>
      <c r="VZ23" s="18"/>
      <c r="WA23" s="18"/>
      <c r="WB23" s="18"/>
      <c r="WC23" s="18"/>
      <c r="WD23" s="18"/>
      <c r="WE23" s="18"/>
      <c r="WF23" s="18"/>
      <c r="WG23" s="18"/>
      <c r="WH23" s="18"/>
      <c r="WI23" s="18"/>
      <c r="WJ23" s="18"/>
      <c r="WK23" s="18"/>
      <c r="WL23" s="18"/>
      <c r="WM23" s="18"/>
      <c r="WN23" s="18"/>
      <c r="WO23" s="18"/>
      <c r="WP23" s="18"/>
      <c r="WQ23" s="18"/>
      <c r="WR23" s="18"/>
      <c r="WS23" s="18"/>
      <c r="WT23" s="18"/>
      <c r="WU23" s="18"/>
      <c r="WV23" s="18"/>
      <c r="WW23" s="18"/>
      <c r="WX23" s="18"/>
      <c r="WY23" s="18"/>
      <c r="WZ23" s="18"/>
      <c r="XA23" s="18"/>
      <c r="XB23" s="18"/>
      <c r="XC23" s="18"/>
      <c r="XD23" s="18"/>
      <c r="XE23" s="18"/>
      <c r="XF23" s="18"/>
      <c r="XG23" s="18"/>
      <c r="XH23" s="18"/>
      <c r="XI23" s="18"/>
      <c r="XJ23" s="18"/>
      <c r="XK23" s="18"/>
      <c r="XL23" s="18"/>
      <c r="XM23" s="18"/>
      <c r="XN23" s="18"/>
      <c r="XO23" s="18"/>
      <c r="XP23" s="18"/>
      <c r="XQ23" s="18"/>
      <c r="XR23" s="18"/>
      <c r="XS23" s="18"/>
      <c r="XT23" s="18"/>
      <c r="XU23" s="18"/>
      <c r="XV23" s="18"/>
      <c r="XW23" s="18"/>
      <c r="XX23" s="18"/>
      <c r="XY23" s="18"/>
      <c r="XZ23" s="18"/>
      <c r="YA23" s="18"/>
      <c r="YB23" s="18"/>
      <c r="YC23" s="18"/>
      <c r="YD23" s="18"/>
      <c r="YE23" s="18"/>
      <c r="YF23" s="18"/>
      <c r="YG23" s="18"/>
      <c r="YH23" s="18"/>
      <c r="YI23" s="18"/>
      <c r="YJ23" s="18"/>
      <c r="YK23" s="18"/>
      <c r="YL23" s="18"/>
      <c r="YM23" s="18"/>
      <c r="YN23" s="18"/>
      <c r="YO23" s="18"/>
      <c r="YP23" s="18"/>
      <c r="YQ23" s="18"/>
      <c r="YR23" s="18"/>
      <c r="YS23" s="18"/>
      <c r="YT23" s="18"/>
      <c r="YU23" s="18"/>
      <c r="YV23" s="18"/>
      <c r="YW23" s="18"/>
      <c r="YX23" s="18"/>
      <c r="YY23" s="18"/>
      <c r="YZ23" s="18"/>
      <c r="ZA23" s="18"/>
      <c r="ZB23" s="18"/>
      <c r="ZC23" s="18"/>
      <c r="ZD23" s="18"/>
      <c r="ZE23" s="18"/>
      <c r="ZF23" s="18"/>
      <c r="ZG23" s="18"/>
      <c r="ZH23" s="18"/>
      <c r="ZI23" s="18"/>
      <c r="ZJ23" s="18"/>
      <c r="ZK23" s="18"/>
      <c r="ZL23" s="18"/>
      <c r="ZM23" s="18"/>
      <c r="ZN23" s="18"/>
      <c r="ZO23" s="18"/>
      <c r="ZP23" s="18"/>
      <c r="ZQ23" s="18"/>
      <c r="ZR23" s="18"/>
      <c r="ZS23" s="18"/>
      <c r="ZT23" s="18"/>
      <c r="ZU23" s="18"/>
      <c r="ZV23" s="18"/>
      <c r="ZW23" s="18"/>
      <c r="ZX23" s="18"/>
      <c r="ZY23" s="18"/>
      <c r="ZZ23" s="18"/>
      <c r="AAA23" s="18"/>
      <c r="AAB23" s="18"/>
      <c r="AAC23" s="18"/>
      <c r="AAD23" s="18"/>
      <c r="AAE23" s="18"/>
      <c r="AAF23" s="18"/>
      <c r="AAG23" s="18"/>
      <c r="AAH23" s="18"/>
      <c r="AAI23" s="18"/>
      <c r="AAJ23" s="18"/>
      <c r="AAK23" s="18"/>
      <c r="AAL23" s="18"/>
      <c r="AAM23" s="18"/>
      <c r="AAN23" s="18"/>
      <c r="AAO23" s="18"/>
      <c r="AAP23" s="18"/>
      <c r="AAQ23" s="18"/>
      <c r="AAR23" s="18"/>
      <c r="AAS23" s="18"/>
      <c r="AAT23" s="18"/>
      <c r="AAU23" s="18"/>
      <c r="AAV23" s="18"/>
      <c r="AAW23" s="18"/>
      <c r="AAX23" s="18"/>
      <c r="AAY23" s="18"/>
      <c r="AAZ23" s="18"/>
      <c r="ABA23" s="18"/>
      <c r="ABB23" s="18"/>
      <c r="ABC23" s="18"/>
      <c r="ABD23" s="18"/>
      <c r="ABE23" s="18"/>
      <c r="ABF23" s="18"/>
      <c r="ABG23" s="18"/>
      <c r="ABH23" s="18"/>
      <c r="ABI23" s="18"/>
      <c r="ABJ23" s="18"/>
      <c r="ABK23" s="18"/>
      <c r="ABL23" s="18"/>
      <c r="ABM23" s="18"/>
      <c r="ABN23" s="18"/>
      <c r="ABO23" s="18"/>
      <c r="ABP23" s="18"/>
      <c r="ABQ23" s="18"/>
      <c r="ABR23" s="18"/>
      <c r="ABS23" s="18"/>
      <c r="ABT23" s="18"/>
      <c r="ABU23" s="18"/>
      <c r="ABV23" s="18"/>
      <c r="ABW23" s="18"/>
      <c r="ABX23" s="18"/>
      <c r="ABY23" s="18"/>
      <c r="ABZ23" s="18"/>
      <c r="ACA23" s="18"/>
      <c r="ACB23" s="18"/>
      <c r="ACC23" s="18"/>
      <c r="ACD23" s="18"/>
      <c r="ACE23" s="18"/>
      <c r="ACF23" s="18"/>
      <c r="ACG23" s="18"/>
      <c r="ACH23" s="18"/>
      <c r="ACI23" s="18"/>
      <c r="ACJ23" s="18"/>
      <c r="ACK23" s="18"/>
      <c r="ACL23" s="18"/>
      <c r="ACM23" s="18"/>
      <c r="ACN23" s="18"/>
      <c r="ACO23" s="18"/>
      <c r="ACP23" s="18"/>
      <c r="ACQ23" s="18"/>
      <c r="ACR23" s="18"/>
      <c r="ACS23" s="18"/>
      <c r="ACT23" s="18"/>
      <c r="ACU23" s="18"/>
      <c r="ACV23" s="18"/>
      <c r="ACW23" s="18"/>
      <c r="ACX23" s="18"/>
      <c r="ACY23" s="18"/>
      <c r="ACZ23" s="18"/>
      <c r="ADA23" s="18"/>
      <c r="ADB23" s="18"/>
      <c r="ADC23" s="18"/>
      <c r="ADD23" s="18"/>
      <c r="ADE23" s="18"/>
      <c r="ADF23" s="18"/>
      <c r="ADG23" s="18"/>
      <c r="ADH23" s="18"/>
      <c r="ADI23" s="18"/>
      <c r="ADJ23" s="18"/>
      <c r="ADK23" s="18"/>
      <c r="ADL23" s="18"/>
      <c r="ADM23" s="18"/>
      <c r="ADN23" s="18"/>
      <c r="ADO23" s="18"/>
      <c r="ADP23" s="18"/>
      <c r="ADQ23" s="18"/>
      <c r="ADR23" s="18"/>
      <c r="ADS23" s="18"/>
      <c r="ADT23" s="18"/>
      <c r="ADU23" s="18"/>
      <c r="ADV23" s="18"/>
      <c r="ADW23" s="18"/>
      <c r="ADX23" s="18"/>
      <c r="ADY23" s="18"/>
      <c r="ADZ23" s="18"/>
      <c r="AEA23" s="18"/>
      <c r="AEB23" s="18"/>
      <c r="AEC23" s="18"/>
      <c r="AED23" s="18"/>
      <c r="AEE23" s="18"/>
      <c r="AEF23" s="18"/>
      <c r="AEG23" s="18"/>
      <c r="AEH23" s="18"/>
      <c r="AEI23" s="18"/>
      <c r="AEJ23" s="18"/>
      <c r="AEK23" s="18"/>
      <c r="AEL23" s="18"/>
      <c r="AEM23" s="18"/>
      <c r="AEN23" s="18"/>
      <c r="AEO23" s="18"/>
      <c r="AEP23" s="18"/>
      <c r="AEQ23" s="18"/>
      <c r="AER23" s="18"/>
      <c r="AES23" s="18"/>
      <c r="AET23" s="18"/>
      <c r="AEU23" s="18"/>
      <c r="AEV23" s="18"/>
      <c r="AEW23" s="18"/>
      <c r="AEX23" s="18"/>
      <c r="AEY23" s="18"/>
      <c r="AEZ23" s="18"/>
      <c r="AFA23" s="18"/>
      <c r="AFB23" s="18"/>
      <c r="AFC23" s="18"/>
      <c r="AFD23" s="18"/>
      <c r="AFE23" s="18"/>
      <c r="AFF23" s="18"/>
      <c r="AFG23" s="18"/>
      <c r="AFH23" s="18"/>
      <c r="AFI23" s="18"/>
      <c r="AFJ23" s="18"/>
      <c r="AFK23" s="18"/>
      <c r="AFL23" s="18"/>
      <c r="AFM23" s="18"/>
      <c r="AFN23" s="18"/>
      <c r="AFO23" s="18"/>
      <c r="AFP23" s="18"/>
      <c r="AFQ23" s="18"/>
      <c r="AFR23" s="18"/>
      <c r="AFS23" s="18"/>
      <c r="AFT23" s="18"/>
      <c r="AFU23" s="18"/>
      <c r="AFV23" s="18"/>
      <c r="AFW23" s="18"/>
      <c r="AFX23" s="18"/>
      <c r="AFY23" s="18"/>
      <c r="AFZ23" s="18"/>
      <c r="AGA23" s="18"/>
      <c r="AGB23" s="18"/>
      <c r="AGC23" s="18"/>
      <c r="AGD23" s="18"/>
      <c r="AGE23" s="18"/>
      <c r="AGF23" s="18"/>
      <c r="AGG23" s="18"/>
      <c r="AGH23" s="18"/>
      <c r="AGI23" s="18"/>
      <c r="AGJ23" s="18"/>
      <c r="AGK23" s="18"/>
      <c r="AGL23" s="18"/>
      <c r="AGM23" s="18"/>
      <c r="AGN23" s="18"/>
      <c r="AGO23" s="18"/>
      <c r="AGP23" s="18"/>
      <c r="AGQ23" s="18"/>
      <c r="AGR23" s="18"/>
      <c r="AGS23" s="18"/>
      <c r="AGT23" s="18"/>
      <c r="AGU23" s="18"/>
      <c r="AGV23" s="18"/>
      <c r="AGW23" s="18"/>
      <c r="AGX23" s="18"/>
      <c r="AGY23" s="18"/>
      <c r="AGZ23" s="18"/>
      <c r="AHA23" s="18"/>
      <c r="AHB23" s="18"/>
      <c r="AHC23" s="18"/>
      <c r="AHD23" s="18"/>
      <c r="AHE23" s="18"/>
      <c r="AHF23" s="18"/>
      <c r="AHG23" s="18"/>
      <c r="AHH23" s="18"/>
      <c r="AHI23" s="18"/>
      <c r="AHJ23" s="18"/>
      <c r="AHK23" s="18"/>
      <c r="AHL23" s="18"/>
      <c r="AHM23" s="18"/>
      <c r="AHN23" s="18"/>
      <c r="AHO23" s="18"/>
      <c r="AHP23" s="18"/>
      <c r="AHQ23" s="18"/>
      <c r="AHR23" s="18"/>
      <c r="AHS23" s="18"/>
      <c r="AHT23" s="18"/>
      <c r="AHU23" s="18"/>
      <c r="AHV23" s="18"/>
      <c r="AHW23" s="18"/>
      <c r="AHX23" s="18"/>
      <c r="AHY23" s="18"/>
      <c r="AHZ23" s="18"/>
      <c r="AIA23" s="18"/>
      <c r="AIB23" s="18"/>
      <c r="AIC23" s="18"/>
      <c r="AID23" s="18"/>
      <c r="AIE23" s="18"/>
      <c r="AIF23" s="18"/>
      <c r="AIG23" s="18"/>
      <c r="AIH23" s="18"/>
      <c r="AII23" s="18"/>
      <c r="AIJ23" s="18"/>
      <c r="AIK23" s="18"/>
      <c r="AIL23" s="18"/>
      <c r="AIM23" s="18"/>
      <c r="AIN23" s="18"/>
      <c r="AIO23" s="18"/>
      <c r="AIP23" s="18"/>
      <c r="AIQ23" s="18"/>
      <c r="AIR23" s="18"/>
      <c r="AIS23" s="18"/>
      <c r="AIT23" s="18"/>
      <c r="AIU23" s="18"/>
      <c r="AIV23" s="18"/>
      <c r="AIW23" s="18"/>
      <c r="AIX23" s="18"/>
      <c r="AIY23" s="18"/>
      <c r="AIZ23" s="18"/>
      <c r="AJA23" s="18"/>
      <c r="AJB23" s="18"/>
      <c r="AJC23" s="18"/>
      <c r="AJD23" s="18"/>
      <c r="AJE23" s="18"/>
      <c r="AJF23" s="18"/>
      <c r="AJG23" s="18"/>
      <c r="AJH23" s="18"/>
      <c r="AJI23" s="18"/>
      <c r="AJJ23" s="18"/>
      <c r="AJK23" s="18"/>
      <c r="AJL23" s="18"/>
      <c r="AJM23" s="18"/>
      <c r="AJN23" s="18"/>
      <c r="AJO23" s="18"/>
      <c r="AJP23" s="18"/>
      <c r="AJQ23" s="18"/>
      <c r="AJR23" s="18"/>
      <c r="AJS23" s="18"/>
      <c r="AJT23" s="18"/>
      <c r="AJU23" s="18"/>
      <c r="AJV23" s="18"/>
      <c r="AJW23" s="18"/>
      <c r="AJX23" s="18"/>
      <c r="AJY23" s="18"/>
      <c r="AJZ23" s="18"/>
      <c r="AKA23" s="18"/>
      <c r="AKB23" s="18"/>
      <c r="AKC23" s="18"/>
      <c r="AKD23" s="18"/>
      <c r="AKE23" s="18"/>
      <c r="AKF23" s="18"/>
      <c r="AKG23" s="18"/>
      <c r="AKH23" s="18"/>
      <c r="AKI23" s="18"/>
      <c r="AKJ23" s="18"/>
      <c r="AKK23" s="18"/>
      <c r="AKL23" s="18"/>
      <c r="AKM23" s="18"/>
      <c r="AKN23" s="18"/>
      <c r="AKO23" s="18"/>
      <c r="AKP23" s="18"/>
      <c r="AKQ23" s="18"/>
      <c r="AKR23" s="18"/>
      <c r="AKS23" s="18"/>
      <c r="AKT23" s="18"/>
      <c r="AKU23" s="18"/>
      <c r="AKV23" s="18"/>
      <c r="AKW23" s="18"/>
      <c r="AKX23" s="18"/>
      <c r="AKY23" s="18"/>
      <c r="AKZ23" s="18"/>
      <c r="ALA23" s="18"/>
      <c r="ALB23" s="18"/>
      <c r="ALC23" s="18"/>
      <c r="ALD23" s="18"/>
      <c r="ALE23" s="18"/>
      <c r="ALF23" s="18"/>
      <c r="ALG23" s="18"/>
      <c r="ALH23" s="18"/>
      <c r="ALI23" s="18"/>
      <c r="ALJ23" s="18"/>
      <c r="ALK23" s="18"/>
      <c r="ALL23" s="18"/>
      <c r="ALM23" s="18"/>
      <c r="ALN23" s="18"/>
      <c r="ALO23" s="18"/>
      <c r="ALP23" s="18"/>
      <c r="ALQ23" s="18"/>
      <c r="ALR23" s="18"/>
      <c r="ALS23" s="18"/>
      <c r="ALT23" s="18"/>
    </row>
    <row r="24" spans="1:1008" ht="24">
      <c r="A24" s="251" t="s">
        <v>6307</v>
      </c>
      <c r="B24" s="290">
        <v>715</v>
      </c>
      <c r="C24" s="278" t="str">
        <f>(IF($A24="SINAPI",INDEX(SINAPI_NOV2020_NDES!$A$7:$H$6703,MATCH($B24,SINAPI_NOV2020_NDES!$A$7:$A$6703,0),2),IF($A24="GOINFRA",INDEX(#REF!,MATCH($B24,#REF!,0),2),(INDEX(COMPOS!$A$4:$G$390,MATCH($B24,COMPOS!$A$4:A$390,0),2)))))</f>
        <v>CONECTOR TRIPOLAR EM PORCELANA PARA FIOS DE ATÉ 10MM2 (BORNES) 50A-250V (CHUVEIRO)</v>
      </c>
      <c r="D24" s="274" t="str">
        <f>(IF($A24="SINAPI",INDEX(SINAPI_NOV2020_NDES!$A$7:$H$6790,MATCH($B24,SINAPI_NOV2020_NDES!$A$7:$A$6790,0),3),(INDEX(COMPOS!$A$4:$G$5000,MATCH($B24,COMPOS!$A$4:$A$5000,0),3))))</f>
        <v>UN</v>
      </c>
      <c r="E24" s="314">
        <v>8</v>
      </c>
      <c r="F24" s="279">
        <f>(IF($A24="SINAPI",INDEX(SINAPI_NOV2020_NDES!$A$7:$H$6703,MATCH($B24,SINAPI_NOV2020_NDES!$A$7:$A$6703,0),5),(INDEX(COMPOS!$A$4:$G$801,MATCH($B24,COMPOS!$A$4:A$801,0),4))))</f>
        <v>11.2027</v>
      </c>
      <c r="G24" s="280">
        <f>(IF($A24="SINAPI",INDEX(SINAPI_NOV2020_NDES!$A$7:$H$6703,MATCH($B24,SINAPI_NOV2020_NDES!$A$7:$A$6703,0),6),(INDEX(COMPOS!$A$4:$G$801,MATCH($B24,COMPOS!$A$4:A$801,0),5))))</f>
        <v>2.4900000000000002</v>
      </c>
      <c r="H24" s="280">
        <f>(IF($A24="SINAPI",INDEX(SINAPI_NOV2020_NDES!$A$7:$H$6703,MATCH($B24,SINAPI_NOV2020_NDES!$A$7:$A$6703,0),7),(INDEX(COMPOS!$A$4:$G$801,MATCH($B24,COMPOS!$A$4:A$801,0),6))))</f>
        <v>0</v>
      </c>
      <c r="I24" s="279">
        <f t="shared" si="8"/>
        <v>13.6927</v>
      </c>
      <c r="J24" s="276">
        <f t="shared" si="9"/>
        <v>109.5416</v>
      </c>
      <c r="K24" s="191"/>
      <c r="L24" s="191"/>
      <c r="M24" s="191"/>
      <c r="N24" s="191"/>
      <c r="O24" s="262"/>
      <c r="P24" s="263"/>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c r="FQ24" s="18"/>
      <c r="FR24" s="18"/>
      <c r="FS24" s="18"/>
      <c r="FT24" s="18"/>
      <c r="FU24" s="18"/>
      <c r="FV24" s="18"/>
      <c r="FW24" s="18"/>
      <c r="FX24" s="18"/>
      <c r="FY24" s="18"/>
      <c r="FZ24" s="18"/>
      <c r="GA24" s="18"/>
      <c r="GB24" s="18"/>
      <c r="GC24" s="18"/>
      <c r="GD24" s="18"/>
      <c r="GE24" s="18"/>
      <c r="GF24" s="18"/>
      <c r="GG24" s="18"/>
      <c r="GH24" s="18"/>
      <c r="GI24" s="18"/>
      <c r="GJ24" s="18"/>
      <c r="GK24" s="18"/>
      <c r="GL24" s="18"/>
      <c r="GM24" s="18"/>
      <c r="GN24" s="18"/>
      <c r="GO24" s="18"/>
      <c r="GP24" s="18"/>
      <c r="GQ24" s="18"/>
      <c r="GR24" s="18"/>
      <c r="GS24" s="18"/>
      <c r="GT24" s="18"/>
      <c r="GU24" s="18"/>
      <c r="GV24" s="18"/>
      <c r="GW24" s="18"/>
      <c r="GX24" s="18"/>
      <c r="GY24" s="18"/>
      <c r="GZ24" s="18"/>
      <c r="HA24" s="18"/>
      <c r="HB24" s="18"/>
      <c r="HC24" s="18"/>
      <c r="HD24" s="18"/>
      <c r="HE24" s="18"/>
      <c r="HF24" s="18"/>
      <c r="HG24" s="18"/>
      <c r="HH24" s="18"/>
      <c r="HI24" s="18"/>
      <c r="HJ24" s="18"/>
      <c r="HK24" s="18"/>
      <c r="HL24" s="18"/>
      <c r="HM24" s="18"/>
      <c r="HN24" s="18"/>
      <c r="HO24" s="18"/>
      <c r="HP24" s="18"/>
      <c r="HQ24" s="18"/>
      <c r="HR24" s="18"/>
      <c r="HS24" s="18"/>
      <c r="HT24" s="18"/>
      <c r="HU24" s="18"/>
      <c r="HV24" s="18"/>
      <c r="HW24" s="18"/>
      <c r="HX24" s="18"/>
      <c r="HY24" s="18"/>
      <c r="HZ24" s="18"/>
      <c r="IA24" s="18"/>
      <c r="IB24" s="18"/>
      <c r="IC24" s="18"/>
      <c r="ID24" s="18"/>
      <c r="IE24" s="18"/>
      <c r="IF24" s="18"/>
      <c r="IG24" s="18"/>
      <c r="IH24" s="18"/>
      <c r="II24" s="18"/>
      <c r="IJ24" s="18"/>
      <c r="IK24" s="18"/>
      <c r="IL24" s="18"/>
      <c r="IM24" s="18"/>
      <c r="IN24" s="18"/>
      <c r="IO24" s="18"/>
      <c r="IP24" s="18"/>
      <c r="IQ24" s="18"/>
      <c r="IR24" s="18"/>
      <c r="IS24" s="18"/>
      <c r="IT24" s="18"/>
      <c r="IU24" s="18"/>
      <c r="IV24" s="18"/>
      <c r="IW24" s="18"/>
      <c r="IX24" s="18"/>
      <c r="IY24" s="18"/>
      <c r="IZ24" s="18"/>
      <c r="JA24" s="18"/>
      <c r="JB24" s="18"/>
      <c r="JC24" s="18"/>
      <c r="JD24" s="18"/>
      <c r="JE24" s="18"/>
      <c r="JF24" s="18"/>
      <c r="JG24" s="18"/>
      <c r="JH24" s="18"/>
      <c r="JI24" s="18"/>
      <c r="JJ24" s="18"/>
      <c r="JK24" s="18"/>
      <c r="JL24" s="18"/>
      <c r="JM24" s="18"/>
      <c r="JN24" s="18"/>
      <c r="JO24" s="18"/>
      <c r="JP24" s="18"/>
      <c r="JQ24" s="18"/>
      <c r="JR24" s="18"/>
      <c r="JS24" s="18"/>
      <c r="JT24" s="18"/>
      <c r="JU24" s="18"/>
      <c r="JV24" s="18"/>
      <c r="JW24" s="18"/>
      <c r="JX24" s="18"/>
      <c r="JY24" s="18"/>
      <c r="JZ24" s="18"/>
      <c r="KA24" s="18"/>
      <c r="KB24" s="18"/>
      <c r="KC24" s="18"/>
      <c r="KD24" s="18"/>
      <c r="KE24" s="18"/>
      <c r="KF24" s="18"/>
      <c r="KG24" s="18"/>
      <c r="KH24" s="18"/>
      <c r="KI24" s="18"/>
      <c r="KJ24" s="18"/>
      <c r="KK24" s="18"/>
      <c r="KL24" s="18"/>
      <c r="KM24" s="18"/>
      <c r="KN24" s="18"/>
      <c r="KO24" s="18"/>
      <c r="KP24" s="18"/>
      <c r="KQ24" s="18"/>
      <c r="KR24" s="18"/>
      <c r="KS24" s="18"/>
      <c r="KT24" s="18"/>
      <c r="KU24" s="18"/>
      <c r="KV24" s="18"/>
      <c r="KW24" s="18"/>
      <c r="KX24" s="18"/>
      <c r="KY24" s="18"/>
      <c r="KZ24" s="18"/>
      <c r="LA24" s="18"/>
      <c r="LB24" s="18"/>
      <c r="LC24" s="18"/>
      <c r="LD24" s="18"/>
      <c r="LE24" s="18"/>
      <c r="LF24" s="18"/>
      <c r="LG24" s="18"/>
      <c r="LH24" s="18"/>
      <c r="LI24" s="18"/>
      <c r="LJ24" s="18"/>
      <c r="LK24" s="18"/>
      <c r="LL24" s="18"/>
      <c r="LM24" s="18"/>
      <c r="LN24" s="18"/>
      <c r="LO24" s="18"/>
      <c r="LP24" s="18"/>
      <c r="LQ24" s="18"/>
      <c r="LR24" s="18"/>
      <c r="LS24" s="18"/>
      <c r="LT24" s="18"/>
      <c r="LU24" s="18"/>
      <c r="LV24" s="18"/>
      <c r="LW24" s="18"/>
      <c r="LX24" s="18"/>
      <c r="LY24" s="18"/>
      <c r="LZ24" s="18"/>
      <c r="MA24" s="18"/>
      <c r="MB24" s="18"/>
      <c r="MC24" s="18"/>
      <c r="MD24" s="18"/>
      <c r="ME24" s="18"/>
      <c r="MF24" s="18"/>
      <c r="MG24" s="18"/>
      <c r="MH24" s="18"/>
      <c r="MI24" s="18"/>
      <c r="MJ24" s="18"/>
      <c r="MK24" s="18"/>
      <c r="ML24" s="18"/>
      <c r="MM24" s="18"/>
      <c r="MN24" s="18"/>
      <c r="MO24" s="18"/>
      <c r="MP24" s="18"/>
      <c r="MQ24" s="18"/>
      <c r="MR24" s="18"/>
      <c r="MS24" s="18"/>
      <c r="MT24" s="18"/>
      <c r="MU24" s="18"/>
      <c r="MV24" s="18"/>
      <c r="MW24" s="18"/>
      <c r="MX24" s="18"/>
      <c r="MY24" s="18"/>
      <c r="MZ24" s="18"/>
      <c r="NA24" s="18"/>
      <c r="NB24" s="18"/>
      <c r="NC24" s="18"/>
      <c r="ND24" s="18"/>
      <c r="NE24" s="18"/>
      <c r="NF24" s="18"/>
      <c r="NG24" s="18"/>
      <c r="NH24" s="18"/>
      <c r="NI24" s="18"/>
      <c r="NJ24" s="18"/>
      <c r="NK24" s="18"/>
      <c r="NL24" s="18"/>
      <c r="NM24" s="18"/>
      <c r="NN24" s="18"/>
      <c r="NO24" s="18"/>
      <c r="NP24" s="18"/>
      <c r="NQ24" s="18"/>
      <c r="NR24" s="18"/>
      <c r="NS24" s="18"/>
      <c r="NT24" s="18"/>
      <c r="NU24" s="18"/>
      <c r="NV24" s="18"/>
      <c r="NW24" s="18"/>
      <c r="NX24" s="18"/>
      <c r="NY24" s="18"/>
      <c r="NZ24" s="18"/>
      <c r="OA24" s="18"/>
      <c r="OB24" s="18"/>
      <c r="OC24" s="18"/>
      <c r="OD24" s="18"/>
      <c r="OE24" s="18"/>
      <c r="OF24" s="18"/>
      <c r="OG24" s="18"/>
      <c r="OH24" s="18"/>
      <c r="OI24" s="18"/>
      <c r="OJ24" s="18"/>
      <c r="OK24" s="18"/>
      <c r="OL24" s="18"/>
      <c r="OM24" s="18"/>
      <c r="ON24" s="18"/>
      <c r="OO24" s="18"/>
      <c r="OP24" s="18"/>
      <c r="OQ24" s="18"/>
      <c r="OR24" s="18"/>
      <c r="OS24" s="18"/>
      <c r="OT24" s="18"/>
      <c r="OU24" s="18"/>
      <c r="OV24" s="18"/>
      <c r="OW24" s="18"/>
      <c r="OX24" s="18"/>
      <c r="OY24" s="18"/>
      <c r="OZ24" s="18"/>
      <c r="PA24" s="18"/>
      <c r="PB24" s="18"/>
      <c r="PC24" s="18"/>
      <c r="PD24" s="18"/>
      <c r="PE24" s="18"/>
      <c r="PF24" s="18"/>
      <c r="PG24" s="18"/>
      <c r="PH24" s="18"/>
      <c r="PI24" s="18"/>
      <c r="PJ24" s="18"/>
      <c r="PK24" s="18"/>
      <c r="PL24" s="18"/>
      <c r="PM24" s="18"/>
      <c r="PN24" s="18"/>
      <c r="PO24" s="18"/>
      <c r="PP24" s="18"/>
      <c r="PQ24" s="18"/>
      <c r="PR24" s="18"/>
      <c r="PS24" s="18"/>
      <c r="PT24" s="18"/>
      <c r="PU24" s="18"/>
      <c r="PV24" s="18"/>
      <c r="PW24" s="18"/>
      <c r="PX24" s="18"/>
      <c r="PY24" s="18"/>
      <c r="PZ24" s="18"/>
      <c r="QA24" s="18"/>
      <c r="QB24" s="18"/>
      <c r="QC24" s="18"/>
      <c r="QD24" s="18"/>
      <c r="QE24" s="18"/>
      <c r="QF24" s="18"/>
      <c r="QG24" s="18"/>
      <c r="QH24" s="18"/>
      <c r="QI24" s="18"/>
      <c r="QJ24" s="18"/>
      <c r="QK24" s="18"/>
      <c r="QL24" s="18"/>
      <c r="QM24" s="18"/>
      <c r="QN24" s="18"/>
      <c r="QO24" s="18"/>
      <c r="QP24" s="18"/>
      <c r="QQ24" s="18"/>
      <c r="QR24" s="18"/>
      <c r="QS24" s="18"/>
      <c r="QT24" s="18"/>
      <c r="QU24" s="18"/>
      <c r="QV24" s="18"/>
      <c r="QW24" s="18"/>
      <c r="QX24" s="18"/>
      <c r="QY24" s="18"/>
      <c r="QZ24" s="18"/>
      <c r="RA24" s="18"/>
      <c r="RB24" s="18"/>
      <c r="RC24" s="18"/>
      <c r="RD24" s="18"/>
      <c r="RE24" s="18"/>
      <c r="RF24" s="18"/>
      <c r="RG24" s="18"/>
      <c r="RH24" s="18"/>
      <c r="RI24" s="18"/>
      <c r="RJ24" s="18"/>
      <c r="RK24" s="18"/>
      <c r="RL24" s="18"/>
      <c r="RM24" s="18"/>
      <c r="RN24" s="18"/>
      <c r="RO24" s="18"/>
      <c r="RP24" s="18"/>
      <c r="RQ24" s="18"/>
      <c r="RR24" s="18"/>
      <c r="RS24" s="18"/>
      <c r="RT24" s="18"/>
      <c r="RU24" s="18"/>
      <c r="RV24" s="18"/>
      <c r="RW24" s="18"/>
      <c r="RX24" s="18"/>
      <c r="RY24" s="18"/>
      <c r="RZ24" s="18"/>
      <c r="SA24" s="18"/>
      <c r="SB24" s="18"/>
      <c r="SC24" s="18"/>
      <c r="SD24" s="18"/>
      <c r="SE24" s="18"/>
      <c r="SF24" s="18"/>
      <c r="SG24" s="18"/>
      <c r="SH24" s="18"/>
      <c r="SI24" s="18"/>
      <c r="SJ24" s="18"/>
      <c r="SK24" s="18"/>
      <c r="SL24" s="18"/>
      <c r="SM24" s="18"/>
      <c r="SN24" s="18"/>
      <c r="SO24" s="18"/>
      <c r="SP24" s="18"/>
      <c r="SQ24" s="18"/>
      <c r="SR24" s="18"/>
      <c r="SS24" s="18"/>
      <c r="ST24" s="18"/>
      <c r="SU24" s="18"/>
      <c r="SV24" s="18"/>
      <c r="SW24" s="18"/>
      <c r="SX24" s="18"/>
      <c r="SY24" s="18"/>
      <c r="SZ24" s="18"/>
      <c r="TA24" s="18"/>
      <c r="TB24" s="18"/>
      <c r="TC24" s="18"/>
      <c r="TD24" s="18"/>
      <c r="TE24" s="18"/>
      <c r="TF24" s="18"/>
      <c r="TG24" s="18"/>
      <c r="TH24" s="18"/>
      <c r="TI24" s="18"/>
      <c r="TJ24" s="18"/>
      <c r="TK24" s="18"/>
      <c r="TL24" s="18"/>
      <c r="TM24" s="18"/>
      <c r="TN24" s="18"/>
      <c r="TO24" s="18"/>
      <c r="TP24" s="18"/>
      <c r="TQ24" s="18"/>
      <c r="TR24" s="18"/>
      <c r="TS24" s="18"/>
      <c r="TT24" s="18"/>
      <c r="TU24" s="18"/>
      <c r="TV24" s="18"/>
      <c r="TW24" s="18"/>
      <c r="TX24" s="18"/>
      <c r="TY24" s="18"/>
      <c r="TZ24" s="18"/>
      <c r="UA24" s="18"/>
      <c r="UB24" s="18"/>
      <c r="UC24" s="18"/>
      <c r="UD24" s="18"/>
      <c r="UE24" s="18"/>
      <c r="UF24" s="18"/>
      <c r="UG24" s="18"/>
      <c r="UH24" s="18"/>
      <c r="UI24" s="18"/>
      <c r="UJ24" s="18"/>
      <c r="UK24" s="18"/>
      <c r="UL24" s="18"/>
      <c r="UM24" s="18"/>
      <c r="UN24" s="18"/>
      <c r="UO24" s="18"/>
      <c r="UP24" s="18"/>
      <c r="UQ24" s="18"/>
      <c r="UR24" s="18"/>
      <c r="US24" s="18"/>
      <c r="UT24" s="18"/>
      <c r="UU24" s="18"/>
      <c r="UV24" s="18"/>
      <c r="UW24" s="18"/>
      <c r="UX24" s="18"/>
      <c r="UY24" s="18"/>
      <c r="UZ24" s="18"/>
      <c r="VA24" s="18"/>
      <c r="VB24" s="18"/>
      <c r="VC24" s="18"/>
      <c r="VD24" s="18"/>
      <c r="VE24" s="18"/>
      <c r="VF24" s="18"/>
      <c r="VG24" s="18"/>
      <c r="VH24" s="18"/>
      <c r="VI24" s="18"/>
      <c r="VJ24" s="18"/>
      <c r="VK24" s="18"/>
      <c r="VL24" s="18"/>
      <c r="VM24" s="18"/>
      <c r="VN24" s="18"/>
      <c r="VO24" s="18"/>
      <c r="VP24" s="18"/>
      <c r="VQ24" s="18"/>
      <c r="VR24" s="18"/>
      <c r="VS24" s="18"/>
      <c r="VT24" s="18"/>
      <c r="VU24" s="18"/>
      <c r="VV24" s="18"/>
      <c r="VW24" s="18"/>
      <c r="VX24" s="18"/>
      <c r="VY24" s="18"/>
      <c r="VZ24" s="18"/>
      <c r="WA24" s="18"/>
      <c r="WB24" s="18"/>
      <c r="WC24" s="18"/>
      <c r="WD24" s="18"/>
      <c r="WE24" s="18"/>
      <c r="WF24" s="18"/>
      <c r="WG24" s="18"/>
      <c r="WH24" s="18"/>
      <c r="WI24" s="18"/>
      <c r="WJ24" s="18"/>
      <c r="WK24" s="18"/>
      <c r="WL24" s="18"/>
      <c r="WM24" s="18"/>
      <c r="WN24" s="18"/>
      <c r="WO24" s="18"/>
      <c r="WP24" s="18"/>
      <c r="WQ24" s="18"/>
      <c r="WR24" s="18"/>
      <c r="WS24" s="18"/>
      <c r="WT24" s="18"/>
      <c r="WU24" s="18"/>
      <c r="WV24" s="18"/>
      <c r="WW24" s="18"/>
      <c r="WX24" s="18"/>
      <c r="WY24" s="18"/>
      <c r="WZ24" s="18"/>
      <c r="XA24" s="18"/>
      <c r="XB24" s="18"/>
      <c r="XC24" s="18"/>
      <c r="XD24" s="18"/>
      <c r="XE24" s="18"/>
      <c r="XF24" s="18"/>
      <c r="XG24" s="18"/>
      <c r="XH24" s="18"/>
      <c r="XI24" s="18"/>
      <c r="XJ24" s="18"/>
      <c r="XK24" s="18"/>
      <c r="XL24" s="18"/>
      <c r="XM24" s="18"/>
      <c r="XN24" s="18"/>
      <c r="XO24" s="18"/>
      <c r="XP24" s="18"/>
      <c r="XQ24" s="18"/>
      <c r="XR24" s="18"/>
      <c r="XS24" s="18"/>
      <c r="XT24" s="18"/>
      <c r="XU24" s="18"/>
      <c r="XV24" s="18"/>
      <c r="XW24" s="18"/>
      <c r="XX24" s="18"/>
      <c r="XY24" s="18"/>
      <c r="XZ24" s="18"/>
      <c r="YA24" s="18"/>
      <c r="YB24" s="18"/>
      <c r="YC24" s="18"/>
      <c r="YD24" s="18"/>
      <c r="YE24" s="18"/>
      <c r="YF24" s="18"/>
      <c r="YG24" s="18"/>
      <c r="YH24" s="18"/>
      <c r="YI24" s="18"/>
      <c r="YJ24" s="18"/>
      <c r="YK24" s="18"/>
      <c r="YL24" s="18"/>
      <c r="YM24" s="18"/>
      <c r="YN24" s="18"/>
      <c r="YO24" s="18"/>
      <c r="YP24" s="18"/>
      <c r="YQ24" s="18"/>
      <c r="YR24" s="18"/>
      <c r="YS24" s="18"/>
      <c r="YT24" s="18"/>
      <c r="YU24" s="18"/>
      <c r="YV24" s="18"/>
      <c r="YW24" s="18"/>
      <c r="YX24" s="18"/>
      <c r="YY24" s="18"/>
      <c r="YZ24" s="18"/>
      <c r="ZA24" s="18"/>
      <c r="ZB24" s="18"/>
      <c r="ZC24" s="18"/>
      <c r="ZD24" s="18"/>
      <c r="ZE24" s="18"/>
      <c r="ZF24" s="18"/>
      <c r="ZG24" s="18"/>
      <c r="ZH24" s="18"/>
      <c r="ZI24" s="18"/>
      <c r="ZJ24" s="18"/>
      <c r="ZK24" s="18"/>
      <c r="ZL24" s="18"/>
      <c r="ZM24" s="18"/>
      <c r="ZN24" s="18"/>
      <c r="ZO24" s="18"/>
      <c r="ZP24" s="18"/>
      <c r="ZQ24" s="18"/>
      <c r="ZR24" s="18"/>
      <c r="ZS24" s="18"/>
      <c r="ZT24" s="18"/>
      <c r="ZU24" s="18"/>
      <c r="ZV24" s="18"/>
      <c r="ZW24" s="18"/>
      <c r="ZX24" s="18"/>
      <c r="ZY24" s="18"/>
      <c r="ZZ24" s="18"/>
      <c r="AAA24" s="18"/>
      <c r="AAB24" s="18"/>
      <c r="AAC24" s="18"/>
      <c r="AAD24" s="18"/>
      <c r="AAE24" s="18"/>
      <c r="AAF24" s="18"/>
      <c r="AAG24" s="18"/>
      <c r="AAH24" s="18"/>
      <c r="AAI24" s="18"/>
      <c r="AAJ24" s="18"/>
      <c r="AAK24" s="18"/>
      <c r="AAL24" s="18"/>
      <c r="AAM24" s="18"/>
      <c r="AAN24" s="18"/>
      <c r="AAO24" s="18"/>
      <c r="AAP24" s="18"/>
      <c r="AAQ24" s="18"/>
      <c r="AAR24" s="18"/>
      <c r="AAS24" s="18"/>
      <c r="AAT24" s="18"/>
      <c r="AAU24" s="18"/>
      <c r="AAV24" s="18"/>
      <c r="AAW24" s="18"/>
      <c r="AAX24" s="18"/>
      <c r="AAY24" s="18"/>
      <c r="AAZ24" s="18"/>
      <c r="ABA24" s="18"/>
      <c r="ABB24" s="18"/>
      <c r="ABC24" s="18"/>
      <c r="ABD24" s="18"/>
      <c r="ABE24" s="18"/>
      <c r="ABF24" s="18"/>
      <c r="ABG24" s="18"/>
      <c r="ABH24" s="18"/>
      <c r="ABI24" s="18"/>
      <c r="ABJ24" s="18"/>
      <c r="ABK24" s="18"/>
      <c r="ABL24" s="18"/>
      <c r="ABM24" s="18"/>
      <c r="ABN24" s="18"/>
      <c r="ABO24" s="18"/>
      <c r="ABP24" s="18"/>
      <c r="ABQ24" s="18"/>
      <c r="ABR24" s="18"/>
      <c r="ABS24" s="18"/>
      <c r="ABT24" s="18"/>
      <c r="ABU24" s="18"/>
      <c r="ABV24" s="18"/>
      <c r="ABW24" s="18"/>
      <c r="ABX24" s="18"/>
      <c r="ABY24" s="18"/>
      <c r="ABZ24" s="18"/>
      <c r="ACA24" s="18"/>
      <c r="ACB24" s="18"/>
      <c r="ACC24" s="18"/>
      <c r="ACD24" s="18"/>
      <c r="ACE24" s="18"/>
      <c r="ACF24" s="18"/>
      <c r="ACG24" s="18"/>
      <c r="ACH24" s="18"/>
      <c r="ACI24" s="18"/>
      <c r="ACJ24" s="18"/>
      <c r="ACK24" s="18"/>
      <c r="ACL24" s="18"/>
      <c r="ACM24" s="18"/>
      <c r="ACN24" s="18"/>
      <c r="ACO24" s="18"/>
      <c r="ACP24" s="18"/>
      <c r="ACQ24" s="18"/>
      <c r="ACR24" s="18"/>
      <c r="ACS24" s="18"/>
      <c r="ACT24" s="18"/>
      <c r="ACU24" s="18"/>
      <c r="ACV24" s="18"/>
      <c r="ACW24" s="18"/>
      <c r="ACX24" s="18"/>
      <c r="ACY24" s="18"/>
      <c r="ACZ24" s="18"/>
      <c r="ADA24" s="18"/>
      <c r="ADB24" s="18"/>
      <c r="ADC24" s="18"/>
      <c r="ADD24" s="18"/>
      <c r="ADE24" s="18"/>
      <c r="ADF24" s="18"/>
      <c r="ADG24" s="18"/>
      <c r="ADH24" s="18"/>
      <c r="ADI24" s="18"/>
      <c r="ADJ24" s="18"/>
      <c r="ADK24" s="18"/>
      <c r="ADL24" s="18"/>
      <c r="ADM24" s="18"/>
      <c r="ADN24" s="18"/>
      <c r="ADO24" s="18"/>
      <c r="ADP24" s="18"/>
      <c r="ADQ24" s="18"/>
      <c r="ADR24" s="18"/>
      <c r="ADS24" s="18"/>
      <c r="ADT24" s="18"/>
      <c r="ADU24" s="18"/>
      <c r="ADV24" s="18"/>
      <c r="ADW24" s="18"/>
      <c r="ADX24" s="18"/>
      <c r="ADY24" s="18"/>
      <c r="ADZ24" s="18"/>
      <c r="AEA24" s="18"/>
      <c r="AEB24" s="18"/>
      <c r="AEC24" s="18"/>
      <c r="AED24" s="18"/>
      <c r="AEE24" s="18"/>
      <c r="AEF24" s="18"/>
      <c r="AEG24" s="18"/>
      <c r="AEH24" s="18"/>
      <c r="AEI24" s="18"/>
      <c r="AEJ24" s="18"/>
      <c r="AEK24" s="18"/>
      <c r="AEL24" s="18"/>
      <c r="AEM24" s="18"/>
      <c r="AEN24" s="18"/>
      <c r="AEO24" s="18"/>
      <c r="AEP24" s="18"/>
      <c r="AEQ24" s="18"/>
      <c r="AER24" s="18"/>
      <c r="AES24" s="18"/>
      <c r="AET24" s="18"/>
      <c r="AEU24" s="18"/>
      <c r="AEV24" s="18"/>
      <c r="AEW24" s="18"/>
      <c r="AEX24" s="18"/>
      <c r="AEY24" s="18"/>
      <c r="AEZ24" s="18"/>
      <c r="AFA24" s="18"/>
      <c r="AFB24" s="18"/>
      <c r="AFC24" s="18"/>
      <c r="AFD24" s="18"/>
      <c r="AFE24" s="18"/>
      <c r="AFF24" s="18"/>
      <c r="AFG24" s="18"/>
      <c r="AFH24" s="18"/>
      <c r="AFI24" s="18"/>
      <c r="AFJ24" s="18"/>
      <c r="AFK24" s="18"/>
      <c r="AFL24" s="18"/>
      <c r="AFM24" s="18"/>
      <c r="AFN24" s="18"/>
      <c r="AFO24" s="18"/>
      <c r="AFP24" s="18"/>
      <c r="AFQ24" s="18"/>
      <c r="AFR24" s="18"/>
      <c r="AFS24" s="18"/>
      <c r="AFT24" s="18"/>
      <c r="AFU24" s="18"/>
      <c r="AFV24" s="18"/>
      <c r="AFW24" s="18"/>
      <c r="AFX24" s="18"/>
      <c r="AFY24" s="18"/>
      <c r="AFZ24" s="18"/>
      <c r="AGA24" s="18"/>
      <c r="AGB24" s="18"/>
      <c r="AGC24" s="18"/>
      <c r="AGD24" s="18"/>
      <c r="AGE24" s="18"/>
      <c r="AGF24" s="18"/>
      <c r="AGG24" s="18"/>
      <c r="AGH24" s="18"/>
      <c r="AGI24" s="18"/>
      <c r="AGJ24" s="18"/>
      <c r="AGK24" s="18"/>
      <c r="AGL24" s="18"/>
      <c r="AGM24" s="18"/>
      <c r="AGN24" s="18"/>
      <c r="AGO24" s="18"/>
      <c r="AGP24" s="18"/>
      <c r="AGQ24" s="18"/>
      <c r="AGR24" s="18"/>
      <c r="AGS24" s="18"/>
      <c r="AGT24" s="18"/>
      <c r="AGU24" s="18"/>
      <c r="AGV24" s="18"/>
      <c r="AGW24" s="18"/>
      <c r="AGX24" s="18"/>
      <c r="AGY24" s="18"/>
      <c r="AGZ24" s="18"/>
      <c r="AHA24" s="18"/>
      <c r="AHB24" s="18"/>
      <c r="AHC24" s="18"/>
      <c r="AHD24" s="18"/>
      <c r="AHE24" s="18"/>
      <c r="AHF24" s="18"/>
      <c r="AHG24" s="18"/>
      <c r="AHH24" s="18"/>
      <c r="AHI24" s="18"/>
      <c r="AHJ24" s="18"/>
      <c r="AHK24" s="18"/>
      <c r="AHL24" s="18"/>
      <c r="AHM24" s="18"/>
      <c r="AHN24" s="18"/>
      <c r="AHO24" s="18"/>
      <c r="AHP24" s="18"/>
      <c r="AHQ24" s="18"/>
      <c r="AHR24" s="18"/>
      <c r="AHS24" s="18"/>
      <c r="AHT24" s="18"/>
      <c r="AHU24" s="18"/>
      <c r="AHV24" s="18"/>
      <c r="AHW24" s="18"/>
      <c r="AHX24" s="18"/>
      <c r="AHY24" s="18"/>
      <c r="AHZ24" s="18"/>
      <c r="AIA24" s="18"/>
      <c r="AIB24" s="18"/>
      <c r="AIC24" s="18"/>
      <c r="AID24" s="18"/>
      <c r="AIE24" s="18"/>
      <c r="AIF24" s="18"/>
      <c r="AIG24" s="18"/>
      <c r="AIH24" s="18"/>
      <c r="AII24" s="18"/>
      <c r="AIJ24" s="18"/>
      <c r="AIK24" s="18"/>
      <c r="AIL24" s="18"/>
      <c r="AIM24" s="18"/>
      <c r="AIN24" s="18"/>
      <c r="AIO24" s="18"/>
      <c r="AIP24" s="18"/>
      <c r="AIQ24" s="18"/>
      <c r="AIR24" s="18"/>
      <c r="AIS24" s="18"/>
      <c r="AIT24" s="18"/>
      <c r="AIU24" s="18"/>
      <c r="AIV24" s="18"/>
      <c r="AIW24" s="18"/>
      <c r="AIX24" s="18"/>
      <c r="AIY24" s="18"/>
      <c r="AIZ24" s="18"/>
      <c r="AJA24" s="18"/>
      <c r="AJB24" s="18"/>
      <c r="AJC24" s="18"/>
      <c r="AJD24" s="18"/>
      <c r="AJE24" s="18"/>
      <c r="AJF24" s="18"/>
      <c r="AJG24" s="18"/>
      <c r="AJH24" s="18"/>
      <c r="AJI24" s="18"/>
      <c r="AJJ24" s="18"/>
      <c r="AJK24" s="18"/>
      <c r="AJL24" s="18"/>
      <c r="AJM24" s="18"/>
      <c r="AJN24" s="18"/>
      <c r="AJO24" s="18"/>
      <c r="AJP24" s="18"/>
      <c r="AJQ24" s="18"/>
      <c r="AJR24" s="18"/>
      <c r="AJS24" s="18"/>
      <c r="AJT24" s="18"/>
      <c r="AJU24" s="18"/>
      <c r="AJV24" s="18"/>
      <c r="AJW24" s="18"/>
      <c r="AJX24" s="18"/>
      <c r="AJY24" s="18"/>
      <c r="AJZ24" s="18"/>
      <c r="AKA24" s="18"/>
      <c r="AKB24" s="18"/>
      <c r="AKC24" s="18"/>
      <c r="AKD24" s="18"/>
      <c r="AKE24" s="18"/>
      <c r="AKF24" s="18"/>
      <c r="AKG24" s="18"/>
      <c r="AKH24" s="18"/>
      <c r="AKI24" s="18"/>
      <c r="AKJ24" s="18"/>
      <c r="AKK24" s="18"/>
      <c r="AKL24" s="18"/>
      <c r="AKM24" s="18"/>
      <c r="AKN24" s="18"/>
      <c r="AKO24" s="18"/>
      <c r="AKP24" s="18"/>
      <c r="AKQ24" s="18"/>
      <c r="AKR24" s="18"/>
      <c r="AKS24" s="18"/>
      <c r="AKT24" s="18"/>
      <c r="AKU24" s="18"/>
      <c r="AKV24" s="18"/>
      <c r="AKW24" s="18"/>
      <c r="AKX24" s="18"/>
      <c r="AKY24" s="18"/>
      <c r="AKZ24" s="18"/>
      <c r="ALA24" s="18"/>
      <c r="ALB24" s="18"/>
      <c r="ALC24" s="18"/>
      <c r="ALD24" s="18"/>
      <c r="ALE24" s="18"/>
      <c r="ALF24" s="18"/>
      <c r="ALG24" s="18"/>
      <c r="ALH24" s="18"/>
      <c r="ALI24" s="18"/>
      <c r="ALJ24" s="18"/>
      <c r="ALK24" s="18"/>
      <c r="ALL24" s="18"/>
      <c r="ALM24" s="18"/>
      <c r="ALN24" s="18"/>
      <c r="ALO24" s="18"/>
      <c r="ALP24" s="18"/>
      <c r="ALQ24" s="18"/>
      <c r="ALR24" s="18"/>
      <c r="ALS24" s="18"/>
      <c r="ALT24" s="18"/>
    </row>
    <row r="25" spans="1:1008" ht="24">
      <c r="A25" s="251" t="s">
        <v>7</v>
      </c>
      <c r="B25" s="290">
        <v>93657</v>
      </c>
      <c r="C25" s="278" t="str">
        <f>(IF($A25="SINAPI",INDEX(SINAPI_NOV2020_NDES!$A$7:$H$6703,MATCH($B25,SINAPI_NOV2020_NDES!$A$7:$A$6703,0),2),IF($A25="GOINFRA",INDEX(#REF!,MATCH($B25,#REF!,0),2),(INDEX(COMPOS!$A$4:$G$390,MATCH($B25,COMPOS!$A$4:A$390,0),2)))))</f>
        <v>DISJUNTOR MONOPOLAR TIPO DIN, CORRENTE NOMINAL DE 32A - FORNECIMENTO E INSTALAÇÃO. AF_10/2020</v>
      </c>
      <c r="D25" s="274" t="str">
        <f>(IF($A25="SINAPI",INDEX(SINAPI_NOV2020_NDES!$A$7:$H$6790,MATCH($B25,SINAPI_NOV2020_NDES!$A$7:$A$6790,0),3),(INDEX(COMPOS!$A$4:$G$5000,MATCH($B25,COMPOS!$A$4:$A$5000,0),3))))</f>
        <v>UN</v>
      </c>
      <c r="E25" s="314">
        <v>9</v>
      </c>
      <c r="F25" s="279">
        <f>(IF($A25="SINAPI",INDEX(SINAPI_NOV2020_NDES!$A$7:$H$6703,MATCH($B25,SINAPI_NOV2020_NDES!$A$7:$A$6703,0),5),(INDEX(COMPOS!$A$4:$G$801,MATCH($B25,COMPOS!$A$4:A$801,0),4))))</f>
        <v>2.67</v>
      </c>
      <c r="G25" s="280">
        <f>(IF($A25="SINAPI",INDEX(SINAPI_NOV2020_NDES!$A$7:$H$6703,MATCH($B25,SINAPI_NOV2020_NDES!$A$7:$A$6703,0),6),(INDEX(COMPOS!$A$4:$G$801,MATCH($B25,COMPOS!$A$4:A$801,0),5))))</f>
        <v>10.130000000000001</v>
      </c>
      <c r="H25" s="280">
        <f>(IF($A25="SINAPI",INDEX(SINAPI_NOV2020_NDES!$A$7:$H$6703,MATCH($B25,SINAPI_NOV2020_NDES!$A$7:$A$6703,0),7),(INDEX(COMPOS!$A$4:$G$801,MATCH($B25,COMPOS!$A$4:A$801,0),6))))</f>
        <v>0</v>
      </c>
      <c r="I25" s="279">
        <f t="shared" si="8"/>
        <v>12.8</v>
      </c>
      <c r="J25" s="276">
        <f t="shared" si="9"/>
        <v>115.2</v>
      </c>
      <c r="K25" s="191"/>
      <c r="L25" s="191"/>
      <c r="M25" s="191"/>
      <c r="N25" s="191"/>
      <c r="O25" s="262"/>
      <c r="P25" s="263"/>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c r="JA25" s="18"/>
      <c r="JB25" s="18"/>
      <c r="JC25" s="18"/>
      <c r="JD25" s="18"/>
      <c r="JE25" s="18"/>
      <c r="JF25" s="18"/>
      <c r="JG25" s="18"/>
      <c r="JH25" s="18"/>
      <c r="JI25" s="18"/>
      <c r="JJ25" s="18"/>
      <c r="JK25" s="18"/>
      <c r="JL25" s="18"/>
      <c r="JM25" s="18"/>
      <c r="JN25" s="18"/>
      <c r="JO25" s="18"/>
      <c r="JP25" s="18"/>
      <c r="JQ25" s="18"/>
      <c r="JR25" s="18"/>
      <c r="JS25" s="18"/>
      <c r="JT25" s="18"/>
      <c r="JU25" s="18"/>
      <c r="JV25" s="18"/>
      <c r="JW25" s="18"/>
      <c r="JX25" s="18"/>
      <c r="JY25" s="18"/>
      <c r="JZ25" s="18"/>
      <c r="KA25" s="18"/>
      <c r="KB25" s="18"/>
      <c r="KC25" s="18"/>
      <c r="KD25" s="18"/>
      <c r="KE25" s="18"/>
      <c r="KF25" s="18"/>
      <c r="KG25" s="18"/>
      <c r="KH25" s="18"/>
      <c r="KI25" s="18"/>
      <c r="KJ25" s="18"/>
      <c r="KK25" s="18"/>
      <c r="KL25" s="18"/>
      <c r="KM25" s="18"/>
      <c r="KN25" s="18"/>
      <c r="KO25" s="18"/>
      <c r="KP25" s="18"/>
      <c r="KQ25" s="18"/>
      <c r="KR25" s="18"/>
      <c r="KS25" s="18"/>
      <c r="KT25" s="18"/>
      <c r="KU25" s="18"/>
      <c r="KV25" s="18"/>
      <c r="KW25" s="18"/>
      <c r="KX25" s="18"/>
      <c r="KY25" s="18"/>
      <c r="KZ25" s="18"/>
      <c r="LA25" s="18"/>
      <c r="LB25" s="18"/>
      <c r="LC25" s="18"/>
      <c r="LD25" s="18"/>
      <c r="LE25" s="18"/>
      <c r="LF25" s="18"/>
      <c r="LG25" s="18"/>
      <c r="LH25" s="18"/>
      <c r="LI25" s="18"/>
      <c r="LJ25" s="18"/>
      <c r="LK25" s="18"/>
      <c r="LL25" s="18"/>
      <c r="LM25" s="18"/>
      <c r="LN25" s="18"/>
      <c r="LO25" s="18"/>
      <c r="LP25" s="18"/>
      <c r="LQ25" s="18"/>
      <c r="LR25" s="18"/>
      <c r="LS25" s="18"/>
      <c r="LT25" s="18"/>
      <c r="LU25" s="18"/>
      <c r="LV25" s="18"/>
      <c r="LW25" s="18"/>
      <c r="LX25" s="18"/>
      <c r="LY25" s="18"/>
      <c r="LZ25" s="18"/>
      <c r="MA25" s="18"/>
      <c r="MB25" s="18"/>
      <c r="MC25" s="18"/>
      <c r="MD25" s="18"/>
      <c r="ME25" s="18"/>
      <c r="MF25" s="18"/>
      <c r="MG25" s="18"/>
      <c r="MH25" s="18"/>
      <c r="MI25" s="18"/>
      <c r="MJ25" s="18"/>
      <c r="MK25" s="18"/>
      <c r="ML25" s="18"/>
      <c r="MM25" s="18"/>
      <c r="MN25" s="18"/>
      <c r="MO25" s="18"/>
      <c r="MP25" s="18"/>
      <c r="MQ25" s="18"/>
      <c r="MR25" s="18"/>
      <c r="MS25" s="18"/>
      <c r="MT25" s="18"/>
      <c r="MU25" s="18"/>
      <c r="MV25" s="18"/>
      <c r="MW25" s="18"/>
      <c r="MX25" s="18"/>
      <c r="MY25" s="18"/>
      <c r="MZ25" s="18"/>
      <c r="NA25" s="18"/>
      <c r="NB25" s="18"/>
      <c r="NC25" s="18"/>
      <c r="ND25" s="18"/>
      <c r="NE25" s="18"/>
      <c r="NF25" s="18"/>
      <c r="NG25" s="18"/>
      <c r="NH25" s="18"/>
      <c r="NI25" s="18"/>
      <c r="NJ25" s="18"/>
      <c r="NK25" s="18"/>
      <c r="NL25" s="18"/>
      <c r="NM25" s="18"/>
      <c r="NN25" s="18"/>
      <c r="NO25" s="18"/>
      <c r="NP25" s="18"/>
      <c r="NQ25" s="18"/>
      <c r="NR25" s="18"/>
      <c r="NS25" s="18"/>
      <c r="NT25" s="18"/>
      <c r="NU25" s="18"/>
      <c r="NV25" s="18"/>
      <c r="NW25" s="18"/>
      <c r="NX25" s="18"/>
      <c r="NY25" s="18"/>
      <c r="NZ25" s="18"/>
      <c r="OA25" s="18"/>
      <c r="OB25" s="18"/>
      <c r="OC25" s="18"/>
      <c r="OD25" s="18"/>
      <c r="OE25" s="18"/>
      <c r="OF25" s="18"/>
      <c r="OG25" s="18"/>
      <c r="OH25" s="18"/>
      <c r="OI25" s="18"/>
      <c r="OJ25" s="18"/>
      <c r="OK25" s="18"/>
      <c r="OL25" s="18"/>
      <c r="OM25" s="18"/>
      <c r="ON25" s="18"/>
      <c r="OO25" s="18"/>
      <c r="OP25" s="18"/>
      <c r="OQ25" s="18"/>
      <c r="OR25" s="18"/>
      <c r="OS25" s="18"/>
      <c r="OT25" s="18"/>
      <c r="OU25" s="18"/>
      <c r="OV25" s="18"/>
      <c r="OW25" s="18"/>
      <c r="OX25" s="18"/>
      <c r="OY25" s="18"/>
      <c r="OZ25" s="18"/>
      <c r="PA25" s="18"/>
      <c r="PB25" s="18"/>
      <c r="PC25" s="18"/>
      <c r="PD25" s="18"/>
      <c r="PE25" s="18"/>
      <c r="PF25" s="18"/>
      <c r="PG25" s="18"/>
      <c r="PH25" s="18"/>
      <c r="PI25" s="18"/>
      <c r="PJ25" s="18"/>
      <c r="PK25" s="18"/>
      <c r="PL25" s="18"/>
      <c r="PM25" s="18"/>
      <c r="PN25" s="18"/>
      <c r="PO25" s="18"/>
      <c r="PP25" s="18"/>
      <c r="PQ25" s="18"/>
      <c r="PR25" s="18"/>
      <c r="PS25" s="18"/>
      <c r="PT25" s="18"/>
      <c r="PU25" s="18"/>
      <c r="PV25" s="18"/>
      <c r="PW25" s="18"/>
      <c r="PX25" s="18"/>
      <c r="PY25" s="18"/>
      <c r="PZ25" s="18"/>
      <c r="QA25" s="18"/>
      <c r="QB25" s="18"/>
      <c r="QC25" s="18"/>
      <c r="QD25" s="18"/>
      <c r="QE25" s="18"/>
      <c r="QF25" s="18"/>
      <c r="QG25" s="18"/>
      <c r="QH25" s="18"/>
      <c r="QI25" s="18"/>
      <c r="QJ25" s="18"/>
      <c r="QK25" s="18"/>
      <c r="QL25" s="18"/>
      <c r="QM25" s="18"/>
      <c r="QN25" s="18"/>
      <c r="QO25" s="18"/>
      <c r="QP25" s="18"/>
      <c r="QQ25" s="18"/>
      <c r="QR25" s="18"/>
      <c r="QS25" s="18"/>
      <c r="QT25" s="18"/>
      <c r="QU25" s="18"/>
      <c r="QV25" s="18"/>
      <c r="QW25" s="18"/>
      <c r="QX25" s="18"/>
      <c r="QY25" s="18"/>
      <c r="QZ25" s="18"/>
      <c r="RA25" s="18"/>
      <c r="RB25" s="18"/>
      <c r="RC25" s="18"/>
      <c r="RD25" s="18"/>
      <c r="RE25" s="18"/>
      <c r="RF25" s="18"/>
      <c r="RG25" s="18"/>
      <c r="RH25" s="18"/>
      <c r="RI25" s="18"/>
      <c r="RJ25" s="18"/>
      <c r="RK25" s="18"/>
      <c r="RL25" s="18"/>
      <c r="RM25" s="18"/>
      <c r="RN25" s="18"/>
      <c r="RO25" s="18"/>
      <c r="RP25" s="18"/>
      <c r="RQ25" s="18"/>
      <c r="RR25" s="18"/>
      <c r="RS25" s="18"/>
      <c r="RT25" s="18"/>
      <c r="RU25" s="18"/>
      <c r="RV25" s="18"/>
      <c r="RW25" s="18"/>
      <c r="RX25" s="18"/>
      <c r="RY25" s="18"/>
      <c r="RZ25" s="18"/>
      <c r="SA25" s="18"/>
      <c r="SB25" s="18"/>
      <c r="SC25" s="18"/>
      <c r="SD25" s="18"/>
      <c r="SE25" s="18"/>
      <c r="SF25" s="18"/>
      <c r="SG25" s="18"/>
      <c r="SH25" s="18"/>
      <c r="SI25" s="18"/>
      <c r="SJ25" s="18"/>
      <c r="SK25" s="18"/>
      <c r="SL25" s="18"/>
      <c r="SM25" s="18"/>
      <c r="SN25" s="18"/>
      <c r="SO25" s="18"/>
      <c r="SP25" s="18"/>
      <c r="SQ25" s="18"/>
      <c r="SR25" s="18"/>
      <c r="SS25" s="18"/>
      <c r="ST25" s="18"/>
      <c r="SU25" s="18"/>
      <c r="SV25" s="18"/>
      <c r="SW25" s="18"/>
      <c r="SX25" s="18"/>
      <c r="SY25" s="18"/>
      <c r="SZ25" s="18"/>
      <c r="TA25" s="18"/>
      <c r="TB25" s="18"/>
      <c r="TC25" s="18"/>
      <c r="TD25" s="18"/>
      <c r="TE25" s="18"/>
      <c r="TF25" s="18"/>
      <c r="TG25" s="18"/>
      <c r="TH25" s="18"/>
      <c r="TI25" s="18"/>
      <c r="TJ25" s="18"/>
      <c r="TK25" s="18"/>
      <c r="TL25" s="18"/>
      <c r="TM25" s="18"/>
      <c r="TN25" s="18"/>
      <c r="TO25" s="18"/>
      <c r="TP25" s="18"/>
      <c r="TQ25" s="18"/>
      <c r="TR25" s="18"/>
      <c r="TS25" s="18"/>
      <c r="TT25" s="18"/>
      <c r="TU25" s="18"/>
      <c r="TV25" s="18"/>
      <c r="TW25" s="18"/>
      <c r="TX25" s="18"/>
      <c r="TY25" s="18"/>
      <c r="TZ25" s="18"/>
      <c r="UA25" s="18"/>
      <c r="UB25" s="18"/>
      <c r="UC25" s="18"/>
      <c r="UD25" s="18"/>
      <c r="UE25" s="18"/>
      <c r="UF25" s="18"/>
      <c r="UG25" s="18"/>
      <c r="UH25" s="18"/>
      <c r="UI25" s="18"/>
      <c r="UJ25" s="18"/>
      <c r="UK25" s="18"/>
      <c r="UL25" s="18"/>
      <c r="UM25" s="18"/>
      <c r="UN25" s="18"/>
      <c r="UO25" s="18"/>
      <c r="UP25" s="18"/>
      <c r="UQ25" s="18"/>
      <c r="UR25" s="18"/>
      <c r="US25" s="18"/>
      <c r="UT25" s="18"/>
      <c r="UU25" s="18"/>
      <c r="UV25" s="18"/>
      <c r="UW25" s="18"/>
      <c r="UX25" s="18"/>
      <c r="UY25" s="18"/>
      <c r="UZ25" s="18"/>
      <c r="VA25" s="18"/>
      <c r="VB25" s="18"/>
      <c r="VC25" s="18"/>
      <c r="VD25" s="18"/>
      <c r="VE25" s="18"/>
      <c r="VF25" s="18"/>
      <c r="VG25" s="18"/>
      <c r="VH25" s="18"/>
      <c r="VI25" s="18"/>
      <c r="VJ25" s="18"/>
      <c r="VK25" s="18"/>
      <c r="VL25" s="18"/>
      <c r="VM25" s="18"/>
      <c r="VN25" s="18"/>
      <c r="VO25" s="18"/>
      <c r="VP25" s="18"/>
      <c r="VQ25" s="18"/>
      <c r="VR25" s="18"/>
      <c r="VS25" s="18"/>
      <c r="VT25" s="18"/>
      <c r="VU25" s="18"/>
      <c r="VV25" s="18"/>
      <c r="VW25" s="18"/>
      <c r="VX25" s="18"/>
      <c r="VY25" s="18"/>
      <c r="VZ25" s="18"/>
      <c r="WA25" s="18"/>
      <c r="WB25" s="18"/>
      <c r="WC25" s="18"/>
      <c r="WD25" s="18"/>
      <c r="WE25" s="18"/>
      <c r="WF25" s="18"/>
      <c r="WG25" s="18"/>
      <c r="WH25" s="18"/>
      <c r="WI25" s="18"/>
      <c r="WJ25" s="18"/>
      <c r="WK25" s="18"/>
      <c r="WL25" s="18"/>
      <c r="WM25" s="18"/>
      <c r="WN25" s="18"/>
      <c r="WO25" s="18"/>
      <c r="WP25" s="18"/>
      <c r="WQ25" s="18"/>
      <c r="WR25" s="18"/>
      <c r="WS25" s="18"/>
      <c r="WT25" s="18"/>
      <c r="WU25" s="18"/>
      <c r="WV25" s="18"/>
      <c r="WW25" s="18"/>
      <c r="WX25" s="18"/>
      <c r="WY25" s="18"/>
      <c r="WZ25" s="18"/>
      <c r="XA25" s="18"/>
      <c r="XB25" s="18"/>
      <c r="XC25" s="18"/>
      <c r="XD25" s="18"/>
      <c r="XE25" s="18"/>
      <c r="XF25" s="18"/>
      <c r="XG25" s="18"/>
      <c r="XH25" s="18"/>
      <c r="XI25" s="18"/>
      <c r="XJ25" s="18"/>
      <c r="XK25" s="18"/>
      <c r="XL25" s="18"/>
      <c r="XM25" s="18"/>
      <c r="XN25" s="18"/>
      <c r="XO25" s="18"/>
      <c r="XP25" s="18"/>
      <c r="XQ25" s="18"/>
      <c r="XR25" s="18"/>
      <c r="XS25" s="18"/>
      <c r="XT25" s="18"/>
      <c r="XU25" s="18"/>
      <c r="XV25" s="18"/>
      <c r="XW25" s="18"/>
      <c r="XX25" s="18"/>
      <c r="XY25" s="18"/>
      <c r="XZ25" s="18"/>
      <c r="YA25" s="18"/>
      <c r="YB25" s="18"/>
      <c r="YC25" s="18"/>
      <c r="YD25" s="18"/>
      <c r="YE25" s="18"/>
      <c r="YF25" s="18"/>
      <c r="YG25" s="18"/>
      <c r="YH25" s="18"/>
      <c r="YI25" s="18"/>
      <c r="YJ25" s="18"/>
      <c r="YK25" s="18"/>
      <c r="YL25" s="18"/>
      <c r="YM25" s="18"/>
      <c r="YN25" s="18"/>
      <c r="YO25" s="18"/>
      <c r="YP25" s="18"/>
      <c r="YQ25" s="18"/>
      <c r="YR25" s="18"/>
      <c r="YS25" s="18"/>
      <c r="YT25" s="18"/>
      <c r="YU25" s="18"/>
      <c r="YV25" s="18"/>
      <c r="YW25" s="18"/>
      <c r="YX25" s="18"/>
      <c r="YY25" s="18"/>
      <c r="YZ25" s="18"/>
      <c r="ZA25" s="18"/>
      <c r="ZB25" s="18"/>
      <c r="ZC25" s="18"/>
      <c r="ZD25" s="18"/>
      <c r="ZE25" s="18"/>
      <c r="ZF25" s="18"/>
      <c r="ZG25" s="18"/>
      <c r="ZH25" s="18"/>
      <c r="ZI25" s="18"/>
      <c r="ZJ25" s="18"/>
      <c r="ZK25" s="18"/>
      <c r="ZL25" s="18"/>
      <c r="ZM25" s="18"/>
      <c r="ZN25" s="18"/>
      <c r="ZO25" s="18"/>
      <c r="ZP25" s="18"/>
      <c r="ZQ25" s="18"/>
      <c r="ZR25" s="18"/>
      <c r="ZS25" s="18"/>
      <c r="ZT25" s="18"/>
      <c r="ZU25" s="18"/>
      <c r="ZV25" s="18"/>
      <c r="ZW25" s="18"/>
      <c r="ZX25" s="18"/>
      <c r="ZY25" s="18"/>
      <c r="ZZ25" s="18"/>
      <c r="AAA25" s="18"/>
      <c r="AAB25" s="18"/>
      <c r="AAC25" s="18"/>
      <c r="AAD25" s="18"/>
      <c r="AAE25" s="18"/>
      <c r="AAF25" s="18"/>
      <c r="AAG25" s="18"/>
      <c r="AAH25" s="18"/>
      <c r="AAI25" s="18"/>
      <c r="AAJ25" s="18"/>
      <c r="AAK25" s="18"/>
      <c r="AAL25" s="18"/>
      <c r="AAM25" s="18"/>
      <c r="AAN25" s="18"/>
      <c r="AAO25" s="18"/>
      <c r="AAP25" s="18"/>
      <c r="AAQ25" s="18"/>
      <c r="AAR25" s="18"/>
      <c r="AAS25" s="18"/>
      <c r="AAT25" s="18"/>
      <c r="AAU25" s="18"/>
      <c r="AAV25" s="18"/>
      <c r="AAW25" s="18"/>
      <c r="AAX25" s="18"/>
      <c r="AAY25" s="18"/>
      <c r="AAZ25" s="18"/>
      <c r="ABA25" s="18"/>
      <c r="ABB25" s="18"/>
      <c r="ABC25" s="18"/>
      <c r="ABD25" s="18"/>
      <c r="ABE25" s="18"/>
      <c r="ABF25" s="18"/>
      <c r="ABG25" s="18"/>
      <c r="ABH25" s="18"/>
      <c r="ABI25" s="18"/>
      <c r="ABJ25" s="18"/>
      <c r="ABK25" s="18"/>
      <c r="ABL25" s="18"/>
      <c r="ABM25" s="18"/>
      <c r="ABN25" s="18"/>
      <c r="ABO25" s="18"/>
      <c r="ABP25" s="18"/>
      <c r="ABQ25" s="18"/>
      <c r="ABR25" s="18"/>
      <c r="ABS25" s="18"/>
      <c r="ABT25" s="18"/>
      <c r="ABU25" s="18"/>
      <c r="ABV25" s="18"/>
      <c r="ABW25" s="18"/>
      <c r="ABX25" s="18"/>
      <c r="ABY25" s="18"/>
      <c r="ABZ25" s="18"/>
      <c r="ACA25" s="18"/>
      <c r="ACB25" s="18"/>
      <c r="ACC25" s="18"/>
      <c r="ACD25" s="18"/>
      <c r="ACE25" s="18"/>
      <c r="ACF25" s="18"/>
      <c r="ACG25" s="18"/>
      <c r="ACH25" s="18"/>
      <c r="ACI25" s="18"/>
      <c r="ACJ25" s="18"/>
      <c r="ACK25" s="18"/>
      <c r="ACL25" s="18"/>
      <c r="ACM25" s="18"/>
      <c r="ACN25" s="18"/>
      <c r="ACO25" s="18"/>
      <c r="ACP25" s="18"/>
      <c r="ACQ25" s="18"/>
      <c r="ACR25" s="18"/>
      <c r="ACS25" s="18"/>
      <c r="ACT25" s="18"/>
      <c r="ACU25" s="18"/>
      <c r="ACV25" s="18"/>
      <c r="ACW25" s="18"/>
      <c r="ACX25" s="18"/>
      <c r="ACY25" s="18"/>
      <c r="ACZ25" s="18"/>
      <c r="ADA25" s="18"/>
      <c r="ADB25" s="18"/>
      <c r="ADC25" s="18"/>
      <c r="ADD25" s="18"/>
      <c r="ADE25" s="18"/>
      <c r="ADF25" s="18"/>
      <c r="ADG25" s="18"/>
      <c r="ADH25" s="18"/>
      <c r="ADI25" s="18"/>
      <c r="ADJ25" s="18"/>
      <c r="ADK25" s="18"/>
      <c r="ADL25" s="18"/>
      <c r="ADM25" s="18"/>
      <c r="ADN25" s="18"/>
      <c r="ADO25" s="18"/>
      <c r="ADP25" s="18"/>
      <c r="ADQ25" s="18"/>
      <c r="ADR25" s="18"/>
      <c r="ADS25" s="18"/>
      <c r="ADT25" s="18"/>
      <c r="ADU25" s="18"/>
      <c r="ADV25" s="18"/>
      <c r="ADW25" s="18"/>
      <c r="ADX25" s="18"/>
      <c r="ADY25" s="18"/>
      <c r="ADZ25" s="18"/>
      <c r="AEA25" s="18"/>
      <c r="AEB25" s="18"/>
      <c r="AEC25" s="18"/>
      <c r="AED25" s="18"/>
      <c r="AEE25" s="18"/>
      <c r="AEF25" s="18"/>
      <c r="AEG25" s="18"/>
      <c r="AEH25" s="18"/>
      <c r="AEI25" s="18"/>
      <c r="AEJ25" s="18"/>
      <c r="AEK25" s="18"/>
      <c r="AEL25" s="18"/>
      <c r="AEM25" s="18"/>
      <c r="AEN25" s="18"/>
      <c r="AEO25" s="18"/>
      <c r="AEP25" s="18"/>
      <c r="AEQ25" s="18"/>
      <c r="AER25" s="18"/>
      <c r="AES25" s="18"/>
      <c r="AET25" s="18"/>
      <c r="AEU25" s="18"/>
      <c r="AEV25" s="18"/>
      <c r="AEW25" s="18"/>
      <c r="AEX25" s="18"/>
      <c r="AEY25" s="18"/>
      <c r="AEZ25" s="18"/>
      <c r="AFA25" s="18"/>
      <c r="AFB25" s="18"/>
      <c r="AFC25" s="18"/>
      <c r="AFD25" s="18"/>
      <c r="AFE25" s="18"/>
      <c r="AFF25" s="18"/>
      <c r="AFG25" s="18"/>
      <c r="AFH25" s="18"/>
      <c r="AFI25" s="18"/>
      <c r="AFJ25" s="18"/>
      <c r="AFK25" s="18"/>
      <c r="AFL25" s="18"/>
      <c r="AFM25" s="18"/>
      <c r="AFN25" s="18"/>
      <c r="AFO25" s="18"/>
      <c r="AFP25" s="18"/>
      <c r="AFQ25" s="18"/>
      <c r="AFR25" s="18"/>
      <c r="AFS25" s="18"/>
      <c r="AFT25" s="18"/>
      <c r="AFU25" s="18"/>
      <c r="AFV25" s="18"/>
      <c r="AFW25" s="18"/>
      <c r="AFX25" s="18"/>
      <c r="AFY25" s="18"/>
      <c r="AFZ25" s="18"/>
      <c r="AGA25" s="18"/>
      <c r="AGB25" s="18"/>
      <c r="AGC25" s="18"/>
      <c r="AGD25" s="18"/>
      <c r="AGE25" s="18"/>
      <c r="AGF25" s="18"/>
      <c r="AGG25" s="18"/>
      <c r="AGH25" s="18"/>
      <c r="AGI25" s="18"/>
      <c r="AGJ25" s="18"/>
      <c r="AGK25" s="18"/>
      <c r="AGL25" s="18"/>
      <c r="AGM25" s="18"/>
      <c r="AGN25" s="18"/>
      <c r="AGO25" s="18"/>
      <c r="AGP25" s="18"/>
      <c r="AGQ25" s="18"/>
      <c r="AGR25" s="18"/>
      <c r="AGS25" s="18"/>
      <c r="AGT25" s="18"/>
      <c r="AGU25" s="18"/>
      <c r="AGV25" s="18"/>
      <c r="AGW25" s="18"/>
      <c r="AGX25" s="18"/>
      <c r="AGY25" s="18"/>
      <c r="AGZ25" s="18"/>
      <c r="AHA25" s="18"/>
      <c r="AHB25" s="18"/>
      <c r="AHC25" s="18"/>
      <c r="AHD25" s="18"/>
      <c r="AHE25" s="18"/>
      <c r="AHF25" s="18"/>
      <c r="AHG25" s="18"/>
      <c r="AHH25" s="18"/>
      <c r="AHI25" s="18"/>
      <c r="AHJ25" s="18"/>
      <c r="AHK25" s="18"/>
      <c r="AHL25" s="18"/>
      <c r="AHM25" s="18"/>
      <c r="AHN25" s="18"/>
      <c r="AHO25" s="18"/>
      <c r="AHP25" s="18"/>
      <c r="AHQ25" s="18"/>
      <c r="AHR25" s="18"/>
      <c r="AHS25" s="18"/>
      <c r="AHT25" s="18"/>
      <c r="AHU25" s="18"/>
      <c r="AHV25" s="18"/>
      <c r="AHW25" s="18"/>
      <c r="AHX25" s="18"/>
      <c r="AHY25" s="18"/>
      <c r="AHZ25" s="18"/>
      <c r="AIA25" s="18"/>
      <c r="AIB25" s="18"/>
      <c r="AIC25" s="18"/>
      <c r="AID25" s="18"/>
      <c r="AIE25" s="18"/>
      <c r="AIF25" s="18"/>
      <c r="AIG25" s="18"/>
      <c r="AIH25" s="18"/>
      <c r="AII25" s="18"/>
      <c r="AIJ25" s="18"/>
      <c r="AIK25" s="18"/>
      <c r="AIL25" s="18"/>
      <c r="AIM25" s="18"/>
      <c r="AIN25" s="18"/>
      <c r="AIO25" s="18"/>
      <c r="AIP25" s="18"/>
      <c r="AIQ25" s="18"/>
      <c r="AIR25" s="18"/>
      <c r="AIS25" s="18"/>
      <c r="AIT25" s="18"/>
      <c r="AIU25" s="18"/>
      <c r="AIV25" s="18"/>
      <c r="AIW25" s="18"/>
      <c r="AIX25" s="18"/>
      <c r="AIY25" s="18"/>
      <c r="AIZ25" s="18"/>
      <c r="AJA25" s="18"/>
      <c r="AJB25" s="18"/>
      <c r="AJC25" s="18"/>
      <c r="AJD25" s="18"/>
      <c r="AJE25" s="18"/>
      <c r="AJF25" s="18"/>
      <c r="AJG25" s="18"/>
      <c r="AJH25" s="18"/>
      <c r="AJI25" s="18"/>
      <c r="AJJ25" s="18"/>
      <c r="AJK25" s="18"/>
      <c r="AJL25" s="18"/>
      <c r="AJM25" s="18"/>
      <c r="AJN25" s="18"/>
      <c r="AJO25" s="18"/>
      <c r="AJP25" s="18"/>
      <c r="AJQ25" s="18"/>
      <c r="AJR25" s="18"/>
      <c r="AJS25" s="18"/>
      <c r="AJT25" s="18"/>
      <c r="AJU25" s="18"/>
      <c r="AJV25" s="18"/>
      <c r="AJW25" s="18"/>
      <c r="AJX25" s="18"/>
      <c r="AJY25" s="18"/>
      <c r="AJZ25" s="18"/>
      <c r="AKA25" s="18"/>
      <c r="AKB25" s="18"/>
      <c r="AKC25" s="18"/>
      <c r="AKD25" s="18"/>
      <c r="AKE25" s="18"/>
      <c r="AKF25" s="18"/>
      <c r="AKG25" s="18"/>
      <c r="AKH25" s="18"/>
      <c r="AKI25" s="18"/>
      <c r="AKJ25" s="18"/>
      <c r="AKK25" s="18"/>
      <c r="AKL25" s="18"/>
      <c r="AKM25" s="18"/>
      <c r="AKN25" s="18"/>
      <c r="AKO25" s="18"/>
      <c r="AKP25" s="18"/>
      <c r="AKQ25" s="18"/>
      <c r="AKR25" s="18"/>
      <c r="AKS25" s="18"/>
      <c r="AKT25" s="18"/>
      <c r="AKU25" s="18"/>
      <c r="AKV25" s="18"/>
      <c r="AKW25" s="18"/>
      <c r="AKX25" s="18"/>
      <c r="AKY25" s="18"/>
      <c r="AKZ25" s="18"/>
      <c r="ALA25" s="18"/>
      <c r="ALB25" s="18"/>
      <c r="ALC25" s="18"/>
      <c r="ALD25" s="18"/>
      <c r="ALE25" s="18"/>
      <c r="ALF25" s="18"/>
      <c r="ALG25" s="18"/>
      <c r="ALH25" s="18"/>
      <c r="ALI25" s="18"/>
      <c r="ALJ25" s="18"/>
      <c r="ALK25" s="18"/>
      <c r="ALL25" s="18"/>
      <c r="ALM25" s="18"/>
      <c r="ALN25" s="18"/>
      <c r="ALO25" s="18"/>
      <c r="ALP25" s="18"/>
      <c r="ALQ25" s="18"/>
      <c r="ALR25" s="18"/>
      <c r="ALS25" s="18"/>
      <c r="ALT25" s="18"/>
    </row>
    <row r="26" spans="1:1008" ht="24">
      <c r="A26" s="251" t="s">
        <v>7</v>
      </c>
      <c r="B26" s="290">
        <v>93673</v>
      </c>
      <c r="C26" s="278" t="str">
        <f>(IF($A26="SINAPI",INDEX(SINAPI_NOV2020_NDES!$A$7:$H$6703,MATCH($B26,SINAPI_NOV2020_NDES!$A$7:$A$6703,0),2),IF($A26="GOINFRA",INDEX(#REF!,MATCH($B26,#REF!,0),2),(INDEX(COMPOS!$A$4:$G$390,MATCH($B26,COMPOS!$A$4:A$390,0),2)))))</f>
        <v>DISJUNTOR TRIPOLAR TIPO DIN, CORRENTE NOMINAL DE 50A - FORNECIMENTO E INSTALAÇÃO. AF_10/2020</v>
      </c>
      <c r="D26" s="274" t="str">
        <f>(IF($A26="SINAPI",INDEX(SINAPI_NOV2020_NDES!$A$7:$H$6790,MATCH($B26,SINAPI_NOV2020_NDES!$A$7:$A$6790,0),3),(INDEX(COMPOS!$A$4:$G$5000,MATCH($B26,COMPOS!$A$4:$A$5000,0),3))))</f>
        <v>UN</v>
      </c>
      <c r="E26" s="314">
        <v>1</v>
      </c>
      <c r="F26" s="279">
        <f>(IF($A26="SINAPI",INDEX(SINAPI_NOV2020_NDES!$A$7:$H$6703,MATCH($B26,SINAPI_NOV2020_NDES!$A$7:$A$6703,0),5),(INDEX(COMPOS!$A$4:$G$801,MATCH($B26,COMPOS!$A$4:A$801,0),4))))</f>
        <v>16.71</v>
      </c>
      <c r="G26" s="280">
        <f>(IF($A26="SINAPI",INDEX(SINAPI_NOV2020_NDES!$A$7:$H$6703,MATCH($B26,SINAPI_NOV2020_NDES!$A$7:$A$6703,0),6),(INDEX(COMPOS!$A$4:$G$801,MATCH($B26,COMPOS!$A$4:A$801,0),5))))</f>
        <v>67.7</v>
      </c>
      <c r="H26" s="280">
        <f>(IF($A26="SINAPI",INDEX(SINAPI_NOV2020_NDES!$A$7:$H$6703,MATCH($B26,SINAPI_NOV2020_NDES!$A$7:$A$6703,0),7),(INDEX(COMPOS!$A$4:$G$801,MATCH($B26,COMPOS!$A$4:A$801,0),6))))</f>
        <v>0</v>
      </c>
      <c r="I26" s="279">
        <f t="shared" si="8"/>
        <v>84.41</v>
      </c>
      <c r="J26" s="276">
        <f t="shared" si="9"/>
        <v>84.41</v>
      </c>
      <c r="K26" s="191"/>
      <c r="L26" s="191"/>
      <c r="M26" s="191"/>
      <c r="N26" s="191"/>
      <c r="O26" s="262"/>
      <c r="P26" s="263"/>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c r="DN26" s="18"/>
      <c r="DO26" s="18"/>
      <c r="DP26" s="18"/>
      <c r="DQ26" s="18"/>
      <c r="DR26" s="18"/>
      <c r="DS26" s="18"/>
      <c r="DT26" s="18"/>
      <c r="DU26" s="18"/>
      <c r="DV26" s="18"/>
      <c r="DW26" s="18"/>
      <c r="DX26" s="18"/>
      <c r="DY26" s="18"/>
      <c r="DZ26" s="18"/>
      <c r="EA26" s="18"/>
      <c r="EB26" s="18"/>
      <c r="EC26" s="18"/>
      <c r="ED26" s="18"/>
      <c r="EE26" s="18"/>
      <c r="EF26" s="18"/>
      <c r="EG26" s="18"/>
      <c r="EH26" s="18"/>
      <c r="EI26" s="18"/>
      <c r="EJ26" s="18"/>
      <c r="EK26" s="18"/>
      <c r="EL26" s="18"/>
      <c r="EM26" s="18"/>
      <c r="EN26" s="18"/>
      <c r="EO26" s="18"/>
      <c r="EP26" s="18"/>
      <c r="EQ26" s="18"/>
      <c r="ER26" s="18"/>
      <c r="ES26" s="18"/>
      <c r="ET26" s="18"/>
      <c r="EU26" s="18"/>
      <c r="EV26" s="18"/>
      <c r="EW26" s="18"/>
      <c r="EX26" s="18"/>
      <c r="EY26" s="18"/>
      <c r="EZ26" s="18"/>
      <c r="FA26" s="18"/>
      <c r="FB26" s="18"/>
      <c r="FC26" s="18"/>
      <c r="FD26" s="18"/>
      <c r="FE26" s="18"/>
      <c r="FF26" s="18"/>
      <c r="FG26" s="18"/>
      <c r="FH26" s="18"/>
      <c r="FI26" s="18"/>
      <c r="FJ26" s="18"/>
      <c r="FK26" s="18"/>
      <c r="FL26" s="18"/>
      <c r="FM26" s="18"/>
      <c r="FN26" s="18"/>
      <c r="FO26" s="18"/>
      <c r="FP26" s="18"/>
      <c r="FQ26" s="18"/>
      <c r="FR26" s="18"/>
      <c r="FS26" s="18"/>
      <c r="FT26" s="18"/>
      <c r="FU26" s="18"/>
      <c r="FV26" s="18"/>
      <c r="FW26" s="18"/>
      <c r="FX26" s="18"/>
      <c r="FY26" s="18"/>
      <c r="FZ26" s="18"/>
      <c r="GA26" s="18"/>
      <c r="GB26" s="18"/>
      <c r="GC26" s="18"/>
      <c r="GD26" s="18"/>
      <c r="GE26" s="18"/>
      <c r="GF26" s="18"/>
      <c r="GG26" s="18"/>
      <c r="GH26" s="18"/>
      <c r="GI26" s="18"/>
      <c r="GJ26" s="18"/>
      <c r="GK26" s="18"/>
      <c r="GL26" s="18"/>
      <c r="GM26" s="18"/>
      <c r="GN26" s="18"/>
      <c r="GO26" s="18"/>
      <c r="GP26" s="18"/>
      <c r="GQ26" s="18"/>
      <c r="GR26" s="18"/>
      <c r="GS26" s="18"/>
      <c r="GT26" s="18"/>
      <c r="GU26" s="18"/>
      <c r="GV26" s="18"/>
      <c r="GW26" s="18"/>
      <c r="GX26" s="18"/>
      <c r="GY26" s="18"/>
      <c r="GZ26" s="18"/>
      <c r="HA26" s="18"/>
      <c r="HB26" s="18"/>
      <c r="HC26" s="18"/>
      <c r="HD26" s="18"/>
      <c r="HE26" s="18"/>
      <c r="HF26" s="18"/>
      <c r="HG26" s="18"/>
      <c r="HH26" s="18"/>
      <c r="HI26" s="18"/>
      <c r="HJ26" s="18"/>
      <c r="HK26" s="18"/>
      <c r="HL26" s="18"/>
      <c r="HM26" s="18"/>
      <c r="HN26" s="18"/>
      <c r="HO26" s="18"/>
      <c r="HP26" s="18"/>
      <c r="HQ26" s="18"/>
      <c r="HR26" s="18"/>
      <c r="HS26" s="18"/>
      <c r="HT26" s="18"/>
      <c r="HU26" s="18"/>
      <c r="HV26" s="18"/>
      <c r="HW26" s="18"/>
      <c r="HX26" s="18"/>
      <c r="HY26" s="18"/>
      <c r="HZ26" s="18"/>
      <c r="IA26" s="18"/>
      <c r="IB26" s="18"/>
      <c r="IC26" s="18"/>
      <c r="ID26" s="18"/>
      <c r="IE26" s="18"/>
      <c r="IF26" s="18"/>
      <c r="IG26" s="18"/>
      <c r="IH26" s="18"/>
      <c r="II26" s="18"/>
      <c r="IJ26" s="18"/>
      <c r="IK26" s="18"/>
      <c r="IL26" s="18"/>
      <c r="IM26" s="18"/>
      <c r="IN26" s="18"/>
      <c r="IO26" s="18"/>
      <c r="IP26" s="18"/>
      <c r="IQ26" s="18"/>
      <c r="IR26" s="18"/>
      <c r="IS26" s="18"/>
      <c r="IT26" s="18"/>
      <c r="IU26" s="18"/>
      <c r="IV26" s="18"/>
      <c r="IW26" s="18"/>
      <c r="IX26" s="18"/>
      <c r="IY26" s="18"/>
      <c r="IZ26" s="18"/>
      <c r="JA26" s="18"/>
      <c r="JB26" s="18"/>
      <c r="JC26" s="18"/>
      <c r="JD26" s="18"/>
      <c r="JE26" s="18"/>
      <c r="JF26" s="18"/>
      <c r="JG26" s="18"/>
      <c r="JH26" s="18"/>
      <c r="JI26" s="18"/>
      <c r="JJ26" s="18"/>
      <c r="JK26" s="18"/>
      <c r="JL26" s="18"/>
      <c r="JM26" s="18"/>
      <c r="JN26" s="18"/>
      <c r="JO26" s="18"/>
      <c r="JP26" s="18"/>
      <c r="JQ26" s="18"/>
      <c r="JR26" s="18"/>
      <c r="JS26" s="18"/>
      <c r="JT26" s="18"/>
      <c r="JU26" s="18"/>
      <c r="JV26" s="18"/>
      <c r="JW26" s="18"/>
      <c r="JX26" s="18"/>
      <c r="JY26" s="18"/>
      <c r="JZ26" s="18"/>
      <c r="KA26" s="18"/>
      <c r="KB26" s="18"/>
      <c r="KC26" s="18"/>
      <c r="KD26" s="18"/>
      <c r="KE26" s="18"/>
      <c r="KF26" s="18"/>
      <c r="KG26" s="18"/>
      <c r="KH26" s="18"/>
      <c r="KI26" s="18"/>
      <c r="KJ26" s="18"/>
      <c r="KK26" s="18"/>
      <c r="KL26" s="18"/>
      <c r="KM26" s="18"/>
      <c r="KN26" s="18"/>
      <c r="KO26" s="18"/>
      <c r="KP26" s="18"/>
      <c r="KQ26" s="18"/>
      <c r="KR26" s="18"/>
      <c r="KS26" s="18"/>
      <c r="KT26" s="18"/>
      <c r="KU26" s="18"/>
      <c r="KV26" s="18"/>
      <c r="KW26" s="18"/>
      <c r="KX26" s="18"/>
      <c r="KY26" s="18"/>
      <c r="KZ26" s="18"/>
      <c r="LA26" s="18"/>
      <c r="LB26" s="18"/>
      <c r="LC26" s="18"/>
      <c r="LD26" s="18"/>
      <c r="LE26" s="18"/>
      <c r="LF26" s="18"/>
      <c r="LG26" s="18"/>
      <c r="LH26" s="18"/>
      <c r="LI26" s="18"/>
      <c r="LJ26" s="18"/>
      <c r="LK26" s="18"/>
      <c r="LL26" s="18"/>
      <c r="LM26" s="18"/>
      <c r="LN26" s="18"/>
      <c r="LO26" s="18"/>
      <c r="LP26" s="18"/>
      <c r="LQ26" s="18"/>
      <c r="LR26" s="18"/>
      <c r="LS26" s="18"/>
      <c r="LT26" s="18"/>
      <c r="LU26" s="18"/>
      <c r="LV26" s="18"/>
      <c r="LW26" s="18"/>
      <c r="LX26" s="18"/>
      <c r="LY26" s="18"/>
      <c r="LZ26" s="18"/>
      <c r="MA26" s="18"/>
      <c r="MB26" s="18"/>
      <c r="MC26" s="18"/>
      <c r="MD26" s="18"/>
      <c r="ME26" s="18"/>
      <c r="MF26" s="18"/>
      <c r="MG26" s="18"/>
      <c r="MH26" s="18"/>
      <c r="MI26" s="18"/>
      <c r="MJ26" s="18"/>
      <c r="MK26" s="18"/>
      <c r="ML26" s="18"/>
      <c r="MM26" s="18"/>
      <c r="MN26" s="18"/>
      <c r="MO26" s="18"/>
      <c r="MP26" s="18"/>
      <c r="MQ26" s="18"/>
      <c r="MR26" s="18"/>
      <c r="MS26" s="18"/>
      <c r="MT26" s="18"/>
      <c r="MU26" s="18"/>
      <c r="MV26" s="18"/>
      <c r="MW26" s="18"/>
      <c r="MX26" s="18"/>
      <c r="MY26" s="18"/>
      <c r="MZ26" s="18"/>
      <c r="NA26" s="18"/>
      <c r="NB26" s="18"/>
      <c r="NC26" s="18"/>
      <c r="ND26" s="18"/>
      <c r="NE26" s="18"/>
      <c r="NF26" s="18"/>
      <c r="NG26" s="18"/>
      <c r="NH26" s="18"/>
      <c r="NI26" s="18"/>
      <c r="NJ26" s="18"/>
      <c r="NK26" s="18"/>
      <c r="NL26" s="18"/>
      <c r="NM26" s="18"/>
      <c r="NN26" s="18"/>
      <c r="NO26" s="18"/>
      <c r="NP26" s="18"/>
      <c r="NQ26" s="18"/>
      <c r="NR26" s="18"/>
      <c r="NS26" s="18"/>
      <c r="NT26" s="18"/>
      <c r="NU26" s="18"/>
      <c r="NV26" s="18"/>
      <c r="NW26" s="18"/>
      <c r="NX26" s="18"/>
      <c r="NY26" s="18"/>
      <c r="NZ26" s="18"/>
      <c r="OA26" s="18"/>
      <c r="OB26" s="18"/>
      <c r="OC26" s="18"/>
      <c r="OD26" s="18"/>
      <c r="OE26" s="18"/>
      <c r="OF26" s="18"/>
      <c r="OG26" s="18"/>
      <c r="OH26" s="18"/>
      <c r="OI26" s="18"/>
      <c r="OJ26" s="18"/>
      <c r="OK26" s="18"/>
      <c r="OL26" s="18"/>
      <c r="OM26" s="18"/>
      <c r="ON26" s="18"/>
      <c r="OO26" s="18"/>
      <c r="OP26" s="18"/>
      <c r="OQ26" s="18"/>
      <c r="OR26" s="18"/>
      <c r="OS26" s="18"/>
      <c r="OT26" s="18"/>
      <c r="OU26" s="18"/>
      <c r="OV26" s="18"/>
      <c r="OW26" s="18"/>
      <c r="OX26" s="18"/>
      <c r="OY26" s="18"/>
      <c r="OZ26" s="18"/>
      <c r="PA26" s="18"/>
      <c r="PB26" s="18"/>
      <c r="PC26" s="18"/>
      <c r="PD26" s="18"/>
      <c r="PE26" s="18"/>
      <c r="PF26" s="18"/>
      <c r="PG26" s="18"/>
      <c r="PH26" s="18"/>
      <c r="PI26" s="18"/>
      <c r="PJ26" s="18"/>
      <c r="PK26" s="18"/>
      <c r="PL26" s="18"/>
      <c r="PM26" s="18"/>
      <c r="PN26" s="18"/>
      <c r="PO26" s="18"/>
      <c r="PP26" s="18"/>
      <c r="PQ26" s="18"/>
      <c r="PR26" s="18"/>
      <c r="PS26" s="18"/>
      <c r="PT26" s="18"/>
      <c r="PU26" s="18"/>
      <c r="PV26" s="18"/>
      <c r="PW26" s="18"/>
      <c r="PX26" s="18"/>
      <c r="PY26" s="18"/>
      <c r="PZ26" s="18"/>
      <c r="QA26" s="18"/>
      <c r="QB26" s="18"/>
      <c r="QC26" s="18"/>
      <c r="QD26" s="18"/>
      <c r="QE26" s="18"/>
      <c r="QF26" s="18"/>
      <c r="QG26" s="18"/>
      <c r="QH26" s="18"/>
      <c r="QI26" s="18"/>
      <c r="QJ26" s="18"/>
      <c r="QK26" s="18"/>
      <c r="QL26" s="18"/>
      <c r="QM26" s="18"/>
      <c r="QN26" s="18"/>
      <c r="QO26" s="18"/>
      <c r="QP26" s="18"/>
      <c r="QQ26" s="18"/>
      <c r="QR26" s="18"/>
      <c r="QS26" s="18"/>
      <c r="QT26" s="18"/>
      <c r="QU26" s="18"/>
      <c r="QV26" s="18"/>
      <c r="QW26" s="18"/>
      <c r="QX26" s="18"/>
      <c r="QY26" s="18"/>
      <c r="QZ26" s="18"/>
      <c r="RA26" s="18"/>
      <c r="RB26" s="18"/>
      <c r="RC26" s="18"/>
      <c r="RD26" s="18"/>
      <c r="RE26" s="18"/>
      <c r="RF26" s="18"/>
      <c r="RG26" s="18"/>
      <c r="RH26" s="18"/>
      <c r="RI26" s="18"/>
      <c r="RJ26" s="18"/>
      <c r="RK26" s="18"/>
      <c r="RL26" s="18"/>
      <c r="RM26" s="18"/>
      <c r="RN26" s="18"/>
      <c r="RO26" s="18"/>
      <c r="RP26" s="18"/>
      <c r="RQ26" s="18"/>
      <c r="RR26" s="18"/>
      <c r="RS26" s="18"/>
      <c r="RT26" s="18"/>
      <c r="RU26" s="18"/>
      <c r="RV26" s="18"/>
      <c r="RW26" s="18"/>
      <c r="RX26" s="18"/>
      <c r="RY26" s="18"/>
      <c r="RZ26" s="18"/>
      <c r="SA26" s="18"/>
      <c r="SB26" s="18"/>
      <c r="SC26" s="18"/>
      <c r="SD26" s="18"/>
      <c r="SE26" s="18"/>
      <c r="SF26" s="18"/>
      <c r="SG26" s="18"/>
      <c r="SH26" s="18"/>
      <c r="SI26" s="18"/>
      <c r="SJ26" s="18"/>
      <c r="SK26" s="18"/>
      <c r="SL26" s="18"/>
      <c r="SM26" s="18"/>
      <c r="SN26" s="18"/>
      <c r="SO26" s="18"/>
      <c r="SP26" s="18"/>
      <c r="SQ26" s="18"/>
      <c r="SR26" s="18"/>
      <c r="SS26" s="18"/>
      <c r="ST26" s="18"/>
      <c r="SU26" s="18"/>
      <c r="SV26" s="18"/>
      <c r="SW26" s="18"/>
      <c r="SX26" s="18"/>
      <c r="SY26" s="18"/>
      <c r="SZ26" s="18"/>
      <c r="TA26" s="18"/>
      <c r="TB26" s="18"/>
      <c r="TC26" s="18"/>
      <c r="TD26" s="18"/>
      <c r="TE26" s="18"/>
      <c r="TF26" s="18"/>
      <c r="TG26" s="18"/>
      <c r="TH26" s="18"/>
      <c r="TI26" s="18"/>
      <c r="TJ26" s="18"/>
      <c r="TK26" s="18"/>
      <c r="TL26" s="18"/>
      <c r="TM26" s="18"/>
      <c r="TN26" s="18"/>
      <c r="TO26" s="18"/>
      <c r="TP26" s="18"/>
      <c r="TQ26" s="18"/>
      <c r="TR26" s="18"/>
      <c r="TS26" s="18"/>
      <c r="TT26" s="18"/>
      <c r="TU26" s="18"/>
      <c r="TV26" s="18"/>
      <c r="TW26" s="18"/>
      <c r="TX26" s="18"/>
      <c r="TY26" s="18"/>
      <c r="TZ26" s="18"/>
      <c r="UA26" s="18"/>
      <c r="UB26" s="18"/>
      <c r="UC26" s="18"/>
      <c r="UD26" s="18"/>
      <c r="UE26" s="18"/>
      <c r="UF26" s="18"/>
      <c r="UG26" s="18"/>
      <c r="UH26" s="18"/>
      <c r="UI26" s="18"/>
      <c r="UJ26" s="18"/>
      <c r="UK26" s="18"/>
      <c r="UL26" s="18"/>
      <c r="UM26" s="18"/>
      <c r="UN26" s="18"/>
      <c r="UO26" s="18"/>
      <c r="UP26" s="18"/>
      <c r="UQ26" s="18"/>
      <c r="UR26" s="18"/>
      <c r="US26" s="18"/>
      <c r="UT26" s="18"/>
      <c r="UU26" s="18"/>
      <c r="UV26" s="18"/>
      <c r="UW26" s="18"/>
      <c r="UX26" s="18"/>
      <c r="UY26" s="18"/>
      <c r="UZ26" s="18"/>
      <c r="VA26" s="18"/>
      <c r="VB26" s="18"/>
      <c r="VC26" s="18"/>
      <c r="VD26" s="18"/>
      <c r="VE26" s="18"/>
      <c r="VF26" s="18"/>
      <c r="VG26" s="18"/>
      <c r="VH26" s="18"/>
      <c r="VI26" s="18"/>
      <c r="VJ26" s="18"/>
      <c r="VK26" s="18"/>
      <c r="VL26" s="18"/>
      <c r="VM26" s="18"/>
      <c r="VN26" s="18"/>
      <c r="VO26" s="18"/>
      <c r="VP26" s="18"/>
      <c r="VQ26" s="18"/>
      <c r="VR26" s="18"/>
      <c r="VS26" s="18"/>
      <c r="VT26" s="18"/>
      <c r="VU26" s="18"/>
      <c r="VV26" s="18"/>
      <c r="VW26" s="18"/>
      <c r="VX26" s="18"/>
      <c r="VY26" s="18"/>
      <c r="VZ26" s="18"/>
      <c r="WA26" s="18"/>
      <c r="WB26" s="18"/>
      <c r="WC26" s="18"/>
      <c r="WD26" s="18"/>
      <c r="WE26" s="18"/>
      <c r="WF26" s="18"/>
      <c r="WG26" s="18"/>
      <c r="WH26" s="18"/>
      <c r="WI26" s="18"/>
      <c r="WJ26" s="18"/>
      <c r="WK26" s="18"/>
      <c r="WL26" s="18"/>
      <c r="WM26" s="18"/>
      <c r="WN26" s="18"/>
      <c r="WO26" s="18"/>
      <c r="WP26" s="18"/>
      <c r="WQ26" s="18"/>
      <c r="WR26" s="18"/>
      <c r="WS26" s="18"/>
      <c r="WT26" s="18"/>
      <c r="WU26" s="18"/>
      <c r="WV26" s="18"/>
      <c r="WW26" s="18"/>
      <c r="WX26" s="18"/>
      <c r="WY26" s="18"/>
      <c r="WZ26" s="18"/>
      <c r="XA26" s="18"/>
      <c r="XB26" s="18"/>
      <c r="XC26" s="18"/>
      <c r="XD26" s="18"/>
      <c r="XE26" s="18"/>
      <c r="XF26" s="18"/>
      <c r="XG26" s="18"/>
      <c r="XH26" s="18"/>
      <c r="XI26" s="18"/>
      <c r="XJ26" s="18"/>
      <c r="XK26" s="18"/>
      <c r="XL26" s="18"/>
      <c r="XM26" s="18"/>
      <c r="XN26" s="18"/>
      <c r="XO26" s="18"/>
      <c r="XP26" s="18"/>
      <c r="XQ26" s="18"/>
      <c r="XR26" s="18"/>
      <c r="XS26" s="18"/>
      <c r="XT26" s="18"/>
      <c r="XU26" s="18"/>
      <c r="XV26" s="18"/>
      <c r="XW26" s="18"/>
      <c r="XX26" s="18"/>
      <c r="XY26" s="18"/>
      <c r="XZ26" s="18"/>
      <c r="YA26" s="18"/>
      <c r="YB26" s="18"/>
      <c r="YC26" s="18"/>
      <c r="YD26" s="18"/>
      <c r="YE26" s="18"/>
      <c r="YF26" s="18"/>
      <c r="YG26" s="18"/>
      <c r="YH26" s="18"/>
      <c r="YI26" s="18"/>
      <c r="YJ26" s="18"/>
      <c r="YK26" s="18"/>
      <c r="YL26" s="18"/>
      <c r="YM26" s="18"/>
      <c r="YN26" s="18"/>
      <c r="YO26" s="18"/>
      <c r="YP26" s="18"/>
      <c r="YQ26" s="18"/>
      <c r="YR26" s="18"/>
      <c r="YS26" s="18"/>
      <c r="YT26" s="18"/>
      <c r="YU26" s="18"/>
      <c r="YV26" s="18"/>
      <c r="YW26" s="18"/>
      <c r="YX26" s="18"/>
      <c r="YY26" s="18"/>
      <c r="YZ26" s="18"/>
      <c r="ZA26" s="18"/>
      <c r="ZB26" s="18"/>
      <c r="ZC26" s="18"/>
      <c r="ZD26" s="18"/>
      <c r="ZE26" s="18"/>
      <c r="ZF26" s="18"/>
      <c r="ZG26" s="18"/>
      <c r="ZH26" s="18"/>
      <c r="ZI26" s="18"/>
      <c r="ZJ26" s="18"/>
      <c r="ZK26" s="18"/>
      <c r="ZL26" s="18"/>
      <c r="ZM26" s="18"/>
      <c r="ZN26" s="18"/>
      <c r="ZO26" s="18"/>
      <c r="ZP26" s="18"/>
      <c r="ZQ26" s="18"/>
      <c r="ZR26" s="18"/>
      <c r="ZS26" s="18"/>
      <c r="ZT26" s="18"/>
      <c r="ZU26" s="18"/>
      <c r="ZV26" s="18"/>
      <c r="ZW26" s="18"/>
      <c r="ZX26" s="18"/>
      <c r="ZY26" s="18"/>
      <c r="ZZ26" s="18"/>
      <c r="AAA26" s="18"/>
      <c r="AAB26" s="18"/>
      <c r="AAC26" s="18"/>
      <c r="AAD26" s="18"/>
      <c r="AAE26" s="18"/>
      <c r="AAF26" s="18"/>
      <c r="AAG26" s="18"/>
      <c r="AAH26" s="18"/>
      <c r="AAI26" s="18"/>
      <c r="AAJ26" s="18"/>
      <c r="AAK26" s="18"/>
      <c r="AAL26" s="18"/>
      <c r="AAM26" s="18"/>
      <c r="AAN26" s="18"/>
      <c r="AAO26" s="18"/>
      <c r="AAP26" s="18"/>
      <c r="AAQ26" s="18"/>
      <c r="AAR26" s="18"/>
      <c r="AAS26" s="18"/>
      <c r="AAT26" s="18"/>
      <c r="AAU26" s="18"/>
      <c r="AAV26" s="18"/>
      <c r="AAW26" s="18"/>
      <c r="AAX26" s="18"/>
      <c r="AAY26" s="18"/>
      <c r="AAZ26" s="18"/>
      <c r="ABA26" s="18"/>
      <c r="ABB26" s="18"/>
      <c r="ABC26" s="18"/>
      <c r="ABD26" s="18"/>
      <c r="ABE26" s="18"/>
      <c r="ABF26" s="18"/>
      <c r="ABG26" s="18"/>
      <c r="ABH26" s="18"/>
      <c r="ABI26" s="18"/>
      <c r="ABJ26" s="18"/>
      <c r="ABK26" s="18"/>
      <c r="ABL26" s="18"/>
      <c r="ABM26" s="18"/>
      <c r="ABN26" s="18"/>
      <c r="ABO26" s="18"/>
      <c r="ABP26" s="18"/>
      <c r="ABQ26" s="18"/>
      <c r="ABR26" s="18"/>
      <c r="ABS26" s="18"/>
      <c r="ABT26" s="18"/>
      <c r="ABU26" s="18"/>
      <c r="ABV26" s="18"/>
      <c r="ABW26" s="18"/>
      <c r="ABX26" s="18"/>
      <c r="ABY26" s="18"/>
      <c r="ABZ26" s="18"/>
      <c r="ACA26" s="18"/>
      <c r="ACB26" s="18"/>
      <c r="ACC26" s="18"/>
      <c r="ACD26" s="18"/>
      <c r="ACE26" s="18"/>
      <c r="ACF26" s="18"/>
      <c r="ACG26" s="18"/>
      <c r="ACH26" s="18"/>
      <c r="ACI26" s="18"/>
      <c r="ACJ26" s="18"/>
      <c r="ACK26" s="18"/>
      <c r="ACL26" s="18"/>
      <c r="ACM26" s="18"/>
      <c r="ACN26" s="18"/>
      <c r="ACO26" s="18"/>
      <c r="ACP26" s="18"/>
      <c r="ACQ26" s="18"/>
      <c r="ACR26" s="18"/>
      <c r="ACS26" s="18"/>
      <c r="ACT26" s="18"/>
      <c r="ACU26" s="18"/>
      <c r="ACV26" s="18"/>
      <c r="ACW26" s="18"/>
      <c r="ACX26" s="18"/>
      <c r="ACY26" s="18"/>
      <c r="ACZ26" s="18"/>
      <c r="ADA26" s="18"/>
      <c r="ADB26" s="18"/>
      <c r="ADC26" s="18"/>
      <c r="ADD26" s="18"/>
      <c r="ADE26" s="18"/>
      <c r="ADF26" s="18"/>
      <c r="ADG26" s="18"/>
      <c r="ADH26" s="18"/>
      <c r="ADI26" s="18"/>
      <c r="ADJ26" s="18"/>
      <c r="ADK26" s="18"/>
      <c r="ADL26" s="18"/>
      <c r="ADM26" s="18"/>
      <c r="ADN26" s="18"/>
      <c r="ADO26" s="18"/>
      <c r="ADP26" s="18"/>
      <c r="ADQ26" s="18"/>
      <c r="ADR26" s="18"/>
      <c r="ADS26" s="18"/>
      <c r="ADT26" s="18"/>
      <c r="ADU26" s="18"/>
      <c r="ADV26" s="18"/>
      <c r="ADW26" s="18"/>
      <c r="ADX26" s="18"/>
      <c r="ADY26" s="18"/>
      <c r="ADZ26" s="18"/>
      <c r="AEA26" s="18"/>
      <c r="AEB26" s="18"/>
      <c r="AEC26" s="18"/>
      <c r="AED26" s="18"/>
      <c r="AEE26" s="18"/>
      <c r="AEF26" s="18"/>
      <c r="AEG26" s="18"/>
      <c r="AEH26" s="18"/>
      <c r="AEI26" s="18"/>
      <c r="AEJ26" s="18"/>
      <c r="AEK26" s="18"/>
      <c r="AEL26" s="18"/>
      <c r="AEM26" s="18"/>
      <c r="AEN26" s="18"/>
      <c r="AEO26" s="18"/>
      <c r="AEP26" s="18"/>
      <c r="AEQ26" s="18"/>
      <c r="AER26" s="18"/>
      <c r="AES26" s="18"/>
      <c r="AET26" s="18"/>
      <c r="AEU26" s="18"/>
      <c r="AEV26" s="18"/>
      <c r="AEW26" s="18"/>
      <c r="AEX26" s="18"/>
      <c r="AEY26" s="18"/>
      <c r="AEZ26" s="18"/>
      <c r="AFA26" s="18"/>
      <c r="AFB26" s="18"/>
      <c r="AFC26" s="18"/>
      <c r="AFD26" s="18"/>
      <c r="AFE26" s="18"/>
      <c r="AFF26" s="18"/>
      <c r="AFG26" s="18"/>
      <c r="AFH26" s="18"/>
      <c r="AFI26" s="18"/>
      <c r="AFJ26" s="18"/>
      <c r="AFK26" s="18"/>
      <c r="AFL26" s="18"/>
      <c r="AFM26" s="18"/>
      <c r="AFN26" s="18"/>
      <c r="AFO26" s="18"/>
      <c r="AFP26" s="18"/>
      <c r="AFQ26" s="18"/>
      <c r="AFR26" s="18"/>
      <c r="AFS26" s="18"/>
      <c r="AFT26" s="18"/>
      <c r="AFU26" s="18"/>
      <c r="AFV26" s="18"/>
      <c r="AFW26" s="18"/>
      <c r="AFX26" s="18"/>
      <c r="AFY26" s="18"/>
      <c r="AFZ26" s="18"/>
      <c r="AGA26" s="18"/>
      <c r="AGB26" s="18"/>
      <c r="AGC26" s="18"/>
      <c r="AGD26" s="18"/>
      <c r="AGE26" s="18"/>
      <c r="AGF26" s="18"/>
      <c r="AGG26" s="18"/>
      <c r="AGH26" s="18"/>
      <c r="AGI26" s="18"/>
      <c r="AGJ26" s="18"/>
      <c r="AGK26" s="18"/>
      <c r="AGL26" s="18"/>
      <c r="AGM26" s="18"/>
      <c r="AGN26" s="18"/>
      <c r="AGO26" s="18"/>
      <c r="AGP26" s="18"/>
      <c r="AGQ26" s="18"/>
      <c r="AGR26" s="18"/>
      <c r="AGS26" s="18"/>
      <c r="AGT26" s="18"/>
      <c r="AGU26" s="18"/>
      <c r="AGV26" s="18"/>
      <c r="AGW26" s="18"/>
      <c r="AGX26" s="18"/>
      <c r="AGY26" s="18"/>
      <c r="AGZ26" s="18"/>
      <c r="AHA26" s="18"/>
      <c r="AHB26" s="18"/>
      <c r="AHC26" s="18"/>
      <c r="AHD26" s="18"/>
      <c r="AHE26" s="18"/>
      <c r="AHF26" s="18"/>
      <c r="AHG26" s="18"/>
      <c r="AHH26" s="18"/>
      <c r="AHI26" s="18"/>
      <c r="AHJ26" s="18"/>
      <c r="AHK26" s="18"/>
      <c r="AHL26" s="18"/>
      <c r="AHM26" s="18"/>
      <c r="AHN26" s="18"/>
      <c r="AHO26" s="18"/>
      <c r="AHP26" s="18"/>
      <c r="AHQ26" s="18"/>
      <c r="AHR26" s="18"/>
      <c r="AHS26" s="18"/>
      <c r="AHT26" s="18"/>
      <c r="AHU26" s="18"/>
      <c r="AHV26" s="18"/>
      <c r="AHW26" s="18"/>
      <c r="AHX26" s="18"/>
      <c r="AHY26" s="18"/>
      <c r="AHZ26" s="18"/>
      <c r="AIA26" s="18"/>
      <c r="AIB26" s="18"/>
      <c r="AIC26" s="18"/>
      <c r="AID26" s="18"/>
      <c r="AIE26" s="18"/>
      <c r="AIF26" s="18"/>
      <c r="AIG26" s="18"/>
      <c r="AIH26" s="18"/>
      <c r="AII26" s="18"/>
      <c r="AIJ26" s="18"/>
      <c r="AIK26" s="18"/>
      <c r="AIL26" s="18"/>
      <c r="AIM26" s="18"/>
      <c r="AIN26" s="18"/>
      <c r="AIO26" s="18"/>
      <c r="AIP26" s="18"/>
      <c r="AIQ26" s="18"/>
      <c r="AIR26" s="18"/>
      <c r="AIS26" s="18"/>
      <c r="AIT26" s="18"/>
      <c r="AIU26" s="18"/>
      <c r="AIV26" s="18"/>
      <c r="AIW26" s="18"/>
      <c r="AIX26" s="18"/>
      <c r="AIY26" s="18"/>
      <c r="AIZ26" s="18"/>
      <c r="AJA26" s="18"/>
      <c r="AJB26" s="18"/>
      <c r="AJC26" s="18"/>
      <c r="AJD26" s="18"/>
      <c r="AJE26" s="18"/>
      <c r="AJF26" s="18"/>
      <c r="AJG26" s="18"/>
      <c r="AJH26" s="18"/>
      <c r="AJI26" s="18"/>
      <c r="AJJ26" s="18"/>
      <c r="AJK26" s="18"/>
      <c r="AJL26" s="18"/>
      <c r="AJM26" s="18"/>
      <c r="AJN26" s="18"/>
      <c r="AJO26" s="18"/>
      <c r="AJP26" s="18"/>
      <c r="AJQ26" s="18"/>
      <c r="AJR26" s="18"/>
      <c r="AJS26" s="18"/>
      <c r="AJT26" s="18"/>
      <c r="AJU26" s="18"/>
      <c r="AJV26" s="18"/>
      <c r="AJW26" s="18"/>
      <c r="AJX26" s="18"/>
      <c r="AJY26" s="18"/>
      <c r="AJZ26" s="18"/>
      <c r="AKA26" s="18"/>
      <c r="AKB26" s="18"/>
      <c r="AKC26" s="18"/>
      <c r="AKD26" s="18"/>
      <c r="AKE26" s="18"/>
      <c r="AKF26" s="18"/>
      <c r="AKG26" s="18"/>
      <c r="AKH26" s="18"/>
      <c r="AKI26" s="18"/>
      <c r="AKJ26" s="18"/>
      <c r="AKK26" s="18"/>
      <c r="AKL26" s="18"/>
      <c r="AKM26" s="18"/>
      <c r="AKN26" s="18"/>
      <c r="AKO26" s="18"/>
      <c r="AKP26" s="18"/>
      <c r="AKQ26" s="18"/>
      <c r="AKR26" s="18"/>
      <c r="AKS26" s="18"/>
      <c r="AKT26" s="18"/>
      <c r="AKU26" s="18"/>
      <c r="AKV26" s="18"/>
      <c r="AKW26" s="18"/>
      <c r="AKX26" s="18"/>
      <c r="AKY26" s="18"/>
      <c r="AKZ26" s="18"/>
      <c r="ALA26" s="18"/>
      <c r="ALB26" s="18"/>
      <c r="ALC26" s="18"/>
      <c r="ALD26" s="18"/>
      <c r="ALE26" s="18"/>
      <c r="ALF26" s="18"/>
      <c r="ALG26" s="18"/>
      <c r="ALH26" s="18"/>
      <c r="ALI26" s="18"/>
      <c r="ALJ26" s="18"/>
      <c r="ALK26" s="18"/>
      <c r="ALL26" s="18"/>
      <c r="ALM26" s="18"/>
      <c r="ALN26" s="18"/>
      <c r="ALO26" s="18"/>
      <c r="ALP26" s="18"/>
      <c r="ALQ26" s="18"/>
      <c r="ALR26" s="18"/>
      <c r="ALS26" s="18"/>
      <c r="ALT26" s="18"/>
    </row>
    <row r="27" spans="1:1008">
      <c r="A27" s="251" t="s">
        <v>6307</v>
      </c>
      <c r="B27" s="290">
        <v>721</v>
      </c>
      <c r="C27" s="278" t="str">
        <f>(IF($A27="SINAPI",INDEX(SINAPI_NOV2020_NDES!$A$7:$H$6703,MATCH($B27,SINAPI_NOV2020_NDES!$A$7:$A$6703,0),2),IF($A27="GOINFRA",INDEX(#REF!,MATCH($B27,#REF!,0),2),(INDEX(COMPOS!$A$4:$G$390,MATCH($B27,COMPOS!$A$4:A$390,0),2)))))</f>
        <v>FITA ISOLANTE, ROLO DE 10,00 M</v>
      </c>
      <c r="D27" s="274" t="str">
        <f>(IF($A27="SINAPI",INDEX(SINAPI_NOV2020_NDES!$A$7:$H$6790,MATCH($B27,SINAPI_NOV2020_NDES!$A$7:$A$6790,0),3),(INDEX(COMPOS!$A$4:$G$5000,MATCH($B27,COMPOS!$A$4:$A$5000,0),3))))</f>
        <v>UN</v>
      </c>
      <c r="E27" s="314">
        <v>1</v>
      </c>
      <c r="F27" s="279">
        <f>(IF($A27="SINAPI",INDEX(SINAPI_NOV2020_NDES!$A$7:$H$6703,MATCH($B27,SINAPI_NOV2020_NDES!$A$7:$A$6703,0),5),(INDEX(COMPOS!$A$4:$G$801,MATCH($B27,COMPOS!$A$4:A$801,0),4))))</f>
        <v>7.726</v>
      </c>
      <c r="G27" s="280">
        <f>(IF($A27="SINAPI",INDEX(SINAPI_NOV2020_NDES!$A$7:$H$6703,MATCH($B27,SINAPI_NOV2020_NDES!$A$7:$A$6703,0),6),(INDEX(COMPOS!$A$4:$G$801,MATCH($B27,COMPOS!$A$4:A$801,0),5))))</f>
        <v>6.43</v>
      </c>
      <c r="H27" s="280">
        <f>(IF($A27="SINAPI",INDEX(SINAPI_NOV2020_NDES!$A$7:$H$6703,MATCH($B27,SINAPI_NOV2020_NDES!$A$7:$A$6703,0),7),(INDEX(COMPOS!$A$4:$G$801,MATCH($B27,COMPOS!$A$4:A$801,0),6))))</f>
        <v>0</v>
      </c>
      <c r="I27" s="279">
        <f t="shared" si="8"/>
        <v>14.155999999999999</v>
      </c>
      <c r="J27" s="276">
        <f t="shared" si="9"/>
        <v>14.155999999999999</v>
      </c>
      <c r="K27" s="191"/>
      <c r="L27" s="191"/>
      <c r="M27" s="191"/>
      <c r="N27" s="191"/>
      <c r="O27" s="262"/>
      <c r="P27" s="263"/>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c r="FQ27" s="18"/>
      <c r="FR27" s="18"/>
      <c r="FS27" s="18"/>
      <c r="FT27" s="18"/>
      <c r="FU27" s="18"/>
      <c r="FV27" s="18"/>
      <c r="FW27" s="18"/>
      <c r="FX27" s="18"/>
      <c r="FY27" s="18"/>
      <c r="FZ27" s="18"/>
      <c r="GA27" s="18"/>
      <c r="GB27" s="18"/>
      <c r="GC27" s="18"/>
      <c r="GD27" s="18"/>
      <c r="GE27" s="18"/>
      <c r="GF27" s="18"/>
      <c r="GG27" s="18"/>
      <c r="GH27" s="18"/>
      <c r="GI27" s="18"/>
      <c r="GJ27" s="18"/>
      <c r="GK27" s="18"/>
      <c r="GL27" s="18"/>
      <c r="GM27" s="18"/>
      <c r="GN27" s="18"/>
      <c r="GO27" s="18"/>
      <c r="GP27" s="18"/>
      <c r="GQ27" s="18"/>
      <c r="GR27" s="18"/>
      <c r="GS27" s="18"/>
      <c r="GT27" s="18"/>
      <c r="GU27" s="18"/>
      <c r="GV27" s="18"/>
      <c r="GW27" s="18"/>
      <c r="GX27" s="18"/>
      <c r="GY27" s="18"/>
      <c r="GZ27" s="18"/>
      <c r="HA27" s="18"/>
      <c r="HB27" s="18"/>
      <c r="HC27" s="18"/>
      <c r="HD27" s="18"/>
      <c r="HE27" s="18"/>
      <c r="HF27" s="18"/>
      <c r="HG27" s="18"/>
      <c r="HH27" s="18"/>
      <c r="HI27" s="18"/>
      <c r="HJ27" s="18"/>
      <c r="HK27" s="18"/>
      <c r="HL27" s="18"/>
      <c r="HM27" s="18"/>
      <c r="HN27" s="18"/>
      <c r="HO27" s="18"/>
      <c r="HP27" s="18"/>
      <c r="HQ27" s="18"/>
      <c r="HR27" s="18"/>
      <c r="HS27" s="18"/>
      <c r="HT27" s="18"/>
      <c r="HU27" s="18"/>
      <c r="HV27" s="18"/>
      <c r="HW27" s="18"/>
      <c r="HX27" s="18"/>
      <c r="HY27" s="18"/>
      <c r="HZ27" s="18"/>
      <c r="IA27" s="18"/>
      <c r="IB27" s="18"/>
      <c r="IC27" s="18"/>
      <c r="ID27" s="18"/>
      <c r="IE27" s="18"/>
      <c r="IF27" s="18"/>
      <c r="IG27" s="18"/>
      <c r="IH27" s="18"/>
      <c r="II27" s="18"/>
      <c r="IJ27" s="18"/>
      <c r="IK27" s="18"/>
      <c r="IL27" s="18"/>
      <c r="IM27" s="18"/>
      <c r="IN27" s="18"/>
      <c r="IO27" s="18"/>
      <c r="IP27" s="18"/>
      <c r="IQ27" s="18"/>
      <c r="IR27" s="18"/>
      <c r="IS27" s="18"/>
      <c r="IT27" s="18"/>
      <c r="IU27" s="18"/>
      <c r="IV27" s="18"/>
      <c r="IW27" s="18"/>
      <c r="IX27" s="18"/>
      <c r="IY27" s="18"/>
      <c r="IZ27" s="18"/>
      <c r="JA27" s="18"/>
      <c r="JB27" s="18"/>
      <c r="JC27" s="18"/>
      <c r="JD27" s="18"/>
      <c r="JE27" s="18"/>
      <c r="JF27" s="18"/>
      <c r="JG27" s="18"/>
      <c r="JH27" s="18"/>
      <c r="JI27" s="18"/>
      <c r="JJ27" s="18"/>
      <c r="JK27" s="18"/>
      <c r="JL27" s="18"/>
      <c r="JM27" s="18"/>
      <c r="JN27" s="18"/>
      <c r="JO27" s="18"/>
      <c r="JP27" s="18"/>
      <c r="JQ27" s="18"/>
      <c r="JR27" s="18"/>
      <c r="JS27" s="18"/>
      <c r="JT27" s="18"/>
      <c r="JU27" s="18"/>
      <c r="JV27" s="18"/>
      <c r="JW27" s="18"/>
      <c r="JX27" s="18"/>
      <c r="JY27" s="18"/>
      <c r="JZ27" s="18"/>
      <c r="KA27" s="18"/>
      <c r="KB27" s="18"/>
      <c r="KC27" s="18"/>
      <c r="KD27" s="18"/>
      <c r="KE27" s="18"/>
      <c r="KF27" s="18"/>
      <c r="KG27" s="18"/>
      <c r="KH27" s="18"/>
      <c r="KI27" s="18"/>
      <c r="KJ27" s="18"/>
      <c r="KK27" s="18"/>
      <c r="KL27" s="18"/>
      <c r="KM27" s="18"/>
      <c r="KN27" s="18"/>
      <c r="KO27" s="18"/>
      <c r="KP27" s="18"/>
      <c r="KQ27" s="18"/>
      <c r="KR27" s="18"/>
      <c r="KS27" s="18"/>
      <c r="KT27" s="18"/>
      <c r="KU27" s="18"/>
      <c r="KV27" s="18"/>
      <c r="KW27" s="18"/>
      <c r="KX27" s="18"/>
      <c r="KY27" s="18"/>
      <c r="KZ27" s="18"/>
      <c r="LA27" s="18"/>
      <c r="LB27" s="18"/>
      <c r="LC27" s="18"/>
      <c r="LD27" s="18"/>
      <c r="LE27" s="18"/>
      <c r="LF27" s="18"/>
      <c r="LG27" s="18"/>
      <c r="LH27" s="18"/>
      <c r="LI27" s="18"/>
      <c r="LJ27" s="18"/>
      <c r="LK27" s="18"/>
      <c r="LL27" s="18"/>
      <c r="LM27" s="18"/>
      <c r="LN27" s="18"/>
      <c r="LO27" s="18"/>
      <c r="LP27" s="18"/>
      <c r="LQ27" s="18"/>
      <c r="LR27" s="18"/>
      <c r="LS27" s="18"/>
      <c r="LT27" s="18"/>
      <c r="LU27" s="18"/>
      <c r="LV27" s="18"/>
      <c r="LW27" s="18"/>
      <c r="LX27" s="18"/>
      <c r="LY27" s="18"/>
      <c r="LZ27" s="18"/>
      <c r="MA27" s="18"/>
      <c r="MB27" s="18"/>
      <c r="MC27" s="18"/>
      <c r="MD27" s="18"/>
      <c r="ME27" s="18"/>
      <c r="MF27" s="18"/>
      <c r="MG27" s="18"/>
      <c r="MH27" s="18"/>
      <c r="MI27" s="18"/>
      <c r="MJ27" s="18"/>
      <c r="MK27" s="18"/>
      <c r="ML27" s="18"/>
      <c r="MM27" s="18"/>
      <c r="MN27" s="18"/>
      <c r="MO27" s="18"/>
      <c r="MP27" s="18"/>
      <c r="MQ27" s="18"/>
      <c r="MR27" s="18"/>
      <c r="MS27" s="18"/>
      <c r="MT27" s="18"/>
      <c r="MU27" s="18"/>
      <c r="MV27" s="18"/>
      <c r="MW27" s="18"/>
      <c r="MX27" s="18"/>
      <c r="MY27" s="18"/>
      <c r="MZ27" s="18"/>
      <c r="NA27" s="18"/>
      <c r="NB27" s="18"/>
      <c r="NC27" s="18"/>
      <c r="ND27" s="18"/>
      <c r="NE27" s="18"/>
      <c r="NF27" s="18"/>
      <c r="NG27" s="18"/>
      <c r="NH27" s="18"/>
      <c r="NI27" s="18"/>
      <c r="NJ27" s="18"/>
      <c r="NK27" s="18"/>
      <c r="NL27" s="18"/>
      <c r="NM27" s="18"/>
      <c r="NN27" s="18"/>
      <c r="NO27" s="18"/>
      <c r="NP27" s="18"/>
      <c r="NQ27" s="18"/>
      <c r="NR27" s="18"/>
      <c r="NS27" s="18"/>
      <c r="NT27" s="18"/>
      <c r="NU27" s="18"/>
      <c r="NV27" s="18"/>
      <c r="NW27" s="18"/>
      <c r="NX27" s="18"/>
      <c r="NY27" s="18"/>
      <c r="NZ27" s="18"/>
      <c r="OA27" s="18"/>
      <c r="OB27" s="18"/>
      <c r="OC27" s="18"/>
      <c r="OD27" s="18"/>
      <c r="OE27" s="18"/>
      <c r="OF27" s="18"/>
      <c r="OG27" s="18"/>
      <c r="OH27" s="18"/>
      <c r="OI27" s="18"/>
      <c r="OJ27" s="18"/>
      <c r="OK27" s="18"/>
      <c r="OL27" s="18"/>
      <c r="OM27" s="18"/>
      <c r="ON27" s="18"/>
      <c r="OO27" s="18"/>
      <c r="OP27" s="18"/>
      <c r="OQ27" s="18"/>
      <c r="OR27" s="18"/>
      <c r="OS27" s="18"/>
      <c r="OT27" s="18"/>
      <c r="OU27" s="18"/>
      <c r="OV27" s="18"/>
      <c r="OW27" s="18"/>
      <c r="OX27" s="18"/>
      <c r="OY27" s="18"/>
      <c r="OZ27" s="18"/>
      <c r="PA27" s="18"/>
      <c r="PB27" s="18"/>
      <c r="PC27" s="18"/>
      <c r="PD27" s="18"/>
      <c r="PE27" s="18"/>
      <c r="PF27" s="18"/>
      <c r="PG27" s="18"/>
      <c r="PH27" s="18"/>
      <c r="PI27" s="18"/>
      <c r="PJ27" s="18"/>
      <c r="PK27" s="18"/>
      <c r="PL27" s="18"/>
      <c r="PM27" s="18"/>
      <c r="PN27" s="18"/>
      <c r="PO27" s="18"/>
      <c r="PP27" s="18"/>
      <c r="PQ27" s="18"/>
      <c r="PR27" s="18"/>
      <c r="PS27" s="18"/>
      <c r="PT27" s="18"/>
      <c r="PU27" s="18"/>
      <c r="PV27" s="18"/>
      <c r="PW27" s="18"/>
      <c r="PX27" s="18"/>
      <c r="PY27" s="18"/>
      <c r="PZ27" s="18"/>
      <c r="QA27" s="18"/>
      <c r="QB27" s="18"/>
      <c r="QC27" s="18"/>
      <c r="QD27" s="18"/>
      <c r="QE27" s="18"/>
      <c r="QF27" s="18"/>
      <c r="QG27" s="18"/>
      <c r="QH27" s="18"/>
      <c r="QI27" s="18"/>
      <c r="QJ27" s="18"/>
      <c r="QK27" s="18"/>
      <c r="QL27" s="18"/>
      <c r="QM27" s="18"/>
      <c r="QN27" s="18"/>
      <c r="QO27" s="18"/>
      <c r="QP27" s="18"/>
      <c r="QQ27" s="18"/>
      <c r="QR27" s="18"/>
      <c r="QS27" s="18"/>
      <c r="QT27" s="18"/>
      <c r="QU27" s="18"/>
      <c r="QV27" s="18"/>
      <c r="QW27" s="18"/>
      <c r="QX27" s="18"/>
      <c r="QY27" s="18"/>
      <c r="QZ27" s="18"/>
      <c r="RA27" s="18"/>
      <c r="RB27" s="18"/>
      <c r="RC27" s="18"/>
      <c r="RD27" s="18"/>
      <c r="RE27" s="18"/>
      <c r="RF27" s="18"/>
      <c r="RG27" s="18"/>
      <c r="RH27" s="18"/>
      <c r="RI27" s="18"/>
      <c r="RJ27" s="18"/>
      <c r="RK27" s="18"/>
      <c r="RL27" s="18"/>
      <c r="RM27" s="18"/>
      <c r="RN27" s="18"/>
      <c r="RO27" s="18"/>
      <c r="RP27" s="18"/>
      <c r="RQ27" s="18"/>
      <c r="RR27" s="18"/>
      <c r="RS27" s="18"/>
      <c r="RT27" s="18"/>
      <c r="RU27" s="18"/>
      <c r="RV27" s="18"/>
      <c r="RW27" s="18"/>
      <c r="RX27" s="18"/>
      <c r="RY27" s="18"/>
      <c r="RZ27" s="18"/>
      <c r="SA27" s="18"/>
      <c r="SB27" s="18"/>
      <c r="SC27" s="18"/>
      <c r="SD27" s="18"/>
      <c r="SE27" s="18"/>
      <c r="SF27" s="18"/>
      <c r="SG27" s="18"/>
      <c r="SH27" s="18"/>
      <c r="SI27" s="18"/>
      <c r="SJ27" s="18"/>
      <c r="SK27" s="18"/>
      <c r="SL27" s="18"/>
      <c r="SM27" s="18"/>
      <c r="SN27" s="18"/>
      <c r="SO27" s="18"/>
      <c r="SP27" s="18"/>
      <c r="SQ27" s="18"/>
      <c r="SR27" s="18"/>
      <c r="SS27" s="18"/>
      <c r="ST27" s="18"/>
      <c r="SU27" s="18"/>
      <c r="SV27" s="18"/>
      <c r="SW27" s="18"/>
      <c r="SX27" s="18"/>
      <c r="SY27" s="18"/>
      <c r="SZ27" s="18"/>
      <c r="TA27" s="18"/>
      <c r="TB27" s="18"/>
      <c r="TC27" s="18"/>
      <c r="TD27" s="18"/>
      <c r="TE27" s="18"/>
      <c r="TF27" s="18"/>
      <c r="TG27" s="18"/>
      <c r="TH27" s="18"/>
      <c r="TI27" s="18"/>
      <c r="TJ27" s="18"/>
      <c r="TK27" s="18"/>
      <c r="TL27" s="18"/>
      <c r="TM27" s="18"/>
      <c r="TN27" s="18"/>
      <c r="TO27" s="18"/>
      <c r="TP27" s="18"/>
      <c r="TQ27" s="18"/>
      <c r="TR27" s="18"/>
      <c r="TS27" s="18"/>
      <c r="TT27" s="18"/>
      <c r="TU27" s="18"/>
      <c r="TV27" s="18"/>
      <c r="TW27" s="18"/>
      <c r="TX27" s="18"/>
      <c r="TY27" s="18"/>
      <c r="TZ27" s="18"/>
      <c r="UA27" s="18"/>
      <c r="UB27" s="18"/>
      <c r="UC27" s="18"/>
      <c r="UD27" s="18"/>
      <c r="UE27" s="18"/>
      <c r="UF27" s="18"/>
      <c r="UG27" s="18"/>
      <c r="UH27" s="18"/>
      <c r="UI27" s="18"/>
      <c r="UJ27" s="18"/>
      <c r="UK27" s="18"/>
      <c r="UL27" s="18"/>
      <c r="UM27" s="18"/>
      <c r="UN27" s="18"/>
      <c r="UO27" s="18"/>
      <c r="UP27" s="18"/>
      <c r="UQ27" s="18"/>
      <c r="UR27" s="18"/>
      <c r="US27" s="18"/>
      <c r="UT27" s="18"/>
      <c r="UU27" s="18"/>
      <c r="UV27" s="18"/>
      <c r="UW27" s="18"/>
      <c r="UX27" s="18"/>
      <c r="UY27" s="18"/>
      <c r="UZ27" s="18"/>
      <c r="VA27" s="18"/>
      <c r="VB27" s="18"/>
      <c r="VC27" s="18"/>
      <c r="VD27" s="18"/>
      <c r="VE27" s="18"/>
      <c r="VF27" s="18"/>
      <c r="VG27" s="18"/>
      <c r="VH27" s="18"/>
      <c r="VI27" s="18"/>
      <c r="VJ27" s="18"/>
      <c r="VK27" s="18"/>
      <c r="VL27" s="18"/>
      <c r="VM27" s="18"/>
      <c r="VN27" s="18"/>
      <c r="VO27" s="18"/>
      <c r="VP27" s="18"/>
      <c r="VQ27" s="18"/>
      <c r="VR27" s="18"/>
      <c r="VS27" s="18"/>
      <c r="VT27" s="18"/>
      <c r="VU27" s="18"/>
      <c r="VV27" s="18"/>
      <c r="VW27" s="18"/>
      <c r="VX27" s="18"/>
      <c r="VY27" s="18"/>
      <c r="VZ27" s="18"/>
      <c r="WA27" s="18"/>
      <c r="WB27" s="18"/>
      <c r="WC27" s="18"/>
      <c r="WD27" s="18"/>
      <c r="WE27" s="18"/>
      <c r="WF27" s="18"/>
      <c r="WG27" s="18"/>
      <c r="WH27" s="18"/>
      <c r="WI27" s="18"/>
      <c r="WJ27" s="18"/>
      <c r="WK27" s="18"/>
      <c r="WL27" s="18"/>
      <c r="WM27" s="18"/>
      <c r="WN27" s="18"/>
      <c r="WO27" s="18"/>
      <c r="WP27" s="18"/>
      <c r="WQ27" s="18"/>
      <c r="WR27" s="18"/>
      <c r="WS27" s="18"/>
      <c r="WT27" s="18"/>
      <c r="WU27" s="18"/>
      <c r="WV27" s="18"/>
      <c r="WW27" s="18"/>
      <c r="WX27" s="18"/>
      <c r="WY27" s="18"/>
      <c r="WZ27" s="18"/>
      <c r="XA27" s="18"/>
      <c r="XB27" s="18"/>
      <c r="XC27" s="18"/>
      <c r="XD27" s="18"/>
      <c r="XE27" s="18"/>
      <c r="XF27" s="18"/>
      <c r="XG27" s="18"/>
      <c r="XH27" s="18"/>
      <c r="XI27" s="18"/>
      <c r="XJ27" s="18"/>
      <c r="XK27" s="18"/>
      <c r="XL27" s="18"/>
      <c r="XM27" s="18"/>
      <c r="XN27" s="18"/>
      <c r="XO27" s="18"/>
      <c r="XP27" s="18"/>
      <c r="XQ27" s="18"/>
      <c r="XR27" s="18"/>
      <c r="XS27" s="18"/>
      <c r="XT27" s="18"/>
      <c r="XU27" s="18"/>
      <c r="XV27" s="18"/>
      <c r="XW27" s="18"/>
      <c r="XX27" s="18"/>
      <c r="XY27" s="18"/>
      <c r="XZ27" s="18"/>
      <c r="YA27" s="18"/>
      <c r="YB27" s="18"/>
      <c r="YC27" s="18"/>
      <c r="YD27" s="18"/>
      <c r="YE27" s="18"/>
      <c r="YF27" s="18"/>
      <c r="YG27" s="18"/>
      <c r="YH27" s="18"/>
      <c r="YI27" s="18"/>
      <c r="YJ27" s="18"/>
      <c r="YK27" s="18"/>
      <c r="YL27" s="18"/>
      <c r="YM27" s="18"/>
      <c r="YN27" s="18"/>
      <c r="YO27" s="18"/>
      <c r="YP27" s="18"/>
      <c r="YQ27" s="18"/>
      <c r="YR27" s="18"/>
      <c r="YS27" s="18"/>
      <c r="YT27" s="18"/>
      <c r="YU27" s="18"/>
      <c r="YV27" s="18"/>
      <c r="YW27" s="18"/>
      <c r="YX27" s="18"/>
      <c r="YY27" s="18"/>
      <c r="YZ27" s="18"/>
      <c r="ZA27" s="18"/>
      <c r="ZB27" s="18"/>
      <c r="ZC27" s="18"/>
      <c r="ZD27" s="18"/>
      <c r="ZE27" s="18"/>
      <c r="ZF27" s="18"/>
      <c r="ZG27" s="18"/>
      <c r="ZH27" s="18"/>
      <c r="ZI27" s="18"/>
      <c r="ZJ27" s="18"/>
      <c r="ZK27" s="18"/>
      <c r="ZL27" s="18"/>
      <c r="ZM27" s="18"/>
      <c r="ZN27" s="18"/>
      <c r="ZO27" s="18"/>
      <c r="ZP27" s="18"/>
      <c r="ZQ27" s="18"/>
      <c r="ZR27" s="18"/>
      <c r="ZS27" s="18"/>
      <c r="ZT27" s="18"/>
      <c r="ZU27" s="18"/>
      <c r="ZV27" s="18"/>
      <c r="ZW27" s="18"/>
      <c r="ZX27" s="18"/>
      <c r="ZY27" s="18"/>
      <c r="ZZ27" s="18"/>
      <c r="AAA27" s="18"/>
      <c r="AAB27" s="18"/>
      <c r="AAC27" s="18"/>
      <c r="AAD27" s="18"/>
      <c r="AAE27" s="18"/>
      <c r="AAF27" s="18"/>
      <c r="AAG27" s="18"/>
      <c r="AAH27" s="18"/>
      <c r="AAI27" s="18"/>
      <c r="AAJ27" s="18"/>
      <c r="AAK27" s="18"/>
      <c r="AAL27" s="18"/>
      <c r="AAM27" s="18"/>
      <c r="AAN27" s="18"/>
      <c r="AAO27" s="18"/>
      <c r="AAP27" s="18"/>
      <c r="AAQ27" s="18"/>
      <c r="AAR27" s="18"/>
      <c r="AAS27" s="18"/>
      <c r="AAT27" s="18"/>
      <c r="AAU27" s="18"/>
      <c r="AAV27" s="18"/>
      <c r="AAW27" s="18"/>
      <c r="AAX27" s="18"/>
      <c r="AAY27" s="18"/>
      <c r="AAZ27" s="18"/>
      <c r="ABA27" s="18"/>
      <c r="ABB27" s="18"/>
      <c r="ABC27" s="18"/>
      <c r="ABD27" s="18"/>
      <c r="ABE27" s="18"/>
      <c r="ABF27" s="18"/>
      <c r="ABG27" s="18"/>
      <c r="ABH27" s="18"/>
      <c r="ABI27" s="18"/>
      <c r="ABJ27" s="18"/>
      <c r="ABK27" s="18"/>
      <c r="ABL27" s="18"/>
      <c r="ABM27" s="18"/>
      <c r="ABN27" s="18"/>
      <c r="ABO27" s="18"/>
      <c r="ABP27" s="18"/>
      <c r="ABQ27" s="18"/>
      <c r="ABR27" s="18"/>
      <c r="ABS27" s="18"/>
      <c r="ABT27" s="18"/>
      <c r="ABU27" s="18"/>
      <c r="ABV27" s="18"/>
      <c r="ABW27" s="18"/>
      <c r="ABX27" s="18"/>
      <c r="ABY27" s="18"/>
      <c r="ABZ27" s="18"/>
      <c r="ACA27" s="18"/>
      <c r="ACB27" s="18"/>
      <c r="ACC27" s="18"/>
      <c r="ACD27" s="18"/>
      <c r="ACE27" s="18"/>
      <c r="ACF27" s="18"/>
      <c r="ACG27" s="18"/>
      <c r="ACH27" s="18"/>
      <c r="ACI27" s="18"/>
      <c r="ACJ27" s="18"/>
      <c r="ACK27" s="18"/>
      <c r="ACL27" s="18"/>
      <c r="ACM27" s="18"/>
      <c r="ACN27" s="18"/>
      <c r="ACO27" s="18"/>
      <c r="ACP27" s="18"/>
      <c r="ACQ27" s="18"/>
      <c r="ACR27" s="18"/>
      <c r="ACS27" s="18"/>
      <c r="ACT27" s="18"/>
      <c r="ACU27" s="18"/>
      <c r="ACV27" s="18"/>
      <c r="ACW27" s="18"/>
      <c r="ACX27" s="18"/>
      <c r="ACY27" s="18"/>
      <c r="ACZ27" s="18"/>
      <c r="ADA27" s="18"/>
      <c r="ADB27" s="18"/>
      <c r="ADC27" s="18"/>
      <c r="ADD27" s="18"/>
      <c r="ADE27" s="18"/>
      <c r="ADF27" s="18"/>
      <c r="ADG27" s="18"/>
      <c r="ADH27" s="18"/>
      <c r="ADI27" s="18"/>
      <c r="ADJ27" s="18"/>
      <c r="ADK27" s="18"/>
      <c r="ADL27" s="18"/>
      <c r="ADM27" s="18"/>
      <c r="ADN27" s="18"/>
      <c r="ADO27" s="18"/>
      <c r="ADP27" s="18"/>
      <c r="ADQ27" s="18"/>
      <c r="ADR27" s="18"/>
      <c r="ADS27" s="18"/>
      <c r="ADT27" s="18"/>
      <c r="ADU27" s="18"/>
      <c r="ADV27" s="18"/>
      <c r="ADW27" s="18"/>
      <c r="ADX27" s="18"/>
      <c r="ADY27" s="18"/>
      <c r="ADZ27" s="18"/>
      <c r="AEA27" s="18"/>
      <c r="AEB27" s="18"/>
      <c r="AEC27" s="18"/>
      <c r="AED27" s="18"/>
      <c r="AEE27" s="18"/>
      <c r="AEF27" s="18"/>
      <c r="AEG27" s="18"/>
      <c r="AEH27" s="18"/>
      <c r="AEI27" s="18"/>
      <c r="AEJ27" s="18"/>
      <c r="AEK27" s="18"/>
      <c r="AEL27" s="18"/>
      <c r="AEM27" s="18"/>
      <c r="AEN27" s="18"/>
      <c r="AEO27" s="18"/>
      <c r="AEP27" s="18"/>
      <c r="AEQ27" s="18"/>
      <c r="AER27" s="18"/>
      <c r="AES27" s="18"/>
      <c r="AET27" s="18"/>
      <c r="AEU27" s="18"/>
      <c r="AEV27" s="18"/>
      <c r="AEW27" s="18"/>
      <c r="AEX27" s="18"/>
      <c r="AEY27" s="18"/>
      <c r="AEZ27" s="18"/>
      <c r="AFA27" s="18"/>
      <c r="AFB27" s="18"/>
      <c r="AFC27" s="18"/>
      <c r="AFD27" s="18"/>
      <c r="AFE27" s="18"/>
      <c r="AFF27" s="18"/>
      <c r="AFG27" s="18"/>
      <c r="AFH27" s="18"/>
      <c r="AFI27" s="18"/>
      <c r="AFJ27" s="18"/>
      <c r="AFK27" s="18"/>
      <c r="AFL27" s="18"/>
      <c r="AFM27" s="18"/>
      <c r="AFN27" s="18"/>
      <c r="AFO27" s="18"/>
      <c r="AFP27" s="18"/>
      <c r="AFQ27" s="18"/>
      <c r="AFR27" s="18"/>
      <c r="AFS27" s="18"/>
      <c r="AFT27" s="18"/>
      <c r="AFU27" s="18"/>
      <c r="AFV27" s="18"/>
      <c r="AFW27" s="18"/>
      <c r="AFX27" s="18"/>
      <c r="AFY27" s="18"/>
      <c r="AFZ27" s="18"/>
      <c r="AGA27" s="18"/>
      <c r="AGB27" s="18"/>
      <c r="AGC27" s="18"/>
      <c r="AGD27" s="18"/>
      <c r="AGE27" s="18"/>
      <c r="AGF27" s="18"/>
      <c r="AGG27" s="18"/>
      <c r="AGH27" s="18"/>
      <c r="AGI27" s="18"/>
      <c r="AGJ27" s="18"/>
      <c r="AGK27" s="18"/>
      <c r="AGL27" s="18"/>
      <c r="AGM27" s="18"/>
      <c r="AGN27" s="18"/>
      <c r="AGO27" s="18"/>
      <c r="AGP27" s="18"/>
      <c r="AGQ27" s="18"/>
      <c r="AGR27" s="18"/>
      <c r="AGS27" s="18"/>
      <c r="AGT27" s="18"/>
      <c r="AGU27" s="18"/>
      <c r="AGV27" s="18"/>
      <c r="AGW27" s="18"/>
      <c r="AGX27" s="18"/>
      <c r="AGY27" s="18"/>
      <c r="AGZ27" s="18"/>
      <c r="AHA27" s="18"/>
      <c r="AHB27" s="18"/>
      <c r="AHC27" s="18"/>
      <c r="AHD27" s="18"/>
      <c r="AHE27" s="18"/>
      <c r="AHF27" s="18"/>
      <c r="AHG27" s="18"/>
      <c r="AHH27" s="18"/>
      <c r="AHI27" s="18"/>
      <c r="AHJ27" s="18"/>
      <c r="AHK27" s="18"/>
      <c r="AHL27" s="18"/>
      <c r="AHM27" s="18"/>
      <c r="AHN27" s="18"/>
      <c r="AHO27" s="18"/>
      <c r="AHP27" s="18"/>
      <c r="AHQ27" s="18"/>
      <c r="AHR27" s="18"/>
      <c r="AHS27" s="18"/>
      <c r="AHT27" s="18"/>
      <c r="AHU27" s="18"/>
      <c r="AHV27" s="18"/>
      <c r="AHW27" s="18"/>
      <c r="AHX27" s="18"/>
      <c r="AHY27" s="18"/>
      <c r="AHZ27" s="18"/>
      <c r="AIA27" s="18"/>
      <c r="AIB27" s="18"/>
      <c r="AIC27" s="18"/>
      <c r="AID27" s="18"/>
      <c r="AIE27" s="18"/>
      <c r="AIF27" s="18"/>
      <c r="AIG27" s="18"/>
      <c r="AIH27" s="18"/>
      <c r="AII27" s="18"/>
      <c r="AIJ27" s="18"/>
      <c r="AIK27" s="18"/>
      <c r="AIL27" s="18"/>
      <c r="AIM27" s="18"/>
      <c r="AIN27" s="18"/>
      <c r="AIO27" s="18"/>
      <c r="AIP27" s="18"/>
      <c r="AIQ27" s="18"/>
      <c r="AIR27" s="18"/>
      <c r="AIS27" s="18"/>
      <c r="AIT27" s="18"/>
      <c r="AIU27" s="18"/>
      <c r="AIV27" s="18"/>
      <c r="AIW27" s="18"/>
      <c r="AIX27" s="18"/>
      <c r="AIY27" s="18"/>
      <c r="AIZ27" s="18"/>
      <c r="AJA27" s="18"/>
      <c r="AJB27" s="18"/>
      <c r="AJC27" s="18"/>
      <c r="AJD27" s="18"/>
      <c r="AJE27" s="18"/>
      <c r="AJF27" s="18"/>
      <c r="AJG27" s="18"/>
      <c r="AJH27" s="18"/>
      <c r="AJI27" s="18"/>
      <c r="AJJ27" s="18"/>
      <c r="AJK27" s="18"/>
      <c r="AJL27" s="18"/>
      <c r="AJM27" s="18"/>
      <c r="AJN27" s="18"/>
      <c r="AJO27" s="18"/>
      <c r="AJP27" s="18"/>
      <c r="AJQ27" s="18"/>
      <c r="AJR27" s="18"/>
      <c r="AJS27" s="18"/>
      <c r="AJT27" s="18"/>
      <c r="AJU27" s="18"/>
      <c r="AJV27" s="18"/>
      <c r="AJW27" s="18"/>
      <c r="AJX27" s="18"/>
      <c r="AJY27" s="18"/>
      <c r="AJZ27" s="18"/>
      <c r="AKA27" s="18"/>
      <c r="AKB27" s="18"/>
      <c r="AKC27" s="18"/>
      <c r="AKD27" s="18"/>
      <c r="AKE27" s="18"/>
      <c r="AKF27" s="18"/>
      <c r="AKG27" s="18"/>
      <c r="AKH27" s="18"/>
      <c r="AKI27" s="18"/>
      <c r="AKJ27" s="18"/>
      <c r="AKK27" s="18"/>
      <c r="AKL27" s="18"/>
      <c r="AKM27" s="18"/>
      <c r="AKN27" s="18"/>
      <c r="AKO27" s="18"/>
      <c r="AKP27" s="18"/>
      <c r="AKQ27" s="18"/>
      <c r="AKR27" s="18"/>
      <c r="AKS27" s="18"/>
      <c r="AKT27" s="18"/>
      <c r="AKU27" s="18"/>
      <c r="AKV27" s="18"/>
      <c r="AKW27" s="18"/>
      <c r="AKX27" s="18"/>
      <c r="AKY27" s="18"/>
      <c r="AKZ27" s="18"/>
      <c r="ALA27" s="18"/>
      <c r="ALB27" s="18"/>
      <c r="ALC27" s="18"/>
      <c r="ALD27" s="18"/>
      <c r="ALE27" s="18"/>
      <c r="ALF27" s="18"/>
      <c r="ALG27" s="18"/>
      <c r="ALH27" s="18"/>
      <c r="ALI27" s="18"/>
      <c r="ALJ27" s="18"/>
      <c r="ALK27" s="18"/>
      <c r="ALL27" s="18"/>
      <c r="ALM27" s="18"/>
      <c r="ALN27" s="18"/>
      <c r="ALO27" s="18"/>
      <c r="ALP27" s="18"/>
      <c r="ALQ27" s="18"/>
      <c r="ALR27" s="18"/>
      <c r="ALS27" s="18"/>
      <c r="ALT27" s="18"/>
    </row>
    <row r="28" spans="1:1008" ht="24">
      <c r="A28" s="251" t="s">
        <v>7</v>
      </c>
      <c r="B28" s="290">
        <v>91953</v>
      </c>
      <c r="C28" s="278" t="str">
        <f>(IF($A28="SINAPI",INDEX(SINAPI_NOV2020_NDES!$A$7:$H$6703,MATCH($B28,SINAPI_NOV2020_NDES!$A$7:$A$6703,0),2),IF($A28="GOINFRA",INDEX(#REF!,MATCH($B28,#REF!,0),2),(INDEX(COMPOS!$A$4:$G$390,MATCH($B28,COMPOS!$A$4:A$390,0),2)))))</f>
        <v>INTERRUPTOR SIMPLES (1 MÓDULO), 10A/250V, INCLUINDO SUPORTE E PLACA - FORNECIMENTO E INSTALAÇÃO. AF_12/2015</v>
      </c>
      <c r="D28" s="274" t="str">
        <f>(IF($A28="SINAPI",INDEX(SINAPI_NOV2020_NDES!$A$7:$H$6790,MATCH($B28,SINAPI_NOV2020_NDES!$A$7:$A$6790,0),3),(INDEX(COMPOS!$A$4:$G$5000,MATCH($B28,COMPOS!$A$4:$A$5000,0),3))))</f>
        <v>UN</v>
      </c>
      <c r="E28" s="314">
        <v>2</v>
      </c>
      <c r="F28" s="279">
        <f>(IF($A28="SINAPI",INDEX(SINAPI_NOV2020_NDES!$A$7:$H$6703,MATCH($B28,SINAPI_NOV2020_NDES!$A$7:$A$6703,0),5),(INDEX(COMPOS!$A$4:$G$801,MATCH($B28,COMPOS!$A$4:A$801,0),4))))</f>
        <v>8.7899999999999991</v>
      </c>
      <c r="G28" s="280">
        <f>(IF($A28="SINAPI",INDEX(SINAPI_NOV2020_NDES!$A$7:$H$6703,MATCH($B28,SINAPI_NOV2020_NDES!$A$7:$A$6703,0),6),(INDEX(COMPOS!$A$4:$G$801,MATCH($B28,COMPOS!$A$4:A$801,0),5))))</f>
        <v>9.4499999999999993</v>
      </c>
      <c r="H28" s="280">
        <f>(IF($A28="SINAPI",INDEX(SINAPI_NOV2020_NDES!$A$7:$H$6703,MATCH($B28,SINAPI_NOV2020_NDES!$A$7:$A$6703,0),7),(INDEX(COMPOS!$A$4:$G$801,MATCH($B28,COMPOS!$A$4:A$801,0),6))))</f>
        <v>0</v>
      </c>
      <c r="I28" s="279">
        <f t="shared" si="8"/>
        <v>18.239999999999998</v>
      </c>
      <c r="J28" s="276">
        <f t="shared" si="9"/>
        <v>36.479999999999997</v>
      </c>
      <c r="K28" s="191"/>
      <c r="L28" s="191"/>
      <c r="M28" s="191"/>
      <c r="N28" s="191"/>
      <c r="O28" s="262"/>
      <c r="P28" s="263"/>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c r="FQ28" s="18"/>
      <c r="FR28" s="18"/>
      <c r="FS28" s="18"/>
      <c r="FT28" s="18"/>
      <c r="FU28" s="18"/>
      <c r="FV28" s="18"/>
      <c r="FW28" s="18"/>
      <c r="FX28" s="18"/>
      <c r="FY28" s="18"/>
      <c r="FZ28" s="18"/>
      <c r="GA28" s="18"/>
      <c r="GB28" s="18"/>
      <c r="GC28" s="18"/>
      <c r="GD28" s="18"/>
      <c r="GE28" s="18"/>
      <c r="GF28" s="18"/>
      <c r="GG28" s="18"/>
      <c r="GH28" s="18"/>
      <c r="GI28" s="18"/>
      <c r="GJ28" s="18"/>
      <c r="GK28" s="18"/>
      <c r="GL28" s="18"/>
      <c r="GM28" s="18"/>
      <c r="GN28" s="18"/>
      <c r="GO28" s="18"/>
      <c r="GP28" s="18"/>
      <c r="GQ28" s="18"/>
      <c r="GR28" s="18"/>
      <c r="GS28" s="18"/>
      <c r="GT28" s="18"/>
      <c r="GU28" s="18"/>
      <c r="GV28" s="18"/>
      <c r="GW28" s="18"/>
      <c r="GX28" s="18"/>
      <c r="GY28" s="18"/>
      <c r="GZ28" s="18"/>
      <c r="HA28" s="18"/>
      <c r="HB28" s="18"/>
      <c r="HC28" s="18"/>
      <c r="HD28" s="18"/>
      <c r="HE28" s="18"/>
      <c r="HF28" s="18"/>
      <c r="HG28" s="18"/>
      <c r="HH28" s="18"/>
      <c r="HI28" s="18"/>
      <c r="HJ28" s="18"/>
      <c r="HK28" s="18"/>
      <c r="HL28" s="18"/>
      <c r="HM28" s="18"/>
      <c r="HN28" s="18"/>
      <c r="HO28" s="18"/>
      <c r="HP28" s="18"/>
      <c r="HQ28" s="18"/>
      <c r="HR28" s="18"/>
      <c r="HS28" s="18"/>
      <c r="HT28" s="18"/>
      <c r="HU28" s="18"/>
      <c r="HV28" s="18"/>
      <c r="HW28" s="18"/>
      <c r="HX28" s="18"/>
      <c r="HY28" s="18"/>
      <c r="HZ28" s="18"/>
      <c r="IA28" s="18"/>
      <c r="IB28" s="18"/>
      <c r="IC28" s="18"/>
      <c r="ID28" s="18"/>
      <c r="IE28" s="18"/>
      <c r="IF28" s="18"/>
      <c r="IG28" s="18"/>
      <c r="IH28" s="18"/>
      <c r="II28" s="18"/>
      <c r="IJ28" s="18"/>
      <c r="IK28" s="18"/>
      <c r="IL28" s="18"/>
      <c r="IM28" s="18"/>
      <c r="IN28" s="18"/>
      <c r="IO28" s="18"/>
      <c r="IP28" s="18"/>
      <c r="IQ28" s="18"/>
      <c r="IR28" s="18"/>
      <c r="IS28" s="18"/>
      <c r="IT28" s="18"/>
      <c r="IU28" s="18"/>
      <c r="IV28" s="18"/>
      <c r="IW28" s="18"/>
      <c r="IX28" s="18"/>
      <c r="IY28" s="18"/>
      <c r="IZ28" s="18"/>
      <c r="JA28" s="18"/>
      <c r="JB28" s="18"/>
      <c r="JC28" s="18"/>
      <c r="JD28" s="18"/>
      <c r="JE28" s="18"/>
      <c r="JF28" s="18"/>
      <c r="JG28" s="18"/>
      <c r="JH28" s="18"/>
      <c r="JI28" s="18"/>
      <c r="JJ28" s="18"/>
      <c r="JK28" s="18"/>
      <c r="JL28" s="18"/>
      <c r="JM28" s="18"/>
      <c r="JN28" s="18"/>
      <c r="JO28" s="18"/>
      <c r="JP28" s="18"/>
      <c r="JQ28" s="18"/>
      <c r="JR28" s="18"/>
      <c r="JS28" s="18"/>
      <c r="JT28" s="18"/>
      <c r="JU28" s="18"/>
      <c r="JV28" s="18"/>
      <c r="JW28" s="18"/>
      <c r="JX28" s="18"/>
      <c r="JY28" s="18"/>
      <c r="JZ28" s="18"/>
      <c r="KA28" s="18"/>
      <c r="KB28" s="18"/>
      <c r="KC28" s="18"/>
      <c r="KD28" s="18"/>
      <c r="KE28" s="18"/>
      <c r="KF28" s="18"/>
      <c r="KG28" s="18"/>
      <c r="KH28" s="18"/>
      <c r="KI28" s="18"/>
      <c r="KJ28" s="18"/>
      <c r="KK28" s="18"/>
      <c r="KL28" s="18"/>
      <c r="KM28" s="18"/>
      <c r="KN28" s="18"/>
      <c r="KO28" s="18"/>
      <c r="KP28" s="18"/>
      <c r="KQ28" s="18"/>
      <c r="KR28" s="18"/>
      <c r="KS28" s="18"/>
      <c r="KT28" s="18"/>
      <c r="KU28" s="18"/>
      <c r="KV28" s="18"/>
      <c r="KW28" s="18"/>
      <c r="KX28" s="18"/>
      <c r="KY28" s="18"/>
      <c r="KZ28" s="18"/>
      <c r="LA28" s="18"/>
      <c r="LB28" s="18"/>
      <c r="LC28" s="18"/>
      <c r="LD28" s="18"/>
      <c r="LE28" s="18"/>
      <c r="LF28" s="18"/>
      <c r="LG28" s="18"/>
      <c r="LH28" s="18"/>
      <c r="LI28" s="18"/>
      <c r="LJ28" s="18"/>
      <c r="LK28" s="18"/>
      <c r="LL28" s="18"/>
      <c r="LM28" s="18"/>
      <c r="LN28" s="18"/>
      <c r="LO28" s="18"/>
      <c r="LP28" s="18"/>
      <c r="LQ28" s="18"/>
      <c r="LR28" s="18"/>
      <c r="LS28" s="18"/>
      <c r="LT28" s="18"/>
      <c r="LU28" s="18"/>
      <c r="LV28" s="18"/>
      <c r="LW28" s="18"/>
      <c r="LX28" s="18"/>
      <c r="LY28" s="18"/>
      <c r="LZ28" s="18"/>
      <c r="MA28" s="18"/>
      <c r="MB28" s="18"/>
      <c r="MC28" s="18"/>
      <c r="MD28" s="18"/>
      <c r="ME28" s="18"/>
      <c r="MF28" s="18"/>
      <c r="MG28" s="18"/>
      <c r="MH28" s="18"/>
      <c r="MI28" s="18"/>
      <c r="MJ28" s="18"/>
      <c r="MK28" s="18"/>
      <c r="ML28" s="18"/>
      <c r="MM28" s="18"/>
      <c r="MN28" s="18"/>
      <c r="MO28" s="18"/>
      <c r="MP28" s="18"/>
      <c r="MQ28" s="18"/>
      <c r="MR28" s="18"/>
      <c r="MS28" s="18"/>
      <c r="MT28" s="18"/>
      <c r="MU28" s="18"/>
      <c r="MV28" s="18"/>
      <c r="MW28" s="18"/>
      <c r="MX28" s="18"/>
      <c r="MY28" s="18"/>
      <c r="MZ28" s="18"/>
      <c r="NA28" s="18"/>
      <c r="NB28" s="18"/>
      <c r="NC28" s="18"/>
      <c r="ND28" s="18"/>
      <c r="NE28" s="18"/>
      <c r="NF28" s="18"/>
      <c r="NG28" s="18"/>
      <c r="NH28" s="18"/>
      <c r="NI28" s="18"/>
      <c r="NJ28" s="18"/>
      <c r="NK28" s="18"/>
      <c r="NL28" s="18"/>
      <c r="NM28" s="18"/>
      <c r="NN28" s="18"/>
      <c r="NO28" s="18"/>
      <c r="NP28" s="18"/>
      <c r="NQ28" s="18"/>
      <c r="NR28" s="18"/>
      <c r="NS28" s="18"/>
      <c r="NT28" s="18"/>
      <c r="NU28" s="18"/>
      <c r="NV28" s="18"/>
      <c r="NW28" s="18"/>
      <c r="NX28" s="18"/>
      <c r="NY28" s="18"/>
      <c r="NZ28" s="18"/>
      <c r="OA28" s="18"/>
      <c r="OB28" s="18"/>
      <c r="OC28" s="18"/>
      <c r="OD28" s="18"/>
      <c r="OE28" s="18"/>
      <c r="OF28" s="18"/>
      <c r="OG28" s="18"/>
      <c r="OH28" s="18"/>
      <c r="OI28" s="18"/>
      <c r="OJ28" s="18"/>
      <c r="OK28" s="18"/>
      <c r="OL28" s="18"/>
      <c r="OM28" s="18"/>
      <c r="ON28" s="18"/>
      <c r="OO28" s="18"/>
      <c r="OP28" s="18"/>
      <c r="OQ28" s="18"/>
      <c r="OR28" s="18"/>
      <c r="OS28" s="18"/>
      <c r="OT28" s="18"/>
      <c r="OU28" s="18"/>
      <c r="OV28" s="18"/>
      <c r="OW28" s="18"/>
      <c r="OX28" s="18"/>
      <c r="OY28" s="18"/>
      <c r="OZ28" s="18"/>
      <c r="PA28" s="18"/>
      <c r="PB28" s="18"/>
      <c r="PC28" s="18"/>
      <c r="PD28" s="18"/>
      <c r="PE28" s="18"/>
      <c r="PF28" s="18"/>
      <c r="PG28" s="18"/>
      <c r="PH28" s="18"/>
      <c r="PI28" s="18"/>
      <c r="PJ28" s="18"/>
      <c r="PK28" s="18"/>
      <c r="PL28" s="18"/>
      <c r="PM28" s="18"/>
      <c r="PN28" s="18"/>
      <c r="PO28" s="18"/>
      <c r="PP28" s="18"/>
      <c r="PQ28" s="18"/>
      <c r="PR28" s="18"/>
      <c r="PS28" s="18"/>
      <c r="PT28" s="18"/>
      <c r="PU28" s="18"/>
      <c r="PV28" s="18"/>
      <c r="PW28" s="18"/>
      <c r="PX28" s="18"/>
      <c r="PY28" s="18"/>
      <c r="PZ28" s="18"/>
      <c r="QA28" s="18"/>
      <c r="QB28" s="18"/>
      <c r="QC28" s="18"/>
      <c r="QD28" s="18"/>
      <c r="QE28" s="18"/>
      <c r="QF28" s="18"/>
      <c r="QG28" s="18"/>
      <c r="QH28" s="18"/>
      <c r="QI28" s="18"/>
      <c r="QJ28" s="18"/>
      <c r="QK28" s="18"/>
      <c r="QL28" s="18"/>
      <c r="QM28" s="18"/>
      <c r="QN28" s="18"/>
      <c r="QO28" s="18"/>
      <c r="QP28" s="18"/>
      <c r="QQ28" s="18"/>
      <c r="QR28" s="18"/>
      <c r="QS28" s="18"/>
      <c r="QT28" s="18"/>
      <c r="QU28" s="18"/>
      <c r="QV28" s="18"/>
      <c r="QW28" s="18"/>
      <c r="QX28" s="18"/>
      <c r="QY28" s="18"/>
      <c r="QZ28" s="18"/>
      <c r="RA28" s="18"/>
      <c r="RB28" s="18"/>
      <c r="RC28" s="18"/>
      <c r="RD28" s="18"/>
      <c r="RE28" s="18"/>
      <c r="RF28" s="18"/>
      <c r="RG28" s="18"/>
      <c r="RH28" s="18"/>
      <c r="RI28" s="18"/>
      <c r="RJ28" s="18"/>
      <c r="RK28" s="18"/>
      <c r="RL28" s="18"/>
      <c r="RM28" s="18"/>
      <c r="RN28" s="18"/>
      <c r="RO28" s="18"/>
      <c r="RP28" s="18"/>
      <c r="RQ28" s="18"/>
      <c r="RR28" s="18"/>
      <c r="RS28" s="18"/>
      <c r="RT28" s="18"/>
      <c r="RU28" s="18"/>
      <c r="RV28" s="18"/>
      <c r="RW28" s="18"/>
      <c r="RX28" s="18"/>
      <c r="RY28" s="18"/>
      <c r="RZ28" s="18"/>
      <c r="SA28" s="18"/>
      <c r="SB28" s="18"/>
      <c r="SC28" s="18"/>
      <c r="SD28" s="18"/>
      <c r="SE28" s="18"/>
      <c r="SF28" s="18"/>
      <c r="SG28" s="18"/>
      <c r="SH28" s="18"/>
      <c r="SI28" s="18"/>
      <c r="SJ28" s="18"/>
      <c r="SK28" s="18"/>
      <c r="SL28" s="18"/>
      <c r="SM28" s="18"/>
      <c r="SN28" s="18"/>
      <c r="SO28" s="18"/>
      <c r="SP28" s="18"/>
      <c r="SQ28" s="18"/>
      <c r="SR28" s="18"/>
      <c r="SS28" s="18"/>
      <c r="ST28" s="18"/>
      <c r="SU28" s="18"/>
      <c r="SV28" s="18"/>
      <c r="SW28" s="18"/>
      <c r="SX28" s="18"/>
      <c r="SY28" s="18"/>
      <c r="SZ28" s="18"/>
      <c r="TA28" s="18"/>
      <c r="TB28" s="18"/>
      <c r="TC28" s="18"/>
      <c r="TD28" s="18"/>
      <c r="TE28" s="18"/>
      <c r="TF28" s="18"/>
      <c r="TG28" s="18"/>
      <c r="TH28" s="18"/>
      <c r="TI28" s="18"/>
      <c r="TJ28" s="18"/>
      <c r="TK28" s="18"/>
      <c r="TL28" s="18"/>
      <c r="TM28" s="18"/>
      <c r="TN28" s="18"/>
      <c r="TO28" s="18"/>
      <c r="TP28" s="18"/>
      <c r="TQ28" s="18"/>
      <c r="TR28" s="18"/>
      <c r="TS28" s="18"/>
      <c r="TT28" s="18"/>
      <c r="TU28" s="18"/>
      <c r="TV28" s="18"/>
      <c r="TW28" s="18"/>
      <c r="TX28" s="18"/>
      <c r="TY28" s="18"/>
      <c r="TZ28" s="18"/>
      <c r="UA28" s="18"/>
      <c r="UB28" s="18"/>
      <c r="UC28" s="18"/>
      <c r="UD28" s="18"/>
      <c r="UE28" s="18"/>
      <c r="UF28" s="18"/>
      <c r="UG28" s="18"/>
      <c r="UH28" s="18"/>
      <c r="UI28" s="18"/>
      <c r="UJ28" s="18"/>
      <c r="UK28" s="18"/>
      <c r="UL28" s="18"/>
      <c r="UM28" s="18"/>
      <c r="UN28" s="18"/>
      <c r="UO28" s="18"/>
      <c r="UP28" s="18"/>
      <c r="UQ28" s="18"/>
      <c r="UR28" s="18"/>
      <c r="US28" s="18"/>
      <c r="UT28" s="18"/>
      <c r="UU28" s="18"/>
      <c r="UV28" s="18"/>
      <c r="UW28" s="18"/>
      <c r="UX28" s="18"/>
      <c r="UY28" s="18"/>
      <c r="UZ28" s="18"/>
      <c r="VA28" s="18"/>
      <c r="VB28" s="18"/>
      <c r="VC28" s="18"/>
      <c r="VD28" s="18"/>
      <c r="VE28" s="18"/>
      <c r="VF28" s="18"/>
      <c r="VG28" s="18"/>
      <c r="VH28" s="18"/>
      <c r="VI28" s="18"/>
      <c r="VJ28" s="18"/>
      <c r="VK28" s="18"/>
      <c r="VL28" s="18"/>
      <c r="VM28" s="18"/>
      <c r="VN28" s="18"/>
      <c r="VO28" s="18"/>
      <c r="VP28" s="18"/>
      <c r="VQ28" s="18"/>
      <c r="VR28" s="18"/>
      <c r="VS28" s="18"/>
      <c r="VT28" s="18"/>
      <c r="VU28" s="18"/>
      <c r="VV28" s="18"/>
      <c r="VW28" s="18"/>
      <c r="VX28" s="18"/>
      <c r="VY28" s="18"/>
      <c r="VZ28" s="18"/>
      <c r="WA28" s="18"/>
      <c r="WB28" s="18"/>
      <c r="WC28" s="18"/>
      <c r="WD28" s="18"/>
      <c r="WE28" s="18"/>
      <c r="WF28" s="18"/>
      <c r="WG28" s="18"/>
      <c r="WH28" s="18"/>
      <c r="WI28" s="18"/>
      <c r="WJ28" s="18"/>
      <c r="WK28" s="18"/>
      <c r="WL28" s="18"/>
      <c r="WM28" s="18"/>
      <c r="WN28" s="18"/>
      <c r="WO28" s="18"/>
      <c r="WP28" s="18"/>
      <c r="WQ28" s="18"/>
      <c r="WR28" s="18"/>
      <c r="WS28" s="18"/>
      <c r="WT28" s="18"/>
      <c r="WU28" s="18"/>
      <c r="WV28" s="18"/>
      <c r="WW28" s="18"/>
      <c r="WX28" s="18"/>
      <c r="WY28" s="18"/>
      <c r="WZ28" s="18"/>
      <c r="XA28" s="18"/>
      <c r="XB28" s="18"/>
      <c r="XC28" s="18"/>
      <c r="XD28" s="18"/>
      <c r="XE28" s="18"/>
      <c r="XF28" s="18"/>
      <c r="XG28" s="18"/>
      <c r="XH28" s="18"/>
      <c r="XI28" s="18"/>
      <c r="XJ28" s="18"/>
      <c r="XK28" s="18"/>
      <c r="XL28" s="18"/>
      <c r="XM28" s="18"/>
      <c r="XN28" s="18"/>
      <c r="XO28" s="18"/>
      <c r="XP28" s="18"/>
      <c r="XQ28" s="18"/>
      <c r="XR28" s="18"/>
      <c r="XS28" s="18"/>
      <c r="XT28" s="18"/>
      <c r="XU28" s="18"/>
      <c r="XV28" s="18"/>
      <c r="XW28" s="18"/>
      <c r="XX28" s="18"/>
      <c r="XY28" s="18"/>
      <c r="XZ28" s="18"/>
      <c r="YA28" s="18"/>
      <c r="YB28" s="18"/>
      <c r="YC28" s="18"/>
      <c r="YD28" s="18"/>
      <c r="YE28" s="18"/>
      <c r="YF28" s="18"/>
      <c r="YG28" s="18"/>
      <c r="YH28" s="18"/>
      <c r="YI28" s="18"/>
      <c r="YJ28" s="18"/>
      <c r="YK28" s="18"/>
      <c r="YL28" s="18"/>
      <c r="YM28" s="18"/>
      <c r="YN28" s="18"/>
      <c r="YO28" s="18"/>
      <c r="YP28" s="18"/>
      <c r="YQ28" s="18"/>
      <c r="YR28" s="18"/>
      <c r="YS28" s="18"/>
      <c r="YT28" s="18"/>
      <c r="YU28" s="18"/>
      <c r="YV28" s="18"/>
      <c r="YW28" s="18"/>
      <c r="YX28" s="18"/>
      <c r="YY28" s="18"/>
      <c r="YZ28" s="18"/>
      <c r="ZA28" s="18"/>
      <c r="ZB28" s="18"/>
      <c r="ZC28" s="18"/>
      <c r="ZD28" s="18"/>
      <c r="ZE28" s="18"/>
      <c r="ZF28" s="18"/>
      <c r="ZG28" s="18"/>
      <c r="ZH28" s="18"/>
      <c r="ZI28" s="18"/>
      <c r="ZJ28" s="18"/>
      <c r="ZK28" s="18"/>
      <c r="ZL28" s="18"/>
      <c r="ZM28" s="18"/>
      <c r="ZN28" s="18"/>
      <c r="ZO28" s="18"/>
      <c r="ZP28" s="18"/>
      <c r="ZQ28" s="18"/>
      <c r="ZR28" s="18"/>
      <c r="ZS28" s="18"/>
      <c r="ZT28" s="18"/>
      <c r="ZU28" s="18"/>
      <c r="ZV28" s="18"/>
      <c r="ZW28" s="18"/>
      <c r="ZX28" s="18"/>
      <c r="ZY28" s="18"/>
      <c r="ZZ28" s="18"/>
      <c r="AAA28" s="18"/>
      <c r="AAB28" s="18"/>
      <c r="AAC28" s="18"/>
      <c r="AAD28" s="18"/>
      <c r="AAE28" s="18"/>
      <c r="AAF28" s="18"/>
      <c r="AAG28" s="18"/>
      <c r="AAH28" s="18"/>
      <c r="AAI28" s="18"/>
      <c r="AAJ28" s="18"/>
      <c r="AAK28" s="18"/>
      <c r="AAL28" s="18"/>
      <c r="AAM28" s="18"/>
      <c r="AAN28" s="18"/>
      <c r="AAO28" s="18"/>
      <c r="AAP28" s="18"/>
      <c r="AAQ28" s="18"/>
      <c r="AAR28" s="18"/>
      <c r="AAS28" s="18"/>
      <c r="AAT28" s="18"/>
      <c r="AAU28" s="18"/>
      <c r="AAV28" s="18"/>
      <c r="AAW28" s="18"/>
      <c r="AAX28" s="18"/>
      <c r="AAY28" s="18"/>
      <c r="AAZ28" s="18"/>
      <c r="ABA28" s="18"/>
      <c r="ABB28" s="18"/>
      <c r="ABC28" s="18"/>
      <c r="ABD28" s="18"/>
      <c r="ABE28" s="18"/>
      <c r="ABF28" s="18"/>
      <c r="ABG28" s="18"/>
      <c r="ABH28" s="18"/>
      <c r="ABI28" s="18"/>
      <c r="ABJ28" s="18"/>
      <c r="ABK28" s="18"/>
      <c r="ABL28" s="18"/>
      <c r="ABM28" s="18"/>
      <c r="ABN28" s="18"/>
      <c r="ABO28" s="18"/>
      <c r="ABP28" s="18"/>
      <c r="ABQ28" s="18"/>
      <c r="ABR28" s="18"/>
      <c r="ABS28" s="18"/>
      <c r="ABT28" s="18"/>
      <c r="ABU28" s="18"/>
      <c r="ABV28" s="18"/>
      <c r="ABW28" s="18"/>
      <c r="ABX28" s="18"/>
      <c r="ABY28" s="18"/>
      <c r="ABZ28" s="18"/>
      <c r="ACA28" s="18"/>
      <c r="ACB28" s="18"/>
      <c r="ACC28" s="18"/>
      <c r="ACD28" s="18"/>
      <c r="ACE28" s="18"/>
      <c r="ACF28" s="18"/>
      <c r="ACG28" s="18"/>
      <c r="ACH28" s="18"/>
      <c r="ACI28" s="18"/>
      <c r="ACJ28" s="18"/>
      <c r="ACK28" s="18"/>
      <c r="ACL28" s="18"/>
      <c r="ACM28" s="18"/>
      <c r="ACN28" s="18"/>
      <c r="ACO28" s="18"/>
      <c r="ACP28" s="18"/>
      <c r="ACQ28" s="18"/>
      <c r="ACR28" s="18"/>
      <c r="ACS28" s="18"/>
      <c r="ACT28" s="18"/>
      <c r="ACU28" s="18"/>
      <c r="ACV28" s="18"/>
      <c r="ACW28" s="18"/>
      <c r="ACX28" s="18"/>
      <c r="ACY28" s="18"/>
      <c r="ACZ28" s="18"/>
      <c r="ADA28" s="18"/>
      <c r="ADB28" s="18"/>
      <c r="ADC28" s="18"/>
      <c r="ADD28" s="18"/>
      <c r="ADE28" s="18"/>
      <c r="ADF28" s="18"/>
      <c r="ADG28" s="18"/>
      <c r="ADH28" s="18"/>
      <c r="ADI28" s="18"/>
      <c r="ADJ28" s="18"/>
      <c r="ADK28" s="18"/>
      <c r="ADL28" s="18"/>
      <c r="ADM28" s="18"/>
      <c r="ADN28" s="18"/>
      <c r="ADO28" s="18"/>
      <c r="ADP28" s="18"/>
      <c r="ADQ28" s="18"/>
      <c r="ADR28" s="18"/>
      <c r="ADS28" s="18"/>
      <c r="ADT28" s="18"/>
      <c r="ADU28" s="18"/>
      <c r="ADV28" s="18"/>
      <c r="ADW28" s="18"/>
      <c r="ADX28" s="18"/>
      <c r="ADY28" s="18"/>
      <c r="ADZ28" s="18"/>
      <c r="AEA28" s="18"/>
      <c r="AEB28" s="18"/>
      <c r="AEC28" s="18"/>
      <c r="AED28" s="18"/>
      <c r="AEE28" s="18"/>
      <c r="AEF28" s="18"/>
      <c r="AEG28" s="18"/>
      <c r="AEH28" s="18"/>
      <c r="AEI28" s="18"/>
      <c r="AEJ28" s="18"/>
      <c r="AEK28" s="18"/>
      <c r="AEL28" s="18"/>
      <c r="AEM28" s="18"/>
      <c r="AEN28" s="18"/>
      <c r="AEO28" s="18"/>
      <c r="AEP28" s="18"/>
      <c r="AEQ28" s="18"/>
      <c r="AER28" s="18"/>
      <c r="AES28" s="18"/>
      <c r="AET28" s="18"/>
      <c r="AEU28" s="18"/>
      <c r="AEV28" s="18"/>
      <c r="AEW28" s="18"/>
      <c r="AEX28" s="18"/>
      <c r="AEY28" s="18"/>
      <c r="AEZ28" s="18"/>
      <c r="AFA28" s="18"/>
      <c r="AFB28" s="18"/>
      <c r="AFC28" s="18"/>
      <c r="AFD28" s="18"/>
      <c r="AFE28" s="18"/>
      <c r="AFF28" s="18"/>
      <c r="AFG28" s="18"/>
      <c r="AFH28" s="18"/>
      <c r="AFI28" s="18"/>
      <c r="AFJ28" s="18"/>
      <c r="AFK28" s="18"/>
      <c r="AFL28" s="18"/>
      <c r="AFM28" s="18"/>
      <c r="AFN28" s="18"/>
      <c r="AFO28" s="18"/>
      <c r="AFP28" s="18"/>
      <c r="AFQ28" s="18"/>
      <c r="AFR28" s="18"/>
      <c r="AFS28" s="18"/>
      <c r="AFT28" s="18"/>
      <c r="AFU28" s="18"/>
      <c r="AFV28" s="18"/>
      <c r="AFW28" s="18"/>
      <c r="AFX28" s="18"/>
      <c r="AFY28" s="18"/>
      <c r="AFZ28" s="18"/>
      <c r="AGA28" s="18"/>
      <c r="AGB28" s="18"/>
      <c r="AGC28" s="18"/>
      <c r="AGD28" s="18"/>
      <c r="AGE28" s="18"/>
      <c r="AGF28" s="18"/>
      <c r="AGG28" s="18"/>
      <c r="AGH28" s="18"/>
      <c r="AGI28" s="18"/>
      <c r="AGJ28" s="18"/>
      <c r="AGK28" s="18"/>
      <c r="AGL28" s="18"/>
      <c r="AGM28" s="18"/>
      <c r="AGN28" s="18"/>
      <c r="AGO28" s="18"/>
      <c r="AGP28" s="18"/>
      <c r="AGQ28" s="18"/>
      <c r="AGR28" s="18"/>
      <c r="AGS28" s="18"/>
      <c r="AGT28" s="18"/>
      <c r="AGU28" s="18"/>
      <c r="AGV28" s="18"/>
      <c r="AGW28" s="18"/>
      <c r="AGX28" s="18"/>
      <c r="AGY28" s="18"/>
      <c r="AGZ28" s="18"/>
      <c r="AHA28" s="18"/>
      <c r="AHB28" s="18"/>
      <c r="AHC28" s="18"/>
      <c r="AHD28" s="18"/>
      <c r="AHE28" s="18"/>
      <c r="AHF28" s="18"/>
      <c r="AHG28" s="18"/>
      <c r="AHH28" s="18"/>
      <c r="AHI28" s="18"/>
      <c r="AHJ28" s="18"/>
      <c r="AHK28" s="18"/>
      <c r="AHL28" s="18"/>
      <c r="AHM28" s="18"/>
      <c r="AHN28" s="18"/>
      <c r="AHO28" s="18"/>
      <c r="AHP28" s="18"/>
      <c r="AHQ28" s="18"/>
      <c r="AHR28" s="18"/>
      <c r="AHS28" s="18"/>
      <c r="AHT28" s="18"/>
      <c r="AHU28" s="18"/>
      <c r="AHV28" s="18"/>
      <c r="AHW28" s="18"/>
      <c r="AHX28" s="18"/>
      <c r="AHY28" s="18"/>
      <c r="AHZ28" s="18"/>
      <c r="AIA28" s="18"/>
      <c r="AIB28" s="18"/>
      <c r="AIC28" s="18"/>
      <c r="AID28" s="18"/>
      <c r="AIE28" s="18"/>
      <c r="AIF28" s="18"/>
      <c r="AIG28" s="18"/>
      <c r="AIH28" s="18"/>
      <c r="AII28" s="18"/>
      <c r="AIJ28" s="18"/>
      <c r="AIK28" s="18"/>
      <c r="AIL28" s="18"/>
      <c r="AIM28" s="18"/>
      <c r="AIN28" s="18"/>
      <c r="AIO28" s="18"/>
      <c r="AIP28" s="18"/>
      <c r="AIQ28" s="18"/>
      <c r="AIR28" s="18"/>
      <c r="AIS28" s="18"/>
      <c r="AIT28" s="18"/>
      <c r="AIU28" s="18"/>
      <c r="AIV28" s="18"/>
      <c r="AIW28" s="18"/>
      <c r="AIX28" s="18"/>
      <c r="AIY28" s="18"/>
      <c r="AIZ28" s="18"/>
      <c r="AJA28" s="18"/>
      <c r="AJB28" s="18"/>
      <c r="AJC28" s="18"/>
      <c r="AJD28" s="18"/>
      <c r="AJE28" s="18"/>
      <c r="AJF28" s="18"/>
      <c r="AJG28" s="18"/>
      <c r="AJH28" s="18"/>
      <c r="AJI28" s="18"/>
      <c r="AJJ28" s="18"/>
      <c r="AJK28" s="18"/>
      <c r="AJL28" s="18"/>
      <c r="AJM28" s="18"/>
      <c r="AJN28" s="18"/>
      <c r="AJO28" s="18"/>
      <c r="AJP28" s="18"/>
      <c r="AJQ28" s="18"/>
      <c r="AJR28" s="18"/>
      <c r="AJS28" s="18"/>
      <c r="AJT28" s="18"/>
      <c r="AJU28" s="18"/>
      <c r="AJV28" s="18"/>
      <c r="AJW28" s="18"/>
      <c r="AJX28" s="18"/>
      <c r="AJY28" s="18"/>
      <c r="AJZ28" s="18"/>
      <c r="AKA28" s="18"/>
      <c r="AKB28" s="18"/>
      <c r="AKC28" s="18"/>
      <c r="AKD28" s="18"/>
      <c r="AKE28" s="18"/>
      <c r="AKF28" s="18"/>
      <c r="AKG28" s="18"/>
      <c r="AKH28" s="18"/>
      <c r="AKI28" s="18"/>
      <c r="AKJ28" s="18"/>
      <c r="AKK28" s="18"/>
      <c r="AKL28" s="18"/>
      <c r="AKM28" s="18"/>
      <c r="AKN28" s="18"/>
      <c r="AKO28" s="18"/>
      <c r="AKP28" s="18"/>
      <c r="AKQ28" s="18"/>
      <c r="AKR28" s="18"/>
      <c r="AKS28" s="18"/>
      <c r="AKT28" s="18"/>
      <c r="AKU28" s="18"/>
      <c r="AKV28" s="18"/>
      <c r="AKW28" s="18"/>
      <c r="AKX28" s="18"/>
      <c r="AKY28" s="18"/>
      <c r="AKZ28" s="18"/>
      <c r="ALA28" s="18"/>
      <c r="ALB28" s="18"/>
      <c r="ALC28" s="18"/>
      <c r="ALD28" s="18"/>
      <c r="ALE28" s="18"/>
      <c r="ALF28" s="18"/>
      <c r="ALG28" s="18"/>
      <c r="ALH28" s="18"/>
      <c r="ALI28" s="18"/>
      <c r="ALJ28" s="18"/>
      <c r="ALK28" s="18"/>
      <c r="ALL28" s="18"/>
      <c r="ALM28" s="18"/>
      <c r="ALN28" s="18"/>
      <c r="ALO28" s="18"/>
      <c r="ALP28" s="18"/>
      <c r="ALQ28" s="18"/>
      <c r="ALR28" s="18"/>
      <c r="ALS28" s="18"/>
      <c r="ALT28" s="18"/>
    </row>
    <row r="29" spans="1:1008">
      <c r="A29" s="251" t="s">
        <v>6307</v>
      </c>
      <c r="B29" s="290">
        <v>474</v>
      </c>
      <c r="C29" s="278" t="str">
        <f>(IF($A29="SINAPI",INDEX(SINAPI_NOV2020_NDES!$A$7:$H$6703,MATCH($B29,SINAPI_NOV2020_NDES!$A$7:$A$6703,0),2),IF($A29="GOINFRA",INDEX(#REF!,MATCH($B29,#REF!,0),2),(INDEX(COMPOS!$A$4:$G$390,MATCH($B29,COMPOS!$A$4:A$390,0),2)))))</f>
        <v>INTERRUPTOR DIFERENCIAL DR 25A - 30MA</v>
      </c>
      <c r="D29" s="274" t="str">
        <f>(IF($A29="SINAPI",INDEX(SINAPI_NOV2020_NDES!$A$7:$H$6790,MATCH($B29,SINAPI_NOV2020_NDES!$A$7:$A$6790,0),3),(INDEX(COMPOS!$A$4:$G$5000,MATCH($B29,COMPOS!$A$4:$A$5000,0),3))))</f>
        <v>UN</v>
      </c>
      <c r="E29" s="314">
        <v>8</v>
      </c>
      <c r="F29" s="279">
        <f>(IF($A29="SINAPI",INDEX(SINAPI_NOV2020_NDES!$A$7:$H$6703,MATCH($B29,SINAPI_NOV2020_NDES!$A$7:$A$6703,0),5),(INDEX(COMPOS!$A$4:$G$801,MATCH($B29,COMPOS!$A$4:A$801,0),4))))</f>
        <v>23.177999999999997</v>
      </c>
      <c r="G29" s="280">
        <f>(IF($A29="SINAPI",INDEX(SINAPI_NOV2020_NDES!$A$7:$H$6703,MATCH($B29,SINAPI_NOV2020_NDES!$A$7:$A$6703,0),6),(INDEX(COMPOS!$A$4:$G$801,MATCH($B29,COMPOS!$A$4:A$801,0),5))))</f>
        <v>129.58000000000001</v>
      </c>
      <c r="H29" s="280">
        <f>(IF($A29="SINAPI",INDEX(SINAPI_NOV2020_NDES!$A$7:$H$6703,MATCH($B29,SINAPI_NOV2020_NDES!$A$7:$A$6703,0),7),(INDEX(COMPOS!$A$4:$G$801,MATCH($B29,COMPOS!$A$4:A$801,0),6))))</f>
        <v>0</v>
      </c>
      <c r="I29" s="279">
        <f t="shared" si="8"/>
        <v>152.75800000000001</v>
      </c>
      <c r="J29" s="276">
        <f t="shared" si="9"/>
        <v>1222.0640000000001</v>
      </c>
      <c r="K29" s="191"/>
      <c r="L29" s="191"/>
      <c r="M29" s="191"/>
      <c r="N29" s="191"/>
      <c r="O29" s="262"/>
      <c r="P29" s="263"/>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c r="DN29" s="18"/>
      <c r="DO29" s="18"/>
      <c r="DP29" s="18"/>
      <c r="DQ29" s="18"/>
      <c r="DR29" s="18"/>
      <c r="DS29" s="18"/>
      <c r="DT29" s="18"/>
      <c r="DU29" s="18"/>
      <c r="DV29" s="18"/>
      <c r="DW29" s="18"/>
      <c r="DX29" s="18"/>
      <c r="DY29" s="18"/>
      <c r="DZ29" s="18"/>
      <c r="EA29" s="18"/>
      <c r="EB29" s="18"/>
      <c r="EC29" s="18"/>
      <c r="ED29" s="18"/>
      <c r="EE29" s="18"/>
      <c r="EF29" s="18"/>
      <c r="EG29" s="18"/>
      <c r="EH29" s="18"/>
      <c r="EI29" s="18"/>
      <c r="EJ29" s="18"/>
      <c r="EK29" s="18"/>
      <c r="EL29" s="18"/>
      <c r="EM29" s="18"/>
      <c r="EN29" s="18"/>
      <c r="EO29" s="18"/>
      <c r="EP29" s="18"/>
      <c r="EQ29" s="18"/>
      <c r="ER29" s="18"/>
      <c r="ES29" s="18"/>
      <c r="ET29" s="18"/>
      <c r="EU29" s="18"/>
      <c r="EV29" s="18"/>
      <c r="EW29" s="18"/>
      <c r="EX29" s="18"/>
      <c r="EY29" s="18"/>
      <c r="EZ29" s="18"/>
      <c r="FA29" s="18"/>
      <c r="FB29" s="18"/>
      <c r="FC29" s="18"/>
      <c r="FD29" s="18"/>
      <c r="FE29" s="18"/>
      <c r="FF29" s="18"/>
      <c r="FG29" s="18"/>
      <c r="FH29" s="18"/>
      <c r="FI29" s="18"/>
      <c r="FJ29" s="18"/>
      <c r="FK29" s="18"/>
      <c r="FL29" s="18"/>
      <c r="FM29" s="18"/>
      <c r="FN29" s="18"/>
      <c r="FO29" s="18"/>
      <c r="FP29" s="18"/>
      <c r="FQ29" s="18"/>
      <c r="FR29" s="18"/>
      <c r="FS29" s="18"/>
      <c r="FT29" s="18"/>
      <c r="FU29" s="18"/>
      <c r="FV29" s="18"/>
      <c r="FW29" s="18"/>
      <c r="FX29" s="18"/>
      <c r="FY29" s="18"/>
      <c r="FZ29" s="18"/>
      <c r="GA29" s="18"/>
      <c r="GB29" s="18"/>
      <c r="GC29" s="18"/>
      <c r="GD29" s="18"/>
      <c r="GE29" s="18"/>
      <c r="GF29" s="18"/>
      <c r="GG29" s="18"/>
      <c r="GH29" s="18"/>
      <c r="GI29" s="18"/>
      <c r="GJ29" s="18"/>
      <c r="GK29" s="18"/>
      <c r="GL29" s="18"/>
      <c r="GM29" s="18"/>
      <c r="GN29" s="18"/>
      <c r="GO29" s="18"/>
      <c r="GP29" s="18"/>
      <c r="GQ29" s="18"/>
      <c r="GR29" s="18"/>
      <c r="GS29" s="18"/>
      <c r="GT29" s="18"/>
      <c r="GU29" s="18"/>
      <c r="GV29" s="18"/>
      <c r="GW29" s="18"/>
      <c r="GX29" s="18"/>
      <c r="GY29" s="18"/>
      <c r="GZ29" s="18"/>
      <c r="HA29" s="18"/>
      <c r="HB29" s="18"/>
      <c r="HC29" s="18"/>
      <c r="HD29" s="18"/>
      <c r="HE29" s="18"/>
      <c r="HF29" s="18"/>
      <c r="HG29" s="18"/>
      <c r="HH29" s="18"/>
      <c r="HI29" s="18"/>
      <c r="HJ29" s="18"/>
      <c r="HK29" s="18"/>
      <c r="HL29" s="18"/>
      <c r="HM29" s="18"/>
      <c r="HN29" s="18"/>
      <c r="HO29" s="18"/>
      <c r="HP29" s="18"/>
      <c r="HQ29" s="18"/>
      <c r="HR29" s="18"/>
      <c r="HS29" s="18"/>
      <c r="HT29" s="18"/>
      <c r="HU29" s="18"/>
      <c r="HV29" s="18"/>
      <c r="HW29" s="18"/>
      <c r="HX29" s="18"/>
      <c r="HY29" s="18"/>
      <c r="HZ29" s="18"/>
      <c r="IA29" s="18"/>
      <c r="IB29" s="18"/>
      <c r="IC29" s="18"/>
      <c r="ID29" s="18"/>
      <c r="IE29" s="18"/>
      <c r="IF29" s="18"/>
      <c r="IG29" s="18"/>
      <c r="IH29" s="18"/>
      <c r="II29" s="18"/>
      <c r="IJ29" s="18"/>
      <c r="IK29" s="18"/>
      <c r="IL29" s="18"/>
      <c r="IM29" s="18"/>
      <c r="IN29" s="18"/>
      <c r="IO29" s="18"/>
      <c r="IP29" s="18"/>
      <c r="IQ29" s="18"/>
      <c r="IR29" s="18"/>
      <c r="IS29" s="18"/>
      <c r="IT29" s="18"/>
      <c r="IU29" s="18"/>
      <c r="IV29" s="18"/>
      <c r="IW29" s="18"/>
      <c r="IX29" s="18"/>
      <c r="IY29" s="18"/>
      <c r="IZ29" s="18"/>
      <c r="JA29" s="18"/>
      <c r="JB29" s="18"/>
      <c r="JC29" s="18"/>
      <c r="JD29" s="18"/>
      <c r="JE29" s="18"/>
      <c r="JF29" s="18"/>
      <c r="JG29" s="18"/>
      <c r="JH29" s="18"/>
      <c r="JI29" s="18"/>
      <c r="JJ29" s="18"/>
      <c r="JK29" s="18"/>
      <c r="JL29" s="18"/>
      <c r="JM29" s="18"/>
      <c r="JN29" s="18"/>
      <c r="JO29" s="18"/>
      <c r="JP29" s="18"/>
      <c r="JQ29" s="18"/>
      <c r="JR29" s="18"/>
      <c r="JS29" s="18"/>
      <c r="JT29" s="18"/>
      <c r="JU29" s="18"/>
      <c r="JV29" s="18"/>
      <c r="JW29" s="18"/>
      <c r="JX29" s="18"/>
      <c r="JY29" s="18"/>
      <c r="JZ29" s="18"/>
      <c r="KA29" s="18"/>
      <c r="KB29" s="18"/>
      <c r="KC29" s="18"/>
      <c r="KD29" s="18"/>
      <c r="KE29" s="18"/>
      <c r="KF29" s="18"/>
      <c r="KG29" s="18"/>
      <c r="KH29" s="18"/>
      <c r="KI29" s="18"/>
      <c r="KJ29" s="18"/>
      <c r="KK29" s="18"/>
      <c r="KL29" s="18"/>
      <c r="KM29" s="18"/>
      <c r="KN29" s="18"/>
      <c r="KO29" s="18"/>
      <c r="KP29" s="18"/>
      <c r="KQ29" s="18"/>
      <c r="KR29" s="18"/>
      <c r="KS29" s="18"/>
      <c r="KT29" s="18"/>
      <c r="KU29" s="18"/>
      <c r="KV29" s="18"/>
      <c r="KW29" s="18"/>
      <c r="KX29" s="18"/>
      <c r="KY29" s="18"/>
      <c r="KZ29" s="18"/>
      <c r="LA29" s="18"/>
      <c r="LB29" s="18"/>
      <c r="LC29" s="18"/>
      <c r="LD29" s="18"/>
      <c r="LE29" s="18"/>
      <c r="LF29" s="18"/>
      <c r="LG29" s="18"/>
      <c r="LH29" s="18"/>
      <c r="LI29" s="18"/>
      <c r="LJ29" s="18"/>
      <c r="LK29" s="18"/>
      <c r="LL29" s="18"/>
      <c r="LM29" s="18"/>
      <c r="LN29" s="18"/>
      <c r="LO29" s="18"/>
      <c r="LP29" s="18"/>
      <c r="LQ29" s="18"/>
      <c r="LR29" s="18"/>
      <c r="LS29" s="18"/>
      <c r="LT29" s="18"/>
      <c r="LU29" s="18"/>
      <c r="LV29" s="18"/>
      <c r="LW29" s="18"/>
      <c r="LX29" s="18"/>
      <c r="LY29" s="18"/>
      <c r="LZ29" s="18"/>
      <c r="MA29" s="18"/>
      <c r="MB29" s="18"/>
      <c r="MC29" s="18"/>
      <c r="MD29" s="18"/>
      <c r="ME29" s="18"/>
      <c r="MF29" s="18"/>
      <c r="MG29" s="18"/>
      <c r="MH29" s="18"/>
      <c r="MI29" s="18"/>
      <c r="MJ29" s="18"/>
      <c r="MK29" s="18"/>
      <c r="ML29" s="18"/>
      <c r="MM29" s="18"/>
      <c r="MN29" s="18"/>
      <c r="MO29" s="18"/>
      <c r="MP29" s="18"/>
      <c r="MQ29" s="18"/>
      <c r="MR29" s="18"/>
      <c r="MS29" s="18"/>
      <c r="MT29" s="18"/>
      <c r="MU29" s="18"/>
      <c r="MV29" s="18"/>
      <c r="MW29" s="18"/>
      <c r="MX29" s="18"/>
      <c r="MY29" s="18"/>
      <c r="MZ29" s="18"/>
      <c r="NA29" s="18"/>
      <c r="NB29" s="18"/>
      <c r="NC29" s="18"/>
      <c r="ND29" s="18"/>
      <c r="NE29" s="18"/>
      <c r="NF29" s="18"/>
      <c r="NG29" s="18"/>
      <c r="NH29" s="18"/>
      <c r="NI29" s="18"/>
      <c r="NJ29" s="18"/>
      <c r="NK29" s="18"/>
      <c r="NL29" s="18"/>
      <c r="NM29" s="18"/>
      <c r="NN29" s="18"/>
      <c r="NO29" s="18"/>
      <c r="NP29" s="18"/>
      <c r="NQ29" s="18"/>
      <c r="NR29" s="18"/>
      <c r="NS29" s="18"/>
      <c r="NT29" s="18"/>
      <c r="NU29" s="18"/>
      <c r="NV29" s="18"/>
      <c r="NW29" s="18"/>
      <c r="NX29" s="18"/>
      <c r="NY29" s="18"/>
      <c r="NZ29" s="18"/>
      <c r="OA29" s="18"/>
      <c r="OB29" s="18"/>
      <c r="OC29" s="18"/>
      <c r="OD29" s="18"/>
      <c r="OE29" s="18"/>
      <c r="OF29" s="18"/>
      <c r="OG29" s="18"/>
      <c r="OH29" s="18"/>
      <c r="OI29" s="18"/>
      <c r="OJ29" s="18"/>
      <c r="OK29" s="18"/>
      <c r="OL29" s="18"/>
      <c r="OM29" s="18"/>
      <c r="ON29" s="18"/>
      <c r="OO29" s="18"/>
      <c r="OP29" s="18"/>
      <c r="OQ29" s="18"/>
      <c r="OR29" s="18"/>
      <c r="OS29" s="18"/>
      <c r="OT29" s="18"/>
      <c r="OU29" s="18"/>
      <c r="OV29" s="18"/>
      <c r="OW29" s="18"/>
      <c r="OX29" s="18"/>
      <c r="OY29" s="18"/>
      <c r="OZ29" s="18"/>
      <c r="PA29" s="18"/>
      <c r="PB29" s="18"/>
      <c r="PC29" s="18"/>
      <c r="PD29" s="18"/>
      <c r="PE29" s="18"/>
      <c r="PF29" s="18"/>
      <c r="PG29" s="18"/>
      <c r="PH29" s="18"/>
      <c r="PI29" s="18"/>
      <c r="PJ29" s="18"/>
      <c r="PK29" s="18"/>
      <c r="PL29" s="18"/>
      <c r="PM29" s="18"/>
      <c r="PN29" s="18"/>
      <c r="PO29" s="18"/>
      <c r="PP29" s="18"/>
      <c r="PQ29" s="18"/>
      <c r="PR29" s="18"/>
      <c r="PS29" s="18"/>
      <c r="PT29" s="18"/>
      <c r="PU29" s="18"/>
      <c r="PV29" s="18"/>
      <c r="PW29" s="18"/>
      <c r="PX29" s="18"/>
      <c r="PY29" s="18"/>
      <c r="PZ29" s="18"/>
      <c r="QA29" s="18"/>
      <c r="QB29" s="18"/>
      <c r="QC29" s="18"/>
      <c r="QD29" s="18"/>
      <c r="QE29" s="18"/>
      <c r="QF29" s="18"/>
      <c r="QG29" s="18"/>
      <c r="QH29" s="18"/>
      <c r="QI29" s="18"/>
      <c r="QJ29" s="18"/>
      <c r="QK29" s="18"/>
      <c r="QL29" s="18"/>
      <c r="QM29" s="18"/>
      <c r="QN29" s="18"/>
      <c r="QO29" s="18"/>
      <c r="QP29" s="18"/>
      <c r="QQ29" s="18"/>
      <c r="QR29" s="18"/>
      <c r="QS29" s="18"/>
      <c r="QT29" s="18"/>
      <c r="QU29" s="18"/>
      <c r="QV29" s="18"/>
      <c r="QW29" s="18"/>
      <c r="QX29" s="18"/>
      <c r="QY29" s="18"/>
      <c r="QZ29" s="18"/>
      <c r="RA29" s="18"/>
      <c r="RB29" s="18"/>
      <c r="RC29" s="18"/>
      <c r="RD29" s="18"/>
      <c r="RE29" s="18"/>
      <c r="RF29" s="18"/>
      <c r="RG29" s="18"/>
      <c r="RH29" s="18"/>
      <c r="RI29" s="18"/>
      <c r="RJ29" s="18"/>
      <c r="RK29" s="18"/>
      <c r="RL29" s="18"/>
      <c r="RM29" s="18"/>
      <c r="RN29" s="18"/>
      <c r="RO29" s="18"/>
      <c r="RP29" s="18"/>
      <c r="RQ29" s="18"/>
      <c r="RR29" s="18"/>
      <c r="RS29" s="18"/>
      <c r="RT29" s="18"/>
      <c r="RU29" s="18"/>
      <c r="RV29" s="18"/>
      <c r="RW29" s="18"/>
      <c r="RX29" s="18"/>
      <c r="RY29" s="18"/>
      <c r="RZ29" s="18"/>
      <c r="SA29" s="18"/>
      <c r="SB29" s="18"/>
      <c r="SC29" s="18"/>
      <c r="SD29" s="18"/>
      <c r="SE29" s="18"/>
      <c r="SF29" s="18"/>
      <c r="SG29" s="18"/>
      <c r="SH29" s="18"/>
      <c r="SI29" s="18"/>
      <c r="SJ29" s="18"/>
      <c r="SK29" s="18"/>
      <c r="SL29" s="18"/>
      <c r="SM29" s="18"/>
      <c r="SN29" s="18"/>
      <c r="SO29" s="18"/>
      <c r="SP29" s="18"/>
      <c r="SQ29" s="18"/>
      <c r="SR29" s="18"/>
      <c r="SS29" s="18"/>
      <c r="ST29" s="18"/>
      <c r="SU29" s="18"/>
      <c r="SV29" s="18"/>
      <c r="SW29" s="18"/>
      <c r="SX29" s="18"/>
      <c r="SY29" s="18"/>
      <c r="SZ29" s="18"/>
      <c r="TA29" s="18"/>
      <c r="TB29" s="18"/>
      <c r="TC29" s="18"/>
      <c r="TD29" s="18"/>
      <c r="TE29" s="18"/>
      <c r="TF29" s="18"/>
      <c r="TG29" s="18"/>
      <c r="TH29" s="18"/>
      <c r="TI29" s="18"/>
      <c r="TJ29" s="18"/>
      <c r="TK29" s="18"/>
      <c r="TL29" s="18"/>
      <c r="TM29" s="18"/>
      <c r="TN29" s="18"/>
      <c r="TO29" s="18"/>
      <c r="TP29" s="18"/>
      <c r="TQ29" s="18"/>
      <c r="TR29" s="18"/>
      <c r="TS29" s="18"/>
      <c r="TT29" s="18"/>
      <c r="TU29" s="18"/>
      <c r="TV29" s="18"/>
      <c r="TW29" s="18"/>
      <c r="TX29" s="18"/>
      <c r="TY29" s="18"/>
      <c r="TZ29" s="18"/>
      <c r="UA29" s="18"/>
      <c r="UB29" s="18"/>
      <c r="UC29" s="18"/>
      <c r="UD29" s="18"/>
      <c r="UE29" s="18"/>
      <c r="UF29" s="18"/>
      <c r="UG29" s="18"/>
      <c r="UH29" s="18"/>
      <c r="UI29" s="18"/>
      <c r="UJ29" s="18"/>
      <c r="UK29" s="18"/>
      <c r="UL29" s="18"/>
      <c r="UM29" s="18"/>
      <c r="UN29" s="18"/>
      <c r="UO29" s="18"/>
      <c r="UP29" s="18"/>
      <c r="UQ29" s="18"/>
      <c r="UR29" s="18"/>
      <c r="US29" s="18"/>
      <c r="UT29" s="18"/>
      <c r="UU29" s="18"/>
      <c r="UV29" s="18"/>
      <c r="UW29" s="18"/>
      <c r="UX29" s="18"/>
      <c r="UY29" s="18"/>
      <c r="UZ29" s="18"/>
      <c r="VA29" s="18"/>
      <c r="VB29" s="18"/>
      <c r="VC29" s="18"/>
      <c r="VD29" s="18"/>
      <c r="VE29" s="18"/>
      <c r="VF29" s="18"/>
      <c r="VG29" s="18"/>
      <c r="VH29" s="18"/>
      <c r="VI29" s="18"/>
      <c r="VJ29" s="18"/>
      <c r="VK29" s="18"/>
      <c r="VL29" s="18"/>
      <c r="VM29" s="18"/>
      <c r="VN29" s="18"/>
      <c r="VO29" s="18"/>
      <c r="VP29" s="18"/>
      <c r="VQ29" s="18"/>
      <c r="VR29" s="18"/>
      <c r="VS29" s="18"/>
      <c r="VT29" s="18"/>
      <c r="VU29" s="18"/>
      <c r="VV29" s="18"/>
      <c r="VW29" s="18"/>
      <c r="VX29" s="18"/>
      <c r="VY29" s="18"/>
      <c r="VZ29" s="18"/>
      <c r="WA29" s="18"/>
      <c r="WB29" s="18"/>
      <c r="WC29" s="18"/>
      <c r="WD29" s="18"/>
      <c r="WE29" s="18"/>
      <c r="WF29" s="18"/>
      <c r="WG29" s="18"/>
      <c r="WH29" s="18"/>
      <c r="WI29" s="18"/>
      <c r="WJ29" s="18"/>
      <c r="WK29" s="18"/>
      <c r="WL29" s="18"/>
      <c r="WM29" s="18"/>
      <c r="WN29" s="18"/>
      <c r="WO29" s="18"/>
      <c r="WP29" s="18"/>
      <c r="WQ29" s="18"/>
      <c r="WR29" s="18"/>
      <c r="WS29" s="18"/>
      <c r="WT29" s="18"/>
      <c r="WU29" s="18"/>
      <c r="WV29" s="18"/>
      <c r="WW29" s="18"/>
      <c r="WX29" s="18"/>
      <c r="WY29" s="18"/>
      <c r="WZ29" s="18"/>
      <c r="XA29" s="18"/>
      <c r="XB29" s="18"/>
      <c r="XC29" s="18"/>
      <c r="XD29" s="18"/>
      <c r="XE29" s="18"/>
      <c r="XF29" s="18"/>
      <c r="XG29" s="18"/>
      <c r="XH29" s="18"/>
      <c r="XI29" s="18"/>
      <c r="XJ29" s="18"/>
      <c r="XK29" s="18"/>
      <c r="XL29" s="18"/>
      <c r="XM29" s="18"/>
      <c r="XN29" s="18"/>
      <c r="XO29" s="18"/>
      <c r="XP29" s="18"/>
      <c r="XQ29" s="18"/>
      <c r="XR29" s="18"/>
      <c r="XS29" s="18"/>
      <c r="XT29" s="18"/>
      <c r="XU29" s="18"/>
      <c r="XV29" s="18"/>
      <c r="XW29" s="18"/>
      <c r="XX29" s="18"/>
      <c r="XY29" s="18"/>
      <c r="XZ29" s="18"/>
      <c r="YA29" s="18"/>
      <c r="YB29" s="18"/>
      <c r="YC29" s="18"/>
      <c r="YD29" s="18"/>
      <c r="YE29" s="18"/>
      <c r="YF29" s="18"/>
      <c r="YG29" s="18"/>
      <c r="YH29" s="18"/>
      <c r="YI29" s="18"/>
      <c r="YJ29" s="18"/>
      <c r="YK29" s="18"/>
      <c r="YL29" s="18"/>
      <c r="YM29" s="18"/>
      <c r="YN29" s="18"/>
      <c r="YO29" s="18"/>
      <c r="YP29" s="18"/>
      <c r="YQ29" s="18"/>
      <c r="YR29" s="18"/>
      <c r="YS29" s="18"/>
      <c r="YT29" s="18"/>
      <c r="YU29" s="18"/>
      <c r="YV29" s="18"/>
      <c r="YW29" s="18"/>
      <c r="YX29" s="18"/>
      <c r="YY29" s="18"/>
      <c r="YZ29" s="18"/>
      <c r="ZA29" s="18"/>
      <c r="ZB29" s="18"/>
      <c r="ZC29" s="18"/>
      <c r="ZD29" s="18"/>
      <c r="ZE29" s="18"/>
      <c r="ZF29" s="18"/>
      <c r="ZG29" s="18"/>
      <c r="ZH29" s="18"/>
      <c r="ZI29" s="18"/>
      <c r="ZJ29" s="18"/>
      <c r="ZK29" s="18"/>
      <c r="ZL29" s="18"/>
      <c r="ZM29" s="18"/>
      <c r="ZN29" s="18"/>
      <c r="ZO29" s="18"/>
      <c r="ZP29" s="18"/>
      <c r="ZQ29" s="18"/>
      <c r="ZR29" s="18"/>
      <c r="ZS29" s="18"/>
      <c r="ZT29" s="18"/>
      <c r="ZU29" s="18"/>
      <c r="ZV29" s="18"/>
      <c r="ZW29" s="18"/>
      <c r="ZX29" s="18"/>
      <c r="ZY29" s="18"/>
      <c r="ZZ29" s="18"/>
      <c r="AAA29" s="18"/>
      <c r="AAB29" s="18"/>
      <c r="AAC29" s="18"/>
      <c r="AAD29" s="18"/>
      <c r="AAE29" s="18"/>
      <c r="AAF29" s="18"/>
      <c r="AAG29" s="18"/>
      <c r="AAH29" s="18"/>
      <c r="AAI29" s="18"/>
      <c r="AAJ29" s="18"/>
      <c r="AAK29" s="18"/>
      <c r="AAL29" s="18"/>
      <c r="AAM29" s="18"/>
      <c r="AAN29" s="18"/>
      <c r="AAO29" s="18"/>
      <c r="AAP29" s="18"/>
      <c r="AAQ29" s="18"/>
      <c r="AAR29" s="18"/>
      <c r="AAS29" s="18"/>
      <c r="AAT29" s="18"/>
      <c r="AAU29" s="18"/>
      <c r="AAV29" s="18"/>
      <c r="AAW29" s="18"/>
      <c r="AAX29" s="18"/>
      <c r="AAY29" s="18"/>
      <c r="AAZ29" s="18"/>
      <c r="ABA29" s="18"/>
      <c r="ABB29" s="18"/>
      <c r="ABC29" s="18"/>
      <c r="ABD29" s="18"/>
      <c r="ABE29" s="18"/>
      <c r="ABF29" s="18"/>
      <c r="ABG29" s="18"/>
      <c r="ABH29" s="18"/>
      <c r="ABI29" s="18"/>
      <c r="ABJ29" s="18"/>
      <c r="ABK29" s="18"/>
      <c r="ABL29" s="18"/>
      <c r="ABM29" s="18"/>
      <c r="ABN29" s="18"/>
      <c r="ABO29" s="18"/>
      <c r="ABP29" s="18"/>
      <c r="ABQ29" s="18"/>
      <c r="ABR29" s="18"/>
      <c r="ABS29" s="18"/>
      <c r="ABT29" s="18"/>
      <c r="ABU29" s="18"/>
      <c r="ABV29" s="18"/>
      <c r="ABW29" s="18"/>
      <c r="ABX29" s="18"/>
      <c r="ABY29" s="18"/>
      <c r="ABZ29" s="18"/>
      <c r="ACA29" s="18"/>
      <c r="ACB29" s="18"/>
      <c r="ACC29" s="18"/>
      <c r="ACD29" s="18"/>
      <c r="ACE29" s="18"/>
      <c r="ACF29" s="18"/>
      <c r="ACG29" s="18"/>
      <c r="ACH29" s="18"/>
      <c r="ACI29" s="18"/>
      <c r="ACJ29" s="18"/>
      <c r="ACK29" s="18"/>
      <c r="ACL29" s="18"/>
      <c r="ACM29" s="18"/>
      <c r="ACN29" s="18"/>
      <c r="ACO29" s="18"/>
      <c r="ACP29" s="18"/>
      <c r="ACQ29" s="18"/>
      <c r="ACR29" s="18"/>
      <c r="ACS29" s="18"/>
      <c r="ACT29" s="18"/>
      <c r="ACU29" s="18"/>
      <c r="ACV29" s="18"/>
      <c r="ACW29" s="18"/>
      <c r="ACX29" s="18"/>
      <c r="ACY29" s="18"/>
      <c r="ACZ29" s="18"/>
      <c r="ADA29" s="18"/>
      <c r="ADB29" s="18"/>
      <c r="ADC29" s="18"/>
      <c r="ADD29" s="18"/>
      <c r="ADE29" s="18"/>
      <c r="ADF29" s="18"/>
      <c r="ADG29" s="18"/>
      <c r="ADH29" s="18"/>
      <c r="ADI29" s="18"/>
      <c r="ADJ29" s="18"/>
      <c r="ADK29" s="18"/>
      <c r="ADL29" s="18"/>
      <c r="ADM29" s="18"/>
      <c r="ADN29" s="18"/>
      <c r="ADO29" s="18"/>
      <c r="ADP29" s="18"/>
      <c r="ADQ29" s="18"/>
      <c r="ADR29" s="18"/>
      <c r="ADS29" s="18"/>
      <c r="ADT29" s="18"/>
      <c r="ADU29" s="18"/>
      <c r="ADV29" s="18"/>
      <c r="ADW29" s="18"/>
      <c r="ADX29" s="18"/>
      <c r="ADY29" s="18"/>
      <c r="ADZ29" s="18"/>
      <c r="AEA29" s="18"/>
      <c r="AEB29" s="18"/>
      <c r="AEC29" s="18"/>
      <c r="AED29" s="18"/>
      <c r="AEE29" s="18"/>
      <c r="AEF29" s="18"/>
      <c r="AEG29" s="18"/>
      <c r="AEH29" s="18"/>
      <c r="AEI29" s="18"/>
      <c r="AEJ29" s="18"/>
      <c r="AEK29" s="18"/>
      <c r="AEL29" s="18"/>
      <c r="AEM29" s="18"/>
      <c r="AEN29" s="18"/>
      <c r="AEO29" s="18"/>
      <c r="AEP29" s="18"/>
      <c r="AEQ29" s="18"/>
      <c r="AER29" s="18"/>
      <c r="AES29" s="18"/>
      <c r="AET29" s="18"/>
      <c r="AEU29" s="18"/>
      <c r="AEV29" s="18"/>
      <c r="AEW29" s="18"/>
      <c r="AEX29" s="18"/>
      <c r="AEY29" s="18"/>
      <c r="AEZ29" s="18"/>
      <c r="AFA29" s="18"/>
      <c r="AFB29" s="18"/>
      <c r="AFC29" s="18"/>
      <c r="AFD29" s="18"/>
      <c r="AFE29" s="18"/>
      <c r="AFF29" s="18"/>
      <c r="AFG29" s="18"/>
      <c r="AFH29" s="18"/>
      <c r="AFI29" s="18"/>
      <c r="AFJ29" s="18"/>
      <c r="AFK29" s="18"/>
      <c r="AFL29" s="18"/>
      <c r="AFM29" s="18"/>
      <c r="AFN29" s="18"/>
      <c r="AFO29" s="18"/>
      <c r="AFP29" s="18"/>
      <c r="AFQ29" s="18"/>
      <c r="AFR29" s="18"/>
      <c r="AFS29" s="18"/>
      <c r="AFT29" s="18"/>
      <c r="AFU29" s="18"/>
      <c r="AFV29" s="18"/>
      <c r="AFW29" s="18"/>
      <c r="AFX29" s="18"/>
      <c r="AFY29" s="18"/>
      <c r="AFZ29" s="18"/>
      <c r="AGA29" s="18"/>
      <c r="AGB29" s="18"/>
      <c r="AGC29" s="18"/>
      <c r="AGD29" s="18"/>
      <c r="AGE29" s="18"/>
      <c r="AGF29" s="18"/>
      <c r="AGG29" s="18"/>
      <c r="AGH29" s="18"/>
      <c r="AGI29" s="18"/>
      <c r="AGJ29" s="18"/>
      <c r="AGK29" s="18"/>
      <c r="AGL29" s="18"/>
      <c r="AGM29" s="18"/>
      <c r="AGN29" s="18"/>
      <c r="AGO29" s="18"/>
      <c r="AGP29" s="18"/>
      <c r="AGQ29" s="18"/>
      <c r="AGR29" s="18"/>
      <c r="AGS29" s="18"/>
      <c r="AGT29" s="18"/>
      <c r="AGU29" s="18"/>
      <c r="AGV29" s="18"/>
      <c r="AGW29" s="18"/>
      <c r="AGX29" s="18"/>
      <c r="AGY29" s="18"/>
      <c r="AGZ29" s="18"/>
      <c r="AHA29" s="18"/>
      <c r="AHB29" s="18"/>
      <c r="AHC29" s="18"/>
      <c r="AHD29" s="18"/>
      <c r="AHE29" s="18"/>
      <c r="AHF29" s="18"/>
      <c r="AHG29" s="18"/>
      <c r="AHH29" s="18"/>
      <c r="AHI29" s="18"/>
      <c r="AHJ29" s="18"/>
      <c r="AHK29" s="18"/>
      <c r="AHL29" s="18"/>
      <c r="AHM29" s="18"/>
      <c r="AHN29" s="18"/>
      <c r="AHO29" s="18"/>
      <c r="AHP29" s="18"/>
      <c r="AHQ29" s="18"/>
      <c r="AHR29" s="18"/>
      <c r="AHS29" s="18"/>
      <c r="AHT29" s="18"/>
      <c r="AHU29" s="18"/>
      <c r="AHV29" s="18"/>
      <c r="AHW29" s="18"/>
      <c r="AHX29" s="18"/>
      <c r="AHY29" s="18"/>
      <c r="AHZ29" s="18"/>
      <c r="AIA29" s="18"/>
      <c r="AIB29" s="18"/>
      <c r="AIC29" s="18"/>
      <c r="AID29" s="18"/>
      <c r="AIE29" s="18"/>
      <c r="AIF29" s="18"/>
      <c r="AIG29" s="18"/>
      <c r="AIH29" s="18"/>
      <c r="AII29" s="18"/>
      <c r="AIJ29" s="18"/>
      <c r="AIK29" s="18"/>
      <c r="AIL29" s="18"/>
      <c r="AIM29" s="18"/>
      <c r="AIN29" s="18"/>
      <c r="AIO29" s="18"/>
      <c r="AIP29" s="18"/>
      <c r="AIQ29" s="18"/>
      <c r="AIR29" s="18"/>
      <c r="AIS29" s="18"/>
      <c r="AIT29" s="18"/>
      <c r="AIU29" s="18"/>
      <c r="AIV29" s="18"/>
      <c r="AIW29" s="18"/>
      <c r="AIX29" s="18"/>
      <c r="AIY29" s="18"/>
      <c r="AIZ29" s="18"/>
      <c r="AJA29" s="18"/>
      <c r="AJB29" s="18"/>
      <c r="AJC29" s="18"/>
      <c r="AJD29" s="18"/>
      <c r="AJE29" s="18"/>
      <c r="AJF29" s="18"/>
      <c r="AJG29" s="18"/>
      <c r="AJH29" s="18"/>
      <c r="AJI29" s="18"/>
      <c r="AJJ29" s="18"/>
      <c r="AJK29" s="18"/>
      <c r="AJL29" s="18"/>
      <c r="AJM29" s="18"/>
      <c r="AJN29" s="18"/>
      <c r="AJO29" s="18"/>
      <c r="AJP29" s="18"/>
      <c r="AJQ29" s="18"/>
      <c r="AJR29" s="18"/>
      <c r="AJS29" s="18"/>
      <c r="AJT29" s="18"/>
      <c r="AJU29" s="18"/>
      <c r="AJV29" s="18"/>
      <c r="AJW29" s="18"/>
      <c r="AJX29" s="18"/>
      <c r="AJY29" s="18"/>
      <c r="AJZ29" s="18"/>
      <c r="AKA29" s="18"/>
      <c r="AKB29" s="18"/>
      <c r="AKC29" s="18"/>
      <c r="AKD29" s="18"/>
      <c r="AKE29" s="18"/>
      <c r="AKF29" s="18"/>
      <c r="AKG29" s="18"/>
      <c r="AKH29" s="18"/>
      <c r="AKI29" s="18"/>
      <c r="AKJ29" s="18"/>
      <c r="AKK29" s="18"/>
      <c r="AKL29" s="18"/>
      <c r="AKM29" s="18"/>
      <c r="AKN29" s="18"/>
      <c r="AKO29" s="18"/>
      <c r="AKP29" s="18"/>
      <c r="AKQ29" s="18"/>
      <c r="AKR29" s="18"/>
      <c r="AKS29" s="18"/>
      <c r="AKT29" s="18"/>
      <c r="AKU29" s="18"/>
      <c r="AKV29" s="18"/>
      <c r="AKW29" s="18"/>
      <c r="AKX29" s="18"/>
      <c r="AKY29" s="18"/>
      <c r="AKZ29" s="18"/>
      <c r="ALA29" s="18"/>
      <c r="ALB29" s="18"/>
      <c r="ALC29" s="18"/>
      <c r="ALD29" s="18"/>
      <c r="ALE29" s="18"/>
      <c r="ALF29" s="18"/>
      <c r="ALG29" s="18"/>
      <c r="ALH29" s="18"/>
      <c r="ALI29" s="18"/>
      <c r="ALJ29" s="18"/>
      <c r="ALK29" s="18"/>
      <c r="ALL29" s="18"/>
      <c r="ALM29" s="18"/>
      <c r="ALN29" s="18"/>
      <c r="ALO29" s="18"/>
      <c r="ALP29" s="18"/>
      <c r="ALQ29" s="18"/>
      <c r="ALR29" s="18"/>
      <c r="ALS29" s="18"/>
      <c r="ALT29" s="18"/>
    </row>
    <row r="30" spans="1:1008">
      <c r="A30" s="251" t="s">
        <v>6307</v>
      </c>
      <c r="B30" s="290">
        <v>739</v>
      </c>
      <c r="C30" s="278" t="str">
        <f>(IF($A30="SINAPI",INDEX(SINAPI_NOV2020_NDES!$A$7:$H$6703,MATCH($B30,SINAPI_NOV2020_NDES!$A$7:$A$6703,0),2),IF($A30="GOINFRA",INDEX(#REF!,MATCH($B30,#REF!,0),2),(INDEX(COMPOS!$A$4:$G$390,MATCH($B30,COMPOS!$A$4:A$390,0),2)))))</f>
        <v>QUADRO DE DISTRIBUIÇÃO DE EMBUTIR EM PVC CB 48E - 80A</v>
      </c>
      <c r="D30" s="274" t="str">
        <f>(IF($A30="SINAPI",INDEX(SINAPI_NOV2020_NDES!$A$7:$H$6790,MATCH($B30,SINAPI_NOV2020_NDES!$A$7:$A$6790,0),3),(INDEX(COMPOS!$A$4:$G$5000,MATCH($B30,COMPOS!$A$4:$A$5000,0),3))))</f>
        <v>UN</v>
      </c>
      <c r="E30" s="314">
        <v>1</v>
      </c>
      <c r="F30" s="279">
        <f>(IF($A30="SINAPI",INDEX(SINAPI_NOV2020_NDES!$A$7:$H$6703,MATCH($B30,SINAPI_NOV2020_NDES!$A$7:$A$6703,0),5),(INDEX(COMPOS!$A$4:$G$801,MATCH($B30,COMPOS!$A$4:A$801,0),4))))</f>
        <v>231.78</v>
      </c>
      <c r="G30" s="280">
        <f>(IF($A30="SINAPI",INDEX(SINAPI_NOV2020_NDES!$A$7:$H$6703,MATCH($B30,SINAPI_NOV2020_NDES!$A$7:$A$6703,0),6),(INDEX(COMPOS!$A$4:$G$801,MATCH($B30,COMPOS!$A$4:A$801,0),5))))</f>
        <v>334.71</v>
      </c>
      <c r="H30" s="280">
        <f>(IF($A30="SINAPI",INDEX(SINAPI_NOV2020_NDES!$A$7:$H$6703,MATCH($B30,SINAPI_NOV2020_NDES!$A$7:$A$6703,0),7),(INDEX(COMPOS!$A$4:$G$801,MATCH($B30,COMPOS!$A$4:A$801,0),6))))</f>
        <v>0</v>
      </c>
      <c r="I30" s="279">
        <f t="shared" si="8"/>
        <v>566.49</v>
      </c>
      <c r="J30" s="276">
        <f t="shared" si="9"/>
        <v>566.49</v>
      </c>
      <c r="K30" s="191"/>
      <c r="L30" s="191"/>
      <c r="M30" s="191"/>
      <c r="N30" s="191"/>
      <c r="O30" s="262"/>
      <c r="P30" s="263"/>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c r="JA30" s="18"/>
      <c r="JB30" s="18"/>
      <c r="JC30" s="18"/>
      <c r="JD30" s="18"/>
      <c r="JE30" s="18"/>
      <c r="JF30" s="18"/>
      <c r="JG30" s="18"/>
      <c r="JH30" s="18"/>
      <c r="JI30" s="18"/>
      <c r="JJ30" s="18"/>
      <c r="JK30" s="18"/>
      <c r="JL30" s="18"/>
      <c r="JM30" s="18"/>
      <c r="JN30" s="18"/>
      <c r="JO30" s="18"/>
      <c r="JP30" s="18"/>
      <c r="JQ30" s="18"/>
      <c r="JR30" s="18"/>
      <c r="JS30" s="18"/>
      <c r="JT30" s="18"/>
      <c r="JU30" s="18"/>
      <c r="JV30" s="18"/>
      <c r="JW30" s="18"/>
      <c r="JX30" s="18"/>
      <c r="JY30" s="18"/>
      <c r="JZ30" s="18"/>
      <c r="KA30" s="18"/>
      <c r="KB30" s="18"/>
      <c r="KC30" s="18"/>
      <c r="KD30" s="18"/>
      <c r="KE30" s="18"/>
      <c r="KF30" s="18"/>
      <c r="KG30" s="18"/>
      <c r="KH30" s="18"/>
      <c r="KI30" s="18"/>
      <c r="KJ30" s="18"/>
      <c r="KK30" s="18"/>
      <c r="KL30" s="18"/>
      <c r="KM30" s="18"/>
      <c r="KN30" s="18"/>
      <c r="KO30" s="18"/>
      <c r="KP30" s="18"/>
      <c r="KQ30" s="18"/>
      <c r="KR30" s="18"/>
      <c r="KS30" s="18"/>
      <c r="KT30" s="18"/>
      <c r="KU30" s="18"/>
      <c r="KV30" s="18"/>
      <c r="KW30" s="18"/>
      <c r="KX30" s="18"/>
      <c r="KY30" s="18"/>
      <c r="KZ30" s="18"/>
      <c r="LA30" s="18"/>
      <c r="LB30" s="18"/>
      <c r="LC30" s="18"/>
      <c r="LD30" s="18"/>
      <c r="LE30" s="18"/>
      <c r="LF30" s="18"/>
      <c r="LG30" s="18"/>
      <c r="LH30" s="18"/>
      <c r="LI30" s="18"/>
      <c r="LJ30" s="18"/>
      <c r="LK30" s="18"/>
      <c r="LL30" s="18"/>
      <c r="LM30" s="18"/>
      <c r="LN30" s="18"/>
      <c r="LO30" s="18"/>
      <c r="LP30" s="18"/>
      <c r="LQ30" s="18"/>
      <c r="LR30" s="18"/>
      <c r="LS30" s="18"/>
      <c r="LT30" s="18"/>
      <c r="LU30" s="18"/>
      <c r="LV30" s="18"/>
      <c r="LW30" s="18"/>
      <c r="LX30" s="18"/>
      <c r="LY30" s="18"/>
      <c r="LZ30" s="18"/>
      <c r="MA30" s="18"/>
      <c r="MB30" s="18"/>
      <c r="MC30" s="18"/>
      <c r="MD30" s="18"/>
      <c r="ME30" s="18"/>
      <c r="MF30" s="18"/>
      <c r="MG30" s="18"/>
      <c r="MH30" s="18"/>
      <c r="MI30" s="18"/>
      <c r="MJ30" s="18"/>
      <c r="MK30" s="18"/>
      <c r="ML30" s="18"/>
      <c r="MM30" s="18"/>
      <c r="MN30" s="18"/>
      <c r="MO30" s="18"/>
      <c r="MP30" s="18"/>
      <c r="MQ30" s="18"/>
      <c r="MR30" s="18"/>
      <c r="MS30" s="18"/>
      <c r="MT30" s="18"/>
      <c r="MU30" s="18"/>
      <c r="MV30" s="18"/>
      <c r="MW30" s="18"/>
      <c r="MX30" s="18"/>
      <c r="MY30" s="18"/>
      <c r="MZ30" s="18"/>
      <c r="NA30" s="18"/>
      <c r="NB30" s="18"/>
      <c r="NC30" s="18"/>
      <c r="ND30" s="18"/>
      <c r="NE30" s="18"/>
      <c r="NF30" s="18"/>
      <c r="NG30" s="18"/>
      <c r="NH30" s="18"/>
      <c r="NI30" s="18"/>
      <c r="NJ30" s="18"/>
      <c r="NK30" s="18"/>
      <c r="NL30" s="18"/>
      <c r="NM30" s="18"/>
      <c r="NN30" s="18"/>
      <c r="NO30" s="18"/>
      <c r="NP30" s="18"/>
      <c r="NQ30" s="18"/>
      <c r="NR30" s="18"/>
      <c r="NS30" s="18"/>
      <c r="NT30" s="18"/>
      <c r="NU30" s="18"/>
      <c r="NV30" s="18"/>
      <c r="NW30" s="18"/>
      <c r="NX30" s="18"/>
      <c r="NY30" s="18"/>
      <c r="NZ30" s="18"/>
      <c r="OA30" s="18"/>
      <c r="OB30" s="18"/>
      <c r="OC30" s="18"/>
      <c r="OD30" s="18"/>
      <c r="OE30" s="18"/>
      <c r="OF30" s="18"/>
      <c r="OG30" s="18"/>
      <c r="OH30" s="18"/>
      <c r="OI30" s="18"/>
      <c r="OJ30" s="18"/>
      <c r="OK30" s="18"/>
      <c r="OL30" s="18"/>
      <c r="OM30" s="18"/>
      <c r="ON30" s="18"/>
      <c r="OO30" s="18"/>
      <c r="OP30" s="18"/>
      <c r="OQ30" s="18"/>
      <c r="OR30" s="18"/>
      <c r="OS30" s="18"/>
      <c r="OT30" s="18"/>
      <c r="OU30" s="18"/>
      <c r="OV30" s="18"/>
      <c r="OW30" s="18"/>
      <c r="OX30" s="18"/>
      <c r="OY30" s="18"/>
      <c r="OZ30" s="18"/>
      <c r="PA30" s="18"/>
      <c r="PB30" s="18"/>
      <c r="PC30" s="18"/>
      <c r="PD30" s="18"/>
      <c r="PE30" s="18"/>
      <c r="PF30" s="18"/>
      <c r="PG30" s="18"/>
      <c r="PH30" s="18"/>
      <c r="PI30" s="18"/>
      <c r="PJ30" s="18"/>
      <c r="PK30" s="18"/>
      <c r="PL30" s="18"/>
      <c r="PM30" s="18"/>
      <c r="PN30" s="18"/>
      <c r="PO30" s="18"/>
      <c r="PP30" s="18"/>
      <c r="PQ30" s="18"/>
      <c r="PR30" s="18"/>
      <c r="PS30" s="18"/>
      <c r="PT30" s="18"/>
      <c r="PU30" s="18"/>
      <c r="PV30" s="18"/>
      <c r="PW30" s="18"/>
      <c r="PX30" s="18"/>
      <c r="PY30" s="18"/>
      <c r="PZ30" s="18"/>
      <c r="QA30" s="18"/>
      <c r="QB30" s="18"/>
      <c r="QC30" s="18"/>
      <c r="QD30" s="18"/>
      <c r="QE30" s="18"/>
      <c r="QF30" s="18"/>
      <c r="QG30" s="18"/>
      <c r="QH30" s="18"/>
      <c r="QI30" s="18"/>
      <c r="QJ30" s="18"/>
      <c r="QK30" s="18"/>
      <c r="QL30" s="18"/>
      <c r="QM30" s="18"/>
      <c r="QN30" s="18"/>
      <c r="QO30" s="18"/>
      <c r="QP30" s="18"/>
      <c r="QQ30" s="18"/>
      <c r="QR30" s="18"/>
      <c r="QS30" s="18"/>
      <c r="QT30" s="18"/>
      <c r="QU30" s="18"/>
      <c r="QV30" s="18"/>
      <c r="QW30" s="18"/>
      <c r="QX30" s="18"/>
      <c r="QY30" s="18"/>
      <c r="QZ30" s="18"/>
      <c r="RA30" s="18"/>
      <c r="RB30" s="18"/>
      <c r="RC30" s="18"/>
      <c r="RD30" s="18"/>
      <c r="RE30" s="18"/>
      <c r="RF30" s="18"/>
      <c r="RG30" s="18"/>
      <c r="RH30" s="18"/>
      <c r="RI30" s="18"/>
      <c r="RJ30" s="18"/>
      <c r="RK30" s="18"/>
      <c r="RL30" s="18"/>
      <c r="RM30" s="18"/>
      <c r="RN30" s="18"/>
      <c r="RO30" s="18"/>
      <c r="RP30" s="18"/>
      <c r="RQ30" s="18"/>
      <c r="RR30" s="18"/>
      <c r="RS30" s="18"/>
      <c r="RT30" s="18"/>
      <c r="RU30" s="18"/>
      <c r="RV30" s="18"/>
      <c r="RW30" s="18"/>
      <c r="RX30" s="18"/>
      <c r="RY30" s="18"/>
      <c r="RZ30" s="18"/>
      <c r="SA30" s="18"/>
      <c r="SB30" s="18"/>
      <c r="SC30" s="18"/>
      <c r="SD30" s="18"/>
      <c r="SE30" s="18"/>
      <c r="SF30" s="18"/>
      <c r="SG30" s="18"/>
      <c r="SH30" s="18"/>
      <c r="SI30" s="18"/>
      <c r="SJ30" s="18"/>
      <c r="SK30" s="18"/>
      <c r="SL30" s="18"/>
      <c r="SM30" s="18"/>
      <c r="SN30" s="18"/>
      <c r="SO30" s="18"/>
      <c r="SP30" s="18"/>
      <c r="SQ30" s="18"/>
      <c r="SR30" s="18"/>
      <c r="SS30" s="18"/>
      <c r="ST30" s="18"/>
      <c r="SU30" s="18"/>
      <c r="SV30" s="18"/>
      <c r="SW30" s="18"/>
      <c r="SX30" s="18"/>
      <c r="SY30" s="18"/>
      <c r="SZ30" s="18"/>
      <c r="TA30" s="18"/>
      <c r="TB30" s="18"/>
      <c r="TC30" s="18"/>
      <c r="TD30" s="18"/>
      <c r="TE30" s="18"/>
      <c r="TF30" s="18"/>
      <c r="TG30" s="18"/>
      <c r="TH30" s="18"/>
      <c r="TI30" s="18"/>
      <c r="TJ30" s="18"/>
      <c r="TK30" s="18"/>
      <c r="TL30" s="18"/>
      <c r="TM30" s="18"/>
      <c r="TN30" s="18"/>
      <c r="TO30" s="18"/>
      <c r="TP30" s="18"/>
      <c r="TQ30" s="18"/>
      <c r="TR30" s="18"/>
      <c r="TS30" s="18"/>
      <c r="TT30" s="18"/>
      <c r="TU30" s="18"/>
      <c r="TV30" s="18"/>
      <c r="TW30" s="18"/>
      <c r="TX30" s="18"/>
      <c r="TY30" s="18"/>
      <c r="TZ30" s="18"/>
      <c r="UA30" s="18"/>
      <c r="UB30" s="18"/>
      <c r="UC30" s="18"/>
      <c r="UD30" s="18"/>
      <c r="UE30" s="18"/>
      <c r="UF30" s="18"/>
      <c r="UG30" s="18"/>
      <c r="UH30" s="18"/>
      <c r="UI30" s="18"/>
      <c r="UJ30" s="18"/>
      <c r="UK30" s="18"/>
      <c r="UL30" s="18"/>
      <c r="UM30" s="18"/>
      <c r="UN30" s="18"/>
      <c r="UO30" s="18"/>
      <c r="UP30" s="18"/>
      <c r="UQ30" s="18"/>
      <c r="UR30" s="18"/>
      <c r="US30" s="18"/>
      <c r="UT30" s="18"/>
      <c r="UU30" s="18"/>
      <c r="UV30" s="18"/>
      <c r="UW30" s="18"/>
      <c r="UX30" s="18"/>
      <c r="UY30" s="18"/>
      <c r="UZ30" s="18"/>
      <c r="VA30" s="18"/>
      <c r="VB30" s="18"/>
      <c r="VC30" s="18"/>
      <c r="VD30" s="18"/>
      <c r="VE30" s="18"/>
      <c r="VF30" s="18"/>
      <c r="VG30" s="18"/>
      <c r="VH30" s="18"/>
      <c r="VI30" s="18"/>
      <c r="VJ30" s="18"/>
      <c r="VK30" s="18"/>
      <c r="VL30" s="18"/>
      <c r="VM30" s="18"/>
      <c r="VN30" s="18"/>
      <c r="VO30" s="18"/>
      <c r="VP30" s="18"/>
      <c r="VQ30" s="18"/>
      <c r="VR30" s="18"/>
      <c r="VS30" s="18"/>
      <c r="VT30" s="18"/>
      <c r="VU30" s="18"/>
      <c r="VV30" s="18"/>
      <c r="VW30" s="18"/>
      <c r="VX30" s="18"/>
      <c r="VY30" s="18"/>
      <c r="VZ30" s="18"/>
      <c r="WA30" s="18"/>
      <c r="WB30" s="18"/>
      <c r="WC30" s="18"/>
      <c r="WD30" s="18"/>
      <c r="WE30" s="18"/>
      <c r="WF30" s="18"/>
      <c r="WG30" s="18"/>
      <c r="WH30" s="18"/>
      <c r="WI30" s="18"/>
      <c r="WJ30" s="18"/>
      <c r="WK30" s="18"/>
      <c r="WL30" s="18"/>
      <c r="WM30" s="18"/>
      <c r="WN30" s="18"/>
      <c r="WO30" s="18"/>
      <c r="WP30" s="18"/>
      <c r="WQ30" s="18"/>
      <c r="WR30" s="18"/>
      <c r="WS30" s="18"/>
      <c r="WT30" s="18"/>
      <c r="WU30" s="18"/>
      <c r="WV30" s="18"/>
      <c r="WW30" s="18"/>
      <c r="WX30" s="18"/>
      <c r="WY30" s="18"/>
      <c r="WZ30" s="18"/>
      <c r="XA30" s="18"/>
      <c r="XB30" s="18"/>
      <c r="XC30" s="18"/>
      <c r="XD30" s="18"/>
      <c r="XE30" s="18"/>
      <c r="XF30" s="18"/>
      <c r="XG30" s="18"/>
      <c r="XH30" s="18"/>
      <c r="XI30" s="18"/>
      <c r="XJ30" s="18"/>
      <c r="XK30" s="18"/>
      <c r="XL30" s="18"/>
      <c r="XM30" s="18"/>
      <c r="XN30" s="18"/>
      <c r="XO30" s="18"/>
      <c r="XP30" s="18"/>
      <c r="XQ30" s="18"/>
      <c r="XR30" s="18"/>
      <c r="XS30" s="18"/>
      <c r="XT30" s="18"/>
      <c r="XU30" s="18"/>
      <c r="XV30" s="18"/>
      <c r="XW30" s="18"/>
      <c r="XX30" s="18"/>
      <c r="XY30" s="18"/>
      <c r="XZ30" s="18"/>
      <c r="YA30" s="18"/>
      <c r="YB30" s="18"/>
      <c r="YC30" s="18"/>
      <c r="YD30" s="18"/>
      <c r="YE30" s="18"/>
      <c r="YF30" s="18"/>
      <c r="YG30" s="18"/>
      <c r="YH30" s="18"/>
      <c r="YI30" s="18"/>
      <c r="YJ30" s="18"/>
      <c r="YK30" s="18"/>
      <c r="YL30" s="18"/>
      <c r="YM30" s="18"/>
      <c r="YN30" s="18"/>
      <c r="YO30" s="18"/>
      <c r="YP30" s="18"/>
      <c r="YQ30" s="18"/>
      <c r="YR30" s="18"/>
      <c r="YS30" s="18"/>
      <c r="YT30" s="18"/>
      <c r="YU30" s="18"/>
      <c r="YV30" s="18"/>
      <c r="YW30" s="18"/>
      <c r="YX30" s="18"/>
      <c r="YY30" s="18"/>
      <c r="YZ30" s="18"/>
      <c r="ZA30" s="18"/>
      <c r="ZB30" s="18"/>
      <c r="ZC30" s="18"/>
      <c r="ZD30" s="18"/>
      <c r="ZE30" s="18"/>
      <c r="ZF30" s="18"/>
      <c r="ZG30" s="18"/>
      <c r="ZH30" s="18"/>
      <c r="ZI30" s="18"/>
      <c r="ZJ30" s="18"/>
      <c r="ZK30" s="18"/>
      <c r="ZL30" s="18"/>
      <c r="ZM30" s="18"/>
      <c r="ZN30" s="18"/>
      <c r="ZO30" s="18"/>
      <c r="ZP30" s="18"/>
      <c r="ZQ30" s="18"/>
      <c r="ZR30" s="18"/>
      <c r="ZS30" s="18"/>
      <c r="ZT30" s="18"/>
      <c r="ZU30" s="18"/>
      <c r="ZV30" s="18"/>
      <c r="ZW30" s="18"/>
      <c r="ZX30" s="18"/>
      <c r="ZY30" s="18"/>
      <c r="ZZ30" s="18"/>
      <c r="AAA30" s="18"/>
      <c r="AAB30" s="18"/>
      <c r="AAC30" s="18"/>
      <c r="AAD30" s="18"/>
      <c r="AAE30" s="18"/>
      <c r="AAF30" s="18"/>
      <c r="AAG30" s="18"/>
      <c r="AAH30" s="18"/>
      <c r="AAI30" s="18"/>
      <c r="AAJ30" s="18"/>
      <c r="AAK30" s="18"/>
      <c r="AAL30" s="18"/>
      <c r="AAM30" s="18"/>
      <c r="AAN30" s="18"/>
      <c r="AAO30" s="18"/>
      <c r="AAP30" s="18"/>
      <c r="AAQ30" s="18"/>
      <c r="AAR30" s="18"/>
      <c r="AAS30" s="18"/>
      <c r="AAT30" s="18"/>
      <c r="AAU30" s="18"/>
      <c r="AAV30" s="18"/>
      <c r="AAW30" s="18"/>
      <c r="AAX30" s="18"/>
      <c r="AAY30" s="18"/>
      <c r="AAZ30" s="18"/>
      <c r="ABA30" s="18"/>
      <c r="ABB30" s="18"/>
      <c r="ABC30" s="18"/>
      <c r="ABD30" s="18"/>
      <c r="ABE30" s="18"/>
      <c r="ABF30" s="18"/>
      <c r="ABG30" s="18"/>
      <c r="ABH30" s="18"/>
      <c r="ABI30" s="18"/>
      <c r="ABJ30" s="18"/>
      <c r="ABK30" s="18"/>
      <c r="ABL30" s="18"/>
      <c r="ABM30" s="18"/>
      <c r="ABN30" s="18"/>
      <c r="ABO30" s="18"/>
      <c r="ABP30" s="18"/>
      <c r="ABQ30" s="18"/>
      <c r="ABR30" s="18"/>
      <c r="ABS30" s="18"/>
      <c r="ABT30" s="18"/>
      <c r="ABU30" s="18"/>
      <c r="ABV30" s="18"/>
      <c r="ABW30" s="18"/>
      <c r="ABX30" s="18"/>
      <c r="ABY30" s="18"/>
      <c r="ABZ30" s="18"/>
      <c r="ACA30" s="18"/>
      <c r="ACB30" s="18"/>
      <c r="ACC30" s="18"/>
      <c r="ACD30" s="18"/>
      <c r="ACE30" s="18"/>
      <c r="ACF30" s="18"/>
      <c r="ACG30" s="18"/>
      <c r="ACH30" s="18"/>
      <c r="ACI30" s="18"/>
      <c r="ACJ30" s="18"/>
      <c r="ACK30" s="18"/>
      <c r="ACL30" s="18"/>
      <c r="ACM30" s="18"/>
      <c r="ACN30" s="18"/>
      <c r="ACO30" s="18"/>
      <c r="ACP30" s="18"/>
      <c r="ACQ30" s="18"/>
      <c r="ACR30" s="18"/>
      <c r="ACS30" s="18"/>
      <c r="ACT30" s="18"/>
      <c r="ACU30" s="18"/>
      <c r="ACV30" s="18"/>
      <c r="ACW30" s="18"/>
      <c r="ACX30" s="18"/>
      <c r="ACY30" s="18"/>
      <c r="ACZ30" s="18"/>
      <c r="ADA30" s="18"/>
      <c r="ADB30" s="18"/>
      <c r="ADC30" s="18"/>
      <c r="ADD30" s="18"/>
      <c r="ADE30" s="18"/>
      <c r="ADF30" s="18"/>
      <c r="ADG30" s="18"/>
      <c r="ADH30" s="18"/>
      <c r="ADI30" s="18"/>
      <c r="ADJ30" s="18"/>
      <c r="ADK30" s="18"/>
      <c r="ADL30" s="18"/>
      <c r="ADM30" s="18"/>
      <c r="ADN30" s="18"/>
      <c r="ADO30" s="18"/>
      <c r="ADP30" s="18"/>
      <c r="ADQ30" s="18"/>
      <c r="ADR30" s="18"/>
      <c r="ADS30" s="18"/>
      <c r="ADT30" s="18"/>
      <c r="ADU30" s="18"/>
      <c r="ADV30" s="18"/>
      <c r="ADW30" s="18"/>
      <c r="ADX30" s="18"/>
      <c r="ADY30" s="18"/>
      <c r="ADZ30" s="18"/>
      <c r="AEA30" s="18"/>
      <c r="AEB30" s="18"/>
      <c r="AEC30" s="18"/>
      <c r="AED30" s="18"/>
      <c r="AEE30" s="18"/>
      <c r="AEF30" s="18"/>
      <c r="AEG30" s="18"/>
      <c r="AEH30" s="18"/>
      <c r="AEI30" s="18"/>
      <c r="AEJ30" s="18"/>
      <c r="AEK30" s="18"/>
      <c r="AEL30" s="18"/>
      <c r="AEM30" s="18"/>
      <c r="AEN30" s="18"/>
      <c r="AEO30" s="18"/>
      <c r="AEP30" s="18"/>
      <c r="AEQ30" s="18"/>
      <c r="AER30" s="18"/>
      <c r="AES30" s="18"/>
      <c r="AET30" s="18"/>
      <c r="AEU30" s="18"/>
      <c r="AEV30" s="18"/>
      <c r="AEW30" s="18"/>
      <c r="AEX30" s="18"/>
      <c r="AEY30" s="18"/>
      <c r="AEZ30" s="18"/>
      <c r="AFA30" s="18"/>
      <c r="AFB30" s="18"/>
      <c r="AFC30" s="18"/>
      <c r="AFD30" s="18"/>
      <c r="AFE30" s="18"/>
      <c r="AFF30" s="18"/>
      <c r="AFG30" s="18"/>
      <c r="AFH30" s="18"/>
      <c r="AFI30" s="18"/>
      <c r="AFJ30" s="18"/>
      <c r="AFK30" s="18"/>
      <c r="AFL30" s="18"/>
      <c r="AFM30" s="18"/>
      <c r="AFN30" s="18"/>
      <c r="AFO30" s="18"/>
      <c r="AFP30" s="18"/>
      <c r="AFQ30" s="18"/>
      <c r="AFR30" s="18"/>
      <c r="AFS30" s="18"/>
      <c r="AFT30" s="18"/>
      <c r="AFU30" s="18"/>
      <c r="AFV30" s="18"/>
      <c r="AFW30" s="18"/>
      <c r="AFX30" s="18"/>
      <c r="AFY30" s="18"/>
      <c r="AFZ30" s="18"/>
      <c r="AGA30" s="18"/>
      <c r="AGB30" s="18"/>
      <c r="AGC30" s="18"/>
      <c r="AGD30" s="18"/>
      <c r="AGE30" s="18"/>
      <c r="AGF30" s="18"/>
      <c r="AGG30" s="18"/>
      <c r="AGH30" s="18"/>
      <c r="AGI30" s="18"/>
      <c r="AGJ30" s="18"/>
      <c r="AGK30" s="18"/>
      <c r="AGL30" s="18"/>
      <c r="AGM30" s="18"/>
      <c r="AGN30" s="18"/>
      <c r="AGO30" s="18"/>
      <c r="AGP30" s="18"/>
      <c r="AGQ30" s="18"/>
      <c r="AGR30" s="18"/>
      <c r="AGS30" s="18"/>
      <c r="AGT30" s="18"/>
      <c r="AGU30" s="18"/>
      <c r="AGV30" s="18"/>
      <c r="AGW30" s="18"/>
      <c r="AGX30" s="18"/>
      <c r="AGY30" s="18"/>
      <c r="AGZ30" s="18"/>
      <c r="AHA30" s="18"/>
      <c r="AHB30" s="18"/>
      <c r="AHC30" s="18"/>
      <c r="AHD30" s="18"/>
      <c r="AHE30" s="18"/>
      <c r="AHF30" s="18"/>
      <c r="AHG30" s="18"/>
      <c r="AHH30" s="18"/>
      <c r="AHI30" s="18"/>
      <c r="AHJ30" s="18"/>
      <c r="AHK30" s="18"/>
      <c r="AHL30" s="18"/>
      <c r="AHM30" s="18"/>
      <c r="AHN30" s="18"/>
      <c r="AHO30" s="18"/>
      <c r="AHP30" s="18"/>
      <c r="AHQ30" s="18"/>
      <c r="AHR30" s="18"/>
      <c r="AHS30" s="18"/>
      <c r="AHT30" s="18"/>
      <c r="AHU30" s="18"/>
      <c r="AHV30" s="18"/>
      <c r="AHW30" s="18"/>
      <c r="AHX30" s="18"/>
      <c r="AHY30" s="18"/>
      <c r="AHZ30" s="18"/>
      <c r="AIA30" s="18"/>
      <c r="AIB30" s="18"/>
      <c r="AIC30" s="18"/>
      <c r="AID30" s="18"/>
      <c r="AIE30" s="18"/>
      <c r="AIF30" s="18"/>
      <c r="AIG30" s="18"/>
      <c r="AIH30" s="18"/>
      <c r="AII30" s="18"/>
      <c r="AIJ30" s="18"/>
      <c r="AIK30" s="18"/>
      <c r="AIL30" s="18"/>
      <c r="AIM30" s="18"/>
      <c r="AIN30" s="18"/>
      <c r="AIO30" s="18"/>
      <c r="AIP30" s="18"/>
      <c r="AIQ30" s="18"/>
      <c r="AIR30" s="18"/>
      <c r="AIS30" s="18"/>
      <c r="AIT30" s="18"/>
      <c r="AIU30" s="18"/>
      <c r="AIV30" s="18"/>
      <c r="AIW30" s="18"/>
      <c r="AIX30" s="18"/>
      <c r="AIY30" s="18"/>
      <c r="AIZ30" s="18"/>
      <c r="AJA30" s="18"/>
      <c r="AJB30" s="18"/>
      <c r="AJC30" s="18"/>
      <c r="AJD30" s="18"/>
      <c r="AJE30" s="18"/>
      <c r="AJF30" s="18"/>
      <c r="AJG30" s="18"/>
      <c r="AJH30" s="18"/>
      <c r="AJI30" s="18"/>
      <c r="AJJ30" s="18"/>
      <c r="AJK30" s="18"/>
      <c r="AJL30" s="18"/>
      <c r="AJM30" s="18"/>
      <c r="AJN30" s="18"/>
      <c r="AJO30" s="18"/>
      <c r="AJP30" s="18"/>
      <c r="AJQ30" s="18"/>
      <c r="AJR30" s="18"/>
      <c r="AJS30" s="18"/>
      <c r="AJT30" s="18"/>
      <c r="AJU30" s="18"/>
      <c r="AJV30" s="18"/>
      <c r="AJW30" s="18"/>
      <c r="AJX30" s="18"/>
      <c r="AJY30" s="18"/>
      <c r="AJZ30" s="18"/>
      <c r="AKA30" s="18"/>
      <c r="AKB30" s="18"/>
      <c r="AKC30" s="18"/>
      <c r="AKD30" s="18"/>
      <c r="AKE30" s="18"/>
      <c r="AKF30" s="18"/>
      <c r="AKG30" s="18"/>
      <c r="AKH30" s="18"/>
      <c r="AKI30" s="18"/>
      <c r="AKJ30" s="18"/>
      <c r="AKK30" s="18"/>
      <c r="AKL30" s="18"/>
      <c r="AKM30" s="18"/>
      <c r="AKN30" s="18"/>
      <c r="AKO30" s="18"/>
      <c r="AKP30" s="18"/>
      <c r="AKQ30" s="18"/>
      <c r="AKR30" s="18"/>
      <c r="AKS30" s="18"/>
      <c r="AKT30" s="18"/>
      <c r="AKU30" s="18"/>
      <c r="AKV30" s="18"/>
      <c r="AKW30" s="18"/>
      <c r="AKX30" s="18"/>
      <c r="AKY30" s="18"/>
      <c r="AKZ30" s="18"/>
      <c r="ALA30" s="18"/>
      <c r="ALB30" s="18"/>
      <c r="ALC30" s="18"/>
      <c r="ALD30" s="18"/>
      <c r="ALE30" s="18"/>
      <c r="ALF30" s="18"/>
      <c r="ALG30" s="18"/>
      <c r="ALH30" s="18"/>
      <c r="ALI30" s="18"/>
      <c r="ALJ30" s="18"/>
      <c r="ALK30" s="18"/>
      <c r="ALL30" s="18"/>
      <c r="ALM30" s="18"/>
      <c r="ALN30" s="18"/>
      <c r="ALO30" s="18"/>
      <c r="ALP30" s="18"/>
      <c r="ALQ30" s="18"/>
      <c r="ALR30" s="18"/>
      <c r="ALS30" s="18"/>
      <c r="ALT30" s="18"/>
    </row>
    <row r="31" spans="1:1008">
      <c r="A31" s="251" t="s">
        <v>6307</v>
      </c>
      <c r="B31" s="290">
        <v>751</v>
      </c>
      <c r="C31" s="278" t="str">
        <f>(IF($A31="SINAPI",INDEX(SINAPI_NOV2020_NDES!$A$7:$H$6703,MATCH($B31,SINAPI_NOV2020_NDES!$A$7:$A$6703,0),2),IF($A31="GOINFRA",INDEX(#REF!,MATCH($B31,#REF!,0),2),(INDEX(COMPOS!$A$4:$G$390,MATCH($B31,COMPOS!$A$4:A$390,0),2)))))</f>
        <v>TAMPA CEGA PLÁSTICA 4"X2" COM FURO CENTRAL (PARA TV/SOM...)</v>
      </c>
      <c r="D31" s="274" t="str">
        <f>(IF($A31="SINAPI",INDEX(SINAPI_NOV2020_NDES!$A$7:$H$6790,MATCH($B31,SINAPI_NOV2020_NDES!$A$7:$A$6790,0),3),(INDEX(COMPOS!$A$4:$G$5000,MATCH($B31,COMPOS!$A$4:$A$5000,0),3))))</f>
        <v>UN</v>
      </c>
      <c r="E31" s="314">
        <v>8</v>
      </c>
      <c r="F31" s="279">
        <f>(IF($A31="SINAPI",INDEX(SINAPI_NOV2020_NDES!$A$7:$H$6703,MATCH($B31,SINAPI_NOV2020_NDES!$A$7:$A$6703,0),5),(INDEX(COMPOS!$A$4:$G$801,MATCH($B31,COMPOS!$A$4:A$801,0),4))))</f>
        <v>1.1589</v>
      </c>
      <c r="G31" s="280">
        <f>(IF($A31="SINAPI",INDEX(SINAPI_NOV2020_NDES!$A$7:$H$6703,MATCH($B31,SINAPI_NOV2020_NDES!$A$7:$A$6703,0),6),(INDEX(COMPOS!$A$4:$G$801,MATCH($B31,COMPOS!$A$4:A$801,0),5))))</f>
        <v>1.55</v>
      </c>
      <c r="H31" s="280">
        <f>(IF($A31="SINAPI",INDEX(SINAPI_NOV2020_NDES!$A$7:$H$6703,MATCH($B31,SINAPI_NOV2020_NDES!$A$7:$A$6703,0),7),(INDEX(COMPOS!$A$4:$G$801,MATCH($B31,COMPOS!$A$4:A$801,0),6))))</f>
        <v>0</v>
      </c>
      <c r="I31" s="279">
        <f t="shared" si="8"/>
        <v>2.7088999999999999</v>
      </c>
      <c r="J31" s="276">
        <f t="shared" si="9"/>
        <v>21.671199999999999</v>
      </c>
      <c r="K31" s="191"/>
      <c r="L31" s="191"/>
      <c r="M31" s="191"/>
      <c r="N31" s="191"/>
      <c r="O31" s="262"/>
      <c r="P31" s="263"/>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c r="JF31" s="18"/>
      <c r="JG31" s="18"/>
      <c r="JH31" s="18"/>
      <c r="JI31" s="18"/>
      <c r="JJ31" s="18"/>
      <c r="JK31" s="18"/>
      <c r="JL31" s="18"/>
      <c r="JM31" s="18"/>
      <c r="JN31" s="18"/>
      <c r="JO31" s="18"/>
      <c r="JP31" s="18"/>
      <c r="JQ31" s="18"/>
      <c r="JR31" s="18"/>
      <c r="JS31" s="18"/>
      <c r="JT31" s="18"/>
      <c r="JU31" s="18"/>
      <c r="JV31" s="18"/>
      <c r="JW31" s="18"/>
      <c r="JX31" s="18"/>
      <c r="JY31" s="18"/>
      <c r="JZ31" s="18"/>
      <c r="KA31" s="18"/>
      <c r="KB31" s="18"/>
      <c r="KC31" s="18"/>
      <c r="KD31" s="18"/>
      <c r="KE31" s="18"/>
      <c r="KF31" s="18"/>
      <c r="KG31" s="18"/>
      <c r="KH31" s="18"/>
      <c r="KI31" s="18"/>
      <c r="KJ31" s="18"/>
      <c r="KK31" s="18"/>
      <c r="KL31" s="18"/>
      <c r="KM31" s="18"/>
      <c r="KN31" s="18"/>
      <c r="KO31" s="18"/>
      <c r="KP31" s="18"/>
      <c r="KQ31" s="18"/>
      <c r="KR31" s="18"/>
      <c r="KS31" s="18"/>
      <c r="KT31" s="18"/>
      <c r="KU31" s="18"/>
      <c r="KV31" s="18"/>
      <c r="KW31" s="18"/>
      <c r="KX31" s="18"/>
      <c r="KY31" s="18"/>
      <c r="KZ31" s="18"/>
      <c r="LA31" s="18"/>
      <c r="LB31" s="18"/>
      <c r="LC31" s="18"/>
      <c r="LD31" s="18"/>
      <c r="LE31" s="18"/>
      <c r="LF31" s="18"/>
      <c r="LG31" s="18"/>
      <c r="LH31" s="18"/>
      <c r="LI31" s="18"/>
      <c r="LJ31" s="18"/>
      <c r="LK31" s="18"/>
      <c r="LL31" s="18"/>
      <c r="LM31" s="18"/>
      <c r="LN31" s="18"/>
      <c r="LO31" s="18"/>
      <c r="LP31" s="18"/>
      <c r="LQ31" s="18"/>
      <c r="LR31" s="18"/>
      <c r="LS31" s="18"/>
      <c r="LT31" s="18"/>
      <c r="LU31" s="18"/>
      <c r="LV31" s="18"/>
      <c r="LW31" s="18"/>
      <c r="LX31" s="18"/>
      <c r="LY31" s="18"/>
      <c r="LZ31" s="18"/>
      <c r="MA31" s="18"/>
      <c r="MB31" s="18"/>
      <c r="MC31" s="18"/>
      <c r="MD31" s="18"/>
      <c r="ME31" s="18"/>
      <c r="MF31" s="18"/>
      <c r="MG31" s="18"/>
      <c r="MH31" s="18"/>
      <c r="MI31" s="18"/>
      <c r="MJ31" s="18"/>
      <c r="MK31" s="18"/>
      <c r="ML31" s="18"/>
      <c r="MM31" s="18"/>
      <c r="MN31" s="18"/>
      <c r="MO31" s="18"/>
      <c r="MP31" s="18"/>
      <c r="MQ31" s="18"/>
      <c r="MR31" s="18"/>
      <c r="MS31" s="18"/>
      <c r="MT31" s="18"/>
      <c r="MU31" s="18"/>
      <c r="MV31" s="18"/>
      <c r="MW31" s="18"/>
      <c r="MX31" s="18"/>
      <c r="MY31" s="18"/>
      <c r="MZ31" s="18"/>
      <c r="NA31" s="18"/>
      <c r="NB31" s="18"/>
      <c r="NC31" s="18"/>
      <c r="ND31" s="18"/>
      <c r="NE31" s="18"/>
      <c r="NF31" s="18"/>
      <c r="NG31" s="18"/>
      <c r="NH31" s="18"/>
      <c r="NI31" s="18"/>
      <c r="NJ31" s="18"/>
      <c r="NK31" s="18"/>
      <c r="NL31" s="18"/>
      <c r="NM31" s="18"/>
      <c r="NN31" s="18"/>
      <c r="NO31" s="18"/>
      <c r="NP31" s="18"/>
      <c r="NQ31" s="18"/>
      <c r="NR31" s="18"/>
      <c r="NS31" s="18"/>
      <c r="NT31" s="18"/>
      <c r="NU31" s="18"/>
      <c r="NV31" s="18"/>
      <c r="NW31" s="18"/>
      <c r="NX31" s="18"/>
      <c r="NY31" s="18"/>
      <c r="NZ31" s="18"/>
      <c r="OA31" s="18"/>
      <c r="OB31" s="18"/>
      <c r="OC31" s="18"/>
      <c r="OD31" s="18"/>
      <c r="OE31" s="18"/>
      <c r="OF31" s="18"/>
      <c r="OG31" s="18"/>
      <c r="OH31" s="18"/>
      <c r="OI31" s="18"/>
      <c r="OJ31" s="18"/>
      <c r="OK31" s="18"/>
      <c r="OL31" s="18"/>
      <c r="OM31" s="18"/>
      <c r="ON31" s="18"/>
      <c r="OO31" s="18"/>
      <c r="OP31" s="18"/>
      <c r="OQ31" s="18"/>
      <c r="OR31" s="18"/>
      <c r="OS31" s="18"/>
      <c r="OT31" s="18"/>
      <c r="OU31" s="18"/>
      <c r="OV31" s="18"/>
      <c r="OW31" s="18"/>
      <c r="OX31" s="18"/>
      <c r="OY31" s="18"/>
      <c r="OZ31" s="18"/>
      <c r="PA31" s="18"/>
      <c r="PB31" s="18"/>
      <c r="PC31" s="18"/>
      <c r="PD31" s="18"/>
      <c r="PE31" s="18"/>
      <c r="PF31" s="18"/>
      <c r="PG31" s="18"/>
      <c r="PH31" s="18"/>
      <c r="PI31" s="18"/>
      <c r="PJ31" s="18"/>
      <c r="PK31" s="18"/>
      <c r="PL31" s="18"/>
      <c r="PM31" s="18"/>
      <c r="PN31" s="18"/>
      <c r="PO31" s="18"/>
      <c r="PP31" s="18"/>
      <c r="PQ31" s="18"/>
      <c r="PR31" s="18"/>
      <c r="PS31" s="18"/>
      <c r="PT31" s="18"/>
      <c r="PU31" s="18"/>
      <c r="PV31" s="18"/>
      <c r="PW31" s="18"/>
      <c r="PX31" s="18"/>
      <c r="PY31" s="18"/>
      <c r="PZ31" s="18"/>
      <c r="QA31" s="18"/>
      <c r="QB31" s="18"/>
      <c r="QC31" s="18"/>
      <c r="QD31" s="18"/>
      <c r="QE31" s="18"/>
      <c r="QF31" s="18"/>
      <c r="QG31" s="18"/>
      <c r="QH31" s="18"/>
      <c r="QI31" s="18"/>
      <c r="QJ31" s="18"/>
      <c r="QK31" s="18"/>
      <c r="QL31" s="18"/>
      <c r="QM31" s="18"/>
      <c r="QN31" s="18"/>
      <c r="QO31" s="18"/>
      <c r="QP31" s="18"/>
      <c r="QQ31" s="18"/>
      <c r="QR31" s="18"/>
      <c r="QS31" s="18"/>
      <c r="QT31" s="18"/>
      <c r="QU31" s="18"/>
      <c r="QV31" s="18"/>
      <c r="QW31" s="18"/>
      <c r="QX31" s="18"/>
      <c r="QY31" s="18"/>
      <c r="QZ31" s="18"/>
      <c r="RA31" s="18"/>
      <c r="RB31" s="18"/>
      <c r="RC31" s="18"/>
      <c r="RD31" s="18"/>
      <c r="RE31" s="18"/>
      <c r="RF31" s="18"/>
      <c r="RG31" s="18"/>
      <c r="RH31" s="18"/>
      <c r="RI31" s="18"/>
      <c r="RJ31" s="18"/>
      <c r="RK31" s="18"/>
      <c r="RL31" s="18"/>
      <c r="RM31" s="18"/>
      <c r="RN31" s="18"/>
      <c r="RO31" s="18"/>
      <c r="RP31" s="18"/>
      <c r="RQ31" s="18"/>
      <c r="RR31" s="18"/>
      <c r="RS31" s="18"/>
      <c r="RT31" s="18"/>
      <c r="RU31" s="18"/>
      <c r="RV31" s="18"/>
      <c r="RW31" s="18"/>
      <c r="RX31" s="18"/>
      <c r="RY31" s="18"/>
      <c r="RZ31" s="18"/>
      <c r="SA31" s="18"/>
      <c r="SB31" s="18"/>
      <c r="SC31" s="18"/>
      <c r="SD31" s="18"/>
      <c r="SE31" s="18"/>
      <c r="SF31" s="18"/>
      <c r="SG31" s="18"/>
      <c r="SH31" s="18"/>
      <c r="SI31" s="18"/>
      <c r="SJ31" s="18"/>
      <c r="SK31" s="18"/>
      <c r="SL31" s="18"/>
      <c r="SM31" s="18"/>
      <c r="SN31" s="18"/>
      <c r="SO31" s="18"/>
      <c r="SP31" s="18"/>
      <c r="SQ31" s="18"/>
      <c r="SR31" s="18"/>
      <c r="SS31" s="18"/>
      <c r="ST31" s="18"/>
      <c r="SU31" s="18"/>
      <c r="SV31" s="18"/>
      <c r="SW31" s="18"/>
      <c r="SX31" s="18"/>
      <c r="SY31" s="18"/>
      <c r="SZ31" s="18"/>
      <c r="TA31" s="18"/>
      <c r="TB31" s="18"/>
      <c r="TC31" s="18"/>
      <c r="TD31" s="18"/>
      <c r="TE31" s="18"/>
      <c r="TF31" s="18"/>
      <c r="TG31" s="18"/>
      <c r="TH31" s="18"/>
      <c r="TI31" s="18"/>
      <c r="TJ31" s="18"/>
      <c r="TK31" s="18"/>
      <c r="TL31" s="18"/>
      <c r="TM31" s="18"/>
      <c r="TN31" s="18"/>
      <c r="TO31" s="18"/>
      <c r="TP31" s="18"/>
      <c r="TQ31" s="18"/>
      <c r="TR31" s="18"/>
      <c r="TS31" s="18"/>
      <c r="TT31" s="18"/>
      <c r="TU31" s="18"/>
      <c r="TV31" s="18"/>
      <c r="TW31" s="18"/>
      <c r="TX31" s="18"/>
      <c r="TY31" s="18"/>
      <c r="TZ31" s="18"/>
      <c r="UA31" s="18"/>
      <c r="UB31" s="18"/>
      <c r="UC31" s="18"/>
      <c r="UD31" s="18"/>
      <c r="UE31" s="18"/>
      <c r="UF31" s="18"/>
      <c r="UG31" s="18"/>
      <c r="UH31" s="18"/>
      <c r="UI31" s="18"/>
      <c r="UJ31" s="18"/>
      <c r="UK31" s="18"/>
      <c r="UL31" s="18"/>
      <c r="UM31" s="18"/>
      <c r="UN31" s="18"/>
      <c r="UO31" s="18"/>
      <c r="UP31" s="18"/>
      <c r="UQ31" s="18"/>
      <c r="UR31" s="18"/>
      <c r="US31" s="18"/>
      <c r="UT31" s="18"/>
      <c r="UU31" s="18"/>
      <c r="UV31" s="18"/>
      <c r="UW31" s="18"/>
      <c r="UX31" s="18"/>
      <c r="UY31" s="18"/>
      <c r="UZ31" s="18"/>
      <c r="VA31" s="18"/>
      <c r="VB31" s="18"/>
      <c r="VC31" s="18"/>
      <c r="VD31" s="18"/>
      <c r="VE31" s="18"/>
      <c r="VF31" s="18"/>
      <c r="VG31" s="18"/>
      <c r="VH31" s="18"/>
      <c r="VI31" s="18"/>
      <c r="VJ31" s="18"/>
      <c r="VK31" s="18"/>
      <c r="VL31" s="18"/>
      <c r="VM31" s="18"/>
      <c r="VN31" s="18"/>
      <c r="VO31" s="18"/>
      <c r="VP31" s="18"/>
      <c r="VQ31" s="18"/>
      <c r="VR31" s="18"/>
      <c r="VS31" s="18"/>
      <c r="VT31" s="18"/>
      <c r="VU31" s="18"/>
      <c r="VV31" s="18"/>
      <c r="VW31" s="18"/>
      <c r="VX31" s="18"/>
      <c r="VY31" s="18"/>
      <c r="VZ31" s="18"/>
      <c r="WA31" s="18"/>
      <c r="WB31" s="18"/>
      <c r="WC31" s="18"/>
      <c r="WD31" s="18"/>
      <c r="WE31" s="18"/>
      <c r="WF31" s="18"/>
      <c r="WG31" s="18"/>
      <c r="WH31" s="18"/>
      <c r="WI31" s="18"/>
      <c r="WJ31" s="18"/>
      <c r="WK31" s="18"/>
      <c r="WL31" s="18"/>
      <c r="WM31" s="18"/>
      <c r="WN31" s="18"/>
      <c r="WO31" s="18"/>
      <c r="WP31" s="18"/>
      <c r="WQ31" s="18"/>
      <c r="WR31" s="18"/>
      <c r="WS31" s="18"/>
      <c r="WT31" s="18"/>
      <c r="WU31" s="18"/>
      <c r="WV31" s="18"/>
      <c r="WW31" s="18"/>
      <c r="WX31" s="18"/>
      <c r="WY31" s="18"/>
      <c r="WZ31" s="18"/>
      <c r="XA31" s="18"/>
      <c r="XB31" s="18"/>
      <c r="XC31" s="18"/>
      <c r="XD31" s="18"/>
      <c r="XE31" s="18"/>
      <c r="XF31" s="18"/>
      <c r="XG31" s="18"/>
      <c r="XH31" s="18"/>
      <c r="XI31" s="18"/>
      <c r="XJ31" s="18"/>
      <c r="XK31" s="18"/>
      <c r="XL31" s="18"/>
      <c r="XM31" s="18"/>
      <c r="XN31" s="18"/>
      <c r="XO31" s="18"/>
      <c r="XP31" s="18"/>
      <c r="XQ31" s="18"/>
      <c r="XR31" s="18"/>
      <c r="XS31" s="18"/>
      <c r="XT31" s="18"/>
      <c r="XU31" s="18"/>
      <c r="XV31" s="18"/>
      <c r="XW31" s="18"/>
      <c r="XX31" s="18"/>
      <c r="XY31" s="18"/>
      <c r="XZ31" s="18"/>
      <c r="YA31" s="18"/>
      <c r="YB31" s="18"/>
      <c r="YC31" s="18"/>
      <c r="YD31" s="18"/>
      <c r="YE31" s="18"/>
      <c r="YF31" s="18"/>
      <c r="YG31" s="18"/>
      <c r="YH31" s="18"/>
      <c r="YI31" s="18"/>
      <c r="YJ31" s="18"/>
      <c r="YK31" s="18"/>
      <c r="YL31" s="18"/>
      <c r="YM31" s="18"/>
      <c r="YN31" s="18"/>
      <c r="YO31" s="18"/>
      <c r="YP31" s="18"/>
      <c r="YQ31" s="18"/>
      <c r="YR31" s="18"/>
      <c r="YS31" s="18"/>
      <c r="YT31" s="18"/>
      <c r="YU31" s="18"/>
      <c r="YV31" s="18"/>
      <c r="YW31" s="18"/>
      <c r="YX31" s="18"/>
      <c r="YY31" s="18"/>
      <c r="YZ31" s="18"/>
      <c r="ZA31" s="18"/>
      <c r="ZB31" s="18"/>
      <c r="ZC31" s="18"/>
      <c r="ZD31" s="18"/>
      <c r="ZE31" s="18"/>
      <c r="ZF31" s="18"/>
      <c r="ZG31" s="18"/>
      <c r="ZH31" s="18"/>
      <c r="ZI31" s="18"/>
      <c r="ZJ31" s="18"/>
      <c r="ZK31" s="18"/>
      <c r="ZL31" s="18"/>
      <c r="ZM31" s="18"/>
      <c r="ZN31" s="18"/>
      <c r="ZO31" s="18"/>
      <c r="ZP31" s="18"/>
      <c r="ZQ31" s="18"/>
      <c r="ZR31" s="18"/>
      <c r="ZS31" s="18"/>
      <c r="ZT31" s="18"/>
      <c r="ZU31" s="18"/>
      <c r="ZV31" s="18"/>
      <c r="ZW31" s="18"/>
      <c r="ZX31" s="18"/>
      <c r="ZY31" s="18"/>
      <c r="ZZ31" s="18"/>
      <c r="AAA31" s="18"/>
      <c r="AAB31" s="18"/>
      <c r="AAC31" s="18"/>
      <c r="AAD31" s="18"/>
      <c r="AAE31" s="18"/>
      <c r="AAF31" s="18"/>
      <c r="AAG31" s="18"/>
      <c r="AAH31" s="18"/>
      <c r="AAI31" s="18"/>
      <c r="AAJ31" s="18"/>
      <c r="AAK31" s="18"/>
      <c r="AAL31" s="18"/>
      <c r="AAM31" s="18"/>
      <c r="AAN31" s="18"/>
      <c r="AAO31" s="18"/>
      <c r="AAP31" s="18"/>
      <c r="AAQ31" s="18"/>
      <c r="AAR31" s="18"/>
      <c r="AAS31" s="18"/>
      <c r="AAT31" s="18"/>
      <c r="AAU31" s="18"/>
      <c r="AAV31" s="18"/>
      <c r="AAW31" s="18"/>
      <c r="AAX31" s="18"/>
      <c r="AAY31" s="18"/>
      <c r="AAZ31" s="18"/>
      <c r="ABA31" s="18"/>
      <c r="ABB31" s="18"/>
      <c r="ABC31" s="18"/>
      <c r="ABD31" s="18"/>
      <c r="ABE31" s="18"/>
      <c r="ABF31" s="18"/>
      <c r="ABG31" s="18"/>
      <c r="ABH31" s="18"/>
      <c r="ABI31" s="18"/>
      <c r="ABJ31" s="18"/>
      <c r="ABK31" s="18"/>
      <c r="ABL31" s="18"/>
      <c r="ABM31" s="18"/>
      <c r="ABN31" s="18"/>
      <c r="ABO31" s="18"/>
      <c r="ABP31" s="18"/>
      <c r="ABQ31" s="18"/>
      <c r="ABR31" s="18"/>
      <c r="ABS31" s="18"/>
      <c r="ABT31" s="18"/>
      <c r="ABU31" s="18"/>
      <c r="ABV31" s="18"/>
      <c r="ABW31" s="18"/>
      <c r="ABX31" s="18"/>
      <c r="ABY31" s="18"/>
      <c r="ABZ31" s="18"/>
      <c r="ACA31" s="18"/>
      <c r="ACB31" s="18"/>
      <c r="ACC31" s="18"/>
      <c r="ACD31" s="18"/>
      <c r="ACE31" s="18"/>
      <c r="ACF31" s="18"/>
      <c r="ACG31" s="18"/>
      <c r="ACH31" s="18"/>
      <c r="ACI31" s="18"/>
      <c r="ACJ31" s="18"/>
      <c r="ACK31" s="18"/>
      <c r="ACL31" s="18"/>
      <c r="ACM31" s="18"/>
      <c r="ACN31" s="18"/>
      <c r="ACO31" s="18"/>
      <c r="ACP31" s="18"/>
      <c r="ACQ31" s="18"/>
      <c r="ACR31" s="18"/>
      <c r="ACS31" s="18"/>
      <c r="ACT31" s="18"/>
      <c r="ACU31" s="18"/>
      <c r="ACV31" s="18"/>
      <c r="ACW31" s="18"/>
      <c r="ACX31" s="18"/>
      <c r="ACY31" s="18"/>
      <c r="ACZ31" s="18"/>
      <c r="ADA31" s="18"/>
      <c r="ADB31" s="18"/>
      <c r="ADC31" s="18"/>
      <c r="ADD31" s="18"/>
      <c r="ADE31" s="18"/>
      <c r="ADF31" s="18"/>
      <c r="ADG31" s="18"/>
      <c r="ADH31" s="18"/>
      <c r="ADI31" s="18"/>
      <c r="ADJ31" s="18"/>
      <c r="ADK31" s="18"/>
      <c r="ADL31" s="18"/>
      <c r="ADM31" s="18"/>
      <c r="ADN31" s="18"/>
      <c r="ADO31" s="18"/>
      <c r="ADP31" s="18"/>
      <c r="ADQ31" s="18"/>
      <c r="ADR31" s="18"/>
      <c r="ADS31" s="18"/>
      <c r="ADT31" s="18"/>
      <c r="ADU31" s="18"/>
      <c r="ADV31" s="18"/>
      <c r="ADW31" s="18"/>
      <c r="ADX31" s="18"/>
      <c r="ADY31" s="18"/>
      <c r="ADZ31" s="18"/>
      <c r="AEA31" s="18"/>
      <c r="AEB31" s="18"/>
      <c r="AEC31" s="18"/>
      <c r="AED31" s="18"/>
      <c r="AEE31" s="18"/>
      <c r="AEF31" s="18"/>
      <c r="AEG31" s="18"/>
      <c r="AEH31" s="18"/>
      <c r="AEI31" s="18"/>
      <c r="AEJ31" s="18"/>
      <c r="AEK31" s="18"/>
      <c r="AEL31" s="18"/>
      <c r="AEM31" s="18"/>
      <c r="AEN31" s="18"/>
      <c r="AEO31" s="18"/>
      <c r="AEP31" s="18"/>
      <c r="AEQ31" s="18"/>
      <c r="AER31" s="18"/>
      <c r="AES31" s="18"/>
      <c r="AET31" s="18"/>
      <c r="AEU31" s="18"/>
      <c r="AEV31" s="18"/>
      <c r="AEW31" s="18"/>
      <c r="AEX31" s="18"/>
      <c r="AEY31" s="18"/>
      <c r="AEZ31" s="18"/>
      <c r="AFA31" s="18"/>
      <c r="AFB31" s="18"/>
      <c r="AFC31" s="18"/>
      <c r="AFD31" s="18"/>
      <c r="AFE31" s="18"/>
      <c r="AFF31" s="18"/>
      <c r="AFG31" s="18"/>
      <c r="AFH31" s="18"/>
      <c r="AFI31" s="18"/>
      <c r="AFJ31" s="18"/>
      <c r="AFK31" s="18"/>
      <c r="AFL31" s="18"/>
      <c r="AFM31" s="18"/>
      <c r="AFN31" s="18"/>
      <c r="AFO31" s="18"/>
      <c r="AFP31" s="18"/>
      <c r="AFQ31" s="18"/>
      <c r="AFR31" s="18"/>
      <c r="AFS31" s="18"/>
      <c r="AFT31" s="18"/>
      <c r="AFU31" s="18"/>
      <c r="AFV31" s="18"/>
      <c r="AFW31" s="18"/>
      <c r="AFX31" s="18"/>
      <c r="AFY31" s="18"/>
      <c r="AFZ31" s="18"/>
      <c r="AGA31" s="18"/>
      <c r="AGB31" s="18"/>
      <c r="AGC31" s="18"/>
      <c r="AGD31" s="18"/>
      <c r="AGE31" s="18"/>
      <c r="AGF31" s="18"/>
      <c r="AGG31" s="18"/>
      <c r="AGH31" s="18"/>
      <c r="AGI31" s="18"/>
      <c r="AGJ31" s="18"/>
      <c r="AGK31" s="18"/>
      <c r="AGL31" s="18"/>
      <c r="AGM31" s="18"/>
      <c r="AGN31" s="18"/>
      <c r="AGO31" s="18"/>
      <c r="AGP31" s="18"/>
      <c r="AGQ31" s="18"/>
      <c r="AGR31" s="18"/>
      <c r="AGS31" s="18"/>
      <c r="AGT31" s="18"/>
      <c r="AGU31" s="18"/>
      <c r="AGV31" s="18"/>
      <c r="AGW31" s="18"/>
      <c r="AGX31" s="18"/>
      <c r="AGY31" s="18"/>
      <c r="AGZ31" s="18"/>
      <c r="AHA31" s="18"/>
      <c r="AHB31" s="18"/>
      <c r="AHC31" s="18"/>
      <c r="AHD31" s="18"/>
      <c r="AHE31" s="18"/>
      <c r="AHF31" s="18"/>
      <c r="AHG31" s="18"/>
      <c r="AHH31" s="18"/>
      <c r="AHI31" s="18"/>
      <c r="AHJ31" s="18"/>
      <c r="AHK31" s="18"/>
      <c r="AHL31" s="18"/>
      <c r="AHM31" s="18"/>
      <c r="AHN31" s="18"/>
      <c r="AHO31" s="18"/>
      <c r="AHP31" s="18"/>
      <c r="AHQ31" s="18"/>
      <c r="AHR31" s="18"/>
      <c r="AHS31" s="18"/>
      <c r="AHT31" s="18"/>
      <c r="AHU31" s="18"/>
      <c r="AHV31" s="18"/>
      <c r="AHW31" s="18"/>
      <c r="AHX31" s="18"/>
      <c r="AHY31" s="18"/>
      <c r="AHZ31" s="18"/>
      <c r="AIA31" s="18"/>
      <c r="AIB31" s="18"/>
      <c r="AIC31" s="18"/>
      <c r="AID31" s="18"/>
      <c r="AIE31" s="18"/>
      <c r="AIF31" s="18"/>
      <c r="AIG31" s="18"/>
      <c r="AIH31" s="18"/>
      <c r="AII31" s="18"/>
      <c r="AIJ31" s="18"/>
      <c r="AIK31" s="18"/>
      <c r="AIL31" s="18"/>
      <c r="AIM31" s="18"/>
      <c r="AIN31" s="18"/>
      <c r="AIO31" s="18"/>
      <c r="AIP31" s="18"/>
      <c r="AIQ31" s="18"/>
      <c r="AIR31" s="18"/>
      <c r="AIS31" s="18"/>
      <c r="AIT31" s="18"/>
      <c r="AIU31" s="18"/>
      <c r="AIV31" s="18"/>
      <c r="AIW31" s="18"/>
      <c r="AIX31" s="18"/>
      <c r="AIY31" s="18"/>
      <c r="AIZ31" s="18"/>
      <c r="AJA31" s="18"/>
      <c r="AJB31" s="18"/>
      <c r="AJC31" s="18"/>
      <c r="AJD31" s="18"/>
      <c r="AJE31" s="18"/>
      <c r="AJF31" s="18"/>
      <c r="AJG31" s="18"/>
      <c r="AJH31" s="18"/>
      <c r="AJI31" s="18"/>
      <c r="AJJ31" s="18"/>
      <c r="AJK31" s="18"/>
      <c r="AJL31" s="18"/>
      <c r="AJM31" s="18"/>
      <c r="AJN31" s="18"/>
      <c r="AJO31" s="18"/>
      <c r="AJP31" s="18"/>
      <c r="AJQ31" s="18"/>
      <c r="AJR31" s="18"/>
      <c r="AJS31" s="18"/>
      <c r="AJT31" s="18"/>
      <c r="AJU31" s="18"/>
      <c r="AJV31" s="18"/>
      <c r="AJW31" s="18"/>
      <c r="AJX31" s="18"/>
      <c r="AJY31" s="18"/>
      <c r="AJZ31" s="18"/>
      <c r="AKA31" s="18"/>
      <c r="AKB31" s="18"/>
      <c r="AKC31" s="18"/>
      <c r="AKD31" s="18"/>
      <c r="AKE31" s="18"/>
      <c r="AKF31" s="18"/>
      <c r="AKG31" s="18"/>
      <c r="AKH31" s="18"/>
      <c r="AKI31" s="18"/>
      <c r="AKJ31" s="18"/>
      <c r="AKK31" s="18"/>
      <c r="AKL31" s="18"/>
      <c r="AKM31" s="18"/>
      <c r="AKN31" s="18"/>
      <c r="AKO31" s="18"/>
      <c r="AKP31" s="18"/>
      <c r="AKQ31" s="18"/>
      <c r="AKR31" s="18"/>
      <c r="AKS31" s="18"/>
      <c r="AKT31" s="18"/>
      <c r="AKU31" s="18"/>
      <c r="AKV31" s="18"/>
      <c r="AKW31" s="18"/>
      <c r="AKX31" s="18"/>
      <c r="AKY31" s="18"/>
      <c r="AKZ31" s="18"/>
      <c r="ALA31" s="18"/>
      <c r="ALB31" s="18"/>
      <c r="ALC31" s="18"/>
      <c r="ALD31" s="18"/>
      <c r="ALE31" s="18"/>
      <c r="ALF31" s="18"/>
      <c r="ALG31" s="18"/>
      <c r="ALH31" s="18"/>
      <c r="ALI31" s="18"/>
      <c r="ALJ31" s="18"/>
      <c r="ALK31" s="18"/>
      <c r="ALL31" s="18"/>
      <c r="ALM31" s="18"/>
      <c r="ALN31" s="18"/>
      <c r="ALO31" s="18"/>
      <c r="ALP31" s="18"/>
      <c r="ALQ31" s="18"/>
      <c r="ALR31" s="18"/>
      <c r="ALS31" s="18"/>
      <c r="ALT31" s="18"/>
    </row>
    <row r="32" spans="1:1008">
      <c r="A32" s="251" t="s">
        <v>6307</v>
      </c>
      <c r="B32" s="290">
        <v>758</v>
      </c>
      <c r="C32" s="278" t="str">
        <f>(IF($A32="SINAPI",INDEX(SINAPI_NOV2020_NDES!$A$7:$H$6703,MATCH($B32,SINAPI_NOV2020_NDES!$A$7:$A$6703,0),2),IF($A32="GOINFRA",INDEX(#REF!,MATCH($B32,#REF!,0),2),(INDEX(COMPOS!$A$4:$G$390,MATCH($B32,COMPOS!$A$4:A$390,0),2)))))</f>
        <v>TOMADA HEXAGONAL 2P+T - 10A - 250V (LINHA X OU EQUIVALENTE)</v>
      </c>
      <c r="D32" s="274" t="str">
        <f>(IF($A32="SINAPI",INDEX(SINAPI_NOV2020_NDES!$A$7:$H$6790,MATCH($B32,SINAPI_NOV2020_NDES!$A$7:$A$6790,0),3),(INDEX(COMPOS!$A$4:$G$5000,MATCH($B32,COMPOS!$A$4:$A$5000,0),3))))</f>
        <v>UN</v>
      </c>
      <c r="E32" s="314">
        <v>4</v>
      </c>
      <c r="F32" s="279">
        <f>(IF($A32="SINAPI",INDEX(SINAPI_NOV2020_NDES!$A$7:$H$6703,MATCH($B32,SINAPI_NOV2020_NDES!$A$7:$A$6703,0),5),(INDEX(COMPOS!$A$4:$G$801,MATCH($B32,COMPOS!$A$4:A$801,0),4))))</f>
        <v>11.2027</v>
      </c>
      <c r="G32" s="280">
        <f>(IF($A32="SINAPI",INDEX(SINAPI_NOV2020_NDES!$A$7:$H$6703,MATCH($B32,SINAPI_NOV2020_NDES!$A$7:$A$6703,0),6),(INDEX(COMPOS!$A$4:$G$801,MATCH($B32,COMPOS!$A$4:A$801,0),5))))</f>
        <v>8.51</v>
      </c>
      <c r="H32" s="280">
        <f>(IF($A32="SINAPI",INDEX(SINAPI_NOV2020_NDES!$A$7:$H$6703,MATCH($B32,SINAPI_NOV2020_NDES!$A$7:$A$6703,0),7),(INDEX(COMPOS!$A$4:$G$801,MATCH($B32,COMPOS!$A$4:A$801,0),6))))</f>
        <v>0</v>
      </c>
      <c r="I32" s="279">
        <f t="shared" si="8"/>
        <v>19.712699999999998</v>
      </c>
      <c r="J32" s="276">
        <f t="shared" si="9"/>
        <v>78.850799999999992</v>
      </c>
      <c r="K32" s="191"/>
      <c r="L32" s="191"/>
      <c r="M32" s="191"/>
      <c r="N32" s="191"/>
      <c r="O32" s="262"/>
      <c r="P32" s="263"/>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c r="JF32" s="18"/>
      <c r="JG32" s="18"/>
      <c r="JH32" s="18"/>
      <c r="JI32" s="18"/>
      <c r="JJ32" s="18"/>
      <c r="JK32" s="18"/>
      <c r="JL32" s="18"/>
      <c r="JM32" s="18"/>
      <c r="JN32" s="18"/>
      <c r="JO32" s="18"/>
      <c r="JP32" s="18"/>
      <c r="JQ32" s="18"/>
      <c r="JR32" s="18"/>
      <c r="JS32" s="18"/>
      <c r="JT32" s="18"/>
      <c r="JU32" s="18"/>
      <c r="JV32" s="18"/>
      <c r="JW32" s="18"/>
      <c r="JX32" s="18"/>
      <c r="JY32" s="18"/>
      <c r="JZ32" s="18"/>
      <c r="KA32" s="18"/>
      <c r="KB32" s="18"/>
      <c r="KC32" s="18"/>
      <c r="KD32" s="18"/>
      <c r="KE32" s="18"/>
      <c r="KF32" s="18"/>
      <c r="KG32" s="18"/>
      <c r="KH32" s="18"/>
      <c r="KI32" s="18"/>
      <c r="KJ32" s="18"/>
      <c r="KK32" s="18"/>
      <c r="KL32" s="18"/>
      <c r="KM32" s="18"/>
      <c r="KN32" s="18"/>
      <c r="KO32" s="18"/>
      <c r="KP32" s="18"/>
      <c r="KQ32" s="18"/>
      <c r="KR32" s="18"/>
      <c r="KS32" s="18"/>
      <c r="KT32" s="18"/>
      <c r="KU32" s="18"/>
      <c r="KV32" s="18"/>
      <c r="KW32" s="18"/>
      <c r="KX32" s="18"/>
      <c r="KY32" s="18"/>
      <c r="KZ32" s="18"/>
      <c r="LA32" s="18"/>
      <c r="LB32" s="18"/>
      <c r="LC32" s="18"/>
      <c r="LD32" s="18"/>
      <c r="LE32" s="18"/>
      <c r="LF32" s="18"/>
      <c r="LG32" s="18"/>
      <c r="LH32" s="18"/>
      <c r="LI32" s="18"/>
      <c r="LJ32" s="18"/>
      <c r="LK32" s="18"/>
      <c r="LL32" s="18"/>
      <c r="LM32" s="18"/>
      <c r="LN32" s="18"/>
      <c r="LO32" s="18"/>
      <c r="LP32" s="18"/>
      <c r="LQ32" s="18"/>
      <c r="LR32" s="18"/>
      <c r="LS32" s="18"/>
      <c r="LT32" s="18"/>
      <c r="LU32" s="18"/>
      <c r="LV32" s="18"/>
      <c r="LW32" s="18"/>
      <c r="LX32" s="18"/>
      <c r="LY32" s="18"/>
      <c r="LZ32" s="18"/>
      <c r="MA32" s="18"/>
      <c r="MB32" s="18"/>
      <c r="MC32" s="18"/>
      <c r="MD32" s="18"/>
      <c r="ME32" s="18"/>
      <c r="MF32" s="18"/>
      <c r="MG32" s="18"/>
      <c r="MH32" s="18"/>
      <c r="MI32" s="18"/>
      <c r="MJ32" s="18"/>
      <c r="MK32" s="18"/>
      <c r="ML32" s="18"/>
      <c r="MM32" s="18"/>
      <c r="MN32" s="18"/>
      <c r="MO32" s="18"/>
      <c r="MP32" s="18"/>
      <c r="MQ32" s="18"/>
      <c r="MR32" s="18"/>
      <c r="MS32" s="18"/>
      <c r="MT32" s="18"/>
      <c r="MU32" s="18"/>
      <c r="MV32" s="18"/>
      <c r="MW32" s="18"/>
      <c r="MX32" s="18"/>
      <c r="MY32" s="18"/>
      <c r="MZ32" s="18"/>
      <c r="NA32" s="18"/>
      <c r="NB32" s="18"/>
      <c r="NC32" s="18"/>
      <c r="ND32" s="18"/>
      <c r="NE32" s="18"/>
      <c r="NF32" s="18"/>
      <c r="NG32" s="18"/>
      <c r="NH32" s="18"/>
      <c r="NI32" s="18"/>
      <c r="NJ32" s="18"/>
      <c r="NK32" s="18"/>
      <c r="NL32" s="18"/>
      <c r="NM32" s="18"/>
      <c r="NN32" s="18"/>
      <c r="NO32" s="18"/>
      <c r="NP32" s="18"/>
      <c r="NQ32" s="18"/>
      <c r="NR32" s="18"/>
      <c r="NS32" s="18"/>
      <c r="NT32" s="18"/>
      <c r="NU32" s="18"/>
      <c r="NV32" s="18"/>
      <c r="NW32" s="18"/>
      <c r="NX32" s="18"/>
      <c r="NY32" s="18"/>
      <c r="NZ32" s="18"/>
      <c r="OA32" s="18"/>
      <c r="OB32" s="18"/>
      <c r="OC32" s="18"/>
      <c r="OD32" s="18"/>
      <c r="OE32" s="18"/>
      <c r="OF32" s="18"/>
      <c r="OG32" s="18"/>
      <c r="OH32" s="18"/>
      <c r="OI32" s="18"/>
      <c r="OJ32" s="18"/>
      <c r="OK32" s="18"/>
      <c r="OL32" s="18"/>
      <c r="OM32" s="18"/>
      <c r="ON32" s="18"/>
      <c r="OO32" s="18"/>
      <c r="OP32" s="18"/>
      <c r="OQ32" s="18"/>
      <c r="OR32" s="18"/>
      <c r="OS32" s="18"/>
      <c r="OT32" s="18"/>
      <c r="OU32" s="18"/>
      <c r="OV32" s="18"/>
      <c r="OW32" s="18"/>
      <c r="OX32" s="18"/>
      <c r="OY32" s="18"/>
      <c r="OZ32" s="18"/>
      <c r="PA32" s="18"/>
      <c r="PB32" s="18"/>
      <c r="PC32" s="18"/>
      <c r="PD32" s="18"/>
      <c r="PE32" s="18"/>
      <c r="PF32" s="18"/>
      <c r="PG32" s="18"/>
      <c r="PH32" s="18"/>
      <c r="PI32" s="18"/>
      <c r="PJ32" s="18"/>
      <c r="PK32" s="18"/>
      <c r="PL32" s="18"/>
      <c r="PM32" s="18"/>
      <c r="PN32" s="18"/>
      <c r="PO32" s="18"/>
      <c r="PP32" s="18"/>
      <c r="PQ32" s="18"/>
      <c r="PR32" s="18"/>
      <c r="PS32" s="18"/>
      <c r="PT32" s="18"/>
      <c r="PU32" s="18"/>
      <c r="PV32" s="18"/>
      <c r="PW32" s="18"/>
      <c r="PX32" s="18"/>
      <c r="PY32" s="18"/>
      <c r="PZ32" s="18"/>
      <c r="QA32" s="18"/>
      <c r="QB32" s="18"/>
      <c r="QC32" s="18"/>
      <c r="QD32" s="18"/>
      <c r="QE32" s="18"/>
      <c r="QF32" s="18"/>
      <c r="QG32" s="18"/>
      <c r="QH32" s="18"/>
      <c r="QI32" s="18"/>
      <c r="QJ32" s="18"/>
      <c r="QK32" s="18"/>
      <c r="QL32" s="18"/>
      <c r="QM32" s="18"/>
      <c r="QN32" s="18"/>
      <c r="QO32" s="18"/>
      <c r="QP32" s="18"/>
      <c r="QQ32" s="18"/>
      <c r="QR32" s="18"/>
      <c r="QS32" s="18"/>
      <c r="QT32" s="18"/>
      <c r="QU32" s="18"/>
      <c r="QV32" s="18"/>
      <c r="QW32" s="18"/>
      <c r="QX32" s="18"/>
      <c r="QY32" s="18"/>
      <c r="QZ32" s="18"/>
      <c r="RA32" s="18"/>
      <c r="RB32" s="18"/>
      <c r="RC32" s="18"/>
      <c r="RD32" s="18"/>
      <c r="RE32" s="18"/>
      <c r="RF32" s="18"/>
      <c r="RG32" s="18"/>
      <c r="RH32" s="18"/>
      <c r="RI32" s="18"/>
      <c r="RJ32" s="18"/>
      <c r="RK32" s="18"/>
      <c r="RL32" s="18"/>
      <c r="RM32" s="18"/>
      <c r="RN32" s="18"/>
      <c r="RO32" s="18"/>
      <c r="RP32" s="18"/>
      <c r="RQ32" s="18"/>
      <c r="RR32" s="18"/>
      <c r="RS32" s="18"/>
      <c r="RT32" s="18"/>
      <c r="RU32" s="18"/>
      <c r="RV32" s="18"/>
      <c r="RW32" s="18"/>
      <c r="RX32" s="18"/>
      <c r="RY32" s="18"/>
      <c r="RZ32" s="18"/>
      <c r="SA32" s="18"/>
      <c r="SB32" s="18"/>
      <c r="SC32" s="18"/>
      <c r="SD32" s="18"/>
      <c r="SE32" s="18"/>
      <c r="SF32" s="18"/>
      <c r="SG32" s="18"/>
      <c r="SH32" s="18"/>
      <c r="SI32" s="18"/>
      <c r="SJ32" s="18"/>
      <c r="SK32" s="18"/>
      <c r="SL32" s="18"/>
      <c r="SM32" s="18"/>
      <c r="SN32" s="18"/>
      <c r="SO32" s="18"/>
      <c r="SP32" s="18"/>
      <c r="SQ32" s="18"/>
      <c r="SR32" s="18"/>
      <c r="SS32" s="18"/>
      <c r="ST32" s="18"/>
      <c r="SU32" s="18"/>
      <c r="SV32" s="18"/>
      <c r="SW32" s="18"/>
      <c r="SX32" s="18"/>
      <c r="SY32" s="18"/>
      <c r="SZ32" s="18"/>
      <c r="TA32" s="18"/>
      <c r="TB32" s="18"/>
      <c r="TC32" s="18"/>
      <c r="TD32" s="18"/>
      <c r="TE32" s="18"/>
      <c r="TF32" s="18"/>
      <c r="TG32" s="18"/>
      <c r="TH32" s="18"/>
      <c r="TI32" s="18"/>
      <c r="TJ32" s="18"/>
      <c r="TK32" s="18"/>
      <c r="TL32" s="18"/>
      <c r="TM32" s="18"/>
      <c r="TN32" s="18"/>
      <c r="TO32" s="18"/>
      <c r="TP32" s="18"/>
      <c r="TQ32" s="18"/>
      <c r="TR32" s="18"/>
      <c r="TS32" s="18"/>
      <c r="TT32" s="18"/>
      <c r="TU32" s="18"/>
      <c r="TV32" s="18"/>
      <c r="TW32" s="18"/>
      <c r="TX32" s="18"/>
      <c r="TY32" s="18"/>
      <c r="TZ32" s="18"/>
      <c r="UA32" s="18"/>
      <c r="UB32" s="18"/>
      <c r="UC32" s="18"/>
      <c r="UD32" s="18"/>
      <c r="UE32" s="18"/>
      <c r="UF32" s="18"/>
      <c r="UG32" s="18"/>
      <c r="UH32" s="18"/>
      <c r="UI32" s="18"/>
      <c r="UJ32" s="18"/>
      <c r="UK32" s="18"/>
      <c r="UL32" s="18"/>
      <c r="UM32" s="18"/>
      <c r="UN32" s="18"/>
      <c r="UO32" s="18"/>
      <c r="UP32" s="18"/>
      <c r="UQ32" s="18"/>
      <c r="UR32" s="18"/>
      <c r="US32" s="18"/>
      <c r="UT32" s="18"/>
      <c r="UU32" s="18"/>
      <c r="UV32" s="18"/>
      <c r="UW32" s="18"/>
      <c r="UX32" s="18"/>
      <c r="UY32" s="18"/>
      <c r="UZ32" s="18"/>
      <c r="VA32" s="18"/>
      <c r="VB32" s="18"/>
      <c r="VC32" s="18"/>
      <c r="VD32" s="18"/>
      <c r="VE32" s="18"/>
      <c r="VF32" s="18"/>
      <c r="VG32" s="18"/>
      <c r="VH32" s="18"/>
      <c r="VI32" s="18"/>
      <c r="VJ32" s="18"/>
      <c r="VK32" s="18"/>
      <c r="VL32" s="18"/>
      <c r="VM32" s="18"/>
      <c r="VN32" s="18"/>
      <c r="VO32" s="18"/>
      <c r="VP32" s="18"/>
      <c r="VQ32" s="18"/>
      <c r="VR32" s="18"/>
      <c r="VS32" s="18"/>
      <c r="VT32" s="18"/>
      <c r="VU32" s="18"/>
      <c r="VV32" s="18"/>
      <c r="VW32" s="18"/>
      <c r="VX32" s="18"/>
      <c r="VY32" s="18"/>
      <c r="VZ32" s="18"/>
      <c r="WA32" s="18"/>
      <c r="WB32" s="18"/>
      <c r="WC32" s="18"/>
      <c r="WD32" s="18"/>
      <c r="WE32" s="18"/>
      <c r="WF32" s="18"/>
      <c r="WG32" s="18"/>
      <c r="WH32" s="18"/>
      <c r="WI32" s="18"/>
      <c r="WJ32" s="18"/>
      <c r="WK32" s="18"/>
      <c r="WL32" s="18"/>
      <c r="WM32" s="18"/>
      <c r="WN32" s="18"/>
      <c r="WO32" s="18"/>
      <c r="WP32" s="18"/>
      <c r="WQ32" s="18"/>
      <c r="WR32" s="18"/>
      <c r="WS32" s="18"/>
      <c r="WT32" s="18"/>
      <c r="WU32" s="18"/>
      <c r="WV32" s="18"/>
      <c r="WW32" s="18"/>
      <c r="WX32" s="18"/>
      <c r="WY32" s="18"/>
      <c r="WZ32" s="18"/>
      <c r="XA32" s="18"/>
      <c r="XB32" s="18"/>
      <c r="XC32" s="18"/>
      <c r="XD32" s="18"/>
      <c r="XE32" s="18"/>
      <c r="XF32" s="18"/>
      <c r="XG32" s="18"/>
      <c r="XH32" s="18"/>
      <c r="XI32" s="18"/>
      <c r="XJ32" s="18"/>
      <c r="XK32" s="18"/>
      <c r="XL32" s="18"/>
      <c r="XM32" s="18"/>
      <c r="XN32" s="18"/>
      <c r="XO32" s="18"/>
      <c r="XP32" s="18"/>
      <c r="XQ32" s="18"/>
      <c r="XR32" s="18"/>
      <c r="XS32" s="18"/>
      <c r="XT32" s="18"/>
      <c r="XU32" s="18"/>
      <c r="XV32" s="18"/>
      <c r="XW32" s="18"/>
      <c r="XX32" s="18"/>
      <c r="XY32" s="18"/>
      <c r="XZ32" s="18"/>
      <c r="YA32" s="18"/>
      <c r="YB32" s="18"/>
      <c r="YC32" s="18"/>
      <c r="YD32" s="18"/>
      <c r="YE32" s="18"/>
      <c r="YF32" s="18"/>
      <c r="YG32" s="18"/>
      <c r="YH32" s="18"/>
      <c r="YI32" s="18"/>
      <c r="YJ32" s="18"/>
      <c r="YK32" s="18"/>
      <c r="YL32" s="18"/>
      <c r="YM32" s="18"/>
      <c r="YN32" s="18"/>
      <c r="YO32" s="18"/>
      <c r="YP32" s="18"/>
      <c r="YQ32" s="18"/>
      <c r="YR32" s="18"/>
      <c r="YS32" s="18"/>
      <c r="YT32" s="18"/>
      <c r="YU32" s="18"/>
      <c r="YV32" s="18"/>
      <c r="YW32" s="18"/>
      <c r="YX32" s="18"/>
      <c r="YY32" s="18"/>
      <c r="YZ32" s="18"/>
      <c r="ZA32" s="18"/>
      <c r="ZB32" s="18"/>
      <c r="ZC32" s="18"/>
      <c r="ZD32" s="18"/>
      <c r="ZE32" s="18"/>
      <c r="ZF32" s="18"/>
      <c r="ZG32" s="18"/>
      <c r="ZH32" s="18"/>
      <c r="ZI32" s="18"/>
      <c r="ZJ32" s="18"/>
      <c r="ZK32" s="18"/>
      <c r="ZL32" s="18"/>
      <c r="ZM32" s="18"/>
      <c r="ZN32" s="18"/>
      <c r="ZO32" s="18"/>
      <c r="ZP32" s="18"/>
      <c r="ZQ32" s="18"/>
      <c r="ZR32" s="18"/>
      <c r="ZS32" s="18"/>
      <c r="ZT32" s="18"/>
      <c r="ZU32" s="18"/>
      <c r="ZV32" s="18"/>
      <c r="ZW32" s="18"/>
      <c r="ZX32" s="18"/>
      <c r="ZY32" s="18"/>
      <c r="ZZ32" s="18"/>
      <c r="AAA32" s="18"/>
      <c r="AAB32" s="18"/>
      <c r="AAC32" s="18"/>
      <c r="AAD32" s="18"/>
      <c r="AAE32" s="18"/>
      <c r="AAF32" s="18"/>
      <c r="AAG32" s="18"/>
      <c r="AAH32" s="18"/>
      <c r="AAI32" s="18"/>
      <c r="AAJ32" s="18"/>
      <c r="AAK32" s="18"/>
      <c r="AAL32" s="18"/>
      <c r="AAM32" s="18"/>
      <c r="AAN32" s="18"/>
      <c r="AAO32" s="18"/>
      <c r="AAP32" s="18"/>
      <c r="AAQ32" s="18"/>
      <c r="AAR32" s="18"/>
      <c r="AAS32" s="18"/>
      <c r="AAT32" s="18"/>
      <c r="AAU32" s="18"/>
      <c r="AAV32" s="18"/>
      <c r="AAW32" s="18"/>
      <c r="AAX32" s="18"/>
      <c r="AAY32" s="18"/>
      <c r="AAZ32" s="18"/>
      <c r="ABA32" s="18"/>
      <c r="ABB32" s="18"/>
      <c r="ABC32" s="18"/>
      <c r="ABD32" s="18"/>
      <c r="ABE32" s="18"/>
      <c r="ABF32" s="18"/>
      <c r="ABG32" s="18"/>
      <c r="ABH32" s="18"/>
      <c r="ABI32" s="18"/>
      <c r="ABJ32" s="18"/>
      <c r="ABK32" s="18"/>
      <c r="ABL32" s="18"/>
      <c r="ABM32" s="18"/>
      <c r="ABN32" s="18"/>
      <c r="ABO32" s="18"/>
      <c r="ABP32" s="18"/>
      <c r="ABQ32" s="18"/>
      <c r="ABR32" s="18"/>
      <c r="ABS32" s="18"/>
      <c r="ABT32" s="18"/>
      <c r="ABU32" s="18"/>
      <c r="ABV32" s="18"/>
      <c r="ABW32" s="18"/>
      <c r="ABX32" s="18"/>
      <c r="ABY32" s="18"/>
      <c r="ABZ32" s="18"/>
      <c r="ACA32" s="18"/>
      <c r="ACB32" s="18"/>
      <c r="ACC32" s="18"/>
      <c r="ACD32" s="18"/>
      <c r="ACE32" s="18"/>
      <c r="ACF32" s="18"/>
      <c r="ACG32" s="18"/>
      <c r="ACH32" s="18"/>
      <c r="ACI32" s="18"/>
      <c r="ACJ32" s="18"/>
      <c r="ACK32" s="18"/>
      <c r="ACL32" s="18"/>
      <c r="ACM32" s="18"/>
      <c r="ACN32" s="18"/>
      <c r="ACO32" s="18"/>
      <c r="ACP32" s="18"/>
      <c r="ACQ32" s="18"/>
      <c r="ACR32" s="18"/>
      <c r="ACS32" s="18"/>
      <c r="ACT32" s="18"/>
      <c r="ACU32" s="18"/>
      <c r="ACV32" s="18"/>
      <c r="ACW32" s="18"/>
      <c r="ACX32" s="18"/>
      <c r="ACY32" s="18"/>
      <c r="ACZ32" s="18"/>
      <c r="ADA32" s="18"/>
      <c r="ADB32" s="18"/>
      <c r="ADC32" s="18"/>
      <c r="ADD32" s="18"/>
      <c r="ADE32" s="18"/>
      <c r="ADF32" s="18"/>
      <c r="ADG32" s="18"/>
      <c r="ADH32" s="18"/>
      <c r="ADI32" s="18"/>
      <c r="ADJ32" s="18"/>
      <c r="ADK32" s="18"/>
      <c r="ADL32" s="18"/>
      <c r="ADM32" s="18"/>
      <c r="ADN32" s="18"/>
      <c r="ADO32" s="18"/>
      <c r="ADP32" s="18"/>
      <c r="ADQ32" s="18"/>
      <c r="ADR32" s="18"/>
      <c r="ADS32" s="18"/>
      <c r="ADT32" s="18"/>
      <c r="ADU32" s="18"/>
      <c r="ADV32" s="18"/>
      <c r="ADW32" s="18"/>
      <c r="ADX32" s="18"/>
      <c r="ADY32" s="18"/>
      <c r="ADZ32" s="18"/>
      <c r="AEA32" s="18"/>
      <c r="AEB32" s="18"/>
      <c r="AEC32" s="18"/>
      <c r="AED32" s="18"/>
      <c r="AEE32" s="18"/>
      <c r="AEF32" s="18"/>
      <c r="AEG32" s="18"/>
      <c r="AEH32" s="18"/>
      <c r="AEI32" s="18"/>
      <c r="AEJ32" s="18"/>
      <c r="AEK32" s="18"/>
      <c r="AEL32" s="18"/>
      <c r="AEM32" s="18"/>
      <c r="AEN32" s="18"/>
      <c r="AEO32" s="18"/>
      <c r="AEP32" s="18"/>
      <c r="AEQ32" s="18"/>
      <c r="AER32" s="18"/>
      <c r="AES32" s="18"/>
      <c r="AET32" s="18"/>
      <c r="AEU32" s="18"/>
      <c r="AEV32" s="18"/>
      <c r="AEW32" s="18"/>
      <c r="AEX32" s="18"/>
      <c r="AEY32" s="18"/>
      <c r="AEZ32" s="18"/>
      <c r="AFA32" s="18"/>
      <c r="AFB32" s="18"/>
      <c r="AFC32" s="18"/>
      <c r="AFD32" s="18"/>
      <c r="AFE32" s="18"/>
      <c r="AFF32" s="18"/>
      <c r="AFG32" s="18"/>
      <c r="AFH32" s="18"/>
      <c r="AFI32" s="18"/>
      <c r="AFJ32" s="18"/>
      <c r="AFK32" s="18"/>
      <c r="AFL32" s="18"/>
      <c r="AFM32" s="18"/>
      <c r="AFN32" s="18"/>
      <c r="AFO32" s="18"/>
      <c r="AFP32" s="18"/>
      <c r="AFQ32" s="18"/>
      <c r="AFR32" s="18"/>
      <c r="AFS32" s="18"/>
      <c r="AFT32" s="18"/>
      <c r="AFU32" s="18"/>
      <c r="AFV32" s="18"/>
      <c r="AFW32" s="18"/>
      <c r="AFX32" s="18"/>
      <c r="AFY32" s="18"/>
      <c r="AFZ32" s="18"/>
      <c r="AGA32" s="18"/>
      <c r="AGB32" s="18"/>
      <c r="AGC32" s="18"/>
      <c r="AGD32" s="18"/>
      <c r="AGE32" s="18"/>
      <c r="AGF32" s="18"/>
      <c r="AGG32" s="18"/>
      <c r="AGH32" s="18"/>
      <c r="AGI32" s="18"/>
      <c r="AGJ32" s="18"/>
      <c r="AGK32" s="18"/>
      <c r="AGL32" s="18"/>
      <c r="AGM32" s="18"/>
      <c r="AGN32" s="18"/>
      <c r="AGO32" s="18"/>
      <c r="AGP32" s="18"/>
      <c r="AGQ32" s="18"/>
      <c r="AGR32" s="18"/>
      <c r="AGS32" s="18"/>
      <c r="AGT32" s="18"/>
      <c r="AGU32" s="18"/>
      <c r="AGV32" s="18"/>
      <c r="AGW32" s="18"/>
      <c r="AGX32" s="18"/>
      <c r="AGY32" s="18"/>
      <c r="AGZ32" s="18"/>
      <c r="AHA32" s="18"/>
      <c r="AHB32" s="18"/>
      <c r="AHC32" s="18"/>
      <c r="AHD32" s="18"/>
      <c r="AHE32" s="18"/>
      <c r="AHF32" s="18"/>
      <c r="AHG32" s="18"/>
      <c r="AHH32" s="18"/>
      <c r="AHI32" s="18"/>
      <c r="AHJ32" s="18"/>
      <c r="AHK32" s="18"/>
      <c r="AHL32" s="18"/>
      <c r="AHM32" s="18"/>
      <c r="AHN32" s="18"/>
      <c r="AHO32" s="18"/>
      <c r="AHP32" s="18"/>
      <c r="AHQ32" s="18"/>
      <c r="AHR32" s="18"/>
      <c r="AHS32" s="18"/>
      <c r="AHT32" s="18"/>
      <c r="AHU32" s="18"/>
      <c r="AHV32" s="18"/>
      <c r="AHW32" s="18"/>
      <c r="AHX32" s="18"/>
      <c r="AHY32" s="18"/>
      <c r="AHZ32" s="18"/>
      <c r="AIA32" s="18"/>
      <c r="AIB32" s="18"/>
      <c r="AIC32" s="18"/>
      <c r="AID32" s="18"/>
      <c r="AIE32" s="18"/>
      <c r="AIF32" s="18"/>
      <c r="AIG32" s="18"/>
      <c r="AIH32" s="18"/>
      <c r="AII32" s="18"/>
      <c r="AIJ32" s="18"/>
      <c r="AIK32" s="18"/>
      <c r="AIL32" s="18"/>
      <c r="AIM32" s="18"/>
      <c r="AIN32" s="18"/>
      <c r="AIO32" s="18"/>
      <c r="AIP32" s="18"/>
      <c r="AIQ32" s="18"/>
      <c r="AIR32" s="18"/>
      <c r="AIS32" s="18"/>
      <c r="AIT32" s="18"/>
      <c r="AIU32" s="18"/>
      <c r="AIV32" s="18"/>
      <c r="AIW32" s="18"/>
      <c r="AIX32" s="18"/>
      <c r="AIY32" s="18"/>
      <c r="AIZ32" s="18"/>
      <c r="AJA32" s="18"/>
      <c r="AJB32" s="18"/>
      <c r="AJC32" s="18"/>
      <c r="AJD32" s="18"/>
      <c r="AJE32" s="18"/>
      <c r="AJF32" s="18"/>
      <c r="AJG32" s="18"/>
      <c r="AJH32" s="18"/>
      <c r="AJI32" s="18"/>
      <c r="AJJ32" s="18"/>
      <c r="AJK32" s="18"/>
      <c r="AJL32" s="18"/>
      <c r="AJM32" s="18"/>
      <c r="AJN32" s="18"/>
      <c r="AJO32" s="18"/>
      <c r="AJP32" s="18"/>
      <c r="AJQ32" s="18"/>
      <c r="AJR32" s="18"/>
      <c r="AJS32" s="18"/>
      <c r="AJT32" s="18"/>
      <c r="AJU32" s="18"/>
      <c r="AJV32" s="18"/>
      <c r="AJW32" s="18"/>
      <c r="AJX32" s="18"/>
      <c r="AJY32" s="18"/>
      <c r="AJZ32" s="18"/>
      <c r="AKA32" s="18"/>
      <c r="AKB32" s="18"/>
      <c r="AKC32" s="18"/>
      <c r="AKD32" s="18"/>
      <c r="AKE32" s="18"/>
      <c r="AKF32" s="18"/>
      <c r="AKG32" s="18"/>
      <c r="AKH32" s="18"/>
      <c r="AKI32" s="18"/>
      <c r="AKJ32" s="18"/>
      <c r="AKK32" s="18"/>
      <c r="AKL32" s="18"/>
      <c r="AKM32" s="18"/>
      <c r="AKN32" s="18"/>
      <c r="AKO32" s="18"/>
      <c r="AKP32" s="18"/>
      <c r="AKQ32" s="18"/>
      <c r="AKR32" s="18"/>
      <c r="AKS32" s="18"/>
      <c r="AKT32" s="18"/>
      <c r="AKU32" s="18"/>
      <c r="AKV32" s="18"/>
      <c r="AKW32" s="18"/>
      <c r="AKX32" s="18"/>
      <c r="AKY32" s="18"/>
      <c r="AKZ32" s="18"/>
      <c r="ALA32" s="18"/>
      <c r="ALB32" s="18"/>
      <c r="ALC32" s="18"/>
      <c r="ALD32" s="18"/>
      <c r="ALE32" s="18"/>
      <c r="ALF32" s="18"/>
      <c r="ALG32" s="18"/>
      <c r="ALH32" s="18"/>
      <c r="ALI32" s="18"/>
      <c r="ALJ32" s="18"/>
      <c r="ALK32" s="18"/>
      <c r="ALL32" s="18"/>
      <c r="ALM32" s="18"/>
      <c r="ALN32" s="18"/>
      <c r="ALO32" s="18"/>
      <c r="ALP32" s="18"/>
      <c r="ALQ32" s="18"/>
      <c r="ALR32" s="18"/>
      <c r="ALS32" s="18"/>
      <c r="ALT32" s="18"/>
    </row>
    <row r="33" spans="1:1008">
      <c r="A33" s="251" t="s">
        <v>6307</v>
      </c>
      <c r="B33" s="290">
        <v>315</v>
      </c>
      <c r="C33" s="278" t="str">
        <f>(IF($A33="SINAPI",INDEX(SINAPI_NOV2020_NDES!$A$7:$H$6703,MATCH($B33,SINAPI_NOV2020_NDES!$A$7:$A$6703,0),2),IF($A33="GOINFRA",INDEX(#REF!,MATCH($B33,#REF!,0),2),(INDEX(COMPOS!$A$4:$G$390,MATCH($B33,COMPOS!$A$4:A$390,0),2)))))</f>
        <v>LUMINÁRIA HERMÉTICA IP-65, PARA 02 LÂMPADAS</v>
      </c>
      <c r="D33" s="274" t="str">
        <f>(IF($A33="SINAPI",INDEX(SINAPI_NOV2020_NDES!$A$7:$H$6790,MATCH($B33,SINAPI_NOV2020_NDES!$A$7:$A$6790,0),3),(INDEX(COMPOS!$A$4:$G$5000,MATCH($B33,COMPOS!$A$4:$A$5000,0),3))))</f>
        <v>UN</v>
      </c>
      <c r="E33" s="314">
        <v>8</v>
      </c>
      <c r="F33" s="279">
        <f>(IF($A33="SINAPI",INDEX(SINAPI_NOV2020_NDES!$A$7:$H$6703,MATCH($B33,SINAPI_NOV2020_NDES!$A$7:$A$6703,0),5),(INDEX(COMPOS!$A$4:$G$801,MATCH($B33,COMPOS!$A$4:A$801,0),4))))</f>
        <v>25.132678000000002</v>
      </c>
      <c r="G33" s="280">
        <f>(IF($A33="SINAPI",INDEX(SINAPI_NOV2020_NDES!$A$7:$H$6703,MATCH($B33,SINAPI_NOV2020_NDES!$A$7:$A$6703,0),6),(INDEX(COMPOS!$A$4:$G$801,MATCH($B33,COMPOS!$A$4:A$801,0),5))))</f>
        <v>107.03</v>
      </c>
      <c r="H33" s="280">
        <f>(IF($A33="SINAPI",INDEX(SINAPI_NOV2020_NDES!$A$7:$H$6703,MATCH($B33,SINAPI_NOV2020_NDES!$A$7:$A$6703,0),7),(INDEX(COMPOS!$A$4:$G$801,MATCH($B33,COMPOS!$A$4:A$801,0),6))))</f>
        <v>0</v>
      </c>
      <c r="I33" s="279">
        <f t="shared" si="8"/>
        <v>132.162678</v>
      </c>
      <c r="J33" s="276">
        <f t="shared" si="9"/>
        <v>1057.301424</v>
      </c>
      <c r="K33" s="191"/>
      <c r="L33" s="191"/>
      <c r="M33" s="191"/>
      <c r="N33" s="191"/>
      <c r="O33" s="262"/>
      <c r="P33" s="263"/>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c r="JF33" s="18"/>
      <c r="JG33" s="18"/>
      <c r="JH33" s="18"/>
      <c r="JI33" s="18"/>
      <c r="JJ33" s="18"/>
      <c r="JK33" s="18"/>
      <c r="JL33" s="18"/>
      <c r="JM33" s="18"/>
      <c r="JN33" s="18"/>
      <c r="JO33" s="18"/>
      <c r="JP33" s="18"/>
      <c r="JQ33" s="18"/>
      <c r="JR33" s="18"/>
      <c r="JS33" s="18"/>
      <c r="JT33" s="18"/>
      <c r="JU33" s="18"/>
      <c r="JV33" s="18"/>
      <c r="JW33" s="18"/>
      <c r="JX33" s="18"/>
      <c r="JY33" s="18"/>
      <c r="JZ33" s="18"/>
      <c r="KA33" s="18"/>
      <c r="KB33" s="18"/>
      <c r="KC33" s="18"/>
      <c r="KD33" s="18"/>
      <c r="KE33" s="18"/>
      <c r="KF33" s="18"/>
      <c r="KG33" s="18"/>
      <c r="KH33" s="18"/>
      <c r="KI33" s="18"/>
      <c r="KJ33" s="18"/>
      <c r="KK33" s="18"/>
      <c r="KL33" s="18"/>
      <c r="KM33" s="18"/>
      <c r="KN33" s="18"/>
      <c r="KO33" s="18"/>
      <c r="KP33" s="18"/>
      <c r="KQ33" s="18"/>
      <c r="KR33" s="18"/>
      <c r="KS33" s="18"/>
      <c r="KT33" s="18"/>
      <c r="KU33" s="18"/>
      <c r="KV33" s="18"/>
      <c r="KW33" s="18"/>
      <c r="KX33" s="18"/>
      <c r="KY33" s="18"/>
      <c r="KZ33" s="18"/>
      <c r="LA33" s="18"/>
      <c r="LB33" s="18"/>
      <c r="LC33" s="18"/>
      <c r="LD33" s="18"/>
      <c r="LE33" s="18"/>
      <c r="LF33" s="18"/>
      <c r="LG33" s="18"/>
      <c r="LH33" s="18"/>
      <c r="LI33" s="18"/>
      <c r="LJ33" s="18"/>
      <c r="LK33" s="18"/>
      <c r="LL33" s="18"/>
      <c r="LM33" s="18"/>
      <c r="LN33" s="18"/>
      <c r="LO33" s="18"/>
      <c r="LP33" s="18"/>
      <c r="LQ33" s="18"/>
      <c r="LR33" s="18"/>
      <c r="LS33" s="18"/>
      <c r="LT33" s="18"/>
      <c r="LU33" s="18"/>
      <c r="LV33" s="18"/>
      <c r="LW33" s="18"/>
      <c r="LX33" s="18"/>
      <c r="LY33" s="18"/>
      <c r="LZ33" s="18"/>
      <c r="MA33" s="18"/>
      <c r="MB33" s="18"/>
      <c r="MC33" s="18"/>
      <c r="MD33" s="18"/>
      <c r="ME33" s="18"/>
      <c r="MF33" s="18"/>
      <c r="MG33" s="18"/>
      <c r="MH33" s="18"/>
      <c r="MI33" s="18"/>
      <c r="MJ33" s="18"/>
      <c r="MK33" s="18"/>
      <c r="ML33" s="18"/>
      <c r="MM33" s="18"/>
      <c r="MN33" s="18"/>
      <c r="MO33" s="18"/>
      <c r="MP33" s="18"/>
      <c r="MQ33" s="18"/>
      <c r="MR33" s="18"/>
      <c r="MS33" s="18"/>
      <c r="MT33" s="18"/>
      <c r="MU33" s="18"/>
      <c r="MV33" s="18"/>
      <c r="MW33" s="18"/>
      <c r="MX33" s="18"/>
      <c r="MY33" s="18"/>
      <c r="MZ33" s="18"/>
      <c r="NA33" s="18"/>
      <c r="NB33" s="18"/>
      <c r="NC33" s="18"/>
      <c r="ND33" s="18"/>
      <c r="NE33" s="18"/>
      <c r="NF33" s="18"/>
      <c r="NG33" s="18"/>
      <c r="NH33" s="18"/>
      <c r="NI33" s="18"/>
      <c r="NJ33" s="18"/>
      <c r="NK33" s="18"/>
      <c r="NL33" s="18"/>
      <c r="NM33" s="18"/>
      <c r="NN33" s="18"/>
      <c r="NO33" s="18"/>
      <c r="NP33" s="18"/>
      <c r="NQ33" s="18"/>
      <c r="NR33" s="18"/>
      <c r="NS33" s="18"/>
      <c r="NT33" s="18"/>
      <c r="NU33" s="18"/>
      <c r="NV33" s="18"/>
      <c r="NW33" s="18"/>
      <c r="NX33" s="18"/>
      <c r="NY33" s="18"/>
      <c r="NZ33" s="18"/>
      <c r="OA33" s="18"/>
      <c r="OB33" s="18"/>
      <c r="OC33" s="18"/>
      <c r="OD33" s="18"/>
      <c r="OE33" s="18"/>
      <c r="OF33" s="18"/>
      <c r="OG33" s="18"/>
      <c r="OH33" s="18"/>
      <c r="OI33" s="18"/>
      <c r="OJ33" s="18"/>
      <c r="OK33" s="18"/>
      <c r="OL33" s="18"/>
      <c r="OM33" s="18"/>
      <c r="ON33" s="18"/>
      <c r="OO33" s="18"/>
      <c r="OP33" s="18"/>
      <c r="OQ33" s="18"/>
      <c r="OR33" s="18"/>
      <c r="OS33" s="18"/>
      <c r="OT33" s="18"/>
      <c r="OU33" s="18"/>
      <c r="OV33" s="18"/>
      <c r="OW33" s="18"/>
      <c r="OX33" s="18"/>
      <c r="OY33" s="18"/>
      <c r="OZ33" s="18"/>
      <c r="PA33" s="18"/>
      <c r="PB33" s="18"/>
      <c r="PC33" s="18"/>
      <c r="PD33" s="18"/>
      <c r="PE33" s="18"/>
      <c r="PF33" s="18"/>
      <c r="PG33" s="18"/>
      <c r="PH33" s="18"/>
      <c r="PI33" s="18"/>
      <c r="PJ33" s="18"/>
      <c r="PK33" s="18"/>
      <c r="PL33" s="18"/>
      <c r="PM33" s="18"/>
      <c r="PN33" s="18"/>
      <c r="PO33" s="18"/>
      <c r="PP33" s="18"/>
      <c r="PQ33" s="18"/>
      <c r="PR33" s="18"/>
      <c r="PS33" s="18"/>
      <c r="PT33" s="18"/>
      <c r="PU33" s="18"/>
      <c r="PV33" s="18"/>
      <c r="PW33" s="18"/>
      <c r="PX33" s="18"/>
      <c r="PY33" s="18"/>
      <c r="PZ33" s="18"/>
      <c r="QA33" s="18"/>
      <c r="QB33" s="18"/>
      <c r="QC33" s="18"/>
      <c r="QD33" s="18"/>
      <c r="QE33" s="18"/>
      <c r="QF33" s="18"/>
      <c r="QG33" s="18"/>
      <c r="QH33" s="18"/>
      <c r="QI33" s="18"/>
      <c r="QJ33" s="18"/>
      <c r="QK33" s="18"/>
      <c r="QL33" s="18"/>
      <c r="QM33" s="18"/>
      <c r="QN33" s="18"/>
      <c r="QO33" s="18"/>
      <c r="QP33" s="18"/>
      <c r="QQ33" s="18"/>
      <c r="QR33" s="18"/>
      <c r="QS33" s="18"/>
      <c r="QT33" s="18"/>
      <c r="QU33" s="18"/>
      <c r="QV33" s="18"/>
      <c r="QW33" s="18"/>
      <c r="QX33" s="18"/>
      <c r="QY33" s="18"/>
      <c r="QZ33" s="18"/>
      <c r="RA33" s="18"/>
      <c r="RB33" s="18"/>
      <c r="RC33" s="18"/>
      <c r="RD33" s="18"/>
      <c r="RE33" s="18"/>
      <c r="RF33" s="18"/>
      <c r="RG33" s="18"/>
      <c r="RH33" s="18"/>
      <c r="RI33" s="18"/>
      <c r="RJ33" s="18"/>
      <c r="RK33" s="18"/>
      <c r="RL33" s="18"/>
      <c r="RM33" s="18"/>
      <c r="RN33" s="18"/>
      <c r="RO33" s="18"/>
      <c r="RP33" s="18"/>
      <c r="RQ33" s="18"/>
      <c r="RR33" s="18"/>
      <c r="RS33" s="18"/>
      <c r="RT33" s="18"/>
      <c r="RU33" s="18"/>
      <c r="RV33" s="18"/>
      <c r="RW33" s="18"/>
      <c r="RX33" s="18"/>
      <c r="RY33" s="18"/>
      <c r="RZ33" s="18"/>
      <c r="SA33" s="18"/>
      <c r="SB33" s="18"/>
      <c r="SC33" s="18"/>
      <c r="SD33" s="18"/>
      <c r="SE33" s="18"/>
      <c r="SF33" s="18"/>
      <c r="SG33" s="18"/>
      <c r="SH33" s="18"/>
      <c r="SI33" s="18"/>
      <c r="SJ33" s="18"/>
      <c r="SK33" s="18"/>
      <c r="SL33" s="18"/>
      <c r="SM33" s="18"/>
      <c r="SN33" s="18"/>
      <c r="SO33" s="18"/>
      <c r="SP33" s="18"/>
      <c r="SQ33" s="18"/>
      <c r="SR33" s="18"/>
      <c r="SS33" s="18"/>
      <c r="ST33" s="18"/>
      <c r="SU33" s="18"/>
      <c r="SV33" s="18"/>
      <c r="SW33" s="18"/>
      <c r="SX33" s="18"/>
      <c r="SY33" s="18"/>
      <c r="SZ33" s="18"/>
      <c r="TA33" s="18"/>
      <c r="TB33" s="18"/>
      <c r="TC33" s="18"/>
      <c r="TD33" s="18"/>
      <c r="TE33" s="18"/>
      <c r="TF33" s="18"/>
      <c r="TG33" s="18"/>
      <c r="TH33" s="18"/>
      <c r="TI33" s="18"/>
      <c r="TJ33" s="18"/>
      <c r="TK33" s="18"/>
      <c r="TL33" s="18"/>
      <c r="TM33" s="18"/>
      <c r="TN33" s="18"/>
      <c r="TO33" s="18"/>
      <c r="TP33" s="18"/>
      <c r="TQ33" s="18"/>
      <c r="TR33" s="18"/>
      <c r="TS33" s="18"/>
      <c r="TT33" s="18"/>
      <c r="TU33" s="18"/>
      <c r="TV33" s="18"/>
      <c r="TW33" s="18"/>
      <c r="TX33" s="18"/>
      <c r="TY33" s="18"/>
      <c r="TZ33" s="18"/>
      <c r="UA33" s="18"/>
      <c r="UB33" s="18"/>
      <c r="UC33" s="18"/>
      <c r="UD33" s="18"/>
      <c r="UE33" s="18"/>
      <c r="UF33" s="18"/>
      <c r="UG33" s="18"/>
      <c r="UH33" s="18"/>
      <c r="UI33" s="18"/>
      <c r="UJ33" s="18"/>
      <c r="UK33" s="18"/>
      <c r="UL33" s="18"/>
      <c r="UM33" s="18"/>
      <c r="UN33" s="18"/>
      <c r="UO33" s="18"/>
      <c r="UP33" s="18"/>
      <c r="UQ33" s="18"/>
      <c r="UR33" s="18"/>
      <c r="US33" s="18"/>
      <c r="UT33" s="18"/>
      <c r="UU33" s="18"/>
      <c r="UV33" s="18"/>
      <c r="UW33" s="18"/>
      <c r="UX33" s="18"/>
      <c r="UY33" s="18"/>
      <c r="UZ33" s="18"/>
      <c r="VA33" s="18"/>
      <c r="VB33" s="18"/>
      <c r="VC33" s="18"/>
      <c r="VD33" s="18"/>
      <c r="VE33" s="18"/>
      <c r="VF33" s="18"/>
      <c r="VG33" s="18"/>
      <c r="VH33" s="18"/>
      <c r="VI33" s="18"/>
      <c r="VJ33" s="18"/>
      <c r="VK33" s="18"/>
      <c r="VL33" s="18"/>
      <c r="VM33" s="18"/>
      <c r="VN33" s="18"/>
      <c r="VO33" s="18"/>
      <c r="VP33" s="18"/>
      <c r="VQ33" s="18"/>
      <c r="VR33" s="18"/>
      <c r="VS33" s="18"/>
      <c r="VT33" s="18"/>
      <c r="VU33" s="18"/>
      <c r="VV33" s="18"/>
      <c r="VW33" s="18"/>
      <c r="VX33" s="18"/>
      <c r="VY33" s="18"/>
      <c r="VZ33" s="18"/>
      <c r="WA33" s="18"/>
      <c r="WB33" s="18"/>
      <c r="WC33" s="18"/>
      <c r="WD33" s="18"/>
      <c r="WE33" s="18"/>
      <c r="WF33" s="18"/>
      <c r="WG33" s="18"/>
      <c r="WH33" s="18"/>
      <c r="WI33" s="18"/>
      <c r="WJ33" s="18"/>
      <c r="WK33" s="18"/>
      <c r="WL33" s="18"/>
      <c r="WM33" s="18"/>
      <c r="WN33" s="18"/>
      <c r="WO33" s="18"/>
      <c r="WP33" s="18"/>
      <c r="WQ33" s="18"/>
      <c r="WR33" s="18"/>
      <c r="WS33" s="18"/>
      <c r="WT33" s="18"/>
      <c r="WU33" s="18"/>
      <c r="WV33" s="18"/>
      <c r="WW33" s="18"/>
      <c r="WX33" s="18"/>
      <c r="WY33" s="18"/>
      <c r="WZ33" s="18"/>
      <c r="XA33" s="18"/>
      <c r="XB33" s="18"/>
      <c r="XC33" s="18"/>
      <c r="XD33" s="18"/>
      <c r="XE33" s="18"/>
      <c r="XF33" s="18"/>
      <c r="XG33" s="18"/>
      <c r="XH33" s="18"/>
      <c r="XI33" s="18"/>
      <c r="XJ33" s="18"/>
      <c r="XK33" s="18"/>
      <c r="XL33" s="18"/>
      <c r="XM33" s="18"/>
      <c r="XN33" s="18"/>
      <c r="XO33" s="18"/>
      <c r="XP33" s="18"/>
      <c r="XQ33" s="18"/>
      <c r="XR33" s="18"/>
      <c r="XS33" s="18"/>
      <c r="XT33" s="18"/>
      <c r="XU33" s="18"/>
      <c r="XV33" s="18"/>
      <c r="XW33" s="18"/>
      <c r="XX33" s="18"/>
      <c r="XY33" s="18"/>
      <c r="XZ33" s="18"/>
      <c r="YA33" s="18"/>
      <c r="YB33" s="18"/>
      <c r="YC33" s="18"/>
      <c r="YD33" s="18"/>
      <c r="YE33" s="18"/>
      <c r="YF33" s="18"/>
      <c r="YG33" s="18"/>
      <c r="YH33" s="18"/>
      <c r="YI33" s="18"/>
      <c r="YJ33" s="18"/>
      <c r="YK33" s="18"/>
      <c r="YL33" s="18"/>
      <c r="YM33" s="18"/>
      <c r="YN33" s="18"/>
      <c r="YO33" s="18"/>
      <c r="YP33" s="18"/>
      <c r="YQ33" s="18"/>
      <c r="YR33" s="18"/>
      <c r="YS33" s="18"/>
      <c r="YT33" s="18"/>
      <c r="YU33" s="18"/>
      <c r="YV33" s="18"/>
      <c r="YW33" s="18"/>
      <c r="YX33" s="18"/>
      <c r="YY33" s="18"/>
      <c r="YZ33" s="18"/>
      <c r="ZA33" s="18"/>
      <c r="ZB33" s="18"/>
      <c r="ZC33" s="18"/>
      <c r="ZD33" s="18"/>
      <c r="ZE33" s="18"/>
      <c r="ZF33" s="18"/>
      <c r="ZG33" s="18"/>
      <c r="ZH33" s="18"/>
      <c r="ZI33" s="18"/>
      <c r="ZJ33" s="18"/>
      <c r="ZK33" s="18"/>
      <c r="ZL33" s="18"/>
      <c r="ZM33" s="18"/>
      <c r="ZN33" s="18"/>
      <c r="ZO33" s="18"/>
      <c r="ZP33" s="18"/>
      <c r="ZQ33" s="18"/>
      <c r="ZR33" s="18"/>
      <c r="ZS33" s="18"/>
      <c r="ZT33" s="18"/>
      <c r="ZU33" s="18"/>
      <c r="ZV33" s="18"/>
      <c r="ZW33" s="18"/>
      <c r="ZX33" s="18"/>
      <c r="ZY33" s="18"/>
      <c r="ZZ33" s="18"/>
      <c r="AAA33" s="18"/>
      <c r="AAB33" s="18"/>
      <c r="AAC33" s="18"/>
      <c r="AAD33" s="18"/>
      <c r="AAE33" s="18"/>
      <c r="AAF33" s="18"/>
      <c r="AAG33" s="18"/>
      <c r="AAH33" s="18"/>
      <c r="AAI33" s="18"/>
      <c r="AAJ33" s="18"/>
      <c r="AAK33" s="18"/>
      <c r="AAL33" s="18"/>
      <c r="AAM33" s="18"/>
      <c r="AAN33" s="18"/>
      <c r="AAO33" s="18"/>
      <c r="AAP33" s="18"/>
      <c r="AAQ33" s="18"/>
      <c r="AAR33" s="18"/>
      <c r="AAS33" s="18"/>
      <c r="AAT33" s="18"/>
      <c r="AAU33" s="18"/>
      <c r="AAV33" s="18"/>
      <c r="AAW33" s="18"/>
      <c r="AAX33" s="18"/>
      <c r="AAY33" s="18"/>
      <c r="AAZ33" s="18"/>
      <c r="ABA33" s="18"/>
      <c r="ABB33" s="18"/>
      <c r="ABC33" s="18"/>
      <c r="ABD33" s="18"/>
      <c r="ABE33" s="18"/>
      <c r="ABF33" s="18"/>
      <c r="ABG33" s="18"/>
      <c r="ABH33" s="18"/>
      <c r="ABI33" s="18"/>
      <c r="ABJ33" s="18"/>
      <c r="ABK33" s="18"/>
      <c r="ABL33" s="18"/>
      <c r="ABM33" s="18"/>
      <c r="ABN33" s="18"/>
      <c r="ABO33" s="18"/>
      <c r="ABP33" s="18"/>
      <c r="ABQ33" s="18"/>
      <c r="ABR33" s="18"/>
      <c r="ABS33" s="18"/>
      <c r="ABT33" s="18"/>
      <c r="ABU33" s="18"/>
      <c r="ABV33" s="18"/>
      <c r="ABW33" s="18"/>
      <c r="ABX33" s="18"/>
      <c r="ABY33" s="18"/>
      <c r="ABZ33" s="18"/>
      <c r="ACA33" s="18"/>
      <c r="ACB33" s="18"/>
      <c r="ACC33" s="18"/>
      <c r="ACD33" s="18"/>
      <c r="ACE33" s="18"/>
      <c r="ACF33" s="18"/>
      <c r="ACG33" s="18"/>
      <c r="ACH33" s="18"/>
      <c r="ACI33" s="18"/>
      <c r="ACJ33" s="18"/>
      <c r="ACK33" s="18"/>
      <c r="ACL33" s="18"/>
      <c r="ACM33" s="18"/>
      <c r="ACN33" s="18"/>
      <c r="ACO33" s="18"/>
      <c r="ACP33" s="18"/>
      <c r="ACQ33" s="18"/>
      <c r="ACR33" s="18"/>
      <c r="ACS33" s="18"/>
      <c r="ACT33" s="18"/>
      <c r="ACU33" s="18"/>
      <c r="ACV33" s="18"/>
      <c r="ACW33" s="18"/>
      <c r="ACX33" s="18"/>
      <c r="ACY33" s="18"/>
      <c r="ACZ33" s="18"/>
      <c r="ADA33" s="18"/>
      <c r="ADB33" s="18"/>
      <c r="ADC33" s="18"/>
      <c r="ADD33" s="18"/>
      <c r="ADE33" s="18"/>
      <c r="ADF33" s="18"/>
      <c r="ADG33" s="18"/>
      <c r="ADH33" s="18"/>
      <c r="ADI33" s="18"/>
      <c r="ADJ33" s="18"/>
      <c r="ADK33" s="18"/>
      <c r="ADL33" s="18"/>
      <c r="ADM33" s="18"/>
      <c r="ADN33" s="18"/>
      <c r="ADO33" s="18"/>
      <c r="ADP33" s="18"/>
      <c r="ADQ33" s="18"/>
      <c r="ADR33" s="18"/>
      <c r="ADS33" s="18"/>
      <c r="ADT33" s="18"/>
      <c r="ADU33" s="18"/>
      <c r="ADV33" s="18"/>
      <c r="ADW33" s="18"/>
      <c r="ADX33" s="18"/>
      <c r="ADY33" s="18"/>
      <c r="ADZ33" s="18"/>
      <c r="AEA33" s="18"/>
      <c r="AEB33" s="18"/>
      <c r="AEC33" s="18"/>
      <c r="AED33" s="18"/>
      <c r="AEE33" s="18"/>
      <c r="AEF33" s="18"/>
      <c r="AEG33" s="18"/>
      <c r="AEH33" s="18"/>
      <c r="AEI33" s="18"/>
      <c r="AEJ33" s="18"/>
      <c r="AEK33" s="18"/>
      <c r="AEL33" s="18"/>
      <c r="AEM33" s="18"/>
      <c r="AEN33" s="18"/>
      <c r="AEO33" s="18"/>
      <c r="AEP33" s="18"/>
      <c r="AEQ33" s="18"/>
      <c r="AER33" s="18"/>
      <c r="AES33" s="18"/>
      <c r="AET33" s="18"/>
      <c r="AEU33" s="18"/>
      <c r="AEV33" s="18"/>
      <c r="AEW33" s="18"/>
      <c r="AEX33" s="18"/>
      <c r="AEY33" s="18"/>
      <c r="AEZ33" s="18"/>
      <c r="AFA33" s="18"/>
      <c r="AFB33" s="18"/>
      <c r="AFC33" s="18"/>
      <c r="AFD33" s="18"/>
      <c r="AFE33" s="18"/>
      <c r="AFF33" s="18"/>
      <c r="AFG33" s="18"/>
      <c r="AFH33" s="18"/>
      <c r="AFI33" s="18"/>
      <c r="AFJ33" s="18"/>
      <c r="AFK33" s="18"/>
      <c r="AFL33" s="18"/>
      <c r="AFM33" s="18"/>
      <c r="AFN33" s="18"/>
      <c r="AFO33" s="18"/>
      <c r="AFP33" s="18"/>
      <c r="AFQ33" s="18"/>
      <c r="AFR33" s="18"/>
      <c r="AFS33" s="18"/>
      <c r="AFT33" s="18"/>
      <c r="AFU33" s="18"/>
      <c r="AFV33" s="18"/>
      <c r="AFW33" s="18"/>
      <c r="AFX33" s="18"/>
      <c r="AFY33" s="18"/>
      <c r="AFZ33" s="18"/>
      <c r="AGA33" s="18"/>
      <c r="AGB33" s="18"/>
      <c r="AGC33" s="18"/>
      <c r="AGD33" s="18"/>
      <c r="AGE33" s="18"/>
      <c r="AGF33" s="18"/>
      <c r="AGG33" s="18"/>
      <c r="AGH33" s="18"/>
      <c r="AGI33" s="18"/>
      <c r="AGJ33" s="18"/>
      <c r="AGK33" s="18"/>
      <c r="AGL33" s="18"/>
      <c r="AGM33" s="18"/>
      <c r="AGN33" s="18"/>
      <c r="AGO33" s="18"/>
      <c r="AGP33" s="18"/>
      <c r="AGQ33" s="18"/>
      <c r="AGR33" s="18"/>
      <c r="AGS33" s="18"/>
      <c r="AGT33" s="18"/>
      <c r="AGU33" s="18"/>
      <c r="AGV33" s="18"/>
      <c r="AGW33" s="18"/>
      <c r="AGX33" s="18"/>
      <c r="AGY33" s="18"/>
      <c r="AGZ33" s="18"/>
      <c r="AHA33" s="18"/>
      <c r="AHB33" s="18"/>
      <c r="AHC33" s="18"/>
      <c r="AHD33" s="18"/>
      <c r="AHE33" s="18"/>
      <c r="AHF33" s="18"/>
      <c r="AHG33" s="18"/>
      <c r="AHH33" s="18"/>
      <c r="AHI33" s="18"/>
      <c r="AHJ33" s="18"/>
      <c r="AHK33" s="18"/>
      <c r="AHL33" s="18"/>
      <c r="AHM33" s="18"/>
      <c r="AHN33" s="18"/>
      <c r="AHO33" s="18"/>
      <c r="AHP33" s="18"/>
      <c r="AHQ33" s="18"/>
      <c r="AHR33" s="18"/>
      <c r="AHS33" s="18"/>
      <c r="AHT33" s="18"/>
      <c r="AHU33" s="18"/>
      <c r="AHV33" s="18"/>
      <c r="AHW33" s="18"/>
      <c r="AHX33" s="18"/>
      <c r="AHY33" s="18"/>
      <c r="AHZ33" s="18"/>
      <c r="AIA33" s="18"/>
      <c r="AIB33" s="18"/>
      <c r="AIC33" s="18"/>
      <c r="AID33" s="18"/>
      <c r="AIE33" s="18"/>
      <c r="AIF33" s="18"/>
      <c r="AIG33" s="18"/>
      <c r="AIH33" s="18"/>
      <c r="AII33" s="18"/>
      <c r="AIJ33" s="18"/>
      <c r="AIK33" s="18"/>
      <c r="AIL33" s="18"/>
      <c r="AIM33" s="18"/>
      <c r="AIN33" s="18"/>
      <c r="AIO33" s="18"/>
      <c r="AIP33" s="18"/>
      <c r="AIQ33" s="18"/>
      <c r="AIR33" s="18"/>
      <c r="AIS33" s="18"/>
      <c r="AIT33" s="18"/>
      <c r="AIU33" s="18"/>
      <c r="AIV33" s="18"/>
      <c r="AIW33" s="18"/>
      <c r="AIX33" s="18"/>
      <c r="AIY33" s="18"/>
      <c r="AIZ33" s="18"/>
      <c r="AJA33" s="18"/>
      <c r="AJB33" s="18"/>
      <c r="AJC33" s="18"/>
      <c r="AJD33" s="18"/>
      <c r="AJE33" s="18"/>
      <c r="AJF33" s="18"/>
      <c r="AJG33" s="18"/>
      <c r="AJH33" s="18"/>
      <c r="AJI33" s="18"/>
      <c r="AJJ33" s="18"/>
      <c r="AJK33" s="18"/>
      <c r="AJL33" s="18"/>
      <c r="AJM33" s="18"/>
      <c r="AJN33" s="18"/>
      <c r="AJO33" s="18"/>
      <c r="AJP33" s="18"/>
      <c r="AJQ33" s="18"/>
      <c r="AJR33" s="18"/>
      <c r="AJS33" s="18"/>
      <c r="AJT33" s="18"/>
      <c r="AJU33" s="18"/>
      <c r="AJV33" s="18"/>
      <c r="AJW33" s="18"/>
      <c r="AJX33" s="18"/>
      <c r="AJY33" s="18"/>
      <c r="AJZ33" s="18"/>
      <c r="AKA33" s="18"/>
      <c r="AKB33" s="18"/>
      <c r="AKC33" s="18"/>
      <c r="AKD33" s="18"/>
      <c r="AKE33" s="18"/>
      <c r="AKF33" s="18"/>
      <c r="AKG33" s="18"/>
      <c r="AKH33" s="18"/>
      <c r="AKI33" s="18"/>
      <c r="AKJ33" s="18"/>
      <c r="AKK33" s="18"/>
      <c r="AKL33" s="18"/>
      <c r="AKM33" s="18"/>
      <c r="AKN33" s="18"/>
      <c r="AKO33" s="18"/>
      <c r="AKP33" s="18"/>
      <c r="AKQ33" s="18"/>
      <c r="AKR33" s="18"/>
      <c r="AKS33" s="18"/>
      <c r="AKT33" s="18"/>
      <c r="AKU33" s="18"/>
      <c r="AKV33" s="18"/>
      <c r="AKW33" s="18"/>
      <c r="AKX33" s="18"/>
      <c r="AKY33" s="18"/>
      <c r="AKZ33" s="18"/>
      <c r="ALA33" s="18"/>
      <c r="ALB33" s="18"/>
      <c r="ALC33" s="18"/>
      <c r="ALD33" s="18"/>
      <c r="ALE33" s="18"/>
      <c r="ALF33" s="18"/>
      <c r="ALG33" s="18"/>
      <c r="ALH33" s="18"/>
      <c r="ALI33" s="18"/>
      <c r="ALJ33" s="18"/>
      <c r="ALK33" s="18"/>
      <c r="ALL33" s="18"/>
      <c r="ALM33" s="18"/>
      <c r="ALN33" s="18"/>
      <c r="ALO33" s="18"/>
      <c r="ALP33" s="18"/>
      <c r="ALQ33" s="18"/>
      <c r="ALR33" s="18"/>
      <c r="ALS33" s="18"/>
      <c r="ALT33" s="18"/>
    </row>
    <row r="34" spans="1:1008" ht="24">
      <c r="A34" s="251" t="s">
        <v>7</v>
      </c>
      <c r="B34" s="290">
        <v>100903</v>
      </c>
      <c r="C34" s="278" t="str">
        <f>(IF($A34="SINAPI",INDEX(SINAPI_NOV2020_NDES!$A$7:$H$6703,MATCH($B34,SINAPI_NOV2020_NDES!$A$7:$A$6703,0),2),IF($A34="GOINFRA",INDEX(#REF!,MATCH($B34,#REF!,0),2),(INDEX(COMPOS!$A$4:$G$390,MATCH($B34,COMPOS!$A$4:A$390,0),2)))))</f>
        <v>LÂMPADA TUBULAR LED DE 18/20 W, BASE G13 - FORNECIMENTO E INSTALAÇÃO. AF_02/2020_P</v>
      </c>
      <c r="D34" s="274" t="str">
        <f>(IF($A34="SINAPI",INDEX(SINAPI_NOV2020_NDES!$A$7:$H$6790,MATCH($B34,SINAPI_NOV2020_NDES!$A$7:$A$6790,0),3),(INDEX(COMPOS!$A$4:$G$5000,MATCH($B34,COMPOS!$A$4:$A$5000,0),3))))</f>
        <v>UN</v>
      </c>
      <c r="E34" s="314">
        <v>16</v>
      </c>
      <c r="F34" s="279">
        <f>(IF($A34="SINAPI",INDEX(SINAPI_NOV2020_NDES!$A$7:$H$6703,MATCH($B34,SINAPI_NOV2020_NDES!$A$7:$A$6703,0),5),(INDEX(COMPOS!$A$4:$G$801,MATCH($B34,COMPOS!$A$4:A$801,0),4))))</f>
        <v>5.54</v>
      </c>
      <c r="G34" s="280">
        <f>(IF($A34="SINAPI",INDEX(SINAPI_NOV2020_NDES!$A$7:$H$6703,MATCH($B34,SINAPI_NOV2020_NDES!$A$7:$A$6703,0),6),(INDEX(COMPOS!$A$4:$G$801,MATCH($B34,COMPOS!$A$4:A$801,0),5))))</f>
        <v>23.44</v>
      </c>
      <c r="H34" s="280">
        <f>(IF($A34="SINAPI",INDEX(SINAPI_NOV2020_NDES!$A$7:$H$6703,MATCH($B34,SINAPI_NOV2020_NDES!$A$7:$A$6703,0),7),(INDEX(COMPOS!$A$4:$G$801,MATCH($B34,COMPOS!$A$4:A$801,0),6))))</f>
        <v>0</v>
      </c>
      <c r="I34" s="279">
        <f t="shared" si="8"/>
        <v>28.98</v>
      </c>
      <c r="J34" s="276">
        <f t="shared" si="9"/>
        <v>463.68</v>
      </c>
      <c r="K34" s="191"/>
      <c r="L34" s="191"/>
      <c r="M34" s="191"/>
      <c r="N34" s="191"/>
      <c r="O34" s="262"/>
      <c r="P34" s="263"/>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c r="JF34" s="18"/>
      <c r="JG34" s="18"/>
      <c r="JH34" s="18"/>
      <c r="JI34" s="18"/>
      <c r="JJ34" s="18"/>
      <c r="JK34" s="18"/>
      <c r="JL34" s="18"/>
      <c r="JM34" s="18"/>
      <c r="JN34" s="18"/>
      <c r="JO34" s="18"/>
      <c r="JP34" s="18"/>
      <c r="JQ34" s="18"/>
      <c r="JR34" s="18"/>
      <c r="JS34" s="18"/>
      <c r="JT34" s="18"/>
      <c r="JU34" s="18"/>
      <c r="JV34" s="18"/>
      <c r="JW34" s="18"/>
      <c r="JX34" s="18"/>
      <c r="JY34" s="18"/>
      <c r="JZ34" s="18"/>
      <c r="KA34" s="18"/>
      <c r="KB34" s="18"/>
      <c r="KC34" s="18"/>
      <c r="KD34" s="18"/>
      <c r="KE34" s="18"/>
      <c r="KF34" s="18"/>
      <c r="KG34" s="18"/>
      <c r="KH34" s="18"/>
      <c r="KI34" s="18"/>
      <c r="KJ34" s="18"/>
      <c r="KK34" s="18"/>
      <c r="KL34" s="18"/>
      <c r="KM34" s="18"/>
      <c r="KN34" s="18"/>
      <c r="KO34" s="18"/>
      <c r="KP34" s="18"/>
      <c r="KQ34" s="18"/>
      <c r="KR34" s="18"/>
      <c r="KS34" s="18"/>
      <c r="KT34" s="18"/>
      <c r="KU34" s="18"/>
      <c r="KV34" s="18"/>
      <c r="KW34" s="18"/>
      <c r="KX34" s="18"/>
      <c r="KY34" s="18"/>
      <c r="KZ34" s="18"/>
      <c r="LA34" s="18"/>
      <c r="LB34" s="18"/>
      <c r="LC34" s="18"/>
      <c r="LD34" s="18"/>
      <c r="LE34" s="18"/>
      <c r="LF34" s="18"/>
      <c r="LG34" s="18"/>
      <c r="LH34" s="18"/>
      <c r="LI34" s="18"/>
      <c r="LJ34" s="18"/>
      <c r="LK34" s="18"/>
      <c r="LL34" s="18"/>
      <c r="LM34" s="18"/>
      <c r="LN34" s="18"/>
      <c r="LO34" s="18"/>
      <c r="LP34" s="18"/>
      <c r="LQ34" s="18"/>
      <c r="LR34" s="18"/>
      <c r="LS34" s="18"/>
      <c r="LT34" s="18"/>
      <c r="LU34" s="18"/>
      <c r="LV34" s="18"/>
      <c r="LW34" s="18"/>
      <c r="LX34" s="18"/>
      <c r="LY34" s="18"/>
      <c r="LZ34" s="18"/>
      <c r="MA34" s="18"/>
      <c r="MB34" s="18"/>
      <c r="MC34" s="18"/>
      <c r="MD34" s="18"/>
      <c r="ME34" s="18"/>
      <c r="MF34" s="18"/>
      <c r="MG34" s="18"/>
      <c r="MH34" s="18"/>
      <c r="MI34" s="18"/>
      <c r="MJ34" s="18"/>
      <c r="MK34" s="18"/>
      <c r="ML34" s="18"/>
      <c r="MM34" s="18"/>
      <c r="MN34" s="18"/>
      <c r="MO34" s="18"/>
      <c r="MP34" s="18"/>
      <c r="MQ34" s="18"/>
      <c r="MR34" s="18"/>
      <c r="MS34" s="18"/>
      <c r="MT34" s="18"/>
      <c r="MU34" s="18"/>
      <c r="MV34" s="18"/>
      <c r="MW34" s="18"/>
      <c r="MX34" s="18"/>
      <c r="MY34" s="18"/>
      <c r="MZ34" s="18"/>
      <c r="NA34" s="18"/>
      <c r="NB34" s="18"/>
      <c r="NC34" s="18"/>
      <c r="ND34" s="18"/>
      <c r="NE34" s="18"/>
      <c r="NF34" s="18"/>
      <c r="NG34" s="18"/>
      <c r="NH34" s="18"/>
      <c r="NI34" s="18"/>
      <c r="NJ34" s="18"/>
      <c r="NK34" s="18"/>
      <c r="NL34" s="18"/>
      <c r="NM34" s="18"/>
      <c r="NN34" s="18"/>
      <c r="NO34" s="18"/>
      <c r="NP34" s="18"/>
      <c r="NQ34" s="18"/>
      <c r="NR34" s="18"/>
      <c r="NS34" s="18"/>
      <c r="NT34" s="18"/>
      <c r="NU34" s="18"/>
      <c r="NV34" s="18"/>
      <c r="NW34" s="18"/>
      <c r="NX34" s="18"/>
      <c r="NY34" s="18"/>
      <c r="NZ34" s="18"/>
      <c r="OA34" s="18"/>
      <c r="OB34" s="18"/>
      <c r="OC34" s="18"/>
      <c r="OD34" s="18"/>
      <c r="OE34" s="18"/>
      <c r="OF34" s="18"/>
      <c r="OG34" s="18"/>
      <c r="OH34" s="18"/>
      <c r="OI34" s="18"/>
      <c r="OJ34" s="18"/>
      <c r="OK34" s="18"/>
      <c r="OL34" s="18"/>
      <c r="OM34" s="18"/>
      <c r="ON34" s="18"/>
      <c r="OO34" s="18"/>
      <c r="OP34" s="18"/>
      <c r="OQ34" s="18"/>
      <c r="OR34" s="18"/>
      <c r="OS34" s="18"/>
      <c r="OT34" s="18"/>
      <c r="OU34" s="18"/>
      <c r="OV34" s="18"/>
      <c r="OW34" s="18"/>
      <c r="OX34" s="18"/>
      <c r="OY34" s="18"/>
      <c r="OZ34" s="18"/>
      <c r="PA34" s="18"/>
      <c r="PB34" s="18"/>
      <c r="PC34" s="18"/>
      <c r="PD34" s="18"/>
      <c r="PE34" s="18"/>
      <c r="PF34" s="18"/>
      <c r="PG34" s="18"/>
      <c r="PH34" s="18"/>
      <c r="PI34" s="18"/>
      <c r="PJ34" s="18"/>
      <c r="PK34" s="18"/>
      <c r="PL34" s="18"/>
      <c r="PM34" s="18"/>
      <c r="PN34" s="18"/>
      <c r="PO34" s="18"/>
      <c r="PP34" s="18"/>
      <c r="PQ34" s="18"/>
      <c r="PR34" s="18"/>
      <c r="PS34" s="18"/>
      <c r="PT34" s="18"/>
      <c r="PU34" s="18"/>
      <c r="PV34" s="18"/>
      <c r="PW34" s="18"/>
      <c r="PX34" s="18"/>
      <c r="PY34" s="18"/>
      <c r="PZ34" s="18"/>
      <c r="QA34" s="18"/>
      <c r="QB34" s="18"/>
      <c r="QC34" s="18"/>
      <c r="QD34" s="18"/>
      <c r="QE34" s="18"/>
      <c r="QF34" s="18"/>
      <c r="QG34" s="18"/>
      <c r="QH34" s="18"/>
      <c r="QI34" s="18"/>
      <c r="QJ34" s="18"/>
      <c r="QK34" s="18"/>
      <c r="QL34" s="18"/>
      <c r="QM34" s="18"/>
      <c r="QN34" s="18"/>
      <c r="QO34" s="18"/>
      <c r="QP34" s="18"/>
      <c r="QQ34" s="18"/>
      <c r="QR34" s="18"/>
      <c r="QS34" s="18"/>
      <c r="QT34" s="18"/>
      <c r="QU34" s="18"/>
      <c r="QV34" s="18"/>
      <c r="QW34" s="18"/>
      <c r="QX34" s="18"/>
      <c r="QY34" s="18"/>
      <c r="QZ34" s="18"/>
      <c r="RA34" s="18"/>
      <c r="RB34" s="18"/>
      <c r="RC34" s="18"/>
      <c r="RD34" s="18"/>
      <c r="RE34" s="18"/>
      <c r="RF34" s="18"/>
      <c r="RG34" s="18"/>
      <c r="RH34" s="18"/>
      <c r="RI34" s="18"/>
      <c r="RJ34" s="18"/>
      <c r="RK34" s="18"/>
      <c r="RL34" s="18"/>
      <c r="RM34" s="18"/>
      <c r="RN34" s="18"/>
      <c r="RO34" s="18"/>
      <c r="RP34" s="18"/>
      <c r="RQ34" s="18"/>
      <c r="RR34" s="18"/>
      <c r="RS34" s="18"/>
      <c r="RT34" s="18"/>
      <c r="RU34" s="18"/>
      <c r="RV34" s="18"/>
      <c r="RW34" s="18"/>
      <c r="RX34" s="18"/>
      <c r="RY34" s="18"/>
      <c r="RZ34" s="18"/>
      <c r="SA34" s="18"/>
      <c r="SB34" s="18"/>
      <c r="SC34" s="18"/>
      <c r="SD34" s="18"/>
      <c r="SE34" s="18"/>
      <c r="SF34" s="18"/>
      <c r="SG34" s="18"/>
      <c r="SH34" s="18"/>
      <c r="SI34" s="18"/>
      <c r="SJ34" s="18"/>
      <c r="SK34" s="18"/>
      <c r="SL34" s="18"/>
      <c r="SM34" s="18"/>
      <c r="SN34" s="18"/>
      <c r="SO34" s="18"/>
      <c r="SP34" s="18"/>
      <c r="SQ34" s="18"/>
      <c r="SR34" s="18"/>
      <c r="SS34" s="18"/>
      <c r="ST34" s="18"/>
      <c r="SU34" s="18"/>
      <c r="SV34" s="18"/>
      <c r="SW34" s="18"/>
      <c r="SX34" s="18"/>
      <c r="SY34" s="18"/>
      <c r="SZ34" s="18"/>
      <c r="TA34" s="18"/>
      <c r="TB34" s="18"/>
      <c r="TC34" s="18"/>
      <c r="TD34" s="18"/>
      <c r="TE34" s="18"/>
      <c r="TF34" s="18"/>
      <c r="TG34" s="18"/>
      <c r="TH34" s="18"/>
      <c r="TI34" s="18"/>
      <c r="TJ34" s="18"/>
      <c r="TK34" s="18"/>
      <c r="TL34" s="18"/>
      <c r="TM34" s="18"/>
      <c r="TN34" s="18"/>
      <c r="TO34" s="18"/>
      <c r="TP34" s="18"/>
      <c r="TQ34" s="18"/>
      <c r="TR34" s="18"/>
      <c r="TS34" s="18"/>
      <c r="TT34" s="18"/>
      <c r="TU34" s="18"/>
      <c r="TV34" s="18"/>
      <c r="TW34" s="18"/>
      <c r="TX34" s="18"/>
      <c r="TY34" s="18"/>
      <c r="TZ34" s="18"/>
      <c r="UA34" s="18"/>
      <c r="UB34" s="18"/>
      <c r="UC34" s="18"/>
      <c r="UD34" s="18"/>
      <c r="UE34" s="18"/>
      <c r="UF34" s="18"/>
      <c r="UG34" s="18"/>
      <c r="UH34" s="18"/>
      <c r="UI34" s="18"/>
      <c r="UJ34" s="18"/>
      <c r="UK34" s="18"/>
      <c r="UL34" s="18"/>
      <c r="UM34" s="18"/>
      <c r="UN34" s="18"/>
      <c r="UO34" s="18"/>
      <c r="UP34" s="18"/>
      <c r="UQ34" s="18"/>
      <c r="UR34" s="18"/>
      <c r="US34" s="18"/>
      <c r="UT34" s="18"/>
      <c r="UU34" s="18"/>
      <c r="UV34" s="18"/>
      <c r="UW34" s="18"/>
      <c r="UX34" s="18"/>
      <c r="UY34" s="18"/>
      <c r="UZ34" s="18"/>
      <c r="VA34" s="18"/>
      <c r="VB34" s="18"/>
      <c r="VC34" s="18"/>
      <c r="VD34" s="18"/>
      <c r="VE34" s="18"/>
      <c r="VF34" s="18"/>
      <c r="VG34" s="18"/>
      <c r="VH34" s="18"/>
      <c r="VI34" s="18"/>
      <c r="VJ34" s="18"/>
      <c r="VK34" s="18"/>
      <c r="VL34" s="18"/>
      <c r="VM34" s="18"/>
      <c r="VN34" s="18"/>
      <c r="VO34" s="18"/>
      <c r="VP34" s="18"/>
      <c r="VQ34" s="18"/>
      <c r="VR34" s="18"/>
      <c r="VS34" s="18"/>
      <c r="VT34" s="18"/>
      <c r="VU34" s="18"/>
      <c r="VV34" s="18"/>
      <c r="VW34" s="18"/>
      <c r="VX34" s="18"/>
      <c r="VY34" s="18"/>
      <c r="VZ34" s="18"/>
      <c r="WA34" s="18"/>
      <c r="WB34" s="18"/>
      <c r="WC34" s="18"/>
      <c r="WD34" s="18"/>
      <c r="WE34" s="18"/>
      <c r="WF34" s="18"/>
      <c r="WG34" s="18"/>
      <c r="WH34" s="18"/>
      <c r="WI34" s="18"/>
      <c r="WJ34" s="18"/>
      <c r="WK34" s="18"/>
      <c r="WL34" s="18"/>
      <c r="WM34" s="18"/>
      <c r="WN34" s="18"/>
      <c r="WO34" s="18"/>
      <c r="WP34" s="18"/>
      <c r="WQ34" s="18"/>
      <c r="WR34" s="18"/>
      <c r="WS34" s="18"/>
      <c r="WT34" s="18"/>
      <c r="WU34" s="18"/>
      <c r="WV34" s="18"/>
      <c r="WW34" s="18"/>
      <c r="WX34" s="18"/>
      <c r="WY34" s="18"/>
      <c r="WZ34" s="18"/>
      <c r="XA34" s="18"/>
      <c r="XB34" s="18"/>
      <c r="XC34" s="18"/>
      <c r="XD34" s="18"/>
      <c r="XE34" s="18"/>
      <c r="XF34" s="18"/>
      <c r="XG34" s="18"/>
      <c r="XH34" s="18"/>
      <c r="XI34" s="18"/>
      <c r="XJ34" s="18"/>
      <c r="XK34" s="18"/>
      <c r="XL34" s="18"/>
      <c r="XM34" s="18"/>
      <c r="XN34" s="18"/>
      <c r="XO34" s="18"/>
      <c r="XP34" s="18"/>
      <c r="XQ34" s="18"/>
      <c r="XR34" s="18"/>
      <c r="XS34" s="18"/>
      <c r="XT34" s="18"/>
      <c r="XU34" s="18"/>
      <c r="XV34" s="18"/>
      <c r="XW34" s="18"/>
      <c r="XX34" s="18"/>
      <c r="XY34" s="18"/>
      <c r="XZ34" s="18"/>
      <c r="YA34" s="18"/>
      <c r="YB34" s="18"/>
      <c r="YC34" s="18"/>
      <c r="YD34" s="18"/>
      <c r="YE34" s="18"/>
      <c r="YF34" s="18"/>
      <c r="YG34" s="18"/>
      <c r="YH34" s="18"/>
      <c r="YI34" s="18"/>
      <c r="YJ34" s="18"/>
      <c r="YK34" s="18"/>
      <c r="YL34" s="18"/>
      <c r="YM34" s="18"/>
      <c r="YN34" s="18"/>
      <c r="YO34" s="18"/>
      <c r="YP34" s="18"/>
      <c r="YQ34" s="18"/>
      <c r="YR34" s="18"/>
      <c r="YS34" s="18"/>
      <c r="YT34" s="18"/>
      <c r="YU34" s="18"/>
      <c r="YV34" s="18"/>
      <c r="YW34" s="18"/>
      <c r="YX34" s="18"/>
      <c r="YY34" s="18"/>
      <c r="YZ34" s="18"/>
      <c r="ZA34" s="18"/>
      <c r="ZB34" s="18"/>
      <c r="ZC34" s="18"/>
      <c r="ZD34" s="18"/>
      <c r="ZE34" s="18"/>
      <c r="ZF34" s="18"/>
      <c r="ZG34" s="18"/>
      <c r="ZH34" s="18"/>
      <c r="ZI34" s="18"/>
      <c r="ZJ34" s="18"/>
      <c r="ZK34" s="18"/>
      <c r="ZL34" s="18"/>
      <c r="ZM34" s="18"/>
      <c r="ZN34" s="18"/>
      <c r="ZO34" s="18"/>
      <c r="ZP34" s="18"/>
      <c r="ZQ34" s="18"/>
      <c r="ZR34" s="18"/>
      <c r="ZS34" s="18"/>
      <c r="ZT34" s="18"/>
      <c r="ZU34" s="18"/>
      <c r="ZV34" s="18"/>
      <c r="ZW34" s="18"/>
      <c r="ZX34" s="18"/>
      <c r="ZY34" s="18"/>
      <c r="ZZ34" s="18"/>
      <c r="AAA34" s="18"/>
      <c r="AAB34" s="18"/>
      <c r="AAC34" s="18"/>
      <c r="AAD34" s="18"/>
      <c r="AAE34" s="18"/>
      <c r="AAF34" s="18"/>
      <c r="AAG34" s="18"/>
      <c r="AAH34" s="18"/>
      <c r="AAI34" s="18"/>
      <c r="AAJ34" s="18"/>
      <c r="AAK34" s="18"/>
      <c r="AAL34" s="18"/>
      <c r="AAM34" s="18"/>
      <c r="AAN34" s="18"/>
      <c r="AAO34" s="18"/>
      <c r="AAP34" s="18"/>
      <c r="AAQ34" s="18"/>
      <c r="AAR34" s="18"/>
      <c r="AAS34" s="18"/>
      <c r="AAT34" s="18"/>
      <c r="AAU34" s="18"/>
      <c r="AAV34" s="18"/>
      <c r="AAW34" s="18"/>
      <c r="AAX34" s="18"/>
      <c r="AAY34" s="18"/>
      <c r="AAZ34" s="18"/>
      <c r="ABA34" s="18"/>
      <c r="ABB34" s="18"/>
      <c r="ABC34" s="18"/>
      <c r="ABD34" s="18"/>
      <c r="ABE34" s="18"/>
      <c r="ABF34" s="18"/>
      <c r="ABG34" s="18"/>
      <c r="ABH34" s="18"/>
      <c r="ABI34" s="18"/>
      <c r="ABJ34" s="18"/>
      <c r="ABK34" s="18"/>
      <c r="ABL34" s="18"/>
      <c r="ABM34" s="18"/>
      <c r="ABN34" s="18"/>
      <c r="ABO34" s="18"/>
      <c r="ABP34" s="18"/>
      <c r="ABQ34" s="18"/>
      <c r="ABR34" s="18"/>
      <c r="ABS34" s="18"/>
      <c r="ABT34" s="18"/>
      <c r="ABU34" s="18"/>
      <c r="ABV34" s="18"/>
      <c r="ABW34" s="18"/>
      <c r="ABX34" s="18"/>
      <c r="ABY34" s="18"/>
      <c r="ABZ34" s="18"/>
      <c r="ACA34" s="18"/>
      <c r="ACB34" s="18"/>
      <c r="ACC34" s="18"/>
      <c r="ACD34" s="18"/>
      <c r="ACE34" s="18"/>
      <c r="ACF34" s="18"/>
      <c r="ACG34" s="18"/>
      <c r="ACH34" s="18"/>
      <c r="ACI34" s="18"/>
      <c r="ACJ34" s="18"/>
      <c r="ACK34" s="18"/>
      <c r="ACL34" s="18"/>
      <c r="ACM34" s="18"/>
      <c r="ACN34" s="18"/>
      <c r="ACO34" s="18"/>
      <c r="ACP34" s="18"/>
      <c r="ACQ34" s="18"/>
      <c r="ACR34" s="18"/>
      <c r="ACS34" s="18"/>
      <c r="ACT34" s="18"/>
      <c r="ACU34" s="18"/>
      <c r="ACV34" s="18"/>
      <c r="ACW34" s="18"/>
      <c r="ACX34" s="18"/>
      <c r="ACY34" s="18"/>
      <c r="ACZ34" s="18"/>
      <c r="ADA34" s="18"/>
      <c r="ADB34" s="18"/>
      <c r="ADC34" s="18"/>
      <c r="ADD34" s="18"/>
      <c r="ADE34" s="18"/>
      <c r="ADF34" s="18"/>
      <c r="ADG34" s="18"/>
      <c r="ADH34" s="18"/>
      <c r="ADI34" s="18"/>
      <c r="ADJ34" s="18"/>
      <c r="ADK34" s="18"/>
      <c r="ADL34" s="18"/>
      <c r="ADM34" s="18"/>
      <c r="ADN34" s="18"/>
      <c r="ADO34" s="18"/>
      <c r="ADP34" s="18"/>
      <c r="ADQ34" s="18"/>
      <c r="ADR34" s="18"/>
      <c r="ADS34" s="18"/>
      <c r="ADT34" s="18"/>
      <c r="ADU34" s="18"/>
      <c r="ADV34" s="18"/>
      <c r="ADW34" s="18"/>
      <c r="ADX34" s="18"/>
      <c r="ADY34" s="18"/>
      <c r="ADZ34" s="18"/>
      <c r="AEA34" s="18"/>
      <c r="AEB34" s="18"/>
      <c r="AEC34" s="18"/>
      <c r="AED34" s="18"/>
      <c r="AEE34" s="18"/>
      <c r="AEF34" s="18"/>
      <c r="AEG34" s="18"/>
      <c r="AEH34" s="18"/>
      <c r="AEI34" s="18"/>
      <c r="AEJ34" s="18"/>
      <c r="AEK34" s="18"/>
      <c r="AEL34" s="18"/>
      <c r="AEM34" s="18"/>
      <c r="AEN34" s="18"/>
      <c r="AEO34" s="18"/>
      <c r="AEP34" s="18"/>
      <c r="AEQ34" s="18"/>
      <c r="AER34" s="18"/>
      <c r="AES34" s="18"/>
      <c r="AET34" s="18"/>
      <c r="AEU34" s="18"/>
      <c r="AEV34" s="18"/>
      <c r="AEW34" s="18"/>
      <c r="AEX34" s="18"/>
      <c r="AEY34" s="18"/>
      <c r="AEZ34" s="18"/>
      <c r="AFA34" s="18"/>
      <c r="AFB34" s="18"/>
      <c r="AFC34" s="18"/>
      <c r="AFD34" s="18"/>
      <c r="AFE34" s="18"/>
      <c r="AFF34" s="18"/>
      <c r="AFG34" s="18"/>
      <c r="AFH34" s="18"/>
      <c r="AFI34" s="18"/>
      <c r="AFJ34" s="18"/>
      <c r="AFK34" s="18"/>
      <c r="AFL34" s="18"/>
      <c r="AFM34" s="18"/>
      <c r="AFN34" s="18"/>
      <c r="AFO34" s="18"/>
      <c r="AFP34" s="18"/>
      <c r="AFQ34" s="18"/>
      <c r="AFR34" s="18"/>
      <c r="AFS34" s="18"/>
      <c r="AFT34" s="18"/>
      <c r="AFU34" s="18"/>
      <c r="AFV34" s="18"/>
      <c r="AFW34" s="18"/>
      <c r="AFX34" s="18"/>
      <c r="AFY34" s="18"/>
      <c r="AFZ34" s="18"/>
      <c r="AGA34" s="18"/>
      <c r="AGB34" s="18"/>
      <c r="AGC34" s="18"/>
      <c r="AGD34" s="18"/>
      <c r="AGE34" s="18"/>
      <c r="AGF34" s="18"/>
      <c r="AGG34" s="18"/>
      <c r="AGH34" s="18"/>
      <c r="AGI34" s="18"/>
      <c r="AGJ34" s="18"/>
      <c r="AGK34" s="18"/>
      <c r="AGL34" s="18"/>
      <c r="AGM34" s="18"/>
      <c r="AGN34" s="18"/>
      <c r="AGO34" s="18"/>
      <c r="AGP34" s="18"/>
      <c r="AGQ34" s="18"/>
      <c r="AGR34" s="18"/>
      <c r="AGS34" s="18"/>
      <c r="AGT34" s="18"/>
      <c r="AGU34" s="18"/>
      <c r="AGV34" s="18"/>
      <c r="AGW34" s="18"/>
      <c r="AGX34" s="18"/>
      <c r="AGY34" s="18"/>
      <c r="AGZ34" s="18"/>
      <c r="AHA34" s="18"/>
      <c r="AHB34" s="18"/>
      <c r="AHC34" s="18"/>
      <c r="AHD34" s="18"/>
      <c r="AHE34" s="18"/>
      <c r="AHF34" s="18"/>
      <c r="AHG34" s="18"/>
      <c r="AHH34" s="18"/>
      <c r="AHI34" s="18"/>
      <c r="AHJ34" s="18"/>
      <c r="AHK34" s="18"/>
      <c r="AHL34" s="18"/>
      <c r="AHM34" s="18"/>
      <c r="AHN34" s="18"/>
      <c r="AHO34" s="18"/>
      <c r="AHP34" s="18"/>
      <c r="AHQ34" s="18"/>
      <c r="AHR34" s="18"/>
      <c r="AHS34" s="18"/>
      <c r="AHT34" s="18"/>
      <c r="AHU34" s="18"/>
      <c r="AHV34" s="18"/>
      <c r="AHW34" s="18"/>
      <c r="AHX34" s="18"/>
      <c r="AHY34" s="18"/>
      <c r="AHZ34" s="18"/>
      <c r="AIA34" s="18"/>
      <c r="AIB34" s="18"/>
      <c r="AIC34" s="18"/>
      <c r="AID34" s="18"/>
      <c r="AIE34" s="18"/>
      <c r="AIF34" s="18"/>
      <c r="AIG34" s="18"/>
      <c r="AIH34" s="18"/>
      <c r="AII34" s="18"/>
      <c r="AIJ34" s="18"/>
      <c r="AIK34" s="18"/>
      <c r="AIL34" s="18"/>
      <c r="AIM34" s="18"/>
      <c r="AIN34" s="18"/>
      <c r="AIO34" s="18"/>
      <c r="AIP34" s="18"/>
      <c r="AIQ34" s="18"/>
      <c r="AIR34" s="18"/>
      <c r="AIS34" s="18"/>
      <c r="AIT34" s="18"/>
      <c r="AIU34" s="18"/>
      <c r="AIV34" s="18"/>
      <c r="AIW34" s="18"/>
      <c r="AIX34" s="18"/>
      <c r="AIY34" s="18"/>
      <c r="AIZ34" s="18"/>
      <c r="AJA34" s="18"/>
      <c r="AJB34" s="18"/>
      <c r="AJC34" s="18"/>
      <c r="AJD34" s="18"/>
      <c r="AJE34" s="18"/>
      <c r="AJF34" s="18"/>
      <c r="AJG34" s="18"/>
      <c r="AJH34" s="18"/>
      <c r="AJI34" s="18"/>
      <c r="AJJ34" s="18"/>
      <c r="AJK34" s="18"/>
      <c r="AJL34" s="18"/>
      <c r="AJM34" s="18"/>
      <c r="AJN34" s="18"/>
      <c r="AJO34" s="18"/>
      <c r="AJP34" s="18"/>
      <c r="AJQ34" s="18"/>
      <c r="AJR34" s="18"/>
      <c r="AJS34" s="18"/>
      <c r="AJT34" s="18"/>
      <c r="AJU34" s="18"/>
      <c r="AJV34" s="18"/>
      <c r="AJW34" s="18"/>
      <c r="AJX34" s="18"/>
      <c r="AJY34" s="18"/>
      <c r="AJZ34" s="18"/>
      <c r="AKA34" s="18"/>
      <c r="AKB34" s="18"/>
      <c r="AKC34" s="18"/>
      <c r="AKD34" s="18"/>
      <c r="AKE34" s="18"/>
      <c r="AKF34" s="18"/>
      <c r="AKG34" s="18"/>
      <c r="AKH34" s="18"/>
      <c r="AKI34" s="18"/>
      <c r="AKJ34" s="18"/>
      <c r="AKK34" s="18"/>
      <c r="AKL34" s="18"/>
      <c r="AKM34" s="18"/>
      <c r="AKN34" s="18"/>
      <c r="AKO34" s="18"/>
      <c r="AKP34" s="18"/>
      <c r="AKQ34" s="18"/>
      <c r="AKR34" s="18"/>
      <c r="AKS34" s="18"/>
      <c r="AKT34" s="18"/>
      <c r="AKU34" s="18"/>
      <c r="AKV34" s="18"/>
      <c r="AKW34" s="18"/>
      <c r="AKX34" s="18"/>
      <c r="AKY34" s="18"/>
      <c r="AKZ34" s="18"/>
      <c r="ALA34" s="18"/>
      <c r="ALB34" s="18"/>
      <c r="ALC34" s="18"/>
      <c r="ALD34" s="18"/>
      <c r="ALE34" s="18"/>
      <c r="ALF34" s="18"/>
      <c r="ALG34" s="18"/>
      <c r="ALH34" s="18"/>
      <c r="ALI34" s="18"/>
      <c r="ALJ34" s="18"/>
      <c r="ALK34" s="18"/>
      <c r="ALL34" s="18"/>
      <c r="ALM34" s="18"/>
      <c r="ALN34" s="18"/>
      <c r="ALO34" s="18"/>
      <c r="ALP34" s="18"/>
      <c r="ALQ34" s="18"/>
      <c r="ALR34" s="18"/>
      <c r="ALS34" s="18"/>
      <c r="ALT34" s="18"/>
    </row>
    <row r="35" spans="1:1008" s="88" customFormat="1" ht="24" customHeight="1">
      <c r="A35" s="680" t="s">
        <v>6927</v>
      </c>
      <c r="B35" s="680"/>
      <c r="C35" s="680"/>
      <c r="D35" s="680"/>
      <c r="E35" s="680"/>
      <c r="F35" s="680"/>
      <c r="G35" s="680"/>
      <c r="H35" s="680"/>
      <c r="I35" s="680"/>
      <c r="J35" s="281">
        <f>SUM(J21:J34)</f>
        <v>4624.8166660000006</v>
      </c>
      <c r="K35" s="191"/>
      <c r="L35" s="191"/>
      <c r="M35" s="191"/>
      <c r="N35" s="191"/>
      <c r="O35" s="191"/>
      <c r="P35" s="263"/>
    </row>
    <row r="36" spans="1:1008">
      <c r="A36" s="251"/>
      <c r="B36" s="370">
        <v>170</v>
      </c>
      <c r="C36" s="340" t="s">
        <v>604</v>
      </c>
      <c r="D36" s="274"/>
      <c r="E36" s="316"/>
      <c r="F36" s="316"/>
      <c r="G36" s="316"/>
      <c r="H36" s="316"/>
      <c r="I36" s="316"/>
      <c r="J36" s="316"/>
      <c r="K36" s="191"/>
      <c r="L36" s="191"/>
      <c r="M36" s="191"/>
      <c r="N36" s="191"/>
      <c r="O36" s="191"/>
      <c r="P36" s="263"/>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c r="JF36" s="18"/>
      <c r="JG36" s="18"/>
      <c r="JH36" s="18"/>
      <c r="JI36" s="18"/>
      <c r="JJ36" s="18"/>
      <c r="JK36" s="18"/>
      <c r="JL36" s="18"/>
      <c r="JM36" s="18"/>
      <c r="JN36" s="18"/>
      <c r="JO36" s="18"/>
      <c r="JP36" s="18"/>
      <c r="JQ36" s="18"/>
      <c r="JR36" s="18"/>
      <c r="JS36" s="18"/>
      <c r="JT36" s="18"/>
      <c r="JU36" s="18"/>
      <c r="JV36" s="18"/>
      <c r="JW36" s="18"/>
      <c r="JX36" s="18"/>
      <c r="JY36" s="18"/>
      <c r="JZ36" s="18"/>
      <c r="KA36" s="18"/>
      <c r="KB36" s="18"/>
      <c r="KC36" s="18"/>
      <c r="KD36" s="18"/>
      <c r="KE36" s="18"/>
      <c r="KF36" s="18"/>
      <c r="KG36" s="18"/>
      <c r="KH36" s="18"/>
      <c r="KI36" s="18"/>
      <c r="KJ36" s="18"/>
      <c r="KK36" s="18"/>
      <c r="KL36" s="18"/>
      <c r="KM36" s="18"/>
      <c r="KN36" s="18"/>
      <c r="KO36" s="18"/>
      <c r="KP36" s="18"/>
      <c r="KQ36" s="18"/>
      <c r="KR36" s="18"/>
      <c r="KS36" s="18"/>
      <c r="KT36" s="18"/>
      <c r="KU36" s="18"/>
      <c r="KV36" s="18"/>
      <c r="KW36" s="18"/>
      <c r="KX36" s="18"/>
      <c r="KY36" s="18"/>
      <c r="KZ36" s="18"/>
      <c r="LA36" s="18"/>
      <c r="LB36" s="18"/>
      <c r="LC36" s="18"/>
      <c r="LD36" s="18"/>
      <c r="LE36" s="18"/>
      <c r="LF36" s="18"/>
      <c r="LG36" s="18"/>
      <c r="LH36" s="18"/>
      <c r="LI36" s="18"/>
      <c r="LJ36" s="18"/>
      <c r="LK36" s="18"/>
      <c r="LL36" s="18"/>
      <c r="LM36" s="18"/>
      <c r="LN36" s="18"/>
      <c r="LO36" s="18"/>
      <c r="LP36" s="18"/>
      <c r="LQ36" s="18"/>
      <c r="LR36" s="18"/>
      <c r="LS36" s="18"/>
      <c r="LT36" s="18"/>
      <c r="LU36" s="18"/>
      <c r="LV36" s="18"/>
      <c r="LW36" s="18"/>
      <c r="LX36" s="18"/>
      <c r="LY36" s="18"/>
      <c r="LZ36" s="18"/>
      <c r="MA36" s="18"/>
      <c r="MB36" s="18"/>
      <c r="MC36" s="18"/>
      <c r="MD36" s="18"/>
      <c r="ME36" s="18"/>
      <c r="MF36" s="18"/>
      <c r="MG36" s="18"/>
      <c r="MH36" s="18"/>
      <c r="MI36" s="18"/>
      <c r="MJ36" s="18"/>
      <c r="MK36" s="18"/>
      <c r="ML36" s="18"/>
      <c r="MM36" s="18"/>
      <c r="MN36" s="18"/>
      <c r="MO36" s="18"/>
      <c r="MP36" s="18"/>
      <c r="MQ36" s="18"/>
      <c r="MR36" s="18"/>
      <c r="MS36" s="18"/>
      <c r="MT36" s="18"/>
      <c r="MU36" s="18"/>
      <c r="MV36" s="18"/>
      <c r="MW36" s="18"/>
      <c r="MX36" s="18"/>
      <c r="MY36" s="18"/>
      <c r="MZ36" s="18"/>
      <c r="NA36" s="18"/>
      <c r="NB36" s="18"/>
      <c r="NC36" s="18"/>
      <c r="ND36" s="18"/>
      <c r="NE36" s="18"/>
      <c r="NF36" s="18"/>
      <c r="NG36" s="18"/>
      <c r="NH36" s="18"/>
      <c r="NI36" s="18"/>
      <c r="NJ36" s="18"/>
      <c r="NK36" s="18"/>
      <c r="NL36" s="18"/>
      <c r="NM36" s="18"/>
      <c r="NN36" s="18"/>
      <c r="NO36" s="18"/>
      <c r="NP36" s="18"/>
      <c r="NQ36" s="18"/>
      <c r="NR36" s="18"/>
      <c r="NS36" s="18"/>
      <c r="NT36" s="18"/>
      <c r="NU36" s="18"/>
      <c r="NV36" s="18"/>
      <c r="NW36" s="18"/>
      <c r="NX36" s="18"/>
      <c r="NY36" s="18"/>
      <c r="NZ36" s="18"/>
      <c r="OA36" s="18"/>
      <c r="OB36" s="18"/>
      <c r="OC36" s="18"/>
      <c r="OD36" s="18"/>
      <c r="OE36" s="18"/>
      <c r="OF36" s="18"/>
      <c r="OG36" s="18"/>
      <c r="OH36" s="18"/>
      <c r="OI36" s="18"/>
      <c r="OJ36" s="18"/>
      <c r="OK36" s="18"/>
      <c r="OL36" s="18"/>
      <c r="OM36" s="18"/>
      <c r="ON36" s="18"/>
      <c r="OO36" s="18"/>
      <c r="OP36" s="18"/>
      <c r="OQ36" s="18"/>
      <c r="OR36" s="18"/>
      <c r="OS36" s="18"/>
      <c r="OT36" s="18"/>
      <c r="OU36" s="18"/>
      <c r="OV36" s="18"/>
      <c r="OW36" s="18"/>
      <c r="OX36" s="18"/>
      <c r="OY36" s="18"/>
      <c r="OZ36" s="18"/>
      <c r="PA36" s="18"/>
      <c r="PB36" s="18"/>
      <c r="PC36" s="18"/>
      <c r="PD36" s="18"/>
      <c r="PE36" s="18"/>
      <c r="PF36" s="18"/>
      <c r="PG36" s="18"/>
      <c r="PH36" s="18"/>
      <c r="PI36" s="18"/>
      <c r="PJ36" s="18"/>
      <c r="PK36" s="18"/>
      <c r="PL36" s="18"/>
      <c r="PM36" s="18"/>
      <c r="PN36" s="18"/>
      <c r="PO36" s="18"/>
      <c r="PP36" s="18"/>
      <c r="PQ36" s="18"/>
      <c r="PR36" s="18"/>
      <c r="PS36" s="18"/>
      <c r="PT36" s="18"/>
      <c r="PU36" s="18"/>
      <c r="PV36" s="18"/>
      <c r="PW36" s="18"/>
      <c r="PX36" s="18"/>
      <c r="PY36" s="18"/>
      <c r="PZ36" s="18"/>
      <c r="QA36" s="18"/>
      <c r="QB36" s="18"/>
      <c r="QC36" s="18"/>
      <c r="QD36" s="18"/>
      <c r="QE36" s="18"/>
      <c r="QF36" s="18"/>
      <c r="QG36" s="18"/>
      <c r="QH36" s="18"/>
      <c r="QI36" s="18"/>
      <c r="QJ36" s="18"/>
      <c r="QK36" s="18"/>
      <c r="QL36" s="18"/>
      <c r="QM36" s="18"/>
      <c r="QN36" s="18"/>
      <c r="QO36" s="18"/>
      <c r="QP36" s="18"/>
      <c r="QQ36" s="18"/>
      <c r="QR36" s="18"/>
      <c r="QS36" s="18"/>
      <c r="QT36" s="18"/>
      <c r="QU36" s="18"/>
      <c r="QV36" s="18"/>
      <c r="QW36" s="18"/>
      <c r="QX36" s="18"/>
      <c r="QY36" s="18"/>
      <c r="QZ36" s="18"/>
      <c r="RA36" s="18"/>
      <c r="RB36" s="18"/>
      <c r="RC36" s="18"/>
      <c r="RD36" s="18"/>
      <c r="RE36" s="18"/>
      <c r="RF36" s="18"/>
      <c r="RG36" s="18"/>
      <c r="RH36" s="18"/>
      <c r="RI36" s="18"/>
      <c r="RJ36" s="18"/>
      <c r="RK36" s="18"/>
      <c r="RL36" s="18"/>
      <c r="RM36" s="18"/>
      <c r="RN36" s="18"/>
      <c r="RO36" s="18"/>
      <c r="RP36" s="18"/>
      <c r="RQ36" s="18"/>
      <c r="RR36" s="18"/>
      <c r="RS36" s="18"/>
      <c r="RT36" s="18"/>
      <c r="RU36" s="18"/>
      <c r="RV36" s="18"/>
      <c r="RW36" s="18"/>
      <c r="RX36" s="18"/>
      <c r="RY36" s="18"/>
      <c r="RZ36" s="18"/>
      <c r="SA36" s="18"/>
      <c r="SB36" s="18"/>
      <c r="SC36" s="18"/>
      <c r="SD36" s="18"/>
      <c r="SE36" s="18"/>
      <c r="SF36" s="18"/>
      <c r="SG36" s="18"/>
      <c r="SH36" s="18"/>
      <c r="SI36" s="18"/>
      <c r="SJ36" s="18"/>
      <c r="SK36" s="18"/>
      <c r="SL36" s="18"/>
      <c r="SM36" s="18"/>
      <c r="SN36" s="18"/>
      <c r="SO36" s="18"/>
      <c r="SP36" s="18"/>
      <c r="SQ36" s="18"/>
      <c r="SR36" s="18"/>
      <c r="SS36" s="18"/>
      <c r="ST36" s="18"/>
      <c r="SU36" s="18"/>
      <c r="SV36" s="18"/>
      <c r="SW36" s="18"/>
      <c r="SX36" s="18"/>
      <c r="SY36" s="18"/>
      <c r="SZ36" s="18"/>
      <c r="TA36" s="18"/>
      <c r="TB36" s="18"/>
      <c r="TC36" s="18"/>
      <c r="TD36" s="18"/>
      <c r="TE36" s="18"/>
      <c r="TF36" s="18"/>
      <c r="TG36" s="18"/>
      <c r="TH36" s="18"/>
      <c r="TI36" s="18"/>
      <c r="TJ36" s="18"/>
      <c r="TK36" s="18"/>
      <c r="TL36" s="18"/>
      <c r="TM36" s="18"/>
      <c r="TN36" s="18"/>
      <c r="TO36" s="18"/>
      <c r="TP36" s="18"/>
      <c r="TQ36" s="18"/>
      <c r="TR36" s="18"/>
      <c r="TS36" s="18"/>
      <c r="TT36" s="18"/>
      <c r="TU36" s="18"/>
      <c r="TV36" s="18"/>
      <c r="TW36" s="18"/>
      <c r="TX36" s="18"/>
      <c r="TY36" s="18"/>
      <c r="TZ36" s="18"/>
      <c r="UA36" s="18"/>
      <c r="UB36" s="18"/>
      <c r="UC36" s="18"/>
      <c r="UD36" s="18"/>
      <c r="UE36" s="18"/>
      <c r="UF36" s="18"/>
      <c r="UG36" s="18"/>
      <c r="UH36" s="18"/>
      <c r="UI36" s="18"/>
      <c r="UJ36" s="18"/>
      <c r="UK36" s="18"/>
      <c r="UL36" s="18"/>
      <c r="UM36" s="18"/>
      <c r="UN36" s="18"/>
      <c r="UO36" s="18"/>
      <c r="UP36" s="18"/>
      <c r="UQ36" s="18"/>
      <c r="UR36" s="18"/>
      <c r="US36" s="18"/>
      <c r="UT36" s="18"/>
      <c r="UU36" s="18"/>
      <c r="UV36" s="18"/>
      <c r="UW36" s="18"/>
      <c r="UX36" s="18"/>
      <c r="UY36" s="18"/>
      <c r="UZ36" s="18"/>
      <c r="VA36" s="18"/>
      <c r="VB36" s="18"/>
      <c r="VC36" s="18"/>
      <c r="VD36" s="18"/>
      <c r="VE36" s="18"/>
      <c r="VF36" s="18"/>
      <c r="VG36" s="18"/>
      <c r="VH36" s="18"/>
      <c r="VI36" s="18"/>
      <c r="VJ36" s="18"/>
      <c r="VK36" s="18"/>
      <c r="VL36" s="18"/>
      <c r="VM36" s="18"/>
      <c r="VN36" s="18"/>
      <c r="VO36" s="18"/>
      <c r="VP36" s="18"/>
      <c r="VQ36" s="18"/>
      <c r="VR36" s="18"/>
      <c r="VS36" s="18"/>
      <c r="VT36" s="18"/>
      <c r="VU36" s="18"/>
      <c r="VV36" s="18"/>
      <c r="VW36" s="18"/>
      <c r="VX36" s="18"/>
      <c r="VY36" s="18"/>
      <c r="VZ36" s="18"/>
      <c r="WA36" s="18"/>
      <c r="WB36" s="18"/>
      <c r="WC36" s="18"/>
      <c r="WD36" s="18"/>
      <c r="WE36" s="18"/>
      <c r="WF36" s="18"/>
      <c r="WG36" s="18"/>
      <c r="WH36" s="18"/>
      <c r="WI36" s="18"/>
      <c r="WJ36" s="18"/>
      <c r="WK36" s="18"/>
      <c r="WL36" s="18"/>
      <c r="WM36" s="18"/>
      <c r="WN36" s="18"/>
      <c r="WO36" s="18"/>
      <c r="WP36" s="18"/>
      <c r="WQ36" s="18"/>
      <c r="WR36" s="18"/>
      <c r="WS36" s="18"/>
      <c r="WT36" s="18"/>
      <c r="WU36" s="18"/>
      <c r="WV36" s="18"/>
      <c r="WW36" s="18"/>
      <c r="WX36" s="18"/>
      <c r="WY36" s="18"/>
      <c r="WZ36" s="18"/>
      <c r="XA36" s="18"/>
      <c r="XB36" s="18"/>
      <c r="XC36" s="18"/>
      <c r="XD36" s="18"/>
      <c r="XE36" s="18"/>
      <c r="XF36" s="18"/>
      <c r="XG36" s="18"/>
      <c r="XH36" s="18"/>
      <c r="XI36" s="18"/>
      <c r="XJ36" s="18"/>
      <c r="XK36" s="18"/>
      <c r="XL36" s="18"/>
      <c r="XM36" s="18"/>
      <c r="XN36" s="18"/>
      <c r="XO36" s="18"/>
      <c r="XP36" s="18"/>
      <c r="XQ36" s="18"/>
      <c r="XR36" s="18"/>
      <c r="XS36" s="18"/>
      <c r="XT36" s="18"/>
      <c r="XU36" s="18"/>
      <c r="XV36" s="18"/>
      <c r="XW36" s="18"/>
      <c r="XX36" s="18"/>
      <c r="XY36" s="18"/>
      <c r="XZ36" s="18"/>
      <c r="YA36" s="18"/>
      <c r="YB36" s="18"/>
      <c r="YC36" s="18"/>
      <c r="YD36" s="18"/>
      <c r="YE36" s="18"/>
      <c r="YF36" s="18"/>
      <c r="YG36" s="18"/>
      <c r="YH36" s="18"/>
      <c r="YI36" s="18"/>
      <c r="YJ36" s="18"/>
      <c r="YK36" s="18"/>
      <c r="YL36" s="18"/>
      <c r="YM36" s="18"/>
      <c r="YN36" s="18"/>
      <c r="YO36" s="18"/>
      <c r="YP36" s="18"/>
      <c r="YQ36" s="18"/>
      <c r="YR36" s="18"/>
      <c r="YS36" s="18"/>
      <c r="YT36" s="18"/>
      <c r="YU36" s="18"/>
      <c r="YV36" s="18"/>
      <c r="YW36" s="18"/>
      <c r="YX36" s="18"/>
      <c r="YY36" s="18"/>
      <c r="YZ36" s="18"/>
      <c r="ZA36" s="18"/>
      <c r="ZB36" s="18"/>
      <c r="ZC36" s="18"/>
      <c r="ZD36" s="18"/>
      <c r="ZE36" s="18"/>
      <c r="ZF36" s="18"/>
      <c r="ZG36" s="18"/>
      <c r="ZH36" s="18"/>
      <c r="ZI36" s="18"/>
      <c r="ZJ36" s="18"/>
      <c r="ZK36" s="18"/>
      <c r="ZL36" s="18"/>
      <c r="ZM36" s="18"/>
      <c r="ZN36" s="18"/>
      <c r="ZO36" s="18"/>
      <c r="ZP36" s="18"/>
      <c r="ZQ36" s="18"/>
      <c r="ZR36" s="18"/>
      <c r="ZS36" s="18"/>
      <c r="ZT36" s="18"/>
      <c r="ZU36" s="18"/>
      <c r="ZV36" s="18"/>
      <c r="ZW36" s="18"/>
      <c r="ZX36" s="18"/>
      <c r="ZY36" s="18"/>
      <c r="ZZ36" s="18"/>
      <c r="AAA36" s="18"/>
      <c r="AAB36" s="18"/>
      <c r="AAC36" s="18"/>
      <c r="AAD36" s="18"/>
      <c r="AAE36" s="18"/>
      <c r="AAF36" s="18"/>
      <c r="AAG36" s="18"/>
      <c r="AAH36" s="18"/>
      <c r="AAI36" s="18"/>
      <c r="AAJ36" s="18"/>
      <c r="AAK36" s="18"/>
      <c r="AAL36" s="18"/>
      <c r="AAM36" s="18"/>
      <c r="AAN36" s="18"/>
      <c r="AAO36" s="18"/>
      <c r="AAP36" s="18"/>
      <c r="AAQ36" s="18"/>
      <c r="AAR36" s="18"/>
      <c r="AAS36" s="18"/>
      <c r="AAT36" s="18"/>
      <c r="AAU36" s="18"/>
      <c r="AAV36" s="18"/>
      <c r="AAW36" s="18"/>
      <c r="AAX36" s="18"/>
      <c r="AAY36" s="18"/>
      <c r="AAZ36" s="18"/>
      <c r="ABA36" s="18"/>
      <c r="ABB36" s="18"/>
      <c r="ABC36" s="18"/>
      <c r="ABD36" s="18"/>
      <c r="ABE36" s="18"/>
      <c r="ABF36" s="18"/>
      <c r="ABG36" s="18"/>
      <c r="ABH36" s="18"/>
      <c r="ABI36" s="18"/>
      <c r="ABJ36" s="18"/>
      <c r="ABK36" s="18"/>
      <c r="ABL36" s="18"/>
      <c r="ABM36" s="18"/>
      <c r="ABN36" s="18"/>
      <c r="ABO36" s="18"/>
      <c r="ABP36" s="18"/>
      <c r="ABQ36" s="18"/>
      <c r="ABR36" s="18"/>
      <c r="ABS36" s="18"/>
      <c r="ABT36" s="18"/>
      <c r="ABU36" s="18"/>
      <c r="ABV36" s="18"/>
      <c r="ABW36" s="18"/>
      <c r="ABX36" s="18"/>
      <c r="ABY36" s="18"/>
      <c r="ABZ36" s="18"/>
      <c r="ACA36" s="18"/>
      <c r="ACB36" s="18"/>
      <c r="ACC36" s="18"/>
      <c r="ACD36" s="18"/>
      <c r="ACE36" s="18"/>
      <c r="ACF36" s="18"/>
      <c r="ACG36" s="18"/>
      <c r="ACH36" s="18"/>
      <c r="ACI36" s="18"/>
      <c r="ACJ36" s="18"/>
      <c r="ACK36" s="18"/>
      <c r="ACL36" s="18"/>
      <c r="ACM36" s="18"/>
      <c r="ACN36" s="18"/>
      <c r="ACO36" s="18"/>
      <c r="ACP36" s="18"/>
      <c r="ACQ36" s="18"/>
      <c r="ACR36" s="18"/>
      <c r="ACS36" s="18"/>
      <c r="ACT36" s="18"/>
      <c r="ACU36" s="18"/>
      <c r="ACV36" s="18"/>
      <c r="ACW36" s="18"/>
      <c r="ACX36" s="18"/>
      <c r="ACY36" s="18"/>
      <c r="ACZ36" s="18"/>
      <c r="ADA36" s="18"/>
      <c r="ADB36" s="18"/>
      <c r="ADC36" s="18"/>
      <c r="ADD36" s="18"/>
      <c r="ADE36" s="18"/>
      <c r="ADF36" s="18"/>
      <c r="ADG36" s="18"/>
      <c r="ADH36" s="18"/>
      <c r="ADI36" s="18"/>
      <c r="ADJ36" s="18"/>
      <c r="ADK36" s="18"/>
      <c r="ADL36" s="18"/>
      <c r="ADM36" s="18"/>
      <c r="ADN36" s="18"/>
      <c r="ADO36" s="18"/>
      <c r="ADP36" s="18"/>
      <c r="ADQ36" s="18"/>
      <c r="ADR36" s="18"/>
      <c r="ADS36" s="18"/>
      <c r="ADT36" s="18"/>
      <c r="ADU36" s="18"/>
      <c r="ADV36" s="18"/>
      <c r="ADW36" s="18"/>
      <c r="ADX36" s="18"/>
      <c r="ADY36" s="18"/>
      <c r="ADZ36" s="18"/>
      <c r="AEA36" s="18"/>
      <c r="AEB36" s="18"/>
      <c r="AEC36" s="18"/>
      <c r="AED36" s="18"/>
      <c r="AEE36" s="18"/>
      <c r="AEF36" s="18"/>
      <c r="AEG36" s="18"/>
      <c r="AEH36" s="18"/>
      <c r="AEI36" s="18"/>
      <c r="AEJ36" s="18"/>
      <c r="AEK36" s="18"/>
      <c r="AEL36" s="18"/>
      <c r="AEM36" s="18"/>
      <c r="AEN36" s="18"/>
      <c r="AEO36" s="18"/>
      <c r="AEP36" s="18"/>
      <c r="AEQ36" s="18"/>
      <c r="AER36" s="18"/>
      <c r="AES36" s="18"/>
      <c r="AET36" s="18"/>
      <c r="AEU36" s="18"/>
      <c r="AEV36" s="18"/>
      <c r="AEW36" s="18"/>
      <c r="AEX36" s="18"/>
      <c r="AEY36" s="18"/>
      <c r="AEZ36" s="18"/>
      <c r="AFA36" s="18"/>
      <c r="AFB36" s="18"/>
      <c r="AFC36" s="18"/>
      <c r="AFD36" s="18"/>
      <c r="AFE36" s="18"/>
      <c r="AFF36" s="18"/>
      <c r="AFG36" s="18"/>
      <c r="AFH36" s="18"/>
      <c r="AFI36" s="18"/>
      <c r="AFJ36" s="18"/>
      <c r="AFK36" s="18"/>
      <c r="AFL36" s="18"/>
      <c r="AFM36" s="18"/>
      <c r="AFN36" s="18"/>
      <c r="AFO36" s="18"/>
      <c r="AFP36" s="18"/>
      <c r="AFQ36" s="18"/>
      <c r="AFR36" s="18"/>
      <c r="AFS36" s="18"/>
      <c r="AFT36" s="18"/>
      <c r="AFU36" s="18"/>
      <c r="AFV36" s="18"/>
      <c r="AFW36" s="18"/>
      <c r="AFX36" s="18"/>
      <c r="AFY36" s="18"/>
      <c r="AFZ36" s="18"/>
      <c r="AGA36" s="18"/>
      <c r="AGB36" s="18"/>
      <c r="AGC36" s="18"/>
      <c r="AGD36" s="18"/>
      <c r="AGE36" s="18"/>
      <c r="AGF36" s="18"/>
      <c r="AGG36" s="18"/>
      <c r="AGH36" s="18"/>
      <c r="AGI36" s="18"/>
      <c r="AGJ36" s="18"/>
      <c r="AGK36" s="18"/>
      <c r="AGL36" s="18"/>
      <c r="AGM36" s="18"/>
      <c r="AGN36" s="18"/>
      <c r="AGO36" s="18"/>
      <c r="AGP36" s="18"/>
      <c r="AGQ36" s="18"/>
      <c r="AGR36" s="18"/>
      <c r="AGS36" s="18"/>
      <c r="AGT36" s="18"/>
      <c r="AGU36" s="18"/>
      <c r="AGV36" s="18"/>
      <c r="AGW36" s="18"/>
      <c r="AGX36" s="18"/>
      <c r="AGY36" s="18"/>
      <c r="AGZ36" s="18"/>
      <c r="AHA36" s="18"/>
      <c r="AHB36" s="18"/>
      <c r="AHC36" s="18"/>
      <c r="AHD36" s="18"/>
      <c r="AHE36" s="18"/>
      <c r="AHF36" s="18"/>
      <c r="AHG36" s="18"/>
      <c r="AHH36" s="18"/>
      <c r="AHI36" s="18"/>
      <c r="AHJ36" s="18"/>
      <c r="AHK36" s="18"/>
      <c r="AHL36" s="18"/>
      <c r="AHM36" s="18"/>
      <c r="AHN36" s="18"/>
      <c r="AHO36" s="18"/>
      <c r="AHP36" s="18"/>
      <c r="AHQ36" s="18"/>
      <c r="AHR36" s="18"/>
      <c r="AHS36" s="18"/>
      <c r="AHT36" s="18"/>
      <c r="AHU36" s="18"/>
      <c r="AHV36" s="18"/>
      <c r="AHW36" s="18"/>
      <c r="AHX36" s="18"/>
      <c r="AHY36" s="18"/>
      <c r="AHZ36" s="18"/>
      <c r="AIA36" s="18"/>
      <c r="AIB36" s="18"/>
      <c r="AIC36" s="18"/>
      <c r="AID36" s="18"/>
      <c r="AIE36" s="18"/>
      <c r="AIF36" s="18"/>
      <c r="AIG36" s="18"/>
      <c r="AIH36" s="18"/>
      <c r="AII36" s="18"/>
      <c r="AIJ36" s="18"/>
      <c r="AIK36" s="18"/>
      <c r="AIL36" s="18"/>
      <c r="AIM36" s="18"/>
      <c r="AIN36" s="18"/>
      <c r="AIO36" s="18"/>
      <c r="AIP36" s="18"/>
      <c r="AIQ36" s="18"/>
      <c r="AIR36" s="18"/>
      <c r="AIS36" s="18"/>
      <c r="AIT36" s="18"/>
      <c r="AIU36" s="18"/>
      <c r="AIV36" s="18"/>
      <c r="AIW36" s="18"/>
      <c r="AIX36" s="18"/>
      <c r="AIY36" s="18"/>
      <c r="AIZ36" s="18"/>
      <c r="AJA36" s="18"/>
      <c r="AJB36" s="18"/>
      <c r="AJC36" s="18"/>
      <c r="AJD36" s="18"/>
      <c r="AJE36" s="18"/>
      <c r="AJF36" s="18"/>
      <c r="AJG36" s="18"/>
      <c r="AJH36" s="18"/>
      <c r="AJI36" s="18"/>
      <c r="AJJ36" s="18"/>
      <c r="AJK36" s="18"/>
      <c r="AJL36" s="18"/>
      <c r="AJM36" s="18"/>
      <c r="AJN36" s="18"/>
      <c r="AJO36" s="18"/>
      <c r="AJP36" s="18"/>
      <c r="AJQ36" s="18"/>
      <c r="AJR36" s="18"/>
      <c r="AJS36" s="18"/>
      <c r="AJT36" s="18"/>
      <c r="AJU36" s="18"/>
      <c r="AJV36" s="18"/>
      <c r="AJW36" s="18"/>
      <c r="AJX36" s="18"/>
      <c r="AJY36" s="18"/>
      <c r="AJZ36" s="18"/>
      <c r="AKA36" s="18"/>
      <c r="AKB36" s="18"/>
      <c r="AKC36" s="18"/>
      <c r="AKD36" s="18"/>
      <c r="AKE36" s="18"/>
      <c r="AKF36" s="18"/>
      <c r="AKG36" s="18"/>
      <c r="AKH36" s="18"/>
      <c r="AKI36" s="18"/>
      <c r="AKJ36" s="18"/>
      <c r="AKK36" s="18"/>
      <c r="AKL36" s="18"/>
      <c r="AKM36" s="18"/>
      <c r="AKN36" s="18"/>
      <c r="AKO36" s="18"/>
      <c r="AKP36" s="18"/>
      <c r="AKQ36" s="18"/>
      <c r="AKR36" s="18"/>
      <c r="AKS36" s="18"/>
      <c r="AKT36" s="18"/>
      <c r="AKU36" s="18"/>
      <c r="AKV36" s="18"/>
      <c r="AKW36" s="18"/>
      <c r="AKX36" s="18"/>
      <c r="AKY36" s="18"/>
      <c r="AKZ36" s="18"/>
      <c r="ALA36" s="18"/>
      <c r="ALB36" s="18"/>
      <c r="ALC36" s="18"/>
      <c r="ALD36" s="18"/>
      <c r="ALE36" s="18"/>
      <c r="ALF36" s="18"/>
      <c r="ALG36" s="18"/>
      <c r="ALH36" s="18"/>
      <c r="ALI36" s="18"/>
      <c r="ALJ36" s="18"/>
      <c r="ALK36" s="18"/>
      <c r="ALL36" s="18"/>
      <c r="ALM36" s="18"/>
      <c r="ALN36" s="18"/>
      <c r="ALO36" s="18"/>
      <c r="ALP36" s="18"/>
      <c r="ALQ36" s="18"/>
      <c r="ALR36" s="18"/>
      <c r="ALS36" s="18"/>
      <c r="ALT36" s="18"/>
    </row>
    <row r="37" spans="1:1008" ht="24">
      <c r="A37" s="251" t="s">
        <v>7</v>
      </c>
      <c r="B37" s="290">
        <v>95469</v>
      </c>
      <c r="C37" s="278" t="str">
        <f>(IF($A37="SINAPI",INDEX(SINAPI_NOV2020_NDES!$A$7:$H$6703,MATCH($B37,SINAPI_NOV2020_NDES!$A$7:$A$6703,0),2),IF($A37="GOINFRA",INDEX(#REF!,MATCH($B37,#REF!,0),2),(INDEX(COMPOS!$A$4:$G$390,MATCH($B37,COMPOS!$A$4:A$390,0),2)))))</f>
        <v>VASO SANITARIO SIFONADO CONVENCIONAL COM  LOUÇA BRANCA - FORNECIMENTO E INSTALAÇÃO. AF_01/2020</v>
      </c>
      <c r="D37" s="274" t="str">
        <f>(IF($A37="SINAPI",INDEX(SINAPI_NOV2020_NDES!$A$7:$H$6790,MATCH($B37,SINAPI_NOV2020_NDES!$A$7:$A$6790,0),3),(INDEX(COMPOS!$A$4:$G$5000,MATCH($B37,COMPOS!$A$4:$A$5000,0),3))))</f>
        <v>UN</v>
      </c>
      <c r="E37" s="314">
        <v>4</v>
      </c>
      <c r="F37" s="279">
        <f>(IF($A37="SINAPI",INDEX(SINAPI_NOV2020_NDES!$A$7:$H$6703,MATCH($B37,SINAPI_NOV2020_NDES!$A$7:$A$6703,0),5),(INDEX(COMPOS!$A$4:$G$801,MATCH($B37,COMPOS!$A$4:A$801,0),4))))</f>
        <v>12.19</v>
      </c>
      <c r="G37" s="280">
        <f>(IF($A37="SINAPI",INDEX(SINAPI_NOV2020_NDES!$A$7:$H$6703,MATCH($B37,SINAPI_NOV2020_NDES!$A$7:$A$6703,0),6),(INDEX(COMPOS!$A$4:$G$801,MATCH($B37,COMPOS!$A$4:A$801,0),5))))</f>
        <v>155.57</v>
      </c>
      <c r="H37" s="280">
        <f>(IF($A37="SINAPI",INDEX(SINAPI_NOV2020_NDES!$A$7:$H$6703,MATCH($B37,SINAPI_NOV2020_NDES!$A$7:$A$6703,0),7),(INDEX(COMPOS!$A$4:$G$801,MATCH($B37,COMPOS!$A$4:A$801,0),6))))</f>
        <v>0</v>
      </c>
      <c r="I37" s="279">
        <f t="shared" ref="I37" si="10">SUM(F37:H37)</f>
        <v>167.76</v>
      </c>
      <c r="J37" s="276">
        <f t="shared" ref="J37" si="11">+I37*E37</f>
        <v>671.04</v>
      </c>
      <c r="K37" s="191"/>
      <c r="L37" s="191"/>
      <c r="M37" s="191"/>
      <c r="N37" s="191"/>
      <c r="O37" s="262"/>
      <c r="P37" s="263"/>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c r="JF37" s="18"/>
      <c r="JG37" s="18"/>
      <c r="JH37" s="18"/>
      <c r="JI37" s="18"/>
      <c r="JJ37" s="18"/>
      <c r="JK37" s="18"/>
      <c r="JL37" s="18"/>
      <c r="JM37" s="18"/>
      <c r="JN37" s="18"/>
      <c r="JO37" s="18"/>
      <c r="JP37" s="18"/>
      <c r="JQ37" s="18"/>
      <c r="JR37" s="18"/>
      <c r="JS37" s="18"/>
      <c r="JT37" s="18"/>
      <c r="JU37" s="18"/>
      <c r="JV37" s="18"/>
      <c r="JW37" s="18"/>
      <c r="JX37" s="18"/>
      <c r="JY37" s="18"/>
      <c r="JZ37" s="18"/>
      <c r="KA37" s="18"/>
      <c r="KB37" s="18"/>
      <c r="KC37" s="18"/>
      <c r="KD37" s="18"/>
      <c r="KE37" s="18"/>
      <c r="KF37" s="18"/>
      <c r="KG37" s="18"/>
      <c r="KH37" s="18"/>
      <c r="KI37" s="18"/>
      <c r="KJ37" s="18"/>
      <c r="KK37" s="18"/>
      <c r="KL37" s="18"/>
      <c r="KM37" s="18"/>
      <c r="KN37" s="18"/>
      <c r="KO37" s="18"/>
      <c r="KP37" s="18"/>
      <c r="KQ37" s="18"/>
      <c r="KR37" s="18"/>
      <c r="KS37" s="18"/>
      <c r="KT37" s="18"/>
      <c r="KU37" s="18"/>
      <c r="KV37" s="18"/>
      <c r="KW37" s="18"/>
      <c r="KX37" s="18"/>
      <c r="KY37" s="18"/>
      <c r="KZ37" s="18"/>
      <c r="LA37" s="18"/>
      <c r="LB37" s="18"/>
      <c r="LC37" s="18"/>
      <c r="LD37" s="18"/>
      <c r="LE37" s="18"/>
      <c r="LF37" s="18"/>
      <c r="LG37" s="18"/>
      <c r="LH37" s="18"/>
      <c r="LI37" s="18"/>
      <c r="LJ37" s="18"/>
      <c r="LK37" s="18"/>
      <c r="LL37" s="18"/>
      <c r="LM37" s="18"/>
      <c r="LN37" s="18"/>
      <c r="LO37" s="18"/>
      <c r="LP37" s="18"/>
      <c r="LQ37" s="18"/>
      <c r="LR37" s="18"/>
      <c r="LS37" s="18"/>
      <c r="LT37" s="18"/>
      <c r="LU37" s="18"/>
      <c r="LV37" s="18"/>
      <c r="LW37" s="18"/>
      <c r="LX37" s="18"/>
      <c r="LY37" s="18"/>
      <c r="LZ37" s="18"/>
      <c r="MA37" s="18"/>
      <c r="MB37" s="18"/>
      <c r="MC37" s="18"/>
      <c r="MD37" s="18"/>
      <c r="ME37" s="18"/>
      <c r="MF37" s="18"/>
      <c r="MG37" s="18"/>
      <c r="MH37" s="18"/>
      <c r="MI37" s="18"/>
      <c r="MJ37" s="18"/>
      <c r="MK37" s="18"/>
      <c r="ML37" s="18"/>
      <c r="MM37" s="18"/>
      <c r="MN37" s="18"/>
      <c r="MO37" s="18"/>
      <c r="MP37" s="18"/>
      <c r="MQ37" s="18"/>
      <c r="MR37" s="18"/>
      <c r="MS37" s="18"/>
      <c r="MT37" s="18"/>
      <c r="MU37" s="18"/>
      <c r="MV37" s="18"/>
      <c r="MW37" s="18"/>
      <c r="MX37" s="18"/>
      <c r="MY37" s="18"/>
      <c r="MZ37" s="18"/>
      <c r="NA37" s="18"/>
      <c r="NB37" s="18"/>
      <c r="NC37" s="18"/>
      <c r="ND37" s="18"/>
      <c r="NE37" s="18"/>
      <c r="NF37" s="18"/>
      <c r="NG37" s="18"/>
      <c r="NH37" s="18"/>
      <c r="NI37" s="18"/>
      <c r="NJ37" s="18"/>
      <c r="NK37" s="18"/>
      <c r="NL37" s="18"/>
      <c r="NM37" s="18"/>
      <c r="NN37" s="18"/>
      <c r="NO37" s="18"/>
      <c r="NP37" s="18"/>
      <c r="NQ37" s="18"/>
      <c r="NR37" s="18"/>
      <c r="NS37" s="18"/>
      <c r="NT37" s="18"/>
      <c r="NU37" s="18"/>
      <c r="NV37" s="18"/>
      <c r="NW37" s="18"/>
      <c r="NX37" s="18"/>
      <c r="NY37" s="18"/>
      <c r="NZ37" s="18"/>
      <c r="OA37" s="18"/>
      <c r="OB37" s="18"/>
      <c r="OC37" s="18"/>
      <c r="OD37" s="18"/>
      <c r="OE37" s="18"/>
      <c r="OF37" s="18"/>
      <c r="OG37" s="18"/>
      <c r="OH37" s="18"/>
      <c r="OI37" s="18"/>
      <c r="OJ37" s="18"/>
      <c r="OK37" s="18"/>
      <c r="OL37" s="18"/>
      <c r="OM37" s="18"/>
      <c r="ON37" s="18"/>
      <c r="OO37" s="18"/>
      <c r="OP37" s="18"/>
      <c r="OQ37" s="18"/>
      <c r="OR37" s="18"/>
      <c r="OS37" s="18"/>
      <c r="OT37" s="18"/>
      <c r="OU37" s="18"/>
      <c r="OV37" s="18"/>
      <c r="OW37" s="18"/>
      <c r="OX37" s="18"/>
      <c r="OY37" s="18"/>
      <c r="OZ37" s="18"/>
      <c r="PA37" s="18"/>
      <c r="PB37" s="18"/>
      <c r="PC37" s="18"/>
      <c r="PD37" s="18"/>
      <c r="PE37" s="18"/>
      <c r="PF37" s="18"/>
      <c r="PG37" s="18"/>
      <c r="PH37" s="18"/>
      <c r="PI37" s="18"/>
      <c r="PJ37" s="18"/>
      <c r="PK37" s="18"/>
      <c r="PL37" s="18"/>
      <c r="PM37" s="18"/>
      <c r="PN37" s="18"/>
      <c r="PO37" s="18"/>
      <c r="PP37" s="18"/>
      <c r="PQ37" s="18"/>
      <c r="PR37" s="18"/>
      <c r="PS37" s="18"/>
      <c r="PT37" s="18"/>
      <c r="PU37" s="18"/>
      <c r="PV37" s="18"/>
      <c r="PW37" s="18"/>
      <c r="PX37" s="18"/>
      <c r="PY37" s="18"/>
      <c r="PZ37" s="18"/>
      <c r="QA37" s="18"/>
      <c r="QB37" s="18"/>
      <c r="QC37" s="18"/>
      <c r="QD37" s="18"/>
      <c r="QE37" s="18"/>
      <c r="QF37" s="18"/>
      <c r="QG37" s="18"/>
      <c r="QH37" s="18"/>
      <c r="QI37" s="18"/>
      <c r="QJ37" s="18"/>
      <c r="QK37" s="18"/>
      <c r="QL37" s="18"/>
      <c r="QM37" s="18"/>
      <c r="QN37" s="18"/>
      <c r="QO37" s="18"/>
      <c r="QP37" s="18"/>
      <c r="QQ37" s="18"/>
      <c r="QR37" s="18"/>
      <c r="QS37" s="18"/>
      <c r="QT37" s="18"/>
      <c r="QU37" s="18"/>
      <c r="QV37" s="18"/>
      <c r="QW37" s="18"/>
      <c r="QX37" s="18"/>
      <c r="QY37" s="18"/>
      <c r="QZ37" s="18"/>
      <c r="RA37" s="18"/>
      <c r="RB37" s="18"/>
      <c r="RC37" s="18"/>
      <c r="RD37" s="18"/>
      <c r="RE37" s="18"/>
      <c r="RF37" s="18"/>
      <c r="RG37" s="18"/>
      <c r="RH37" s="18"/>
      <c r="RI37" s="18"/>
      <c r="RJ37" s="18"/>
      <c r="RK37" s="18"/>
      <c r="RL37" s="18"/>
      <c r="RM37" s="18"/>
      <c r="RN37" s="18"/>
      <c r="RO37" s="18"/>
      <c r="RP37" s="18"/>
      <c r="RQ37" s="18"/>
      <c r="RR37" s="18"/>
      <c r="RS37" s="18"/>
      <c r="RT37" s="18"/>
      <c r="RU37" s="18"/>
      <c r="RV37" s="18"/>
      <c r="RW37" s="18"/>
      <c r="RX37" s="18"/>
      <c r="RY37" s="18"/>
      <c r="RZ37" s="18"/>
      <c r="SA37" s="18"/>
      <c r="SB37" s="18"/>
      <c r="SC37" s="18"/>
      <c r="SD37" s="18"/>
      <c r="SE37" s="18"/>
      <c r="SF37" s="18"/>
      <c r="SG37" s="18"/>
      <c r="SH37" s="18"/>
      <c r="SI37" s="18"/>
      <c r="SJ37" s="18"/>
      <c r="SK37" s="18"/>
      <c r="SL37" s="18"/>
      <c r="SM37" s="18"/>
      <c r="SN37" s="18"/>
      <c r="SO37" s="18"/>
      <c r="SP37" s="18"/>
      <c r="SQ37" s="18"/>
      <c r="SR37" s="18"/>
      <c r="SS37" s="18"/>
      <c r="ST37" s="18"/>
      <c r="SU37" s="18"/>
      <c r="SV37" s="18"/>
      <c r="SW37" s="18"/>
      <c r="SX37" s="18"/>
      <c r="SY37" s="18"/>
      <c r="SZ37" s="18"/>
      <c r="TA37" s="18"/>
      <c r="TB37" s="18"/>
      <c r="TC37" s="18"/>
      <c r="TD37" s="18"/>
      <c r="TE37" s="18"/>
      <c r="TF37" s="18"/>
      <c r="TG37" s="18"/>
      <c r="TH37" s="18"/>
      <c r="TI37" s="18"/>
      <c r="TJ37" s="18"/>
      <c r="TK37" s="18"/>
      <c r="TL37" s="18"/>
      <c r="TM37" s="18"/>
      <c r="TN37" s="18"/>
      <c r="TO37" s="18"/>
      <c r="TP37" s="18"/>
      <c r="TQ37" s="18"/>
      <c r="TR37" s="18"/>
      <c r="TS37" s="18"/>
      <c r="TT37" s="18"/>
      <c r="TU37" s="18"/>
      <c r="TV37" s="18"/>
      <c r="TW37" s="18"/>
      <c r="TX37" s="18"/>
      <c r="TY37" s="18"/>
      <c r="TZ37" s="18"/>
      <c r="UA37" s="18"/>
      <c r="UB37" s="18"/>
      <c r="UC37" s="18"/>
      <c r="UD37" s="18"/>
      <c r="UE37" s="18"/>
      <c r="UF37" s="18"/>
      <c r="UG37" s="18"/>
      <c r="UH37" s="18"/>
      <c r="UI37" s="18"/>
      <c r="UJ37" s="18"/>
      <c r="UK37" s="18"/>
      <c r="UL37" s="18"/>
      <c r="UM37" s="18"/>
      <c r="UN37" s="18"/>
      <c r="UO37" s="18"/>
      <c r="UP37" s="18"/>
      <c r="UQ37" s="18"/>
      <c r="UR37" s="18"/>
      <c r="US37" s="18"/>
      <c r="UT37" s="18"/>
      <c r="UU37" s="18"/>
      <c r="UV37" s="18"/>
      <c r="UW37" s="18"/>
      <c r="UX37" s="18"/>
      <c r="UY37" s="18"/>
      <c r="UZ37" s="18"/>
      <c r="VA37" s="18"/>
      <c r="VB37" s="18"/>
      <c r="VC37" s="18"/>
      <c r="VD37" s="18"/>
      <c r="VE37" s="18"/>
      <c r="VF37" s="18"/>
      <c r="VG37" s="18"/>
      <c r="VH37" s="18"/>
      <c r="VI37" s="18"/>
      <c r="VJ37" s="18"/>
      <c r="VK37" s="18"/>
      <c r="VL37" s="18"/>
      <c r="VM37" s="18"/>
      <c r="VN37" s="18"/>
      <c r="VO37" s="18"/>
      <c r="VP37" s="18"/>
      <c r="VQ37" s="18"/>
      <c r="VR37" s="18"/>
      <c r="VS37" s="18"/>
      <c r="VT37" s="18"/>
      <c r="VU37" s="18"/>
      <c r="VV37" s="18"/>
      <c r="VW37" s="18"/>
      <c r="VX37" s="18"/>
      <c r="VY37" s="18"/>
      <c r="VZ37" s="18"/>
      <c r="WA37" s="18"/>
      <c r="WB37" s="18"/>
      <c r="WC37" s="18"/>
      <c r="WD37" s="18"/>
      <c r="WE37" s="18"/>
      <c r="WF37" s="18"/>
      <c r="WG37" s="18"/>
      <c r="WH37" s="18"/>
      <c r="WI37" s="18"/>
      <c r="WJ37" s="18"/>
      <c r="WK37" s="18"/>
      <c r="WL37" s="18"/>
      <c r="WM37" s="18"/>
      <c r="WN37" s="18"/>
      <c r="WO37" s="18"/>
      <c r="WP37" s="18"/>
      <c r="WQ37" s="18"/>
      <c r="WR37" s="18"/>
      <c r="WS37" s="18"/>
      <c r="WT37" s="18"/>
      <c r="WU37" s="18"/>
      <c r="WV37" s="18"/>
      <c r="WW37" s="18"/>
      <c r="WX37" s="18"/>
      <c r="WY37" s="18"/>
      <c r="WZ37" s="18"/>
      <c r="XA37" s="18"/>
      <c r="XB37" s="18"/>
      <c r="XC37" s="18"/>
      <c r="XD37" s="18"/>
      <c r="XE37" s="18"/>
      <c r="XF37" s="18"/>
      <c r="XG37" s="18"/>
      <c r="XH37" s="18"/>
      <c r="XI37" s="18"/>
      <c r="XJ37" s="18"/>
      <c r="XK37" s="18"/>
      <c r="XL37" s="18"/>
      <c r="XM37" s="18"/>
      <c r="XN37" s="18"/>
      <c r="XO37" s="18"/>
      <c r="XP37" s="18"/>
      <c r="XQ37" s="18"/>
      <c r="XR37" s="18"/>
      <c r="XS37" s="18"/>
      <c r="XT37" s="18"/>
      <c r="XU37" s="18"/>
      <c r="XV37" s="18"/>
      <c r="XW37" s="18"/>
      <c r="XX37" s="18"/>
      <c r="XY37" s="18"/>
      <c r="XZ37" s="18"/>
      <c r="YA37" s="18"/>
      <c r="YB37" s="18"/>
      <c r="YC37" s="18"/>
      <c r="YD37" s="18"/>
      <c r="YE37" s="18"/>
      <c r="YF37" s="18"/>
      <c r="YG37" s="18"/>
      <c r="YH37" s="18"/>
      <c r="YI37" s="18"/>
      <c r="YJ37" s="18"/>
      <c r="YK37" s="18"/>
      <c r="YL37" s="18"/>
      <c r="YM37" s="18"/>
      <c r="YN37" s="18"/>
      <c r="YO37" s="18"/>
      <c r="YP37" s="18"/>
      <c r="YQ37" s="18"/>
      <c r="YR37" s="18"/>
      <c r="YS37" s="18"/>
      <c r="YT37" s="18"/>
      <c r="YU37" s="18"/>
      <c r="YV37" s="18"/>
      <c r="YW37" s="18"/>
      <c r="YX37" s="18"/>
      <c r="YY37" s="18"/>
      <c r="YZ37" s="18"/>
      <c r="ZA37" s="18"/>
      <c r="ZB37" s="18"/>
      <c r="ZC37" s="18"/>
      <c r="ZD37" s="18"/>
      <c r="ZE37" s="18"/>
      <c r="ZF37" s="18"/>
      <c r="ZG37" s="18"/>
      <c r="ZH37" s="18"/>
      <c r="ZI37" s="18"/>
      <c r="ZJ37" s="18"/>
      <c r="ZK37" s="18"/>
      <c r="ZL37" s="18"/>
      <c r="ZM37" s="18"/>
      <c r="ZN37" s="18"/>
      <c r="ZO37" s="18"/>
      <c r="ZP37" s="18"/>
      <c r="ZQ37" s="18"/>
      <c r="ZR37" s="18"/>
      <c r="ZS37" s="18"/>
      <c r="ZT37" s="18"/>
      <c r="ZU37" s="18"/>
      <c r="ZV37" s="18"/>
      <c r="ZW37" s="18"/>
      <c r="ZX37" s="18"/>
      <c r="ZY37" s="18"/>
      <c r="ZZ37" s="18"/>
      <c r="AAA37" s="18"/>
      <c r="AAB37" s="18"/>
      <c r="AAC37" s="18"/>
      <c r="AAD37" s="18"/>
      <c r="AAE37" s="18"/>
      <c r="AAF37" s="18"/>
      <c r="AAG37" s="18"/>
      <c r="AAH37" s="18"/>
      <c r="AAI37" s="18"/>
      <c r="AAJ37" s="18"/>
      <c r="AAK37" s="18"/>
      <c r="AAL37" s="18"/>
      <c r="AAM37" s="18"/>
      <c r="AAN37" s="18"/>
      <c r="AAO37" s="18"/>
      <c r="AAP37" s="18"/>
      <c r="AAQ37" s="18"/>
      <c r="AAR37" s="18"/>
      <c r="AAS37" s="18"/>
      <c r="AAT37" s="18"/>
      <c r="AAU37" s="18"/>
      <c r="AAV37" s="18"/>
      <c r="AAW37" s="18"/>
      <c r="AAX37" s="18"/>
      <c r="AAY37" s="18"/>
      <c r="AAZ37" s="18"/>
      <c r="ABA37" s="18"/>
      <c r="ABB37" s="18"/>
      <c r="ABC37" s="18"/>
      <c r="ABD37" s="18"/>
      <c r="ABE37" s="18"/>
      <c r="ABF37" s="18"/>
      <c r="ABG37" s="18"/>
      <c r="ABH37" s="18"/>
      <c r="ABI37" s="18"/>
      <c r="ABJ37" s="18"/>
      <c r="ABK37" s="18"/>
      <c r="ABL37" s="18"/>
      <c r="ABM37" s="18"/>
      <c r="ABN37" s="18"/>
      <c r="ABO37" s="18"/>
      <c r="ABP37" s="18"/>
      <c r="ABQ37" s="18"/>
      <c r="ABR37" s="18"/>
      <c r="ABS37" s="18"/>
      <c r="ABT37" s="18"/>
      <c r="ABU37" s="18"/>
      <c r="ABV37" s="18"/>
      <c r="ABW37" s="18"/>
      <c r="ABX37" s="18"/>
      <c r="ABY37" s="18"/>
      <c r="ABZ37" s="18"/>
      <c r="ACA37" s="18"/>
      <c r="ACB37" s="18"/>
      <c r="ACC37" s="18"/>
      <c r="ACD37" s="18"/>
      <c r="ACE37" s="18"/>
      <c r="ACF37" s="18"/>
      <c r="ACG37" s="18"/>
      <c r="ACH37" s="18"/>
      <c r="ACI37" s="18"/>
      <c r="ACJ37" s="18"/>
      <c r="ACK37" s="18"/>
      <c r="ACL37" s="18"/>
      <c r="ACM37" s="18"/>
      <c r="ACN37" s="18"/>
      <c r="ACO37" s="18"/>
      <c r="ACP37" s="18"/>
      <c r="ACQ37" s="18"/>
      <c r="ACR37" s="18"/>
      <c r="ACS37" s="18"/>
      <c r="ACT37" s="18"/>
      <c r="ACU37" s="18"/>
      <c r="ACV37" s="18"/>
      <c r="ACW37" s="18"/>
      <c r="ACX37" s="18"/>
      <c r="ACY37" s="18"/>
      <c r="ACZ37" s="18"/>
      <c r="ADA37" s="18"/>
      <c r="ADB37" s="18"/>
      <c r="ADC37" s="18"/>
      <c r="ADD37" s="18"/>
      <c r="ADE37" s="18"/>
      <c r="ADF37" s="18"/>
      <c r="ADG37" s="18"/>
      <c r="ADH37" s="18"/>
      <c r="ADI37" s="18"/>
      <c r="ADJ37" s="18"/>
      <c r="ADK37" s="18"/>
      <c r="ADL37" s="18"/>
      <c r="ADM37" s="18"/>
      <c r="ADN37" s="18"/>
      <c r="ADO37" s="18"/>
      <c r="ADP37" s="18"/>
      <c r="ADQ37" s="18"/>
      <c r="ADR37" s="18"/>
      <c r="ADS37" s="18"/>
      <c r="ADT37" s="18"/>
      <c r="ADU37" s="18"/>
      <c r="ADV37" s="18"/>
      <c r="ADW37" s="18"/>
      <c r="ADX37" s="18"/>
      <c r="ADY37" s="18"/>
      <c r="ADZ37" s="18"/>
      <c r="AEA37" s="18"/>
      <c r="AEB37" s="18"/>
      <c r="AEC37" s="18"/>
      <c r="AED37" s="18"/>
      <c r="AEE37" s="18"/>
      <c r="AEF37" s="18"/>
      <c r="AEG37" s="18"/>
      <c r="AEH37" s="18"/>
      <c r="AEI37" s="18"/>
      <c r="AEJ37" s="18"/>
      <c r="AEK37" s="18"/>
      <c r="AEL37" s="18"/>
      <c r="AEM37" s="18"/>
      <c r="AEN37" s="18"/>
      <c r="AEO37" s="18"/>
      <c r="AEP37" s="18"/>
      <c r="AEQ37" s="18"/>
      <c r="AER37" s="18"/>
      <c r="AES37" s="18"/>
      <c r="AET37" s="18"/>
      <c r="AEU37" s="18"/>
      <c r="AEV37" s="18"/>
      <c r="AEW37" s="18"/>
      <c r="AEX37" s="18"/>
      <c r="AEY37" s="18"/>
      <c r="AEZ37" s="18"/>
      <c r="AFA37" s="18"/>
      <c r="AFB37" s="18"/>
      <c r="AFC37" s="18"/>
      <c r="AFD37" s="18"/>
      <c r="AFE37" s="18"/>
      <c r="AFF37" s="18"/>
      <c r="AFG37" s="18"/>
      <c r="AFH37" s="18"/>
      <c r="AFI37" s="18"/>
      <c r="AFJ37" s="18"/>
      <c r="AFK37" s="18"/>
      <c r="AFL37" s="18"/>
      <c r="AFM37" s="18"/>
      <c r="AFN37" s="18"/>
      <c r="AFO37" s="18"/>
      <c r="AFP37" s="18"/>
      <c r="AFQ37" s="18"/>
      <c r="AFR37" s="18"/>
      <c r="AFS37" s="18"/>
      <c r="AFT37" s="18"/>
      <c r="AFU37" s="18"/>
      <c r="AFV37" s="18"/>
      <c r="AFW37" s="18"/>
      <c r="AFX37" s="18"/>
      <c r="AFY37" s="18"/>
      <c r="AFZ37" s="18"/>
      <c r="AGA37" s="18"/>
      <c r="AGB37" s="18"/>
      <c r="AGC37" s="18"/>
      <c r="AGD37" s="18"/>
      <c r="AGE37" s="18"/>
      <c r="AGF37" s="18"/>
      <c r="AGG37" s="18"/>
      <c r="AGH37" s="18"/>
      <c r="AGI37" s="18"/>
      <c r="AGJ37" s="18"/>
      <c r="AGK37" s="18"/>
      <c r="AGL37" s="18"/>
      <c r="AGM37" s="18"/>
      <c r="AGN37" s="18"/>
      <c r="AGO37" s="18"/>
      <c r="AGP37" s="18"/>
      <c r="AGQ37" s="18"/>
      <c r="AGR37" s="18"/>
      <c r="AGS37" s="18"/>
      <c r="AGT37" s="18"/>
      <c r="AGU37" s="18"/>
      <c r="AGV37" s="18"/>
      <c r="AGW37" s="18"/>
      <c r="AGX37" s="18"/>
      <c r="AGY37" s="18"/>
      <c r="AGZ37" s="18"/>
      <c r="AHA37" s="18"/>
      <c r="AHB37" s="18"/>
      <c r="AHC37" s="18"/>
      <c r="AHD37" s="18"/>
      <c r="AHE37" s="18"/>
      <c r="AHF37" s="18"/>
      <c r="AHG37" s="18"/>
      <c r="AHH37" s="18"/>
      <c r="AHI37" s="18"/>
      <c r="AHJ37" s="18"/>
      <c r="AHK37" s="18"/>
      <c r="AHL37" s="18"/>
      <c r="AHM37" s="18"/>
      <c r="AHN37" s="18"/>
      <c r="AHO37" s="18"/>
      <c r="AHP37" s="18"/>
      <c r="AHQ37" s="18"/>
      <c r="AHR37" s="18"/>
      <c r="AHS37" s="18"/>
      <c r="AHT37" s="18"/>
      <c r="AHU37" s="18"/>
      <c r="AHV37" s="18"/>
      <c r="AHW37" s="18"/>
      <c r="AHX37" s="18"/>
      <c r="AHY37" s="18"/>
      <c r="AHZ37" s="18"/>
      <c r="AIA37" s="18"/>
      <c r="AIB37" s="18"/>
      <c r="AIC37" s="18"/>
      <c r="AID37" s="18"/>
      <c r="AIE37" s="18"/>
      <c r="AIF37" s="18"/>
      <c r="AIG37" s="18"/>
      <c r="AIH37" s="18"/>
      <c r="AII37" s="18"/>
      <c r="AIJ37" s="18"/>
      <c r="AIK37" s="18"/>
      <c r="AIL37" s="18"/>
      <c r="AIM37" s="18"/>
      <c r="AIN37" s="18"/>
      <c r="AIO37" s="18"/>
      <c r="AIP37" s="18"/>
      <c r="AIQ37" s="18"/>
      <c r="AIR37" s="18"/>
      <c r="AIS37" s="18"/>
      <c r="AIT37" s="18"/>
      <c r="AIU37" s="18"/>
      <c r="AIV37" s="18"/>
      <c r="AIW37" s="18"/>
      <c r="AIX37" s="18"/>
      <c r="AIY37" s="18"/>
      <c r="AIZ37" s="18"/>
      <c r="AJA37" s="18"/>
      <c r="AJB37" s="18"/>
      <c r="AJC37" s="18"/>
      <c r="AJD37" s="18"/>
      <c r="AJE37" s="18"/>
      <c r="AJF37" s="18"/>
      <c r="AJG37" s="18"/>
      <c r="AJH37" s="18"/>
      <c r="AJI37" s="18"/>
      <c r="AJJ37" s="18"/>
      <c r="AJK37" s="18"/>
      <c r="AJL37" s="18"/>
      <c r="AJM37" s="18"/>
      <c r="AJN37" s="18"/>
      <c r="AJO37" s="18"/>
      <c r="AJP37" s="18"/>
      <c r="AJQ37" s="18"/>
      <c r="AJR37" s="18"/>
      <c r="AJS37" s="18"/>
      <c r="AJT37" s="18"/>
      <c r="AJU37" s="18"/>
      <c r="AJV37" s="18"/>
      <c r="AJW37" s="18"/>
      <c r="AJX37" s="18"/>
      <c r="AJY37" s="18"/>
      <c r="AJZ37" s="18"/>
      <c r="AKA37" s="18"/>
      <c r="AKB37" s="18"/>
      <c r="AKC37" s="18"/>
      <c r="AKD37" s="18"/>
      <c r="AKE37" s="18"/>
      <c r="AKF37" s="18"/>
      <c r="AKG37" s="18"/>
      <c r="AKH37" s="18"/>
      <c r="AKI37" s="18"/>
      <c r="AKJ37" s="18"/>
      <c r="AKK37" s="18"/>
      <c r="AKL37" s="18"/>
      <c r="AKM37" s="18"/>
      <c r="AKN37" s="18"/>
      <c r="AKO37" s="18"/>
      <c r="AKP37" s="18"/>
      <c r="AKQ37" s="18"/>
      <c r="AKR37" s="18"/>
      <c r="AKS37" s="18"/>
      <c r="AKT37" s="18"/>
      <c r="AKU37" s="18"/>
      <c r="AKV37" s="18"/>
      <c r="AKW37" s="18"/>
      <c r="AKX37" s="18"/>
      <c r="AKY37" s="18"/>
      <c r="AKZ37" s="18"/>
      <c r="ALA37" s="18"/>
      <c r="ALB37" s="18"/>
      <c r="ALC37" s="18"/>
      <c r="ALD37" s="18"/>
      <c r="ALE37" s="18"/>
      <c r="ALF37" s="18"/>
      <c r="ALG37" s="18"/>
      <c r="ALH37" s="18"/>
      <c r="ALI37" s="18"/>
      <c r="ALJ37" s="18"/>
      <c r="ALK37" s="18"/>
      <c r="ALL37" s="18"/>
      <c r="ALM37" s="18"/>
      <c r="ALN37" s="18"/>
      <c r="ALO37" s="18"/>
      <c r="ALP37" s="18"/>
      <c r="ALQ37" s="18"/>
      <c r="ALR37" s="18"/>
      <c r="ALS37" s="18"/>
      <c r="ALT37" s="18"/>
    </row>
    <row r="38" spans="1:1008" ht="24">
      <c r="A38" s="251" t="s">
        <v>7</v>
      </c>
      <c r="B38" s="290">
        <v>100849</v>
      </c>
      <c r="C38" s="278" t="str">
        <f>(IF($A38="SINAPI",INDEX(SINAPI_NOV2020_NDES!$A$7:$H$6703,MATCH($B38,SINAPI_NOV2020_NDES!$A$7:$A$6703,0),2),IF($A38="GOINFRA",INDEX(#REF!,MATCH($B38,#REF!,0),2),(INDEX(COMPOS!$A$4:$G$390,MATCH($B38,COMPOS!$A$4:A$390,0),2)))))</f>
        <v>ASSENTO SANITÁRIO CONVENCIONAL - FORNECIMENTO E INSTALACAO. AF_01/2020</v>
      </c>
      <c r="D38" s="274" t="str">
        <f>(IF($A38="SINAPI",INDEX(SINAPI_NOV2020_NDES!$A$7:$H$6790,MATCH($B38,SINAPI_NOV2020_NDES!$A$7:$A$6790,0),3),(INDEX(COMPOS!$A$4:$G$5000,MATCH($B38,COMPOS!$A$4:$A$5000,0),3))))</f>
        <v>UN</v>
      </c>
      <c r="E38" s="314">
        <v>4</v>
      </c>
      <c r="F38" s="279">
        <f>(IF($A38="SINAPI",INDEX(SINAPI_NOV2020_NDES!$A$7:$H$6703,MATCH($B38,SINAPI_NOV2020_NDES!$A$7:$A$6703,0),5),(INDEX(COMPOS!$A$4:$G$801,MATCH($B38,COMPOS!$A$4:A$801,0),4))))</f>
        <v>3.12</v>
      </c>
      <c r="G38" s="280">
        <f>(IF($A38="SINAPI",INDEX(SINAPI_NOV2020_NDES!$A$7:$H$6703,MATCH($B38,SINAPI_NOV2020_NDES!$A$7:$A$6703,0),6),(INDEX(COMPOS!$A$4:$G$801,MATCH($B38,COMPOS!$A$4:A$801,0),5))))</f>
        <v>25.86</v>
      </c>
      <c r="H38" s="280">
        <f>(IF($A38="SINAPI",INDEX(SINAPI_NOV2020_NDES!$A$7:$H$6703,MATCH($B38,SINAPI_NOV2020_NDES!$A$7:$A$6703,0),7),(INDEX(COMPOS!$A$4:$G$801,MATCH($B38,COMPOS!$A$4:A$801,0),6))))</f>
        <v>0</v>
      </c>
      <c r="I38" s="279">
        <f t="shared" ref="I38:I60" si="12">SUM(F38:H38)</f>
        <v>28.98</v>
      </c>
      <c r="J38" s="276">
        <f t="shared" ref="J38:J60" si="13">+I38*E38</f>
        <v>115.92</v>
      </c>
      <c r="K38" s="191"/>
      <c r="L38" s="191"/>
      <c r="M38" s="191"/>
      <c r="N38" s="191"/>
      <c r="O38" s="262"/>
      <c r="P38" s="263"/>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c r="JF38" s="18"/>
      <c r="JG38" s="18"/>
      <c r="JH38" s="18"/>
      <c r="JI38" s="18"/>
      <c r="JJ38" s="18"/>
      <c r="JK38" s="18"/>
      <c r="JL38" s="18"/>
      <c r="JM38" s="18"/>
      <c r="JN38" s="18"/>
      <c r="JO38" s="18"/>
      <c r="JP38" s="18"/>
      <c r="JQ38" s="18"/>
      <c r="JR38" s="18"/>
      <c r="JS38" s="18"/>
      <c r="JT38" s="18"/>
      <c r="JU38" s="18"/>
      <c r="JV38" s="18"/>
      <c r="JW38" s="18"/>
      <c r="JX38" s="18"/>
      <c r="JY38" s="18"/>
      <c r="JZ38" s="18"/>
      <c r="KA38" s="18"/>
      <c r="KB38" s="18"/>
      <c r="KC38" s="18"/>
      <c r="KD38" s="18"/>
      <c r="KE38" s="18"/>
      <c r="KF38" s="18"/>
      <c r="KG38" s="18"/>
      <c r="KH38" s="18"/>
      <c r="KI38" s="18"/>
      <c r="KJ38" s="18"/>
      <c r="KK38" s="18"/>
      <c r="KL38" s="18"/>
      <c r="KM38" s="18"/>
      <c r="KN38" s="18"/>
      <c r="KO38" s="18"/>
      <c r="KP38" s="18"/>
      <c r="KQ38" s="18"/>
      <c r="KR38" s="18"/>
      <c r="KS38" s="18"/>
      <c r="KT38" s="18"/>
      <c r="KU38" s="18"/>
      <c r="KV38" s="18"/>
      <c r="KW38" s="18"/>
      <c r="KX38" s="18"/>
      <c r="KY38" s="18"/>
      <c r="KZ38" s="18"/>
      <c r="LA38" s="18"/>
      <c r="LB38" s="18"/>
      <c r="LC38" s="18"/>
      <c r="LD38" s="18"/>
      <c r="LE38" s="18"/>
      <c r="LF38" s="18"/>
      <c r="LG38" s="18"/>
      <c r="LH38" s="18"/>
      <c r="LI38" s="18"/>
      <c r="LJ38" s="18"/>
      <c r="LK38" s="18"/>
      <c r="LL38" s="18"/>
      <c r="LM38" s="18"/>
      <c r="LN38" s="18"/>
      <c r="LO38" s="18"/>
      <c r="LP38" s="18"/>
      <c r="LQ38" s="18"/>
      <c r="LR38" s="18"/>
      <c r="LS38" s="18"/>
      <c r="LT38" s="18"/>
      <c r="LU38" s="18"/>
      <c r="LV38" s="18"/>
      <c r="LW38" s="18"/>
      <c r="LX38" s="18"/>
      <c r="LY38" s="18"/>
      <c r="LZ38" s="18"/>
      <c r="MA38" s="18"/>
      <c r="MB38" s="18"/>
      <c r="MC38" s="18"/>
      <c r="MD38" s="18"/>
      <c r="ME38" s="18"/>
      <c r="MF38" s="18"/>
      <c r="MG38" s="18"/>
      <c r="MH38" s="18"/>
      <c r="MI38" s="18"/>
      <c r="MJ38" s="18"/>
      <c r="MK38" s="18"/>
      <c r="ML38" s="18"/>
      <c r="MM38" s="18"/>
      <c r="MN38" s="18"/>
      <c r="MO38" s="18"/>
      <c r="MP38" s="18"/>
      <c r="MQ38" s="18"/>
      <c r="MR38" s="18"/>
      <c r="MS38" s="18"/>
      <c r="MT38" s="18"/>
      <c r="MU38" s="18"/>
      <c r="MV38" s="18"/>
      <c r="MW38" s="18"/>
      <c r="MX38" s="18"/>
      <c r="MY38" s="18"/>
      <c r="MZ38" s="18"/>
      <c r="NA38" s="18"/>
      <c r="NB38" s="18"/>
      <c r="NC38" s="18"/>
      <c r="ND38" s="18"/>
      <c r="NE38" s="18"/>
      <c r="NF38" s="18"/>
      <c r="NG38" s="18"/>
      <c r="NH38" s="18"/>
      <c r="NI38" s="18"/>
      <c r="NJ38" s="18"/>
      <c r="NK38" s="18"/>
      <c r="NL38" s="18"/>
      <c r="NM38" s="18"/>
      <c r="NN38" s="18"/>
      <c r="NO38" s="18"/>
      <c r="NP38" s="18"/>
      <c r="NQ38" s="18"/>
      <c r="NR38" s="18"/>
      <c r="NS38" s="18"/>
      <c r="NT38" s="18"/>
      <c r="NU38" s="18"/>
      <c r="NV38" s="18"/>
      <c r="NW38" s="18"/>
      <c r="NX38" s="18"/>
      <c r="NY38" s="18"/>
      <c r="NZ38" s="18"/>
      <c r="OA38" s="18"/>
      <c r="OB38" s="18"/>
      <c r="OC38" s="18"/>
      <c r="OD38" s="18"/>
      <c r="OE38" s="18"/>
      <c r="OF38" s="18"/>
      <c r="OG38" s="18"/>
      <c r="OH38" s="18"/>
      <c r="OI38" s="18"/>
      <c r="OJ38" s="18"/>
      <c r="OK38" s="18"/>
      <c r="OL38" s="18"/>
      <c r="OM38" s="18"/>
      <c r="ON38" s="18"/>
      <c r="OO38" s="18"/>
      <c r="OP38" s="18"/>
      <c r="OQ38" s="18"/>
      <c r="OR38" s="18"/>
      <c r="OS38" s="18"/>
      <c r="OT38" s="18"/>
      <c r="OU38" s="18"/>
      <c r="OV38" s="18"/>
      <c r="OW38" s="18"/>
      <c r="OX38" s="18"/>
      <c r="OY38" s="18"/>
      <c r="OZ38" s="18"/>
      <c r="PA38" s="18"/>
      <c r="PB38" s="18"/>
      <c r="PC38" s="18"/>
      <c r="PD38" s="18"/>
      <c r="PE38" s="18"/>
      <c r="PF38" s="18"/>
      <c r="PG38" s="18"/>
      <c r="PH38" s="18"/>
      <c r="PI38" s="18"/>
      <c r="PJ38" s="18"/>
      <c r="PK38" s="18"/>
      <c r="PL38" s="18"/>
      <c r="PM38" s="18"/>
      <c r="PN38" s="18"/>
      <c r="PO38" s="18"/>
      <c r="PP38" s="18"/>
      <c r="PQ38" s="18"/>
      <c r="PR38" s="18"/>
      <c r="PS38" s="18"/>
      <c r="PT38" s="18"/>
      <c r="PU38" s="18"/>
      <c r="PV38" s="18"/>
      <c r="PW38" s="18"/>
      <c r="PX38" s="18"/>
      <c r="PY38" s="18"/>
      <c r="PZ38" s="18"/>
      <c r="QA38" s="18"/>
      <c r="QB38" s="18"/>
      <c r="QC38" s="18"/>
      <c r="QD38" s="18"/>
      <c r="QE38" s="18"/>
      <c r="QF38" s="18"/>
      <c r="QG38" s="18"/>
      <c r="QH38" s="18"/>
      <c r="QI38" s="18"/>
      <c r="QJ38" s="18"/>
      <c r="QK38" s="18"/>
      <c r="QL38" s="18"/>
      <c r="QM38" s="18"/>
      <c r="QN38" s="18"/>
      <c r="QO38" s="18"/>
      <c r="QP38" s="18"/>
      <c r="QQ38" s="18"/>
      <c r="QR38" s="18"/>
      <c r="QS38" s="18"/>
      <c r="QT38" s="18"/>
      <c r="QU38" s="18"/>
      <c r="QV38" s="18"/>
      <c r="QW38" s="18"/>
      <c r="QX38" s="18"/>
      <c r="QY38" s="18"/>
      <c r="QZ38" s="18"/>
      <c r="RA38" s="18"/>
      <c r="RB38" s="18"/>
      <c r="RC38" s="18"/>
      <c r="RD38" s="18"/>
      <c r="RE38" s="18"/>
      <c r="RF38" s="18"/>
      <c r="RG38" s="18"/>
      <c r="RH38" s="18"/>
      <c r="RI38" s="18"/>
      <c r="RJ38" s="18"/>
      <c r="RK38" s="18"/>
      <c r="RL38" s="18"/>
      <c r="RM38" s="18"/>
      <c r="RN38" s="18"/>
      <c r="RO38" s="18"/>
      <c r="RP38" s="18"/>
      <c r="RQ38" s="18"/>
      <c r="RR38" s="18"/>
      <c r="RS38" s="18"/>
      <c r="RT38" s="18"/>
      <c r="RU38" s="18"/>
      <c r="RV38" s="18"/>
      <c r="RW38" s="18"/>
      <c r="RX38" s="18"/>
      <c r="RY38" s="18"/>
      <c r="RZ38" s="18"/>
      <c r="SA38" s="18"/>
      <c r="SB38" s="18"/>
      <c r="SC38" s="18"/>
      <c r="SD38" s="18"/>
      <c r="SE38" s="18"/>
      <c r="SF38" s="18"/>
      <c r="SG38" s="18"/>
      <c r="SH38" s="18"/>
      <c r="SI38" s="18"/>
      <c r="SJ38" s="18"/>
      <c r="SK38" s="18"/>
      <c r="SL38" s="18"/>
      <c r="SM38" s="18"/>
      <c r="SN38" s="18"/>
      <c r="SO38" s="18"/>
      <c r="SP38" s="18"/>
      <c r="SQ38" s="18"/>
      <c r="SR38" s="18"/>
      <c r="SS38" s="18"/>
      <c r="ST38" s="18"/>
      <c r="SU38" s="18"/>
      <c r="SV38" s="18"/>
      <c r="SW38" s="18"/>
      <c r="SX38" s="18"/>
      <c r="SY38" s="18"/>
      <c r="SZ38" s="18"/>
      <c r="TA38" s="18"/>
      <c r="TB38" s="18"/>
      <c r="TC38" s="18"/>
      <c r="TD38" s="18"/>
      <c r="TE38" s="18"/>
      <c r="TF38" s="18"/>
      <c r="TG38" s="18"/>
      <c r="TH38" s="18"/>
      <c r="TI38" s="18"/>
      <c r="TJ38" s="18"/>
      <c r="TK38" s="18"/>
      <c r="TL38" s="18"/>
      <c r="TM38" s="18"/>
      <c r="TN38" s="18"/>
      <c r="TO38" s="18"/>
      <c r="TP38" s="18"/>
      <c r="TQ38" s="18"/>
      <c r="TR38" s="18"/>
      <c r="TS38" s="18"/>
      <c r="TT38" s="18"/>
      <c r="TU38" s="18"/>
      <c r="TV38" s="18"/>
      <c r="TW38" s="18"/>
      <c r="TX38" s="18"/>
      <c r="TY38" s="18"/>
      <c r="TZ38" s="18"/>
      <c r="UA38" s="18"/>
      <c r="UB38" s="18"/>
      <c r="UC38" s="18"/>
      <c r="UD38" s="18"/>
      <c r="UE38" s="18"/>
      <c r="UF38" s="18"/>
      <c r="UG38" s="18"/>
      <c r="UH38" s="18"/>
      <c r="UI38" s="18"/>
      <c r="UJ38" s="18"/>
      <c r="UK38" s="18"/>
      <c r="UL38" s="18"/>
      <c r="UM38" s="18"/>
      <c r="UN38" s="18"/>
      <c r="UO38" s="18"/>
      <c r="UP38" s="18"/>
      <c r="UQ38" s="18"/>
      <c r="UR38" s="18"/>
      <c r="US38" s="18"/>
      <c r="UT38" s="18"/>
      <c r="UU38" s="18"/>
      <c r="UV38" s="18"/>
      <c r="UW38" s="18"/>
      <c r="UX38" s="18"/>
      <c r="UY38" s="18"/>
      <c r="UZ38" s="18"/>
      <c r="VA38" s="18"/>
      <c r="VB38" s="18"/>
      <c r="VC38" s="18"/>
      <c r="VD38" s="18"/>
      <c r="VE38" s="18"/>
      <c r="VF38" s="18"/>
      <c r="VG38" s="18"/>
      <c r="VH38" s="18"/>
      <c r="VI38" s="18"/>
      <c r="VJ38" s="18"/>
      <c r="VK38" s="18"/>
      <c r="VL38" s="18"/>
      <c r="VM38" s="18"/>
      <c r="VN38" s="18"/>
      <c r="VO38" s="18"/>
      <c r="VP38" s="18"/>
      <c r="VQ38" s="18"/>
      <c r="VR38" s="18"/>
      <c r="VS38" s="18"/>
      <c r="VT38" s="18"/>
      <c r="VU38" s="18"/>
      <c r="VV38" s="18"/>
      <c r="VW38" s="18"/>
      <c r="VX38" s="18"/>
      <c r="VY38" s="18"/>
      <c r="VZ38" s="18"/>
      <c r="WA38" s="18"/>
      <c r="WB38" s="18"/>
      <c r="WC38" s="18"/>
      <c r="WD38" s="18"/>
      <c r="WE38" s="18"/>
      <c r="WF38" s="18"/>
      <c r="WG38" s="18"/>
      <c r="WH38" s="18"/>
      <c r="WI38" s="18"/>
      <c r="WJ38" s="18"/>
      <c r="WK38" s="18"/>
      <c r="WL38" s="18"/>
      <c r="WM38" s="18"/>
      <c r="WN38" s="18"/>
      <c r="WO38" s="18"/>
      <c r="WP38" s="18"/>
      <c r="WQ38" s="18"/>
      <c r="WR38" s="18"/>
      <c r="WS38" s="18"/>
      <c r="WT38" s="18"/>
      <c r="WU38" s="18"/>
      <c r="WV38" s="18"/>
      <c r="WW38" s="18"/>
      <c r="WX38" s="18"/>
      <c r="WY38" s="18"/>
      <c r="WZ38" s="18"/>
      <c r="XA38" s="18"/>
      <c r="XB38" s="18"/>
      <c r="XC38" s="18"/>
      <c r="XD38" s="18"/>
      <c r="XE38" s="18"/>
      <c r="XF38" s="18"/>
      <c r="XG38" s="18"/>
      <c r="XH38" s="18"/>
      <c r="XI38" s="18"/>
      <c r="XJ38" s="18"/>
      <c r="XK38" s="18"/>
      <c r="XL38" s="18"/>
      <c r="XM38" s="18"/>
      <c r="XN38" s="18"/>
      <c r="XO38" s="18"/>
      <c r="XP38" s="18"/>
      <c r="XQ38" s="18"/>
      <c r="XR38" s="18"/>
      <c r="XS38" s="18"/>
      <c r="XT38" s="18"/>
      <c r="XU38" s="18"/>
      <c r="XV38" s="18"/>
      <c r="XW38" s="18"/>
      <c r="XX38" s="18"/>
      <c r="XY38" s="18"/>
      <c r="XZ38" s="18"/>
      <c r="YA38" s="18"/>
      <c r="YB38" s="18"/>
      <c r="YC38" s="18"/>
      <c r="YD38" s="18"/>
      <c r="YE38" s="18"/>
      <c r="YF38" s="18"/>
      <c r="YG38" s="18"/>
      <c r="YH38" s="18"/>
      <c r="YI38" s="18"/>
      <c r="YJ38" s="18"/>
      <c r="YK38" s="18"/>
      <c r="YL38" s="18"/>
      <c r="YM38" s="18"/>
      <c r="YN38" s="18"/>
      <c r="YO38" s="18"/>
      <c r="YP38" s="18"/>
      <c r="YQ38" s="18"/>
      <c r="YR38" s="18"/>
      <c r="YS38" s="18"/>
      <c r="YT38" s="18"/>
      <c r="YU38" s="18"/>
      <c r="YV38" s="18"/>
      <c r="YW38" s="18"/>
      <c r="YX38" s="18"/>
      <c r="YY38" s="18"/>
      <c r="YZ38" s="18"/>
      <c r="ZA38" s="18"/>
      <c r="ZB38" s="18"/>
      <c r="ZC38" s="18"/>
      <c r="ZD38" s="18"/>
      <c r="ZE38" s="18"/>
      <c r="ZF38" s="18"/>
      <c r="ZG38" s="18"/>
      <c r="ZH38" s="18"/>
      <c r="ZI38" s="18"/>
      <c r="ZJ38" s="18"/>
      <c r="ZK38" s="18"/>
      <c r="ZL38" s="18"/>
      <c r="ZM38" s="18"/>
      <c r="ZN38" s="18"/>
      <c r="ZO38" s="18"/>
      <c r="ZP38" s="18"/>
      <c r="ZQ38" s="18"/>
      <c r="ZR38" s="18"/>
      <c r="ZS38" s="18"/>
      <c r="ZT38" s="18"/>
      <c r="ZU38" s="18"/>
      <c r="ZV38" s="18"/>
      <c r="ZW38" s="18"/>
      <c r="ZX38" s="18"/>
      <c r="ZY38" s="18"/>
      <c r="ZZ38" s="18"/>
      <c r="AAA38" s="18"/>
      <c r="AAB38" s="18"/>
      <c r="AAC38" s="18"/>
      <c r="AAD38" s="18"/>
      <c r="AAE38" s="18"/>
      <c r="AAF38" s="18"/>
      <c r="AAG38" s="18"/>
      <c r="AAH38" s="18"/>
      <c r="AAI38" s="18"/>
      <c r="AAJ38" s="18"/>
      <c r="AAK38" s="18"/>
      <c r="AAL38" s="18"/>
      <c r="AAM38" s="18"/>
      <c r="AAN38" s="18"/>
      <c r="AAO38" s="18"/>
      <c r="AAP38" s="18"/>
      <c r="AAQ38" s="18"/>
      <c r="AAR38" s="18"/>
      <c r="AAS38" s="18"/>
      <c r="AAT38" s="18"/>
      <c r="AAU38" s="18"/>
      <c r="AAV38" s="18"/>
      <c r="AAW38" s="18"/>
      <c r="AAX38" s="18"/>
      <c r="AAY38" s="18"/>
      <c r="AAZ38" s="18"/>
      <c r="ABA38" s="18"/>
      <c r="ABB38" s="18"/>
      <c r="ABC38" s="18"/>
      <c r="ABD38" s="18"/>
      <c r="ABE38" s="18"/>
      <c r="ABF38" s="18"/>
      <c r="ABG38" s="18"/>
      <c r="ABH38" s="18"/>
      <c r="ABI38" s="18"/>
      <c r="ABJ38" s="18"/>
      <c r="ABK38" s="18"/>
      <c r="ABL38" s="18"/>
      <c r="ABM38" s="18"/>
      <c r="ABN38" s="18"/>
      <c r="ABO38" s="18"/>
      <c r="ABP38" s="18"/>
      <c r="ABQ38" s="18"/>
      <c r="ABR38" s="18"/>
      <c r="ABS38" s="18"/>
      <c r="ABT38" s="18"/>
      <c r="ABU38" s="18"/>
      <c r="ABV38" s="18"/>
      <c r="ABW38" s="18"/>
      <c r="ABX38" s="18"/>
      <c r="ABY38" s="18"/>
      <c r="ABZ38" s="18"/>
      <c r="ACA38" s="18"/>
      <c r="ACB38" s="18"/>
      <c r="ACC38" s="18"/>
      <c r="ACD38" s="18"/>
      <c r="ACE38" s="18"/>
      <c r="ACF38" s="18"/>
      <c r="ACG38" s="18"/>
      <c r="ACH38" s="18"/>
      <c r="ACI38" s="18"/>
      <c r="ACJ38" s="18"/>
      <c r="ACK38" s="18"/>
      <c r="ACL38" s="18"/>
      <c r="ACM38" s="18"/>
      <c r="ACN38" s="18"/>
      <c r="ACO38" s="18"/>
      <c r="ACP38" s="18"/>
      <c r="ACQ38" s="18"/>
      <c r="ACR38" s="18"/>
      <c r="ACS38" s="18"/>
      <c r="ACT38" s="18"/>
      <c r="ACU38" s="18"/>
      <c r="ACV38" s="18"/>
      <c r="ACW38" s="18"/>
      <c r="ACX38" s="18"/>
      <c r="ACY38" s="18"/>
      <c r="ACZ38" s="18"/>
      <c r="ADA38" s="18"/>
      <c r="ADB38" s="18"/>
      <c r="ADC38" s="18"/>
      <c r="ADD38" s="18"/>
      <c r="ADE38" s="18"/>
      <c r="ADF38" s="18"/>
      <c r="ADG38" s="18"/>
      <c r="ADH38" s="18"/>
      <c r="ADI38" s="18"/>
      <c r="ADJ38" s="18"/>
      <c r="ADK38" s="18"/>
      <c r="ADL38" s="18"/>
      <c r="ADM38" s="18"/>
      <c r="ADN38" s="18"/>
      <c r="ADO38" s="18"/>
      <c r="ADP38" s="18"/>
      <c r="ADQ38" s="18"/>
      <c r="ADR38" s="18"/>
      <c r="ADS38" s="18"/>
      <c r="ADT38" s="18"/>
      <c r="ADU38" s="18"/>
      <c r="ADV38" s="18"/>
      <c r="ADW38" s="18"/>
      <c r="ADX38" s="18"/>
      <c r="ADY38" s="18"/>
      <c r="ADZ38" s="18"/>
      <c r="AEA38" s="18"/>
      <c r="AEB38" s="18"/>
      <c r="AEC38" s="18"/>
      <c r="AED38" s="18"/>
      <c r="AEE38" s="18"/>
      <c r="AEF38" s="18"/>
      <c r="AEG38" s="18"/>
      <c r="AEH38" s="18"/>
      <c r="AEI38" s="18"/>
      <c r="AEJ38" s="18"/>
      <c r="AEK38" s="18"/>
      <c r="AEL38" s="18"/>
      <c r="AEM38" s="18"/>
      <c r="AEN38" s="18"/>
      <c r="AEO38" s="18"/>
      <c r="AEP38" s="18"/>
      <c r="AEQ38" s="18"/>
      <c r="AER38" s="18"/>
      <c r="AES38" s="18"/>
      <c r="AET38" s="18"/>
      <c r="AEU38" s="18"/>
      <c r="AEV38" s="18"/>
      <c r="AEW38" s="18"/>
      <c r="AEX38" s="18"/>
      <c r="AEY38" s="18"/>
      <c r="AEZ38" s="18"/>
      <c r="AFA38" s="18"/>
      <c r="AFB38" s="18"/>
      <c r="AFC38" s="18"/>
      <c r="AFD38" s="18"/>
      <c r="AFE38" s="18"/>
      <c r="AFF38" s="18"/>
      <c r="AFG38" s="18"/>
      <c r="AFH38" s="18"/>
      <c r="AFI38" s="18"/>
      <c r="AFJ38" s="18"/>
      <c r="AFK38" s="18"/>
      <c r="AFL38" s="18"/>
      <c r="AFM38" s="18"/>
      <c r="AFN38" s="18"/>
      <c r="AFO38" s="18"/>
      <c r="AFP38" s="18"/>
      <c r="AFQ38" s="18"/>
      <c r="AFR38" s="18"/>
      <c r="AFS38" s="18"/>
      <c r="AFT38" s="18"/>
      <c r="AFU38" s="18"/>
      <c r="AFV38" s="18"/>
      <c r="AFW38" s="18"/>
      <c r="AFX38" s="18"/>
      <c r="AFY38" s="18"/>
      <c r="AFZ38" s="18"/>
      <c r="AGA38" s="18"/>
      <c r="AGB38" s="18"/>
      <c r="AGC38" s="18"/>
      <c r="AGD38" s="18"/>
      <c r="AGE38" s="18"/>
      <c r="AGF38" s="18"/>
      <c r="AGG38" s="18"/>
      <c r="AGH38" s="18"/>
      <c r="AGI38" s="18"/>
      <c r="AGJ38" s="18"/>
      <c r="AGK38" s="18"/>
      <c r="AGL38" s="18"/>
      <c r="AGM38" s="18"/>
      <c r="AGN38" s="18"/>
      <c r="AGO38" s="18"/>
      <c r="AGP38" s="18"/>
      <c r="AGQ38" s="18"/>
      <c r="AGR38" s="18"/>
      <c r="AGS38" s="18"/>
      <c r="AGT38" s="18"/>
      <c r="AGU38" s="18"/>
      <c r="AGV38" s="18"/>
      <c r="AGW38" s="18"/>
      <c r="AGX38" s="18"/>
      <c r="AGY38" s="18"/>
      <c r="AGZ38" s="18"/>
      <c r="AHA38" s="18"/>
      <c r="AHB38" s="18"/>
      <c r="AHC38" s="18"/>
      <c r="AHD38" s="18"/>
      <c r="AHE38" s="18"/>
      <c r="AHF38" s="18"/>
      <c r="AHG38" s="18"/>
      <c r="AHH38" s="18"/>
      <c r="AHI38" s="18"/>
      <c r="AHJ38" s="18"/>
      <c r="AHK38" s="18"/>
      <c r="AHL38" s="18"/>
      <c r="AHM38" s="18"/>
      <c r="AHN38" s="18"/>
      <c r="AHO38" s="18"/>
      <c r="AHP38" s="18"/>
      <c r="AHQ38" s="18"/>
      <c r="AHR38" s="18"/>
      <c r="AHS38" s="18"/>
      <c r="AHT38" s="18"/>
      <c r="AHU38" s="18"/>
      <c r="AHV38" s="18"/>
      <c r="AHW38" s="18"/>
      <c r="AHX38" s="18"/>
      <c r="AHY38" s="18"/>
      <c r="AHZ38" s="18"/>
      <c r="AIA38" s="18"/>
      <c r="AIB38" s="18"/>
      <c r="AIC38" s="18"/>
      <c r="AID38" s="18"/>
      <c r="AIE38" s="18"/>
      <c r="AIF38" s="18"/>
      <c r="AIG38" s="18"/>
      <c r="AIH38" s="18"/>
      <c r="AII38" s="18"/>
      <c r="AIJ38" s="18"/>
      <c r="AIK38" s="18"/>
      <c r="AIL38" s="18"/>
      <c r="AIM38" s="18"/>
      <c r="AIN38" s="18"/>
      <c r="AIO38" s="18"/>
      <c r="AIP38" s="18"/>
      <c r="AIQ38" s="18"/>
      <c r="AIR38" s="18"/>
      <c r="AIS38" s="18"/>
      <c r="AIT38" s="18"/>
      <c r="AIU38" s="18"/>
      <c r="AIV38" s="18"/>
      <c r="AIW38" s="18"/>
      <c r="AIX38" s="18"/>
      <c r="AIY38" s="18"/>
      <c r="AIZ38" s="18"/>
      <c r="AJA38" s="18"/>
      <c r="AJB38" s="18"/>
      <c r="AJC38" s="18"/>
      <c r="AJD38" s="18"/>
      <c r="AJE38" s="18"/>
      <c r="AJF38" s="18"/>
      <c r="AJG38" s="18"/>
      <c r="AJH38" s="18"/>
      <c r="AJI38" s="18"/>
      <c r="AJJ38" s="18"/>
      <c r="AJK38" s="18"/>
      <c r="AJL38" s="18"/>
      <c r="AJM38" s="18"/>
      <c r="AJN38" s="18"/>
      <c r="AJO38" s="18"/>
      <c r="AJP38" s="18"/>
      <c r="AJQ38" s="18"/>
      <c r="AJR38" s="18"/>
      <c r="AJS38" s="18"/>
      <c r="AJT38" s="18"/>
      <c r="AJU38" s="18"/>
      <c r="AJV38" s="18"/>
      <c r="AJW38" s="18"/>
      <c r="AJX38" s="18"/>
      <c r="AJY38" s="18"/>
      <c r="AJZ38" s="18"/>
      <c r="AKA38" s="18"/>
      <c r="AKB38" s="18"/>
      <c r="AKC38" s="18"/>
      <c r="AKD38" s="18"/>
      <c r="AKE38" s="18"/>
      <c r="AKF38" s="18"/>
      <c r="AKG38" s="18"/>
      <c r="AKH38" s="18"/>
      <c r="AKI38" s="18"/>
      <c r="AKJ38" s="18"/>
      <c r="AKK38" s="18"/>
      <c r="AKL38" s="18"/>
      <c r="AKM38" s="18"/>
      <c r="AKN38" s="18"/>
      <c r="AKO38" s="18"/>
      <c r="AKP38" s="18"/>
      <c r="AKQ38" s="18"/>
      <c r="AKR38" s="18"/>
      <c r="AKS38" s="18"/>
      <c r="AKT38" s="18"/>
      <c r="AKU38" s="18"/>
      <c r="AKV38" s="18"/>
      <c r="AKW38" s="18"/>
      <c r="AKX38" s="18"/>
      <c r="AKY38" s="18"/>
      <c r="AKZ38" s="18"/>
      <c r="ALA38" s="18"/>
      <c r="ALB38" s="18"/>
      <c r="ALC38" s="18"/>
      <c r="ALD38" s="18"/>
      <c r="ALE38" s="18"/>
      <c r="ALF38" s="18"/>
      <c r="ALG38" s="18"/>
      <c r="ALH38" s="18"/>
      <c r="ALI38" s="18"/>
      <c r="ALJ38" s="18"/>
      <c r="ALK38" s="18"/>
      <c r="ALL38" s="18"/>
      <c r="ALM38" s="18"/>
      <c r="ALN38" s="18"/>
      <c r="ALO38" s="18"/>
      <c r="ALP38" s="18"/>
      <c r="ALQ38" s="18"/>
      <c r="ALR38" s="18"/>
      <c r="ALS38" s="18"/>
      <c r="ALT38" s="18"/>
    </row>
    <row r="39" spans="1:1008">
      <c r="A39" s="251" t="s">
        <v>6307</v>
      </c>
      <c r="B39" s="290">
        <v>791</v>
      </c>
      <c r="C39" s="278" t="str">
        <f>(IF($A39="SINAPI",INDEX(SINAPI_NOV2020_NDES!$A$7:$H$6703,MATCH($B39,SINAPI_NOV2020_NDES!$A$7:$A$6703,0),2),IF($A39="GOINFRA",INDEX(#REF!,MATCH($B39,#REF!,0),2),(INDEX(COMPOS!$A$4:$G$390,MATCH($B39,COMPOS!$A$4:A$390,0),2)))))</f>
        <v>ANEL DE VEDAÇÃO PARA VASO SANITÁRIO</v>
      </c>
      <c r="D39" s="274" t="str">
        <f>(IF($A39="SINAPI",INDEX(SINAPI_NOV2020_NDES!$A$7:$H$6790,MATCH($B39,SINAPI_NOV2020_NDES!$A$7:$A$6790,0),3),(INDEX(COMPOS!$A$4:$G$5000,MATCH($B39,COMPOS!$A$4:$A$5000,0),3))))</f>
        <v>UN</v>
      </c>
      <c r="E39" s="314">
        <v>4</v>
      </c>
      <c r="F39" s="279">
        <f>(IF($A39="SINAPI",INDEX(SINAPI_NOV2020_NDES!$A$7:$H$6703,MATCH($B39,SINAPI_NOV2020_NDES!$A$7:$A$6703,0),5),(INDEX(COMPOS!$A$4:$G$801,MATCH($B39,COMPOS!$A$4:A$801,0),4))))</f>
        <v>5.6159999999999997</v>
      </c>
      <c r="G39" s="280">
        <f>(IF($A39="SINAPI",INDEX(SINAPI_NOV2020_NDES!$A$7:$H$6703,MATCH($B39,SINAPI_NOV2020_NDES!$A$7:$A$6703,0),6),(INDEX(COMPOS!$A$4:$G$801,MATCH($B39,COMPOS!$A$4:A$801,0),5))))</f>
        <v>1.69</v>
      </c>
      <c r="H39" s="280">
        <f>(IF($A39="SINAPI",INDEX(SINAPI_NOV2020_NDES!$A$7:$H$6703,MATCH($B39,SINAPI_NOV2020_NDES!$A$7:$A$6703,0),7),(INDEX(COMPOS!$A$4:$G$801,MATCH($B39,COMPOS!$A$4:A$801,0),6))))</f>
        <v>0</v>
      </c>
      <c r="I39" s="279">
        <f t="shared" si="12"/>
        <v>7.3059999999999992</v>
      </c>
      <c r="J39" s="276">
        <f t="shared" si="13"/>
        <v>29.223999999999997</v>
      </c>
      <c r="K39" s="191"/>
      <c r="L39" s="191"/>
      <c r="M39" s="191"/>
      <c r="N39" s="191"/>
      <c r="O39" s="262"/>
      <c r="P39" s="263"/>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c r="JF39" s="18"/>
      <c r="JG39" s="18"/>
      <c r="JH39" s="18"/>
      <c r="JI39" s="18"/>
      <c r="JJ39" s="18"/>
      <c r="JK39" s="18"/>
      <c r="JL39" s="18"/>
      <c r="JM39" s="18"/>
      <c r="JN39" s="18"/>
      <c r="JO39" s="18"/>
      <c r="JP39" s="18"/>
      <c r="JQ39" s="18"/>
      <c r="JR39" s="18"/>
      <c r="JS39" s="18"/>
      <c r="JT39" s="18"/>
      <c r="JU39" s="18"/>
      <c r="JV39" s="18"/>
      <c r="JW39" s="18"/>
      <c r="JX39" s="18"/>
      <c r="JY39" s="18"/>
      <c r="JZ39" s="18"/>
      <c r="KA39" s="18"/>
      <c r="KB39" s="18"/>
      <c r="KC39" s="18"/>
      <c r="KD39" s="18"/>
      <c r="KE39" s="18"/>
      <c r="KF39" s="18"/>
      <c r="KG39" s="18"/>
      <c r="KH39" s="18"/>
      <c r="KI39" s="18"/>
      <c r="KJ39" s="18"/>
      <c r="KK39" s="18"/>
      <c r="KL39" s="18"/>
      <c r="KM39" s="18"/>
      <c r="KN39" s="18"/>
      <c r="KO39" s="18"/>
      <c r="KP39" s="18"/>
      <c r="KQ39" s="18"/>
      <c r="KR39" s="18"/>
      <c r="KS39" s="18"/>
      <c r="KT39" s="18"/>
      <c r="KU39" s="18"/>
      <c r="KV39" s="18"/>
      <c r="KW39" s="18"/>
      <c r="KX39" s="18"/>
      <c r="KY39" s="18"/>
      <c r="KZ39" s="18"/>
      <c r="LA39" s="18"/>
      <c r="LB39" s="18"/>
      <c r="LC39" s="18"/>
      <c r="LD39" s="18"/>
      <c r="LE39" s="18"/>
      <c r="LF39" s="18"/>
      <c r="LG39" s="18"/>
      <c r="LH39" s="18"/>
      <c r="LI39" s="18"/>
      <c r="LJ39" s="18"/>
      <c r="LK39" s="18"/>
      <c r="LL39" s="18"/>
      <c r="LM39" s="18"/>
      <c r="LN39" s="18"/>
      <c r="LO39" s="18"/>
      <c r="LP39" s="18"/>
      <c r="LQ39" s="18"/>
      <c r="LR39" s="18"/>
      <c r="LS39" s="18"/>
      <c r="LT39" s="18"/>
      <c r="LU39" s="18"/>
      <c r="LV39" s="18"/>
      <c r="LW39" s="18"/>
      <c r="LX39" s="18"/>
      <c r="LY39" s="18"/>
      <c r="LZ39" s="18"/>
      <c r="MA39" s="18"/>
      <c r="MB39" s="18"/>
      <c r="MC39" s="18"/>
      <c r="MD39" s="18"/>
      <c r="ME39" s="18"/>
      <c r="MF39" s="18"/>
      <c r="MG39" s="18"/>
      <c r="MH39" s="18"/>
      <c r="MI39" s="18"/>
      <c r="MJ39" s="18"/>
      <c r="MK39" s="18"/>
      <c r="ML39" s="18"/>
      <c r="MM39" s="18"/>
      <c r="MN39" s="18"/>
      <c r="MO39" s="18"/>
      <c r="MP39" s="18"/>
      <c r="MQ39" s="18"/>
      <c r="MR39" s="18"/>
      <c r="MS39" s="18"/>
      <c r="MT39" s="18"/>
      <c r="MU39" s="18"/>
      <c r="MV39" s="18"/>
      <c r="MW39" s="18"/>
      <c r="MX39" s="18"/>
      <c r="MY39" s="18"/>
      <c r="MZ39" s="18"/>
      <c r="NA39" s="18"/>
      <c r="NB39" s="18"/>
      <c r="NC39" s="18"/>
      <c r="ND39" s="18"/>
      <c r="NE39" s="18"/>
      <c r="NF39" s="18"/>
      <c r="NG39" s="18"/>
      <c r="NH39" s="18"/>
      <c r="NI39" s="18"/>
      <c r="NJ39" s="18"/>
      <c r="NK39" s="18"/>
      <c r="NL39" s="18"/>
      <c r="NM39" s="18"/>
      <c r="NN39" s="18"/>
      <c r="NO39" s="18"/>
      <c r="NP39" s="18"/>
      <c r="NQ39" s="18"/>
      <c r="NR39" s="18"/>
      <c r="NS39" s="18"/>
      <c r="NT39" s="18"/>
      <c r="NU39" s="18"/>
      <c r="NV39" s="18"/>
      <c r="NW39" s="18"/>
      <c r="NX39" s="18"/>
      <c r="NY39" s="18"/>
      <c r="NZ39" s="18"/>
      <c r="OA39" s="18"/>
      <c r="OB39" s="18"/>
      <c r="OC39" s="18"/>
      <c r="OD39" s="18"/>
      <c r="OE39" s="18"/>
      <c r="OF39" s="18"/>
      <c r="OG39" s="18"/>
      <c r="OH39" s="18"/>
      <c r="OI39" s="18"/>
      <c r="OJ39" s="18"/>
      <c r="OK39" s="18"/>
      <c r="OL39" s="18"/>
      <c r="OM39" s="18"/>
      <c r="ON39" s="18"/>
      <c r="OO39" s="18"/>
      <c r="OP39" s="18"/>
      <c r="OQ39" s="18"/>
      <c r="OR39" s="18"/>
      <c r="OS39" s="18"/>
      <c r="OT39" s="18"/>
      <c r="OU39" s="18"/>
      <c r="OV39" s="18"/>
      <c r="OW39" s="18"/>
      <c r="OX39" s="18"/>
      <c r="OY39" s="18"/>
      <c r="OZ39" s="18"/>
      <c r="PA39" s="18"/>
      <c r="PB39" s="18"/>
      <c r="PC39" s="18"/>
      <c r="PD39" s="18"/>
      <c r="PE39" s="18"/>
      <c r="PF39" s="18"/>
      <c r="PG39" s="18"/>
      <c r="PH39" s="18"/>
      <c r="PI39" s="18"/>
      <c r="PJ39" s="18"/>
      <c r="PK39" s="18"/>
      <c r="PL39" s="18"/>
      <c r="PM39" s="18"/>
      <c r="PN39" s="18"/>
      <c r="PO39" s="18"/>
      <c r="PP39" s="18"/>
      <c r="PQ39" s="18"/>
      <c r="PR39" s="18"/>
      <c r="PS39" s="18"/>
      <c r="PT39" s="18"/>
      <c r="PU39" s="18"/>
      <c r="PV39" s="18"/>
      <c r="PW39" s="18"/>
      <c r="PX39" s="18"/>
      <c r="PY39" s="18"/>
      <c r="PZ39" s="18"/>
      <c r="QA39" s="18"/>
      <c r="QB39" s="18"/>
      <c r="QC39" s="18"/>
      <c r="QD39" s="18"/>
      <c r="QE39" s="18"/>
      <c r="QF39" s="18"/>
      <c r="QG39" s="18"/>
      <c r="QH39" s="18"/>
      <c r="QI39" s="18"/>
      <c r="QJ39" s="18"/>
      <c r="QK39" s="18"/>
      <c r="QL39" s="18"/>
      <c r="QM39" s="18"/>
      <c r="QN39" s="18"/>
      <c r="QO39" s="18"/>
      <c r="QP39" s="18"/>
      <c r="QQ39" s="18"/>
      <c r="QR39" s="18"/>
      <c r="QS39" s="18"/>
      <c r="QT39" s="18"/>
      <c r="QU39" s="18"/>
      <c r="QV39" s="18"/>
      <c r="QW39" s="18"/>
      <c r="QX39" s="18"/>
      <c r="QY39" s="18"/>
      <c r="QZ39" s="18"/>
      <c r="RA39" s="18"/>
      <c r="RB39" s="18"/>
      <c r="RC39" s="18"/>
      <c r="RD39" s="18"/>
      <c r="RE39" s="18"/>
      <c r="RF39" s="18"/>
      <c r="RG39" s="18"/>
      <c r="RH39" s="18"/>
      <c r="RI39" s="18"/>
      <c r="RJ39" s="18"/>
      <c r="RK39" s="18"/>
      <c r="RL39" s="18"/>
      <c r="RM39" s="18"/>
      <c r="RN39" s="18"/>
      <c r="RO39" s="18"/>
      <c r="RP39" s="18"/>
      <c r="RQ39" s="18"/>
      <c r="RR39" s="18"/>
      <c r="RS39" s="18"/>
      <c r="RT39" s="18"/>
      <c r="RU39" s="18"/>
      <c r="RV39" s="18"/>
      <c r="RW39" s="18"/>
      <c r="RX39" s="18"/>
      <c r="RY39" s="18"/>
      <c r="RZ39" s="18"/>
      <c r="SA39" s="18"/>
      <c r="SB39" s="18"/>
      <c r="SC39" s="18"/>
      <c r="SD39" s="18"/>
      <c r="SE39" s="18"/>
      <c r="SF39" s="18"/>
      <c r="SG39" s="18"/>
      <c r="SH39" s="18"/>
      <c r="SI39" s="18"/>
      <c r="SJ39" s="18"/>
      <c r="SK39" s="18"/>
      <c r="SL39" s="18"/>
      <c r="SM39" s="18"/>
      <c r="SN39" s="18"/>
      <c r="SO39" s="18"/>
      <c r="SP39" s="18"/>
      <c r="SQ39" s="18"/>
      <c r="SR39" s="18"/>
      <c r="SS39" s="18"/>
      <c r="ST39" s="18"/>
      <c r="SU39" s="18"/>
      <c r="SV39" s="18"/>
      <c r="SW39" s="18"/>
      <c r="SX39" s="18"/>
      <c r="SY39" s="18"/>
      <c r="SZ39" s="18"/>
      <c r="TA39" s="18"/>
      <c r="TB39" s="18"/>
      <c r="TC39" s="18"/>
      <c r="TD39" s="18"/>
      <c r="TE39" s="18"/>
      <c r="TF39" s="18"/>
      <c r="TG39" s="18"/>
      <c r="TH39" s="18"/>
      <c r="TI39" s="18"/>
      <c r="TJ39" s="18"/>
      <c r="TK39" s="18"/>
      <c r="TL39" s="18"/>
      <c r="TM39" s="18"/>
      <c r="TN39" s="18"/>
      <c r="TO39" s="18"/>
      <c r="TP39" s="18"/>
      <c r="TQ39" s="18"/>
      <c r="TR39" s="18"/>
      <c r="TS39" s="18"/>
      <c r="TT39" s="18"/>
      <c r="TU39" s="18"/>
      <c r="TV39" s="18"/>
      <c r="TW39" s="18"/>
      <c r="TX39" s="18"/>
      <c r="TY39" s="18"/>
      <c r="TZ39" s="18"/>
      <c r="UA39" s="18"/>
      <c r="UB39" s="18"/>
      <c r="UC39" s="18"/>
      <c r="UD39" s="18"/>
      <c r="UE39" s="18"/>
      <c r="UF39" s="18"/>
      <c r="UG39" s="18"/>
      <c r="UH39" s="18"/>
      <c r="UI39" s="18"/>
      <c r="UJ39" s="18"/>
      <c r="UK39" s="18"/>
      <c r="UL39" s="18"/>
      <c r="UM39" s="18"/>
      <c r="UN39" s="18"/>
      <c r="UO39" s="18"/>
      <c r="UP39" s="18"/>
      <c r="UQ39" s="18"/>
      <c r="UR39" s="18"/>
      <c r="US39" s="18"/>
      <c r="UT39" s="18"/>
      <c r="UU39" s="18"/>
      <c r="UV39" s="18"/>
      <c r="UW39" s="18"/>
      <c r="UX39" s="18"/>
      <c r="UY39" s="18"/>
      <c r="UZ39" s="18"/>
      <c r="VA39" s="18"/>
      <c r="VB39" s="18"/>
      <c r="VC39" s="18"/>
      <c r="VD39" s="18"/>
      <c r="VE39" s="18"/>
      <c r="VF39" s="18"/>
      <c r="VG39" s="18"/>
      <c r="VH39" s="18"/>
      <c r="VI39" s="18"/>
      <c r="VJ39" s="18"/>
      <c r="VK39" s="18"/>
      <c r="VL39" s="18"/>
      <c r="VM39" s="18"/>
      <c r="VN39" s="18"/>
      <c r="VO39" s="18"/>
      <c r="VP39" s="18"/>
      <c r="VQ39" s="18"/>
      <c r="VR39" s="18"/>
      <c r="VS39" s="18"/>
      <c r="VT39" s="18"/>
      <c r="VU39" s="18"/>
      <c r="VV39" s="18"/>
      <c r="VW39" s="18"/>
      <c r="VX39" s="18"/>
      <c r="VY39" s="18"/>
      <c r="VZ39" s="18"/>
      <c r="WA39" s="18"/>
      <c r="WB39" s="18"/>
      <c r="WC39" s="18"/>
      <c r="WD39" s="18"/>
      <c r="WE39" s="18"/>
      <c r="WF39" s="18"/>
      <c r="WG39" s="18"/>
      <c r="WH39" s="18"/>
      <c r="WI39" s="18"/>
      <c r="WJ39" s="18"/>
      <c r="WK39" s="18"/>
      <c r="WL39" s="18"/>
      <c r="WM39" s="18"/>
      <c r="WN39" s="18"/>
      <c r="WO39" s="18"/>
      <c r="WP39" s="18"/>
      <c r="WQ39" s="18"/>
      <c r="WR39" s="18"/>
      <c r="WS39" s="18"/>
      <c r="WT39" s="18"/>
      <c r="WU39" s="18"/>
      <c r="WV39" s="18"/>
      <c r="WW39" s="18"/>
      <c r="WX39" s="18"/>
      <c r="WY39" s="18"/>
      <c r="WZ39" s="18"/>
      <c r="XA39" s="18"/>
      <c r="XB39" s="18"/>
      <c r="XC39" s="18"/>
      <c r="XD39" s="18"/>
      <c r="XE39" s="18"/>
      <c r="XF39" s="18"/>
      <c r="XG39" s="18"/>
      <c r="XH39" s="18"/>
      <c r="XI39" s="18"/>
      <c r="XJ39" s="18"/>
      <c r="XK39" s="18"/>
      <c r="XL39" s="18"/>
      <c r="XM39" s="18"/>
      <c r="XN39" s="18"/>
      <c r="XO39" s="18"/>
      <c r="XP39" s="18"/>
      <c r="XQ39" s="18"/>
      <c r="XR39" s="18"/>
      <c r="XS39" s="18"/>
      <c r="XT39" s="18"/>
      <c r="XU39" s="18"/>
      <c r="XV39" s="18"/>
      <c r="XW39" s="18"/>
      <c r="XX39" s="18"/>
      <c r="XY39" s="18"/>
      <c r="XZ39" s="18"/>
      <c r="YA39" s="18"/>
      <c r="YB39" s="18"/>
      <c r="YC39" s="18"/>
      <c r="YD39" s="18"/>
      <c r="YE39" s="18"/>
      <c r="YF39" s="18"/>
      <c r="YG39" s="18"/>
      <c r="YH39" s="18"/>
      <c r="YI39" s="18"/>
      <c r="YJ39" s="18"/>
      <c r="YK39" s="18"/>
      <c r="YL39" s="18"/>
      <c r="YM39" s="18"/>
      <c r="YN39" s="18"/>
      <c r="YO39" s="18"/>
      <c r="YP39" s="18"/>
      <c r="YQ39" s="18"/>
      <c r="YR39" s="18"/>
      <c r="YS39" s="18"/>
      <c r="YT39" s="18"/>
      <c r="YU39" s="18"/>
      <c r="YV39" s="18"/>
      <c r="YW39" s="18"/>
      <c r="YX39" s="18"/>
      <c r="YY39" s="18"/>
      <c r="YZ39" s="18"/>
      <c r="ZA39" s="18"/>
      <c r="ZB39" s="18"/>
      <c r="ZC39" s="18"/>
      <c r="ZD39" s="18"/>
      <c r="ZE39" s="18"/>
      <c r="ZF39" s="18"/>
      <c r="ZG39" s="18"/>
      <c r="ZH39" s="18"/>
      <c r="ZI39" s="18"/>
      <c r="ZJ39" s="18"/>
      <c r="ZK39" s="18"/>
      <c r="ZL39" s="18"/>
      <c r="ZM39" s="18"/>
      <c r="ZN39" s="18"/>
      <c r="ZO39" s="18"/>
      <c r="ZP39" s="18"/>
      <c r="ZQ39" s="18"/>
      <c r="ZR39" s="18"/>
      <c r="ZS39" s="18"/>
      <c r="ZT39" s="18"/>
      <c r="ZU39" s="18"/>
      <c r="ZV39" s="18"/>
      <c r="ZW39" s="18"/>
      <c r="ZX39" s="18"/>
      <c r="ZY39" s="18"/>
      <c r="ZZ39" s="18"/>
      <c r="AAA39" s="18"/>
      <c r="AAB39" s="18"/>
      <c r="AAC39" s="18"/>
      <c r="AAD39" s="18"/>
      <c r="AAE39" s="18"/>
      <c r="AAF39" s="18"/>
      <c r="AAG39" s="18"/>
      <c r="AAH39" s="18"/>
      <c r="AAI39" s="18"/>
      <c r="AAJ39" s="18"/>
      <c r="AAK39" s="18"/>
      <c r="AAL39" s="18"/>
      <c r="AAM39" s="18"/>
      <c r="AAN39" s="18"/>
      <c r="AAO39" s="18"/>
      <c r="AAP39" s="18"/>
      <c r="AAQ39" s="18"/>
      <c r="AAR39" s="18"/>
      <c r="AAS39" s="18"/>
      <c r="AAT39" s="18"/>
      <c r="AAU39" s="18"/>
      <c r="AAV39" s="18"/>
      <c r="AAW39" s="18"/>
      <c r="AAX39" s="18"/>
      <c r="AAY39" s="18"/>
      <c r="AAZ39" s="18"/>
      <c r="ABA39" s="18"/>
      <c r="ABB39" s="18"/>
      <c r="ABC39" s="18"/>
      <c r="ABD39" s="18"/>
      <c r="ABE39" s="18"/>
      <c r="ABF39" s="18"/>
      <c r="ABG39" s="18"/>
      <c r="ABH39" s="18"/>
      <c r="ABI39" s="18"/>
      <c r="ABJ39" s="18"/>
      <c r="ABK39" s="18"/>
      <c r="ABL39" s="18"/>
      <c r="ABM39" s="18"/>
      <c r="ABN39" s="18"/>
      <c r="ABO39" s="18"/>
      <c r="ABP39" s="18"/>
      <c r="ABQ39" s="18"/>
      <c r="ABR39" s="18"/>
      <c r="ABS39" s="18"/>
      <c r="ABT39" s="18"/>
      <c r="ABU39" s="18"/>
      <c r="ABV39" s="18"/>
      <c r="ABW39" s="18"/>
      <c r="ABX39" s="18"/>
      <c r="ABY39" s="18"/>
      <c r="ABZ39" s="18"/>
      <c r="ACA39" s="18"/>
      <c r="ACB39" s="18"/>
      <c r="ACC39" s="18"/>
      <c r="ACD39" s="18"/>
      <c r="ACE39" s="18"/>
      <c r="ACF39" s="18"/>
      <c r="ACG39" s="18"/>
      <c r="ACH39" s="18"/>
      <c r="ACI39" s="18"/>
      <c r="ACJ39" s="18"/>
      <c r="ACK39" s="18"/>
      <c r="ACL39" s="18"/>
      <c r="ACM39" s="18"/>
      <c r="ACN39" s="18"/>
      <c r="ACO39" s="18"/>
      <c r="ACP39" s="18"/>
      <c r="ACQ39" s="18"/>
      <c r="ACR39" s="18"/>
      <c r="ACS39" s="18"/>
      <c r="ACT39" s="18"/>
      <c r="ACU39" s="18"/>
      <c r="ACV39" s="18"/>
      <c r="ACW39" s="18"/>
      <c r="ACX39" s="18"/>
      <c r="ACY39" s="18"/>
      <c r="ACZ39" s="18"/>
      <c r="ADA39" s="18"/>
      <c r="ADB39" s="18"/>
      <c r="ADC39" s="18"/>
      <c r="ADD39" s="18"/>
      <c r="ADE39" s="18"/>
      <c r="ADF39" s="18"/>
      <c r="ADG39" s="18"/>
      <c r="ADH39" s="18"/>
      <c r="ADI39" s="18"/>
      <c r="ADJ39" s="18"/>
      <c r="ADK39" s="18"/>
      <c r="ADL39" s="18"/>
      <c r="ADM39" s="18"/>
      <c r="ADN39" s="18"/>
      <c r="ADO39" s="18"/>
      <c r="ADP39" s="18"/>
      <c r="ADQ39" s="18"/>
      <c r="ADR39" s="18"/>
      <c r="ADS39" s="18"/>
      <c r="ADT39" s="18"/>
      <c r="ADU39" s="18"/>
      <c r="ADV39" s="18"/>
      <c r="ADW39" s="18"/>
      <c r="ADX39" s="18"/>
      <c r="ADY39" s="18"/>
      <c r="ADZ39" s="18"/>
      <c r="AEA39" s="18"/>
      <c r="AEB39" s="18"/>
      <c r="AEC39" s="18"/>
      <c r="AED39" s="18"/>
      <c r="AEE39" s="18"/>
      <c r="AEF39" s="18"/>
      <c r="AEG39" s="18"/>
      <c r="AEH39" s="18"/>
      <c r="AEI39" s="18"/>
      <c r="AEJ39" s="18"/>
      <c r="AEK39" s="18"/>
      <c r="AEL39" s="18"/>
      <c r="AEM39" s="18"/>
      <c r="AEN39" s="18"/>
      <c r="AEO39" s="18"/>
      <c r="AEP39" s="18"/>
      <c r="AEQ39" s="18"/>
      <c r="AER39" s="18"/>
      <c r="AES39" s="18"/>
      <c r="AET39" s="18"/>
      <c r="AEU39" s="18"/>
      <c r="AEV39" s="18"/>
      <c r="AEW39" s="18"/>
      <c r="AEX39" s="18"/>
      <c r="AEY39" s="18"/>
      <c r="AEZ39" s="18"/>
      <c r="AFA39" s="18"/>
      <c r="AFB39" s="18"/>
      <c r="AFC39" s="18"/>
      <c r="AFD39" s="18"/>
      <c r="AFE39" s="18"/>
      <c r="AFF39" s="18"/>
      <c r="AFG39" s="18"/>
      <c r="AFH39" s="18"/>
      <c r="AFI39" s="18"/>
      <c r="AFJ39" s="18"/>
      <c r="AFK39" s="18"/>
      <c r="AFL39" s="18"/>
      <c r="AFM39" s="18"/>
      <c r="AFN39" s="18"/>
      <c r="AFO39" s="18"/>
      <c r="AFP39" s="18"/>
      <c r="AFQ39" s="18"/>
      <c r="AFR39" s="18"/>
      <c r="AFS39" s="18"/>
      <c r="AFT39" s="18"/>
      <c r="AFU39" s="18"/>
      <c r="AFV39" s="18"/>
      <c r="AFW39" s="18"/>
      <c r="AFX39" s="18"/>
      <c r="AFY39" s="18"/>
      <c r="AFZ39" s="18"/>
      <c r="AGA39" s="18"/>
      <c r="AGB39" s="18"/>
      <c r="AGC39" s="18"/>
      <c r="AGD39" s="18"/>
      <c r="AGE39" s="18"/>
      <c r="AGF39" s="18"/>
      <c r="AGG39" s="18"/>
      <c r="AGH39" s="18"/>
      <c r="AGI39" s="18"/>
      <c r="AGJ39" s="18"/>
      <c r="AGK39" s="18"/>
      <c r="AGL39" s="18"/>
      <c r="AGM39" s="18"/>
      <c r="AGN39" s="18"/>
      <c r="AGO39" s="18"/>
      <c r="AGP39" s="18"/>
      <c r="AGQ39" s="18"/>
      <c r="AGR39" s="18"/>
      <c r="AGS39" s="18"/>
      <c r="AGT39" s="18"/>
      <c r="AGU39" s="18"/>
      <c r="AGV39" s="18"/>
      <c r="AGW39" s="18"/>
      <c r="AGX39" s="18"/>
      <c r="AGY39" s="18"/>
      <c r="AGZ39" s="18"/>
      <c r="AHA39" s="18"/>
      <c r="AHB39" s="18"/>
      <c r="AHC39" s="18"/>
      <c r="AHD39" s="18"/>
      <c r="AHE39" s="18"/>
      <c r="AHF39" s="18"/>
      <c r="AHG39" s="18"/>
      <c r="AHH39" s="18"/>
      <c r="AHI39" s="18"/>
      <c r="AHJ39" s="18"/>
      <c r="AHK39" s="18"/>
      <c r="AHL39" s="18"/>
      <c r="AHM39" s="18"/>
      <c r="AHN39" s="18"/>
      <c r="AHO39" s="18"/>
      <c r="AHP39" s="18"/>
      <c r="AHQ39" s="18"/>
      <c r="AHR39" s="18"/>
      <c r="AHS39" s="18"/>
      <c r="AHT39" s="18"/>
      <c r="AHU39" s="18"/>
      <c r="AHV39" s="18"/>
      <c r="AHW39" s="18"/>
      <c r="AHX39" s="18"/>
      <c r="AHY39" s="18"/>
      <c r="AHZ39" s="18"/>
      <c r="AIA39" s="18"/>
      <c r="AIB39" s="18"/>
      <c r="AIC39" s="18"/>
      <c r="AID39" s="18"/>
      <c r="AIE39" s="18"/>
      <c r="AIF39" s="18"/>
      <c r="AIG39" s="18"/>
      <c r="AIH39" s="18"/>
      <c r="AII39" s="18"/>
      <c r="AIJ39" s="18"/>
      <c r="AIK39" s="18"/>
      <c r="AIL39" s="18"/>
      <c r="AIM39" s="18"/>
      <c r="AIN39" s="18"/>
      <c r="AIO39" s="18"/>
      <c r="AIP39" s="18"/>
      <c r="AIQ39" s="18"/>
      <c r="AIR39" s="18"/>
      <c r="AIS39" s="18"/>
      <c r="AIT39" s="18"/>
      <c r="AIU39" s="18"/>
      <c r="AIV39" s="18"/>
      <c r="AIW39" s="18"/>
      <c r="AIX39" s="18"/>
      <c r="AIY39" s="18"/>
      <c r="AIZ39" s="18"/>
      <c r="AJA39" s="18"/>
      <c r="AJB39" s="18"/>
      <c r="AJC39" s="18"/>
      <c r="AJD39" s="18"/>
      <c r="AJE39" s="18"/>
      <c r="AJF39" s="18"/>
      <c r="AJG39" s="18"/>
      <c r="AJH39" s="18"/>
      <c r="AJI39" s="18"/>
      <c r="AJJ39" s="18"/>
      <c r="AJK39" s="18"/>
      <c r="AJL39" s="18"/>
      <c r="AJM39" s="18"/>
      <c r="AJN39" s="18"/>
      <c r="AJO39" s="18"/>
      <c r="AJP39" s="18"/>
      <c r="AJQ39" s="18"/>
      <c r="AJR39" s="18"/>
      <c r="AJS39" s="18"/>
      <c r="AJT39" s="18"/>
      <c r="AJU39" s="18"/>
      <c r="AJV39" s="18"/>
      <c r="AJW39" s="18"/>
      <c r="AJX39" s="18"/>
      <c r="AJY39" s="18"/>
      <c r="AJZ39" s="18"/>
      <c r="AKA39" s="18"/>
      <c r="AKB39" s="18"/>
      <c r="AKC39" s="18"/>
      <c r="AKD39" s="18"/>
      <c r="AKE39" s="18"/>
      <c r="AKF39" s="18"/>
      <c r="AKG39" s="18"/>
      <c r="AKH39" s="18"/>
      <c r="AKI39" s="18"/>
      <c r="AKJ39" s="18"/>
      <c r="AKK39" s="18"/>
      <c r="AKL39" s="18"/>
      <c r="AKM39" s="18"/>
      <c r="AKN39" s="18"/>
      <c r="AKO39" s="18"/>
      <c r="AKP39" s="18"/>
      <c r="AKQ39" s="18"/>
      <c r="AKR39" s="18"/>
      <c r="AKS39" s="18"/>
      <c r="AKT39" s="18"/>
      <c r="AKU39" s="18"/>
      <c r="AKV39" s="18"/>
      <c r="AKW39" s="18"/>
      <c r="AKX39" s="18"/>
      <c r="AKY39" s="18"/>
      <c r="AKZ39" s="18"/>
      <c r="ALA39" s="18"/>
      <c r="ALB39" s="18"/>
      <c r="ALC39" s="18"/>
      <c r="ALD39" s="18"/>
      <c r="ALE39" s="18"/>
      <c r="ALF39" s="18"/>
      <c r="ALG39" s="18"/>
      <c r="ALH39" s="18"/>
      <c r="ALI39" s="18"/>
      <c r="ALJ39" s="18"/>
      <c r="ALK39" s="18"/>
      <c r="ALL39" s="18"/>
      <c r="ALM39" s="18"/>
      <c r="ALN39" s="18"/>
      <c r="ALO39" s="18"/>
      <c r="ALP39" s="18"/>
      <c r="ALQ39" s="18"/>
      <c r="ALR39" s="18"/>
      <c r="ALS39" s="18"/>
      <c r="ALT39" s="18"/>
    </row>
    <row r="40" spans="1:1008">
      <c r="A40" s="251" t="s">
        <v>6307</v>
      </c>
      <c r="B40" s="290">
        <v>324</v>
      </c>
      <c r="C40" s="278" t="str">
        <f>(IF($A40="SINAPI",INDEX(SINAPI_NOV2020_NDES!$A$7:$H$6703,MATCH($B40,SINAPI_NOV2020_NDES!$A$7:$A$6703,0),2),IF($A40="GOINFRA",INDEX(#REF!,MATCH($B40,#REF!,0),2),(INDEX(COMPOS!$A$4:$G$390,MATCH($B40,COMPOS!$A$4:A$390,0),2)))))</f>
        <v>TUBO DE LIGAÇÃO PVC CROMADO 1.1/2'' – ESPUDE (ENTRADA)</v>
      </c>
      <c r="D40" s="274" t="str">
        <f>(IF($A40="SINAPI",INDEX(SINAPI_NOV2020_NDES!$A$7:$H$6790,MATCH($B40,SINAPI_NOV2020_NDES!$A$7:$A$6790,0),3),(INDEX(COMPOS!$A$4:$G$5000,MATCH($B40,COMPOS!$A$4:$A$5000,0),3))))</f>
        <v>UN</v>
      </c>
      <c r="E40" s="314">
        <v>4</v>
      </c>
      <c r="F40" s="279">
        <f>(IF($A40="SINAPI",INDEX(SINAPI_NOV2020_NDES!$A$7:$H$6703,MATCH($B40,SINAPI_NOV2020_NDES!$A$7:$A$6703,0),5),(INDEX(COMPOS!$A$4:$G$801,MATCH($B40,COMPOS!$A$4:A$801,0),4))))</f>
        <v>5.2416</v>
      </c>
      <c r="G40" s="280">
        <f>(IF($A40="SINAPI",INDEX(SINAPI_NOV2020_NDES!$A$7:$H$6703,MATCH($B40,SINAPI_NOV2020_NDES!$A$7:$A$6703,0),6),(INDEX(COMPOS!$A$4:$G$801,MATCH($B40,COMPOS!$A$4:A$801,0),5))))</f>
        <v>5.89</v>
      </c>
      <c r="H40" s="280">
        <f>(IF($A40="SINAPI",INDEX(SINAPI_NOV2020_NDES!$A$7:$H$6703,MATCH($B40,SINAPI_NOV2020_NDES!$A$7:$A$6703,0),7),(INDEX(COMPOS!$A$4:$G$801,MATCH($B40,COMPOS!$A$4:A$801,0),6))))</f>
        <v>0</v>
      </c>
      <c r="I40" s="279">
        <f t="shared" si="12"/>
        <v>11.131599999999999</v>
      </c>
      <c r="J40" s="276">
        <f t="shared" si="13"/>
        <v>44.526399999999995</v>
      </c>
      <c r="K40" s="191"/>
      <c r="L40" s="191"/>
      <c r="M40" s="191"/>
      <c r="N40" s="191"/>
      <c r="O40" s="262"/>
      <c r="P40" s="263"/>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c r="JF40" s="18"/>
      <c r="JG40" s="18"/>
      <c r="JH40" s="18"/>
      <c r="JI40" s="18"/>
      <c r="JJ40" s="18"/>
      <c r="JK40" s="18"/>
      <c r="JL40" s="18"/>
      <c r="JM40" s="18"/>
      <c r="JN40" s="18"/>
      <c r="JO40" s="18"/>
      <c r="JP40" s="18"/>
      <c r="JQ40" s="18"/>
      <c r="JR40" s="18"/>
      <c r="JS40" s="18"/>
      <c r="JT40" s="18"/>
      <c r="JU40" s="18"/>
      <c r="JV40" s="18"/>
      <c r="JW40" s="18"/>
      <c r="JX40" s="18"/>
      <c r="JY40" s="18"/>
      <c r="JZ40" s="18"/>
      <c r="KA40" s="18"/>
      <c r="KB40" s="18"/>
      <c r="KC40" s="18"/>
      <c r="KD40" s="18"/>
      <c r="KE40" s="18"/>
      <c r="KF40" s="18"/>
      <c r="KG40" s="18"/>
      <c r="KH40" s="18"/>
      <c r="KI40" s="18"/>
      <c r="KJ40" s="18"/>
      <c r="KK40" s="18"/>
      <c r="KL40" s="18"/>
      <c r="KM40" s="18"/>
      <c r="KN40" s="18"/>
      <c r="KO40" s="18"/>
      <c r="KP40" s="18"/>
      <c r="KQ40" s="18"/>
      <c r="KR40" s="18"/>
      <c r="KS40" s="18"/>
      <c r="KT40" s="18"/>
      <c r="KU40" s="18"/>
      <c r="KV40" s="18"/>
      <c r="KW40" s="18"/>
      <c r="KX40" s="18"/>
      <c r="KY40" s="18"/>
      <c r="KZ40" s="18"/>
      <c r="LA40" s="18"/>
      <c r="LB40" s="18"/>
      <c r="LC40" s="18"/>
      <c r="LD40" s="18"/>
      <c r="LE40" s="18"/>
      <c r="LF40" s="18"/>
      <c r="LG40" s="18"/>
      <c r="LH40" s="18"/>
      <c r="LI40" s="18"/>
      <c r="LJ40" s="18"/>
      <c r="LK40" s="18"/>
      <c r="LL40" s="18"/>
      <c r="LM40" s="18"/>
      <c r="LN40" s="18"/>
      <c r="LO40" s="18"/>
      <c r="LP40" s="18"/>
      <c r="LQ40" s="18"/>
      <c r="LR40" s="18"/>
      <c r="LS40" s="18"/>
      <c r="LT40" s="18"/>
      <c r="LU40" s="18"/>
      <c r="LV40" s="18"/>
      <c r="LW40" s="18"/>
      <c r="LX40" s="18"/>
      <c r="LY40" s="18"/>
      <c r="LZ40" s="18"/>
      <c r="MA40" s="18"/>
      <c r="MB40" s="18"/>
      <c r="MC40" s="18"/>
      <c r="MD40" s="18"/>
      <c r="ME40" s="18"/>
      <c r="MF40" s="18"/>
      <c r="MG40" s="18"/>
      <c r="MH40" s="18"/>
      <c r="MI40" s="18"/>
      <c r="MJ40" s="18"/>
      <c r="MK40" s="18"/>
      <c r="ML40" s="18"/>
      <c r="MM40" s="18"/>
      <c r="MN40" s="18"/>
      <c r="MO40" s="18"/>
      <c r="MP40" s="18"/>
      <c r="MQ40" s="18"/>
      <c r="MR40" s="18"/>
      <c r="MS40" s="18"/>
      <c r="MT40" s="18"/>
      <c r="MU40" s="18"/>
      <c r="MV40" s="18"/>
      <c r="MW40" s="18"/>
      <c r="MX40" s="18"/>
      <c r="MY40" s="18"/>
      <c r="MZ40" s="18"/>
      <c r="NA40" s="18"/>
      <c r="NB40" s="18"/>
      <c r="NC40" s="18"/>
      <c r="ND40" s="18"/>
      <c r="NE40" s="18"/>
      <c r="NF40" s="18"/>
      <c r="NG40" s="18"/>
      <c r="NH40" s="18"/>
      <c r="NI40" s="18"/>
      <c r="NJ40" s="18"/>
      <c r="NK40" s="18"/>
      <c r="NL40" s="18"/>
      <c r="NM40" s="18"/>
      <c r="NN40" s="18"/>
      <c r="NO40" s="18"/>
      <c r="NP40" s="18"/>
      <c r="NQ40" s="18"/>
      <c r="NR40" s="18"/>
      <c r="NS40" s="18"/>
      <c r="NT40" s="18"/>
      <c r="NU40" s="18"/>
      <c r="NV40" s="18"/>
      <c r="NW40" s="18"/>
      <c r="NX40" s="18"/>
      <c r="NY40" s="18"/>
      <c r="NZ40" s="18"/>
      <c r="OA40" s="18"/>
      <c r="OB40" s="18"/>
      <c r="OC40" s="18"/>
      <c r="OD40" s="18"/>
      <c r="OE40" s="18"/>
      <c r="OF40" s="18"/>
      <c r="OG40" s="18"/>
      <c r="OH40" s="18"/>
      <c r="OI40" s="18"/>
      <c r="OJ40" s="18"/>
      <c r="OK40" s="18"/>
      <c r="OL40" s="18"/>
      <c r="OM40" s="18"/>
      <c r="ON40" s="18"/>
      <c r="OO40" s="18"/>
      <c r="OP40" s="18"/>
      <c r="OQ40" s="18"/>
      <c r="OR40" s="18"/>
      <c r="OS40" s="18"/>
      <c r="OT40" s="18"/>
      <c r="OU40" s="18"/>
      <c r="OV40" s="18"/>
      <c r="OW40" s="18"/>
      <c r="OX40" s="18"/>
      <c r="OY40" s="18"/>
      <c r="OZ40" s="18"/>
      <c r="PA40" s="18"/>
      <c r="PB40" s="18"/>
      <c r="PC40" s="18"/>
      <c r="PD40" s="18"/>
      <c r="PE40" s="18"/>
      <c r="PF40" s="18"/>
      <c r="PG40" s="18"/>
      <c r="PH40" s="18"/>
      <c r="PI40" s="18"/>
      <c r="PJ40" s="18"/>
      <c r="PK40" s="18"/>
      <c r="PL40" s="18"/>
      <c r="PM40" s="18"/>
      <c r="PN40" s="18"/>
      <c r="PO40" s="18"/>
      <c r="PP40" s="18"/>
      <c r="PQ40" s="18"/>
      <c r="PR40" s="18"/>
      <c r="PS40" s="18"/>
      <c r="PT40" s="18"/>
      <c r="PU40" s="18"/>
      <c r="PV40" s="18"/>
      <c r="PW40" s="18"/>
      <c r="PX40" s="18"/>
      <c r="PY40" s="18"/>
      <c r="PZ40" s="18"/>
      <c r="QA40" s="18"/>
      <c r="QB40" s="18"/>
      <c r="QC40" s="18"/>
      <c r="QD40" s="18"/>
      <c r="QE40" s="18"/>
      <c r="QF40" s="18"/>
      <c r="QG40" s="18"/>
      <c r="QH40" s="18"/>
      <c r="QI40" s="18"/>
      <c r="QJ40" s="18"/>
      <c r="QK40" s="18"/>
      <c r="QL40" s="18"/>
      <c r="QM40" s="18"/>
      <c r="QN40" s="18"/>
      <c r="QO40" s="18"/>
      <c r="QP40" s="18"/>
      <c r="QQ40" s="18"/>
      <c r="QR40" s="18"/>
      <c r="QS40" s="18"/>
      <c r="QT40" s="18"/>
      <c r="QU40" s="18"/>
      <c r="QV40" s="18"/>
      <c r="QW40" s="18"/>
      <c r="QX40" s="18"/>
      <c r="QY40" s="18"/>
      <c r="QZ40" s="18"/>
      <c r="RA40" s="18"/>
      <c r="RB40" s="18"/>
      <c r="RC40" s="18"/>
      <c r="RD40" s="18"/>
      <c r="RE40" s="18"/>
      <c r="RF40" s="18"/>
      <c r="RG40" s="18"/>
      <c r="RH40" s="18"/>
      <c r="RI40" s="18"/>
      <c r="RJ40" s="18"/>
      <c r="RK40" s="18"/>
      <c r="RL40" s="18"/>
      <c r="RM40" s="18"/>
      <c r="RN40" s="18"/>
      <c r="RO40" s="18"/>
      <c r="RP40" s="18"/>
      <c r="RQ40" s="18"/>
      <c r="RR40" s="18"/>
      <c r="RS40" s="18"/>
      <c r="RT40" s="18"/>
      <c r="RU40" s="18"/>
      <c r="RV40" s="18"/>
      <c r="RW40" s="18"/>
      <c r="RX40" s="18"/>
      <c r="RY40" s="18"/>
      <c r="RZ40" s="18"/>
      <c r="SA40" s="18"/>
      <c r="SB40" s="18"/>
      <c r="SC40" s="18"/>
      <c r="SD40" s="18"/>
      <c r="SE40" s="18"/>
      <c r="SF40" s="18"/>
      <c r="SG40" s="18"/>
      <c r="SH40" s="18"/>
      <c r="SI40" s="18"/>
      <c r="SJ40" s="18"/>
      <c r="SK40" s="18"/>
      <c r="SL40" s="18"/>
      <c r="SM40" s="18"/>
      <c r="SN40" s="18"/>
      <c r="SO40" s="18"/>
      <c r="SP40" s="18"/>
      <c r="SQ40" s="18"/>
      <c r="SR40" s="18"/>
      <c r="SS40" s="18"/>
      <c r="ST40" s="18"/>
      <c r="SU40" s="18"/>
      <c r="SV40" s="18"/>
      <c r="SW40" s="18"/>
      <c r="SX40" s="18"/>
      <c r="SY40" s="18"/>
      <c r="SZ40" s="18"/>
      <c r="TA40" s="18"/>
      <c r="TB40" s="18"/>
      <c r="TC40" s="18"/>
      <c r="TD40" s="18"/>
      <c r="TE40" s="18"/>
      <c r="TF40" s="18"/>
      <c r="TG40" s="18"/>
      <c r="TH40" s="18"/>
      <c r="TI40" s="18"/>
      <c r="TJ40" s="18"/>
      <c r="TK40" s="18"/>
      <c r="TL40" s="18"/>
      <c r="TM40" s="18"/>
      <c r="TN40" s="18"/>
      <c r="TO40" s="18"/>
      <c r="TP40" s="18"/>
      <c r="TQ40" s="18"/>
      <c r="TR40" s="18"/>
      <c r="TS40" s="18"/>
      <c r="TT40" s="18"/>
      <c r="TU40" s="18"/>
      <c r="TV40" s="18"/>
      <c r="TW40" s="18"/>
      <c r="TX40" s="18"/>
      <c r="TY40" s="18"/>
      <c r="TZ40" s="18"/>
      <c r="UA40" s="18"/>
      <c r="UB40" s="18"/>
      <c r="UC40" s="18"/>
      <c r="UD40" s="18"/>
      <c r="UE40" s="18"/>
      <c r="UF40" s="18"/>
      <c r="UG40" s="18"/>
      <c r="UH40" s="18"/>
      <c r="UI40" s="18"/>
      <c r="UJ40" s="18"/>
      <c r="UK40" s="18"/>
      <c r="UL40" s="18"/>
      <c r="UM40" s="18"/>
      <c r="UN40" s="18"/>
      <c r="UO40" s="18"/>
      <c r="UP40" s="18"/>
      <c r="UQ40" s="18"/>
      <c r="UR40" s="18"/>
      <c r="US40" s="18"/>
      <c r="UT40" s="18"/>
      <c r="UU40" s="18"/>
      <c r="UV40" s="18"/>
      <c r="UW40" s="18"/>
      <c r="UX40" s="18"/>
      <c r="UY40" s="18"/>
      <c r="UZ40" s="18"/>
      <c r="VA40" s="18"/>
      <c r="VB40" s="18"/>
      <c r="VC40" s="18"/>
      <c r="VD40" s="18"/>
      <c r="VE40" s="18"/>
      <c r="VF40" s="18"/>
      <c r="VG40" s="18"/>
      <c r="VH40" s="18"/>
      <c r="VI40" s="18"/>
      <c r="VJ40" s="18"/>
      <c r="VK40" s="18"/>
      <c r="VL40" s="18"/>
      <c r="VM40" s="18"/>
      <c r="VN40" s="18"/>
      <c r="VO40" s="18"/>
      <c r="VP40" s="18"/>
      <c r="VQ40" s="18"/>
      <c r="VR40" s="18"/>
      <c r="VS40" s="18"/>
      <c r="VT40" s="18"/>
      <c r="VU40" s="18"/>
      <c r="VV40" s="18"/>
      <c r="VW40" s="18"/>
      <c r="VX40" s="18"/>
      <c r="VY40" s="18"/>
      <c r="VZ40" s="18"/>
      <c r="WA40" s="18"/>
      <c r="WB40" s="18"/>
      <c r="WC40" s="18"/>
      <c r="WD40" s="18"/>
      <c r="WE40" s="18"/>
      <c r="WF40" s="18"/>
      <c r="WG40" s="18"/>
      <c r="WH40" s="18"/>
      <c r="WI40" s="18"/>
      <c r="WJ40" s="18"/>
      <c r="WK40" s="18"/>
      <c r="WL40" s="18"/>
      <c r="WM40" s="18"/>
      <c r="WN40" s="18"/>
      <c r="WO40" s="18"/>
      <c r="WP40" s="18"/>
      <c r="WQ40" s="18"/>
      <c r="WR40" s="18"/>
      <c r="WS40" s="18"/>
      <c r="WT40" s="18"/>
      <c r="WU40" s="18"/>
      <c r="WV40" s="18"/>
      <c r="WW40" s="18"/>
      <c r="WX40" s="18"/>
      <c r="WY40" s="18"/>
      <c r="WZ40" s="18"/>
      <c r="XA40" s="18"/>
      <c r="XB40" s="18"/>
      <c r="XC40" s="18"/>
      <c r="XD40" s="18"/>
      <c r="XE40" s="18"/>
      <c r="XF40" s="18"/>
      <c r="XG40" s="18"/>
      <c r="XH40" s="18"/>
      <c r="XI40" s="18"/>
      <c r="XJ40" s="18"/>
      <c r="XK40" s="18"/>
      <c r="XL40" s="18"/>
      <c r="XM40" s="18"/>
      <c r="XN40" s="18"/>
      <c r="XO40" s="18"/>
      <c r="XP40" s="18"/>
      <c r="XQ40" s="18"/>
      <c r="XR40" s="18"/>
      <c r="XS40" s="18"/>
      <c r="XT40" s="18"/>
      <c r="XU40" s="18"/>
      <c r="XV40" s="18"/>
      <c r="XW40" s="18"/>
      <c r="XX40" s="18"/>
      <c r="XY40" s="18"/>
      <c r="XZ40" s="18"/>
      <c r="YA40" s="18"/>
      <c r="YB40" s="18"/>
      <c r="YC40" s="18"/>
      <c r="YD40" s="18"/>
      <c r="YE40" s="18"/>
      <c r="YF40" s="18"/>
      <c r="YG40" s="18"/>
      <c r="YH40" s="18"/>
      <c r="YI40" s="18"/>
      <c r="YJ40" s="18"/>
      <c r="YK40" s="18"/>
      <c r="YL40" s="18"/>
      <c r="YM40" s="18"/>
      <c r="YN40" s="18"/>
      <c r="YO40" s="18"/>
      <c r="YP40" s="18"/>
      <c r="YQ40" s="18"/>
      <c r="YR40" s="18"/>
      <c r="YS40" s="18"/>
      <c r="YT40" s="18"/>
      <c r="YU40" s="18"/>
      <c r="YV40" s="18"/>
      <c r="YW40" s="18"/>
      <c r="YX40" s="18"/>
      <c r="YY40" s="18"/>
      <c r="YZ40" s="18"/>
      <c r="ZA40" s="18"/>
      <c r="ZB40" s="18"/>
      <c r="ZC40" s="18"/>
      <c r="ZD40" s="18"/>
      <c r="ZE40" s="18"/>
      <c r="ZF40" s="18"/>
      <c r="ZG40" s="18"/>
      <c r="ZH40" s="18"/>
      <c r="ZI40" s="18"/>
      <c r="ZJ40" s="18"/>
      <c r="ZK40" s="18"/>
      <c r="ZL40" s="18"/>
      <c r="ZM40" s="18"/>
      <c r="ZN40" s="18"/>
      <c r="ZO40" s="18"/>
      <c r="ZP40" s="18"/>
      <c r="ZQ40" s="18"/>
      <c r="ZR40" s="18"/>
      <c r="ZS40" s="18"/>
      <c r="ZT40" s="18"/>
      <c r="ZU40" s="18"/>
      <c r="ZV40" s="18"/>
      <c r="ZW40" s="18"/>
      <c r="ZX40" s="18"/>
      <c r="ZY40" s="18"/>
      <c r="ZZ40" s="18"/>
      <c r="AAA40" s="18"/>
      <c r="AAB40" s="18"/>
      <c r="AAC40" s="18"/>
      <c r="AAD40" s="18"/>
      <c r="AAE40" s="18"/>
      <c r="AAF40" s="18"/>
      <c r="AAG40" s="18"/>
      <c r="AAH40" s="18"/>
      <c r="AAI40" s="18"/>
      <c r="AAJ40" s="18"/>
      <c r="AAK40" s="18"/>
      <c r="AAL40" s="18"/>
      <c r="AAM40" s="18"/>
      <c r="AAN40" s="18"/>
      <c r="AAO40" s="18"/>
      <c r="AAP40" s="18"/>
      <c r="AAQ40" s="18"/>
      <c r="AAR40" s="18"/>
      <c r="AAS40" s="18"/>
      <c r="AAT40" s="18"/>
      <c r="AAU40" s="18"/>
      <c r="AAV40" s="18"/>
      <c r="AAW40" s="18"/>
      <c r="AAX40" s="18"/>
      <c r="AAY40" s="18"/>
      <c r="AAZ40" s="18"/>
      <c r="ABA40" s="18"/>
      <c r="ABB40" s="18"/>
      <c r="ABC40" s="18"/>
      <c r="ABD40" s="18"/>
      <c r="ABE40" s="18"/>
      <c r="ABF40" s="18"/>
      <c r="ABG40" s="18"/>
      <c r="ABH40" s="18"/>
      <c r="ABI40" s="18"/>
      <c r="ABJ40" s="18"/>
      <c r="ABK40" s="18"/>
      <c r="ABL40" s="18"/>
      <c r="ABM40" s="18"/>
      <c r="ABN40" s="18"/>
      <c r="ABO40" s="18"/>
      <c r="ABP40" s="18"/>
      <c r="ABQ40" s="18"/>
      <c r="ABR40" s="18"/>
      <c r="ABS40" s="18"/>
      <c r="ABT40" s="18"/>
      <c r="ABU40" s="18"/>
      <c r="ABV40" s="18"/>
      <c r="ABW40" s="18"/>
      <c r="ABX40" s="18"/>
      <c r="ABY40" s="18"/>
      <c r="ABZ40" s="18"/>
      <c r="ACA40" s="18"/>
      <c r="ACB40" s="18"/>
      <c r="ACC40" s="18"/>
      <c r="ACD40" s="18"/>
      <c r="ACE40" s="18"/>
      <c r="ACF40" s="18"/>
      <c r="ACG40" s="18"/>
      <c r="ACH40" s="18"/>
      <c r="ACI40" s="18"/>
      <c r="ACJ40" s="18"/>
      <c r="ACK40" s="18"/>
      <c r="ACL40" s="18"/>
      <c r="ACM40" s="18"/>
      <c r="ACN40" s="18"/>
      <c r="ACO40" s="18"/>
      <c r="ACP40" s="18"/>
      <c r="ACQ40" s="18"/>
      <c r="ACR40" s="18"/>
      <c r="ACS40" s="18"/>
      <c r="ACT40" s="18"/>
      <c r="ACU40" s="18"/>
      <c r="ACV40" s="18"/>
      <c r="ACW40" s="18"/>
      <c r="ACX40" s="18"/>
      <c r="ACY40" s="18"/>
      <c r="ACZ40" s="18"/>
      <c r="ADA40" s="18"/>
      <c r="ADB40" s="18"/>
      <c r="ADC40" s="18"/>
      <c r="ADD40" s="18"/>
      <c r="ADE40" s="18"/>
      <c r="ADF40" s="18"/>
      <c r="ADG40" s="18"/>
      <c r="ADH40" s="18"/>
      <c r="ADI40" s="18"/>
      <c r="ADJ40" s="18"/>
      <c r="ADK40" s="18"/>
      <c r="ADL40" s="18"/>
      <c r="ADM40" s="18"/>
      <c r="ADN40" s="18"/>
      <c r="ADO40" s="18"/>
      <c r="ADP40" s="18"/>
      <c r="ADQ40" s="18"/>
      <c r="ADR40" s="18"/>
      <c r="ADS40" s="18"/>
      <c r="ADT40" s="18"/>
      <c r="ADU40" s="18"/>
      <c r="ADV40" s="18"/>
      <c r="ADW40" s="18"/>
      <c r="ADX40" s="18"/>
      <c r="ADY40" s="18"/>
      <c r="ADZ40" s="18"/>
      <c r="AEA40" s="18"/>
      <c r="AEB40" s="18"/>
      <c r="AEC40" s="18"/>
      <c r="AED40" s="18"/>
      <c r="AEE40" s="18"/>
      <c r="AEF40" s="18"/>
      <c r="AEG40" s="18"/>
      <c r="AEH40" s="18"/>
      <c r="AEI40" s="18"/>
      <c r="AEJ40" s="18"/>
      <c r="AEK40" s="18"/>
      <c r="AEL40" s="18"/>
      <c r="AEM40" s="18"/>
      <c r="AEN40" s="18"/>
      <c r="AEO40" s="18"/>
      <c r="AEP40" s="18"/>
      <c r="AEQ40" s="18"/>
      <c r="AER40" s="18"/>
      <c r="AES40" s="18"/>
      <c r="AET40" s="18"/>
      <c r="AEU40" s="18"/>
      <c r="AEV40" s="18"/>
      <c r="AEW40" s="18"/>
      <c r="AEX40" s="18"/>
      <c r="AEY40" s="18"/>
      <c r="AEZ40" s="18"/>
      <c r="AFA40" s="18"/>
      <c r="AFB40" s="18"/>
      <c r="AFC40" s="18"/>
      <c r="AFD40" s="18"/>
      <c r="AFE40" s="18"/>
      <c r="AFF40" s="18"/>
      <c r="AFG40" s="18"/>
      <c r="AFH40" s="18"/>
      <c r="AFI40" s="18"/>
      <c r="AFJ40" s="18"/>
      <c r="AFK40" s="18"/>
      <c r="AFL40" s="18"/>
      <c r="AFM40" s="18"/>
      <c r="AFN40" s="18"/>
      <c r="AFO40" s="18"/>
      <c r="AFP40" s="18"/>
      <c r="AFQ40" s="18"/>
      <c r="AFR40" s="18"/>
      <c r="AFS40" s="18"/>
      <c r="AFT40" s="18"/>
      <c r="AFU40" s="18"/>
      <c r="AFV40" s="18"/>
      <c r="AFW40" s="18"/>
      <c r="AFX40" s="18"/>
      <c r="AFY40" s="18"/>
      <c r="AFZ40" s="18"/>
      <c r="AGA40" s="18"/>
      <c r="AGB40" s="18"/>
      <c r="AGC40" s="18"/>
      <c r="AGD40" s="18"/>
      <c r="AGE40" s="18"/>
      <c r="AGF40" s="18"/>
      <c r="AGG40" s="18"/>
      <c r="AGH40" s="18"/>
      <c r="AGI40" s="18"/>
      <c r="AGJ40" s="18"/>
      <c r="AGK40" s="18"/>
      <c r="AGL40" s="18"/>
      <c r="AGM40" s="18"/>
      <c r="AGN40" s="18"/>
      <c r="AGO40" s="18"/>
      <c r="AGP40" s="18"/>
      <c r="AGQ40" s="18"/>
      <c r="AGR40" s="18"/>
      <c r="AGS40" s="18"/>
      <c r="AGT40" s="18"/>
      <c r="AGU40" s="18"/>
      <c r="AGV40" s="18"/>
      <c r="AGW40" s="18"/>
      <c r="AGX40" s="18"/>
      <c r="AGY40" s="18"/>
      <c r="AGZ40" s="18"/>
      <c r="AHA40" s="18"/>
      <c r="AHB40" s="18"/>
      <c r="AHC40" s="18"/>
      <c r="AHD40" s="18"/>
      <c r="AHE40" s="18"/>
      <c r="AHF40" s="18"/>
      <c r="AHG40" s="18"/>
      <c r="AHH40" s="18"/>
      <c r="AHI40" s="18"/>
      <c r="AHJ40" s="18"/>
      <c r="AHK40" s="18"/>
      <c r="AHL40" s="18"/>
      <c r="AHM40" s="18"/>
      <c r="AHN40" s="18"/>
      <c r="AHO40" s="18"/>
      <c r="AHP40" s="18"/>
      <c r="AHQ40" s="18"/>
      <c r="AHR40" s="18"/>
      <c r="AHS40" s="18"/>
      <c r="AHT40" s="18"/>
      <c r="AHU40" s="18"/>
      <c r="AHV40" s="18"/>
      <c r="AHW40" s="18"/>
      <c r="AHX40" s="18"/>
      <c r="AHY40" s="18"/>
      <c r="AHZ40" s="18"/>
      <c r="AIA40" s="18"/>
      <c r="AIB40" s="18"/>
      <c r="AIC40" s="18"/>
      <c r="AID40" s="18"/>
      <c r="AIE40" s="18"/>
      <c r="AIF40" s="18"/>
      <c r="AIG40" s="18"/>
      <c r="AIH40" s="18"/>
      <c r="AII40" s="18"/>
      <c r="AIJ40" s="18"/>
      <c r="AIK40" s="18"/>
      <c r="AIL40" s="18"/>
      <c r="AIM40" s="18"/>
      <c r="AIN40" s="18"/>
      <c r="AIO40" s="18"/>
      <c r="AIP40" s="18"/>
      <c r="AIQ40" s="18"/>
      <c r="AIR40" s="18"/>
      <c r="AIS40" s="18"/>
      <c r="AIT40" s="18"/>
      <c r="AIU40" s="18"/>
      <c r="AIV40" s="18"/>
      <c r="AIW40" s="18"/>
      <c r="AIX40" s="18"/>
      <c r="AIY40" s="18"/>
      <c r="AIZ40" s="18"/>
      <c r="AJA40" s="18"/>
      <c r="AJB40" s="18"/>
      <c r="AJC40" s="18"/>
      <c r="AJD40" s="18"/>
      <c r="AJE40" s="18"/>
      <c r="AJF40" s="18"/>
      <c r="AJG40" s="18"/>
      <c r="AJH40" s="18"/>
      <c r="AJI40" s="18"/>
      <c r="AJJ40" s="18"/>
      <c r="AJK40" s="18"/>
      <c r="AJL40" s="18"/>
      <c r="AJM40" s="18"/>
      <c r="AJN40" s="18"/>
      <c r="AJO40" s="18"/>
      <c r="AJP40" s="18"/>
      <c r="AJQ40" s="18"/>
      <c r="AJR40" s="18"/>
      <c r="AJS40" s="18"/>
      <c r="AJT40" s="18"/>
      <c r="AJU40" s="18"/>
      <c r="AJV40" s="18"/>
      <c r="AJW40" s="18"/>
      <c r="AJX40" s="18"/>
      <c r="AJY40" s="18"/>
      <c r="AJZ40" s="18"/>
      <c r="AKA40" s="18"/>
      <c r="AKB40" s="18"/>
      <c r="AKC40" s="18"/>
      <c r="AKD40" s="18"/>
      <c r="AKE40" s="18"/>
      <c r="AKF40" s="18"/>
      <c r="AKG40" s="18"/>
      <c r="AKH40" s="18"/>
      <c r="AKI40" s="18"/>
      <c r="AKJ40" s="18"/>
      <c r="AKK40" s="18"/>
      <c r="AKL40" s="18"/>
      <c r="AKM40" s="18"/>
      <c r="AKN40" s="18"/>
      <c r="AKO40" s="18"/>
      <c r="AKP40" s="18"/>
      <c r="AKQ40" s="18"/>
      <c r="AKR40" s="18"/>
      <c r="AKS40" s="18"/>
      <c r="AKT40" s="18"/>
      <c r="AKU40" s="18"/>
      <c r="AKV40" s="18"/>
      <c r="AKW40" s="18"/>
      <c r="AKX40" s="18"/>
      <c r="AKY40" s="18"/>
      <c r="AKZ40" s="18"/>
      <c r="ALA40" s="18"/>
      <c r="ALB40" s="18"/>
      <c r="ALC40" s="18"/>
      <c r="ALD40" s="18"/>
      <c r="ALE40" s="18"/>
      <c r="ALF40" s="18"/>
      <c r="ALG40" s="18"/>
      <c r="ALH40" s="18"/>
      <c r="ALI40" s="18"/>
      <c r="ALJ40" s="18"/>
      <c r="ALK40" s="18"/>
      <c r="ALL40" s="18"/>
      <c r="ALM40" s="18"/>
      <c r="ALN40" s="18"/>
      <c r="ALO40" s="18"/>
      <c r="ALP40" s="18"/>
      <c r="ALQ40" s="18"/>
      <c r="ALR40" s="18"/>
      <c r="ALS40" s="18"/>
      <c r="ALT40" s="18"/>
    </row>
    <row r="41" spans="1:1008">
      <c r="A41" s="251" t="s">
        <v>6307</v>
      </c>
      <c r="B41" s="290">
        <v>786</v>
      </c>
      <c r="C41" s="278" t="str">
        <f>(IF($A41="SINAPI",INDEX(SINAPI_NOV2020_NDES!$A$7:$H$6703,MATCH($B41,SINAPI_NOV2020_NDES!$A$7:$A$6703,0),2),IF($A41="GOINFRA",INDEX(#REF!,MATCH($B41,#REF!,0),2),(INDEX(COMPOS!$A$4:$G$390,MATCH($B41,COMPOS!$A$4:A$390,0),2)))))</f>
        <v>PORTA PAPEL HIGIÊNICO EM LOUÇA - EMBUTIR</v>
      </c>
      <c r="D41" s="274" t="str">
        <f>(IF($A41="SINAPI",INDEX(SINAPI_NOV2020_NDES!$A$7:$H$6790,MATCH($B41,SINAPI_NOV2020_NDES!$A$7:$A$6790,0),3),(INDEX(COMPOS!$A$4:$G$5000,MATCH($B41,COMPOS!$A$4:$A$5000,0),3))))</f>
        <v>UN</v>
      </c>
      <c r="E41" s="314">
        <v>4</v>
      </c>
      <c r="F41" s="279">
        <f>(IF($A41="SINAPI",INDEX(SINAPI_NOV2020_NDES!$A$7:$H$6703,MATCH($B41,SINAPI_NOV2020_NDES!$A$7:$A$6703,0),5),(INDEX(COMPOS!$A$4:$G$801,MATCH($B41,COMPOS!$A$4:A$801,0),4))))</f>
        <v>18.365000000000002</v>
      </c>
      <c r="G41" s="280">
        <f>(IF($A41="SINAPI",INDEX(SINAPI_NOV2020_NDES!$A$7:$H$6703,MATCH($B41,SINAPI_NOV2020_NDES!$A$7:$A$6703,0),6),(INDEX(COMPOS!$A$4:$G$801,MATCH($B41,COMPOS!$A$4:A$801,0),5))))</f>
        <v>22.925999999999998</v>
      </c>
      <c r="H41" s="280">
        <f>(IF($A41="SINAPI",INDEX(SINAPI_NOV2020_NDES!$A$7:$H$6703,MATCH($B41,SINAPI_NOV2020_NDES!$A$7:$A$6703,0),7),(INDEX(COMPOS!$A$4:$G$801,MATCH($B41,COMPOS!$A$4:A$801,0),6))))</f>
        <v>0</v>
      </c>
      <c r="I41" s="279">
        <f t="shared" si="12"/>
        <v>41.290999999999997</v>
      </c>
      <c r="J41" s="276">
        <f t="shared" si="13"/>
        <v>165.16399999999999</v>
      </c>
      <c r="K41" s="191"/>
      <c r="L41" s="191"/>
      <c r="M41" s="191"/>
      <c r="N41" s="191"/>
      <c r="O41" s="262"/>
      <c r="P41" s="263"/>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c r="JF41" s="18"/>
      <c r="JG41" s="18"/>
      <c r="JH41" s="18"/>
      <c r="JI41" s="18"/>
      <c r="JJ41" s="18"/>
      <c r="JK41" s="18"/>
      <c r="JL41" s="18"/>
      <c r="JM41" s="18"/>
      <c r="JN41" s="18"/>
      <c r="JO41" s="18"/>
      <c r="JP41" s="18"/>
      <c r="JQ41" s="18"/>
      <c r="JR41" s="18"/>
      <c r="JS41" s="18"/>
      <c r="JT41" s="18"/>
      <c r="JU41" s="18"/>
      <c r="JV41" s="18"/>
      <c r="JW41" s="18"/>
      <c r="JX41" s="18"/>
      <c r="JY41" s="18"/>
      <c r="JZ41" s="18"/>
      <c r="KA41" s="18"/>
      <c r="KB41" s="18"/>
      <c r="KC41" s="18"/>
      <c r="KD41" s="18"/>
      <c r="KE41" s="18"/>
      <c r="KF41" s="18"/>
      <c r="KG41" s="18"/>
      <c r="KH41" s="18"/>
      <c r="KI41" s="18"/>
      <c r="KJ41" s="18"/>
      <c r="KK41" s="18"/>
      <c r="KL41" s="18"/>
      <c r="KM41" s="18"/>
      <c r="KN41" s="18"/>
      <c r="KO41" s="18"/>
      <c r="KP41" s="18"/>
      <c r="KQ41" s="18"/>
      <c r="KR41" s="18"/>
      <c r="KS41" s="18"/>
      <c r="KT41" s="18"/>
      <c r="KU41" s="18"/>
      <c r="KV41" s="18"/>
      <c r="KW41" s="18"/>
      <c r="KX41" s="18"/>
      <c r="KY41" s="18"/>
      <c r="KZ41" s="18"/>
      <c r="LA41" s="18"/>
      <c r="LB41" s="18"/>
      <c r="LC41" s="18"/>
      <c r="LD41" s="18"/>
      <c r="LE41" s="18"/>
      <c r="LF41" s="18"/>
      <c r="LG41" s="18"/>
      <c r="LH41" s="18"/>
      <c r="LI41" s="18"/>
      <c r="LJ41" s="18"/>
      <c r="LK41" s="18"/>
      <c r="LL41" s="18"/>
      <c r="LM41" s="18"/>
      <c r="LN41" s="18"/>
      <c r="LO41" s="18"/>
      <c r="LP41" s="18"/>
      <c r="LQ41" s="18"/>
      <c r="LR41" s="18"/>
      <c r="LS41" s="18"/>
      <c r="LT41" s="18"/>
      <c r="LU41" s="18"/>
      <c r="LV41" s="18"/>
      <c r="LW41" s="18"/>
      <c r="LX41" s="18"/>
      <c r="LY41" s="18"/>
      <c r="LZ41" s="18"/>
      <c r="MA41" s="18"/>
      <c r="MB41" s="18"/>
      <c r="MC41" s="18"/>
      <c r="MD41" s="18"/>
      <c r="ME41" s="18"/>
      <c r="MF41" s="18"/>
      <c r="MG41" s="18"/>
      <c r="MH41" s="18"/>
      <c r="MI41" s="18"/>
      <c r="MJ41" s="18"/>
      <c r="MK41" s="18"/>
      <c r="ML41" s="18"/>
      <c r="MM41" s="18"/>
      <c r="MN41" s="18"/>
      <c r="MO41" s="18"/>
      <c r="MP41" s="18"/>
      <c r="MQ41" s="18"/>
      <c r="MR41" s="18"/>
      <c r="MS41" s="18"/>
      <c r="MT41" s="18"/>
      <c r="MU41" s="18"/>
      <c r="MV41" s="18"/>
      <c r="MW41" s="18"/>
      <c r="MX41" s="18"/>
      <c r="MY41" s="18"/>
      <c r="MZ41" s="18"/>
      <c r="NA41" s="18"/>
      <c r="NB41" s="18"/>
      <c r="NC41" s="18"/>
      <c r="ND41" s="18"/>
      <c r="NE41" s="18"/>
      <c r="NF41" s="18"/>
      <c r="NG41" s="18"/>
      <c r="NH41" s="18"/>
      <c r="NI41" s="18"/>
      <c r="NJ41" s="18"/>
      <c r="NK41" s="18"/>
      <c r="NL41" s="18"/>
      <c r="NM41" s="18"/>
      <c r="NN41" s="18"/>
      <c r="NO41" s="18"/>
      <c r="NP41" s="18"/>
      <c r="NQ41" s="18"/>
      <c r="NR41" s="18"/>
      <c r="NS41" s="18"/>
      <c r="NT41" s="18"/>
      <c r="NU41" s="18"/>
      <c r="NV41" s="18"/>
      <c r="NW41" s="18"/>
      <c r="NX41" s="18"/>
      <c r="NY41" s="18"/>
      <c r="NZ41" s="18"/>
      <c r="OA41" s="18"/>
      <c r="OB41" s="18"/>
      <c r="OC41" s="18"/>
      <c r="OD41" s="18"/>
      <c r="OE41" s="18"/>
      <c r="OF41" s="18"/>
      <c r="OG41" s="18"/>
      <c r="OH41" s="18"/>
      <c r="OI41" s="18"/>
      <c r="OJ41" s="18"/>
      <c r="OK41" s="18"/>
      <c r="OL41" s="18"/>
      <c r="OM41" s="18"/>
      <c r="ON41" s="18"/>
      <c r="OO41" s="18"/>
      <c r="OP41" s="18"/>
      <c r="OQ41" s="18"/>
      <c r="OR41" s="18"/>
      <c r="OS41" s="18"/>
      <c r="OT41" s="18"/>
      <c r="OU41" s="18"/>
      <c r="OV41" s="18"/>
      <c r="OW41" s="18"/>
      <c r="OX41" s="18"/>
      <c r="OY41" s="18"/>
      <c r="OZ41" s="18"/>
      <c r="PA41" s="18"/>
      <c r="PB41" s="18"/>
      <c r="PC41" s="18"/>
      <c r="PD41" s="18"/>
      <c r="PE41" s="18"/>
      <c r="PF41" s="18"/>
      <c r="PG41" s="18"/>
      <c r="PH41" s="18"/>
      <c r="PI41" s="18"/>
      <c r="PJ41" s="18"/>
      <c r="PK41" s="18"/>
      <c r="PL41" s="18"/>
      <c r="PM41" s="18"/>
      <c r="PN41" s="18"/>
      <c r="PO41" s="18"/>
      <c r="PP41" s="18"/>
      <c r="PQ41" s="18"/>
      <c r="PR41" s="18"/>
      <c r="PS41" s="18"/>
      <c r="PT41" s="18"/>
      <c r="PU41" s="18"/>
      <c r="PV41" s="18"/>
      <c r="PW41" s="18"/>
      <c r="PX41" s="18"/>
      <c r="PY41" s="18"/>
      <c r="PZ41" s="18"/>
      <c r="QA41" s="18"/>
      <c r="QB41" s="18"/>
      <c r="QC41" s="18"/>
      <c r="QD41" s="18"/>
      <c r="QE41" s="18"/>
      <c r="QF41" s="18"/>
      <c r="QG41" s="18"/>
      <c r="QH41" s="18"/>
      <c r="QI41" s="18"/>
      <c r="QJ41" s="18"/>
      <c r="QK41" s="18"/>
      <c r="QL41" s="18"/>
      <c r="QM41" s="18"/>
      <c r="QN41" s="18"/>
      <c r="QO41" s="18"/>
      <c r="QP41" s="18"/>
      <c r="QQ41" s="18"/>
      <c r="QR41" s="18"/>
      <c r="QS41" s="18"/>
      <c r="QT41" s="18"/>
      <c r="QU41" s="18"/>
      <c r="QV41" s="18"/>
      <c r="QW41" s="18"/>
      <c r="QX41" s="18"/>
      <c r="QY41" s="18"/>
      <c r="QZ41" s="18"/>
      <c r="RA41" s="18"/>
      <c r="RB41" s="18"/>
      <c r="RC41" s="18"/>
      <c r="RD41" s="18"/>
      <c r="RE41" s="18"/>
      <c r="RF41" s="18"/>
      <c r="RG41" s="18"/>
      <c r="RH41" s="18"/>
      <c r="RI41" s="18"/>
      <c r="RJ41" s="18"/>
      <c r="RK41" s="18"/>
      <c r="RL41" s="18"/>
      <c r="RM41" s="18"/>
      <c r="RN41" s="18"/>
      <c r="RO41" s="18"/>
      <c r="RP41" s="18"/>
      <c r="RQ41" s="18"/>
      <c r="RR41" s="18"/>
      <c r="RS41" s="18"/>
      <c r="RT41" s="18"/>
      <c r="RU41" s="18"/>
      <c r="RV41" s="18"/>
      <c r="RW41" s="18"/>
      <c r="RX41" s="18"/>
      <c r="RY41" s="18"/>
      <c r="RZ41" s="18"/>
      <c r="SA41" s="18"/>
      <c r="SB41" s="18"/>
      <c r="SC41" s="18"/>
      <c r="SD41" s="18"/>
      <c r="SE41" s="18"/>
      <c r="SF41" s="18"/>
      <c r="SG41" s="18"/>
      <c r="SH41" s="18"/>
      <c r="SI41" s="18"/>
      <c r="SJ41" s="18"/>
      <c r="SK41" s="18"/>
      <c r="SL41" s="18"/>
      <c r="SM41" s="18"/>
      <c r="SN41" s="18"/>
      <c r="SO41" s="18"/>
      <c r="SP41" s="18"/>
      <c r="SQ41" s="18"/>
      <c r="SR41" s="18"/>
      <c r="SS41" s="18"/>
      <c r="ST41" s="18"/>
      <c r="SU41" s="18"/>
      <c r="SV41" s="18"/>
      <c r="SW41" s="18"/>
      <c r="SX41" s="18"/>
      <c r="SY41" s="18"/>
      <c r="SZ41" s="18"/>
      <c r="TA41" s="18"/>
      <c r="TB41" s="18"/>
      <c r="TC41" s="18"/>
      <c r="TD41" s="18"/>
      <c r="TE41" s="18"/>
      <c r="TF41" s="18"/>
      <c r="TG41" s="18"/>
      <c r="TH41" s="18"/>
      <c r="TI41" s="18"/>
      <c r="TJ41" s="18"/>
      <c r="TK41" s="18"/>
      <c r="TL41" s="18"/>
      <c r="TM41" s="18"/>
      <c r="TN41" s="18"/>
      <c r="TO41" s="18"/>
      <c r="TP41" s="18"/>
      <c r="TQ41" s="18"/>
      <c r="TR41" s="18"/>
      <c r="TS41" s="18"/>
      <c r="TT41" s="18"/>
      <c r="TU41" s="18"/>
      <c r="TV41" s="18"/>
      <c r="TW41" s="18"/>
      <c r="TX41" s="18"/>
      <c r="TY41" s="18"/>
      <c r="TZ41" s="18"/>
      <c r="UA41" s="18"/>
      <c r="UB41" s="18"/>
      <c r="UC41" s="18"/>
      <c r="UD41" s="18"/>
      <c r="UE41" s="18"/>
      <c r="UF41" s="18"/>
      <c r="UG41" s="18"/>
      <c r="UH41" s="18"/>
      <c r="UI41" s="18"/>
      <c r="UJ41" s="18"/>
      <c r="UK41" s="18"/>
      <c r="UL41" s="18"/>
      <c r="UM41" s="18"/>
      <c r="UN41" s="18"/>
      <c r="UO41" s="18"/>
      <c r="UP41" s="18"/>
      <c r="UQ41" s="18"/>
      <c r="UR41" s="18"/>
      <c r="US41" s="18"/>
      <c r="UT41" s="18"/>
      <c r="UU41" s="18"/>
      <c r="UV41" s="18"/>
      <c r="UW41" s="18"/>
      <c r="UX41" s="18"/>
      <c r="UY41" s="18"/>
      <c r="UZ41" s="18"/>
      <c r="VA41" s="18"/>
      <c r="VB41" s="18"/>
      <c r="VC41" s="18"/>
      <c r="VD41" s="18"/>
      <c r="VE41" s="18"/>
      <c r="VF41" s="18"/>
      <c r="VG41" s="18"/>
      <c r="VH41" s="18"/>
      <c r="VI41" s="18"/>
      <c r="VJ41" s="18"/>
      <c r="VK41" s="18"/>
      <c r="VL41" s="18"/>
      <c r="VM41" s="18"/>
      <c r="VN41" s="18"/>
      <c r="VO41" s="18"/>
      <c r="VP41" s="18"/>
      <c r="VQ41" s="18"/>
      <c r="VR41" s="18"/>
      <c r="VS41" s="18"/>
      <c r="VT41" s="18"/>
      <c r="VU41" s="18"/>
      <c r="VV41" s="18"/>
      <c r="VW41" s="18"/>
      <c r="VX41" s="18"/>
      <c r="VY41" s="18"/>
      <c r="VZ41" s="18"/>
      <c r="WA41" s="18"/>
      <c r="WB41" s="18"/>
      <c r="WC41" s="18"/>
      <c r="WD41" s="18"/>
      <c r="WE41" s="18"/>
      <c r="WF41" s="18"/>
      <c r="WG41" s="18"/>
      <c r="WH41" s="18"/>
      <c r="WI41" s="18"/>
      <c r="WJ41" s="18"/>
      <c r="WK41" s="18"/>
      <c r="WL41" s="18"/>
      <c r="WM41" s="18"/>
      <c r="WN41" s="18"/>
      <c r="WO41" s="18"/>
      <c r="WP41" s="18"/>
      <c r="WQ41" s="18"/>
      <c r="WR41" s="18"/>
      <c r="WS41" s="18"/>
      <c r="WT41" s="18"/>
      <c r="WU41" s="18"/>
      <c r="WV41" s="18"/>
      <c r="WW41" s="18"/>
      <c r="WX41" s="18"/>
      <c r="WY41" s="18"/>
      <c r="WZ41" s="18"/>
      <c r="XA41" s="18"/>
      <c r="XB41" s="18"/>
      <c r="XC41" s="18"/>
      <c r="XD41" s="18"/>
      <c r="XE41" s="18"/>
      <c r="XF41" s="18"/>
      <c r="XG41" s="18"/>
      <c r="XH41" s="18"/>
      <c r="XI41" s="18"/>
      <c r="XJ41" s="18"/>
      <c r="XK41" s="18"/>
      <c r="XL41" s="18"/>
      <c r="XM41" s="18"/>
      <c r="XN41" s="18"/>
      <c r="XO41" s="18"/>
      <c r="XP41" s="18"/>
      <c r="XQ41" s="18"/>
      <c r="XR41" s="18"/>
      <c r="XS41" s="18"/>
      <c r="XT41" s="18"/>
      <c r="XU41" s="18"/>
      <c r="XV41" s="18"/>
      <c r="XW41" s="18"/>
      <c r="XX41" s="18"/>
      <c r="XY41" s="18"/>
      <c r="XZ41" s="18"/>
      <c r="YA41" s="18"/>
      <c r="YB41" s="18"/>
      <c r="YC41" s="18"/>
      <c r="YD41" s="18"/>
      <c r="YE41" s="18"/>
      <c r="YF41" s="18"/>
      <c r="YG41" s="18"/>
      <c r="YH41" s="18"/>
      <c r="YI41" s="18"/>
      <c r="YJ41" s="18"/>
      <c r="YK41" s="18"/>
      <c r="YL41" s="18"/>
      <c r="YM41" s="18"/>
      <c r="YN41" s="18"/>
      <c r="YO41" s="18"/>
      <c r="YP41" s="18"/>
      <c r="YQ41" s="18"/>
      <c r="YR41" s="18"/>
      <c r="YS41" s="18"/>
      <c r="YT41" s="18"/>
      <c r="YU41" s="18"/>
      <c r="YV41" s="18"/>
      <c r="YW41" s="18"/>
      <c r="YX41" s="18"/>
      <c r="YY41" s="18"/>
      <c r="YZ41" s="18"/>
      <c r="ZA41" s="18"/>
      <c r="ZB41" s="18"/>
      <c r="ZC41" s="18"/>
      <c r="ZD41" s="18"/>
      <c r="ZE41" s="18"/>
      <c r="ZF41" s="18"/>
      <c r="ZG41" s="18"/>
      <c r="ZH41" s="18"/>
      <c r="ZI41" s="18"/>
      <c r="ZJ41" s="18"/>
      <c r="ZK41" s="18"/>
      <c r="ZL41" s="18"/>
      <c r="ZM41" s="18"/>
      <c r="ZN41" s="18"/>
      <c r="ZO41" s="18"/>
      <c r="ZP41" s="18"/>
      <c r="ZQ41" s="18"/>
      <c r="ZR41" s="18"/>
      <c r="ZS41" s="18"/>
      <c r="ZT41" s="18"/>
      <c r="ZU41" s="18"/>
      <c r="ZV41" s="18"/>
      <c r="ZW41" s="18"/>
      <c r="ZX41" s="18"/>
      <c r="ZY41" s="18"/>
      <c r="ZZ41" s="18"/>
      <c r="AAA41" s="18"/>
      <c r="AAB41" s="18"/>
      <c r="AAC41" s="18"/>
      <c r="AAD41" s="18"/>
      <c r="AAE41" s="18"/>
      <c r="AAF41" s="18"/>
      <c r="AAG41" s="18"/>
      <c r="AAH41" s="18"/>
      <c r="AAI41" s="18"/>
      <c r="AAJ41" s="18"/>
      <c r="AAK41" s="18"/>
      <c r="AAL41" s="18"/>
      <c r="AAM41" s="18"/>
      <c r="AAN41" s="18"/>
      <c r="AAO41" s="18"/>
      <c r="AAP41" s="18"/>
      <c r="AAQ41" s="18"/>
      <c r="AAR41" s="18"/>
      <c r="AAS41" s="18"/>
      <c r="AAT41" s="18"/>
      <c r="AAU41" s="18"/>
      <c r="AAV41" s="18"/>
      <c r="AAW41" s="18"/>
      <c r="AAX41" s="18"/>
      <c r="AAY41" s="18"/>
      <c r="AAZ41" s="18"/>
      <c r="ABA41" s="18"/>
      <c r="ABB41" s="18"/>
      <c r="ABC41" s="18"/>
      <c r="ABD41" s="18"/>
      <c r="ABE41" s="18"/>
      <c r="ABF41" s="18"/>
      <c r="ABG41" s="18"/>
      <c r="ABH41" s="18"/>
      <c r="ABI41" s="18"/>
      <c r="ABJ41" s="18"/>
      <c r="ABK41" s="18"/>
      <c r="ABL41" s="18"/>
      <c r="ABM41" s="18"/>
      <c r="ABN41" s="18"/>
      <c r="ABO41" s="18"/>
      <c r="ABP41" s="18"/>
      <c r="ABQ41" s="18"/>
      <c r="ABR41" s="18"/>
      <c r="ABS41" s="18"/>
      <c r="ABT41" s="18"/>
      <c r="ABU41" s="18"/>
      <c r="ABV41" s="18"/>
      <c r="ABW41" s="18"/>
      <c r="ABX41" s="18"/>
      <c r="ABY41" s="18"/>
      <c r="ABZ41" s="18"/>
      <c r="ACA41" s="18"/>
      <c r="ACB41" s="18"/>
      <c r="ACC41" s="18"/>
      <c r="ACD41" s="18"/>
      <c r="ACE41" s="18"/>
      <c r="ACF41" s="18"/>
      <c r="ACG41" s="18"/>
      <c r="ACH41" s="18"/>
      <c r="ACI41" s="18"/>
      <c r="ACJ41" s="18"/>
      <c r="ACK41" s="18"/>
      <c r="ACL41" s="18"/>
      <c r="ACM41" s="18"/>
      <c r="ACN41" s="18"/>
      <c r="ACO41" s="18"/>
      <c r="ACP41" s="18"/>
      <c r="ACQ41" s="18"/>
      <c r="ACR41" s="18"/>
      <c r="ACS41" s="18"/>
      <c r="ACT41" s="18"/>
      <c r="ACU41" s="18"/>
      <c r="ACV41" s="18"/>
      <c r="ACW41" s="18"/>
      <c r="ACX41" s="18"/>
      <c r="ACY41" s="18"/>
      <c r="ACZ41" s="18"/>
      <c r="ADA41" s="18"/>
      <c r="ADB41" s="18"/>
      <c r="ADC41" s="18"/>
      <c r="ADD41" s="18"/>
      <c r="ADE41" s="18"/>
      <c r="ADF41" s="18"/>
      <c r="ADG41" s="18"/>
      <c r="ADH41" s="18"/>
      <c r="ADI41" s="18"/>
      <c r="ADJ41" s="18"/>
      <c r="ADK41" s="18"/>
      <c r="ADL41" s="18"/>
      <c r="ADM41" s="18"/>
      <c r="ADN41" s="18"/>
      <c r="ADO41" s="18"/>
      <c r="ADP41" s="18"/>
      <c r="ADQ41" s="18"/>
      <c r="ADR41" s="18"/>
      <c r="ADS41" s="18"/>
      <c r="ADT41" s="18"/>
      <c r="ADU41" s="18"/>
      <c r="ADV41" s="18"/>
      <c r="ADW41" s="18"/>
      <c r="ADX41" s="18"/>
      <c r="ADY41" s="18"/>
      <c r="ADZ41" s="18"/>
      <c r="AEA41" s="18"/>
      <c r="AEB41" s="18"/>
      <c r="AEC41" s="18"/>
      <c r="AED41" s="18"/>
      <c r="AEE41" s="18"/>
      <c r="AEF41" s="18"/>
      <c r="AEG41" s="18"/>
      <c r="AEH41" s="18"/>
      <c r="AEI41" s="18"/>
      <c r="AEJ41" s="18"/>
      <c r="AEK41" s="18"/>
      <c r="AEL41" s="18"/>
      <c r="AEM41" s="18"/>
      <c r="AEN41" s="18"/>
      <c r="AEO41" s="18"/>
      <c r="AEP41" s="18"/>
      <c r="AEQ41" s="18"/>
      <c r="AER41" s="18"/>
      <c r="AES41" s="18"/>
      <c r="AET41" s="18"/>
      <c r="AEU41" s="18"/>
      <c r="AEV41" s="18"/>
      <c r="AEW41" s="18"/>
      <c r="AEX41" s="18"/>
      <c r="AEY41" s="18"/>
      <c r="AEZ41" s="18"/>
      <c r="AFA41" s="18"/>
      <c r="AFB41" s="18"/>
      <c r="AFC41" s="18"/>
      <c r="AFD41" s="18"/>
      <c r="AFE41" s="18"/>
      <c r="AFF41" s="18"/>
      <c r="AFG41" s="18"/>
      <c r="AFH41" s="18"/>
      <c r="AFI41" s="18"/>
      <c r="AFJ41" s="18"/>
      <c r="AFK41" s="18"/>
      <c r="AFL41" s="18"/>
      <c r="AFM41" s="18"/>
      <c r="AFN41" s="18"/>
      <c r="AFO41" s="18"/>
      <c r="AFP41" s="18"/>
      <c r="AFQ41" s="18"/>
      <c r="AFR41" s="18"/>
      <c r="AFS41" s="18"/>
      <c r="AFT41" s="18"/>
      <c r="AFU41" s="18"/>
      <c r="AFV41" s="18"/>
      <c r="AFW41" s="18"/>
      <c r="AFX41" s="18"/>
      <c r="AFY41" s="18"/>
      <c r="AFZ41" s="18"/>
      <c r="AGA41" s="18"/>
      <c r="AGB41" s="18"/>
      <c r="AGC41" s="18"/>
      <c r="AGD41" s="18"/>
      <c r="AGE41" s="18"/>
      <c r="AGF41" s="18"/>
      <c r="AGG41" s="18"/>
      <c r="AGH41" s="18"/>
      <c r="AGI41" s="18"/>
      <c r="AGJ41" s="18"/>
      <c r="AGK41" s="18"/>
      <c r="AGL41" s="18"/>
      <c r="AGM41" s="18"/>
      <c r="AGN41" s="18"/>
      <c r="AGO41" s="18"/>
      <c r="AGP41" s="18"/>
      <c r="AGQ41" s="18"/>
      <c r="AGR41" s="18"/>
      <c r="AGS41" s="18"/>
      <c r="AGT41" s="18"/>
      <c r="AGU41" s="18"/>
      <c r="AGV41" s="18"/>
      <c r="AGW41" s="18"/>
      <c r="AGX41" s="18"/>
      <c r="AGY41" s="18"/>
      <c r="AGZ41" s="18"/>
      <c r="AHA41" s="18"/>
      <c r="AHB41" s="18"/>
      <c r="AHC41" s="18"/>
      <c r="AHD41" s="18"/>
      <c r="AHE41" s="18"/>
      <c r="AHF41" s="18"/>
      <c r="AHG41" s="18"/>
      <c r="AHH41" s="18"/>
      <c r="AHI41" s="18"/>
      <c r="AHJ41" s="18"/>
      <c r="AHK41" s="18"/>
      <c r="AHL41" s="18"/>
      <c r="AHM41" s="18"/>
      <c r="AHN41" s="18"/>
      <c r="AHO41" s="18"/>
      <c r="AHP41" s="18"/>
      <c r="AHQ41" s="18"/>
      <c r="AHR41" s="18"/>
      <c r="AHS41" s="18"/>
      <c r="AHT41" s="18"/>
      <c r="AHU41" s="18"/>
      <c r="AHV41" s="18"/>
      <c r="AHW41" s="18"/>
      <c r="AHX41" s="18"/>
      <c r="AHY41" s="18"/>
      <c r="AHZ41" s="18"/>
      <c r="AIA41" s="18"/>
      <c r="AIB41" s="18"/>
      <c r="AIC41" s="18"/>
      <c r="AID41" s="18"/>
      <c r="AIE41" s="18"/>
      <c r="AIF41" s="18"/>
      <c r="AIG41" s="18"/>
      <c r="AIH41" s="18"/>
      <c r="AII41" s="18"/>
      <c r="AIJ41" s="18"/>
      <c r="AIK41" s="18"/>
      <c r="AIL41" s="18"/>
      <c r="AIM41" s="18"/>
      <c r="AIN41" s="18"/>
      <c r="AIO41" s="18"/>
      <c r="AIP41" s="18"/>
      <c r="AIQ41" s="18"/>
      <c r="AIR41" s="18"/>
      <c r="AIS41" s="18"/>
      <c r="AIT41" s="18"/>
      <c r="AIU41" s="18"/>
      <c r="AIV41" s="18"/>
      <c r="AIW41" s="18"/>
      <c r="AIX41" s="18"/>
      <c r="AIY41" s="18"/>
      <c r="AIZ41" s="18"/>
      <c r="AJA41" s="18"/>
      <c r="AJB41" s="18"/>
      <c r="AJC41" s="18"/>
      <c r="AJD41" s="18"/>
      <c r="AJE41" s="18"/>
      <c r="AJF41" s="18"/>
      <c r="AJG41" s="18"/>
      <c r="AJH41" s="18"/>
      <c r="AJI41" s="18"/>
      <c r="AJJ41" s="18"/>
      <c r="AJK41" s="18"/>
      <c r="AJL41" s="18"/>
      <c r="AJM41" s="18"/>
      <c r="AJN41" s="18"/>
      <c r="AJO41" s="18"/>
      <c r="AJP41" s="18"/>
      <c r="AJQ41" s="18"/>
      <c r="AJR41" s="18"/>
      <c r="AJS41" s="18"/>
      <c r="AJT41" s="18"/>
      <c r="AJU41" s="18"/>
      <c r="AJV41" s="18"/>
      <c r="AJW41" s="18"/>
      <c r="AJX41" s="18"/>
      <c r="AJY41" s="18"/>
      <c r="AJZ41" s="18"/>
      <c r="AKA41" s="18"/>
      <c r="AKB41" s="18"/>
      <c r="AKC41" s="18"/>
      <c r="AKD41" s="18"/>
      <c r="AKE41" s="18"/>
      <c r="AKF41" s="18"/>
      <c r="AKG41" s="18"/>
      <c r="AKH41" s="18"/>
      <c r="AKI41" s="18"/>
      <c r="AKJ41" s="18"/>
      <c r="AKK41" s="18"/>
      <c r="AKL41" s="18"/>
      <c r="AKM41" s="18"/>
      <c r="AKN41" s="18"/>
      <c r="AKO41" s="18"/>
      <c r="AKP41" s="18"/>
      <c r="AKQ41" s="18"/>
      <c r="AKR41" s="18"/>
      <c r="AKS41" s="18"/>
      <c r="AKT41" s="18"/>
      <c r="AKU41" s="18"/>
      <c r="AKV41" s="18"/>
      <c r="AKW41" s="18"/>
      <c r="AKX41" s="18"/>
      <c r="AKY41" s="18"/>
      <c r="AKZ41" s="18"/>
      <c r="ALA41" s="18"/>
      <c r="ALB41" s="18"/>
      <c r="ALC41" s="18"/>
      <c r="ALD41" s="18"/>
      <c r="ALE41" s="18"/>
      <c r="ALF41" s="18"/>
      <c r="ALG41" s="18"/>
      <c r="ALH41" s="18"/>
      <c r="ALI41" s="18"/>
      <c r="ALJ41" s="18"/>
      <c r="ALK41" s="18"/>
      <c r="ALL41" s="18"/>
      <c r="ALM41" s="18"/>
      <c r="ALN41" s="18"/>
      <c r="ALO41" s="18"/>
      <c r="ALP41" s="18"/>
      <c r="ALQ41" s="18"/>
      <c r="ALR41" s="18"/>
      <c r="ALS41" s="18"/>
      <c r="ALT41" s="18"/>
    </row>
    <row r="42" spans="1:1008" ht="24">
      <c r="A42" s="251" t="s">
        <v>7</v>
      </c>
      <c r="B42" s="290">
        <v>86906</v>
      </c>
      <c r="C42" s="278" t="str">
        <f>(IF($A42="SINAPI",INDEX(SINAPI_NOV2020_NDES!$A$7:$H$6703,MATCH($B42,SINAPI_NOV2020_NDES!$A$7:$A$6703,0),2),IF($A42="GOINFRA",INDEX(#REF!,MATCH($B42,#REF!,0),2),(INDEX(COMPOS!$A$4:$G$390,MATCH($B42,COMPOS!$A$4:A$390,0),2)))))</f>
        <v>TORNEIRA CROMADA DE MESA, 1/2 OU 3/4, PARA LAVATÓRIO, PADRÃO POPULAR - FORNECIMENTO E INSTALAÇÃO. AF_01/2020</v>
      </c>
      <c r="D42" s="274" t="str">
        <f>(IF($A42="SINAPI",INDEX(SINAPI_NOV2020_NDES!$A$7:$H$6790,MATCH($B42,SINAPI_NOV2020_NDES!$A$7:$A$6790,0),3),(INDEX(COMPOS!$A$4:$G$5000,MATCH($B42,COMPOS!$A$4:$A$5000,0),3))))</f>
        <v>UN</v>
      </c>
      <c r="E42" s="314">
        <v>10</v>
      </c>
      <c r="F42" s="279">
        <f>(IF($A42="SINAPI",INDEX(SINAPI_NOV2020_NDES!$A$7:$H$6703,MATCH($B42,SINAPI_NOV2020_NDES!$A$7:$A$6703,0),5),(INDEX(COMPOS!$A$4:$G$801,MATCH($B42,COMPOS!$A$4:A$801,0),4))))</f>
        <v>1.94</v>
      </c>
      <c r="G42" s="280">
        <f>(IF($A42="SINAPI",INDEX(SINAPI_NOV2020_NDES!$A$7:$H$6703,MATCH($B42,SINAPI_NOV2020_NDES!$A$7:$A$6703,0),6),(INDEX(COMPOS!$A$4:$G$801,MATCH($B42,COMPOS!$A$4:A$801,0),5))))</f>
        <v>41.22</v>
      </c>
      <c r="H42" s="280">
        <f>(IF($A42="SINAPI",INDEX(SINAPI_NOV2020_NDES!$A$7:$H$6703,MATCH($B42,SINAPI_NOV2020_NDES!$A$7:$A$6703,0),7),(INDEX(COMPOS!$A$4:$G$801,MATCH($B42,COMPOS!$A$4:A$801,0),6))))</f>
        <v>0</v>
      </c>
      <c r="I42" s="279">
        <f t="shared" si="12"/>
        <v>43.16</v>
      </c>
      <c r="J42" s="276">
        <f t="shared" si="13"/>
        <v>431.59999999999997</v>
      </c>
      <c r="K42" s="191"/>
      <c r="L42" s="191"/>
      <c r="M42" s="191"/>
      <c r="N42" s="191"/>
      <c r="O42" s="262"/>
      <c r="P42" s="263"/>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c r="GX42" s="18"/>
      <c r="GY42" s="18"/>
      <c r="GZ42" s="18"/>
      <c r="HA42" s="18"/>
      <c r="HB42" s="18"/>
      <c r="HC42" s="18"/>
      <c r="HD42" s="18"/>
      <c r="HE42" s="18"/>
      <c r="HF42" s="18"/>
      <c r="HG42" s="18"/>
      <c r="HH42" s="18"/>
      <c r="HI42" s="18"/>
      <c r="HJ42" s="18"/>
      <c r="HK42" s="18"/>
      <c r="HL42" s="18"/>
      <c r="HM42" s="18"/>
      <c r="HN42" s="18"/>
      <c r="HO42" s="18"/>
      <c r="HP42" s="18"/>
      <c r="HQ42" s="18"/>
      <c r="HR42" s="18"/>
      <c r="HS42" s="18"/>
      <c r="HT42" s="18"/>
      <c r="HU42" s="18"/>
      <c r="HV42" s="18"/>
      <c r="HW42" s="18"/>
      <c r="HX42" s="18"/>
      <c r="HY42" s="18"/>
      <c r="HZ42" s="18"/>
      <c r="IA42" s="18"/>
      <c r="IB42" s="18"/>
      <c r="IC42" s="18"/>
      <c r="ID42" s="18"/>
      <c r="IE42" s="18"/>
      <c r="IF42" s="18"/>
      <c r="IG42" s="18"/>
      <c r="IH42" s="18"/>
      <c r="II42" s="18"/>
      <c r="IJ42" s="18"/>
      <c r="IK42" s="18"/>
      <c r="IL42" s="18"/>
      <c r="IM42" s="18"/>
      <c r="IN42" s="18"/>
      <c r="IO42" s="18"/>
      <c r="IP42" s="18"/>
      <c r="IQ42" s="18"/>
      <c r="IR42" s="18"/>
      <c r="IS42" s="18"/>
      <c r="IT42" s="18"/>
      <c r="IU42" s="18"/>
      <c r="IV42" s="18"/>
      <c r="IW42" s="18"/>
      <c r="IX42" s="18"/>
      <c r="IY42" s="18"/>
      <c r="IZ42" s="18"/>
      <c r="JA42" s="18"/>
      <c r="JB42" s="18"/>
      <c r="JC42" s="18"/>
      <c r="JD42" s="18"/>
      <c r="JE42" s="18"/>
      <c r="JF42" s="18"/>
      <c r="JG42" s="18"/>
      <c r="JH42" s="18"/>
      <c r="JI42" s="18"/>
      <c r="JJ42" s="18"/>
      <c r="JK42" s="18"/>
      <c r="JL42" s="18"/>
      <c r="JM42" s="18"/>
      <c r="JN42" s="18"/>
      <c r="JO42" s="18"/>
      <c r="JP42" s="18"/>
      <c r="JQ42" s="18"/>
      <c r="JR42" s="18"/>
      <c r="JS42" s="18"/>
      <c r="JT42" s="18"/>
      <c r="JU42" s="18"/>
      <c r="JV42" s="18"/>
      <c r="JW42" s="18"/>
      <c r="JX42" s="18"/>
      <c r="JY42" s="18"/>
      <c r="JZ42" s="18"/>
      <c r="KA42" s="18"/>
      <c r="KB42" s="18"/>
      <c r="KC42" s="18"/>
      <c r="KD42" s="18"/>
      <c r="KE42" s="18"/>
      <c r="KF42" s="18"/>
      <c r="KG42" s="18"/>
      <c r="KH42" s="18"/>
      <c r="KI42" s="18"/>
      <c r="KJ42" s="18"/>
      <c r="KK42" s="18"/>
      <c r="KL42" s="18"/>
      <c r="KM42" s="18"/>
      <c r="KN42" s="18"/>
      <c r="KO42" s="18"/>
      <c r="KP42" s="18"/>
      <c r="KQ42" s="18"/>
      <c r="KR42" s="18"/>
      <c r="KS42" s="18"/>
      <c r="KT42" s="18"/>
      <c r="KU42" s="18"/>
      <c r="KV42" s="18"/>
      <c r="KW42" s="18"/>
      <c r="KX42" s="18"/>
      <c r="KY42" s="18"/>
      <c r="KZ42" s="18"/>
      <c r="LA42" s="18"/>
      <c r="LB42" s="18"/>
      <c r="LC42" s="18"/>
      <c r="LD42" s="18"/>
      <c r="LE42" s="18"/>
      <c r="LF42" s="18"/>
      <c r="LG42" s="18"/>
      <c r="LH42" s="18"/>
      <c r="LI42" s="18"/>
      <c r="LJ42" s="18"/>
      <c r="LK42" s="18"/>
      <c r="LL42" s="18"/>
      <c r="LM42" s="18"/>
      <c r="LN42" s="18"/>
      <c r="LO42" s="18"/>
      <c r="LP42" s="18"/>
      <c r="LQ42" s="18"/>
      <c r="LR42" s="18"/>
      <c r="LS42" s="18"/>
      <c r="LT42" s="18"/>
      <c r="LU42" s="18"/>
      <c r="LV42" s="18"/>
      <c r="LW42" s="18"/>
      <c r="LX42" s="18"/>
      <c r="LY42" s="18"/>
      <c r="LZ42" s="18"/>
      <c r="MA42" s="18"/>
      <c r="MB42" s="18"/>
      <c r="MC42" s="18"/>
      <c r="MD42" s="18"/>
      <c r="ME42" s="18"/>
      <c r="MF42" s="18"/>
      <c r="MG42" s="18"/>
      <c r="MH42" s="18"/>
      <c r="MI42" s="18"/>
      <c r="MJ42" s="18"/>
      <c r="MK42" s="18"/>
      <c r="ML42" s="18"/>
      <c r="MM42" s="18"/>
      <c r="MN42" s="18"/>
      <c r="MO42" s="18"/>
      <c r="MP42" s="18"/>
      <c r="MQ42" s="18"/>
      <c r="MR42" s="18"/>
      <c r="MS42" s="18"/>
      <c r="MT42" s="18"/>
      <c r="MU42" s="18"/>
      <c r="MV42" s="18"/>
      <c r="MW42" s="18"/>
      <c r="MX42" s="18"/>
      <c r="MY42" s="18"/>
      <c r="MZ42" s="18"/>
      <c r="NA42" s="18"/>
      <c r="NB42" s="18"/>
      <c r="NC42" s="18"/>
      <c r="ND42" s="18"/>
      <c r="NE42" s="18"/>
      <c r="NF42" s="18"/>
      <c r="NG42" s="18"/>
      <c r="NH42" s="18"/>
      <c r="NI42" s="18"/>
      <c r="NJ42" s="18"/>
      <c r="NK42" s="18"/>
      <c r="NL42" s="18"/>
      <c r="NM42" s="18"/>
      <c r="NN42" s="18"/>
      <c r="NO42" s="18"/>
      <c r="NP42" s="18"/>
      <c r="NQ42" s="18"/>
      <c r="NR42" s="18"/>
      <c r="NS42" s="18"/>
      <c r="NT42" s="18"/>
      <c r="NU42" s="18"/>
      <c r="NV42" s="18"/>
      <c r="NW42" s="18"/>
      <c r="NX42" s="18"/>
      <c r="NY42" s="18"/>
      <c r="NZ42" s="18"/>
      <c r="OA42" s="18"/>
      <c r="OB42" s="18"/>
      <c r="OC42" s="18"/>
      <c r="OD42" s="18"/>
      <c r="OE42" s="18"/>
      <c r="OF42" s="18"/>
      <c r="OG42" s="18"/>
      <c r="OH42" s="18"/>
      <c r="OI42" s="18"/>
      <c r="OJ42" s="18"/>
      <c r="OK42" s="18"/>
      <c r="OL42" s="18"/>
      <c r="OM42" s="18"/>
      <c r="ON42" s="18"/>
      <c r="OO42" s="18"/>
      <c r="OP42" s="18"/>
      <c r="OQ42" s="18"/>
      <c r="OR42" s="18"/>
      <c r="OS42" s="18"/>
      <c r="OT42" s="18"/>
      <c r="OU42" s="18"/>
      <c r="OV42" s="18"/>
      <c r="OW42" s="18"/>
      <c r="OX42" s="18"/>
      <c r="OY42" s="18"/>
      <c r="OZ42" s="18"/>
      <c r="PA42" s="18"/>
      <c r="PB42" s="18"/>
      <c r="PC42" s="18"/>
      <c r="PD42" s="18"/>
      <c r="PE42" s="18"/>
      <c r="PF42" s="18"/>
      <c r="PG42" s="18"/>
      <c r="PH42" s="18"/>
      <c r="PI42" s="18"/>
      <c r="PJ42" s="18"/>
      <c r="PK42" s="18"/>
      <c r="PL42" s="18"/>
      <c r="PM42" s="18"/>
      <c r="PN42" s="18"/>
      <c r="PO42" s="18"/>
      <c r="PP42" s="18"/>
      <c r="PQ42" s="18"/>
      <c r="PR42" s="18"/>
      <c r="PS42" s="18"/>
      <c r="PT42" s="18"/>
      <c r="PU42" s="18"/>
      <c r="PV42" s="18"/>
      <c r="PW42" s="18"/>
      <c r="PX42" s="18"/>
      <c r="PY42" s="18"/>
      <c r="PZ42" s="18"/>
      <c r="QA42" s="18"/>
      <c r="QB42" s="18"/>
      <c r="QC42" s="18"/>
      <c r="QD42" s="18"/>
      <c r="QE42" s="18"/>
      <c r="QF42" s="18"/>
      <c r="QG42" s="18"/>
      <c r="QH42" s="18"/>
      <c r="QI42" s="18"/>
      <c r="QJ42" s="18"/>
      <c r="QK42" s="18"/>
      <c r="QL42" s="18"/>
      <c r="QM42" s="18"/>
      <c r="QN42" s="18"/>
      <c r="QO42" s="18"/>
      <c r="QP42" s="18"/>
      <c r="QQ42" s="18"/>
      <c r="QR42" s="18"/>
      <c r="QS42" s="18"/>
      <c r="QT42" s="18"/>
      <c r="QU42" s="18"/>
      <c r="QV42" s="18"/>
      <c r="QW42" s="18"/>
      <c r="QX42" s="18"/>
      <c r="QY42" s="18"/>
      <c r="QZ42" s="18"/>
      <c r="RA42" s="18"/>
      <c r="RB42" s="18"/>
      <c r="RC42" s="18"/>
      <c r="RD42" s="18"/>
      <c r="RE42" s="18"/>
      <c r="RF42" s="18"/>
      <c r="RG42" s="18"/>
      <c r="RH42" s="18"/>
      <c r="RI42" s="18"/>
      <c r="RJ42" s="18"/>
      <c r="RK42" s="18"/>
      <c r="RL42" s="18"/>
      <c r="RM42" s="18"/>
      <c r="RN42" s="18"/>
      <c r="RO42" s="18"/>
      <c r="RP42" s="18"/>
      <c r="RQ42" s="18"/>
      <c r="RR42" s="18"/>
      <c r="RS42" s="18"/>
      <c r="RT42" s="18"/>
      <c r="RU42" s="18"/>
      <c r="RV42" s="18"/>
      <c r="RW42" s="18"/>
      <c r="RX42" s="18"/>
      <c r="RY42" s="18"/>
      <c r="RZ42" s="18"/>
      <c r="SA42" s="18"/>
      <c r="SB42" s="18"/>
      <c r="SC42" s="18"/>
      <c r="SD42" s="18"/>
      <c r="SE42" s="18"/>
      <c r="SF42" s="18"/>
      <c r="SG42" s="18"/>
      <c r="SH42" s="18"/>
      <c r="SI42" s="18"/>
      <c r="SJ42" s="18"/>
      <c r="SK42" s="18"/>
      <c r="SL42" s="18"/>
      <c r="SM42" s="18"/>
      <c r="SN42" s="18"/>
      <c r="SO42" s="18"/>
      <c r="SP42" s="18"/>
      <c r="SQ42" s="18"/>
      <c r="SR42" s="18"/>
      <c r="SS42" s="18"/>
      <c r="ST42" s="18"/>
      <c r="SU42" s="18"/>
      <c r="SV42" s="18"/>
      <c r="SW42" s="18"/>
      <c r="SX42" s="18"/>
      <c r="SY42" s="18"/>
      <c r="SZ42" s="18"/>
      <c r="TA42" s="18"/>
      <c r="TB42" s="18"/>
      <c r="TC42" s="18"/>
      <c r="TD42" s="18"/>
      <c r="TE42" s="18"/>
      <c r="TF42" s="18"/>
      <c r="TG42" s="18"/>
      <c r="TH42" s="18"/>
      <c r="TI42" s="18"/>
      <c r="TJ42" s="18"/>
      <c r="TK42" s="18"/>
      <c r="TL42" s="18"/>
      <c r="TM42" s="18"/>
      <c r="TN42" s="18"/>
      <c r="TO42" s="18"/>
      <c r="TP42" s="18"/>
      <c r="TQ42" s="18"/>
      <c r="TR42" s="18"/>
      <c r="TS42" s="18"/>
      <c r="TT42" s="18"/>
      <c r="TU42" s="18"/>
      <c r="TV42" s="18"/>
      <c r="TW42" s="18"/>
      <c r="TX42" s="18"/>
      <c r="TY42" s="18"/>
      <c r="TZ42" s="18"/>
      <c r="UA42" s="18"/>
      <c r="UB42" s="18"/>
      <c r="UC42" s="18"/>
      <c r="UD42" s="18"/>
      <c r="UE42" s="18"/>
      <c r="UF42" s="18"/>
      <c r="UG42" s="18"/>
      <c r="UH42" s="18"/>
      <c r="UI42" s="18"/>
      <c r="UJ42" s="18"/>
      <c r="UK42" s="18"/>
      <c r="UL42" s="18"/>
      <c r="UM42" s="18"/>
      <c r="UN42" s="18"/>
      <c r="UO42" s="18"/>
      <c r="UP42" s="18"/>
      <c r="UQ42" s="18"/>
      <c r="UR42" s="18"/>
      <c r="US42" s="18"/>
      <c r="UT42" s="18"/>
      <c r="UU42" s="18"/>
      <c r="UV42" s="18"/>
      <c r="UW42" s="18"/>
      <c r="UX42" s="18"/>
      <c r="UY42" s="18"/>
      <c r="UZ42" s="18"/>
      <c r="VA42" s="18"/>
      <c r="VB42" s="18"/>
      <c r="VC42" s="18"/>
      <c r="VD42" s="18"/>
      <c r="VE42" s="18"/>
      <c r="VF42" s="18"/>
      <c r="VG42" s="18"/>
      <c r="VH42" s="18"/>
      <c r="VI42" s="18"/>
      <c r="VJ42" s="18"/>
      <c r="VK42" s="18"/>
      <c r="VL42" s="18"/>
      <c r="VM42" s="18"/>
      <c r="VN42" s="18"/>
      <c r="VO42" s="18"/>
      <c r="VP42" s="18"/>
      <c r="VQ42" s="18"/>
      <c r="VR42" s="18"/>
      <c r="VS42" s="18"/>
      <c r="VT42" s="18"/>
      <c r="VU42" s="18"/>
      <c r="VV42" s="18"/>
      <c r="VW42" s="18"/>
      <c r="VX42" s="18"/>
      <c r="VY42" s="18"/>
      <c r="VZ42" s="18"/>
      <c r="WA42" s="18"/>
      <c r="WB42" s="18"/>
      <c r="WC42" s="18"/>
      <c r="WD42" s="18"/>
      <c r="WE42" s="18"/>
      <c r="WF42" s="18"/>
      <c r="WG42" s="18"/>
      <c r="WH42" s="18"/>
      <c r="WI42" s="18"/>
      <c r="WJ42" s="18"/>
      <c r="WK42" s="18"/>
      <c r="WL42" s="18"/>
      <c r="WM42" s="18"/>
      <c r="WN42" s="18"/>
      <c r="WO42" s="18"/>
      <c r="WP42" s="18"/>
      <c r="WQ42" s="18"/>
      <c r="WR42" s="18"/>
      <c r="WS42" s="18"/>
      <c r="WT42" s="18"/>
      <c r="WU42" s="18"/>
      <c r="WV42" s="18"/>
      <c r="WW42" s="18"/>
      <c r="WX42" s="18"/>
      <c r="WY42" s="18"/>
      <c r="WZ42" s="18"/>
      <c r="XA42" s="18"/>
      <c r="XB42" s="18"/>
      <c r="XC42" s="18"/>
      <c r="XD42" s="18"/>
      <c r="XE42" s="18"/>
      <c r="XF42" s="18"/>
      <c r="XG42" s="18"/>
      <c r="XH42" s="18"/>
      <c r="XI42" s="18"/>
      <c r="XJ42" s="18"/>
      <c r="XK42" s="18"/>
      <c r="XL42" s="18"/>
      <c r="XM42" s="18"/>
      <c r="XN42" s="18"/>
      <c r="XO42" s="18"/>
      <c r="XP42" s="18"/>
      <c r="XQ42" s="18"/>
      <c r="XR42" s="18"/>
      <c r="XS42" s="18"/>
      <c r="XT42" s="18"/>
      <c r="XU42" s="18"/>
      <c r="XV42" s="18"/>
      <c r="XW42" s="18"/>
      <c r="XX42" s="18"/>
      <c r="XY42" s="18"/>
      <c r="XZ42" s="18"/>
      <c r="YA42" s="18"/>
      <c r="YB42" s="18"/>
      <c r="YC42" s="18"/>
      <c r="YD42" s="18"/>
      <c r="YE42" s="18"/>
      <c r="YF42" s="18"/>
      <c r="YG42" s="18"/>
      <c r="YH42" s="18"/>
      <c r="YI42" s="18"/>
      <c r="YJ42" s="18"/>
      <c r="YK42" s="18"/>
      <c r="YL42" s="18"/>
      <c r="YM42" s="18"/>
      <c r="YN42" s="18"/>
      <c r="YO42" s="18"/>
      <c r="YP42" s="18"/>
      <c r="YQ42" s="18"/>
      <c r="YR42" s="18"/>
      <c r="YS42" s="18"/>
      <c r="YT42" s="18"/>
      <c r="YU42" s="18"/>
      <c r="YV42" s="18"/>
      <c r="YW42" s="18"/>
      <c r="YX42" s="18"/>
      <c r="YY42" s="18"/>
      <c r="YZ42" s="18"/>
      <c r="ZA42" s="18"/>
      <c r="ZB42" s="18"/>
      <c r="ZC42" s="18"/>
      <c r="ZD42" s="18"/>
      <c r="ZE42" s="18"/>
      <c r="ZF42" s="18"/>
      <c r="ZG42" s="18"/>
      <c r="ZH42" s="18"/>
      <c r="ZI42" s="18"/>
      <c r="ZJ42" s="18"/>
      <c r="ZK42" s="18"/>
      <c r="ZL42" s="18"/>
      <c r="ZM42" s="18"/>
      <c r="ZN42" s="18"/>
      <c r="ZO42" s="18"/>
      <c r="ZP42" s="18"/>
      <c r="ZQ42" s="18"/>
      <c r="ZR42" s="18"/>
      <c r="ZS42" s="18"/>
      <c r="ZT42" s="18"/>
      <c r="ZU42" s="18"/>
      <c r="ZV42" s="18"/>
      <c r="ZW42" s="18"/>
      <c r="ZX42" s="18"/>
      <c r="ZY42" s="18"/>
      <c r="ZZ42" s="18"/>
      <c r="AAA42" s="18"/>
      <c r="AAB42" s="18"/>
      <c r="AAC42" s="18"/>
      <c r="AAD42" s="18"/>
      <c r="AAE42" s="18"/>
      <c r="AAF42" s="18"/>
      <c r="AAG42" s="18"/>
      <c r="AAH42" s="18"/>
      <c r="AAI42" s="18"/>
      <c r="AAJ42" s="18"/>
      <c r="AAK42" s="18"/>
      <c r="AAL42" s="18"/>
      <c r="AAM42" s="18"/>
      <c r="AAN42" s="18"/>
      <c r="AAO42" s="18"/>
      <c r="AAP42" s="18"/>
      <c r="AAQ42" s="18"/>
      <c r="AAR42" s="18"/>
      <c r="AAS42" s="18"/>
      <c r="AAT42" s="18"/>
      <c r="AAU42" s="18"/>
      <c r="AAV42" s="18"/>
      <c r="AAW42" s="18"/>
      <c r="AAX42" s="18"/>
      <c r="AAY42" s="18"/>
      <c r="AAZ42" s="18"/>
      <c r="ABA42" s="18"/>
      <c r="ABB42" s="18"/>
      <c r="ABC42" s="18"/>
      <c r="ABD42" s="18"/>
      <c r="ABE42" s="18"/>
      <c r="ABF42" s="18"/>
      <c r="ABG42" s="18"/>
      <c r="ABH42" s="18"/>
      <c r="ABI42" s="18"/>
      <c r="ABJ42" s="18"/>
      <c r="ABK42" s="18"/>
      <c r="ABL42" s="18"/>
      <c r="ABM42" s="18"/>
      <c r="ABN42" s="18"/>
      <c r="ABO42" s="18"/>
      <c r="ABP42" s="18"/>
      <c r="ABQ42" s="18"/>
      <c r="ABR42" s="18"/>
      <c r="ABS42" s="18"/>
      <c r="ABT42" s="18"/>
      <c r="ABU42" s="18"/>
      <c r="ABV42" s="18"/>
      <c r="ABW42" s="18"/>
      <c r="ABX42" s="18"/>
      <c r="ABY42" s="18"/>
      <c r="ABZ42" s="18"/>
      <c r="ACA42" s="18"/>
      <c r="ACB42" s="18"/>
      <c r="ACC42" s="18"/>
      <c r="ACD42" s="18"/>
      <c r="ACE42" s="18"/>
      <c r="ACF42" s="18"/>
      <c r="ACG42" s="18"/>
      <c r="ACH42" s="18"/>
      <c r="ACI42" s="18"/>
      <c r="ACJ42" s="18"/>
      <c r="ACK42" s="18"/>
      <c r="ACL42" s="18"/>
      <c r="ACM42" s="18"/>
      <c r="ACN42" s="18"/>
      <c r="ACO42" s="18"/>
      <c r="ACP42" s="18"/>
      <c r="ACQ42" s="18"/>
      <c r="ACR42" s="18"/>
      <c r="ACS42" s="18"/>
      <c r="ACT42" s="18"/>
      <c r="ACU42" s="18"/>
      <c r="ACV42" s="18"/>
      <c r="ACW42" s="18"/>
      <c r="ACX42" s="18"/>
      <c r="ACY42" s="18"/>
      <c r="ACZ42" s="18"/>
      <c r="ADA42" s="18"/>
      <c r="ADB42" s="18"/>
      <c r="ADC42" s="18"/>
      <c r="ADD42" s="18"/>
      <c r="ADE42" s="18"/>
      <c r="ADF42" s="18"/>
      <c r="ADG42" s="18"/>
      <c r="ADH42" s="18"/>
      <c r="ADI42" s="18"/>
      <c r="ADJ42" s="18"/>
      <c r="ADK42" s="18"/>
      <c r="ADL42" s="18"/>
      <c r="ADM42" s="18"/>
      <c r="ADN42" s="18"/>
      <c r="ADO42" s="18"/>
      <c r="ADP42" s="18"/>
      <c r="ADQ42" s="18"/>
      <c r="ADR42" s="18"/>
      <c r="ADS42" s="18"/>
      <c r="ADT42" s="18"/>
      <c r="ADU42" s="18"/>
      <c r="ADV42" s="18"/>
      <c r="ADW42" s="18"/>
      <c r="ADX42" s="18"/>
      <c r="ADY42" s="18"/>
      <c r="ADZ42" s="18"/>
      <c r="AEA42" s="18"/>
      <c r="AEB42" s="18"/>
      <c r="AEC42" s="18"/>
      <c r="AED42" s="18"/>
      <c r="AEE42" s="18"/>
      <c r="AEF42" s="18"/>
      <c r="AEG42" s="18"/>
      <c r="AEH42" s="18"/>
      <c r="AEI42" s="18"/>
      <c r="AEJ42" s="18"/>
      <c r="AEK42" s="18"/>
      <c r="AEL42" s="18"/>
      <c r="AEM42" s="18"/>
      <c r="AEN42" s="18"/>
      <c r="AEO42" s="18"/>
      <c r="AEP42" s="18"/>
      <c r="AEQ42" s="18"/>
      <c r="AER42" s="18"/>
      <c r="AES42" s="18"/>
      <c r="AET42" s="18"/>
      <c r="AEU42" s="18"/>
      <c r="AEV42" s="18"/>
      <c r="AEW42" s="18"/>
      <c r="AEX42" s="18"/>
      <c r="AEY42" s="18"/>
      <c r="AEZ42" s="18"/>
      <c r="AFA42" s="18"/>
      <c r="AFB42" s="18"/>
      <c r="AFC42" s="18"/>
      <c r="AFD42" s="18"/>
      <c r="AFE42" s="18"/>
      <c r="AFF42" s="18"/>
      <c r="AFG42" s="18"/>
      <c r="AFH42" s="18"/>
      <c r="AFI42" s="18"/>
      <c r="AFJ42" s="18"/>
      <c r="AFK42" s="18"/>
      <c r="AFL42" s="18"/>
      <c r="AFM42" s="18"/>
      <c r="AFN42" s="18"/>
      <c r="AFO42" s="18"/>
      <c r="AFP42" s="18"/>
      <c r="AFQ42" s="18"/>
      <c r="AFR42" s="18"/>
      <c r="AFS42" s="18"/>
      <c r="AFT42" s="18"/>
      <c r="AFU42" s="18"/>
      <c r="AFV42" s="18"/>
      <c r="AFW42" s="18"/>
      <c r="AFX42" s="18"/>
      <c r="AFY42" s="18"/>
      <c r="AFZ42" s="18"/>
      <c r="AGA42" s="18"/>
      <c r="AGB42" s="18"/>
      <c r="AGC42" s="18"/>
      <c r="AGD42" s="18"/>
      <c r="AGE42" s="18"/>
      <c r="AGF42" s="18"/>
      <c r="AGG42" s="18"/>
      <c r="AGH42" s="18"/>
      <c r="AGI42" s="18"/>
      <c r="AGJ42" s="18"/>
      <c r="AGK42" s="18"/>
      <c r="AGL42" s="18"/>
      <c r="AGM42" s="18"/>
      <c r="AGN42" s="18"/>
      <c r="AGO42" s="18"/>
      <c r="AGP42" s="18"/>
      <c r="AGQ42" s="18"/>
      <c r="AGR42" s="18"/>
      <c r="AGS42" s="18"/>
      <c r="AGT42" s="18"/>
      <c r="AGU42" s="18"/>
      <c r="AGV42" s="18"/>
      <c r="AGW42" s="18"/>
      <c r="AGX42" s="18"/>
      <c r="AGY42" s="18"/>
      <c r="AGZ42" s="18"/>
      <c r="AHA42" s="18"/>
      <c r="AHB42" s="18"/>
      <c r="AHC42" s="18"/>
      <c r="AHD42" s="18"/>
      <c r="AHE42" s="18"/>
      <c r="AHF42" s="18"/>
      <c r="AHG42" s="18"/>
      <c r="AHH42" s="18"/>
      <c r="AHI42" s="18"/>
      <c r="AHJ42" s="18"/>
      <c r="AHK42" s="18"/>
      <c r="AHL42" s="18"/>
      <c r="AHM42" s="18"/>
      <c r="AHN42" s="18"/>
      <c r="AHO42" s="18"/>
      <c r="AHP42" s="18"/>
      <c r="AHQ42" s="18"/>
      <c r="AHR42" s="18"/>
      <c r="AHS42" s="18"/>
      <c r="AHT42" s="18"/>
      <c r="AHU42" s="18"/>
      <c r="AHV42" s="18"/>
      <c r="AHW42" s="18"/>
      <c r="AHX42" s="18"/>
      <c r="AHY42" s="18"/>
      <c r="AHZ42" s="18"/>
      <c r="AIA42" s="18"/>
      <c r="AIB42" s="18"/>
      <c r="AIC42" s="18"/>
      <c r="AID42" s="18"/>
      <c r="AIE42" s="18"/>
      <c r="AIF42" s="18"/>
      <c r="AIG42" s="18"/>
      <c r="AIH42" s="18"/>
      <c r="AII42" s="18"/>
      <c r="AIJ42" s="18"/>
      <c r="AIK42" s="18"/>
      <c r="AIL42" s="18"/>
      <c r="AIM42" s="18"/>
      <c r="AIN42" s="18"/>
      <c r="AIO42" s="18"/>
      <c r="AIP42" s="18"/>
      <c r="AIQ42" s="18"/>
      <c r="AIR42" s="18"/>
      <c r="AIS42" s="18"/>
      <c r="AIT42" s="18"/>
      <c r="AIU42" s="18"/>
      <c r="AIV42" s="18"/>
      <c r="AIW42" s="18"/>
      <c r="AIX42" s="18"/>
      <c r="AIY42" s="18"/>
      <c r="AIZ42" s="18"/>
      <c r="AJA42" s="18"/>
      <c r="AJB42" s="18"/>
      <c r="AJC42" s="18"/>
      <c r="AJD42" s="18"/>
      <c r="AJE42" s="18"/>
      <c r="AJF42" s="18"/>
      <c r="AJG42" s="18"/>
      <c r="AJH42" s="18"/>
      <c r="AJI42" s="18"/>
      <c r="AJJ42" s="18"/>
      <c r="AJK42" s="18"/>
      <c r="AJL42" s="18"/>
      <c r="AJM42" s="18"/>
      <c r="AJN42" s="18"/>
      <c r="AJO42" s="18"/>
      <c r="AJP42" s="18"/>
      <c r="AJQ42" s="18"/>
      <c r="AJR42" s="18"/>
      <c r="AJS42" s="18"/>
      <c r="AJT42" s="18"/>
      <c r="AJU42" s="18"/>
      <c r="AJV42" s="18"/>
      <c r="AJW42" s="18"/>
      <c r="AJX42" s="18"/>
      <c r="AJY42" s="18"/>
      <c r="AJZ42" s="18"/>
      <c r="AKA42" s="18"/>
      <c r="AKB42" s="18"/>
      <c r="AKC42" s="18"/>
      <c r="AKD42" s="18"/>
      <c r="AKE42" s="18"/>
      <c r="AKF42" s="18"/>
      <c r="AKG42" s="18"/>
      <c r="AKH42" s="18"/>
      <c r="AKI42" s="18"/>
      <c r="AKJ42" s="18"/>
      <c r="AKK42" s="18"/>
      <c r="AKL42" s="18"/>
      <c r="AKM42" s="18"/>
      <c r="AKN42" s="18"/>
      <c r="AKO42" s="18"/>
      <c r="AKP42" s="18"/>
      <c r="AKQ42" s="18"/>
      <c r="AKR42" s="18"/>
      <c r="AKS42" s="18"/>
      <c r="AKT42" s="18"/>
      <c r="AKU42" s="18"/>
      <c r="AKV42" s="18"/>
      <c r="AKW42" s="18"/>
      <c r="AKX42" s="18"/>
      <c r="AKY42" s="18"/>
      <c r="AKZ42" s="18"/>
      <c r="ALA42" s="18"/>
      <c r="ALB42" s="18"/>
      <c r="ALC42" s="18"/>
      <c r="ALD42" s="18"/>
      <c r="ALE42" s="18"/>
      <c r="ALF42" s="18"/>
      <c r="ALG42" s="18"/>
      <c r="ALH42" s="18"/>
      <c r="ALI42" s="18"/>
      <c r="ALJ42" s="18"/>
      <c r="ALK42" s="18"/>
      <c r="ALL42" s="18"/>
      <c r="ALM42" s="18"/>
      <c r="ALN42" s="18"/>
      <c r="ALO42" s="18"/>
      <c r="ALP42" s="18"/>
      <c r="ALQ42" s="18"/>
      <c r="ALR42" s="18"/>
      <c r="ALS42" s="18"/>
      <c r="ALT42" s="18"/>
    </row>
    <row r="43" spans="1:1008" ht="24">
      <c r="A43" s="251" t="s">
        <v>7</v>
      </c>
      <c r="B43" s="290">
        <v>86906</v>
      </c>
      <c r="C43" s="278" t="str">
        <f>(IF($A43="SINAPI",INDEX(SINAPI_NOV2020_NDES!$A$7:$H$6703,MATCH($B43,SINAPI_NOV2020_NDES!$A$7:$A$6703,0),2),IF($A43="GOINFRA",INDEX(#REF!,MATCH($B43,#REF!,0),2),(INDEX(COMPOS!$A$4:$G$390,MATCH($B43,COMPOS!$A$4:A$390,0),2)))))</f>
        <v>TORNEIRA CROMADA DE MESA, 1/2 OU 3/4, PARA LAVATÓRIO, PADRÃO POPULAR - FORNECIMENTO E INSTALAÇÃO. AF_01/2020</v>
      </c>
      <c r="D43" s="274" t="str">
        <f>(IF($A43="SINAPI",INDEX(SINAPI_NOV2020_NDES!$A$7:$H$6790,MATCH($B43,SINAPI_NOV2020_NDES!$A$7:$A$6790,0),3),(INDEX(COMPOS!$A$4:$G$5000,MATCH($B43,COMPOS!$A$4:$A$5000,0),3))))</f>
        <v>UN</v>
      </c>
      <c r="E43" s="314">
        <v>8</v>
      </c>
      <c r="F43" s="279">
        <f>(IF($A43="SINAPI",INDEX(SINAPI_NOV2020_NDES!$A$7:$H$6703,MATCH($B43,SINAPI_NOV2020_NDES!$A$7:$A$6703,0),5),(INDEX(COMPOS!$A$4:$G$801,MATCH($B43,COMPOS!$A$4:A$801,0),4))))</f>
        <v>1.94</v>
      </c>
      <c r="G43" s="280">
        <f>(IF($A43="SINAPI",INDEX(SINAPI_NOV2020_NDES!$A$7:$H$6703,MATCH($B43,SINAPI_NOV2020_NDES!$A$7:$A$6703,0),6),(INDEX(COMPOS!$A$4:$G$801,MATCH($B43,COMPOS!$A$4:A$801,0),5))))</f>
        <v>41.22</v>
      </c>
      <c r="H43" s="280">
        <f>(IF($A43="SINAPI",INDEX(SINAPI_NOV2020_NDES!$A$7:$H$6703,MATCH($B43,SINAPI_NOV2020_NDES!$A$7:$A$6703,0),7),(INDEX(COMPOS!$A$4:$G$801,MATCH($B43,COMPOS!$A$4:A$801,0),6))))</f>
        <v>0</v>
      </c>
      <c r="I43" s="279">
        <f t="shared" si="12"/>
        <v>43.16</v>
      </c>
      <c r="J43" s="276">
        <f t="shared" si="13"/>
        <v>345.28</v>
      </c>
      <c r="K43" s="191"/>
      <c r="L43" s="191"/>
      <c r="M43" s="191"/>
      <c r="N43" s="191"/>
      <c r="O43" s="262"/>
      <c r="P43" s="263"/>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c r="EF43" s="18"/>
      <c r="EG43" s="18"/>
      <c r="EH43" s="18"/>
      <c r="EI43" s="18"/>
      <c r="EJ43" s="18"/>
      <c r="EK43" s="18"/>
      <c r="EL43" s="18"/>
      <c r="EM43" s="18"/>
      <c r="EN43" s="18"/>
      <c r="EO43" s="18"/>
      <c r="EP43" s="18"/>
      <c r="EQ43" s="18"/>
      <c r="ER43" s="18"/>
      <c r="ES43" s="18"/>
      <c r="ET43" s="18"/>
      <c r="EU43" s="18"/>
      <c r="EV43" s="18"/>
      <c r="EW43" s="18"/>
      <c r="EX43" s="18"/>
      <c r="EY43" s="18"/>
      <c r="EZ43" s="18"/>
      <c r="FA43" s="18"/>
      <c r="FB43" s="18"/>
      <c r="FC43" s="18"/>
      <c r="FD43" s="18"/>
      <c r="FE43" s="18"/>
      <c r="FF43" s="18"/>
      <c r="FG43" s="18"/>
      <c r="FH43" s="18"/>
      <c r="FI43" s="18"/>
      <c r="FJ43" s="18"/>
      <c r="FK43" s="18"/>
      <c r="FL43" s="18"/>
      <c r="FM43" s="18"/>
      <c r="FN43" s="18"/>
      <c r="FO43" s="18"/>
      <c r="FP43" s="18"/>
      <c r="FQ43" s="18"/>
      <c r="FR43" s="18"/>
      <c r="FS43" s="18"/>
      <c r="FT43" s="18"/>
      <c r="FU43" s="18"/>
      <c r="FV43" s="18"/>
      <c r="FW43" s="18"/>
      <c r="FX43" s="18"/>
      <c r="FY43" s="18"/>
      <c r="FZ43" s="18"/>
      <c r="GA43" s="18"/>
      <c r="GB43" s="18"/>
      <c r="GC43" s="18"/>
      <c r="GD43" s="18"/>
      <c r="GE43" s="18"/>
      <c r="GF43" s="18"/>
      <c r="GG43" s="18"/>
      <c r="GH43" s="18"/>
      <c r="GI43" s="18"/>
      <c r="GJ43" s="18"/>
      <c r="GK43" s="18"/>
      <c r="GL43" s="18"/>
      <c r="GM43" s="18"/>
      <c r="GN43" s="18"/>
      <c r="GO43" s="18"/>
      <c r="GP43" s="18"/>
      <c r="GQ43" s="18"/>
      <c r="GR43" s="18"/>
      <c r="GS43" s="18"/>
      <c r="GT43" s="18"/>
      <c r="GU43" s="18"/>
      <c r="GV43" s="18"/>
      <c r="GW43" s="18"/>
      <c r="GX43" s="18"/>
      <c r="GY43" s="18"/>
      <c r="GZ43" s="18"/>
      <c r="HA43" s="18"/>
      <c r="HB43" s="18"/>
      <c r="HC43" s="18"/>
      <c r="HD43" s="18"/>
      <c r="HE43" s="18"/>
      <c r="HF43" s="18"/>
      <c r="HG43" s="18"/>
      <c r="HH43" s="18"/>
      <c r="HI43" s="18"/>
      <c r="HJ43" s="18"/>
      <c r="HK43" s="18"/>
      <c r="HL43" s="18"/>
      <c r="HM43" s="18"/>
      <c r="HN43" s="18"/>
      <c r="HO43" s="18"/>
      <c r="HP43" s="18"/>
      <c r="HQ43" s="18"/>
      <c r="HR43" s="18"/>
      <c r="HS43" s="18"/>
      <c r="HT43" s="18"/>
      <c r="HU43" s="18"/>
      <c r="HV43" s="18"/>
      <c r="HW43" s="18"/>
      <c r="HX43" s="18"/>
      <c r="HY43" s="18"/>
      <c r="HZ43" s="18"/>
      <c r="IA43" s="18"/>
      <c r="IB43" s="18"/>
      <c r="IC43" s="18"/>
      <c r="ID43" s="18"/>
      <c r="IE43" s="18"/>
      <c r="IF43" s="18"/>
      <c r="IG43" s="18"/>
      <c r="IH43" s="18"/>
      <c r="II43" s="18"/>
      <c r="IJ43" s="18"/>
      <c r="IK43" s="18"/>
      <c r="IL43" s="18"/>
      <c r="IM43" s="18"/>
      <c r="IN43" s="18"/>
      <c r="IO43" s="18"/>
      <c r="IP43" s="18"/>
      <c r="IQ43" s="18"/>
      <c r="IR43" s="18"/>
      <c r="IS43" s="18"/>
      <c r="IT43" s="18"/>
      <c r="IU43" s="18"/>
      <c r="IV43" s="18"/>
      <c r="IW43" s="18"/>
      <c r="IX43" s="18"/>
      <c r="IY43" s="18"/>
      <c r="IZ43" s="18"/>
      <c r="JA43" s="18"/>
      <c r="JB43" s="18"/>
      <c r="JC43" s="18"/>
      <c r="JD43" s="18"/>
      <c r="JE43" s="18"/>
      <c r="JF43" s="18"/>
      <c r="JG43" s="18"/>
      <c r="JH43" s="18"/>
      <c r="JI43" s="18"/>
      <c r="JJ43" s="18"/>
      <c r="JK43" s="18"/>
      <c r="JL43" s="18"/>
      <c r="JM43" s="18"/>
      <c r="JN43" s="18"/>
      <c r="JO43" s="18"/>
      <c r="JP43" s="18"/>
      <c r="JQ43" s="18"/>
      <c r="JR43" s="18"/>
      <c r="JS43" s="18"/>
      <c r="JT43" s="18"/>
      <c r="JU43" s="18"/>
      <c r="JV43" s="18"/>
      <c r="JW43" s="18"/>
      <c r="JX43" s="18"/>
      <c r="JY43" s="18"/>
      <c r="JZ43" s="18"/>
      <c r="KA43" s="18"/>
      <c r="KB43" s="18"/>
      <c r="KC43" s="18"/>
      <c r="KD43" s="18"/>
      <c r="KE43" s="18"/>
      <c r="KF43" s="18"/>
      <c r="KG43" s="18"/>
      <c r="KH43" s="18"/>
      <c r="KI43" s="18"/>
      <c r="KJ43" s="18"/>
      <c r="KK43" s="18"/>
      <c r="KL43" s="18"/>
      <c r="KM43" s="18"/>
      <c r="KN43" s="18"/>
      <c r="KO43" s="18"/>
      <c r="KP43" s="18"/>
      <c r="KQ43" s="18"/>
      <c r="KR43" s="18"/>
      <c r="KS43" s="18"/>
      <c r="KT43" s="18"/>
      <c r="KU43" s="18"/>
      <c r="KV43" s="18"/>
      <c r="KW43" s="18"/>
      <c r="KX43" s="18"/>
      <c r="KY43" s="18"/>
      <c r="KZ43" s="18"/>
      <c r="LA43" s="18"/>
      <c r="LB43" s="18"/>
      <c r="LC43" s="18"/>
      <c r="LD43" s="18"/>
      <c r="LE43" s="18"/>
      <c r="LF43" s="18"/>
      <c r="LG43" s="18"/>
      <c r="LH43" s="18"/>
      <c r="LI43" s="18"/>
      <c r="LJ43" s="18"/>
      <c r="LK43" s="18"/>
      <c r="LL43" s="18"/>
      <c r="LM43" s="18"/>
      <c r="LN43" s="18"/>
      <c r="LO43" s="18"/>
      <c r="LP43" s="18"/>
      <c r="LQ43" s="18"/>
      <c r="LR43" s="18"/>
      <c r="LS43" s="18"/>
      <c r="LT43" s="18"/>
      <c r="LU43" s="18"/>
      <c r="LV43" s="18"/>
      <c r="LW43" s="18"/>
      <c r="LX43" s="18"/>
      <c r="LY43" s="18"/>
      <c r="LZ43" s="18"/>
      <c r="MA43" s="18"/>
      <c r="MB43" s="18"/>
      <c r="MC43" s="18"/>
      <c r="MD43" s="18"/>
      <c r="ME43" s="18"/>
      <c r="MF43" s="18"/>
      <c r="MG43" s="18"/>
      <c r="MH43" s="18"/>
      <c r="MI43" s="18"/>
      <c r="MJ43" s="18"/>
      <c r="MK43" s="18"/>
      <c r="ML43" s="18"/>
      <c r="MM43" s="18"/>
      <c r="MN43" s="18"/>
      <c r="MO43" s="18"/>
      <c r="MP43" s="18"/>
      <c r="MQ43" s="18"/>
      <c r="MR43" s="18"/>
      <c r="MS43" s="18"/>
      <c r="MT43" s="18"/>
      <c r="MU43" s="18"/>
      <c r="MV43" s="18"/>
      <c r="MW43" s="18"/>
      <c r="MX43" s="18"/>
      <c r="MY43" s="18"/>
      <c r="MZ43" s="18"/>
      <c r="NA43" s="18"/>
      <c r="NB43" s="18"/>
      <c r="NC43" s="18"/>
      <c r="ND43" s="18"/>
      <c r="NE43" s="18"/>
      <c r="NF43" s="18"/>
      <c r="NG43" s="18"/>
      <c r="NH43" s="18"/>
      <c r="NI43" s="18"/>
      <c r="NJ43" s="18"/>
      <c r="NK43" s="18"/>
      <c r="NL43" s="18"/>
      <c r="NM43" s="18"/>
      <c r="NN43" s="18"/>
      <c r="NO43" s="18"/>
      <c r="NP43" s="18"/>
      <c r="NQ43" s="18"/>
      <c r="NR43" s="18"/>
      <c r="NS43" s="18"/>
      <c r="NT43" s="18"/>
      <c r="NU43" s="18"/>
      <c r="NV43" s="18"/>
      <c r="NW43" s="18"/>
      <c r="NX43" s="18"/>
      <c r="NY43" s="18"/>
      <c r="NZ43" s="18"/>
      <c r="OA43" s="18"/>
      <c r="OB43" s="18"/>
      <c r="OC43" s="18"/>
      <c r="OD43" s="18"/>
      <c r="OE43" s="18"/>
      <c r="OF43" s="18"/>
      <c r="OG43" s="18"/>
      <c r="OH43" s="18"/>
      <c r="OI43" s="18"/>
      <c r="OJ43" s="18"/>
      <c r="OK43" s="18"/>
      <c r="OL43" s="18"/>
      <c r="OM43" s="18"/>
      <c r="ON43" s="18"/>
      <c r="OO43" s="18"/>
      <c r="OP43" s="18"/>
      <c r="OQ43" s="18"/>
      <c r="OR43" s="18"/>
      <c r="OS43" s="18"/>
      <c r="OT43" s="18"/>
      <c r="OU43" s="18"/>
      <c r="OV43" s="18"/>
      <c r="OW43" s="18"/>
      <c r="OX43" s="18"/>
      <c r="OY43" s="18"/>
      <c r="OZ43" s="18"/>
      <c r="PA43" s="18"/>
      <c r="PB43" s="18"/>
      <c r="PC43" s="18"/>
      <c r="PD43" s="18"/>
      <c r="PE43" s="18"/>
      <c r="PF43" s="18"/>
      <c r="PG43" s="18"/>
      <c r="PH43" s="18"/>
      <c r="PI43" s="18"/>
      <c r="PJ43" s="18"/>
      <c r="PK43" s="18"/>
      <c r="PL43" s="18"/>
      <c r="PM43" s="18"/>
      <c r="PN43" s="18"/>
      <c r="PO43" s="18"/>
      <c r="PP43" s="18"/>
      <c r="PQ43" s="18"/>
      <c r="PR43" s="18"/>
      <c r="PS43" s="18"/>
      <c r="PT43" s="18"/>
      <c r="PU43" s="18"/>
      <c r="PV43" s="18"/>
      <c r="PW43" s="18"/>
      <c r="PX43" s="18"/>
      <c r="PY43" s="18"/>
      <c r="PZ43" s="18"/>
      <c r="QA43" s="18"/>
      <c r="QB43" s="18"/>
      <c r="QC43" s="18"/>
      <c r="QD43" s="18"/>
      <c r="QE43" s="18"/>
      <c r="QF43" s="18"/>
      <c r="QG43" s="18"/>
      <c r="QH43" s="18"/>
      <c r="QI43" s="18"/>
      <c r="QJ43" s="18"/>
      <c r="QK43" s="18"/>
      <c r="QL43" s="18"/>
      <c r="QM43" s="18"/>
      <c r="QN43" s="18"/>
      <c r="QO43" s="18"/>
      <c r="QP43" s="18"/>
      <c r="QQ43" s="18"/>
      <c r="QR43" s="18"/>
      <c r="QS43" s="18"/>
      <c r="QT43" s="18"/>
      <c r="QU43" s="18"/>
      <c r="QV43" s="18"/>
      <c r="QW43" s="18"/>
      <c r="QX43" s="18"/>
      <c r="QY43" s="18"/>
      <c r="QZ43" s="18"/>
      <c r="RA43" s="18"/>
      <c r="RB43" s="18"/>
      <c r="RC43" s="18"/>
      <c r="RD43" s="18"/>
      <c r="RE43" s="18"/>
      <c r="RF43" s="18"/>
      <c r="RG43" s="18"/>
      <c r="RH43" s="18"/>
      <c r="RI43" s="18"/>
      <c r="RJ43" s="18"/>
      <c r="RK43" s="18"/>
      <c r="RL43" s="18"/>
      <c r="RM43" s="18"/>
      <c r="RN43" s="18"/>
      <c r="RO43" s="18"/>
      <c r="RP43" s="18"/>
      <c r="RQ43" s="18"/>
      <c r="RR43" s="18"/>
      <c r="RS43" s="18"/>
      <c r="RT43" s="18"/>
      <c r="RU43" s="18"/>
      <c r="RV43" s="18"/>
      <c r="RW43" s="18"/>
      <c r="RX43" s="18"/>
      <c r="RY43" s="18"/>
      <c r="RZ43" s="18"/>
      <c r="SA43" s="18"/>
      <c r="SB43" s="18"/>
      <c r="SC43" s="18"/>
      <c r="SD43" s="18"/>
      <c r="SE43" s="18"/>
      <c r="SF43" s="18"/>
      <c r="SG43" s="18"/>
      <c r="SH43" s="18"/>
      <c r="SI43" s="18"/>
      <c r="SJ43" s="18"/>
      <c r="SK43" s="18"/>
      <c r="SL43" s="18"/>
      <c r="SM43" s="18"/>
      <c r="SN43" s="18"/>
      <c r="SO43" s="18"/>
      <c r="SP43" s="18"/>
      <c r="SQ43" s="18"/>
      <c r="SR43" s="18"/>
      <c r="SS43" s="18"/>
      <c r="ST43" s="18"/>
      <c r="SU43" s="18"/>
      <c r="SV43" s="18"/>
      <c r="SW43" s="18"/>
      <c r="SX43" s="18"/>
      <c r="SY43" s="18"/>
      <c r="SZ43" s="18"/>
      <c r="TA43" s="18"/>
      <c r="TB43" s="18"/>
      <c r="TC43" s="18"/>
      <c r="TD43" s="18"/>
      <c r="TE43" s="18"/>
      <c r="TF43" s="18"/>
      <c r="TG43" s="18"/>
      <c r="TH43" s="18"/>
      <c r="TI43" s="18"/>
      <c r="TJ43" s="18"/>
      <c r="TK43" s="18"/>
      <c r="TL43" s="18"/>
      <c r="TM43" s="18"/>
      <c r="TN43" s="18"/>
      <c r="TO43" s="18"/>
      <c r="TP43" s="18"/>
      <c r="TQ43" s="18"/>
      <c r="TR43" s="18"/>
      <c r="TS43" s="18"/>
      <c r="TT43" s="18"/>
      <c r="TU43" s="18"/>
      <c r="TV43" s="18"/>
      <c r="TW43" s="18"/>
      <c r="TX43" s="18"/>
      <c r="TY43" s="18"/>
      <c r="TZ43" s="18"/>
      <c r="UA43" s="18"/>
      <c r="UB43" s="18"/>
      <c r="UC43" s="18"/>
      <c r="UD43" s="18"/>
      <c r="UE43" s="18"/>
      <c r="UF43" s="18"/>
      <c r="UG43" s="18"/>
      <c r="UH43" s="18"/>
      <c r="UI43" s="18"/>
      <c r="UJ43" s="18"/>
      <c r="UK43" s="18"/>
      <c r="UL43" s="18"/>
      <c r="UM43" s="18"/>
      <c r="UN43" s="18"/>
      <c r="UO43" s="18"/>
      <c r="UP43" s="18"/>
      <c r="UQ43" s="18"/>
      <c r="UR43" s="18"/>
      <c r="US43" s="18"/>
      <c r="UT43" s="18"/>
      <c r="UU43" s="18"/>
      <c r="UV43" s="18"/>
      <c r="UW43" s="18"/>
      <c r="UX43" s="18"/>
      <c r="UY43" s="18"/>
      <c r="UZ43" s="18"/>
      <c r="VA43" s="18"/>
      <c r="VB43" s="18"/>
      <c r="VC43" s="18"/>
      <c r="VD43" s="18"/>
      <c r="VE43" s="18"/>
      <c r="VF43" s="18"/>
      <c r="VG43" s="18"/>
      <c r="VH43" s="18"/>
      <c r="VI43" s="18"/>
      <c r="VJ43" s="18"/>
      <c r="VK43" s="18"/>
      <c r="VL43" s="18"/>
      <c r="VM43" s="18"/>
      <c r="VN43" s="18"/>
      <c r="VO43" s="18"/>
      <c r="VP43" s="18"/>
      <c r="VQ43" s="18"/>
      <c r="VR43" s="18"/>
      <c r="VS43" s="18"/>
      <c r="VT43" s="18"/>
      <c r="VU43" s="18"/>
      <c r="VV43" s="18"/>
      <c r="VW43" s="18"/>
      <c r="VX43" s="18"/>
      <c r="VY43" s="18"/>
      <c r="VZ43" s="18"/>
      <c r="WA43" s="18"/>
      <c r="WB43" s="18"/>
      <c r="WC43" s="18"/>
      <c r="WD43" s="18"/>
      <c r="WE43" s="18"/>
      <c r="WF43" s="18"/>
      <c r="WG43" s="18"/>
      <c r="WH43" s="18"/>
      <c r="WI43" s="18"/>
      <c r="WJ43" s="18"/>
      <c r="WK43" s="18"/>
      <c r="WL43" s="18"/>
      <c r="WM43" s="18"/>
      <c r="WN43" s="18"/>
      <c r="WO43" s="18"/>
      <c r="WP43" s="18"/>
      <c r="WQ43" s="18"/>
      <c r="WR43" s="18"/>
      <c r="WS43" s="18"/>
      <c r="WT43" s="18"/>
      <c r="WU43" s="18"/>
      <c r="WV43" s="18"/>
      <c r="WW43" s="18"/>
      <c r="WX43" s="18"/>
      <c r="WY43" s="18"/>
      <c r="WZ43" s="18"/>
      <c r="XA43" s="18"/>
      <c r="XB43" s="18"/>
      <c r="XC43" s="18"/>
      <c r="XD43" s="18"/>
      <c r="XE43" s="18"/>
      <c r="XF43" s="18"/>
      <c r="XG43" s="18"/>
      <c r="XH43" s="18"/>
      <c r="XI43" s="18"/>
      <c r="XJ43" s="18"/>
      <c r="XK43" s="18"/>
      <c r="XL43" s="18"/>
      <c r="XM43" s="18"/>
      <c r="XN43" s="18"/>
      <c r="XO43" s="18"/>
      <c r="XP43" s="18"/>
      <c r="XQ43" s="18"/>
      <c r="XR43" s="18"/>
      <c r="XS43" s="18"/>
      <c r="XT43" s="18"/>
      <c r="XU43" s="18"/>
      <c r="XV43" s="18"/>
      <c r="XW43" s="18"/>
      <c r="XX43" s="18"/>
      <c r="XY43" s="18"/>
      <c r="XZ43" s="18"/>
      <c r="YA43" s="18"/>
      <c r="YB43" s="18"/>
      <c r="YC43" s="18"/>
      <c r="YD43" s="18"/>
      <c r="YE43" s="18"/>
      <c r="YF43" s="18"/>
      <c r="YG43" s="18"/>
      <c r="YH43" s="18"/>
      <c r="YI43" s="18"/>
      <c r="YJ43" s="18"/>
      <c r="YK43" s="18"/>
      <c r="YL43" s="18"/>
      <c r="YM43" s="18"/>
      <c r="YN43" s="18"/>
      <c r="YO43" s="18"/>
      <c r="YP43" s="18"/>
      <c r="YQ43" s="18"/>
      <c r="YR43" s="18"/>
      <c r="YS43" s="18"/>
      <c r="YT43" s="18"/>
      <c r="YU43" s="18"/>
      <c r="YV43" s="18"/>
      <c r="YW43" s="18"/>
      <c r="YX43" s="18"/>
      <c r="YY43" s="18"/>
      <c r="YZ43" s="18"/>
      <c r="ZA43" s="18"/>
      <c r="ZB43" s="18"/>
      <c r="ZC43" s="18"/>
      <c r="ZD43" s="18"/>
      <c r="ZE43" s="18"/>
      <c r="ZF43" s="18"/>
      <c r="ZG43" s="18"/>
      <c r="ZH43" s="18"/>
      <c r="ZI43" s="18"/>
      <c r="ZJ43" s="18"/>
      <c r="ZK43" s="18"/>
      <c r="ZL43" s="18"/>
      <c r="ZM43" s="18"/>
      <c r="ZN43" s="18"/>
      <c r="ZO43" s="18"/>
      <c r="ZP43" s="18"/>
      <c r="ZQ43" s="18"/>
      <c r="ZR43" s="18"/>
      <c r="ZS43" s="18"/>
      <c r="ZT43" s="18"/>
      <c r="ZU43" s="18"/>
      <c r="ZV43" s="18"/>
      <c r="ZW43" s="18"/>
      <c r="ZX43" s="18"/>
      <c r="ZY43" s="18"/>
      <c r="ZZ43" s="18"/>
      <c r="AAA43" s="18"/>
      <c r="AAB43" s="18"/>
      <c r="AAC43" s="18"/>
      <c r="AAD43" s="18"/>
      <c r="AAE43" s="18"/>
      <c r="AAF43" s="18"/>
      <c r="AAG43" s="18"/>
      <c r="AAH43" s="18"/>
      <c r="AAI43" s="18"/>
      <c r="AAJ43" s="18"/>
      <c r="AAK43" s="18"/>
      <c r="AAL43" s="18"/>
      <c r="AAM43" s="18"/>
      <c r="AAN43" s="18"/>
      <c r="AAO43" s="18"/>
      <c r="AAP43" s="18"/>
      <c r="AAQ43" s="18"/>
      <c r="AAR43" s="18"/>
      <c r="AAS43" s="18"/>
      <c r="AAT43" s="18"/>
      <c r="AAU43" s="18"/>
      <c r="AAV43" s="18"/>
      <c r="AAW43" s="18"/>
      <c r="AAX43" s="18"/>
      <c r="AAY43" s="18"/>
      <c r="AAZ43" s="18"/>
      <c r="ABA43" s="18"/>
      <c r="ABB43" s="18"/>
      <c r="ABC43" s="18"/>
      <c r="ABD43" s="18"/>
      <c r="ABE43" s="18"/>
      <c r="ABF43" s="18"/>
      <c r="ABG43" s="18"/>
      <c r="ABH43" s="18"/>
      <c r="ABI43" s="18"/>
      <c r="ABJ43" s="18"/>
      <c r="ABK43" s="18"/>
      <c r="ABL43" s="18"/>
      <c r="ABM43" s="18"/>
      <c r="ABN43" s="18"/>
      <c r="ABO43" s="18"/>
      <c r="ABP43" s="18"/>
      <c r="ABQ43" s="18"/>
      <c r="ABR43" s="18"/>
      <c r="ABS43" s="18"/>
      <c r="ABT43" s="18"/>
      <c r="ABU43" s="18"/>
      <c r="ABV43" s="18"/>
      <c r="ABW43" s="18"/>
      <c r="ABX43" s="18"/>
      <c r="ABY43" s="18"/>
      <c r="ABZ43" s="18"/>
      <c r="ACA43" s="18"/>
      <c r="ACB43" s="18"/>
      <c r="ACC43" s="18"/>
      <c r="ACD43" s="18"/>
      <c r="ACE43" s="18"/>
      <c r="ACF43" s="18"/>
      <c r="ACG43" s="18"/>
      <c r="ACH43" s="18"/>
      <c r="ACI43" s="18"/>
      <c r="ACJ43" s="18"/>
      <c r="ACK43" s="18"/>
      <c r="ACL43" s="18"/>
      <c r="ACM43" s="18"/>
      <c r="ACN43" s="18"/>
      <c r="ACO43" s="18"/>
      <c r="ACP43" s="18"/>
      <c r="ACQ43" s="18"/>
      <c r="ACR43" s="18"/>
      <c r="ACS43" s="18"/>
      <c r="ACT43" s="18"/>
      <c r="ACU43" s="18"/>
      <c r="ACV43" s="18"/>
      <c r="ACW43" s="18"/>
      <c r="ACX43" s="18"/>
      <c r="ACY43" s="18"/>
      <c r="ACZ43" s="18"/>
      <c r="ADA43" s="18"/>
      <c r="ADB43" s="18"/>
      <c r="ADC43" s="18"/>
      <c r="ADD43" s="18"/>
      <c r="ADE43" s="18"/>
      <c r="ADF43" s="18"/>
      <c r="ADG43" s="18"/>
      <c r="ADH43" s="18"/>
      <c r="ADI43" s="18"/>
      <c r="ADJ43" s="18"/>
      <c r="ADK43" s="18"/>
      <c r="ADL43" s="18"/>
      <c r="ADM43" s="18"/>
      <c r="ADN43" s="18"/>
      <c r="ADO43" s="18"/>
      <c r="ADP43" s="18"/>
      <c r="ADQ43" s="18"/>
      <c r="ADR43" s="18"/>
      <c r="ADS43" s="18"/>
      <c r="ADT43" s="18"/>
      <c r="ADU43" s="18"/>
      <c r="ADV43" s="18"/>
      <c r="ADW43" s="18"/>
      <c r="ADX43" s="18"/>
      <c r="ADY43" s="18"/>
      <c r="ADZ43" s="18"/>
      <c r="AEA43" s="18"/>
      <c r="AEB43" s="18"/>
      <c r="AEC43" s="18"/>
      <c r="AED43" s="18"/>
      <c r="AEE43" s="18"/>
      <c r="AEF43" s="18"/>
      <c r="AEG43" s="18"/>
      <c r="AEH43" s="18"/>
      <c r="AEI43" s="18"/>
      <c r="AEJ43" s="18"/>
      <c r="AEK43" s="18"/>
      <c r="AEL43" s="18"/>
      <c r="AEM43" s="18"/>
      <c r="AEN43" s="18"/>
      <c r="AEO43" s="18"/>
      <c r="AEP43" s="18"/>
      <c r="AEQ43" s="18"/>
      <c r="AER43" s="18"/>
      <c r="AES43" s="18"/>
      <c r="AET43" s="18"/>
      <c r="AEU43" s="18"/>
      <c r="AEV43" s="18"/>
      <c r="AEW43" s="18"/>
      <c r="AEX43" s="18"/>
      <c r="AEY43" s="18"/>
      <c r="AEZ43" s="18"/>
      <c r="AFA43" s="18"/>
      <c r="AFB43" s="18"/>
      <c r="AFC43" s="18"/>
      <c r="AFD43" s="18"/>
      <c r="AFE43" s="18"/>
      <c r="AFF43" s="18"/>
      <c r="AFG43" s="18"/>
      <c r="AFH43" s="18"/>
      <c r="AFI43" s="18"/>
      <c r="AFJ43" s="18"/>
      <c r="AFK43" s="18"/>
      <c r="AFL43" s="18"/>
      <c r="AFM43" s="18"/>
      <c r="AFN43" s="18"/>
      <c r="AFO43" s="18"/>
      <c r="AFP43" s="18"/>
      <c r="AFQ43" s="18"/>
      <c r="AFR43" s="18"/>
      <c r="AFS43" s="18"/>
      <c r="AFT43" s="18"/>
      <c r="AFU43" s="18"/>
      <c r="AFV43" s="18"/>
      <c r="AFW43" s="18"/>
      <c r="AFX43" s="18"/>
      <c r="AFY43" s="18"/>
      <c r="AFZ43" s="18"/>
      <c r="AGA43" s="18"/>
      <c r="AGB43" s="18"/>
      <c r="AGC43" s="18"/>
      <c r="AGD43" s="18"/>
      <c r="AGE43" s="18"/>
      <c r="AGF43" s="18"/>
      <c r="AGG43" s="18"/>
      <c r="AGH43" s="18"/>
      <c r="AGI43" s="18"/>
      <c r="AGJ43" s="18"/>
      <c r="AGK43" s="18"/>
      <c r="AGL43" s="18"/>
      <c r="AGM43" s="18"/>
      <c r="AGN43" s="18"/>
      <c r="AGO43" s="18"/>
      <c r="AGP43" s="18"/>
      <c r="AGQ43" s="18"/>
      <c r="AGR43" s="18"/>
      <c r="AGS43" s="18"/>
      <c r="AGT43" s="18"/>
      <c r="AGU43" s="18"/>
      <c r="AGV43" s="18"/>
      <c r="AGW43" s="18"/>
      <c r="AGX43" s="18"/>
      <c r="AGY43" s="18"/>
      <c r="AGZ43" s="18"/>
      <c r="AHA43" s="18"/>
      <c r="AHB43" s="18"/>
      <c r="AHC43" s="18"/>
      <c r="AHD43" s="18"/>
      <c r="AHE43" s="18"/>
      <c r="AHF43" s="18"/>
      <c r="AHG43" s="18"/>
      <c r="AHH43" s="18"/>
      <c r="AHI43" s="18"/>
      <c r="AHJ43" s="18"/>
      <c r="AHK43" s="18"/>
      <c r="AHL43" s="18"/>
      <c r="AHM43" s="18"/>
      <c r="AHN43" s="18"/>
      <c r="AHO43" s="18"/>
      <c r="AHP43" s="18"/>
      <c r="AHQ43" s="18"/>
      <c r="AHR43" s="18"/>
      <c r="AHS43" s="18"/>
      <c r="AHT43" s="18"/>
      <c r="AHU43" s="18"/>
      <c r="AHV43" s="18"/>
      <c r="AHW43" s="18"/>
      <c r="AHX43" s="18"/>
      <c r="AHY43" s="18"/>
      <c r="AHZ43" s="18"/>
      <c r="AIA43" s="18"/>
      <c r="AIB43" s="18"/>
      <c r="AIC43" s="18"/>
      <c r="AID43" s="18"/>
      <c r="AIE43" s="18"/>
      <c r="AIF43" s="18"/>
      <c r="AIG43" s="18"/>
      <c r="AIH43" s="18"/>
      <c r="AII43" s="18"/>
      <c r="AIJ43" s="18"/>
      <c r="AIK43" s="18"/>
      <c r="AIL43" s="18"/>
      <c r="AIM43" s="18"/>
      <c r="AIN43" s="18"/>
      <c r="AIO43" s="18"/>
      <c r="AIP43" s="18"/>
      <c r="AIQ43" s="18"/>
      <c r="AIR43" s="18"/>
      <c r="AIS43" s="18"/>
      <c r="AIT43" s="18"/>
      <c r="AIU43" s="18"/>
      <c r="AIV43" s="18"/>
      <c r="AIW43" s="18"/>
      <c r="AIX43" s="18"/>
      <c r="AIY43" s="18"/>
      <c r="AIZ43" s="18"/>
      <c r="AJA43" s="18"/>
      <c r="AJB43" s="18"/>
      <c r="AJC43" s="18"/>
      <c r="AJD43" s="18"/>
      <c r="AJE43" s="18"/>
      <c r="AJF43" s="18"/>
      <c r="AJG43" s="18"/>
      <c r="AJH43" s="18"/>
      <c r="AJI43" s="18"/>
      <c r="AJJ43" s="18"/>
      <c r="AJK43" s="18"/>
      <c r="AJL43" s="18"/>
      <c r="AJM43" s="18"/>
      <c r="AJN43" s="18"/>
      <c r="AJO43" s="18"/>
      <c r="AJP43" s="18"/>
      <c r="AJQ43" s="18"/>
      <c r="AJR43" s="18"/>
      <c r="AJS43" s="18"/>
      <c r="AJT43" s="18"/>
      <c r="AJU43" s="18"/>
      <c r="AJV43" s="18"/>
      <c r="AJW43" s="18"/>
      <c r="AJX43" s="18"/>
      <c r="AJY43" s="18"/>
      <c r="AJZ43" s="18"/>
      <c r="AKA43" s="18"/>
      <c r="AKB43" s="18"/>
      <c r="AKC43" s="18"/>
      <c r="AKD43" s="18"/>
      <c r="AKE43" s="18"/>
      <c r="AKF43" s="18"/>
      <c r="AKG43" s="18"/>
      <c r="AKH43" s="18"/>
      <c r="AKI43" s="18"/>
      <c r="AKJ43" s="18"/>
      <c r="AKK43" s="18"/>
      <c r="AKL43" s="18"/>
      <c r="AKM43" s="18"/>
      <c r="AKN43" s="18"/>
      <c r="AKO43" s="18"/>
      <c r="AKP43" s="18"/>
      <c r="AKQ43" s="18"/>
      <c r="AKR43" s="18"/>
      <c r="AKS43" s="18"/>
      <c r="AKT43" s="18"/>
      <c r="AKU43" s="18"/>
      <c r="AKV43" s="18"/>
      <c r="AKW43" s="18"/>
      <c r="AKX43" s="18"/>
      <c r="AKY43" s="18"/>
      <c r="AKZ43" s="18"/>
      <c r="ALA43" s="18"/>
      <c r="ALB43" s="18"/>
      <c r="ALC43" s="18"/>
      <c r="ALD43" s="18"/>
      <c r="ALE43" s="18"/>
      <c r="ALF43" s="18"/>
      <c r="ALG43" s="18"/>
      <c r="ALH43" s="18"/>
      <c r="ALI43" s="18"/>
      <c r="ALJ43" s="18"/>
      <c r="ALK43" s="18"/>
      <c r="ALL43" s="18"/>
      <c r="ALM43" s="18"/>
      <c r="ALN43" s="18"/>
      <c r="ALO43" s="18"/>
      <c r="ALP43" s="18"/>
      <c r="ALQ43" s="18"/>
      <c r="ALR43" s="18"/>
      <c r="ALS43" s="18"/>
      <c r="ALT43" s="18"/>
    </row>
    <row r="44" spans="1:1008">
      <c r="A44" s="251" t="s">
        <v>6307</v>
      </c>
      <c r="B44" s="290">
        <v>801</v>
      </c>
      <c r="C44" s="278" t="str">
        <f>(IF($A44="SINAPI",INDEX(SINAPI_NOV2020_NDES!$A$7:$H$6703,MATCH($B44,SINAPI_NOV2020_NDES!$A$7:$A$6703,0),2),IF($A44="GOINFRA",INDEX(#REF!,MATCH($B44,#REF!,0),2),(INDEX(COMPOS!$A$4:$G$390,MATCH($B44,COMPOS!$A$4:A$390,0),2)))))</f>
        <v>FIXAÇÃO P/ LAVATÓRIO (PAR)</v>
      </c>
      <c r="D44" s="274" t="str">
        <f>(IF($A44="SINAPI",INDEX(SINAPI_NOV2020_NDES!$A$7:$H$6790,MATCH($B44,SINAPI_NOV2020_NDES!$A$7:$A$6790,0),3),(INDEX(COMPOS!$A$4:$G$5000,MATCH($B44,COMPOS!$A$4:$A$5000,0),3))))</f>
        <v>PAR</v>
      </c>
      <c r="E44" s="314">
        <v>8</v>
      </c>
      <c r="F44" s="279">
        <f>(IF($A44="SINAPI",INDEX(SINAPI_NOV2020_NDES!$A$7:$H$6703,MATCH($B44,SINAPI_NOV2020_NDES!$A$7:$A$6703,0),5),(INDEX(COMPOS!$A$4:$G$801,MATCH($B44,COMPOS!$A$4:A$801,0),4))))</f>
        <v>5.6159999999999997</v>
      </c>
      <c r="G44" s="280">
        <f>(IF($A44="SINAPI",INDEX(SINAPI_NOV2020_NDES!$A$7:$H$6703,MATCH($B44,SINAPI_NOV2020_NDES!$A$7:$A$6703,0),6),(INDEX(COMPOS!$A$4:$G$801,MATCH($B44,COMPOS!$A$4:A$801,0),5))))</f>
        <v>3.29</v>
      </c>
      <c r="H44" s="280">
        <f>(IF($A44="SINAPI",INDEX(SINAPI_NOV2020_NDES!$A$7:$H$6703,MATCH($B44,SINAPI_NOV2020_NDES!$A$7:$A$6703,0),7),(INDEX(COMPOS!$A$4:$G$801,MATCH($B44,COMPOS!$A$4:A$801,0),6))))</f>
        <v>0</v>
      </c>
      <c r="I44" s="279">
        <f t="shared" si="12"/>
        <v>8.9059999999999988</v>
      </c>
      <c r="J44" s="276">
        <f t="shared" si="13"/>
        <v>71.24799999999999</v>
      </c>
      <c r="K44" s="191"/>
      <c r="L44" s="191"/>
      <c r="M44" s="191"/>
      <c r="N44" s="191"/>
      <c r="O44" s="262"/>
      <c r="P44" s="263"/>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c r="EF44" s="18"/>
      <c r="EG44" s="18"/>
      <c r="EH44" s="18"/>
      <c r="EI44" s="18"/>
      <c r="EJ44" s="18"/>
      <c r="EK44" s="18"/>
      <c r="EL44" s="18"/>
      <c r="EM44" s="18"/>
      <c r="EN44" s="18"/>
      <c r="EO44" s="18"/>
      <c r="EP44" s="18"/>
      <c r="EQ44" s="18"/>
      <c r="ER44" s="18"/>
      <c r="ES44" s="18"/>
      <c r="ET44" s="18"/>
      <c r="EU44" s="18"/>
      <c r="EV44" s="18"/>
      <c r="EW44" s="18"/>
      <c r="EX44" s="18"/>
      <c r="EY44" s="18"/>
      <c r="EZ44" s="18"/>
      <c r="FA44" s="18"/>
      <c r="FB44" s="18"/>
      <c r="FC44" s="18"/>
      <c r="FD44" s="18"/>
      <c r="FE44" s="18"/>
      <c r="FF44" s="18"/>
      <c r="FG44" s="18"/>
      <c r="FH44" s="18"/>
      <c r="FI44" s="18"/>
      <c r="FJ44" s="18"/>
      <c r="FK44" s="18"/>
      <c r="FL44" s="18"/>
      <c r="FM44" s="18"/>
      <c r="FN44" s="18"/>
      <c r="FO44" s="18"/>
      <c r="FP44" s="18"/>
      <c r="FQ44" s="18"/>
      <c r="FR44" s="18"/>
      <c r="FS44" s="18"/>
      <c r="FT44" s="18"/>
      <c r="FU44" s="18"/>
      <c r="FV44" s="18"/>
      <c r="FW44" s="18"/>
      <c r="FX44" s="18"/>
      <c r="FY44" s="18"/>
      <c r="FZ44" s="18"/>
      <c r="GA44" s="18"/>
      <c r="GB44" s="18"/>
      <c r="GC44" s="18"/>
      <c r="GD44" s="18"/>
      <c r="GE44" s="18"/>
      <c r="GF44" s="18"/>
      <c r="GG44" s="18"/>
      <c r="GH44" s="18"/>
      <c r="GI44" s="18"/>
      <c r="GJ44" s="18"/>
      <c r="GK44" s="18"/>
      <c r="GL44" s="18"/>
      <c r="GM44" s="18"/>
      <c r="GN44" s="18"/>
      <c r="GO44" s="18"/>
      <c r="GP44" s="18"/>
      <c r="GQ44" s="18"/>
      <c r="GR44" s="18"/>
      <c r="GS44" s="18"/>
      <c r="GT44" s="18"/>
      <c r="GU44" s="18"/>
      <c r="GV44" s="18"/>
      <c r="GW44" s="18"/>
      <c r="GX44" s="18"/>
      <c r="GY44" s="18"/>
      <c r="GZ44" s="18"/>
      <c r="HA44" s="18"/>
      <c r="HB44" s="18"/>
      <c r="HC44" s="18"/>
      <c r="HD44" s="18"/>
      <c r="HE44" s="18"/>
      <c r="HF44" s="18"/>
      <c r="HG44" s="18"/>
      <c r="HH44" s="18"/>
      <c r="HI44" s="18"/>
      <c r="HJ44" s="18"/>
      <c r="HK44" s="18"/>
      <c r="HL44" s="18"/>
      <c r="HM44" s="18"/>
      <c r="HN44" s="18"/>
      <c r="HO44" s="18"/>
      <c r="HP44" s="18"/>
      <c r="HQ44" s="18"/>
      <c r="HR44" s="18"/>
      <c r="HS44" s="18"/>
      <c r="HT44" s="18"/>
      <c r="HU44" s="18"/>
      <c r="HV44" s="18"/>
      <c r="HW44" s="18"/>
      <c r="HX44" s="18"/>
      <c r="HY44" s="18"/>
      <c r="HZ44" s="18"/>
      <c r="IA44" s="18"/>
      <c r="IB44" s="18"/>
      <c r="IC44" s="18"/>
      <c r="ID44" s="18"/>
      <c r="IE44" s="18"/>
      <c r="IF44" s="18"/>
      <c r="IG44" s="18"/>
      <c r="IH44" s="18"/>
      <c r="II44" s="18"/>
      <c r="IJ44" s="18"/>
      <c r="IK44" s="18"/>
      <c r="IL44" s="18"/>
      <c r="IM44" s="18"/>
      <c r="IN44" s="18"/>
      <c r="IO44" s="18"/>
      <c r="IP44" s="18"/>
      <c r="IQ44" s="18"/>
      <c r="IR44" s="18"/>
      <c r="IS44" s="18"/>
      <c r="IT44" s="18"/>
      <c r="IU44" s="18"/>
      <c r="IV44" s="18"/>
      <c r="IW44" s="18"/>
      <c r="IX44" s="18"/>
      <c r="IY44" s="18"/>
      <c r="IZ44" s="18"/>
      <c r="JA44" s="18"/>
      <c r="JB44" s="18"/>
      <c r="JC44" s="18"/>
      <c r="JD44" s="18"/>
      <c r="JE44" s="18"/>
      <c r="JF44" s="18"/>
      <c r="JG44" s="18"/>
      <c r="JH44" s="18"/>
      <c r="JI44" s="18"/>
      <c r="JJ44" s="18"/>
      <c r="JK44" s="18"/>
      <c r="JL44" s="18"/>
      <c r="JM44" s="18"/>
      <c r="JN44" s="18"/>
      <c r="JO44" s="18"/>
      <c r="JP44" s="18"/>
      <c r="JQ44" s="18"/>
      <c r="JR44" s="18"/>
      <c r="JS44" s="18"/>
      <c r="JT44" s="18"/>
      <c r="JU44" s="18"/>
      <c r="JV44" s="18"/>
      <c r="JW44" s="18"/>
      <c r="JX44" s="18"/>
      <c r="JY44" s="18"/>
      <c r="JZ44" s="18"/>
      <c r="KA44" s="18"/>
      <c r="KB44" s="18"/>
      <c r="KC44" s="18"/>
      <c r="KD44" s="18"/>
      <c r="KE44" s="18"/>
      <c r="KF44" s="18"/>
      <c r="KG44" s="18"/>
      <c r="KH44" s="18"/>
      <c r="KI44" s="18"/>
      <c r="KJ44" s="18"/>
      <c r="KK44" s="18"/>
      <c r="KL44" s="18"/>
      <c r="KM44" s="18"/>
      <c r="KN44" s="18"/>
      <c r="KO44" s="18"/>
      <c r="KP44" s="18"/>
      <c r="KQ44" s="18"/>
      <c r="KR44" s="18"/>
      <c r="KS44" s="18"/>
      <c r="KT44" s="18"/>
      <c r="KU44" s="18"/>
      <c r="KV44" s="18"/>
      <c r="KW44" s="18"/>
      <c r="KX44" s="18"/>
      <c r="KY44" s="18"/>
      <c r="KZ44" s="18"/>
      <c r="LA44" s="18"/>
      <c r="LB44" s="18"/>
      <c r="LC44" s="18"/>
      <c r="LD44" s="18"/>
      <c r="LE44" s="18"/>
      <c r="LF44" s="18"/>
      <c r="LG44" s="18"/>
      <c r="LH44" s="18"/>
      <c r="LI44" s="18"/>
      <c r="LJ44" s="18"/>
      <c r="LK44" s="18"/>
      <c r="LL44" s="18"/>
      <c r="LM44" s="18"/>
      <c r="LN44" s="18"/>
      <c r="LO44" s="18"/>
      <c r="LP44" s="18"/>
      <c r="LQ44" s="18"/>
      <c r="LR44" s="18"/>
      <c r="LS44" s="18"/>
      <c r="LT44" s="18"/>
      <c r="LU44" s="18"/>
      <c r="LV44" s="18"/>
      <c r="LW44" s="18"/>
      <c r="LX44" s="18"/>
      <c r="LY44" s="18"/>
      <c r="LZ44" s="18"/>
      <c r="MA44" s="18"/>
      <c r="MB44" s="18"/>
      <c r="MC44" s="18"/>
      <c r="MD44" s="18"/>
      <c r="ME44" s="18"/>
      <c r="MF44" s="18"/>
      <c r="MG44" s="18"/>
      <c r="MH44" s="18"/>
      <c r="MI44" s="18"/>
      <c r="MJ44" s="18"/>
      <c r="MK44" s="18"/>
      <c r="ML44" s="18"/>
      <c r="MM44" s="18"/>
      <c r="MN44" s="18"/>
      <c r="MO44" s="18"/>
      <c r="MP44" s="18"/>
      <c r="MQ44" s="18"/>
      <c r="MR44" s="18"/>
      <c r="MS44" s="18"/>
      <c r="MT44" s="18"/>
      <c r="MU44" s="18"/>
      <c r="MV44" s="18"/>
      <c r="MW44" s="18"/>
      <c r="MX44" s="18"/>
      <c r="MY44" s="18"/>
      <c r="MZ44" s="18"/>
      <c r="NA44" s="18"/>
      <c r="NB44" s="18"/>
      <c r="NC44" s="18"/>
      <c r="ND44" s="18"/>
      <c r="NE44" s="18"/>
      <c r="NF44" s="18"/>
      <c r="NG44" s="18"/>
      <c r="NH44" s="18"/>
      <c r="NI44" s="18"/>
      <c r="NJ44" s="18"/>
      <c r="NK44" s="18"/>
      <c r="NL44" s="18"/>
      <c r="NM44" s="18"/>
      <c r="NN44" s="18"/>
      <c r="NO44" s="18"/>
      <c r="NP44" s="18"/>
      <c r="NQ44" s="18"/>
      <c r="NR44" s="18"/>
      <c r="NS44" s="18"/>
      <c r="NT44" s="18"/>
      <c r="NU44" s="18"/>
      <c r="NV44" s="18"/>
      <c r="NW44" s="18"/>
      <c r="NX44" s="18"/>
      <c r="NY44" s="18"/>
      <c r="NZ44" s="18"/>
      <c r="OA44" s="18"/>
      <c r="OB44" s="18"/>
      <c r="OC44" s="18"/>
      <c r="OD44" s="18"/>
      <c r="OE44" s="18"/>
      <c r="OF44" s="18"/>
      <c r="OG44" s="18"/>
      <c r="OH44" s="18"/>
      <c r="OI44" s="18"/>
      <c r="OJ44" s="18"/>
      <c r="OK44" s="18"/>
      <c r="OL44" s="18"/>
      <c r="OM44" s="18"/>
      <c r="ON44" s="18"/>
      <c r="OO44" s="18"/>
      <c r="OP44" s="18"/>
      <c r="OQ44" s="18"/>
      <c r="OR44" s="18"/>
      <c r="OS44" s="18"/>
      <c r="OT44" s="18"/>
      <c r="OU44" s="18"/>
      <c r="OV44" s="18"/>
      <c r="OW44" s="18"/>
      <c r="OX44" s="18"/>
      <c r="OY44" s="18"/>
      <c r="OZ44" s="18"/>
      <c r="PA44" s="18"/>
      <c r="PB44" s="18"/>
      <c r="PC44" s="18"/>
      <c r="PD44" s="18"/>
      <c r="PE44" s="18"/>
      <c r="PF44" s="18"/>
      <c r="PG44" s="18"/>
      <c r="PH44" s="18"/>
      <c r="PI44" s="18"/>
      <c r="PJ44" s="18"/>
      <c r="PK44" s="18"/>
      <c r="PL44" s="18"/>
      <c r="PM44" s="18"/>
      <c r="PN44" s="18"/>
      <c r="PO44" s="18"/>
      <c r="PP44" s="18"/>
      <c r="PQ44" s="18"/>
      <c r="PR44" s="18"/>
      <c r="PS44" s="18"/>
      <c r="PT44" s="18"/>
      <c r="PU44" s="18"/>
      <c r="PV44" s="18"/>
      <c r="PW44" s="18"/>
      <c r="PX44" s="18"/>
      <c r="PY44" s="18"/>
      <c r="PZ44" s="18"/>
      <c r="QA44" s="18"/>
      <c r="QB44" s="18"/>
      <c r="QC44" s="18"/>
      <c r="QD44" s="18"/>
      <c r="QE44" s="18"/>
      <c r="QF44" s="18"/>
      <c r="QG44" s="18"/>
      <c r="QH44" s="18"/>
      <c r="QI44" s="18"/>
      <c r="QJ44" s="18"/>
      <c r="QK44" s="18"/>
      <c r="QL44" s="18"/>
      <c r="QM44" s="18"/>
      <c r="QN44" s="18"/>
      <c r="QO44" s="18"/>
      <c r="QP44" s="18"/>
      <c r="QQ44" s="18"/>
      <c r="QR44" s="18"/>
      <c r="QS44" s="18"/>
      <c r="QT44" s="18"/>
      <c r="QU44" s="18"/>
      <c r="QV44" s="18"/>
      <c r="QW44" s="18"/>
      <c r="QX44" s="18"/>
      <c r="QY44" s="18"/>
      <c r="QZ44" s="18"/>
      <c r="RA44" s="18"/>
      <c r="RB44" s="18"/>
      <c r="RC44" s="18"/>
      <c r="RD44" s="18"/>
      <c r="RE44" s="18"/>
      <c r="RF44" s="18"/>
      <c r="RG44" s="18"/>
      <c r="RH44" s="18"/>
      <c r="RI44" s="18"/>
      <c r="RJ44" s="18"/>
      <c r="RK44" s="18"/>
      <c r="RL44" s="18"/>
      <c r="RM44" s="18"/>
      <c r="RN44" s="18"/>
      <c r="RO44" s="18"/>
      <c r="RP44" s="18"/>
      <c r="RQ44" s="18"/>
      <c r="RR44" s="18"/>
      <c r="RS44" s="18"/>
      <c r="RT44" s="18"/>
      <c r="RU44" s="18"/>
      <c r="RV44" s="18"/>
      <c r="RW44" s="18"/>
      <c r="RX44" s="18"/>
      <c r="RY44" s="18"/>
      <c r="RZ44" s="18"/>
      <c r="SA44" s="18"/>
      <c r="SB44" s="18"/>
      <c r="SC44" s="18"/>
      <c r="SD44" s="18"/>
      <c r="SE44" s="18"/>
      <c r="SF44" s="18"/>
      <c r="SG44" s="18"/>
      <c r="SH44" s="18"/>
      <c r="SI44" s="18"/>
      <c r="SJ44" s="18"/>
      <c r="SK44" s="18"/>
      <c r="SL44" s="18"/>
      <c r="SM44" s="18"/>
      <c r="SN44" s="18"/>
      <c r="SO44" s="18"/>
      <c r="SP44" s="18"/>
      <c r="SQ44" s="18"/>
      <c r="SR44" s="18"/>
      <c r="SS44" s="18"/>
      <c r="ST44" s="18"/>
      <c r="SU44" s="18"/>
      <c r="SV44" s="18"/>
      <c r="SW44" s="18"/>
      <c r="SX44" s="18"/>
      <c r="SY44" s="18"/>
      <c r="SZ44" s="18"/>
      <c r="TA44" s="18"/>
      <c r="TB44" s="18"/>
      <c r="TC44" s="18"/>
      <c r="TD44" s="18"/>
      <c r="TE44" s="18"/>
      <c r="TF44" s="18"/>
      <c r="TG44" s="18"/>
      <c r="TH44" s="18"/>
      <c r="TI44" s="18"/>
      <c r="TJ44" s="18"/>
      <c r="TK44" s="18"/>
      <c r="TL44" s="18"/>
      <c r="TM44" s="18"/>
      <c r="TN44" s="18"/>
      <c r="TO44" s="18"/>
      <c r="TP44" s="18"/>
      <c r="TQ44" s="18"/>
      <c r="TR44" s="18"/>
      <c r="TS44" s="18"/>
      <c r="TT44" s="18"/>
      <c r="TU44" s="18"/>
      <c r="TV44" s="18"/>
      <c r="TW44" s="18"/>
      <c r="TX44" s="18"/>
      <c r="TY44" s="18"/>
      <c r="TZ44" s="18"/>
      <c r="UA44" s="18"/>
      <c r="UB44" s="18"/>
      <c r="UC44" s="18"/>
      <c r="UD44" s="18"/>
      <c r="UE44" s="18"/>
      <c r="UF44" s="18"/>
      <c r="UG44" s="18"/>
      <c r="UH44" s="18"/>
      <c r="UI44" s="18"/>
      <c r="UJ44" s="18"/>
      <c r="UK44" s="18"/>
      <c r="UL44" s="18"/>
      <c r="UM44" s="18"/>
      <c r="UN44" s="18"/>
      <c r="UO44" s="18"/>
      <c r="UP44" s="18"/>
      <c r="UQ44" s="18"/>
      <c r="UR44" s="18"/>
      <c r="US44" s="18"/>
      <c r="UT44" s="18"/>
      <c r="UU44" s="18"/>
      <c r="UV44" s="18"/>
      <c r="UW44" s="18"/>
      <c r="UX44" s="18"/>
      <c r="UY44" s="18"/>
      <c r="UZ44" s="18"/>
      <c r="VA44" s="18"/>
      <c r="VB44" s="18"/>
      <c r="VC44" s="18"/>
      <c r="VD44" s="18"/>
      <c r="VE44" s="18"/>
      <c r="VF44" s="18"/>
      <c r="VG44" s="18"/>
      <c r="VH44" s="18"/>
      <c r="VI44" s="18"/>
      <c r="VJ44" s="18"/>
      <c r="VK44" s="18"/>
      <c r="VL44" s="18"/>
      <c r="VM44" s="18"/>
      <c r="VN44" s="18"/>
      <c r="VO44" s="18"/>
      <c r="VP44" s="18"/>
      <c r="VQ44" s="18"/>
      <c r="VR44" s="18"/>
      <c r="VS44" s="18"/>
      <c r="VT44" s="18"/>
      <c r="VU44" s="18"/>
      <c r="VV44" s="18"/>
      <c r="VW44" s="18"/>
      <c r="VX44" s="18"/>
      <c r="VY44" s="18"/>
      <c r="VZ44" s="18"/>
      <c r="WA44" s="18"/>
      <c r="WB44" s="18"/>
      <c r="WC44" s="18"/>
      <c r="WD44" s="18"/>
      <c r="WE44" s="18"/>
      <c r="WF44" s="18"/>
      <c r="WG44" s="18"/>
      <c r="WH44" s="18"/>
      <c r="WI44" s="18"/>
      <c r="WJ44" s="18"/>
      <c r="WK44" s="18"/>
      <c r="WL44" s="18"/>
      <c r="WM44" s="18"/>
      <c r="WN44" s="18"/>
      <c r="WO44" s="18"/>
      <c r="WP44" s="18"/>
      <c r="WQ44" s="18"/>
      <c r="WR44" s="18"/>
      <c r="WS44" s="18"/>
      <c r="WT44" s="18"/>
      <c r="WU44" s="18"/>
      <c r="WV44" s="18"/>
      <c r="WW44" s="18"/>
      <c r="WX44" s="18"/>
      <c r="WY44" s="18"/>
      <c r="WZ44" s="18"/>
      <c r="XA44" s="18"/>
      <c r="XB44" s="18"/>
      <c r="XC44" s="18"/>
      <c r="XD44" s="18"/>
      <c r="XE44" s="18"/>
      <c r="XF44" s="18"/>
      <c r="XG44" s="18"/>
      <c r="XH44" s="18"/>
      <c r="XI44" s="18"/>
      <c r="XJ44" s="18"/>
      <c r="XK44" s="18"/>
      <c r="XL44" s="18"/>
      <c r="XM44" s="18"/>
      <c r="XN44" s="18"/>
      <c r="XO44" s="18"/>
      <c r="XP44" s="18"/>
      <c r="XQ44" s="18"/>
      <c r="XR44" s="18"/>
      <c r="XS44" s="18"/>
      <c r="XT44" s="18"/>
      <c r="XU44" s="18"/>
      <c r="XV44" s="18"/>
      <c r="XW44" s="18"/>
      <c r="XX44" s="18"/>
      <c r="XY44" s="18"/>
      <c r="XZ44" s="18"/>
      <c r="YA44" s="18"/>
      <c r="YB44" s="18"/>
      <c r="YC44" s="18"/>
      <c r="YD44" s="18"/>
      <c r="YE44" s="18"/>
      <c r="YF44" s="18"/>
      <c r="YG44" s="18"/>
      <c r="YH44" s="18"/>
      <c r="YI44" s="18"/>
      <c r="YJ44" s="18"/>
      <c r="YK44" s="18"/>
      <c r="YL44" s="18"/>
      <c r="YM44" s="18"/>
      <c r="YN44" s="18"/>
      <c r="YO44" s="18"/>
      <c r="YP44" s="18"/>
      <c r="YQ44" s="18"/>
      <c r="YR44" s="18"/>
      <c r="YS44" s="18"/>
      <c r="YT44" s="18"/>
      <c r="YU44" s="18"/>
      <c r="YV44" s="18"/>
      <c r="YW44" s="18"/>
      <c r="YX44" s="18"/>
      <c r="YY44" s="18"/>
      <c r="YZ44" s="18"/>
      <c r="ZA44" s="18"/>
      <c r="ZB44" s="18"/>
      <c r="ZC44" s="18"/>
      <c r="ZD44" s="18"/>
      <c r="ZE44" s="18"/>
      <c r="ZF44" s="18"/>
      <c r="ZG44" s="18"/>
      <c r="ZH44" s="18"/>
      <c r="ZI44" s="18"/>
      <c r="ZJ44" s="18"/>
      <c r="ZK44" s="18"/>
      <c r="ZL44" s="18"/>
      <c r="ZM44" s="18"/>
      <c r="ZN44" s="18"/>
      <c r="ZO44" s="18"/>
      <c r="ZP44" s="18"/>
      <c r="ZQ44" s="18"/>
      <c r="ZR44" s="18"/>
      <c r="ZS44" s="18"/>
      <c r="ZT44" s="18"/>
      <c r="ZU44" s="18"/>
      <c r="ZV44" s="18"/>
      <c r="ZW44" s="18"/>
      <c r="ZX44" s="18"/>
      <c r="ZY44" s="18"/>
      <c r="ZZ44" s="18"/>
      <c r="AAA44" s="18"/>
      <c r="AAB44" s="18"/>
      <c r="AAC44" s="18"/>
      <c r="AAD44" s="18"/>
      <c r="AAE44" s="18"/>
      <c r="AAF44" s="18"/>
      <c r="AAG44" s="18"/>
      <c r="AAH44" s="18"/>
      <c r="AAI44" s="18"/>
      <c r="AAJ44" s="18"/>
      <c r="AAK44" s="18"/>
      <c r="AAL44" s="18"/>
      <c r="AAM44" s="18"/>
      <c r="AAN44" s="18"/>
      <c r="AAO44" s="18"/>
      <c r="AAP44" s="18"/>
      <c r="AAQ44" s="18"/>
      <c r="AAR44" s="18"/>
      <c r="AAS44" s="18"/>
      <c r="AAT44" s="18"/>
      <c r="AAU44" s="18"/>
      <c r="AAV44" s="18"/>
      <c r="AAW44" s="18"/>
      <c r="AAX44" s="18"/>
      <c r="AAY44" s="18"/>
      <c r="AAZ44" s="18"/>
      <c r="ABA44" s="18"/>
      <c r="ABB44" s="18"/>
      <c r="ABC44" s="18"/>
      <c r="ABD44" s="18"/>
      <c r="ABE44" s="18"/>
      <c r="ABF44" s="18"/>
      <c r="ABG44" s="18"/>
      <c r="ABH44" s="18"/>
      <c r="ABI44" s="18"/>
      <c r="ABJ44" s="18"/>
      <c r="ABK44" s="18"/>
      <c r="ABL44" s="18"/>
      <c r="ABM44" s="18"/>
      <c r="ABN44" s="18"/>
      <c r="ABO44" s="18"/>
      <c r="ABP44" s="18"/>
      <c r="ABQ44" s="18"/>
      <c r="ABR44" s="18"/>
      <c r="ABS44" s="18"/>
      <c r="ABT44" s="18"/>
      <c r="ABU44" s="18"/>
      <c r="ABV44" s="18"/>
      <c r="ABW44" s="18"/>
      <c r="ABX44" s="18"/>
      <c r="ABY44" s="18"/>
      <c r="ABZ44" s="18"/>
      <c r="ACA44" s="18"/>
      <c r="ACB44" s="18"/>
      <c r="ACC44" s="18"/>
      <c r="ACD44" s="18"/>
      <c r="ACE44" s="18"/>
      <c r="ACF44" s="18"/>
      <c r="ACG44" s="18"/>
      <c r="ACH44" s="18"/>
      <c r="ACI44" s="18"/>
      <c r="ACJ44" s="18"/>
      <c r="ACK44" s="18"/>
      <c r="ACL44" s="18"/>
      <c r="ACM44" s="18"/>
      <c r="ACN44" s="18"/>
      <c r="ACO44" s="18"/>
      <c r="ACP44" s="18"/>
      <c r="ACQ44" s="18"/>
      <c r="ACR44" s="18"/>
      <c r="ACS44" s="18"/>
      <c r="ACT44" s="18"/>
      <c r="ACU44" s="18"/>
      <c r="ACV44" s="18"/>
      <c r="ACW44" s="18"/>
      <c r="ACX44" s="18"/>
      <c r="ACY44" s="18"/>
      <c r="ACZ44" s="18"/>
      <c r="ADA44" s="18"/>
      <c r="ADB44" s="18"/>
      <c r="ADC44" s="18"/>
      <c r="ADD44" s="18"/>
      <c r="ADE44" s="18"/>
      <c r="ADF44" s="18"/>
      <c r="ADG44" s="18"/>
      <c r="ADH44" s="18"/>
      <c r="ADI44" s="18"/>
      <c r="ADJ44" s="18"/>
      <c r="ADK44" s="18"/>
      <c r="ADL44" s="18"/>
      <c r="ADM44" s="18"/>
      <c r="ADN44" s="18"/>
      <c r="ADO44" s="18"/>
      <c r="ADP44" s="18"/>
      <c r="ADQ44" s="18"/>
      <c r="ADR44" s="18"/>
      <c r="ADS44" s="18"/>
      <c r="ADT44" s="18"/>
      <c r="ADU44" s="18"/>
      <c r="ADV44" s="18"/>
      <c r="ADW44" s="18"/>
      <c r="ADX44" s="18"/>
      <c r="ADY44" s="18"/>
      <c r="ADZ44" s="18"/>
      <c r="AEA44" s="18"/>
      <c r="AEB44" s="18"/>
      <c r="AEC44" s="18"/>
      <c r="AED44" s="18"/>
      <c r="AEE44" s="18"/>
      <c r="AEF44" s="18"/>
      <c r="AEG44" s="18"/>
      <c r="AEH44" s="18"/>
      <c r="AEI44" s="18"/>
      <c r="AEJ44" s="18"/>
      <c r="AEK44" s="18"/>
      <c r="AEL44" s="18"/>
      <c r="AEM44" s="18"/>
      <c r="AEN44" s="18"/>
      <c r="AEO44" s="18"/>
      <c r="AEP44" s="18"/>
      <c r="AEQ44" s="18"/>
      <c r="AER44" s="18"/>
      <c r="AES44" s="18"/>
      <c r="AET44" s="18"/>
      <c r="AEU44" s="18"/>
      <c r="AEV44" s="18"/>
      <c r="AEW44" s="18"/>
      <c r="AEX44" s="18"/>
      <c r="AEY44" s="18"/>
      <c r="AEZ44" s="18"/>
      <c r="AFA44" s="18"/>
      <c r="AFB44" s="18"/>
      <c r="AFC44" s="18"/>
      <c r="AFD44" s="18"/>
      <c r="AFE44" s="18"/>
      <c r="AFF44" s="18"/>
      <c r="AFG44" s="18"/>
      <c r="AFH44" s="18"/>
      <c r="AFI44" s="18"/>
      <c r="AFJ44" s="18"/>
      <c r="AFK44" s="18"/>
      <c r="AFL44" s="18"/>
      <c r="AFM44" s="18"/>
      <c r="AFN44" s="18"/>
      <c r="AFO44" s="18"/>
      <c r="AFP44" s="18"/>
      <c r="AFQ44" s="18"/>
      <c r="AFR44" s="18"/>
      <c r="AFS44" s="18"/>
      <c r="AFT44" s="18"/>
      <c r="AFU44" s="18"/>
      <c r="AFV44" s="18"/>
      <c r="AFW44" s="18"/>
      <c r="AFX44" s="18"/>
      <c r="AFY44" s="18"/>
      <c r="AFZ44" s="18"/>
      <c r="AGA44" s="18"/>
      <c r="AGB44" s="18"/>
      <c r="AGC44" s="18"/>
      <c r="AGD44" s="18"/>
      <c r="AGE44" s="18"/>
      <c r="AGF44" s="18"/>
      <c r="AGG44" s="18"/>
      <c r="AGH44" s="18"/>
      <c r="AGI44" s="18"/>
      <c r="AGJ44" s="18"/>
      <c r="AGK44" s="18"/>
      <c r="AGL44" s="18"/>
      <c r="AGM44" s="18"/>
      <c r="AGN44" s="18"/>
      <c r="AGO44" s="18"/>
      <c r="AGP44" s="18"/>
      <c r="AGQ44" s="18"/>
      <c r="AGR44" s="18"/>
      <c r="AGS44" s="18"/>
      <c r="AGT44" s="18"/>
      <c r="AGU44" s="18"/>
      <c r="AGV44" s="18"/>
      <c r="AGW44" s="18"/>
      <c r="AGX44" s="18"/>
      <c r="AGY44" s="18"/>
      <c r="AGZ44" s="18"/>
      <c r="AHA44" s="18"/>
      <c r="AHB44" s="18"/>
      <c r="AHC44" s="18"/>
      <c r="AHD44" s="18"/>
      <c r="AHE44" s="18"/>
      <c r="AHF44" s="18"/>
      <c r="AHG44" s="18"/>
      <c r="AHH44" s="18"/>
      <c r="AHI44" s="18"/>
      <c r="AHJ44" s="18"/>
      <c r="AHK44" s="18"/>
      <c r="AHL44" s="18"/>
      <c r="AHM44" s="18"/>
      <c r="AHN44" s="18"/>
      <c r="AHO44" s="18"/>
      <c r="AHP44" s="18"/>
      <c r="AHQ44" s="18"/>
      <c r="AHR44" s="18"/>
      <c r="AHS44" s="18"/>
      <c r="AHT44" s="18"/>
      <c r="AHU44" s="18"/>
      <c r="AHV44" s="18"/>
      <c r="AHW44" s="18"/>
      <c r="AHX44" s="18"/>
      <c r="AHY44" s="18"/>
      <c r="AHZ44" s="18"/>
      <c r="AIA44" s="18"/>
      <c r="AIB44" s="18"/>
      <c r="AIC44" s="18"/>
      <c r="AID44" s="18"/>
      <c r="AIE44" s="18"/>
      <c r="AIF44" s="18"/>
      <c r="AIG44" s="18"/>
      <c r="AIH44" s="18"/>
      <c r="AII44" s="18"/>
      <c r="AIJ44" s="18"/>
      <c r="AIK44" s="18"/>
      <c r="AIL44" s="18"/>
      <c r="AIM44" s="18"/>
      <c r="AIN44" s="18"/>
      <c r="AIO44" s="18"/>
      <c r="AIP44" s="18"/>
      <c r="AIQ44" s="18"/>
      <c r="AIR44" s="18"/>
      <c r="AIS44" s="18"/>
      <c r="AIT44" s="18"/>
      <c r="AIU44" s="18"/>
      <c r="AIV44" s="18"/>
      <c r="AIW44" s="18"/>
      <c r="AIX44" s="18"/>
      <c r="AIY44" s="18"/>
      <c r="AIZ44" s="18"/>
      <c r="AJA44" s="18"/>
      <c r="AJB44" s="18"/>
      <c r="AJC44" s="18"/>
      <c r="AJD44" s="18"/>
      <c r="AJE44" s="18"/>
      <c r="AJF44" s="18"/>
      <c r="AJG44" s="18"/>
      <c r="AJH44" s="18"/>
      <c r="AJI44" s="18"/>
      <c r="AJJ44" s="18"/>
      <c r="AJK44" s="18"/>
      <c r="AJL44" s="18"/>
      <c r="AJM44" s="18"/>
      <c r="AJN44" s="18"/>
      <c r="AJO44" s="18"/>
      <c r="AJP44" s="18"/>
      <c r="AJQ44" s="18"/>
      <c r="AJR44" s="18"/>
      <c r="AJS44" s="18"/>
      <c r="AJT44" s="18"/>
      <c r="AJU44" s="18"/>
      <c r="AJV44" s="18"/>
      <c r="AJW44" s="18"/>
      <c r="AJX44" s="18"/>
      <c r="AJY44" s="18"/>
      <c r="AJZ44" s="18"/>
      <c r="AKA44" s="18"/>
      <c r="AKB44" s="18"/>
      <c r="AKC44" s="18"/>
      <c r="AKD44" s="18"/>
      <c r="AKE44" s="18"/>
      <c r="AKF44" s="18"/>
      <c r="AKG44" s="18"/>
      <c r="AKH44" s="18"/>
      <c r="AKI44" s="18"/>
      <c r="AKJ44" s="18"/>
      <c r="AKK44" s="18"/>
      <c r="AKL44" s="18"/>
      <c r="AKM44" s="18"/>
      <c r="AKN44" s="18"/>
      <c r="AKO44" s="18"/>
      <c r="AKP44" s="18"/>
      <c r="AKQ44" s="18"/>
      <c r="AKR44" s="18"/>
      <c r="AKS44" s="18"/>
      <c r="AKT44" s="18"/>
      <c r="AKU44" s="18"/>
      <c r="AKV44" s="18"/>
      <c r="AKW44" s="18"/>
      <c r="AKX44" s="18"/>
      <c r="AKY44" s="18"/>
      <c r="AKZ44" s="18"/>
      <c r="ALA44" s="18"/>
      <c r="ALB44" s="18"/>
      <c r="ALC44" s="18"/>
      <c r="ALD44" s="18"/>
      <c r="ALE44" s="18"/>
      <c r="ALF44" s="18"/>
      <c r="ALG44" s="18"/>
      <c r="ALH44" s="18"/>
      <c r="ALI44" s="18"/>
      <c r="ALJ44" s="18"/>
      <c r="ALK44" s="18"/>
      <c r="ALL44" s="18"/>
      <c r="ALM44" s="18"/>
      <c r="ALN44" s="18"/>
      <c r="ALO44" s="18"/>
      <c r="ALP44" s="18"/>
      <c r="ALQ44" s="18"/>
      <c r="ALR44" s="18"/>
      <c r="ALS44" s="18"/>
      <c r="ALT44" s="18"/>
    </row>
    <row r="45" spans="1:1008">
      <c r="A45" s="251" t="s">
        <v>6307</v>
      </c>
      <c r="B45" s="290">
        <v>797</v>
      </c>
      <c r="C45" s="278" t="str">
        <f>(IF($A45="SINAPI",INDEX(SINAPI_NOV2020_NDES!$A$7:$H$6703,MATCH($B45,SINAPI_NOV2020_NDES!$A$7:$A$6703,0),2),IF($A45="GOINFRA",INDEX(#REF!,MATCH($B45,#REF!,0),2),(INDEX(COMPOS!$A$4:$G$390,MATCH($B45,COMPOS!$A$4:A$390,0),2)))))</f>
        <v>SIFAO P/LAVATORIO PVC CROMADO DIAM.1"X1.1/2"</v>
      </c>
      <c r="D45" s="274" t="str">
        <f>(IF($A45="SINAPI",INDEX(SINAPI_NOV2020_NDES!$A$7:$H$6790,MATCH($B45,SINAPI_NOV2020_NDES!$A$7:$A$6790,0),3),(INDEX(COMPOS!$A$4:$G$5000,MATCH($B45,COMPOS!$A$4:$A$5000,0),3))))</f>
        <v>UN</v>
      </c>
      <c r="E45" s="314">
        <v>8</v>
      </c>
      <c r="F45" s="279">
        <f>(IF($A45="SINAPI",INDEX(SINAPI_NOV2020_NDES!$A$7:$H$6703,MATCH($B45,SINAPI_NOV2020_NDES!$A$7:$A$6703,0),5),(INDEX(COMPOS!$A$4:$G$801,MATCH($B45,COMPOS!$A$4:A$801,0),4))))</f>
        <v>13.478400000000001</v>
      </c>
      <c r="G45" s="280">
        <f>(IF($A45="SINAPI",INDEX(SINAPI_NOV2020_NDES!$A$7:$H$6703,MATCH($B45,SINAPI_NOV2020_NDES!$A$7:$A$6703,0),6),(INDEX(COMPOS!$A$4:$G$801,MATCH($B45,COMPOS!$A$4:A$801,0),5))))</f>
        <v>34.113800000000005</v>
      </c>
      <c r="H45" s="280">
        <f>(IF($A45="SINAPI",INDEX(SINAPI_NOV2020_NDES!$A$7:$H$6703,MATCH($B45,SINAPI_NOV2020_NDES!$A$7:$A$6703,0),7),(INDEX(COMPOS!$A$4:$G$801,MATCH($B45,COMPOS!$A$4:A$801,0),6))))</f>
        <v>0</v>
      </c>
      <c r="I45" s="279">
        <f t="shared" si="12"/>
        <v>47.592200000000005</v>
      </c>
      <c r="J45" s="276">
        <f t="shared" si="13"/>
        <v>380.73760000000004</v>
      </c>
      <c r="K45" s="191"/>
      <c r="L45" s="191"/>
      <c r="M45" s="191"/>
      <c r="N45" s="191"/>
      <c r="O45" s="262"/>
      <c r="P45" s="263"/>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c r="EF45" s="18"/>
      <c r="EG45" s="18"/>
      <c r="EH45" s="18"/>
      <c r="EI45" s="18"/>
      <c r="EJ45" s="18"/>
      <c r="EK45" s="18"/>
      <c r="EL45" s="18"/>
      <c r="EM45" s="18"/>
      <c r="EN45" s="18"/>
      <c r="EO45" s="18"/>
      <c r="EP45" s="18"/>
      <c r="EQ45" s="18"/>
      <c r="ER45" s="18"/>
      <c r="ES45" s="18"/>
      <c r="ET45" s="18"/>
      <c r="EU45" s="18"/>
      <c r="EV45" s="18"/>
      <c r="EW45" s="18"/>
      <c r="EX45" s="18"/>
      <c r="EY45" s="18"/>
      <c r="EZ45" s="18"/>
      <c r="FA45" s="18"/>
      <c r="FB45" s="18"/>
      <c r="FC45" s="18"/>
      <c r="FD45" s="18"/>
      <c r="FE45" s="18"/>
      <c r="FF45" s="18"/>
      <c r="FG45" s="18"/>
      <c r="FH45" s="18"/>
      <c r="FI45" s="18"/>
      <c r="FJ45" s="18"/>
      <c r="FK45" s="18"/>
      <c r="FL45" s="18"/>
      <c r="FM45" s="18"/>
      <c r="FN45" s="18"/>
      <c r="FO45" s="18"/>
      <c r="FP45" s="18"/>
      <c r="FQ45" s="18"/>
      <c r="FR45" s="18"/>
      <c r="FS45" s="18"/>
      <c r="FT45" s="18"/>
      <c r="FU45" s="18"/>
      <c r="FV45" s="18"/>
      <c r="FW45" s="18"/>
      <c r="FX45" s="18"/>
      <c r="FY45" s="18"/>
      <c r="FZ45" s="18"/>
      <c r="GA45" s="18"/>
      <c r="GB45" s="18"/>
      <c r="GC45" s="18"/>
      <c r="GD45" s="18"/>
      <c r="GE45" s="18"/>
      <c r="GF45" s="18"/>
      <c r="GG45" s="18"/>
      <c r="GH45" s="18"/>
      <c r="GI45" s="18"/>
      <c r="GJ45" s="18"/>
      <c r="GK45" s="18"/>
      <c r="GL45" s="18"/>
      <c r="GM45" s="18"/>
      <c r="GN45" s="18"/>
      <c r="GO45" s="18"/>
      <c r="GP45" s="18"/>
      <c r="GQ45" s="18"/>
      <c r="GR45" s="18"/>
      <c r="GS45" s="18"/>
      <c r="GT45" s="18"/>
      <c r="GU45" s="18"/>
      <c r="GV45" s="18"/>
      <c r="GW45" s="18"/>
      <c r="GX45" s="18"/>
      <c r="GY45" s="18"/>
      <c r="GZ45" s="18"/>
      <c r="HA45" s="18"/>
      <c r="HB45" s="18"/>
      <c r="HC45" s="18"/>
      <c r="HD45" s="18"/>
      <c r="HE45" s="18"/>
      <c r="HF45" s="18"/>
      <c r="HG45" s="18"/>
      <c r="HH45" s="18"/>
      <c r="HI45" s="18"/>
      <c r="HJ45" s="18"/>
      <c r="HK45" s="18"/>
      <c r="HL45" s="18"/>
      <c r="HM45" s="18"/>
      <c r="HN45" s="18"/>
      <c r="HO45" s="18"/>
      <c r="HP45" s="18"/>
      <c r="HQ45" s="18"/>
      <c r="HR45" s="18"/>
      <c r="HS45" s="18"/>
      <c r="HT45" s="18"/>
      <c r="HU45" s="18"/>
      <c r="HV45" s="18"/>
      <c r="HW45" s="18"/>
      <c r="HX45" s="18"/>
      <c r="HY45" s="18"/>
      <c r="HZ45" s="18"/>
      <c r="IA45" s="18"/>
      <c r="IB45" s="18"/>
      <c r="IC45" s="18"/>
      <c r="ID45" s="18"/>
      <c r="IE45" s="18"/>
      <c r="IF45" s="18"/>
      <c r="IG45" s="18"/>
      <c r="IH45" s="18"/>
      <c r="II45" s="18"/>
      <c r="IJ45" s="18"/>
      <c r="IK45" s="18"/>
      <c r="IL45" s="18"/>
      <c r="IM45" s="18"/>
      <c r="IN45" s="18"/>
      <c r="IO45" s="18"/>
      <c r="IP45" s="18"/>
      <c r="IQ45" s="18"/>
      <c r="IR45" s="18"/>
      <c r="IS45" s="18"/>
      <c r="IT45" s="18"/>
      <c r="IU45" s="18"/>
      <c r="IV45" s="18"/>
      <c r="IW45" s="18"/>
      <c r="IX45" s="18"/>
      <c r="IY45" s="18"/>
      <c r="IZ45" s="18"/>
      <c r="JA45" s="18"/>
      <c r="JB45" s="18"/>
      <c r="JC45" s="18"/>
      <c r="JD45" s="18"/>
      <c r="JE45" s="18"/>
      <c r="JF45" s="18"/>
      <c r="JG45" s="18"/>
      <c r="JH45" s="18"/>
      <c r="JI45" s="18"/>
      <c r="JJ45" s="18"/>
      <c r="JK45" s="18"/>
      <c r="JL45" s="18"/>
      <c r="JM45" s="18"/>
      <c r="JN45" s="18"/>
      <c r="JO45" s="18"/>
      <c r="JP45" s="18"/>
      <c r="JQ45" s="18"/>
      <c r="JR45" s="18"/>
      <c r="JS45" s="18"/>
      <c r="JT45" s="18"/>
      <c r="JU45" s="18"/>
      <c r="JV45" s="18"/>
      <c r="JW45" s="18"/>
      <c r="JX45" s="18"/>
      <c r="JY45" s="18"/>
      <c r="JZ45" s="18"/>
      <c r="KA45" s="18"/>
      <c r="KB45" s="18"/>
      <c r="KC45" s="18"/>
      <c r="KD45" s="18"/>
      <c r="KE45" s="18"/>
      <c r="KF45" s="18"/>
      <c r="KG45" s="18"/>
      <c r="KH45" s="18"/>
      <c r="KI45" s="18"/>
      <c r="KJ45" s="18"/>
      <c r="KK45" s="18"/>
      <c r="KL45" s="18"/>
      <c r="KM45" s="18"/>
      <c r="KN45" s="18"/>
      <c r="KO45" s="18"/>
      <c r="KP45" s="18"/>
      <c r="KQ45" s="18"/>
      <c r="KR45" s="18"/>
      <c r="KS45" s="18"/>
      <c r="KT45" s="18"/>
      <c r="KU45" s="18"/>
      <c r="KV45" s="18"/>
      <c r="KW45" s="18"/>
      <c r="KX45" s="18"/>
      <c r="KY45" s="18"/>
      <c r="KZ45" s="18"/>
      <c r="LA45" s="18"/>
      <c r="LB45" s="18"/>
      <c r="LC45" s="18"/>
      <c r="LD45" s="18"/>
      <c r="LE45" s="18"/>
      <c r="LF45" s="18"/>
      <c r="LG45" s="18"/>
      <c r="LH45" s="18"/>
      <c r="LI45" s="18"/>
      <c r="LJ45" s="18"/>
      <c r="LK45" s="18"/>
      <c r="LL45" s="18"/>
      <c r="LM45" s="18"/>
      <c r="LN45" s="18"/>
      <c r="LO45" s="18"/>
      <c r="LP45" s="18"/>
      <c r="LQ45" s="18"/>
      <c r="LR45" s="18"/>
      <c r="LS45" s="18"/>
      <c r="LT45" s="18"/>
      <c r="LU45" s="18"/>
      <c r="LV45" s="18"/>
      <c r="LW45" s="18"/>
      <c r="LX45" s="18"/>
      <c r="LY45" s="18"/>
      <c r="LZ45" s="18"/>
      <c r="MA45" s="18"/>
      <c r="MB45" s="18"/>
      <c r="MC45" s="18"/>
      <c r="MD45" s="18"/>
      <c r="ME45" s="18"/>
      <c r="MF45" s="18"/>
      <c r="MG45" s="18"/>
      <c r="MH45" s="18"/>
      <c r="MI45" s="18"/>
      <c r="MJ45" s="18"/>
      <c r="MK45" s="18"/>
      <c r="ML45" s="18"/>
      <c r="MM45" s="18"/>
      <c r="MN45" s="18"/>
      <c r="MO45" s="18"/>
      <c r="MP45" s="18"/>
      <c r="MQ45" s="18"/>
      <c r="MR45" s="18"/>
      <c r="MS45" s="18"/>
      <c r="MT45" s="18"/>
      <c r="MU45" s="18"/>
      <c r="MV45" s="18"/>
      <c r="MW45" s="18"/>
      <c r="MX45" s="18"/>
      <c r="MY45" s="18"/>
      <c r="MZ45" s="18"/>
      <c r="NA45" s="18"/>
      <c r="NB45" s="18"/>
      <c r="NC45" s="18"/>
      <c r="ND45" s="18"/>
      <c r="NE45" s="18"/>
      <c r="NF45" s="18"/>
      <c r="NG45" s="18"/>
      <c r="NH45" s="18"/>
      <c r="NI45" s="18"/>
      <c r="NJ45" s="18"/>
      <c r="NK45" s="18"/>
      <c r="NL45" s="18"/>
      <c r="NM45" s="18"/>
      <c r="NN45" s="18"/>
      <c r="NO45" s="18"/>
      <c r="NP45" s="18"/>
      <c r="NQ45" s="18"/>
      <c r="NR45" s="18"/>
      <c r="NS45" s="18"/>
      <c r="NT45" s="18"/>
      <c r="NU45" s="18"/>
      <c r="NV45" s="18"/>
      <c r="NW45" s="18"/>
      <c r="NX45" s="18"/>
      <c r="NY45" s="18"/>
      <c r="NZ45" s="18"/>
      <c r="OA45" s="18"/>
      <c r="OB45" s="18"/>
      <c r="OC45" s="18"/>
      <c r="OD45" s="18"/>
      <c r="OE45" s="18"/>
      <c r="OF45" s="18"/>
      <c r="OG45" s="18"/>
      <c r="OH45" s="18"/>
      <c r="OI45" s="18"/>
      <c r="OJ45" s="18"/>
      <c r="OK45" s="18"/>
      <c r="OL45" s="18"/>
      <c r="OM45" s="18"/>
      <c r="ON45" s="18"/>
      <c r="OO45" s="18"/>
      <c r="OP45" s="18"/>
      <c r="OQ45" s="18"/>
      <c r="OR45" s="18"/>
      <c r="OS45" s="18"/>
      <c r="OT45" s="18"/>
      <c r="OU45" s="18"/>
      <c r="OV45" s="18"/>
      <c r="OW45" s="18"/>
      <c r="OX45" s="18"/>
      <c r="OY45" s="18"/>
      <c r="OZ45" s="18"/>
      <c r="PA45" s="18"/>
      <c r="PB45" s="18"/>
      <c r="PC45" s="18"/>
      <c r="PD45" s="18"/>
      <c r="PE45" s="18"/>
      <c r="PF45" s="18"/>
      <c r="PG45" s="18"/>
      <c r="PH45" s="18"/>
      <c r="PI45" s="18"/>
      <c r="PJ45" s="18"/>
      <c r="PK45" s="18"/>
      <c r="PL45" s="18"/>
      <c r="PM45" s="18"/>
      <c r="PN45" s="18"/>
      <c r="PO45" s="18"/>
      <c r="PP45" s="18"/>
      <c r="PQ45" s="18"/>
      <c r="PR45" s="18"/>
      <c r="PS45" s="18"/>
      <c r="PT45" s="18"/>
      <c r="PU45" s="18"/>
      <c r="PV45" s="18"/>
      <c r="PW45" s="18"/>
      <c r="PX45" s="18"/>
      <c r="PY45" s="18"/>
      <c r="PZ45" s="18"/>
      <c r="QA45" s="18"/>
      <c r="QB45" s="18"/>
      <c r="QC45" s="18"/>
      <c r="QD45" s="18"/>
      <c r="QE45" s="18"/>
      <c r="QF45" s="18"/>
      <c r="QG45" s="18"/>
      <c r="QH45" s="18"/>
      <c r="QI45" s="18"/>
      <c r="QJ45" s="18"/>
      <c r="QK45" s="18"/>
      <c r="QL45" s="18"/>
      <c r="QM45" s="18"/>
      <c r="QN45" s="18"/>
      <c r="QO45" s="18"/>
      <c r="QP45" s="18"/>
      <c r="QQ45" s="18"/>
      <c r="QR45" s="18"/>
      <c r="QS45" s="18"/>
      <c r="QT45" s="18"/>
      <c r="QU45" s="18"/>
      <c r="QV45" s="18"/>
      <c r="QW45" s="18"/>
      <c r="QX45" s="18"/>
      <c r="QY45" s="18"/>
      <c r="QZ45" s="18"/>
      <c r="RA45" s="18"/>
      <c r="RB45" s="18"/>
      <c r="RC45" s="18"/>
      <c r="RD45" s="18"/>
      <c r="RE45" s="18"/>
      <c r="RF45" s="18"/>
      <c r="RG45" s="18"/>
      <c r="RH45" s="18"/>
      <c r="RI45" s="18"/>
      <c r="RJ45" s="18"/>
      <c r="RK45" s="18"/>
      <c r="RL45" s="18"/>
      <c r="RM45" s="18"/>
      <c r="RN45" s="18"/>
      <c r="RO45" s="18"/>
      <c r="RP45" s="18"/>
      <c r="RQ45" s="18"/>
      <c r="RR45" s="18"/>
      <c r="RS45" s="18"/>
      <c r="RT45" s="18"/>
      <c r="RU45" s="18"/>
      <c r="RV45" s="18"/>
      <c r="RW45" s="18"/>
      <c r="RX45" s="18"/>
      <c r="RY45" s="18"/>
      <c r="RZ45" s="18"/>
      <c r="SA45" s="18"/>
      <c r="SB45" s="18"/>
      <c r="SC45" s="18"/>
      <c r="SD45" s="18"/>
      <c r="SE45" s="18"/>
      <c r="SF45" s="18"/>
      <c r="SG45" s="18"/>
      <c r="SH45" s="18"/>
      <c r="SI45" s="18"/>
      <c r="SJ45" s="18"/>
      <c r="SK45" s="18"/>
      <c r="SL45" s="18"/>
      <c r="SM45" s="18"/>
      <c r="SN45" s="18"/>
      <c r="SO45" s="18"/>
      <c r="SP45" s="18"/>
      <c r="SQ45" s="18"/>
      <c r="SR45" s="18"/>
      <c r="SS45" s="18"/>
      <c r="ST45" s="18"/>
      <c r="SU45" s="18"/>
      <c r="SV45" s="18"/>
      <c r="SW45" s="18"/>
      <c r="SX45" s="18"/>
      <c r="SY45" s="18"/>
      <c r="SZ45" s="18"/>
      <c r="TA45" s="18"/>
      <c r="TB45" s="18"/>
      <c r="TC45" s="18"/>
      <c r="TD45" s="18"/>
      <c r="TE45" s="18"/>
      <c r="TF45" s="18"/>
      <c r="TG45" s="18"/>
      <c r="TH45" s="18"/>
      <c r="TI45" s="18"/>
      <c r="TJ45" s="18"/>
      <c r="TK45" s="18"/>
      <c r="TL45" s="18"/>
      <c r="TM45" s="18"/>
      <c r="TN45" s="18"/>
      <c r="TO45" s="18"/>
      <c r="TP45" s="18"/>
      <c r="TQ45" s="18"/>
      <c r="TR45" s="18"/>
      <c r="TS45" s="18"/>
      <c r="TT45" s="18"/>
      <c r="TU45" s="18"/>
      <c r="TV45" s="18"/>
      <c r="TW45" s="18"/>
      <c r="TX45" s="18"/>
      <c r="TY45" s="18"/>
      <c r="TZ45" s="18"/>
      <c r="UA45" s="18"/>
      <c r="UB45" s="18"/>
      <c r="UC45" s="18"/>
      <c r="UD45" s="18"/>
      <c r="UE45" s="18"/>
      <c r="UF45" s="18"/>
      <c r="UG45" s="18"/>
      <c r="UH45" s="18"/>
      <c r="UI45" s="18"/>
      <c r="UJ45" s="18"/>
      <c r="UK45" s="18"/>
      <c r="UL45" s="18"/>
      <c r="UM45" s="18"/>
      <c r="UN45" s="18"/>
      <c r="UO45" s="18"/>
      <c r="UP45" s="18"/>
      <c r="UQ45" s="18"/>
      <c r="UR45" s="18"/>
      <c r="US45" s="18"/>
      <c r="UT45" s="18"/>
      <c r="UU45" s="18"/>
      <c r="UV45" s="18"/>
      <c r="UW45" s="18"/>
      <c r="UX45" s="18"/>
      <c r="UY45" s="18"/>
      <c r="UZ45" s="18"/>
      <c r="VA45" s="18"/>
      <c r="VB45" s="18"/>
      <c r="VC45" s="18"/>
      <c r="VD45" s="18"/>
      <c r="VE45" s="18"/>
      <c r="VF45" s="18"/>
      <c r="VG45" s="18"/>
      <c r="VH45" s="18"/>
      <c r="VI45" s="18"/>
      <c r="VJ45" s="18"/>
      <c r="VK45" s="18"/>
      <c r="VL45" s="18"/>
      <c r="VM45" s="18"/>
      <c r="VN45" s="18"/>
      <c r="VO45" s="18"/>
      <c r="VP45" s="18"/>
      <c r="VQ45" s="18"/>
      <c r="VR45" s="18"/>
      <c r="VS45" s="18"/>
      <c r="VT45" s="18"/>
      <c r="VU45" s="18"/>
      <c r="VV45" s="18"/>
      <c r="VW45" s="18"/>
      <c r="VX45" s="18"/>
      <c r="VY45" s="18"/>
      <c r="VZ45" s="18"/>
      <c r="WA45" s="18"/>
      <c r="WB45" s="18"/>
      <c r="WC45" s="18"/>
      <c r="WD45" s="18"/>
      <c r="WE45" s="18"/>
      <c r="WF45" s="18"/>
      <c r="WG45" s="18"/>
      <c r="WH45" s="18"/>
      <c r="WI45" s="18"/>
      <c r="WJ45" s="18"/>
      <c r="WK45" s="18"/>
      <c r="WL45" s="18"/>
      <c r="WM45" s="18"/>
      <c r="WN45" s="18"/>
      <c r="WO45" s="18"/>
      <c r="WP45" s="18"/>
      <c r="WQ45" s="18"/>
      <c r="WR45" s="18"/>
      <c r="WS45" s="18"/>
      <c r="WT45" s="18"/>
      <c r="WU45" s="18"/>
      <c r="WV45" s="18"/>
      <c r="WW45" s="18"/>
      <c r="WX45" s="18"/>
      <c r="WY45" s="18"/>
      <c r="WZ45" s="18"/>
      <c r="XA45" s="18"/>
      <c r="XB45" s="18"/>
      <c r="XC45" s="18"/>
      <c r="XD45" s="18"/>
      <c r="XE45" s="18"/>
      <c r="XF45" s="18"/>
      <c r="XG45" s="18"/>
      <c r="XH45" s="18"/>
      <c r="XI45" s="18"/>
      <c r="XJ45" s="18"/>
      <c r="XK45" s="18"/>
      <c r="XL45" s="18"/>
      <c r="XM45" s="18"/>
      <c r="XN45" s="18"/>
      <c r="XO45" s="18"/>
      <c r="XP45" s="18"/>
      <c r="XQ45" s="18"/>
      <c r="XR45" s="18"/>
      <c r="XS45" s="18"/>
      <c r="XT45" s="18"/>
      <c r="XU45" s="18"/>
      <c r="XV45" s="18"/>
      <c r="XW45" s="18"/>
      <c r="XX45" s="18"/>
      <c r="XY45" s="18"/>
      <c r="XZ45" s="18"/>
      <c r="YA45" s="18"/>
      <c r="YB45" s="18"/>
      <c r="YC45" s="18"/>
      <c r="YD45" s="18"/>
      <c r="YE45" s="18"/>
      <c r="YF45" s="18"/>
      <c r="YG45" s="18"/>
      <c r="YH45" s="18"/>
      <c r="YI45" s="18"/>
      <c r="YJ45" s="18"/>
      <c r="YK45" s="18"/>
      <c r="YL45" s="18"/>
      <c r="YM45" s="18"/>
      <c r="YN45" s="18"/>
      <c r="YO45" s="18"/>
      <c r="YP45" s="18"/>
      <c r="YQ45" s="18"/>
      <c r="YR45" s="18"/>
      <c r="YS45" s="18"/>
      <c r="YT45" s="18"/>
      <c r="YU45" s="18"/>
      <c r="YV45" s="18"/>
      <c r="YW45" s="18"/>
      <c r="YX45" s="18"/>
      <c r="YY45" s="18"/>
      <c r="YZ45" s="18"/>
      <c r="ZA45" s="18"/>
      <c r="ZB45" s="18"/>
      <c r="ZC45" s="18"/>
      <c r="ZD45" s="18"/>
      <c r="ZE45" s="18"/>
      <c r="ZF45" s="18"/>
      <c r="ZG45" s="18"/>
      <c r="ZH45" s="18"/>
      <c r="ZI45" s="18"/>
      <c r="ZJ45" s="18"/>
      <c r="ZK45" s="18"/>
      <c r="ZL45" s="18"/>
      <c r="ZM45" s="18"/>
      <c r="ZN45" s="18"/>
      <c r="ZO45" s="18"/>
      <c r="ZP45" s="18"/>
      <c r="ZQ45" s="18"/>
      <c r="ZR45" s="18"/>
      <c r="ZS45" s="18"/>
      <c r="ZT45" s="18"/>
      <c r="ZU45" s="18"/>
      <c r="ZV45" s="18"/>
      <c r="ZW45" s="18"/>
      <c r="ZX45" s="18"/>
      <c r="ZY45" s="18"/>
      <c r="ZZ45" s="18"/>
      <c r="AAA45" s="18"/>
      <c r="AAB45" s="18"/>
      <c r="AAC45" s="18"/>
      <c r="AAD45" s="18"/>
      <c r="AAE45" s="18"/>
      <c r="AAF45" s="18"/>
      <c r="AAG45" s="18"/>
      <c r="AAH45" s="18"/>
      <c r="AAI45" s="18"/>
      <c r="AAJ45" s="18"/>
      <c r="AAK45" s="18"/>
      <c r="AAL45" s="18"/>
      <c r="AAM45" s="18"/>
      <c r="AAN45" s="18"/>
      <c r="AAO45" s="18"/>
      <c r="AAP45" s="18"/>
      <c r="AAQ45" s="18"/>
      <c r="AAR45" s="18"/>
      <c r="AAS45" s="18"/>
      <c r="AAT45" s="18"/>
      <c r="AAU45" s="18"/>
      <c r="AAV45" s="18"/>
      <c r="AAW45" s="18"/>
      <c r="AAX45" s="18"/>
      <c r="AAY45" s="18"/>
      <c r="AAZ45" s="18"/>
      <c r="ABA45" s="18"/>
      <c r="ABB45" s="18"/>
      <c r="ABC45" s="18"/>
      <c r="ABD45" s="18"/>
      <c r="ABE45" s="18"/>
      <c r="ABF45" s="18"/>
      <c r="ABG45" s="18"/>
      <c r="ABH45" s="18"/>
      <c r="ABI45" s="18"/>
      <c r="ABJ45" s="18"/>
      <c r="ABK45" s="18"/>
      <c r="ABL45" s="18"/>
      <c r="ABM45" s="18"/>
      <c r="ABN45" s="18"/>
      <c r="ABO45" s="18"/>
      <c r="ABP45" s="18"/>
      <c r="ABQ45" s="18"/>
      <c r="ABR45" s="18"/>
      <c r="ABS45" s="18"/>
      <c r="ABT45" s="18"/>
      <c r="ABU45" s="18"/>
      <c r="ABV45" s="18"/>
      <c r="ABW45" s="18"/>
      <c r="ABX45" s="18"/>
      <c r="ABY45" s="18"/>
      <c r="ABZ45" s="18"/>
      <c r="ACA45" s="18"/>
      <c r="ACB45" s="18"/>
      <c r="ACC45" s="18"/>
      <c r="ACD45" s="18"/>
      <c r="ACE45" s="18"/>
      <c r="ACF45" s="18"/>
      <c r="ACG45" s="18"/>
      <c r="ACH45" s="18"/>
      <c r="ACI45" s="18"/>
      <c r="ACJ45" s="18"/>
      <c r="ACK45" s="18"/>
      <c r="ACL45" s="18"/>
      <c r="ACM45" s="18"/>
      <c r="ACN45" s="18"/>
      <c r="ACO45" s="18"/>
      <c r="ACP45" s="18"/>
      <c r="ACQ45" s="18"/>
      <c r="ACR45" s="18"/>
      <c r="ACS45" s="18"/>
      <c r="ACT45" s="18"/>
      <c r="ACU45" s="18"/>
      <c r="ACV45" s="18"/>
      <c r="ACW45" s="18"/>
      <c r="ACX45" s="18"/>
      <c r="ACY45" s="18"/>
      <c r="ACZ45" s="18"/>
      <c r="ADA45" s="18"/>
      <c r="ADB45" s="18"/>
      <c r="ADC45" s="18"/>
      <c r="ADD45" s="18"/>
      <c r="ADE45" s="18"/>
      <c r="ADF45" s="18"/>
      <c r="ADG45" s="18"/>
      <c r="ADH45" s="18"/>
      <c r="ADI45" s="18"/>
      <c r="ADJ45" s="18"/>
      <c r="ADK45" s="18"/>
      <c r="ADL45" s="18"/>
      <c r="ADM45" s="18"/>
      <c r="ADN45" s="18"/>
      <c r="ADO45" s="18"/>
      <c r="ADP45" s="18"/>
      <c r="ADQ45" s="18"/>
      <c r="ADR45" s="18"/>
      <c r="ADS45" s="18"/>
      <c r="ADT45" s="18"/>
      <c r="ADU45" s="18"/>
      <c r="ADV45" s="18"/>
      <c r="ADW45" s="18"/>
      <c r="ADX45" s="18"/>
      <c r="ADY45" s="18"/>
      <c r="ADZ45" s="18"/>
      <c r="AEA45" s="18"/>
      <c r="AEB45" s="18"/>
      <c r="AEC45" s="18"/>
      <c r="AED45" s="18"/>
      <c r="AEE45" s="18"/>
      <c r="AEF45" s="18"/>
      <c r="AEG45" s="18"/>
      <c r="AEH45" s="18"/>
      <c r="AEI45" s="18"/>
      <c r="AEJ45" s="18"/>
      <c r="AEK45" s="18"/>
      <c r="AEL45" s="18"/>
      <c r="AEM45" s="18"/>
      <c r="AEN45" s="18"/>
      <c r="AEO45" s="18"/>
      <c r="AEP45" s="18"/>
      <c r="AEQ45" s="18"/>
      <c r="AER45" s="18"/>
      <c r="AES45" s="18"/>
      <c r="AET45" s="18"/>
      <c r="AEU45" s="18"/>
      <c r="AEV45" s="18"/>
      <c r="AEW45" s="18"/>
      <c r="AEX45" s="18"/>
      <c r="AEY45" s="18"/>
      <c r="AEZ45" s="18"/>
      <c r="AFA45" s="18"/>
      <c r="AFB45" s="18"/>
      <c r="AFC45" s="18"/>
      <c r="AFD45" s="18"/>
      <c r="AFE45" s="18"/>
      <c r="AFF45" s="18"/>
      <c r="AFG45" s="18"/>
      <c r="AFH45" s="18"/>
      <c r="AFI45" s="18"/>
      <c r="AFJ45" s="18"/>
      <c r="AFK45" s="18"/>
      <c r="AFL45" s="18"/>
      <c r="AFM45" s="18"/>
      <c r="AFN45" s="18"/>
      <c r="AFO45" s="18"/>
      <c r="AFP45" s="18"/>
      <c r="AFQ45" s="18"/>
      <c r="AFR45" s="18"/>
      <c r="AFS45" s="18"/>
      <c r="AFT45" s="18"/>
      <c r="AFU45" s="18"/>
      <c r="AFV45" s="18"/>
      <c r="AFW45" s="18"/>
      <c r="AFX45" s="18"/>
      <c r="AFY45" s="18"/>
      <c r="AFZ45" s="18"/>
      <c r="AGA45" s="18"/>
      <c r="AGB45" s="18"/>
      <c r="AGC45" s="18"/>
      <c r="AGD45" s="18"/>
      <c r="AGE45" s="18"/>
      <c r="AGF45" s="18"/>
      <c r="AGG45" s="18"/>
      <c r="AGH45" s="18"/>
      <c r="AGI45" s="18"/>
      <c r="AGJ45" s="18"/>
      <c r="AGK45" s="18"/>
      <c r="AGL45" s="18"/>
      <c r="AGM45" s="18"/>
      <c r="AGN45" s="18"/>
      <c r="AGO45" s="18"/>
      <c r="AGP45" s="18"/>
      <c r="AGQ45" s="18"/>
      <c r="AGR45" s="18"/>
      <c r="AGS45" s="18"/>
      <c r="AGT45" s="18"/>
      <c r="AGU45" s="18"/>
      <c r="AGV45" s="18"/>
      <c r="AGW45" s="18"/>
      <c r="AGX45" s="18"/>
      <c r="AGY45" s="18"/>
      <c r="AGZ45" s="18"/>
      <c r="AHA45" s="18"/>
      <c r="AHB45" s="18"/>
      <c r="AHC45" s="18"/>
      <c r="AHD45" s="18"/>
      <c r="AHE45" s="18"/>
      <c r="AHF45" s="18"/>
      <c r="AHG45" s="18"/>
      <c r="AHH45" s="18"/>
      <c r="AHI45" s="18"/>
      <c r="AHJ45" s="18"/>
      <c r="AHK45" s="18"/>
      <c r="AHL45" s="18"/>
      <c r="AHM45" s="18"/>
      <c r="AHN45" s="18"/>
      <c r="AHO45" s="18"/>
      <c r="AHP45" s="18"/>
      <c r="AHQ45" s="18"/>
      <c r="AHR45" s="18"/>
      <c r="AHS45" s="18"/>
      <c r="AHT45" s="18"/>
      <c r="AHU45" s="18"/>
      <c r="AHV45" s="18"/>
      <c r="AHW45" s="18"/>
      <c r="AHX45" s="18"/>
      <c r="AHY45" s="18"/>
      <c r="AHZ45" s="18"/>
      <c r="AIA45" s="18"/>
      <c r="AIB45" s="18"/>
      <c r="AIC45" s="18"/>
      <c r="AID45" s="18"/>
      <c r="AIE45" s="18"/>
      <c r="AIF45" s="18"/>
      <c r="AIG45" s="18"/>
      <c r="AIH45" s="18"/>
      <c r="AII45" s="18"/>
      <c r="AIJ45" s="18"/>
      <c r="AIK45" s="18"/>
      <c r="AIL45" s="18"/>
      <c r="AIM45" s="18"/>
      <c r="AIN45" s="18"/>
      <c r="AIO45" s="18"/>
      <c r="AIP45" s="18"/>
      <c r="AIQ45" s="18"/>
      <c r="AIR45" s="18"/>
      <c r="AIS45" s="18"/>
      <c r="AIT45" s="18"/>
      <c r="AIU45" s="18"/>
      <c r="AIV45" s="18"/>
      <c r="AIW45" s="18"/>
      <c r="AIX45" s="18"/>
      <c r="AIY45" s="18"/>
      <c r="AIZ45" s="18"/>
      <c r="AJA45" s="18"/>
      <c r="AJB45" s="18"/>
      <c r="AJC45" s="18"/>
      <c r="AJD45" s="18"/>
      <c r="AJE45" s="18"/>
      <c r="AJF45" s="18"/>
      <c r="AJG45" s="18"/>
      <c r="AJH45" s="18"/>
      <c r="AJI45" s="18"/>
      <c r="AJJ45" s="18"/>
      <c r="AJK45" s="18"/>
      <c r="AJL45" s="18"/>
      <c r="AJM45" s="18"/>
      <c r="AJN45" s="18"/>
      <c r="AJO45" s="18"/>
      <c r="AJP45" s="18"/>
      <c r="AJQ45" s="18"/>
      <c r="AJR45" s="18"/>
      <c r="AJS45" s="18"/>
      <c r="AJT45" s="18"/>
      <c r="AJU45" s="18"/>
      <c r="AJV45" s="18"/>
      <c r="AJW45" s="18"/>
      <c r="AJX45" s="18"/>
      <c r="AJY45" s="18"/>
      <c r="AJZ45" s="18"/>
      <c r="AKA45" s="18"/>
      <c r="AKB45" s="18"/>
      <c r="AKC45" s="18"/>
      <c r="AKD45" s="18"/>
      <c r="AKE45" s="18"/>
      <c r="AKF45" s="18"/>
      <c r="AKG45" s="18"/>
      <c r="AKH45" s="18"/>
      <c r="AKI45" s="18"/>
      <c r="AKJ45" s="18"/>
      <c r="AKK45" s="18"/>
      <c r="AKL45" s="18"/>
      <c r="AKM45" s="18"/>
      <c r="AKN45" s="18"/>
      <c r="AKO45" s="18"/>
      <c r="AKP45" s="18"/>
      <c r="AKQ45" s="18"/>
      <c r="AKR45" s="18"/>
      <c r="AKS45" s="18"/>
      <c r="AKT45" s="18"/>
      <c r="AKU45" s="18"/>
      <c r="AKV45" s="18"/>
      <c r="AKW45" s="18"/>
      <c r="AKX45" s="18"/>
      <c r="AKY45" s="18"/>
      <c r="AKZ45" s="18"/>
      <c r="ALA45" s="18"/>
      <c r="ALB45" s="18"/>
      <c r="ALC45" s="18"/>
      <c r="ALD45" s="18"/>
      <c r="ALE45" s="18"/>
      <c r="ALF45" s="18"/>
      <c r="ALG45" s="18"/>
      <c r="ALH45" s="18"/>
      <c r="ALI45" s="18"/>
      <c r="ALJ45" s="18"/>
      <c r="ALK45" s="18"/>
      <c r="ALL45" s="18"/>
      <c r="ALM45" s="18"/>
      <c r="ALN45" s="18"/>
      <c r="ALO45" s="18"/>
      <c r="ALP45" s="18"/>
      <c r="ALQ45" s="18"/>
      <c r="ALR45" s="18"/>
      <c r="ALS45" s="18"/>
      <c r="ALT45" s="18"/>
    </row>
    <row r="46" spans="1:1008" ht="24">
      <c r="A46" s="251" t="s">
        <v>7</v>
      </c>
      <c r="B46" s="290">
        <v>86879</v>
      </c>
      <c r="C46" s="278" t="str">
        <f>(IF($A46="SINAPI",INDEX(SINAPI_NOV2020_NDES!$A$7:$H$6703,MATCH($B46,SINAPI_NOV2020_NDES!$A$7:$A$6703,0),2),IF($A46="GOINFRA",INDEX(#REF!,MATCH($B46,#REF!,0),2),(INDEX(COMPOS!$A$4:$G$390,MATCH($B46,COMPOS!$A$4:A$390,0),2)))))</f>
        <v>VÁLVULA EM PLÁSTICO 1 PARA PIA, TANQUE OU LAVATÓRIO, COM OU SEM LADRÃO - FORNECIMENTO E INSTALAÇÃO. AF_01/2020</v>
      </c>
      <c r="D46" s="274" t="str">
        <f>(IF($A46="SINAPI",INDEX(SINAPI_NOV2020_NDES!$A$7:$H$6790,MATCH($B46,SINAPI_NOV2020_NDES!$A$7:$A$6790,0),3),(INDEX(COMPOS!$A$4:$G$5000,MATCH($B46,COMPOS!$A$4:$A$5000,0),3))))</f>
        <v>UN</v>
      </c>
      <c r="E46" s="314">
        <v>8</v>
      </c>
      <c r="F46" s="279">
        <f>(IF($A46="SINAPI",INDEX(SINAPI_NOV2020_NDES!$A$7:$H$6703,MATCH($B46,SINAPI_NOV2020_NDES!$A$7:$A$6703,0),5),(INDEX(COMPOS!$A$4:$G$801,MATCH($B46,COMPOS!$A$4:A$801,0),4))))</f>
        <v>2.52</v>
      </c>
      <c r="G46" s="280">
        <f>(IF($A46="SINAPI",INDEX(SINAPI_NOV2020_NDES!$A$7:$H$6703,MATCH($B46,SINAPI_NOV2020_NDES!$A$7:$A$6703,0),6),(INDEX(COMPOS!$A$4:$G$801,MATCH($B46,COMPOS!$A$4:A$801,0),5))))</f>
        <v>3.31</v>
      </c>
      <c r="H46" s="280">
        <f>(IF($A46="SINAPI",INDEX(SINAPI_NOV2020_NDES!$A$7:$H$6703,MATCH($B46,SINAPI_NOV2020_NDES!$A$7:$A$6703,0),7),(INDEX(COMPOS!$A$4:$G$801,MATCH($B46,COMPOS!$A$4:A$801,0),6))))</f>
        <v>0</v>
      </c>
      <c r="I46" s="279">
        <f t="shared" si="12"/>
        <v>5.83</v>
      </c>
      <c r="J46" s="276">
        <f t="shared" si="13"/>
        <v>46.64</v>
      </c>
      <c r="K46" s="191"/>
      <c r="L46" s="191"/>
      <c r="M46" s="191"/>
      <c r="N46" s="191"/>
      <c r="O46" s="262"/>
      <c r="P46" s="263"/>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c r="EF46" s="18"/>
      <c r="EG46" s="18"/>
      <c r="EH46" s="18"/>
      <c r="EI46" s="18"/>
      <c r="EJ46" s="18"/>
      <c r="EK46" s="18"/>
      <c r="EL46" s="18"/>
      <c r="EM46" s="18"/>
      <c r="EN46" s="18"/>
      <c r="EO46" s="18"/>
      <c r="EP46" s="18"/>
      <c r="EQ46" s="18"/>
      <c r="ER46" s="18"/>
      <c r="ES46" s="18"/>
      <c r="ET46" s="18"/>
      <c r="EU46" s="18"/>
      <c r="EV46" s="18"/>
      <c r="EW46" s="18"/>
      <c r="EX46" s="18"/>
      <c r="EY46" s="18"/>
      <c r="EZ46" s="18"/>
      <c r="FA46" s="18"/>
      <c r="FB46" s="18"/>
      <c r="FC46" s="18"/>
      <c r="FD46" s="18"/>
      <c r="FE46" s="18"/>
      <c r="FF46" s="18"/>
      <c r="FG46" s="18"/>
      <c r="FH46" s="18"/>
      <c r="FI46" s="18"/>
      <c r="FJ46" s="18"/>
      <c r="FK46" s="18"/>
      <c r="FL46" s="18"/>
      <c r="FM46" s="18"/>
      <c r="FN46" s="18"/>
      <c r="FO46" s="18"/>
      <c r="FP46" s="18"/>
      <c r="FQ46" s="18"/>
      <c r="FR46" s="18"/>
      <c r="FS46" s="18"/>
      <c r="FT46" s="18"/>
      <c r="FU46" s="18"/>
      <c r="FV46" s="18"/>
      <c r="FW46" s="18"/>
      <c r="FX46" s="18"/>
      <c r="FY46" s="18"/>
      <c r="FZ46" s="18"/>
      <c r="GA46" s="18"/>
      <c r="GB46" s="18"/>
      <c r="GC46" s="18"/>
      <c r="GD46" s="18"/>
      <c r="GE46" s="18"/>
      <c r="GF46" s="18"/>
      <c r="GG46" s="18"/>
      <c r="GH46" s="18"/>
      <c r="GI46" s="18"/>
      <c r="GJ46" s="18"/>
      <c r="GK46" s="18"/>
      <c r="GL46" s="18"/>
      <c r="GM46" s="18"/>
      <c r="GN46" s="18"/>
      <c r="GO46" s="18"/>
      <c r="GP46" s="18"/>
      <c r="GQ46" s="18"/>
      <c r="GR46" s="18"/>
      <c r="GS46" s="18"/>
      <c r="GT46" s="18"/>
      <c r="GU46" s="18"/>
      <c r="GV46" s="18"/>
      <c r="GW46" s="18"/>
      <c r="GX46" s="18"/>
      <c r="GY46" s="18"/>
      <c r="GZ46" s="18"/>
      <c r="HA46" s="18"/>
      <c r="HB46" s="18"/>
      <c r="HC46" s="18"/>
      <c r="HD46" s="18"/>
      <c r="HE46" s="18"/>
      <c r="HF46" s="18"/>
      <c r="HG46" s="18"/>
      <c r="HH46" s="18"/>
      <c r="HI46" s="18"/>
      <c r="HJ46" s="18"/>
      <c r="HK46" s="18"/>
      <c r="HL46" s="18"/>
      <c r="HM46" s="18"/>
      <c r="HN46" s="18"/>
      <c r="HO46" s="18"/>
      <c r="HP46" s="18"/>
      <c r="HQ46" s="18"/>
      <c r="HR46" s="18"/>
      <c r="HS46" s="18"/>
      <c r="HT46" s="18"/>
      <c r="HU46" s="18"/>
      <c r="HV46" s="18"/>
      <c r="HW46" s="18"/>
      <c r="HX46" s="18"/>
      <c r="HY46" s="18"/>
      <c r="HZ46" s="18"/>
      <c r="IA46" s="18"/>
      <c r="IB46" s="18"/>
      <c r="IC46" s="18"/>
      <c r="ID46" s="18"/>
      <c r="IE46" s="18"/>
      <c r="IF46" s="18"/>
      <c r="IG46" s="18"/>
      <c r="IH46" s="18"/>
      <c r="II46" s="18"/>
      <c r="IJ46" s="18"/>
      <c r="IK46" s="18"/>
      <c r="IL46" s="18"/>
      <c r="IM46" s="18"/>
      <c r="IN46" s="18"/>
      <c r="IO46" s="18"/>
      <c r="IP46" s="18"/>
      <c r="IQ46" s="18"/>
      <c r="IR46" s="18"/>
      <c r="IS46" s="18"/>
      <c r="IT46" s="18"/>
      <c r="IU46" s="18"/>
      <c r="IV46" s="18"/>
      <c r="IW46" s="18"/>
      <c r="IX46" s="18"/>
      <c r="IY46" s="18"/>
      <c r="IZ46" s="18"/>
      <c r="JA46" s="18"/>
      <c r="JB46" s="18"/>
      <c r="JC46" s="18"/>
      <c r="JD46" s="18"/>
      <c r="JE46" s="18"/>
      <c r="JF46" s="18"/>
      <c r="JG46" s="18"/>
      <c r="JH46" s="18"/>
      <c r="JI46" s="18"/>
      <c r="JJ46" s="18"/>
      <c r="JK46" s="18"/>
      <c r="JL46" s="18"/>
      <c r="JM46" s="18"/>
      <c r="JN46" s="18"/>
      <c r="JO46" s="18"/>
      <c r="JP46" s="18"/>
      <c r="JQ46" s="18"/>
      <c r="JR46" s="18"/>
      <c r="JS46" s="18"/>
      <c r="JT46" s="18"/>
      <c r="JU46" s="18"/>
      <c r="JV46" s="18"/>
      <c r="JW46" s="18"/>
      <c r="JX46" s="18"/>
      <c r="JY46" s="18"/>
      <c r="JZ46" s="18"/>
      <c r="KA46" s="18"/>
      <c r="KB46" s="18"/>
      <c r="KC46" s="18"/>
      <c r="KD46" s="18"/>
      <c r="KE46" s="18"/>
      <c r="KF46" s="18"/>
      <c r="KG46" s="18"/>
      <c r="KH46" s="18"/>
      <c r="KI46" s="18"/>
      <c r="KJ46" s="18"/>
      <c r="KK46" s="18"/>
      <c r="KL46" s="18"/>
      <c r="KM46" s="18"/>
      <c r="KN46" s="18"/>
      <c r="KO46" s="18"/>
      <c r="KP46" s="18"/>
      <c r="KQ46" s="18"/>
      <c r="KR46" s="18"/>
      <c r="KS46" s="18"/>
      <c r="KT46" s="18"/>
      <c r="KU46" s="18"/>
      <c r="KV46" s="18"/>
      <c r="KW46" s="18"/>
      <c r="KX46" s="18"/>
      <c r="KY46" s="18"/>
      <c r="KZ46" s="18"/>
      <c r="LA46" s="18"/>
      <c r="LB46" s="18"/>
      <c r="LC46" s="18"/>
      <c r="LD46" s="18"/>
      <c r="LE46" s="18"/>
      <c r="LF46" s="18"/>
      <c r="LG46" s="18"/>
      <c r="LH46" s="18"/>
      <c r="LI46" s="18"/>
      <c r="LJ46" s="18"/>
      <c r="LK46" s="18"/>
      <c r="LL46" s="18"/>
      <c r="LM46" s="18"/>
      <c r="LN46" s="18"/>
      <c r="LO46" s="18"/>
      <c r="LP46" s="18"/>
      <c r="LQ46" s="18"/>
      <c r="LR46" s="18"/>
      <c r="LS46" s="18"/>
      <c r="LT46" s="18"/>
      <c r="LU46" s="18"/>
      <c r="LV46" s="18"/>
      <c r="LW46" s="18"/>
      <c r="LX46" s="18"/>
      <c r="LY46" s="18"/>
      <c r="LZ46" s="18"/>
      <c r="MA46" s="18"/>
      <c r="MB46" s="18"/>
      <c r="MC46" s="18"/>
      <c r="MD46" s="18"/>
      <c r="ME46" s="18"/>
      <c r="MF46" s="18"/>
      <c r="MG46" s="18"/>
      <c r="MH46" s="18"/>
      <c r="MI46" s="18"/>
      <c r="MJ46" s="18"/>
      <c r="MK46" s="18"/>
      <c r="ML46" s="18"/>
      <c r="MM46" s="18"/>
      <c r="MN46" s="18"/>
      <c r="MO46" s="18"/>
      <c r="MP46" s="18"/>
      <c r="MQ46" s="18"/>
      <c r="MR46" s="18"/>
      <c r="MS46" s="18"/>
      <c r="MT46" s="18"/>
      <c r="MU46" s="18"/>
      <c r="MV46" s="18"/>
      <c r="MW46" s="18"/>
      <c r="MX46" s="18"/>
      <c r="MY46" s="18"/>
      <c r="MZ46" s="18"/>
      <c r="NA46" s="18"/>
      <c r="NB46" s="18"/>
      <c r="NC46" s="18"/>
      <c r="ND46" s="18"/>
      <c r="NE46" s="18"/>
      <c r="NF46" s="18"/>
      <c r="NG46" s="18"/>
      <c r="NH46" s="18"/>
      <c r="NI46" s="18"/>
      <c r="NJ46" s="18"/>
      <c r="NK46" s="18"/>
      <c r="NL46" s="18"/>
      <c r="NM46" s="18"/>
      <c r="NN46" s="18"/>
      <c r="NO46" s="18"/>
      <c r="NP46" s="18"/>
      <c r="NQ46" s="18"/>
      <c r="NR46" s="18"/>
      <c r="NS46" s="18"/>
      <c r="NT46" s="18"/>
      <c r="NU46" s="18"/>
      <c r="NV46" s="18"/>
      <c r="NW46" s="18"/>
      <c r="NX46" s="18"/>
      <c r="NY46" s="18"/>
      <c r="NZ46" s="18"/>
      <c r="OA46" s="18"/>
      <c r="OB46" s="18"/>
      <c r="OC46" s="18"/>
      <c r="OD46" s="18"/>
      <c r="OE46" s="18"/>
      <c r="OF46" s="18"/>
      <c r="OG46" s="18"/>
      <c r="OH46" s="18"/>
      <c r="OI46" s="18"/>
      <c r="OJ46" s="18"/>
      <c r="OK46" s="18"/>
      <c r="OL46" s="18"/>
      <c r="OM46" s="18"/>
      <c r="ON46" s="18"/>
      <c r="OO46" s="18"/>
      <c r="OP46" s="18"/>
      <c r="OQ46" s="18"/>
      <c r="OR46" s="18"/>
      <c r="OS46" s="18"/>
      <c r="OT46" s="18"/>
      <c r="OU46" s="18"/>
      <c r="OV46" s="18"/>
      <c r="OW46" s="18"/>
      <c r="OX46" s="18"/>
      <c r="OY46" s="18"/>
      <c r="OZ46" s="18"/>
      <c r="PA46" s="18"/>
      <c r="PB46" s="18"/>
      <c r="PC46" s="18"/>
      <c r="PD46" s="18"/>
      <c r="PE46" s="18"/>
      <c r="PF46" s="18"/>
      <c r="PG46" s="18"/>
      <c r="PH46" s="18"/>
      <c r="PI46" s="18"/>
      <c r="PJ46" s="18"/>
      <c r="PK46" s="18"/>
      <c r="PL46" s="18"/>
      <c r="PM46" s="18"/>
      <c r="PN46" s="18"/>
      <c r="PO46" s="18"/>
      <c r="PP46" s="18"/>
      <c r="PQ46" s="18"/>
      <c r="PR46" s="18"/>
      <c r="PS46" s="18"/>
      <c r="PT46" s="18"/>
      <c r="PU46" s="18"/>
      <c r="PV46" s="18"/>
      <c r="PW46" s="18"/>
      <c r="PX46" s="18"/>
      <c r="PY46" s="18"/>
      <c r="PZ46" s="18"/>
      <c r="QA46" s="18"/>
      <c r="QB46" s="18"/>
      <c r="QC46" s="18"/>
      <c r="QD46" s="18"/>
      <c r="QE46" s="18"/>
      <c r="QF46" s="18"/>
      <c r="QG46" s="18"/>
      <c r="QH46" s="18"/>
      <c r="QI46" s="18"/>
      <c r="QJ46" s="18"/>
      <c r="QK46" s="18"/>
      <c r="QL46" s="18"/>
      <c r="QM46" s="18"/>
      <c r="QN46" s="18"/>
      <c r="QO46" s="18"/>
      <c r="QP46" s="18"/>
      <c r="QQ46" s="18"/>
      <c r="QR46" s="18"/>
      <c r="QS46" s="18"/>
      <c r="QT46" s="18"/>
      <c r="QU46" s="18"/>
      <c r="QV46" s="18"/>
      <c r="QW46" s="18"/>
      <c r="QX46" s="18"/>
      <c r="QY46" s="18"/>
      <c r="QZ46" s="18"/>
      <c r="RA46" s="18"/>
      <c r="RB46" s="18"/>
      <c r="RC46" s="18"/>
      <c r="RD46" s="18"/>
      <c r="RE46" s="18"/>
      <c r="RF46" s="18"/>
      <c r="RG46" s="18"/>
      <c r="RH46" s="18"/>
      <c r="RI46" s="18"/>
      <c r="RJ46" s="18"/>
      <c r="RK46" s="18"/>
      <c r="RL46" s="18"/>
      <c r="RM46" s="18"/>
      <c r="RN46" s="18"/>
      <c r="RO46" s="18"/>
      <c r="RP46" s="18"/>
      <c r="RQ46" s="18"/>
      <c r="RR46" s="18"/>
      <c r="RS46" s="18"/>
      <c r="RT46" s="18"/>
      <c r="RU46" s="18"/>
      <c r="RV46" s="18"/>
      <c r="RW46" s="18"/>
      <c r="RX46" s="18"/>
      <c r="RY46" s="18"/>
      <c r="RZ46" s="18"/>
      <c r="SA46" s="18"/>
      <c r="SB46" s="18"/>
      <c r="SC46" s="18"/>
      <c r="SD46" s="18"/>
      <c r="SE46" s="18"/>
      <c r="SF46" s="18"/>
      <c r="SG46" s="18"/>
      <c r="SH46" s="18"/>
      <c r="SI46" s="18"/>
      <c r="SJ46" s="18"/>
      <c r="SK46" s="18"/>
      <c r="SL46" s="18"/>
      <c r="SM46" s="18"/>
      <c r="SN46" s="18"/>
      <c r="SO46" s="18"/>
      <c r="SP46" s="18"/>
      <c r="SQ46" s="18"/>
      <c r="SR46" s="18"/>
      <c r="SS46" s="18"/>
      <c r="ST46" s="18"/>
      <c r="SU46" s="18"/>
      <c r="SV46" s="18"/>
      <c r="SW46" s="18"/>
      <c r="SX46" s="18"/>
      <c r="SY46" s="18"/>
      <c r="SZ46" s="18"/>
      <c r="TA46" s="18"/>
      <c r="TB46" s="18"/>
      <c r="TC46" s="18"/>
      <c r="TD46" s="18"/>
      <c r="TE46" s="18"/>
      <c r="TF46" s="18"/>
      <c r="TG46" s="18"/>
      <c r="TH46" s="18"/>
      <c r="TI46" s="18"/>
      <c r="TJ46" s="18"/>
      <c r="TK46" s="18"/>
      <c r="TL46" s="18"/>
      <c r="TM46" s="18"/>
      <c r="TN46" s="18"/>
      <c r="TO46" s="18"/>
      <c r="TP46" s="18"/>
      <c r="TQ46" s="18"/>
      <c r="TR46" s="18"/>
      <c r="TS46" s="18"/>
      <c r="TT46" s="18"/>
      <c r="TU46" s="18"/>
      <c r="TV46" s="18"/>
      <c r="TW46" s="18"/>
      <c r="TX46" s="18"/>
      <c r="TY46" s="18"/>
      <c r="TZ46" s="18"/>
      <c r="UA46" s="18"/>
      <c r="UB46" s="18"/>
      <c r="UC46" s="18"/>
      <c r="UD46" s="18"/>
      <c r="UE46" s="18"/>
      <c r="UF46" s="18"/>
      <c r="UG46" s="18"/>
      <c r="UH46" s="18"/>
      <c r="UI46" s="18"/>
      <c r="UJ46" s="18"/>
      <c r="UK46" s="18"/>
      <c r="UL46" s="18"/>
      <c r="UM46" s="18"/>
      <c r="UN46" s="18"/>
      <c r="UO46" s="18"/>
      <c r="UP46" s="18"/>
      <c r="UQ46" s="18"/>
      <c r="UR46" s="18"/>
      <c r="US46" s="18"/>
      <c r="UT46" s="18"/>
      <c r="UU46" s="18"/>
      <c r="UV46" s="18"/>
      <c r="UW46" s="18"/>
      <c r="UX46" s="18"/>
      <c r="UY46" s="18"/>
      <c r="UZ46" s="18"/>
      <c r="VA46" s="18"/>
      <c r="VB46" s="18"/>
      <c r="VC46" s="18"/>
      <c r="VD46" s="18"/>
      <c r="VE46" s="18"/>
      <c r="VF46" s="18"/>
      <c r="VG46" s="18"/>
      <c r="VH46" s="18"/>
      <c r="VI46" s="18"/>
      <c r="VJ46" s="18"/>
      <c r="VK46" s="18"/>
      <c r="VL46" s="18"/>
      <c r="VM46" s="18"/>
      <c r="VN46" s="18"/>
      <c r="VO46" s="18"/>
      <c r="VP46" s="18"/>
      <c r="VQ46" s="18"/>
      <c r="VR46" s="18"/>
      <c r="VS46" s="18"/>
      <c r="VT46" s="18"/>
      <c r="VU46" s="18"/>
      <c r="VV46" s="18"/>
      <c r="VW46" s="18"/>
      <c r="VX46" s="18"/>
      <c r="VY46" s="18"/>
      <c r="VZ46" s="18"/>
      <c r="WA46" s="18"/>
      <c r="WB46" s="18"/>
      <c r="WC46" s="18"/>
      <c r="WD46" s="18"/>
      <c r="WE46" s="18"/>
      <c r="WF46" s="18"/>
      <c r="WG46" s="18"/>
      <c r="WH46" s="18"/>
      <c r="WI46" s="18"/>
      <c r="WJ46" s="18"/>
      <c r="WK46" s="18"/>
      <c r="WL46" s="18"/>
      <c r="WM46" s="18"/>
      <c r="WN46" s="18"/>
      <c r="WO46" s="18"/>
      <c r="WP46" s="18"/>
      <c r="WQ46" s="18"/>
      <c r="WR46" s="18"/>
      <c r="WS46" s="18"/>
      <c r="WT46" s="18"/>
      <c r="WU46" s="18"/>
      <c r="WV46" s="18"/>
      <c r="WW46" s="18"/>
      <c r="WX46" s="18"/>
      <c r="WY46" s="18"/>
      <c r="WZ46" s="18"/>
      <c r="XA46" s="18"/>
      <c r="XB46" s="18"/>
      <c r="XC46" s="18"/>
      <c r="XD46" s="18"/>
      <c r="XE46" s="18"/>
      <c r="XF46" s="18"/>
      <c r="XG46" s="18"/>
      <c r="XH46" s="18"/>
      <c r="XI46" s="18"/>
      <c r="XJ46" s="18"/>
      <c r="XK46" s="18"/>
      <c r="XL46" s="18"/>
      <c r="XM46" s="18"/>
      <c r="XN46" s="18"/>
      <c r="XO46" s="18"/>
      <c r="XP46" s="18"/>
      <c r="XQ46" s="18"/>
      <c r="XR46" s="18"/>
      <c r="XS46" s="18"/>
      <c r="XT46" s="18"/>
      <c r="XU46" s="18"/>
      <c r="XV46" s="18"/>
      <c r="XW46" s="18"/>
      <c r="XX46" s="18"/>
      <c r="XY46" s="18"/>
      <c r="XZ46" s="18"/>
      <c r="YA46" s="18"/>
      <c r="YB46" s="18"/>
      <c r="YC46" s="18"/>
      <c r="YD46" s="18"/>
      <c r="YE46" s="18"/>
      <c r="YF46" s="18"/>
      <c r="YG46" s="18"/>
      <c r="YH46" s="18"/>
      <c r="YI46" s="18"/>
      <c r="YJ46" s="18"/>
      <c r="YK46" s="18"/>
      <c r="YL46" s="18"/>
      <c r="YM46" s="18"/>
      <c r="YN46" s="18"/>
      <c r="YO46" s="18"/>
      <c r="YP46" s="18"/>
      <c r="YQ46" s="18"/>
      <c r="YR46" s="18"/>
      <c r="YS46" s="18"/>
      <c r="YT46" s="18"/>
      <c r="YU46" s="18"/>
      <c r="YV46" s="18"/>
      <c r="YW46" s="18"/>
      <c r="YX46" s="18"/>
      <c r="YY46" s="18"/>
      <c r="YZ46" s="18"/>
      <c r="ZA46" s="18"/>
      <c r="ZB46" s="18"/>
      <c r="ZC46" s="18"/>
      <c r="ZD46" s="18"/>
      <c r="ZE46" s="18"/>
      <c r="ZF46" s="18"/>
      <c r="ZG46" s="18"/>
      <c r="ZH46" s="18"/>
      <c r="ZI46" s="18"/>
      <c r="ZJ46" s="18"/>
      <c r="ZK46" s="18"/>
      <c r="ZL46" s="18"/>
      <c r="ZM46" s="18"/>
      <c r="ZN46" s="18"/>
      <c r="ZO46" s="18"/>
      <c r="ZP46" s="18"/>
      <c r="ZQ46" s="18"/>
      <c r="ZR46" s="18"/>
      <c r="ZS46" s="18"/>
      <c r="ZT46" s="18"/>
      <c r="ZU46" s="18"/>
      <c r="ZV46" s="18"/>
      <c r="ZW46" s="18"/>
      <c r="ZX46" s="18"/>
      <c r="ZY46" s="18"/>
      <c r="ZZ46" s="18"/>
      <c r="AAA46" s="18"/>
      <c r="AAB46" s="18"/>
      <c r="AAC46" s="18"/>
      <c r="AAD46" s="18"/>
      <c r="AAE46" s="18"/>
      <c r="AAF46" s="18"/>
      <c r="AAG46" s="18"/>
      <c r="AAH46" s="18"/>
      <c r="AAI46" s="18"/>
      <c r="AAJ46" s="18"/>
      <c r="AAK46" s="18"/>
      <c r="AAL46" s="18"/>
      <c r="AAM46" s="18"/>
      <c r="AAN46" s="18"/>
      <c r="AAO46" s="18"/>
      <c r="AAP46" s="18"/>
      <c r="AAQ46" s="18"/>
      <c r="AAR46" s="18"/>
      <c r="AAS46" s="18"/>
      <c r="AAT46" s="18"/>
      <c r="AAU46" s="18"/>
      <c r="AAV46" s="18"/>
      <c r="AAW46" s="18"/>
      <c r="AAX46" s="18"/>
      <c r="AAY46" s="18"/>
      <c r="AAZ46" s="18"/>
      <c r="ABA46" s="18"/>
      <c r="ABB46" s="18"/>
      <c r="ABC46" s="18"/>
      <c r="ABD46" s="18"/>
      <c r="ABE46" s="18"/>
      <c r="ABF46" s="18"/>
      <c r="ABG46" s="18"/>
      <c r="ABH46" s="18"/>
      <c r="ABI46" s="18"/>
      <c r="ABJ46" s="18"/>
      <c r="ABK46" s="18"/>
      <c r="ABL46" s="18"/>
      <c r="ABM46" s="18"/>
      <c r="ABN46" s="18"/>
      <c r="ABO46" s="18"/>
      <c r="ABP46" s="18"/>
      <c r="ABQ46" s="18"/>
      <c r="ABR46" s="18"/>
      <c r="ABS46" s="18"/>
      <c r="ABT46" s="18"/>
      <c r="ABU46" s="18"/>
      <c r="ABV46" s="18"/>
      <c r="ABW46" s="18"/>
      <c r="ABX46" s="18"/>
      <c r="ABY46" s="18"/>
      <c r="ABZ46" s="18"/>
      <c r="ACA46" s="18"/>
      <c r="ACB46" s="18"/>
      <c r="ACC46" s="18"/>
      <c r="ACD46" s="18"/>
      <c r="ACE46" s="18"/>
      <c r="ACF46" s="18"/>
      <c r="ACG46" s="18"/>
      <c r="ACH46" s="18"/>
      <c r="ACI46" s="18"/>
      <c r="ACJ46" s="18"/>
      <c r="ACK46" s="18"/>
      <c r="ACL46" s="18"/>
      <c r="ACM46" s="18"/>
      <c r="ACN46" s="18"/>
      <c r="ACO46" s="18"/>
      <c r="ACP46" s="18"/>
      <c r="ACQ46" s="18"/>
      <c r="ACR46" s="18"/>
      <c r="ACS46" s="18"/>
      <c r="ACT46" s="18"/>
      <c r="ACU46" s="18"/>
      <c r="ACV46" s="18"/>
      <c r="ACW46" s="18"/>
      <c r="ACX46" s="18"/>
      <c r="ACY46" s="18"/>
      <c r="ACZ46" s="18"/>
      <c r="ADA46" s="18"/>
      <c r="ADB46" s="18"/>
      <c r="ADC46" s="18"/>
      <c r="ADD46" s="18"/>
      <c r="ADE46" s="18"/>
      <c r="ADF46" s="18"/>
      <c r="ADG46" s="18"/>
      <c r="ADH46" s="18"/>
      <c r="ADI46" s="18"/>
      <c r="ADJ46" s="18"/>
      <c r="ADK46" s="18"/>
      <c r="ADL46" s="18"/>
      <c r="ADM46" s="18"/>
      <c r="ADN46" s="18"/>
      <c r="ADO46" s="18"/>
      <c r="ADP46" s="18"/>
      <c r="ADQ46" s="18"/>
      <c r="ADR46" s="18"/>
      <c r="ADS46" s="18"/>
      <c r="ADT46" s="18"/>
      <c r="ADU46" s="18"/>
      <c r="ADV46" s="18"/>
      <c r="ADW46" s="18"/>
      <c r="ADX46" s="18"/>
      <c r="ADY46" s="18"/>
      <c r="ADZ46" s="18"/>
      <c r="AEA46" s="18"/>
      <c r="AEB46" s="18"/>
      <c r="AEC46" s="18"/>
      <c r="AED46" s="18"/>
      <c r="AEE46" s="18"/>
      <c r="AEF46" s="18"/>
      <c r="AEG46" s="18"/>
      <c r="AEH46" s="18"/>
      <c r="AEI46" s="18"/>
      <c r="AEJ46" s="18"/>
      <c r="AEK46" s="18"/>
      <c r="AEL46" s="18"/>
      <c r="AEM46" s="18"/>
      <c r="AEN46" s="18"/>
      <c r="AEO46" s="18"/>
      <c r="AEP46" s="18"/>
      <c r="AEQ46" s="18"/>
      <c r="AER46" s="18"/>
      <c r="AES46" s="18"/>
      <c r="AET46" s="18"/>
      <c r="AEU46" s="18"/>
      <c r="AEV46" s="18"/>
      <c r="AEW46" s="18"/>
      <c r="AEX46" s="18"/>
      <c r="AEY46" s="18"/>
      <c r="AEZ46" s="18"/>
      <c r="AFA46" s="18"/>
      <c r="AFB46" s="18"/>
      <c r="AFC46" s="18"/>
      <c r="AFD46" s="18"/>
      <c r="AFE46" s="18"/>
      <c r="AFF46" s="18"/>
      <c r="AFG46" s="18"/>
      <c r="AFH46" s="18"/>
      <c r="AFI46" s="18"/>
      <c r="AFJ46" s="18"/>
      <c r="AFK46" s="18"/>
      <c r="AFL46" s="18"/>
      <c r="AFM46" s="18"/>
      <c r="AFN46" s="18"/>
      <c r="AFO46" s="18"/>
      <c r="AFP46" s="18"/>
      <c r="AFQ46" s="18"/>
      <c r="AFR46" s="18"/>
      <c r="AFS46" s="18"/>
      <c r="AFT46" s="18"/>
      <c r="AFU46" s="18"/>
      <c r="AFV46" s="18"/>
      <c r="AFW46" s="18"/>
      <c r="AFX46" s="18"/>
      <c r="AFY46" s="18"/>
      <c r="AFZ46" s="18"/>
      <c r="AGA46" s="18"/>
      <c r="AGB46" s="18"/>
      <c r="AGC46" s="18"/>
      <c r="AGD46" s="18"/>
      <c r="AGE46" s="18"/>
      <c r="AGF46" s="18"/>
      <c r="AGG46" s="18"/>
      <c r="AGH46" s="18"/>
      <c r="AGI46" s="18"/>
      <c r="AGJ46" s="18"/>
      <c r="AGK46" s="18"/>
      <c r="AGL46" s="18"/>
      <c r="AGM46" s="18"/>
      <c r="AGN46" s="18"/>
      <c r="AGO46" s="18"/>
      <c r="AGP46" s="18"/>
      <c r="AGQ46" s="18"/>
      <c r="AGR46" s="18"/>
      <c r="AGS46" s="18"/>
      <c r="AGT46" s="18"/>
      <c r="AGU46" s="18"/>
      <c r="AGV46" s="18"/>
      <c r="AGW46" s="18"/>
      <c r="AGX46" s="18"/>
      <c r="AGY46" s="18"/>
      <c r="AGZ46" s="18"/>
      <c r="AHA46" s="18"/>
      <c r="AHB46" s="18"/>
      <c r="AHC46" s="18"/>
      <c r="AHD46" s="18"/>
      <c r="AHE46" s="18"/>
      <c r="AHF46" s="18"/>
      <c r="AHG46" s="18"/>
      <c r="AHH46" s="18"/>
      <c r="AHI46" s="18"/>
      <c r="AHJ46" s="18"/>
      <c r="AHK46" s="18"/>
      <c r="AHL46" s="18"/>
      <c r="AHM46" s="18"/>
      <c r="AHN46" s="18"/>
      <c r="AHO46" s="18"/>
      <c r="AHP46" s="18"/>
      <c r="AHQ46" s="18"/>
      <c r="AHR46" s="18"/>
      <c r="AHS46" s="18"/>
      <c r="AHT46" s="18"/>
      <c r="AHU46" s="18"/>
      <c r="AHV46" s="18"/>
      <c r="AHW46" s="18"/>
      <c r="AHX46" s="18"/>
      <c r="AHY46" s="18"/>
      <c r="AHZ46" s="18"/>
      <c r="AIA46" s="18"/>
      <c r="AIB46" s="18"/>
      <c r="AIC46" s="18"/>
      <c r="AID46" s="18"/>
      <c r="AIE46" s="18"/>
      <c r="AIF46" s="18"/>
      <c r="AIG46" s="18"/>
      <c r="AIH46" s="18"/>
      <c r="AII46" s="18"/>
      <c r="AIJ46" s="18"/>
      <c r="AIK46" s="18"/>
      <c r="AIL46" s="18"/>
      <c r="AIM46" s="18"/>
      <c r="AIN46" s="18"/>
      <c r="AIO46" s="18"/>
      <c r="AIP46" s="18"/>
      <c r="AIQ46" s="18"/>
      <c r="AIR46" s="18"/>
      <c r="AIS46" s="18"/>
      <c r="AIT46" s="18"/>
      <c r="AIU46" s="18"/>
      <c r="AIV46" s="18"/>
      <c r="AIW46" s="18"/>
      <c r="AIX46" s="18"/>
      <c r="AIY46" s="18"/>
      <c r="AIZ46" s="18"/>
      <c r="AJA46" s="18"/>
      <c r="AJB46" s="18"/>
      <c r="AJC46" s="18"/>
      <c r="AJD46" s="18"/>
      <c r="AJE46" s="18"/>
      <c r="AJF46" s="18"/>
      <c r="AJG46" s="18"/>
      <c r="AJH46" s="18"/>
      <c r="AJI46" s="18"/>
      <c r="AJJ46" s="18"/>
      <c r="AJK46" s="18"/>
      <c r="AJL46" s="18"/>
      <c r="AJM46" s="18"/>
      <c r="AJN46" s="18"/>
      <c r="AJO46" s="18"/>
      <c r="AJP46" s="18"/>
      <c r="AJQ46" s="18"/>
      <c r="AJR46" s="18"/>
      <c r="AJS46" s="18"/>
      <c r="AJT46" s="18"/>
      <c r="AJU46" s="18"/>
      <c r="AJV46" s="18"/>
      <c r="AJW46" s="18"/>
      <c r="AJX46" s="18"/>
      <c r="AJY46" s="18"/>
      <c r="AJZ46" s="18"/>
      <c r="AKA46" s="18"/>
      <c r="AKB46" s="18"/>
      <c r="AKC46" s="18"/>
      <c r="AKD46" s="18"/>
      <c r="AKE46" s="18"/>
      <c r="AKF46" s="18"/>
      <c r="AKG46" s="18"/>
      <c r="AKH46" s="18"/>
      <c r="AKI46" s="18"/>
      <c r="AKJ46" s="18"/>
      <c r="AKK46" s="18"/>
      <c r="AKL46" s="18"/>
      <c r="AKM46" s="18"/>
      <c r="AKN46" s="18"/>
      <c r="AKO46" s="18"/>
      <c r="AKP46" s="18"/>
      <c r="AKQ46" s="18"/>
      <c r="AKR46" s="18"/>
      <c r="AKS46" s="18"/>
      <c r="AKT46" s="18"/>
      <c r="AKU46" s="18"/>
      <c r="AKV46" s="18"/>
      <c r="AKW46" s="18"/>
      <c r="AKX46" s="18"/>
      <c r="AKY46" s="18"/>
      <c r="AKZ46" s="18"/>
      <c r="ALA46" s="18"/>
      <c r="ALB46" s="18"/>
      <c r="ALC46" s="18"/>
      <c r="ALD46" s="18"/>
      <c r="ALE46" s="18"/>
      <c r="ALF46" s="18"/>
      <c r="ALG46" s="18"/>
      <c r="ALH46" s="18"/>
      <c r="ALI46" s="18"/>
      <c r="ALJ46" s="18"/>
      <c r="ALK46" s="18"/>
      <c r="ALL46" s="18"/>
      <c r="ALM46" s="18"/>
      <c r="ALN46" s="18"/>
      <c r="ALO46" s="18"/>
      <c r="ALP46" s="18"/>
      <c r="ALQ46" s="18"/>
      <c r="ALR46" s="18"/>
      <c r="ALS46" s="18"/>
      <c r="ALT46" s="18"/>
    </row>
    <row r="47" spans="1:1008" ht="24">
      <c r="A47" s="251" t="s">
        <v>7</v>
      </c>
      <c r="B47" s="290">
        <v>86901</v>
      </c>
      <c r="C47" s="278" t="str">
        <f>(IF($A47="SINAPI",INDEX(SINAPI_NOV2020_NDES!$A$7:$H$6703,MATCH($B47,SINAPI_NOV2020_NDES!$A$7:$A$6703,0),2),IF($A47="GOINFRA",INDEX(#REF!,MATCH($B47,#REF!,0),2),(INDEX(COMPOS!$A$4:$G$390,MATCH($B47,COMPOS!$A$4:A$390,0),2)))))</f>
        <v>CUBA DE EMBUTIR OVAL EM LOUÇA BRANCA, 35 X 50CM OU EQUIVALENTE - FORNECIMENTO E INSTALAÇÃO. AF_01/2020</v>
      </c>
      <c r="D47" s="274" t="str">
        <f>(IF($A47="SINAPI",INDEX(SINAPI_NOV2020_NDES!$A$7:$H$6790,MATCH($B47,SINAPI_NOV2020_NDES!$A$7:$A$6790,0),3),(INDEX(COMPOS!$A$4:$G$5000,MATCH($B47,COMPOS!$A$4:$A$5000,0),3))))</f>
        <v>UN</v>
      </c>
      <c r="E47" s="314">
        <v>2</v>
      </c>
      <c r="F47" s="279">
        <f>(IF($A47="SINAPI",INDEX(SINAPI_NOV2020_NDES!$A$7:$H$6703,MATCH($B47,SINAPI_NOV2020_NDES!$A$7:$A$6703,0),5),(INDEX(COMPOS!$A$4:$G$801,MATCH($B47,COMPOS!$A$4:A$801,0),4))))</f>
        <v>16.93</v>
      </c>
      <c r="G47" s="280">
        <f>(IF($A47="SINAPI",INDEX(SINAPI_NOV2020_NDES!$A$7:$H$6703,MATCH($B47,SINAPI_NOV2020_NDES!$A$7:$A$6703,0),6),(INDEX(COMPOS!$A$4:$G$801,MATCH($B47,COMPOS!$A$4:A$801,0),5))))</f>
        <v>98.56</v>
      </c>
      <c r="H47" s="280">
        <f>(IF($A47="SINAPI",INDEX(SINAPI_NOV2020_NDES!$A$7:$H$6703,MATCH($B47,SINAPI_NOV2020_NDES!$A$7:$A$6703,0),7),(INDEX(COMPOS!$A$4:$G$801,MATCH($B47,COMPOS!$A$4:A$801,0),6))))</f>
        <v>0</v>
      </c>
      <c r="I47" s="279">
        <f t="shared" si="12"/>
        <v>115.49000000000001</v>
      </c>
      <c r="J47" s="276">
        <f t="shared" si="13"/>
        <v>230.98000000000002</v>
      </c>
      <c r="K47" s="191"/>
      <c r="L47" s="191"/>
      <c r="M47" s="191"/>
      <c r="N47" s="191"/>
      <c r="O47" s="262"/>
      <c r="P47" s="263"/>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c r="EF47" s="18"/>
      <c r="EG47" s="18"/>
      <c r="EH47" s="18"/>
      <c r="EI47" s="18"/>
      <c r="EJ47" s="18"/>
      <c r="EK47" s="18"/>
      <c r="EL47" s="18"/>
      <c r="EM47" s="18"/>
      <c r="EN47" s="18"/>
      <c r="EO47" s="18"/>
      <c r="EP47" s="18"/>
      <c r="EQ47" s="18"/>
      <c r="ER47" s="18"/>
      <c r="ES47" s="18"/>
      <c r="ET47" s="18"/>
      <c r="EU47" s="18"/>
      <c r="EV47" s="18"/>
      <c r="EW47" s="18"/>
      <c r="EX47" s="18"/>
      <c r="EY47" s="18"/>
      <c r="EZ47" s="18"/>
      <c r="FA47" s="18"/>
      <c r="FB47" s="18"/>
      <c r="FC47" s="18"/>
      <c r="FD47" s="18"/>
      <c r="FE47" s="18"/>
      <c r="FF47" s="18"/>
      <c r="FG47" s="18"/>
      <c r="FH47" s="18"/>
      <c r="FI47" s="18"/>
      <c r="FJ47" s="18"/>
      <c r="FK47" s="18"/>
      <c r="FL47" s="18"/>
      <c r="FM47" s="18"/>
      <c r="FN47" s="18"/>
      <c r="FO47" s="18"/>
      <c r="FP47" s="18"/>
      <c r="FQ47" s="18"/>
      <c r="FR47" s="18"/>
      <c r="FS47" s="18"/>
      <c r="FT47" s="18"/>
      <c r="FU47" s="18"/>
      <c r="FV47" s="18"/>
      <c r="FW47" s="18"/>
      <c r="FX47" s="18"/>
      <c r="FY47" s="18"/>
      <c r="FZ47" s="18"/>
      <c r="GA47" s="18"/>
      <c r="GB47" s="18"/>
      <c r="GC47" s="18"/>
      <c r="GD47" s="18"/>
      <c r="GE47" s="18"/>
      <c r="GF47" s="18"/>
      <c r="GG47" s="18"/>
      <c r="GH47" s="18"/>
      <c r="GI47" s="18"/>
      <c r="GJ47" s="18"/>
      <c r="GK47" s="18"/>
      <c r="GL47" s="18"/>
      <c r="GM47" s="18"/>
      <c r="GN47" s="18"/>
      <c r="GO47" s="18"/>
      <c r="GP47" s="18"/>
      <c r="GQ47" s="18"/>
      <c r="GR47" s="18"/>
      <c r="GS47" s="18"/>
      <c r="GT47" s="18"/>
      <c r="GU47" s="18"/>
      <c r="GV47" s="18"/>
      <c r="GW47" s="18"/>
      <c r="GX47" s="18"/>
      <c r="GY47" s="18"/>
      <c r="GZ47" s="18"/>
      <c r="HA47" s="18"/>
      <c r="HB47" s="18"/>
      <c r="HC47" s="18"/>
      <c r="HD47" s="18"/>
      <c r="HE47" s="18"/>
      <c r="HF47" s="18"/>
      <c r="HG47" s="18"/>
      <c r="HH47" s="18"/>
      <c r="HI47" s="18"/>
      <c r="HJ47" s="18"/>
      <c r="HK47" s="18"/>
      <c r="HL47" s="18"/>
      <c r="HM47" s="18"/>
      <c r="HN47" s="18"/>
      <c r="HO47" s="18"/>
      <c r="HP47" s="18"/>
      <c r="HQ47" s="18"/>
      <c r="HR47" s="18"/>
      <c r="HS47" s="18"/>
      <c r="HT47" s="18"/>
      <c r="HU47" s="18"/>
      <c r="HV47" s="18"/>
      <c r="HW47" s="18"/>
      <c r="HX47" s="18"/>
      <c r="HY47" s="18"/>
      <c r="HZ47" s="18"/>
      <c r="IA47" s="18"/>
      <c r="IB47" s="18"/>
      <c r="IC47" s="18"/>
      <c r="ID47" s="18"/>
      <c r="IE47" s="18"/>
      <c r="IF47" s="18"/>
      <c r="IG47" s="18"/>
      <c r="IH47" s="18"/>
      <c r="II47" s="18"/>
      <c r="IJ47" s="18"/>
      <c r="IK47" s="18"/>
      <c r="IL47" s="18"/>
      <c r="IM47" s="18"/>
      <c r="IN47" s="18"/>
      <c r="IO47" s="18"/>
      <c r="IP47" s="18"/>
      <c r="IQ47" s="18"/>
      <c r="IR47" s="18"/>
      <c r="IS47" s="18"/>
      <c r="IT47" s="18"/>
      <c r="IU47" s="18"/>
      <c r="IV47" s="18"/>
      <c r="IW47" s="18"/>
      <c r="IX47" s="18"/>
      <c r="IY47" s="18"/>
      <c r="IZ47" s="18"/>
      <c r="JA47" s="18"/>
      <c r="JB47" s="18"/>
      <c r="JC47" s="18"/>
      <c r="JD47" s="18"/>
      <c r="JE47" s="18"/>
      <c r="JF47" s="18"/>
      <c r="JG47" s="18"/>
      <c r="JH47" s="18"/>
      <c r="JI47" s="18"/>
      <c r="JJ47" s="18"/>
      <c r="JK47" s="18"/>
      <c r="JL47" s="18"/>
      <c r="JM47" s="18"/>
      <c r="JN47" s="18"/>
      <c r="JO47" s="18"/>
      <c r="JP47" s="18"/>
      <c r="JQ47" s="18"/>
      <c r="JR47" s="18"/>
      <c r="JS47" s="18"/>
      <c r="JT47" s="18"/>
      <c r="JU47" s="18"/>
      <c r="JV47" s="18"/>
      <c r="JW47" s="18"/>
      <c r="JX47" s="18"/>
      <c r="JY47" s="18"/>
      <c r="JZ47" s="18"/>
      <c r="KA47" s="18"/>
      <c r="KB47" s="18"/>
      <c r="KC47" s="18"/>
      <c r="KD47" s="18"/>
      <c r="KE47" s="18"/>
      <c r="KF47" s="18"/>
      <c r="KG47" s="18"/>
      <c r="KH47" s="18"/>
      <c r="KI47" s="18"/>
      <c r="KJ47" s="18"/>
      <c r="KK47" s="18"/>
      <c r="KL47" s="18"/>
      <c r="KM47" s="18"/>
      <c r="KN47" s="18"/>
      <c r="KO47" s="18"/>
      <c r="KP47" s="18"/>
      <c r="KQ47" s="18"/>
      <c r="KR47" s="18"/>
      <c r="KS47" s="18"/>
      <c r="KT47" s="18"/>
      <c r="KU47" s="18"/>
      <c r="KV47" s="18"/>
      <c r="KW47" s="18"/>
      <c r="KX47" s="18"/>
      <c r="KY47" s="18"/>
      <c r="KZ47" s="18"/>
      <c r="LA47" s="18"/>
      <c r="LB47" s="18"/>
      <c r="LC47" s="18"/>
      <c r="LD47" s="18"/>
      <c r="LE47" s="18"/>
      <c r="LF47" s="18"/>
      <c r="LG47" s="18"/>
      <c r="LH47" s="18"/>
      <c r="LI47" s="18"/>
      <c r="LJ47" s="18"/>
      <c r="LK47" s="18"/>
      <c r="LL47" s="18"/>
      <c r="LM47" s="18"/>
      <c r="LN47" s="18"/>
      <c r="LO47" s="18"/>
      <c r="LP47" s="18"/>
      <c r="LQ47" s="18"/>
      <c r="LR47" s="18"/>
      <c r="LS47" s="18"/>
      <c r="LT47" s="18"/>
      <c r="LU47" s="18"/>
      <c r="LV47" s="18"/>
      <c r="LW47" s="18"/>
      <c r="LX47" s="18"/>
      <c r="LY47" s="18"/>
      <c r="LZ47" s="18"/>
      <c r="MA47" s="18"/>
      <c r="MB47" s="18"/>
      <c r="MC47" s="18"/>
      <c r="MD47" s="18"/>
      <c r="ME47" s="18"/>
      <c r="MF47" s="18"/>
      <c r="MG47" s="18"/>
      <c r="MH47" s="18"/>
      <c r="MI47" s="18"/>
      <c r="MJ47" s="18"/>
      <c r="MK47" s="18"/>
      <c r="ML47" s="18"/>
      <c r="MM47" s="18"/>
      <c r="MN47" s="18"/>
      <c r="MO47" s="18"/>
      <c r="MP47" s="18"/>
      <c r="MQ47" s="18"/>
      <c r="MR47" s="18"/>
      <c r="MS47" s="18"/>
      <c r="MT47" s="18"/>
      <c r="MU47" s="18"/>
      <c r="MV47" s="18"/>
      <c r="MW47" s="18"/>
      <c r="MX47" s="18"/>
      <c r="MY47" s="18"/>
      <c r="MZ47" s="18"/>
      <c r="NA47" s="18"/>
      <c r="NB47" s="18"/>
      <c r="NC47" s="18"/>
      <c r="ND47" s="18"/>
      <c r="NE47" s="18"/>
      <c r="NF47" s="18"/>
      <c r="NG47" s="18"/>
      <c r="NH47" s="18"/>
      <c r="NI47" s="18"/>
      <c r="NJ47" s="18"/>
      <c r="NK47" s="18"/>
      <c r="NL47" s="18"/>
      <c r="NM47" s="18"/>
      <c r="NN47" s="18"/>
      <c r="NO47" s="18"/>
      <c r="NP47" s="18"/>
      <c r="NQ47" s="18"/>
      <c r="NR47" s="18"/>
      <c r="NS47" s="18"/>
      <c r="NT47" s="18"/>
      <c r="NU47" s="18"/>
      <c r="NV47" s="18"/>
      <c r="NW47" s="18"/>
      <c r="NX47" s="18"/>
      <c r="NY47" s="18"/>
      <c r="NZ47" s="18"/>
      <c r="OA47" s="18"/>
      <c r="OB47" s="18"/>
      <c r="OC47" s="18"/>
      <c r="OD47" s="18"/>
      <c r="OE47" s="18"/>
      <c r="OF47" s="18"/>
      <c r="OG47" s="18"/>
      <c r="OH47" s="18"/>
      <c r="OI47" s="18"/>
      <c r="OJ47" s="18"/>
      <c r="OK47" s="18"/>
      <c r="OL47" s="18"/>
      <c r="OM47" s="18"/>
      <c r="ON47" s="18"/>
      <c r="OO47" s="18"/>
      <c r="OP47" s="18"/>
      <c r="OQ47" s="18"/>
      <c r="OR47" s="18"/>
      <c r="OS47" s="18"/>
      <c r="OT47" s="18"/>
      <c r="OU47" s="18"/>
      <c r="OV47" s="18"/>
      <c r="OW47" s="18"/>
      <c r="OX47" s="18"/>
      <c r="OY47" s="18"/>
      <c r="OZ47" s="18"/>
      <c r="PA47" s="18"/>
      <c r="PB47" s="18"/>
      <c r="PC47" s="18"/>
      <c r="PD47" s="18"/>
      <c r="PE47" s="18"/>
      <c r="PF47" s="18"/>
      <c r="PG47" s="18"/>
      <c r="PH47" s="18"/>
      <c r="PI47" s="18"/>
      <c r="PJ47" s="18"/>
      <c r="PK47" s="18"/>
      <c r="PL47" s="18"/>
      <c r="PM47" s="18"/>
      <c r="PN47" s="18"/>
      <c r="PO47" s="18"/>
      <c r="PP47" s="18"/>
      <c r="PQ47" s="18"/>
      <c r="PR47" s="18"/>
      <c r="PS47" s="18"/>
      <c r="PT47" s="18"/>
      <c r="PU47" s="18"/>
      <c r="PV47" s="18"/>
      <c r="PW47" s="18"/>
      <c r="PX47" s="18"/>
      <c r="PY47" s="18"/>
      <c r="PZ47" s="18"/>
      <c r="QA47" s="18"/>
      <c r="QB47" s="18"/>
      <c r="QC47" s="18"/>
      <c r="QD47" s="18"/>
      <c r="QE47" s="18"/>
      <c r="QF47" s="18"/>
      <c r="QG47" s="18"/>
      <c r="QH47" s="18"/>
      <c r="QI47" s="18"/>
      <c r="QJ47" s="18"/>
      <c r="QK47" s="18"/>
      <c r="QL47" s="18"/>
      <c r="QM47" s="18"/>
      <c r="QN47" s="18"/>
      <c r="QO47" s="18"/>
      <c r="QP47" s="18"/>
      <c r="QQ47" s="18"/>
      <c r="QR47" s="18"/>
      <c r="QS47" s="18"/>
      <c r="QT47" s="18"/>
      <c r="QU47" s="18"/>
      <c r="QV47" s="18"/>
      <c r="QW47" s="18"/>
      <c r="QX47" s="18"/>
      <c r="QY47" s="18"/>
      <c r="QZ47" s="18"/>
      <c r="RA47" s="18"/>
      <c r="RB47" s="18"/>
      <c r="RC47" s="18"/>
      <c r="RD47" s="18"/>
      <c r="RE47" s="18"/>
      <c r="RF47" s="18"/>
      <c r="RG47" s="18"/>
      <c r="RH47" s="18"/>
      <c r="RI47" s="18"/>
      <c r="RJ47" s="18"/>
      <c r="RK47" s="18"/>
      <c r="RL47" s="18"/>
      <c r="RM47" s="18"/>
      <c r="RN47" s="18"/>
      <c r="RO47" s="18"/>
      <c r="RP47" s="18"/>
      <c r="RQ47" s="18"/>
      <c r="RR47" s="18"/>
      <c r="RS47" s="18"/>
      <c r="RT47" s="18"/>
      <c r="RU47" s="18"/>
      <c r="RV47" s="18"/>
      <c r="RW47" s="18"/>
      <c r="RX47" s="18"/>
      <c r="RY47" s="18"/>
      <c r="RZ47" s="18"/>
      <c r="SA47" s="18"/>
      <c r="SB47" s="18"/>
      <c r="SC47" s="18"/>
      <c r="SD47" s="18"/>
      <c r="SE47" s="18"/>
      <c r="SF47" s="18"/>
      <c r="SG47" s="18"/>
      <c r="SH47" s="18"/>
      <c r="SI47" s="18"/>
      <c r="SJ47" s="18"/>
      <c r="SK47" s="18"/>
      <c r="SL47" s="18"/>
      <c r="SM47" s="18"/>
      <c r="SN47" s="18"/>
      <c r="SO47" s="18"/>
      <c r="SP47" s="18"/>
      <c r="SQ47" s="18"/>
      <c r="SR47" s="18"/>
      <c r="SS47" s="18"/>
      <c r="ST47" s="18"/>
      <c r="SU47" s="18"/>
      <c r="SV47" s="18"/>
      <c r="SW47" s="18"/>
      <c r="SX47" s="18"/>
      <c r="SY47" s="18"/>
      <c r="SZ47" s="18"/>
      <c r="TA47" s="18"/>
      <c r="TB47" s="18"/>
      <c r="TC47" s="18"/>
      <c r="TD47" s="18"/>
      <c r="TE47" s="18"/>
      <c r="TF47" s="18"/>
      <c r="TG47" s="18"/>
      <c r="TH47" s="18"/>
      <c r="TI47" s="18"/>
      <c r="TJ47" s="18"/>
      <c r="TK47" s="18"/>
      <c r="TL47" s="18"/>
      <c r="TM47" s="18"/>
      <c r="TN47" s="18"/>
      <c r="TO47" s="18"/>
      <c r="TP47" s="18"/>
      <c r="TQ47" s="18"/>
      <c r="TR47" s="18"/>
      <c r="TS47" s="18"/>
      <c r="TT47" s="18"/>
      <c r="TU47" s="18"/>
      <c r="TV47" s="18"/>
      <c r="TW47" s="18"/>
      <c r="TX47" s="18"/>
      <c r="TY47" s="18"/>
      <c r="TZ47" s="18"/>
      <c r="UA47" s="18"/>
      <c r="UB47" s="18"/>
      <c r="UC47" s="18"/>
      <c r="UD47" s="18"/>
      <c r="UE47" s="18"/>
      <c r="UF47" s="18"/>
      <c r="UG47" s="18"/>
      <c r="UH47" s="18"/>
      <c r="UI47" s="18"/>
      <c r="UJ47" s="18"/>
      <c r="UK47" s="18"/>
      <c r="UL47" s="18"/>
      <c r="UM47" s="18"/>
      <c r="UN47" s="18"/>
      <c r="UO47" s="18"/>
      <c r="UP47" s="18"/>
      <c r="UQ47" s="18"/>
      <c r="UR47" s="18"/>
      <c r="US47" s="18"/>
      <c r="UT47" s="18"/>
      <c r="UU47" s="18"/>
      <c r="UV47" s="18"/>
      <c r="UW47" s="18"/>
      <c r="UX47" s="18"/>
      <c r="UY47" s="18"/>
      <c r="UZ47" s="18"/>
      <c r="VA47" s="18"/>
      <c r="VB47" s="18"/>
      <c r="VC47" s="18"/>
      <c r="VD47" s="18"/>
      <c r="VE47" s="18"/>
      <c r="VF47" s="18"/>
      <c r="VG47" s="18"/>
      <c r="VH47" s="18"/>
      <c r="VI47" s="18"/>
      <c r="VJ47" s="18"/>
      <c r="VK47" s="18"/>
      <c r="VL47" s="18"/>
      <c r="VM47" s="18"/>
      <c r="VN47" s="18"/>
      <c r="VO47" s="18"/>
      <c r="VP47" s="18"/>
      <c r="VQ47" s="18"/>
      <c r="VR47" s="18"/>
      <c r="VS47" s="18"/>
      <c r="VT47" s="18"/>
      <c r="VU47" s="18"/>
      <c r="VV47" s="18"/>
      <c r="VW47" s="18"/>
      <c r="VX47" s="18"/>
      <c r="VY47" s="18"/>
      <c r="VZ47" s="18"/>
      <c r="WA47" s="18"/>
      <c r="WB47" s="18"/>
      <c r="WC47" s="18"/>
      <c r="WD47" s="18"/>
      <c r="WE47" s="18"/>
      <c r="WF47" s="18"/>
      <c r="WG47" s="18"/>
      <c r="WH47" s="18"/>
      <c r="WI47" s="18"/>
      <c r="WJ47" s="18"/>
      <c r="WK47" s="18"/>
      <c r="WL47" s="18"/>
      <c r="WM47" s="18"/>
      <c r="WN47" s="18"/>
      <c r="WO47" s="18"/>
      <c r="WP47" s="18"/>
      <c r="WQ47" s="18"/>
      <c r="WR47" s="18"/>
      <c r="WS47" s="18"/>
      <c r="WT47" s="18"/>
      <c r="WU47" s="18"/>
      <c r="WV47" s="18"/>
      <c r="WW47" s="18"/>
      <c r="WX47" s="18"/>
      <c r="WY47" s="18"/>
      <c r="WZ47" s="18"/>
      <c r="XA47" s="18"/>
      <c r="XB47" s="18"/>
      <c r="XC47" s="18"/>
      <c r="XD47" s="18"/>
      <c r="XE47" s="18"/>
      <c r="XF47" s="18"/>
      <c r="XG47" s="18"/>
      <c r="XH47" s="18"/>
      <c r="XI47" s="18"/>
      <c r="XJ47" s="18"/>
      <c r="XK47" s="18"/>
      <c r="XL47" s="18"/>
      <c r="XM47" s="18"/>
      <c r="XN47" s="18"/>
      <c r="XO47" s="18"/>
      <c r="XP47" s="18"/>
      <c r="XQ47" s="18"/>
      <c r="XR47" s="18"/>
      <c r="XS47" s="18"/>
      <c r="XT47" s="18"/>
      <c r="XU47" s="18"/>
      <c r="XV47" s="18"/>
      <c r="XW47" s="18"/>
      <c r="XX47" s="18"/>
      <c r="XY47" s="18"/>
      <c r="XZ47" s="18"/>
      <c r="YA47" s="18"/>
      <c r="YB47" s="18"/>
      <c r="YC47" s="18"/>
      <c r="YD47" s="18"/>
      <c r="YE47" s="18"/>
      <c r="YF47" s="18"/>
      <c r="YG47" s="18"/>
      <c r="YH47" s="18"/>
      <c r="YI47" s="18"/>
      <c r="YJ47" s="18"/>
      <c r="YK47" s="18"/>
      <c r="YL47" s="18"/>
      <c r="YM47" s="18"/>
      <c r="YN47" s="18"/>
      <c r="YO47" s="18"/>
      <c r="YP47" s="18"/>
      <c r="YQ47" s="18"/>
      <c r="YR47" s="18"/>
      <c r="YS47" s="18"/>
      <c r="YT47" s="18"/>
      <c r="YU47" s="18"/>
      <c r="YV47" s="18"/>
      <c r="YW47" s="18"/>
      <c r="YX47" s="18"/>
      <c r="YY47" s="18"/>
      <c r="YZ47" s="18"/>
      <c r="ZA47" s="18"/>
      <c r="ZB47" s="18"/>
      <c r="ZC47" s="18"/>
      <c r="ZD47" s="18"/>
      <c r="ZE47" s="18"/>
      <c r="ZF47" s="18"/>
      <c r="ZG47" s="18"/>
      <c r="ZH47" s="18"/>
      <c r="ZI47" s="18"/>
      <c r="ZJ47" s="18"/>
      <c r="ZK47" s="18"/>
      <c r="ZL47" s="18"/>
      <c r="ZM47" s="18"/>
      <c r="ZN47" s="18"/>
      <c r="ZO47" s="18"/>
      <c r="ZP47" s="18"/>
      <c r="ZQ47" s="18"/>
      <c r="ZR47" s="18"/>
      <c r="ZS47" s="18"/>
      <c r="ZT47" s="18"/>
      <c r="ZU47" s="18"/>
      <c r="ZV47" s="18"/>
      <c r="ZW47" s="18"/>
      <c r="ZX47" s="18"/>
      <c r="ZY47" s="18"/>
      <c r="ZZ47" s="18"/>
      <c r="AAA47" s="18"/>
      <c r="AAB47" s="18"/>
      <c r="AAC47" s="18"/>
      <c r="AAD47" s="18"/>
      <c r="AAE47" s="18"/>
      <c r="AAF47" s="18"/>
      <c r="AAG47" s="18"/>
      <c r="AAH47" s="18"/>
      <c r="AAI47" s="18"/>
      <c r="AAJ47" s="18"/>
      <c r="AAK47" s="18"/>
      <c r="AAL47" s="18"/>
      <c r="AAM47" s="18"/>
      <c r="AAN47" s="18"/>
      <c r="AAO47" s="18"/>
      <c r="AAP47" s="18"/>
      <c r="AAQ47" s="18"/>
      <c r="AAR47" s="18"/>
      <c r="AAS47" s="18"/>
      <c r="AAT47" s="18"/>
      <c r="AAU47" s="18"/>
      <c r="AAV47" s="18"/>
      <c r="AAW47" s="18"/>
      <c r="AAX47" s="18"/>
      <c r="AAY47" s="18"/>
      <c r="AAZ47" s="18"/>
      <c r="ABA47" s="18"/>
      <c r="ABB47" s="18"/>
      <c r="ABC47" s="18"/>
      <c r="ABD47" s="18"/>
      <c r="ABE47" s="18"/>
      <c r="ABF47" s="18"/>
      <c r="ABG47" s="18"/>
      <c r="ABH47" s="18"/>
      <c r="ABI47" s="18"/>
      <c r="ABJ47" s="18"/>
      <c r="ABK47" s="18"/>
      <c r="ABL47" s="18"/>
      <c r="ABM47" s="18"/>
      <c r="ABN47" s="18"/>
      <c r="ABO47" s="18"/>
      <c r="ABP47" s="18"/>
      <c r="ABQ47" s="18"/>
      <c r="ABR47" s="18"/>
      <c r="ABS47" s="18"/>
      <c r="ABT47" s="18"/>
      <c r="ABU47" s="18"/>
      <c r="ABV47" s="18"/>
      <c r="ABW47" s="18"/>
      <c r="ABX47" s="18"/>
      <c r="ABY47" s="18"/>
      <c r="ABZ47" s="18"/>
      <c r="ACA47" s="18"/>
      <c r="ACB47" s="18"/>
      <c r="ACC47" s="18"/>
      <c r="ACD47" s="18"/>
      <c r="ACE47" s="18"/>
      <c r="ACF47" s="18"/>
      <c r="ACG47" s="18"/>
      <c r="ACH47" s="18"/>
      <c r="ACI47" s="18"/>
      <c r="ACJ47" s="18"/>
      <c r="ACK47" s="18"/>
      <c r="ACL47" s="18"/>
      <c r="ACM47" s="18"/>
      <c r="ACN47" s="18"/>
      <c r="ACO47" s="18"/>
      <c r="ACP47" s="18"/>
      <c r="ACQ47" s="18"/>
      <c r="ACR47" s="18"/>
      <c r="ACS47" s="18"/>
      <c r="ACT47" s="18"/>
      <c r="ACU47" s="18"/>
      <c r="ACV47" s="18"/>
      <c r="ACW47" s="18"/>
      <c r="ACX47" s="18"/>
      <c r="ACY47" s="18"/>
      <c r="ACZ47" s="18"/>
      <c r="ADA47" s="18"/>
      <c r="ADB47" s="18"/>
      <c r="ADC47" s="18"/>
      <c r="ADD47" s="18"/>
      <c r="ADE47" s="18"/>
      <c r="ADF47" s="18"/>
      <c r="ADG47" s="18"/>
      <c r="ADH47" s="18"/>
      <c r="ADI47" s="18"/>
      <c r="ADJ47" s="18"/>
      <c r="ADK47" s="18"/>
      <c r="ADL47" s="18"/>
      <c r="ADM47" s="18"/>
      <c r="ADN47" s="18"/>
      <c r="ADO47" s="18"/>
      <c r="ADP47" s="18"/>
      <c r="ADQ47" s="18"/>
      <c r="ADR47" s="18"/>
      <c r="ADS47" s="18"/>
      <c r="ADT47" s="18"/>
      <c r="ADU47" s="18"/>
      <c r="ADV47" s="18"/>
      <c r="ADW47" s="18"/>
      <c r="ADX47" s="18"/>
      <c r="ADY47" s="18"/>
      <c r="ADZ47" s="18"/>
      <c r="AEA47" s="18"/>
      <c r="AEB47" s="18"/>
      <c r="AEC47" s="18"/>
      <c r="AED47" s="18"/>
      <c r="AEE47" s="18"/>
      <c r="AEF47" s="18"/>
      <c r="AEG47" s="18"/>
      <c r="AEH47" s="18"/>
      <c r="AEI47" s="18"/>
      <c r="AEJ47" s="18"/>
      <c r="AEK47" s="18"/>
      <c r="AEL47" s="18"/>
      <c r="AEM47" s="18"/>
      <c r="AEN47" s="18"/>
      <c r="AEO47" s="18"/>
      <c r="AEP47" s="18"/>
      <c r="AEQ47" s="18"/>
      <c r="AER47" s="18"/>
      <c r="AES47" s="18"/>
      <c r="AET47" s="18"/>
      <c r="AEU47" s="18"/>
      <c r="AEV47" s="18"/>
      <c r="AEW47" s="18"/>
      <c r="AEX47" s="18"/>
      <c r="AEY47" s="18"/>
      <c r="AEZ47" s="18"/>
      <c r="AFA47" s="18"/>
      <c r="AFB47" s="18"/>
      <c r="AFC47" s="18"/>
      <c r="AFD47" s="18"/>
      <c r="AFE47" s="18"/>
      <c r="AFF47" s="18"/>
      <c r="AFG47" s="18"/>
      <c r="AFH47" s="18"/>
      <c r="AFI47" s="18"/>
      <c r="AFJ47" s="18"/>
      <c r="AFK47" s="18"/>
      <c r="AFL47" s="18"/>
      <c r="AFM47" s="18"/>
      <c r="AFN47" s="18"/>
      <c r="AFO47" s="18"/>
      <c r="AFP47" s="18"/>
      <c r="AFQ47" s="18"/>
      <c r="AFR47" s="18"/>
      <c r="AFS47" s="18"/>
      <c r="AFT47" s="18"/>
      <c r="AFU47" s="18"/>
      <c r="AFV47" s="18"/>
      <c r="AFW47" s="18"/>
      <c r="AFX47" s="18"/>
      <c r="AFY47" s="18"/>
      <c r="AFZ47" s="18"/>
      <c r="AGA47" s="18"/>
      <c r="AGB47" s="18"/>
      <c r="AGC47" s="18"/>
      <c r="AGD47" s="18"/>
      <c r="AGE47" s="18"/>
      <c r="AGF47" s="18"/>
      <c r="AGG47" s="18"/>
      <c r="AGH47" s="18"/>
      <c r="AGI47" s="18"/>
      <c r="AGJ47" s="18"/>
      <c r="AGK47" s="18"/>
      <c r="AGL47" s="18"/>
      <c r="AGM47" s="18"/>
      <c r="AGN47" s="18"/>
      <c r="AGO47" s="18"/>
      <c r="AGP47" s="18"/>
      <c r="AGQ47" s="18"/>
      <c r="AGR47" s="18"/>
      <c r="AGS47" s="18"/>
      <c r="AGT47" s="18"/>
      <c r="AGU47" s="18"/>
      <c r="AGV47" s="18"/>
      <c r="AGW47" s="18"/>
      <c r="AGX47" s="18"/>
      <c r="AGY47" s="18"/>
      <c r="AGZ47" s="18"/>
      <c r="AHA47" s="18"/>
      <c r="AHB47" s="18"/>
      <c r="AHC47" s="18"/>
      <c r="AHD47" s="18"/>
      <c r="AHE47" s="18"/>
      <c r="AHF47" s="18"/>
      <c r="AHG47" s="18"/>
      <c r="AHH47" s="18"/>
      <c r="AHI47" s="18"/>
      <c r="AHJ47" s="18"/>
      <c r="AHK47" s="18"/>
      <c r="AHL47" s="18"/>
      <c r="AHM47" s="18"/>
      <c r="AHN47" s="18"/>
      <c r="AHO47" s="18"/>
      <c r="AHP47" s="18"/>
      <c r="AHQ47" s="18"/>
      <c r="AHR47" s="18"/>
      <c r="AHS47" s="18"/>
      <c r="AHT47" s="18"/>
      <c r="AHU47" s="18"/>
      <c r="AHV47" s="18"/>
      <c r="AHW47" s="18"/>
      <c r="AHX47" s="18"/>
      <c r="AHY47" s="18"/>
      <c r="AHZ47" s="18"/>
      <c r="AIA47" s="18"/>
      <c r="AIB47" s="18"/>
      <c r="AIC47" s="18"/>
      <c r="AID47" s="18"/>
      <c r="AIE47" s="18"/>
      <c r="AIF47" s="18"/>
      <c r="AIG47" s="18"/>
      <c r="AIH47" s="18"/>
      <c r="AII47" s="18"/>
      <c r="AIJ47" s="18"/>
      <c r="AIK47" s="18"/>
      <c r="AIL47" s="18"/>
      <c r="AIM47" s="18"/>
      <c r="AIN47" s="18"/>
      <c r="AIO47" s="18"/>
      <c r="AIP47" s="18"/>
      <c r="AIQ47" s="18"/>
      <c r="AIR47" s="18"/>
      <c r="AIS47" s="18"/>
      <c r="AIT47" s="18"/>
      <c r="AIU47" s="18"/>
      <c r="AIV47" s="18"/>
      <c r="AIW47" s="18"/>
      <c r="AIX47" s="18"/>
      <c r="AIY47" s="18"/>
      <c r="AIZ47" s="18"/>
      <c r="AJA47" s="18"/>
      <c r="AJB47" s="18"/>
      <c r="AJC47" s="18"/>
      <c r="AJD47" s="18"/>
      <c r="AJE47" s="18"/>
      <c r="AJF47" s="18"/>
      <c r="AJG47" s="18"/>
      <c r="AJH47" s="18"/>
      <c r="AJI47" s="18"/>
      <c r="AJJ47" s="18"/>
      <c r="AJK47" s="18"/>
      <c r="AJL47" s="18"/>
      <c r="AJM47" s="18"/>
      <c r="AJN47" s="18"/>
      <c r="AJO47" s="18"/>
      <c r="AJP47" s="18"/>
      <c r="AJQ47" s="18"/>
      <c r="AJR47" s="18"/>
      <c r="AJS47" s="18"/>
      <c r="AJT47" s="18"/>
      <c r="AJU47" s="18"/>
      <c r="AJV47" s="18"/>
      <c r="AJW47" s="18"/>
      <c r="AJX47" s="18"/>
      <c r="AJY47" s="18"/>
      <c r="AJZ47" s="18"/>
      <c r="AKA47" s="18"/>
      <c r="AKB47" s="18"/>
      <c r="AKC47" s="18"/>
      <c r="AKD47" s="18"/>
      <c r="AKE47" s="18"/>
      <c r="AKF47" s="18"/>
      <c r="AKG47" s="18"/>
      <c r="AKH47" s="18"/>
      <c r="AKI47" s="18"/>
      <c r="AKJ47" s="18"/>
      <c r="AKK47" s="18"/>
      <c r="AKL47" s="18"/>
      <c r="AKM47" s="18"/>
      <c r="AKN47" s="18"/>
      <c r="AKO47" s="18"/>
      <c r="AKP47" s="18"/>
      <c r="AKQ47" s="18"/>
      <c r="AKR47" s="18"/>
      <c r="AKS47" s="18"/>
      <c r="AKT47" s="18"/>
      <c r="AKU47" s="18"/>
      <c r="AKV47" s="18"/>
      <c r="AKW47" s="18"/>
      <c r="AKX47" s="18"/>
      <c r="AKY47" s="18"/>
      <c r="AKZ47" s="18"/>
      <c r="ALA47" s="18"/>
      <c r="ALB47" s="18"/>
      <c r="ALC47" s="18"/>
      <c r="ALD47" s="18"/>
      <c r="ALE47" s="18"/>
      <c r="ALF47" s="18"/>
      <c r="ALG47" s="18"/>
      <c r="ALH47" s="18"/>
      <c r="ALI47" s="18"/>
      <c r="ALJ47" s="18"/>
      <c r="ALK47" s="18"/>
      <c r="ALL47" s="18"/>
      <c r="ALM47" s="18"/>
      <c r="ALN47" s="18"/>
      <c r="ALO47" s="18"/>
      <c r="ALP47" s="18"/>
      <c r="ALQ47" s="18"/>
      <c r="ALR47" s="18"/>
      <c r="ALS47" s="18"/>
      <c r="ALT47" s="18"/>
    </row>
    <row r="48" spans="1:1008" ht="24">
      <c r="A48" s="251" t="s">
        <v>7</v>
      </c>
      <c r="B48" s="290">
        <v>86885</v>
      </c>
      <c r="C48" s="278" t="str">
        <f>(IF($A48="SINAPI",INDEX(SINAPI_NOV2020_NDES!$A$7:$H$6703,MATCH($B48,SINAPI_NOV2020_NDES!$A$7:$A$6703,0),2),IF($A48="GOINFRA",INDEX(#REF!,MATCH($B48,#REF!,0),2),(INDEX(COMPOS!$A$4:$G$390,MATCH($B48,COMPOS!$A$4:A$390,0),2)))))</f>
        <v>ENGATE FLEXÍVEL EM PLÁSTICO BRANCO, 1/2 X 40CM - FORNECIMENTO E INSTALAÇÃO. AF_01/2020</v>
      </c>
      <c r="D48" s="274" t="str">
        <f>(IF($A48="SINAPI",INDEX(SINAPI_NOV2020_NDES!$A$7:$H$6790,MATCH($B48,SINAPI_NOV2020_NDES!$A$7:$A$6790,0),3),(INDEX(COMPOS!$A$4:$G$5000,MATCH($B48,COMPOS!$A$4:$A$5000,0),3))))</f>
        <v>UN</v>
      </c>
      <c r="E48" s="314">
        <v>10</v>
      </c>
      <c r="F48" s="279">
        <f>(IF($A48="SINAPI",INDEX(SINAPI_NOV2020_NDES!$A$7:$H$6703,MATCH($B48,SINAPI_NOV2020_NDES!$A$7:$A$6703,0),5),(INDEX(COMPOS!$A$4:$G$801,MATCH($B48,COMPOS!$A$4:A$801,0),4))))</f>
        <v>3.12</v>
      </c>
      <c r="G48" s="280">
        <f>(IF($A48="SINAPI",INDEX(SINAPI_NOV2020_NDES!$A$7:$H$6703,MATCH($B48,SINAPI_NOV2020_NDES!$A$7:$A$6703,0),6),(INDEX(COMPOS!$A$4:$G$801,MATCH($B48,COMPOS!$A$4:A$801,0),5))))</f>
        <v>6.03</v>
      </c>
      <c r="H48" s="280">
        <f>(IF($A48="SINAPI",INDEX(SINAPI_NOV2020_NDES!$A$7:$H$6703,MATCH($B48,SINAPI_NOV2020_NDES!$A$7:$A$6703,0),7),(INDEX(COMPOS!$A$4:$G$801,MATCH($B48,COMPOS!$A$4:A$801,0),6))))</f>
        <v>0</v>
      </c>
      <c r="I48" s="279">
        <f t="shared" si="12"/>
        <v>9.15</v>
      </c>
      <c r="J48" s="276">
        <f t="shared" si="13"/>
        <v>91.5</v>
      </c>
      <c r="K48" s="191"/>
      <c r="L48" s="191"/>
      <c r="M48" s="191"/>
      <c r="N48" s="191"/>
      <c r="O48" s="262"/>
      <c r="P48" s="263"/>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c r="EF48" s="18"/>
      <c r="EG48" s="18"/>
      <c r="EH48" s="18"/>
      <c r="EI48" s="18"/>
      <c r="EJ48" s="18"/>
      <c r="EK48" s="18"/>
      <c r="EL48" s="18"/>
      <c r="EM48" s="18"/>
      <c r="EN48" s="18"/>
      <c r="EO48" s="18"/>
      <c r="EP48" s="18"/>
      <c r="EQ48" s="18"/>
      <c r="ER48" s="18"/>
      <c r="ES48" s="18"/>
      <c r="ET48" s="18"/>
      <c r="EU48" s="18"/>
      <c r="EV48" s="18"/>
      <c r="EW48" s="18"/>
      <c r="EX48" s="18"/>
      <c r="EY48" s="18"/>
      <c r="EZ48" s="18"/>
      <c r="FA48" s="18"/>
      <c r="FB48" s="18"/>
      <c r="FC48" s="18"/>
      <c r="FD48" s="18"/>
      <c r="FE48" s="18"/>
      <c r="FF48" s="18"/>
      <c r="FG48" s="18"/>
      <c r="FH48" s="18"/>
      <c r="FI48" s="18"/>
      <c r="FJ48" s="18"/>
      <c r="FK48" s="18"/>
      <c r="FL48" s="18"/>
      <c r="FM48" s="18"/>
      <c r="FN48" s="18"/>
      <c r="FO48" s="18"/>
      <c r="FP48" s="18"/>
      <c r="FQ48" s="18"/>
      <c r="FR48" s="18"/>
      <c r="FS48" s="18"/>
      <c r="FT48" s="18"/>
      <c r="FU48" s="18"/>
      <c r="FV48" s="18"/>
      <c r="FW48" s="18"/>
      <c r="FX48" s="18"/>
      <c r="FY48" s="18"/>
      <c r="FZ48" s="18"/>
      <c r="GA48" s="18"/>
      <c r="GB48" s="18"/>
      <c r="GC48" s="18"/>
      <c r="GD48" s="18"/>
      <c r="GE48" s="18"/>
      <c r="GF48" s="18"/>
      <c r="GG48" s="18"/>
      <c r="GH48" s="18"/>
      <c r="GI48" s="18"/>
      <c r="GJ48" s="18"/>
      <c r="GK48" s="18"/>
      <c r="GL48" s="18"/>
      <c r="GM48" s="18"/>
      <c r="GN48" s="18"/>
      <c r="GO48" s="18"/>
      <c r="GP48" s="18"/>
      <c r="GQ48" s="18"/>
      <c r="GR48" s="18"/>
      <c r="GS48" s="18"/>
      <c r="GT48" s="18"/>
      <c r="GU48" s="18"/>
      <c r="GV48" s="18"/>
      <c r="GW48" s="18"/>
      <c r="GX48" s="18"/>
      <c r="GY48" s="18"/>
      <c r="GZ48" s="18"/>
      <c r="HA48" s="18"/>
      <c r="HB48" s="18"/>
      <c r="HC48" s="18"/>
      <c r="HD48" s="18"/>
      <c r="HE48" s="18"/>
      <c r="HF48" s="18"/>
      <c r="HG48" s="18"/>
      <c r="HH48" s="18"/>
      <c r="HI48" s="18"/>
      <c r="HJ48" s="18"/>
      <c r="HK48" s="18"/>
      <c r="HL48" s="18"/>
      <c r="HM48" s="18"/>
      <c r="HN48" s="18"/>
      <c r="HO48" s="18"/>
      <c r="HP48" s="18"/>
      <c r="HQ48" s="18"/>
      <c r="HR48" s="18"/>
      <c r="HS48" s="18"/>
      <c r="HT48" s="18"/>
      <c r="HU48" s="18"/>
      <c r="HV48" s="18"/>
      <c r="HW48" s="18"/>
      <c r="HX48" s="18"/>
      <c r="HY48" s="18"/>
      <c r="HZ48" s="18"/>
      <c r="IA48" s="18"/>
      <c r="IB48" s="18"/>
      <c r="IC48" s="18"/>
      <c r="ID48" s="18"/>
      <c r="IE48" s="18"/>
      <c r="IF48" s="18"/>
      <c r="IG48" s="18"/>
      <c r="IH48" s="18"/>
      <c r="II48" s="18"/>
      <c r="IJ48" s="18"/>
      <c r="IK48" s="18"/>
      <c r="IL48" s="18"/>
      <c r="IM48" s="18"/>
      <c r="IN48" s="18"/>
      <c r="IO48" s="18"/>
      <c r="IP48" s="18"/>
      <c r="IQ48" s="18"/>
      <c r="IR48" s="18"/>
      <c r="IS48" s="18"/>
      <c r="IT48" s="18"/>
      <c r="IU48" s="18"/>
      <c r="IV48" s="18"/>
      <c r="IW48" s="18"/>
      <c r="IX48" s="18"/>
      <c r="IY48" s="18"/>
      <c r="IZ48" s="18"/>
      <c r="JA48" s="18"/>
      <c r="JB48" s="18"/>
      <c r="JC48" s="18"/>
      <c r="JD48" s="18"/>
      <c r="JE48" s="18"/>
      <c r="JF48" s="18"/>
      <c r="JG48" s="18"/>
      <c r="JH48" s="18"/>
      <c r="JI48" s="18"/>
      <c r="JJ48" s="18"/>
      <c r="JK48" s="18"/>
      <c r="JL48" s="18"/>
      <c r="JM48" s="18"/>
      <c r="JN48" s="18"/>
      <c r="JO48" s="18"/>
      <c r="JP48" s="18"/>
      <c r="JQ48" s="18"/>
      <c r="JR48" s="18"/>
      <c r="JS48" s="18"/>
      <c r="JT48" s="18"/>
      <c r="JU48" s="18"/>
      <c r="JV48" s="18"/>
      <c r="JW48" s="18"/>
      <c r="JX48" s="18"/>
      <c r="JY48" s="18"/>
      <c r="JZ48" s="18"/>
      <c r="KA48" s="18"/>
      <c r="KB48" s="18"/>
      <c r="KC48" s="18"/>
      <c r="KD48" s="18"/>
      <c r="KE48" s="18"/>
      <c r="KF48" s="18"/>
      <c r="KG48" s="18"/>
      <c r="KH48" s="18"/>
      <c r="KI48" s="18"/>
      <c r="KJ48" s="18"/>
      <c r="KK48" s="18"/>
      <c r="KL48" s="18"/>
      <c r="KM48" s="18"/>
      <c r="KN48" s="18"/>
      <c r="KO48" s="18"/>
      <c r="KP48" s="18"/>
      <c r="KQ48" s="18"/>
      <c r="KR48" s="18"/>
      <c r="KS48" s="18"/>
      <c r="KT48" s="18"/>
      <c r="KU48" s="18"/>
      <c r="KV48" s="18"/>
      <c r="KW48" s="18"/>
      <c r="KX48" s="18"/>
      <c r="KY48" s="18"/>
      <c r="KZ48" s="18"/>
      <c r="LA48" s="18"/>
      <c r="LB48" s="18"/>
      <c r="LC48" s="18"/>
      <c r="LD48" s="18"/>
      <c r="LE48" s="18"/>
      <c r="LF48" s="18"/>
      <c r="LG48" s="18"/>
      <c r="LH48" s="18"/>
      <c r="LI48" s="18"/>
      <c r="LJ48" s="18"/>
      <c r="LK48" s="18"/>
      <c r="LL48" s="18"/>
      <c r="LM48" s="18"/>
      <c r="LN48" s="18"/>
      <c r="LO48" s="18"/>
      <c r="LP48" s="18"/>
      <c r="LQ48" s="18"/>
      <c r="LR48" s="18"/>
      <c r="LS48" s="18"/>
      <c r="LT48" s="18"/>
      <c r="LU48" s="18"/>
      <c r="LV48" s="18"/>
      <c r="LW48" s="18"/>
      <c r="LX48" s="18"/>
      <c r="LY48" s="18"/>
      <c r="LZ48" s="18"/>
      <c r="MA48" s="18"/>
      <c r="MB48" s="18"/>
      <c r="MC48" s="18"/>
      <c r="MD48" s="18"/>
      <c r="ME48" s="18"/>
      <c r="MF48" s="18"/>
      <c r="MG48" s="18"/>
      <c r="MH48" s="18"/>
      <c r="MI48" s="18"/>
      <c r="MJ48" s="18"/>
      <c r="MK48" s="18"/>
      <c r="ML48" s="18"/>
      <c r="MM48" s="18"/>
      <c r="MN48" s="18"/>
      <c r="MO48" s="18"/>
      <c r="MP48" s="18"/>
      <c r="MQ48" s="18"/>
      <c r="MR48" s="18"/>
      <c r="MS48" s="18"/>
      <c r="MT48" s="18"/>
      <c r="MU48" s="18"/>
      <c r="MV48" s="18"/>
      <c r="MW48" s="18"/>
      <c r="MX48" s="18"/>
      <c r="MY48" s="18"/>
      <c r="MZ48" s="18"/>
      <c r="NA48" s="18"/>
      <c r="NB48" s="18"/>
      <c r="NC48" s="18"/>
      <c r="ND48" s="18"/>
      <c r="NE48" s="18"/>
      <c r="NF48" s="18"/>
      <c r="NG48" s="18"/>
      <c r="NH48" s="18"/>
      <c r="NI48" s="18"/>
      <c r="NJ48" s="18"/>
      <c r="NK48" s="18"/>
      <c r="NL48" s="18"/>
      <c r="NM48" s="18"/>
      <c r="NN48" s="18"/>
      <c r="NO48" s="18"/>
      <c r="NP48" s="18"/>
      <c r="NQ48" s="18"/>
      <c r="NR48" s="18"/>
      <c r="NS48" s="18"/>
      <c r="NT48" s="18"/>
      <c r="NU48" s="18"/>
      <c r="NV48" s="18"/>
      <c r="NW48" s="18"/>
      <c r="NX48" s="18"/>
      <c r="NY48" s="18"/>
      <c r="NZ48" s="18"/>
      <c r="OA48" s="18"/>
      <c r="OB48" s="18"/>
      <c r="OC48" s="18"/>
      <c r="OD48" s="18"/>
      <c r="OE48" s="18"/>
      <c r="OF48" s="18"/>
      <c r="OG48" s="18"/>
      <c r="OH48" s="18"/>
      <c r="OI48" s="18"/>
      <c r="OJ48" s="18"/>
      <c r="OK48" s="18"/>
      <c r="OL48" s="18"/>
      <c r="OM48" s="18"/>
      <c r="ON48" s="18"/>
      <c r="OO48" s="18"/>
      <c r="OP48" s="18"/>
      <c r="OQ48" s="18"/>
      <c r="OR48" s="18"/>
      <c r="OS48" s="18"/>
      <c r="OT48" s="18"/>
      <c r="OU48" s="18"/>
      <c r="OV48" s="18"/>
      <c r="OW48" s="18"/>
      <c r="OX48" s="18"/>
      <c r="OY48" s="18"/>
      <c r="OZ48" s="18"/>
      <c r="PA48" s="18"/>
      <c r="PB48" s="18"/>
      <c r="PC48" s="18"/>
      <c r="PD48" s="18"/>
      <c r="PE48" s="18"/>
      <c r="PF48" s="18"/>
      <c r="PG48" s="18"/>
      <c r="PH48" s="18"/>
      <c r="PI48" s="18"/>
      <c r="PJ48" s="18"/>
      <c r="PK48" s="18"/>
      <c r="PL48" s="18"/>
      <c r="PM48" s="18"/>
      <c r="PN48" s="18"/>
      <c r="PO48" s="18"/>
      <c r="PP48" s="18"/>
      <c r="PQ48" s="18"/>
      <c r="PR48" s="18"/>
      <c r="PS48" s="18"/>
      <c r="PT48" s="18"/>
      <c r="PU48" s="18"/>
      <c r="PV48" s="18"/>
      <c r="PW48" s="18"/>
      <c r="PX48" s="18"/>
      <c r="PY48" s="18"/>
      <c r="PZ48" s="18"/>
      <c r="QA48" s="18"/>
      <c r="QB48" s="18"/>
      <c r="QC48" s="18"/>
      <c r="QD48" s="18"/>
      <c r="QE48" s="18"/>
      <c r="QF48" s="18"/>
      <c r="QG48" s="18"/>
      <c r="QH48" s="18"/>
      <c r="QI48" s="18"/>
      <c r="QJ48" s="18"/>
      <c r="QK48" s="18"/>
      <c r="QL48" s="18"/>
      <c r="QM48" s="18"/>
      <c r="QN48" s="18"/>
      <c r="QO48" s="18"/>
      <c r="QP48" s="18"/>
      <c r="QQ48" s="18"/>
      <c r="QR48" s="18"/>
      <c r="QS48" s="18"/>
      <c r="QT48" s="18"/>
      <c r="QU48" s="18"/>
      <c r="QV48" s="18"/>
      <c r="QW48" s="18"/>
      <c r="QX48" s="18"/>
      <c r="QY48" s="18"/>
      <c r="QZ48" s="18"/>
      <c r="RA48" s="18"/>
      <c r="RB48" s="18"/>
      <c r="RC48" s="18"/>
      <c r="RD48" s="18"/>
      <c r="RE48" s="18"/>
      <c r="RF48" s="18"/>
      <c r="RG48" s="18"/>
      <c r="RH48" s="18"/>
      <c r="RI48" s="18"/>
      <c r="RJ48" s="18"/>
      <c r="RK48" s="18"/>
      <c r="RL48" s="18"/>
      <c r="RM48" s="18"/>
      <c r="RN48" s="18"/>
      <c r="RO48" s="18"/>
      <c r="RP48" s="18"/>
      <c r="RQ48" s="18"/>
      <c r="RR48" s="18"/>
      <c r="RS48" s="18"/>
      <c r="RT48" s="18"/>
      <c r="RU48" s="18"/>
      <c r="RV48" s="18"/>
      <c r="RW48" s="18"/>
      <c r="RX48" s="18"/>
      <c r="RY48" s="18"/>
      <c r="RZ48" s="18"/>
      <c r="SA48" s="18"/>
      <c r="SB48" s="18"/>
      <c r="SC48" s="18"/>
      <c r="SD48" s="18"/>
      <c r="SE48" s="18"/>
      <c r="SF48" s="18"/>
      <c r="SG48" s="18"/>
      <c r="SH48" s="18"/>
      <c r="SI48" s="18"/>
      <c r="SJ48" s="18"/>
      <c r="SK48" s="18"/>
      <c r="SL48" s="18"/>
      <c r="SM48" s="18"/>
      <c r="SN48" s="18"/>
      <c r="SO48" s="18"/>
      <c r="SP48" s="18"/>
      <c r="SQ48" s="18"/>
      <c r="SR48" s="18"/>
      <c r="SS48" s="18"/>
      <c r="ST48" s="18"/>
      <c r="SU48" s="18"/>
      <c r="SV48" s="18"/>
      <c r="SW48" s="18"/>
      <c r="SX48" s="18"/>
      <c r="SY48" s="18"/>
      <c r="SZ48" s="18"/>
      <c r="TA48" s="18"/>
      <c r="TB48" s="18"/>
      <c r="TC48" s="18"/>
      <c r="TD48" s="18"/>
      <c r="TE48" s="18"/>
      <c r="TF48" s="18"/>
      <c r="TG48" s="18"/>
      <c r="TH48" s="18"/>
      <c r="TI48" s="18"/>
      <c r="TJ48" s="18"/>
      <c r="TK48" s="18"/>
      <c r="TL48" s="18"/>
      <c r="TM48" s="18"/>
      <c r="TN48" s="18"/>
      <c r="TO48" s="18"/>
      <c r="TP48" s="18"/>
      <c r="TQ48" s="18"/>
      <c r="TR48" s="18"/>
      <c r="TS48" s="18"/>
      <c r="TT48" s="18"/>
      <c r="TU48" s="18"/>
      <c r="TV48" s="18"/>
      <c r="TW48" s="18"/>
      <c r="TX48" s="18"/>
      <c r="TY48" s="18"/>
      <c r="TZ48" s="18"/>
      <c r="UA48" s="18"/>
      <c r="UB48" s="18"/>
      <c r="UC48" s="18"/>
      <c r="UD48" s="18"/>
      <c r="UE48" s="18"/>
      <c r="UF48" s="18"/>
      <c r="UG48" s="18"/>
      <c r="UH48" s="18"/>
      <c r="UI48" s="18"/>
      <c r="UJ48" s="18"/>
      <c r="UK48" s="18"/>
      <c r="UL48" s="18"/>
      <c r="UM48" s="18"/>
      <c r="UN48" s="18"/>
      <c r="UO48" s="18"/>
      <c r="UP48" s="18"/>
      <c r="UQ48" s="18"/>
      <c r="UR48" s="18"/>
      <c r="US48" s="18"/>
      <c r="UT48" s="18"/>
      <c r="UU48" s="18"/>
      <c r="UV48" s="18"/>
      <c r="UW48" s="18"/>
      <c r="UX48" s="18"/>
      <c r="UY48" s="18"/>
      <c r="UZ48" s="18"/>
      <c r="VA48" s="18"/>
      <c r="VB48" s="18"/>
      <c r="VC48" s="18"/>
      <c r="VD48" s="18"/>
      <c r="VE48" s="18"/>
      <c r="VF48" s="18"/>
      <c r="VG48" s="18"/>
      <c r="VH48" s="18"/>
      <c r="VI48" s="18"/>
      <c r="VJ48" s="18"/>
      <c r="VK48" s="18"/>
      <c r="VL48" s="18"/>
      <c r="VM48" s="18"/>
      <c r="VN48" s="18"/>
      <c r="VO48" s="18"/>
      <c r="VP48" s="18"/>
      <c r="VQ48" s="18"/>
      <c r="VR48" s="18"/>
      <c r="VS48" s="18"/>
      <c r="VT48" s="18"/>
      <c r="VU48" s="18"/>
      <c r="VV48" s="18"/>
      <c r="VW48" s="18"/>
      <c r="VX48" s="18"/>
      <c r="VY48" s="18"/>
      <c r="VZ48" s="18"/>
      <c r="WA48" s="18"/>
      <c r="WB48" s="18"/>
      <c r="WC48" s="18"/>
      <c r="WD48" s="18"/>
      <c r="WE48" s="18"/>
      <c r="WF48" s="18"/>
      <c r="WG48" s="18"/>
      <c r="WH48" s="18"/>
      <c r="WI48" s="18"/>
      <c r="WJ48" s="18"/>
      <c r="WK48" s="18"/>
      <c r="WL48" s="18"/>
      <c r="WM48" s="18"/>
      <c r="WN48" s="18"/>
      <c r="WO48" s="18"/>
      <c r="WP48" s="18"/>
      <c r="WQ48" s="18"/>
      <c r="WR48" s="18"/>
      <c r="WS48" s="18"/>
      <c r="WT48" s="18"/>
      <c r="WU48" s="18"/>
      <c r="WV48" s="18"/>
      <c r="WW48" s="18"/>
      <c r="WX48" s="18"/>
      <c r="WY48" s="18"/>
      <c r="WZ48" s="18"/>
      <c r="XA48" s="18"/>
      <c r="XB48" s="18"/>
      <c r="XC48" s="18"/>
      <c r="XD48" s="18"/>
      <c r="XE48" s="18"/>
      <c r="XF48" s="18"/>
      <c r="XG48" s="18"/>
      <c r="XH48" s="18"/>
      <c r="XI48" s="18"/>
      <c r="XJ48" s="18"/>
      <c r="XK48" s="18"/>
      <c r="XL48" s="18"/>
      <c r="XM48" s="18"/>
      <c r="XN48" s="18"/>
      <c r="XO48" s="18"/>
      <c r="XP48" s="18"/>
      <c r="XQ48" s="18"/>
      <c r="XR48" s="18"/>
      <c r="XS48" s="18"/>
      <c r="XT48" s="18"/>
      <c r="XU48" s="18"/>
      <c r="XV48" s="18"/>
      <c r="XW48" s="18"/>
      <c r="XX48" s="18"/>
      <c r="XY48" s="18"/>
      <c r="XZ48" s="18"/>
      <c r="YA48" s="18"/>
      <c r="YB48" s="18"/>
      <c r="YC48" s="18"/>
      <c r="YD48" s="18"/>
      <c r="YE48" s="18"/>
      <c r="YF48" s="18"/>
      <c r="YG48" s="18"/>
      <c r="YH48" s="18"/>
      <c r="YI48" s="18"/>
      <c r="YJ48" s="18"/>
      <c r="YK48" s="18"/>
      <c r="YL48" s="18"/>
      <c r="YM48" s="18"/>
      <c r="YN48" s="18"/>
      <c r="YO48" s="18"/>
      <c r="YP48" s="18"/>
      <c r="YQ48" s="18"/>
      <c r="YR48" s="18"/>
      <c r="YS48" s="18"/>
      <c r="YT48" s="18"/>
      <c r="YU48" s="18"/>
      <c r="YV48" s="18"/>
      <c r="YW48" s="18"/>
      <c r="YX48" s="18"/>
      <c r="YY48" s="18"/>
      <c r="YZ48" s="18"/>
      <c r="ZA48" s="18"/>
      <c r="ZB48" s="18"/>
      <c r="ZC48" s="18"/>
      <c r="ZD48" s="18"/>
      <c r="ZE48" s="18"/>
      <c r="ZF48" s="18"/>
      <c r="ZG48" s="18"/>
      <c r="ZH48" s="18"/>
      <c r="ZI48" s="18"/>
      <c r="ZJ48" s="18"/>
      <c r="ZK48" s="18"/>
      <c r="ZL48" s="18"/>
      <c r="ZM48" s="18"/>
      <c r="ZN48" s="18"/>
      <c r="ZO48" s="18"/>
      <c r="ZP48" s="18"/>
      <c r="ZQ48" s="18"/>
      <c r="ZR48" s="18"/>
      <c r="ZS48" s="18"/>
      <c r="ZT48" s="18"/>
      <c r="ZU48" s="18"/>
      <c r="ZV48" s="18"/>
      <c r="ZW48" s="18"/>
      <c r="ZX48" s="18"/>
      <c r="ZY48" s="18"/>
      <c r="ZZ48" s="18"/>
      <c r="AAA48" s="18"/>
      <c r="AAB48" s="18"/>
      <c r="AAC48" s="18"/>
      <c r="AAD48" s="18"/>
      <c r="AAE48" s="18"/>
      <c r="AAF48" s="18"/>
      <c r="AAG48" s="18"/>
      <c r="AAH48" s="18"/>
      <c r="AAI48" s="18"/>
      <c r="AAJ48" s="18"/>
      <c r="AAK48" s="18"/>
      <c r="AAL48" s="18"/>
      <c r="AAM48" s="18"/>
      <c r="AAN48" s="18"/>
      <c r="AAO48" s="18"/>
      <c r="AAP48" s="18"/>
      <c r="AAQ48" s="18"/>
      <c r="AAR48" s="18"/>
      <c r="AAS48" s="18"/>
      <c r="AAT48" s="18"/>
      <c r="AAU48" s="18"/>
      <c r="AAV48" s="18"/>
      <c r="AAW48" s="18"/>
      <c r="AAX48" s="18"/>
      <c r="AAY48" s="18"/>
      <c r="AAZ48" s="18"/>
      <c r="ABA48" s="18"/>
      <c r="ABB48" s="18"/>
      <c r="ABC48" s="18"/>
      <c r="ABD48" s="18"/>
      <c r="ABE48" s="18"/>
      <c r="ABF48" s="18"/>
      <c r="ABG48" s="18"/>
      <c r="ABH48" s="18"/>
      <c r="ABI48" s="18"/>
      <c r="ABJ48" s="18"/>
      <c r="ABK48" s="18"/>
      <c r="ABL48" s="18"/>
      <c r="ABM48" s="18"/>
      <c r="ABN48" s="18"/>
      <c r="ABO48" s="18"/>
      <c r="ABP48" s="18"/>
      <c r="ABQ48" s="18"/>
      <c r="ABR48" s="18"/>
      <c r="ABS48" s="18"/>
      <c r="ABT48" s="18"/>
      <c r="ABU48" s="18"/>
      <c r="ABV48" s="18"/>
      <c r="ABW48" s="18"/>
      <c r="ABX48" s="18"/>
      <c r="ABY48" s="18"/>
      <c r="ABZ48" s="18"/>
      <c r="ACA48" s="18"/>
      <c r="ACB48" s="18"/>
      <c r="ACC48" s="18"/>
      <c r="ACD48" s="18"/>
      <c r="ACE48" s="18"/>
      <c r="ACF48" s="18"/>
      <c r="ACG48" s="18"/>
      <c r="ACH48" s="18"/>
      <c r="ACI48" s="18"/>
      <c r="ACJ48" s="18"/>
      <c r="ACK48" s="18"/>
      <c r="ACL48" s="18"/>
      <c r="ACM48" s="18"/>
      <c r="ACN48" s="18"/>
      <c r="ACO48" s="18"/>
      <c r="ACP48" s="18"/>
      <c r="ACQ48" s="18"/>
      <c r="ACR48" s="18"/>
      <c r="ACS48" s="18"/>
      <c r="ACT48" s="18"/>
      <c r="ACU48" s="18"/>
      <c r="ACV48" s="18"/>
      <c r="ACW48" s="18"/>
      <c r="ACX48" s="18"/>
      <c r="ACY48" s="18"/>
      <c r="ACZ48" s="18"/>
      <c r="ADA48" s="18"/>
      <c r="ADB48" s="18"/>
      <c r="ADC48" s="18"/>
      <c r="ADD48" s="18"/>
      <c r="ADE48" s="18"/>
      <c r="ADF48" s="18"/>
      <c r="ADG48" s="18"/>
      <c r="ADH48" s="18"/>
      <c r="ADI48" s="18"/>
      <c r="ADJ48" s="18"/>
      <c r="ADK48" s="18"/>
      <c r="ADL48" s="18"/>
      <c r="ADM48" s="18"/>
      <c r="ADN48" s="18"/>
      <c r="ADO48" s="18"/>
      <c r="ADP48" s="18"/>
      <c r="ADQ48" s="18"/>
      <c r="ADR48" s="18"/>
      <c r="ADS48" s="18"/>
      <c r="ADT48" s="18"/>
      <c r="ADU48" s="18"/>
      <c r="ADV48" s="18"/>
      <c r="ADW48" s="18"/>
      <c r="ADX48" s="18"/>
      <c r="ADY48" s="18"/>
      <c r="ADZ48" s="18"/>
      <c r="AEA48" s="18"/>
      <c r="AEB48" s="18"/>
      <c r="AEC48" s="18"/>
      <c r="AED48" s="18"/>
      <c r="AEE48" s="18"/>
      <c r="AEF48" s="18"/>
      <c r="AEG48" s="18"/>
      <c r="AEH48" s="18"/>
      <c r="AEI48" s="18"/>
      <c r="AEJ48" s="18"/>
      <c r="AEK48" s="18"/>
      <c r="AEL48" s="18"/>
      <c r="AEM48" s="18"/>
      <c r="AEN48" s="18"/>
      <c r="AEO48" s="18"/>
      <c r="AEP48" s="18"/>
      <c r="AEQ48" s="18"/>
      <c r="AER48" s="18"/>
      <c r="AES48" s="18"/>
      <c r="AET48" s="18"/>
      <c r="AEU48" s="18"/>
      <c r="AEV48" s="18"/>
      <c r="AEW48" s="18"/>
      <c r="AEX48" s="18"/>
      <c r="AEY48" s="18"/>
      <c r="AEZ48" s="18"/>
      <c r="AFA48" s="18"/>
      <c r="AFB48" s="18"/>
      <c r="AFC48" s="18"/>
      <c r="AFD48" s="18"/>
      <c r="AFE48" s="18"/>
      <c r="AFF48" s="18"/>
      <c r="AFG48" s="18"/>
      <c r="AFH48" s="18"/>
      <c r="AFI48" s="18"/>
      <c r="AFJ48" s="18"/>
      <c r="AFK48" s="18"/>
      <c r="AFL48" s="18"/>
      <c r="AFM48" s="18"/>
      <c r="AFN48" s="18"/>
      <c r="AFO48" s="18"/>
      <c r="AFP48" s="18"/>
      <c r="AFQ48" s="18"/>
      <c r="AFR48" s="18"/>
      <c r="AFS48" s="18"/>
      <c r="AFT48" s="18"/>
      <c r="AFU48" s="18"/>
      <c r="AFV48" s="18"/>
      <c r="AFW48" s="18"/>
      <c r="AFX48" s="18"/>
      <c r="AFY48" s="18"/>
      <c r="AFZ48" s="18"/>
      <c r="AGA48" s="18"/>
      <c r="AGB48" s="18"/>
      <c r="AGC48" s="18"/>
      <c r="AGD48" s="18"/>
      <c r="AGE48" s="18"/>
      <c r="AGF48" s="18"/>
      <c r="AGG48" s="18"/>
      <c r="AGH48" s="18"/>
      <c r="AGI48" s="18"/>
      <c r="AGJ48" s="18"/>
      <c r="AGK48" s="18"/>
      <c r="AGL48" s="18"/>
      <c r="AGM48" s="18"/>
      <c r="AGN48" s="18"/>
      <c r="AGO48" s="18"/>
      <c r="AGP48" s="18"/>
      <c r="AGQ48" s="18"/>
      <c r="AGR48" s="18"/>
      <c r="AGS48" s="18"/>
      <c r="AGT48" s="18"/>
      <c r="AGU48" s="18"/>
      <c r="AGV48" s="18"/>
      <c r="AGW48" s="18"/>
      <c r="AGX48" s="18"/>
      <c r="AGY48" s="18"/>
      <c r="AGZ48" s="18"/>
      <c r="AHA48" s="18"/>
      <c r="AHB48" s="18"/>
      <c r="AHC48" s="18"/>
      <c r="AHD48" s="18"/>
      <c r="AHE48" s="18"/>
      <c r="AHF48" s="18"/>
      <c r="AHG48" s="18"/>
      <c r="AHH48" s="18"/>
      <c r="AHI48" s="18"/>
      <c r="AHJ48" s="18"/>
      <c r="AHK48" s="18"/>
      <c r="AHL48" s="18"/>
      <c r="AHM48" s="18"/>
      <c r="AHN48" s="18"/>
      <c r="AHO48" s="18"/>
      <c r="AHP48" s="18"/>
      <c r="AHQ48" s="18"/>
      <c r="AHR48" s="18"/>
      <c r="AHS48" s="18"/>
      <c r="AHT48" s="18"/>
      <c r="AHU48" s="18"/>
      <c r="AHV48" s="18"/>
      <c r="AHW48" s="18"/>
      <c r="AHX48" s="18"/>
      <c r="AHY48" s="18"/>
      <c r="AHZ48" s="18"/>
      <c r="AIA48" s="18"/>
      <c r="AIB48" s="18"/>
      <c r="AIC48" s="18"/>
      <c r="AID48" s="18"/>
      <c r="AIE48" s="18"/>
      <c r="AIF48" s="18"/>
      <c r="AIG48" s="18"/>
      <c r="AIH48" s="18"/>
      <c r="AII48" s="18"/>
      <c r="AIJ48" s="18"/>
      <c r="AIK48" s="18"/>
      <c r="AIL48" s="18"/>
      <c r="AIM48" s="18"/>
      <c r="AIN48" s="18"/>
      <c r="AIO48" s="18"/>
      <c r="AIP48" s="18"/>
      <c r="AIQ48" s="18"/>
      <c r="AIR48" s="18"/>
      <c r="AIS48" s="18"/>
      <c r="AIT48" s="18"/>
      <c r="AIU48" s="18"/>
      <c r="AIV48" s="18"/>
      <c r="AIW48" s="18"/>
      <c r="AIX48" s="18"/>
      <c r="AIY48" s="18"/>
      <c r="AIZ48" s="18"/>
      <c r="AJA48" s="18"/>
      <c r="AJB48" s="18"/>
      <c r="AJC48" s="18"/>
      <c r="AJD48" s="18"/>
      <c r="AJE48" s="18"/>
      <c r="AJF48" s="18"/>
      <c r="AJG48" s="18"/>
      <c r="AJH48" s="18"/>
      <c r="AJI48" s="18"/>
      <c r="AJJ48" s="18"/>
      <c r="AJK48" s="18"/>
      <c r="AJL48" s="18"/>
      <c r="AJM48" s="18"/>
      <c r="AJN48" s="18"/>
      <c r="AJO48" s="18"/>
      <c r="AJP48" s="18"/>
      <c r="AJQ48" s="18"/>
      <c r="AJR48" s="18"/>
      <c r="AJS48" s="18"/>
      <c r="AJT48" s="18"/>
      <c r="AJU48" s="18"/>
      <c r="AJV48" s="18"/>
      <c r="AJW48" s="18"/>
      <c r="AJX48" s="18"/>
      <c r="AJY48" s="18"/>
      <c r="AJZ48" s="18"/>
      <c r="AKA48" s="18"/>
      <c r="AKB48" s="18"/>
      <c r="AKC48" s="18"/>
      <c r="AKD48" s="18"/>
      <c r="AKE48" s="18"/>
      <c r="AKF48" s="18"/>
      <c r="AKG48" s="18"/>
      <c r="AKH48" s="18"/>
      <c r="AKI48" s="18"/>
      <c r="AKJ48" s="18"/>
      <c r="AKK48" s="18"/>
      <c r="AKL48" s="18"/>
      <c r="AKM48" s="18"/>
      <c r="AKN48" s="18"/>
      <c r="AKO48" s="18"/>
      <c r="AKP48" s="18"/>
      <c r="AKQ48" s="18"/>
      <c r="AKR48" s="18"/>
      <c r="AKS48" s="18"/>
      <c r="AKT48" s="18"/>
      <c r="AKU48" s="18"/>
      <c r="AKV48" s="18"/>
      <c r="AKW48" s="18"/>
      <c r="AKX48" s="18"/>
      <c r="AKY48" s="18"/>
      <c r="AKZ48" s="18"/>
      <c r="ALA48" s="18"/>
      <c r="ALB48" s="18"/>
      <c r="ALC48" s="18"/>
      <c r="ALD48" s="18"/>
      <c r="ALE48" s="18"/>
      <c r="ALF48" s="18"/>
      <c r="ALG48" s="18"/>
      <c r="ALH48" s="18"/>
      <c r="ALI48" s="18"/>
      <c r="ALJ48" s="18"/>
      <c r="ALK48" s="18"/>
      <c r="ALL48" s="18"/>
      <c r="ALM48" s="18"/>
      <c r="ALN48" s="18"/>
      <c r="ALO48" s="18"/>
      <c r="ALP48" s="18"/>
      <c r="ALQ48" s="18"/>
      <c r="ALR48" s="18"/>
      <c r="ALS48" s="18"/>
      <c r="ALT48" s="18"/>
    </row>
    <row r="49" spans="1:1008" ht="24">
      <c r="A49" s="251" t="s">
        <v>7</v>
      </c>
      <c r="B49" s="290">
        <v>100860</v>
      </c>
      <c r="C49" s="278" t="str">
        <f>(IF($A49="SINAPI",INDEX(SINAPI_NOV2020_NDES!$A$7:$H$6703,MATCH($B49,SINAPI_NOV2020_NDES!$A$7:$A$6703,0),2),IF($A49="GOINFRA",INDEX(#REF!,MATCH($B49,#REF!,0),2),(INDEX(COMPOS!$A$4:$G$390,MATCH($B49,COMPOS!$A$4:A$390,0),2)))))</f>
        <v>CHUVEIRO ELÉTRICO COMUM CORPO PLÁSTICO, TIPO DUCHA  FORNECIMENTO E INSTALAÇÃO. AF_01/2020</v>
      </c>
      <c r="D49" s="274" t="str">
        <f>(IF($A49="SINAPI",INDEX(SINAPI_NOV2020_NDES!$A$7:$H$6790,MATCH($B49,SINAPI_NOV2020_NDES!$A$7:$A$6790,0),3),(INDEX(COMPOS!$A$4:$G$5000,MATCH($B49,COMPOS!$A$4:$A$5000,0),3))))</f>
        <v>UN</v>
      </c>
      <c r="E49" s="314">
        <v>8</v>
      </c>
      <c r="F49" s="279">
        <f>(IF($A49="SINAPI",INDEX(SINAPI_NOV2020_NDES!$A$7:$H$6703,MATCH($B49,SINAPI_NOV2020_NDES!$A$7:$A$6703,0),5),(INDEX(COMPOS!$A$4:$G$801,MATCH($B49,COMPOS!$A$4:A$801,0),4))))</f>
        <v>9.1199999999999992</v>
      </c>
      <c r="G49" s="280">
        <f>(IF($A49="SINAPI",INDEX(SINAPI_NOV2020_NDES!$A$7:$H$6703,MATCH($B49,SINAPI_NOV2020_NDES!$A$7:$A$6703,0),6),(INDEX(COMPOS!$A$4:$G$801,MATCH($B49,COMPOS!$A$4:A$801,0),5))))</f>
        <v>57.45</v>
      </c>
      <c r="H49" s="280">
        <f>(IF($A49="SINAPI",INDEX(SINAPI_NOV2020_NDES!$A$7:$H$6703,MATCH($B49,SINAPI_NOV2020_NDES!$A$7:$A$6703,0),7),(INDEX(COMPOS!$A$4:$G$801,MATCH($B49,COMPOS!$A$4:A$801,0),6))))</f>
        <v>0</v>
      </c>
      <c r="I49" s="279">
        <f t="shared" si="12"/>
        <v>66.570000000000007</v>
      </c>
      <c r="J49" s="276">
        <f t="shared" si="13"/>
        <v>532.56000000000006</v>
      </c>
      <c r="K49" s="191"/>
      <c r="L49" s="191"/>
      <c r="M49" s="191"/>
      <c r="N49" s="191"/>
      <c r="O49" s="262"/>
      <c r="P49" s="263"/>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c r="EF49" s="18"/>
      <c r="EG49" s="18"/>
      <c r="EH49" s="18"/>
      <c r="EI49" s="18"/>
      <c r="EJ49" s="18"/>
      <c r="EK49" s="18"/>
      <c r="EL49" s="18"/>
      <c r="EM49" s="18"/>
      <c r="EN49" s="18"/>
      <c r="EO49" s="18"/>
      <c r="EP49" s="18"/>
      <c r="EQ49" s="18"/>
      <c r="ER49" s="18"/>
      <c r="ES49" s="18"/>
      <c r="ET49" s="18"/>
      <c r="EU49" s="18"/>
      <c r="EV49" s="18"/>
      <c r="EW49" s="18"/>
      <c r="EX49" s="18"/>
      <c r="EY49" s="18"/>
      <c r="EZ49" s="18"/>
      <c r="FA49" s="18"/>
      <c r="FB49" s="18"/>
      <c r="FC49" s="18"/>
      <c r="FD49" s="18"/>
      <c r="FE49" s="18"/>
      <c r="FF49" s="18"/>
      <c r="FG49" s="18"/>
      <c r="FH49" s="18"/>
      <c r="FI49" s="18"/>
      <c r="FJ49" s="18"/>
      <c r="FK49" s="18"/>
      <c r="FL49" s="18"/>
      <c r="FM49" s="18"/>
      <c r="FN49" s="18"/>
      <c r="FO49" s="18"/>
      <c r="FP49" s="18"/>
      <c r="FQ49" s="18"/>
      <c r="FR49" s="18"/>
      <c r="FS49" s="18"/>
      <c r="FT49" s="18"/>
      <c r="FU49" s="18"/>
      <c r="FV49" s="18"/>
      <c r="FW49" s="18"/>
      <c r="FX49" s="18"/>
      <c r="FY49" s="18"/>
      <c r="FZ49" s="18"/>
      <c r="GA49" s="18"/>
      <c r="GB49" s="18"/>
      <c r="GC49" s="18"/>
      <c r="GD49" s="18"/>
      <c r="GE49" s="18"/>
      <c r="GF49" s="18"/>
      <c r="GG49" s="18"/>
      <c r="GH49" s="18"/>
      <c r="GI49" s="18"/>
      <c r="GJ49" s="18"/>
      <c r="GK49" s="18"/>
      <c r="GL49" s="18"/>
      <c r="GM49" s="18"/>
      <c r="GN49" s="18"/>
      <c r="GO49" s="18"/>
      <c r="GP49" s="18"/>
      <c r="GQ49" s="18"/>
      <c r="GR49" s="18"/>
      <c r="GS49" s="18"/>
      <c r="GT49" s="18"/>
      <c r="GU49" s="18"/>
      <c r="GV49" s="18"/>
      <c r="GW49" s="18"/>
      <c r="GX49" s="18"/>
      <c r="GY49" s="18"/>
      <c r="GZ49" s="18"/>
      <c r="HA49" s="18"/>
      <c r="HB49" s="18"/>
      <c r="HC49" s="18"/>
      <c r="HD49" s="18"/>
      <c r="HE49" s="18"/>
      <c r="HF49" s="18"/>
      <c r="HG49" s="18"/>
      <c r="HH49" s="18"/>
      <c r="HI49" s="18"/>
      <c r="HJ49" s="18"/>
      <c r="HK49" s="18"/>
      <c r="HL49" s="18"/>
      <c r="HM49" s="18"/>
      <c r="HN49" s="18"/>
      <c r="HO49" s="18"/>
      <c r="HP49" s="18"/>
      <c r="HQ49" s="18"/>
      <c r="HR49" s="18"/>
      <c r="HS49" s="18"/>
      <c r="HT49" s="18"/>
      <c r="HU49" s="18"/>
      <c r="HV49" s="18"/>
      <c r="HW49" s="18"/>
      <c r="HX49" s="18"/>
      <c r="HY49" s="18"/>
      <c r="HZ49" s="18"/>
      <c r="IA49" s="18"/>
      <c r="IB49" s="18"/>
      <c r="IC49" s="18"/>
      <c r="ID49" s="18"/>
      <c r="IE49" s="18"/>
      <c r="IF49" s="18"/>
      <c r="IG49" s="18"/>
      <c r="IH49" s="18"/>
      <c r="II49" s="18"/>
      <c r="IJ49" s="18"/>
      <c r="IK49" s="18"/>
      <c r="IL49" s="18"/>
      <c r="IM49" s="18"/>
      <c r="IN49" s="18"/>
      <c r="IO49" s="18"/>
      <c r="IP49" s="18"/>
      <c r="IQ49" s="18"/>
      <c r="IR49" s="18"/>
      <c r="IS49" s="18"/>
      <c r="IT49" s="18"/>
      <c r="IU49" s="18"/>
      <c r="IV49" s="18"/>
      <c r="IW49" s="18"/>
      <c r="IX49" s="18"/>
      <c r="IY49" s="18"/>
      <c r="IZ49" s="18"/>
      <c r="JA49" s="18"/>
      <c r="JB49" s="18"/>
      <c r="JC49" s="18"/>
      <c r="JD49" s="18"/>
      <c r="JE49" s="18"/>
      <c r="JF49" s="18"/>
      <c r="JG49" s="18"/>
      <c r="JH49" s="18"/>
      <c r="JI49" s="18"/>
      <c r="JJ49" s="18"/>
      <c r="JK49" s="18"/>
      <c r="JL49" s="18"/>
      <c r="JM49" s="18"/>
      <c r="JN49" s="18"/>
      <c r="JO49" s="18"/>
      <c r="JP49" s="18"/>
      <c r="JQ49" s="18"/>
      <c r="JR49" s="18"/>
      <c r="JS49" s="18"/>
      <c r="JT49" s="18"/>
      <c r="JU49" s="18"/>
      <c r="JV49" s="18"/>
      <c r="JW49" s="18"/>
      <c r="JX49" s="18"/>
      <c r="JY49" s="18"/>
      <c r="JZ49" s="18"/>
      <c r="KA49" s="18"/>
      <c r="KB49" s="18"/>
      <c r="KC49" s="18"/>
      <c r="KD49" s="18"/>
      <c r="KE49" s="18"/>
      <c r="KF49" s="18"/>
      <c r="KG49" s="18"/>
      <c r="KH49" s="18"/>
      <c r="KI49" s="18"/>
      <c r="KJ49" s="18"/>
      <c r="KK49" s="18"/>
      <c r="KL49" s="18"/>
      <c r="KM49" s="18"/>
      <c r="KN49" s="18"/>
      <c r="KO49" s="18"/>
      <c r="KP49" s="18"/>
      <c r="KQ49" s="18"/>
      <c r="KR49" s="18"/>
      <c r="KS49" s="18"/>
      <c r="KT49" s="18"/>
      <c r="KU49" s="18"/>
      <c r="KV49" s="18"/>
      <c r="KW49" s="18"/>
      <c r="KX49" s="18"/>
      <c r="KY49" s="18"/>
      <c r="KZ49" s="18"/>
      <c r="LA49" s="18"/>
      <c r="LB49" s="18"/>
      <c r="LC49" s="18"/>
      <c r="LD49" s="18"/>
      <c r="LE49" s="18"/>
      <c r="LF49" s="18"/>
      <c r="LG49" s="18"/>
      <c r="LH49" s="18"/>
      <c r="LI49" s="18"/>
      <c r="LJ49" s="18"/>
      <c r="LK49" s="18"/>
      <c r="LL49" s="18"/>
      <c r="LM49" s="18"/>
      <c r="LN49" s="18"/>
      <c r="LO49" s="18"/>
      <c r="LP49" s="18"/>
      <c r="LQ49" s="18"/>
      <c r="LR49" s="18"/>
      <c r="LS49" s="18"/>
      <c r="LT49" s="18"/>
      <c r="LU49" s="18"/>
      <c r="LV49" s="18"/>
      <c r="LW49" s="18"/>
      <c r="LX49" s="18"/>
      <c r="LY49" s="18"/>
      <c r="LZ49" s="18"/>
      <c r="MA49" s="18"/>
      <c r="MB49" s="18"/>
      <c r="MC49" s="18"/>
      <c r="MD49" s="18"/>
      <c r="ME49" s="18"/>
      <c r="MF49" s="18"/>
      <c r="MG49" s="18"/>
      <c r="MH49" s="18"/>
      <c r="MI49" s="18"/>
      <c r="MJ49" s="18"/>
      <c r="MK49" s="18"/>
      <c r="ML49" s="18"/>
      <c r="MM49" s="18"/>
      <c r="MN49" s="18"/>
      <c r="MO49" s="18"/>
      <c r="MP49" s="18"/>
      <c r="MQ49" s="18"/>
      <c r="MR49" s="18"/>
      <c r="MS49" s="18"/>
      <c r="MT49" s="18"/>
      <c r="MU49" s="18"/>
      <c r="MV49" s="18"/>
      <c r="MW49" s="18"/>
      <c r="MX49" s="18"/>
      <c r="MY49" s="18"/>
      <c r="MZ49" s="18"/>
      <c r="NA49" s="18"/>
      <c r="NB49" s="18"/>
      <c r="NC49" s="18"/>
      <c r="ND49" s="18"/>
      <c r="NE49" s="18"/>
      <c r="NF49" s="18"/>
      <c r="NG49" s="18"/>
      <c r="NH49" s="18"/>
      <c r="NI49" s="18"/>
      <c r="NJ49" s="18"/>
      <c r="NK49" s="18"/>
      <c r="NL49" s="18"/>
      <c r="NM49" s="18"/>
      <c r="NN49" s="18"/>
      <c r="NO49" s="18"/>
      <c r="NP49" s="18"/>
      <c r="NQ49" s="18"/>
      <c r="NR49" s="18"/>
      <c r="NS49" s="18"/>
      <c r="NT49" s="18"/>
      <c r="NU49" s="18"/>
      <c r="NV49" s="18"/>
      <c r="NW49" s="18"/>
      <c r="NX49" s="18"/>
      <c r="NY49" s="18"/>
      <c r="NZ49" s="18"/>
      <c r="OA49" s="18"/>
      <c r="OB49" s="18"/>
      <c r="OC49" s="18"/>
      <c r="OD49" s="18"/>
      <c r="OE49" s="18"/>
      <c r="OF49" s="18"/>
      <c r="OG49" s="18"/>
      <c r="OH49" s="18"/>
      <c r="OI49" s="18"/>
      <c r="OJ49" s="18"/>
      <c r="OK49" s="18"/>
      <c r="OL49" s="18"/>
      <c r="OM49" s="18"/>
      <c r="ON49" s="18"/>
      <c r="OO49" s="18"/>
      <c r="OP49" s="18"/>
      <c r="OQ49" s="18"/>
      <c r="OR49" s="18"/>
      <c r="OS49" s="18"/>
      <c r="OT49" s="18"/>
      <c r="OU49" s="18"/>
      <c r="OV49" s="18"/>
      <c r="OW49" s="18"/>
      <c r="OX49" s="18"/>
      <c r="OY49" s="18"/>
      <c r="OZ49" s="18"/>
      <c r="PA49" s="18"/>
      <c r="PB49" s="18"/>
      <c r="PC49" s="18"/>
      <c r="PD49" s="18"/>
      <c r="PE49" s="18"/>
      <c r="PF49" s="18"/>
      <c r="PG49" s="18"/>
      <c r="PH49" s="18"/>
      <c r="PI49" s="18"/>
      <c r="PJ49" s="18"/>
      <c r="PK49" s="18"/>
      <c r="PL49" s="18"/>
      <c r="PM49" s="18"/>
      <c r="PN49" s="18"/>
      <c r="PO49" s="18"/>
      <c r="PP49" s="18"/>
      <c r="PQ49" s="18"/>
      <c r="PR49" s="18"/>
      <c r="PS49" s="18"/>
      <c r="PT49" s="18"/>
      <c r="PU49" s="18"/>
      <c r="PV49" s="18"/>
      <c r="PW49" s="18"/>
      <c r="PX49" s="18"/>
      <c r="PY49" s="18"/>
      <c r="PZ49" s="18"/>
      <c r="QA49" s="18"/>
      <c r="QB49" s="18"/>
      <c r="QC49" s="18"/>
      <c r="QD49" s="18"/>
      <c r="QE49" s="18"/>
      <c r="QF49" s="18"/>
      <c r="QG49" s="18"/>
      <c r="QH49" s="18"/>
      <c r="QI49" s="18"/>
      <c r="QJ49" s="18"/>
      <c r="QK49" s="18"/>
      <c r="QL49" s="18"/>
      <c r="QM49" s="18"/>
      <c r="QN49" s="18"/>
      <c r="QO49" s="18"/>
      <c r="QP49" s="18"/>
      <c r="QQ49" s="18"/>
      <c r="QR49" s="18"/>
      <c r="QS49" s="18"/>
      <c r="QT49" s="18"/>
      <c r="QU49" s="18"/>
      <c r="QV49" s="18"/>
      <c r="QW49" s="18"/>
      <c r="QX49" s="18"/>
      <c r="QY49" s="18"/>
      <c r="QZ49" s="18"/>
      <c r="RA49" s="18"/>
      <c r="RB49" s="18"/>
      <c r="RC49" s="18"/>
      <c r="RD49" s="18"/>
      <c r="RE49" s="18"/>
      <c r="RF49" s="18"/>
      <c r="RG49" s="18"/>
      <c r="RH49" s="18"/>
      <c r="RI49" s="18"/>
      <c r="RJ49" s="18"/>
      <c r="RK49" s="18"/>
      <c r="RL49" s="18"/>
      <c r="RM49" s="18"/>
      <c r="RN49" s="18"/>
      <c r="RO49" s="18"/>
      <c r="RP49" s="18"/>
      <c r="RQ49" s="18"/>
      <c r="RR49" s="18"/>
      <c r="RS49" s="18"/>
      <c r="RT49" s="18"/>
      <c r="RU49" s="18"/>
      <c r="RV49" s="18"/>
      <c r="RW49" s="18"/>
      <c r="RX49" s="18"/>
      <c r="RY49" s="18"/>
      <c r="RZ49" s="18"/>
      <c r="SA49" s="18"/>
      <c r="SB49" s="18"/>
      <c r="SC49" s="18"/>
      <c r="SD49" s="18"/>
      <c r="SE49" s="18"/>
      <c r="SF49" s="18"/>
      <c r="SG49" s="18"/>
      <c r="SH49" s="18"/>
      <c r="SI49" s="18"/>
      <c r="SJ49" s="18"/>
      <c r="SK49" s="18"/>
      <c r="SL49" s="18"/>
      <c r="SM49" s="18"/>
      <c r="SN49" s="18"/>
      <c r="SO49" s="18"/>
      <c r="SP49" s="18"/>
      <c r="SQ49" s="18"/>
      <c r="SR49" s="18"/>
      <c r="SS49" s="18"/>
      <c r="ST49" s="18"/>
      <c r="SU49" s="18"/>
      <c r="SV49" s="18"/>
      <c r="SW49" s="18"/>
      <c r="SX49" s="18"/>
      <c r="SY49" s="18"/>
      <c r="SZ49" s="18"/>
      <c r="TA49" s="18"/>
      <c r="TB49" s="18"/>
      <c r="TC49" s="18"/>
      <c r="TD49" s="18"/>
      <c r="TE49" s="18"/>
      <c r="TF49" s="18"/>
      <c r="TG49" s="18"/>
      <c r="TH49" s="18"/>
      <c r="TI49" s="18"/>
      <c r="TJ49" s="18"/>
      <c r="TK49" s="18"/>
      <c r="TL49" s="18"/>
      <c r="TM49" s="18"/>
      <c r="TN49" s="18"/>
      <c r="TO49" s="18"/>
      <c r="TP49" s="18"/>
      <c r="TQ49" s="18"/>
      <c r="TR49" s="18"/>
      <c r="TS49" s="18"/>
      <c r="TT49" s="18"/>
      <c r="TU49" s="18"/>
      <c r="TV49" s="18"/>
      <c r="TW49" s="18"/>
      <c r="TX49" s="18"/>
      <c r="TY49" s="18"/>
      <c r="TZ49" s="18"/>
      <c r="UA49" s="18"/>
      <c r="UB49" s="18"/>
      <c r="UC49" s="18"/>
      <c r="UD49" s="18"/>
      <c r="UE49" s="18"/>
      <c r="UF49" s="18"/>
      <c r="UG49" s="18"/>
      <c r="UH49" s="18"/>
      <c r="UI49" s="18"/>
      <c r="UJ49" s="18"/>
      <c r="UK49" s="18"/>
      <c r="UL49" s="18"/>
      <c r="UM49" s="18"/>
      <c r="UN49" s="18"/>
      <c r="UO49" s="18"/>
      <c r="UP49" s="18"/>
      <c r="UQ49" s="18"/>
      <c r="UR49" s="18"/>
      <c r="US49" s="18"/>
      <c r="UT49" s="18"/>
      <c r="UU49" s="18"/>
      <c r="UV49" s="18"/>
      <c r="UW49" s="18"/>
      <c r="UX49" s="18"/>
      <c r="UY49" s="18"/>
      <c r="UZ49" s="18"/>
      <c r="VA49" s="18"/>
      <c r="VB49" s="18"/>
      <c r="VC49" s="18"/>
      <c r="VD49" s="18"/>
      <c r="VE49" s="18"/>
      <c r="VF49" s="18"/>
      <c r="VG49" s="18"/>
      <c r="VH49" s="18"/>
      <c r="VI49" s="18"/>
      <c r="VJ49" s="18"/>
      <c r="VK49" s="18"/>
      <c r="VL49" s="18"/>
      <c r="VM49" s="18"/>
      <c r="VN49" s="18"/>
      <c r="VO49" s="18"/>
      <c r="VP49" s="18"/>
      <c r="VQ49" s="18"/>
      <c r="VR49" s="18"/>
      <c r="VS49" s="18"/>
      <c r="VT49" s="18"/>
      <c r="VU49" s="18"/>
      <c r="VV49" s="18"/>
      <c r="VW49" s="18"/>
      <c r="VX49" s="18"/>
      <c r="VY49" s="18"/>
      <c r="VZ49" s="18"/>
      <c r="WA49" s="18"/>
      <c r="WB49" s="18"/>
      <c r="WC49" s="18"/>
      <c r="WD49" s="18"/>
      <c r="WE49" s="18"/>
      <c r="WF49" s="18"/>
      <c r="WG49" s="18"/>
      <c r="WH49" s="18"/>
      <c r="WI49" s="18"/>
      <c r="WJ49" s="18"/>
      <c r="WK49" s="18"/>
      <c r="WL49" s="18"/>
      <c r="WM49" s="18"/>
      <c r="WN49" s="18"/>
      <c r="WO49" s="18"/>
      <c r="WP49" s="18"/>
      <c r="WQ49" s="18"/>
      <c r="WR49" s="18"/>
      <c r="WS49" s="18"/>
      <c r="WT49" s="18"/>
      <c r="WU49" s="18"/>
      <c r="WV49" s="18"/>
      <c r="WW49" s="18"/>
      <c r="WX49" s="18"/>
      <c r="WY49" s="18"/>
      <c r="WZ49" s="18"/>
      <c r="XA49" s="18"/>
      <c r="XB49" s="18"/>
      <c r="XC49" s="18"/>
      <c r="XD49" s="18"/>
      <c r="XE49" s="18"/>
      <c r="XF49" s="18"/>
      <c r="XG49" s="18"/>
      <c r="XH49" s="18"/>
      <c r="XI49" s="18"/>
      <c r="XJ49" s="18"/>
      <c r="XK49" s="18"/>
      <c r="XL49" s="18"/>
      <c r="XM49" s="18"/>
      <c r="XN49" s="18"/>
      <c r="XO49" s="18"/>
      <c r="XP49" s="18"/>
      <c r="XQ49" s="18"/>
      <c r="XR49" s="18"/>
      <c r="XS49" s="18"/>
      <c r="XT49" s="18"/>
      <c r="XU49" s="18"/>
      <c r="XV49" s="18"/>
      <c r="XW49" s="18"/>
      <c r="XX49" s="18"/>
      <c r="XY49" s="18"/>
      <c r="XZ49" s="18"/>
      <c r="YA49" s="18"/>
      <c r="YB49" s="18"/>
      <c r="YC49" s="18"/>
      <c r="YD49" s="18"/>
      <c r="YE49" s="18"/>
      <c r="YF49" s="18"/>
      <c r="YG49" s="18"/>
      <c r="YH49" s="18"/>
      <c r="YI49" s="18"/>
      <c r="YJ49" s="18"/>
      <c r="YK49" s="18"/>
      <c r="YL49" s="18"/>
      <c r="YM49" s="18"/>
      <c r="YN49" s="18"/>
      <c r="YO49" s="18"/>
      <c r="YP49" s="18"/>
      <c r="YQ49" s="18"/>
      <c r="YR49" s="18"/>
      <c r="YS49" s="18"/>
      <c r="YT49" s="18"/>
      <c r="YU49" s="18"/>
      <c r="YV49" s="18"/>
      <c r="YW49" s="18"/>
      <c r="YX49" s="18"/>
      <c r="YY49" s="18"/>
      <c r="YZ49" s="18"/>
      <c r="ZA49" s="18"/>
      <c r="ZB49" s="18"/>
      <c r="ZC49" s="18"/>
      <c r="ZD49" s="18"/>
      <c r="ZE49" s="18"/>
      <c r="ZF49" s="18"/>
      <c r="ZG49" s="18"/>
      <c r="ZH49" s="18"/>
      <c r="ZI49" s="18"/>
      <c r="ZJ49" s="18"/>
      <c r="ZK49" s="18"/>
      <c r="ZL49" s="18"/>
      <c r="ZM49" s="18"/>
      <c r="ZN49" s="18"/>
      <c r="ZO49" s="18"/>
      <c r="ZP49" s="18"/>
      <c r="ZQ49" s="18"/>
      <c r="ZR49" s="18"/>
      <c r="ZS49" s="18"/>
      <c r="ZT49" s="18"/>
      <c r="ZU49" s="18"/>
      <c r="ZV49" s="18"/>
      <c r="ZW49" s="18"/>
      <c r="ZX49" s="18"/>
      <c r="ZY49" s="18"/>
      <c r="ZZ49" s="18"/>
      <c r="AAA49" s="18"/>
      <c r="AAB49" s="18"/>
      <c r="AAC49" s="18"/>
      <c r="AAD49" s="18"/>
      <c r="AAE49" s="18"/>
      <c r="AAF49" s="18"/>
      <c r="AAG49" s="18"/>
      <c r="AAH49" s="18"/>
      <c r="AAI49" s="18"/>
      <c r="AAJ49" s="18"/>
      <c r="AAK49" s="18"/>
      <c r="AAL49" s="18"/>
      <c r="AAM49" s="18"/>
      <c r="AAN49" s="18"/>
      <c r="AAO49" s="18"/>
      <c r="AAP49" s="18"/>
      <c r="AAQ49" s="18"/>
      <c r="AAR49" s="18"/>
      <c r="AAS49" s="18"/>
      <c r="AAT49" s="18"/>
      <c r="AAU49" s="18"/>
      <c r="AAV49" s="18"/>
      <c r="AAW49" s="18"/>
      <c r="AAX49" s="18"/>
      <c r="AAY49" s="18"/>
      <c r="AAZ49" s="18"/>
      <c r="ABA49" s="18"/>
      <c r="ABB49" s="18"/>
      <c r="ABC49" s="18"/>
      <c r="ABD49" s="18"/>
      <c r="ABE49" s="18"/>
      <c r="ABF49" s="18"/>
      <c r="ABG49" s="18"/>
      <c r="ABH49" s="18"/>
      <c r="ABI49" s="18"/>
      <c r="ABJ49" s="18"/>
      <c r="ABK49" s="18"/>
      <c r="ABL49" s="18"/>
      <c r="ABM49" s="18"/>
      <c r="ABN49" s="18"/>
      <c r="ABO49" s="18"/>
      <c r="ABP49" s="18"/>
      <c r="ABQ49" s="18"/>
      <c r="ABR49" s="18"/>
      <c r="ABS49" s="18"/>
      <c r="ABT49" s="18"/>
      <c r="ABU49" s="18"/>
      <c r="ABV49" s="18"/>
      <c r="ABW49" s="18"/>
      <c r="ABX49" s="18"/>
      <c r="ABY49" s="18"/>
      <c r="ABZ49" s="18"/>
      <c r="ACA49" s="18"/>
      <c r="ACB49" s="18"/>
      <c r="ACC49" s="18"/>
      <c r="ACD49" s="18"/>
      <c r="ACE49" s="18"/>
      <c r="ACF49" s="18"/>
      <c r="ACG49" s="18"/>
      <c r="ACH49" s="18"/>
      <c r="ACI49" s="18"/>
      <c r="ACJ49" s="18"/>
      <c r="ACK49" s="18"/>
      <c r="ACL49" s="18"/>
      <c r="ACM49" s="18"/>
      <c r="ACN49" s="18"/>
      <c r="ACO49" s="18"/>
      <c r="ACP49" s="18"/>
      <c r="ACQ49" s="18"/>
      <c r="ACR49" s="18"/>
      <c r="ACS49" s="18"/>
      <c r="ACT49" s="18"/>
      <c r="ACU49" s="18"/>
      <c r="ACV49" s="18"/>
      <c r="ACW49" s="18"/>
      <c r="ACX49" s="18"/>
      <c r="ACY49" s="18"/>
      <c r="ACZ49" s="18"/>
      <c r="ADA49" s="18"/>
      <c r="ADB49" s="18"/>
      <c r="ADC49" s="18"/>
      <c r="ADD49" s="18"/>
      <c r="ADE49" s="18"/>
      <c r="ADF49" s="18"/>
      <c r="ADG49" s="18"/>
      <c r="ADH49" s="18"/>
      <c r="ADI49" s="18"/>
      <c r="ADJ49" s="18"/>
      <c r="ADK49" s="18"/>
      <c r="ADL49" s="18"/>
      <c r="ADM49" s="18"/>
      <c r="ADN49" s="18"/>
      <c r="ADO49" s="18"/>
      <c r="ADP49" s="18"/>
      <c r="ADQ49" s="18"/>
      <c r="ADR49" s="18"/>
      <c r="ADS49" s="18"/>
      <c r="ADT49" s="18"/>
      <c r="ADU49" s="18"/>
      <c r="ADV49" s="18"/>
      <c r="ADW49" s="18"/>
      <c r="ADX49" s="18"/>
      <c r="ADY49" s="18"/>
      <c r="ADZ49" s="18"/>
      <c r="AEA49" s="18"/>
      <c r="AEB49" s="18"/>
      <c r="AEC49" s="18"/>
      <c r="AED49" s="18"/>
      <c r="AEE49" s="18"/>
      <c r="AEF49" s="18"/>
      <c r="AEG49" s="18"/>
      <c r="AEH49" s="18"/>
      <c r="AEI49" s="18"/>
      <c r="AEJ49" s="18"/>
      <c r="AEK49" s="18"/>
      <c r="AEL49" s="18"/>
      <c r="AEM49" s="18"/>
      <c r="AEN49" s="18"/>
      <c r="AEO49" s="18"/>
      <c r="AEP49" s="18"/>
      <c r="AEQ49" s="18"/>
      <c r="AER49" s="18"/>
      <c r="AES49" s="18"/>
      <c r="AET49" s="18"/>
      <c r="AEU49" s="18"/>
      <c r="AEV49" s="18"/>
      <c r="AEW49" s="18"/>
      <c r="AEX49" s="18"/>
      <c r="AEY49" s="18"/>
      <c r="AEZ49" s="18"/>
      <c r="AFA49" s="18"/>
      <c r="AFB49" s="18"/>
      <c r="AFC49" s="18"/>
      <c r="AFD49" s="18"/>
      <c r="AFE49" s="18"/>
      <c r="AFF49" s="18"/>
      <c r="AFG49" s="18"/>
      <c r="AFH49" s="18"/>
      <c r="AFI49" s="18"/>
      <c r="AFJ49" s="18"/>
      <c r="AFK49" s="18"/>
      <c r="AFL49" s="18"/>
      <c r="AFM49" s="18"/>
      <c r="AFN49" s="18"/>
      <c r="AFO49" s="18"/>
      <c r="AFP49" s="18"/>
      <c r="AFQ49" s="18"/>
      <c r="AFR49" s="18"/>
      <c r="AFS49" s="18"/>
      <c r="AFT49" s="18"/>
      <c r="AFU49" s="18"/>
      <c r="AFV49" s="18"/>
      <c r="AFW49" s="18"/>
      <c r="AFX49" s="18"/>
      <c r="AFY49" s="18"/>
      <c r="AFZ49" s="18"/>
      <c r="AGA49" s="18"/>
      <c r="AGB49" s="18"/>
      <c r="AGC49" s="18"/>
      <c r="AGD49" s="18"/>
      <c r="AGE49" s="18"/>
      <c r="AGF49" s="18"/>
      <c r="AGG49" s="18"/>
      <c r="AGH49" s="18"/>
      <c r="AGI49" s="18"/>
      <c r="AGJ49" s="18"/>
      <c r="AGK49" s="18"/>
      <c r="AGL49" s="18"/>
      <c r="AGM49" s="18"/>
      <c r="AGN49" s="18"/>
      <c r="AGO49" s="18"/>
      <c r="AGP49" s="18"/>
      <c r="AGQ49" s="18"/>
      <c r="AGR49" s="18"/>
      <c r="AGS49" s="18"/>
      <c r="AGT49" s="18"/>
      <c r="AGU49" s="18"/>
      <c r="AGV49" s="18"/>
      <c r="AGW49" s="18"/>
      <c r="AGX49" s="18"/>
      <c r="AGY49" s="18"/>
      <c r="AGZ49" s="18"/>
      <c r="AHA49" s="18"/>
      <c r="AHB49" s="18"/>
      <c r="AHC49" s="18"/>
      <c r="AHD49" s="18"/>
      <c r="AHE49" s="18"/>
      <c r="AHF49" s="18"/>
      <c r="AHG49" s="18"/>
      <c r="AHH49" s="18"/>
      <c r="AHI49" s="18"/>
      <c r="AHJ49" s="18"/>
      <c r="AHK49" s="18"/>
      <c r="AHL49" s="18"/>
      <c r="AHM49" s="18"/>
      <c r="AHN49" s="18"/>
      <c r="AHO49" s="18"/>
      <c r="AHP49" s="18"/>
      <c r="AHQ49" s="18"/>
      <c r="AHR49" s="18"/>
      <c r="AHS49" s="18"/>
      <c r="AHT49" s="18"/>
      <c r="AHU49" s="18"/>
      <c r="AHV49" s="18"/>
      <c r="AHW49" s="18"/>
      <c r="AHX49" s="18"/>
      <c r="AHY49" s="18"/>
      <c r="AHZ49" s="18"/>
      <c r="AIA49" s="18"/>
      <c r="AIB49" s="18"/>
      <c r="AIC49" s="18"/>
      <c r="AID49" s="18"/>
      <c r="AIE49" s="18"/>
      <c r="AIF49" s="18"/>
      <c r="AIG49" s="18"/>
      <c r="AIH49" s="18"/>
      <c r="AII49" s="18"/>
      <c r="AIJ49" s="18"/>
      <c r="AIK49" s="18"/>
      <c r="AIL49" s="18"/>
      <c r="AIM49" s="18"/>
      <c r="AIN49" s="18"/>
      <c r="AIO49" s="18"/>
      <c r="AIP49" s="18"/>
      <c r="AIQ49" s="18"/>
      <c r="AIR49" s="18"/>
      <c r="AIS49" s="18"/>
      <c r="AIT49" s="18"/>
      <c r="AIU49" s="18"/>
      <c r="AIV49" s="18"/>
      <c r="AIW49" s="18"/>
      <c r="AIX49" s="18"/>
      <c r="AIY49" s="18"/>
      <c r="AIZ49" s="18"/>
      <c r="AJA49" s="18"/>
      <c r="AJB49" s="18"/>
      <c r="AJC49" s="18"/>
      <c r="AJD49" s="18"/>
      <c r="AJE49" s="18"/>
      <c r="AJF49" s="18"/>
      <c r="AJG49" s="18"/>
      <c r="AJH49" s="18"/>
      <c r="AJI49" s="18"/>
      <c r="AJJ49" s="18"/>
      <c r="AJK49" s="18"/>
      <c r="AJL49" s="18"/>
      <c r="AJM49" s="18"/>
      <c r="AJN49" s="18"/>
      <c r="AJO49" s="18"/>
      <c r="AJP49" s="18"/>
      <c r="AJQ49" s="18"/>
      <c r="AJR49" s="18"/>
      <c r="AJS49" s="18"/>
      <c r="AJT49" s="18"/>
      <c r="AJU49" s="18"/>
      <c r="AJV49" s="18"/>
      <c r="AJW49" s="18"/>
      <c r="AJX49" s="18"/>
      <c r="AJY49" s="18"/>
      <c r="AJZ49" s="18"/>
      <c r="AKA49" s="18"/>
      <c r="AKB49" s="18"/>
      <c r="AKC49" s="18"/>
      <c r="AKD49" s="18"/>
      <c r="AKE49" s="18"/>
      <c r="AKF49" s="18"/>
      <c r="AKG49" s="18"/>
      <c r="AKH49" s="18"/>
      <c r="AKI49" s="18"/>
      <c r="AKJ49" s="18"/>
      <c r="AKK49" s="18"/>
      <c r="AKL49" s="18"/>
      <c r="AKM49" s="18"/>
      <c r="AKN49" s="18"/>
      <c r="AKO49" s="18"/>
      <c r="AKP49" s="18"/>
      <c r="AKQ49" s="18"/>
      <c r="AKR49" s="18"/>
      <c r="AKS49" s="18"/>
      <c r="AKT49" s="18"/>
      <c r="AKU49" s="18"/>
      <c r="AKV49" s="18"/>
      <c r="AKW49" s="18"/>
      <c r="AKX49" s="18"/>
      <c r="AKY49" s="18"/>
      <c r="AKZ49" s="18"/>
      <c r="ALA49" s="18"/>
      <c r="ALB49" s="18"/>
      <c r="ALC49" s="18"/>
      <c r="ALD49" s="18"/>
      <c r="ALE49" s="18"/>
      <c r="ALF49" s="18"/>
      <c r="ALG49" s="18"/>
      <c r="ALH49" s="18"/>
      <c r="ALI49" s="18"/>
      <c r="ALJ49" s="18"/>
      <c r="ALK49" s="18"/>
      <c r="ALL49" s="18"/>
      <c r="ALM49" s="18"/>
      <c r="ALN49" s="18"/>
      <c r="ALO49" s="18"/>
      <c r="ALP49" s="18"/>
      <c r="ALQ49" s="18"/>
      <c r="ALR49" s="18"/>
      <c r="ALS49" s="18"/>
      <c r="ALT49" s="18"/>
    </row>
    <row r="50" spans="1:1008">
      <c r="A50" s="251" t="s">
        <v>6307</v>
      </c>
      <c r="B50" s="290">
        <v>617</v>
      </c>
      <c r="C50" s="278" t="str">
        <f>(IF($A50="SINAPI",INDEX(SINAPI_NOV2020_NDES!$A$7:$H$6703,MATCH($B50,SINAPI_NOV2020_NDES!$A$7:$A$6703,0),2),IF($A50="GOINFRA",INDEX(#REF!,MATCH($B50,#REF!,0),2),(INDEX(COMPOS!$A$4:$G$39000,MATCH($B50,COMPOS!$A$4:A$39000,0),2)))))</f>
        <v>MEIA SABONETEIRA EM LOUÇA DE EMBUTIR</v>
      </c>
      <c r="D50" s="274" t="str">
        <f>(IF($A50="SINAPI",INDEX(SINAPI_NOV2020_NDES!$A$7:$H$6790,MATCH($B50,SINAPI_NOV2020_NDES!$A$7:$A$6790,0),3),(INDEX(COMPOS!$A$4:$G$5000,MATCH($B50,COMPOS!$A$4:$A$5000,0),3))))</f>
        <v>UN</v>
      </c>
      <c r="E50" s="314">
        <v>8</v>
      </c>
      <c r="F50" s="279">
        <f>(IF($A50="SINAPI",INDEX(SINAPI_NOV2020_NDES!$A$7:$H$6703,MATCH($B50,SINAPI_NOV2020_NDES!$A$7:$A$6703,0),5),(INDEX(COMPOS!$A$4:$G$801,MATCH($B50,COMPOS!$A$4:A$801,0),4))))</f>
        <v>18.405000000000001</v>
      </c>
      <c r="G50" s="280">
        <f>(IF($A50="SINAPI",INDEX(SINAPI_NOV2020_NDES!$A$7:$H$6703,MATCH($B50,SINAPI_NOV2020_NDES!$A$7:$A$6703,0),6),(INDEX(COMPOS!$A$4:$G$801,MATCH($B50,COMPOS!$A$4:A$801,0),5))))</f>
        <v>21.501000000000001</v>
      </c>
      <c r="H50" s="280">
        <f>(IF($A50="SINAPI",INDEX(SINAPI_NOV2020_NDES!$A$7:$H$6703,MATCH($B50,SINAPI_NOV2020_NDES!$A$7:$A$6703,0),7),(INDEX(COMPOS!$A$4:$G$801,MATCH($B50,COMPOS!$A$4:A$801,0),6))))</f>
        <v>0</v>
      </c>
      <c r="I50" s="279">
        <f t="shared" si="12"/>
        <v>39.906000000000006</v>
      </c>
      <c r="J50" s="276">
        <f t="shared" si="13"/>
        <v>319.24800000000005</v>
      </c>
      <c r="K50" s="191"/>
      <c r="L50" s="191"/>
      <c r="M50" s="191"/>
      <c r="N50" s="191"/>
      <c r="O50" s="262"/>
      <c r="P50" s="263"/>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c r="EF50" s="18"/>
      <c r="EG50" s="18"/>
      <c r="EH50" s="18"/>
      <c r="EI50" s="18"/>
      <c r="EJ50" s="18"/>
      <c r="EK50" s="18"/>
      <c r="EL50" s="18"/>
      <c r="EM50" s="18"/>
      <c r="EN50" s="18"/>
      <c r="EO50" s="18"/>
      <c r="EP50" s="18"/>
      <c r="EQ50" s="18"/>
      <c r="ER50" s="18"/>
      <c r="ES50" s="18"/>
      <c r="ET50" s="18"/>
      <c r="EU50" s="18"/>
      <c r="EV50" s="18"/>
      <c r="EW50" s="18"/>
      <c r="EX50" s="18"/>
      <c r="EY50" s="18"/>
      <c r="EZ50" s="18"/>
      <c r="FA50" s="18"/>
      <c r="FB50" s="18"/>
      <c r="FC50" s="18"/>
      <c r="FD50" s="18"/>
      <c r="FE50" s="18"/>
      <c r="FF50" s="18"/>
      <c r="FG50" s="18"/>
      <c r="FH50" s="18"/>
      <c r="FI50" s="18"/>
      <c r="FJ50" s="18"/>
      <c r="FK50" s="18"/>
      <c r="FL50" s="18"/>
      <c r="FM50" s="18"/>
      <c r="FN50" s="18"/>
      <c r="FO50" s="18"/>
      <c r="FP50" s="18"/>
      <c r="FQ50" s="18"/>
      <c r="FR50" s="18"/>
      <c r="FS50" s="18"/>
      <c r="FT50" s="18"/>
      <c r="FU50" s="18"/>
      <c r="FV50" s="18"/>
      <c r="FW50" s="18"/>
      <c r="FX50" s="18"/>
      <c r="FY50" s="18"/>
      <c r="FZ50" s="18"/>
      <c r="GA50" s="18"/>
      <c r="GB50" s="18"/>
      <c r="GC50" s="18"/>
      <c r="GD50" s="18"/>
      <c r="GE50" s="18"/>
      <c r="GF50" s="18"/>
      <c r="GG50" s="18"/>
      <c r="GH50" s="18"/>
      <c r="GI50" s="18"/>
      <c r="GJ50" s="18"/>
      <c r="GK50" s="18"/>
      <c r="GL50" s="18"/>
      <c r="GM50" s="18"/>
      <c r="GN50" s="18"/>
      <c r="GO50" s="18"/>
      <c r="GP50" s="18"/>
      <c r="GQ50" s="18"/>
      <c r="GR50" s="18"/>
      <c r="GS50" s="18"/>
      <c r="GT50" s="18"/>
      <c r="GU50" s="18"/>
      <c r="GV50" s="18"/>
      <c r="GW50" s="18"/>
      <c r="GX50" s="18"/>
      <c r="GY50" s="18"/>
      <c r="GZ50" s="18"/>
      <c r="HA50" s="18"/>
      <c r="HB50" s="18"/>
      <c r="HC50" s="18"/>
      <c r="HD50" s="18"/>
      <c r="HE50" s="18"/>
      <c r="HF50" s="18"/>
      <c r="HG50" s="18"/>
      <c r="HH50" s="18"/>
      <c r="HI50" s="18"/>
      <c r="HJ50" s="18"/>
      <c r="HK50" s="18"/>
      <c r="HL50" s="18"/>
      <c r="HM50" s="18"/>
      <c r="HN50" s="18"/>
      <c r="HO50" s="18"/>
      <c r="HP50" s="18"/>
      <c r="HQ50" s="18"/>
      <c r="HR50" s="18"/>
      <c r="HS50" s="18"/>
      <c r="HT50" s="18"/>
      <c r="HU50" s="18"/>
      <c r="HV50" s="18"/>
      <c r="HW50" s="18"/>
      <c r="HX50" s="18"/>
      <c r="HY50" s="18"/>
      <c r="HZ50" s="18"/>
      <c r="IA50" s="18"/>
      <c r="IB50" s="18"/>
      <c r="IC50" s="18"/>
      <c r="ID50" s="18"/>
      <c r="IE50" s="18"/>
      <c r="IF50" s="18"/>
      <c r="IG50" s="18"/>
      <c r="IH50" s="18"/>
      <c r="II50" s="18"/>
      <c r="IJ50" s="18"/>
      <c r="IK50" s="18"/>
      <c r="IL50" s="18"/>
      <c r="IM50" s="18"/>
      <c r="IN50" s="18"/>
      <c r="IO50" s="18"/>
      <c r="IP50" s="18"/>
      <c r="IQ50" s="18"/>
      <c r="IR50" s="18"/>
      <c r="IS50" s="18"/>
      <c r="IT50" s="18"/>
      <c r="IU50" s="18"/>
      <c r="IV50" s="18"/>
      <c r="IW50" s="18"/>
      <c r="IX50" s="18"/>
      <c r="IY50" s="18"/>
      <c r="IZ50" s="18"/>
      <c r="JA50" s="18"/>
      <c r="JB50" s="18"/>
      <c r="JC50" s="18"/>
      <c r="JD50" s="18"/>
      <c r="JE50" s="18"/>
      <c r="JF50" s="18"/>
      <c r="JG50" s="18"/>
      <c r="JH50" s="18"/>
      <c r="JI50" s="18"/>
      <c r="JJ50" s="18"/>
      <c r="JK50" s="18"/>
      <c r="JL50" s="18"/>
      <c r="JM50" s="18"/>
      <c r="JN50" s="18"/>
      <c r="JO50" s="18"/>
      <c r="JP50" s="18"/>
      <c r="JQ50" s="18"/>
      <c r="JR50" s="18"/>
      <c r="JS50" s="18"/>
      <c r="JT50" s="18"/>
      <c r="JU50" s="18"/>
      <c r="JV50" s="18"/>
      <c r="JW50" s="18"/>
      <c r="JX50" s="18"/>
      <c r="JY50" s="18"/>
      <c r="JZ50" s="18"/>
      <c r="KA50" s="18"/>
      <c r="KB50" s="18"/>
      <c r="KC50" s="18"/>
      <c r="KD50" s="18"/>
      <c r="KE50" s="18"/>
      <c r="KF50" s="18"/>
      <c r="KG50" s="18"/>
      <c r="KH50" s="18"/>
      <c r="KI50" s="18"/>
      <c r="KJ50" s="18"/>
      <c r="KK50" s="18"/>
      <c r="KL50" s="18"/>
      <c r="KM50" s="18"/>
      <c r="KN50" s="18"/>
      <c r="KO50" s="18"/>
      <c r="KP50" s="18"/>
      <c r="KQ50" s="18"/>
      <c r="KR50" s="18"/>
      <c r="KS50" s="18"/>
      <c r="KT50" s="18"/>
      <c r="KU50" s="18"/>
      <c r="KV50" s="18"/>
      <c r="KW50" s="18"/>
      <c r="KX50" s="18"/>
      <c r="KY50" s="18"/>
      <c r="KZ50" s="18"/>
      <c r="LA50" s="18"/>
      <c r="LB50" s="18"/>
      <c r="LC50" s="18"/>
      <c r="LD50" s="18"/>
      <c r="LE50" s="18"/>
      <c r="LF50" s="18"/>
      <c r="LG50" s="18"/>
      <c r="LH50" s="18"/>
      <c r="LI50" s="18"/>
      <c r="LJ50" s="18"/>
      <c r="LK50" s="18"/>
      <c r="LL50" s="18"/>
      <c r="LM50" s="18"/>
      <c r="LN50" s="18"/>
      <c r="LO50" s="18"/>
      <c r="LP50" s="18"/>
      <c r="LQ50" s="18"/>
      <c r="LR50" s="18"/>
      <c r="LS50" s="18"/>
      <c r="LT50" s="18"/>
      <c r="LU50" s="18"/>
      <c r="LV50" s="18"/>
      <c r="LW50" s="18"/>
      <c r="LX50" s="18"/>
      <c r="LY50" s="18"/>
      <c r="LZ50" s="18"/>
      <c r="MA50" s="18"/>
      <c r="MB50" s="18"/>
      <c r="MC50" s="18"/>
      <c r="MD50" s="18"/>
      <c r="ME50" s="18"/>
      <c r="MF50" s="18"/>
      <c r="MG50" s="18"/>
      <c r="MH50" s="18"/>
      <c r="MI50" s="18"/>
      <c r="MJ50" s="18"/>
      <c r="MK50" s="18"/>
      <c r="ML50" s="18"/>
      <c r="MM50" s="18"/>
      <c r="MN50" s="18"/>
      <c r="MO50" s="18"/>
      <c r="MP50" s="18"/>
      <c r="MQ50" s="18"/>
      <c r="MR50" s="18"/>
      <c r="MS50" s="18"/>
      <c r="MT50" s="18"/>
      <c r="MU50" s="18"/>
      <c r="MV50" s="18"/>
      <c r="MW50" s="18"/>
      <c r="MX50" s="18"/>
      <c r="MY50" s="18"/>
      <c r="MZ50" s="18"/>
      <c r="NA50" s="18"/>
      <c r="NB50" s="18"/>
      <c r="NC50" s="18"/>
      <c r="ND50" s="18"/>
      <c r="NE50" s="18"/>
      <c r="NF50" s="18"/>
      <c r="NG50" s="18"/>
      <c r="NH50" s="18"/>
      <c r="NI50" s="18"/>
      <c r="NJ50" s="18"/>
      <c r="NK50" s="18"/>
      <c r="NL50" s="18"/>
      <c r="NM50" s="18"/>
      <c r="NN50" s="18"/>
      <c r="NO50" s="18"/>
      <c r="NP50" s="18"/>
      <c r="NQ50" s="18"/>
      <c r="NR50" s="18"/>
      <c r="NS50" s="18"/>
      <c r="NT50" s="18"/>
      <c r="NU50" s="18"/>
      <c r="NV50" s="18"/>
      <c r="NW50" s="18"/>
      <c r="NX50" s="18"/>
      <c r="NY50" s="18"/>
      <c r="NZ50" s="18"/>
      <c r="OA50" s="18"/>
      <c r="OB50" s="18"/>
      <c r="OC50" s="18"/>
      <c r="OD50" s="18"/>
      <c r="OE50" s="18"/>
      <c r="OF50" s="18"/>
      <c r="OG50" s="18"/>
      <c r="OH50" s="18"/>
      <c r="OI50" s="18"/>
      <c r="OJ50" s="18"/>
      <c r="OK50" s="18"/>
      <c r="OL50" s="18"/>
      <c r="OM50" s="18"/>
      <c r="ON50" s="18"/>
      <c r="OO50" s="18"/>
      <c r="OP50" s="18"/>
      <c r="OQ50" s="18"/>
      <c r="OR50" s="18"/>
      <c r="OS50" s="18"/>
      <c r="OT50" s="18"/>
      <c r="OU50" s="18"/>
      <c r="OV50" s="18"/>
      <c r="OW50" s="18"/>
      <c r="OX50" s="18"/>
      <c r="OY50" s="18"/>
      <c r="OZ50" s="18"/>
      <c r="PA50" s="18"/>
      <c r="PB50" s="18"/>
      <c r="PC50" s="18"/>
      <c r="PD50" s="18"/>
      <c r="PE50" s="18"/>
      <c r="PF50" s="18"/>
      <c r="PG50" s="18"/>
      <c r="PH50" s="18"/>
      <c r="PI50" s="18"/>
      <c r="PJ50" s="18"/>
      <c r="PK50" s="18"/>
      <c r="PL50" s="18"/>
      <c r="PM50" s="18"/>
      <c r="PN50" s="18"/>
      <c r="PO50" s="18"/>
      <c r="PP50" s="18"/>
      <c r="PQ50" s="18"/>
      <c r="PR50" s="18"/>
      <c r="PS50" s="18"/>
      <c r="PT50" s="18"/>
      <c r="PU50" s="18"/>
      <c r="PV50" s="18"/>
      <c r="PW50" s="18"/>
      <c r="PX50" s="18"/>
      <c r="PY50" s="18"/>
      <c r="PZ50" s="18"/>
      <c r="QA50" s="18"/>
      <c r="QB50" s="18"/>
      <c r="QC50" s="18"/>
      <c r="QD50" s="18"/>
      <c r="QE50" s="18"/>
      <c r="QF50" s="18"/>
      <c r="QG50" s="18"/>
      <c r="QH50" s="18"/>
      <c r="QI50" s="18"/>
      <c r="QJ50" s="18"/>
      <c r="QK50" s="18"/>
      <c r="QL50" s="18"/>
      <c r="QM50" s="18"/>
      <c r="QN50" s="18"/>
      <c r="QO50" s="18"/>
      <c r="QP50" s="18"/>
      <c r="QQ50" s="18"/>
      <c r="QR50" s="18"/>
      <c r="QS50" s="18"/>
      <c r="QT50" s="18"/>
      <c r="QU50" s="18"/>
      <c r="QV50" s="18"/>
      <c r="QW50" s="18"/>
      <c r="QX50" s="18"/>
      <c r="QY50" s="18"/>
      <c r="QZ50" s="18"/>
      <c r="RA50" s="18"/>
      <c r="RB50" s="18"/>
      <c r="RC50" s="18"/>
      <c r="RD50" s="18"/>
      <c r="RE50" s="18"/>
      <c r="RF50" s="18"/>
      <c r="RG50" s="18"/>
      <c r="RH50" s="18"/>
      <c r="RI50" s="18"/>
      <c r="RJ50" s="18"/>
      <c r="RK50" s="18"/>
      <c r="RL50" s="18"/>
      <c r="RM50" s="18"/>
      <c r="RN50" s="18"/>
      <c r="RO50" s="18"/>
      <c r="RP50" s="18"/>
      <c r="RQ50" s="18"/>
      <c r="RR50" s="18"/>
      <c r="RS50" s="18"/>
      <c r="RT50" s="18"/>
      <c r="RU50" s="18"/>
      <c r="RV50" s="18"/>
      <c r="RW50" s="18"/>
      <c r="RX50" s="18"/>
      <c r="RY50" s="18"/>
      <c r="RZ50" s="18"/>
      <c r="SA50" s="18"/>
      <c r="SB50" s="18"/>
      <c r="SC50" s="18"/>
      <c r="SD50" s="18"/>
      <c r="SE50" s="18"/>
      <c r="SF50" s="18"/>
      <c r="SG50" s="18"/>
      <c r="SH50" s="18"/>
      <c r="SI50" s="18"/>
      <c r="SJ50" s="18"/>
      <c r="SK50" s="18"/>
      <c r="SL50" s="18"/>
      <c r="SM50" s="18"/>
      <c r="SN50" s="18"/>
      <c r="SO50" s="18"/>
      <c r="SP50" s="18"/>
      <c r="SQ50" s="18"/>
      <c r="SR50" s="18"/>
      <c r="SS50" s="18"/>
      <c r="ST50" s="18"/>
      <c r="SU50" s="18"/>
      <c r="SV50" s="18"/>
      <c r="SW50" s="18"/>
      <c r="SX50" s="18"/>
      <c r="SY50" s="18"/>
      <c r="SZ50" s="18"/>
      <c r="TA50" s="18"/>
      <c r="TB50" s="18"/>
      <c r="TC50" s="18"/>
      <c r="TD50" s="18"/>
      <c r="TE50" s="18"/>
      <c r="TF50" s="18"/>
      <c r="TG50" s="18"/>
      <c r="TH50" s="18"/>
      <c r="TI50" s="18"/>
      <c r="TJ50" s="18"/>
      <c r="TK50" s="18"/>
      <c r="TL50" s="18"/>
      <c r="TM50" s="18"/>
      <c r="TN50" s="18"/>
      <c r="TO50" s="18"/>
      <c r="TP50" s="18"/>
      <c r="TQ50" s="18"/>
      <c r="TR50" s="18"/>
      <c r="TS50" s="18"/>
      <c r="TT50" s="18"/>
      <c r="TU50" s="18"/>
      <c r="TV50" s="18"/>
      <c r="TW50" s="18"/>
      <c r="TX50" s="18"/>
      <c r="TY50" s="18"/>
      <c r="TZ50" s="18"/>
      <c r="UA50" s="18"/>
      <c r="UB50" s="18"/>
      <c r="UC50" s="18"/>
      <c r="UD50" s="18"/>
      <c r="UE50" s="18"/>
      <c r="UF50" s="18"/>
      <c r="UG50" s="18"/>
      <c r="UH50" s="18"/>
      <c r="UI50" s="18"/>
      <c r="UJ50" s="18"/>
      <c r="UK50" s="18"/>
      <c r="UL50" s="18"/>
      <c r="UM50" s="18"/>
      <c r="UN50" s="18"/>
      <c r="UO50" s="18"/>
      <c r="UP50" s="18"/>
      <c r="UQ50" s="18"/>
      <c r="UR50" s="18"/>
      <c r="US50" s="18"/>
      <c r="UT50" s="18"/>
      <c r="UU50" s="18"/>
      <c r="UV50" s="18"/>
      <c r="UW50" s="18"/>
      <c r="UX50" s="18"/>
      <c r="UY50" s="18"/>
      <c r="UZ50" s="18"/>
      <c r="VA50" s="18"/>
      <c r="VB50" s="18"/>
      <c r="VC50" s="18"/>
      <c r="VD50" s="18"/>
      <c r="VE50" s="18"/>
      <c r="VF50" s="18"/>
      <c r="VG50" s="18"/>
      <c r="VH50" s="18"/>
      <c r="VI50" s="18"/>
      <c r="VJ50" s="18"/>
      <c r="VK50" s="18"/>
      <c r="VL50" s="18"/>
      <c r="VM50" s="18"/>
      <c r="VN50" s="18"/>
      <c r="VO50" s="18"/>
      <c r="VP50" s="18"/>
      <c r="VQ50" s="18"/>
      <c r="VR50" s="18"/>
      <c r="VS50" s="18"/>
      <c r="VT50" s="18"/>
      <c r="VU50" s="18"/>
      <c r="VV50" s="18"/>
      <c r="VW50" s="18"/>
      <c r="VX50" s="18"/>
      <c r="VY50" s="18"/>
      <c r="VZ50" s="18"/>
      <c r="WA50" s="18"/>
      <c r="WB50" s="18"/>
      <c r="WC50" s="18"/>
      <c r="WD50" s="18"/>
      <c r="WE50" s="18"/>
      <c r="WF50" s="18"/>
      <c r="WG50" s="18"/>
      <c r="WH50" s="18"/>
      <c r="WI50" s="18"/>
      <c r="WJ50" s="18"/>
      <c r="WK50" s="18"/>
      <c r="WL50" s="18"/>
      <c r="WM50" s="18"/>
      <c r="WN50" s="18"/>
      <c r="WO50" s="18"/>
      <c r="WP50" s="18"/>
      <c r="WQ50" s="18"/>
      <c r="WR50" s="18"/>
      <c r="WS50" s="18"/>
      <c r="WT50" s="18"/>
      <c r="WU50" s="18"/>
      <c r="WV50" s="18"/>
      <c r="WW50" s="18"/>
      <c r="WX50" s="18"/>
      <c r="WY50" s="18"/>
      <c r="WZ50" s="18"/>
      <c r="XA50" s="18"/>
      <c r="XB50" s="18"/>
      <c r="XC50" s="18"/>
      <c r="XD50" s="18"/>
      <c r="XE50" s="18"/>
      <c r="XF50" s="18"/>
      <c r="XG50" s="18"/>
      <c r="XH50" s="18"/>
      <c r="XI50" s="18"/>
      <c r="XJ50" s="18"/>
      <c r="XK50" s="18"/>
      <c r="XL50" s="18"/>
      <c r="XM50" s="18"/>
      <c r="XN50" s="18"/>
      <c r="XO50" s="18"/>
      <c r="XP50" s="18"/>
      <c r="XQ50" s="18"/>
      <c r="XR50" s="18"/>
      <c r="XS50" s="18"/>
      <c r="XT50" s="18"/>
      <c r="XU50" s="18"/>
      <c r="XV50" s="18"/>
      <c r="XW50" s="18"/>
      <c r="XX50" s="18"/>
      <c r="XY50" s="18"/>
      <c r="XZ50" s="18"/>
      <c r="YA50" s="18"/>
      <c r="YB50" s="18"/>
      <c r="YC50" s="18"/>
      <c r="YD50" s="18"/>
      <c r="YE50" s="18"/>
      <c r="YF50" s="18"/>
      <c r="YG50" s="18"/>
      <c r="YH50" s="18"/>
      <c r="YI50" s="18"/>
      <c r="YJ50" s="18"/>
      <c r="YK50" s="18"/>
      <c r="YL50" s="18"/>
      <c r="YM50" s="18"/>
      <c r="YN50" s="18"/>
      <c r="YO50" s="18"/>
      <c r="YP50" s="18"/>
      <c r="YQ50" s="18"/>
      <c r="YR50" s="18"/>
      <c r="YS50" s="18"/>
      <c r="YT50" s="18"/>
      <c r="YU50" s="18"/>
      <c r="YV50" s="18"/>
      <c r="YW50" s="18"/>
      <c r="YX50" s="18"/>
      <c r="YY50" s="18"/>
      <c r="YZ50" s="18"/>
      <c r="ZA50" s="18"/>
      <c r="ZB50" s="18"/>
      <c r="ZC50" s="18"/>
      <c r="ZD50" s="18"/>
      <c r="ZE50" s="18"/>
      <c r="ZF50" s="18"/>
      <c r="ZG50" s="18"/>
      <c r="ZH50" s="18"/>
      <c r="ZI50" s="18"/>
      <c r="ZJ50" s="18"/>
      <c r="ZK50" s="18"/>
      <c r="ZL50" s="18"/>
      <c r="ZM50" s="18"/>
      <c r="ZN50" s="18"/>
      <c r="ZO50" s="18"/>
      <c r="ZP50" s="18"/>
      <c r="ZQ50" s="18"/>
      <c r="ZR50" s="18"/>
      <c r="ZS50" s="18"/>
      <c r="ZT50" s="18"/>
      <c r="ZU50" s="18"/>
      <c r="ZV50" s="18"/>
      <c r="ZW50" s="18"/>
      <c r="ZX50" s="18"/>
      <c r="ZY50" s="18"/>
      <c r="ZZ50" s="18"/>
      <c r="AAA50" s="18"/>
      <c r="AAB50" s="18"/>
      <c r="AAC50" s="18"/>
      <c r="AAD50" s="18"/>
      <c r="AAE50" s="18"/>
      <c r="AAF50" s="18"/>
      <c r="AAG50" s="18"/>
      <c r="AAH50" s="18"/>
      <c r="AAI50" s="18"/>
      <c r="AAJ50" s="18"/>
      <c r="AAK50" s="18"/>
      <c r="AAL50" s="18"/>
      <c r="AAM50" s="18"/>
      <c r="AAN50" s="18"/>
      <c r="AAO50" s="18"/>
      <c r="AAP50" s="18"/>
      <c r="AAQ50" s="18"/>
      <c r="AAR50" s="18"/>
      <c r="AAS50" s="18"/>
      <c r="AAT50" s="18"/>
      <c r="AAU50" s="18"/>
      <c r="AAV50" s="18"/>
      <c r="AAW50" s="18"/>
      <c r="AAX50" s="18"/>
      <c r="AAY50" s="18"/>
      <c r="AAZ50" s="18"/>
      <c r="ABA50" s="18"/>
      <c r="ABB50" s="18"/>
      <c r="ABC50" s="18"/>
      <c r="ABD50" s="18"/>
      <c r="ABE50" s="18"/>
      <c r="ABF50" s="18"/>
      <c r="ABG50" s="18"/>
      <c r="ABH50" s="18"/>
      <c r="ABI50" s="18"/>
      <c r="ABJ50" s="18"/>
      <c r="ABK50" s="18"/>
      <c r="ABL50" s="18"/>
      <c r="ABM50" s="18"/>
      <c r="ABN50" s="18"/>
      <c r="ABO50" s="18"/>
      <c r="ABP50" s="18"/>
      <c r="ABQ50" s="18"/>
      <c r="ABR50" s="18"/>
      <c r="ABS50" s="18"/>
      <c r="ABT50" s="18"/>
      <c r="ABU50" s="18"/>
      <c r="ABV50" s="18"/>
      <c r="ABW50" s="18"/>
      <c r="ABX50" s="18"/>
      <c r="ABY50" s="18"/>
      <c r="ABZ50" s="18"/>
      <c r="ACA50" s="18"/>
      <c r="ACB50" s="18"/>
      <c r="ACC50" s="18"/>
      <c r="ACD50" s="18"/>
      <c r="ACE50" s="18"/>
      <c r="ACF50" s="18"/>
      <c r="ACG50" s="18"/>
      <c r="ACH50" s="18"/>
      <c r="ACI50" s="18"/>
      <c r="ACJ50" s="18"/>
      <c r="ACK50" s="18"/>
      <c r="ACL50" s="18"/>
      <c r="ACM50" s="18"/>
      <c r="ACN50" s="18"/>
      <c r="ACO50" s="18"/>
      <c r="ACP50" s="18"/>
      <c r="ACQ50" s="18"/>
      <c r="ACR50" s="18"/>
      <c r="ACS50" s="18"/>
      <c r="ACT50" s="18"/>
      <c r="ACU50" s="18"/>
      <c r="ACV50" s="18"/>
      <c r="ACW50" s="18"/>
      <c r="ACX50" s="18"/>
      <c r="ACY50" s="18"/>
      <c r="ACZ50" s="18"/>
      <c r="ADA50" s="18"/>
      <c r="ADB50" s="18"/>
      <c r="ADC50" s="18"/>
      <c r="ADD50" s="18"/>
      <c r="ADE50" s="18"/>
      <c r="ADF50" s="18"/>
      <c r="ADG50" s="18"/>
      <c r="ADH50" s="18"/>
      <c r="ADI50" s="18"/>
      <c r="ADJ50" s="18"/>
      <c r="ADK50" s="18"/>
      <c r="ADL50" s="18"/>
      <c r="ADM50" s="18"/>
      <c r="ADN50" s="18"/>
      <c r="ADO50" s="18"/>
      <c r="ADP50" s="18"/>
      <c r="ADQ50" s="18"/>
      <c r="ADR50" s="18"/>
      <c r="ADS50" s="18"/>
      <c r="ADT50" s="18"/>
      <c r="ADU50" s="18"/>
      <c r="ADV50" s="18"/>
      <c r="ADW50" s="18"/>
      <c r="ADX50" s="18"/>
      <c r="ADY50" s="18"/>
      <c r="ADZ50" s="18"/>
      <c r="AEA50" s="18"/>
      <c r="AEB50" s="18"/>
      <c r="AEC50" s="18"/>
      <c r="AED50" s="18"/>
      <c r="AEE50" s="18"/>
      <c r="AEF50" s="18"/>
      <c r="AEG50" s="18"/>
      <c r="AEH50" s="18"/>
      <c r="AEI50" s="18"/>
      <c r="AEJ50" s="18"/>
      <c r="AEK50" s="18"/>
      <c r="AEL50" s="18"/>
      <c r="AEM50" s="18"/>
      <c r="AEN50" s="18"/>
      <c r="AEO50" s="18"/>
      <c r="AEP50" s="18"/>
      <c r="AEQ50" s="18"/>
      <c r="AER50" s="18"/>
      <c r="AES50" s="18"/>
      <c r="AET50" s="18"/>
      <c r="AEU50" s="18"/>
      <c r="AEV50" s="18"/>
      <c r="AEW50" s="18"/>
      <c r="AEX50" s="18"/>
      <c r="AEY50" s="18"/>
      <c r="AEZ50" s="18"/>
      <c r="AFA50" s="18"/>
      <c r="AFB50" s="18"/>
      <c r="AFC50" s="18"/>
      <c r="AFD50" s="18"/>
      <c r="AFE50" s="18"/>
      <c r="AFF50" s="18"/>
      <c r="AFG50" s="18"/>
      <c r="AFH50" s="18"/>
      <c r="AFI50" s="18"/>
      <c r="AFJ50" s="18"/>
      <c r="AFK50" s="18"/>
      <c r="AFL50" s="18"/>
      <c r="AFM50" s="18"/>
      <c r="AFN50" s="18"/>
      <c r="AFO50" s="18"/>
      <c r="AFP50" s="18"/>
      <c r="AFQ50" s="18"/>
      <c r="AFR50" s="18"/>
      <c r="AFS50" s="18"/>
      <c r="AFT50" s="18"/>
      <c r="AFU50" s="18"/>
      <c r="AFV50" s="18"/>
      <c r="AFW50" s="18"/>
      <c r="AFX50" s="18"/>
      <c r="AFY50" s="18"/>
      <c r="AFZ50" s="18"/>
      <c r="AGA50" s="18"/>
      <c r="AGB50" s="18"/>
      <c r="AGC50" s="18"/>
      <c r="AGD50" s="18"/>
      <c r="AGE50" s="18"/>
      <c r="AGF50" s="18"/>
      <c r="AGG50" s="18"/>
      <c r="AGH50" s="18"/>
      <c r="AGI50" s="18"/>
      <c r="AGJ50" s="18"/>
      <c r="AGK50" s="18"/>
      <c r="AGL50" s="18"/>
      <c r="AGM50" s="18"/>
      <c r="AGN50" s="18"/>
      <c r="AGO50" s="18"/>
      <c r="AGP50" s="18"/>
      <c r="AGQ50" s="18"/>
      <c r="AGR50" s="18"/>
      <c r="AGS50" s="18"/>
      <c r="AGT50" s="18"/>
      <c r="AGU50" s="18"/>
      <c r="AGV50" s="18"/>
      <c r="AGW50" s="18"/>
      <c r="AGX50" s="18"/>
      <c r="AGY50" s="18"/>
      <c r="AGZ50" s="18"/>
      <c r="AHA50" s="18"/>
      <c r="AHB50" s="18"/>
      <c r="AHC50" s="18"/>
      <c r="AHD50" s="18"/>
      <c r="AHE50" s="18"/>
      <c r="AHF50" s="18"/>
      <c r="AHG50" s="18"/>
      <c r="AHH50" s="18"/>
      <c r="AHI50" s="18"/>
      <c r="AHJ50" s="18"/>
      <c r="AHK50" s="18"/>
      <c r="AHL50" s="18"/>
      <c r="AHM50" s="18"/>
      <c r="AHN50" s="18"/>
      <c r="AHO50" s="18"/>
      <c r="AHP50" s="18"/>
      <c r="AHQ50" s="18"/>
      <c r="AHR50" s="18"/>
      <c r="AHS50" s="18"/>
      <c r="AHT50" s="18"/>
      <c r="AHU50" s="18"/>
      <c r="AHV50" s="18"/>
      <c r="AHW50" s="18"/>
      <c r="AHX50" s="18"/>
      <c r="AHY50" s="18"/>
      <c r="AHZ50" s="18"/>
      <c r="AIA50" s="18"/>
      <c r="AIB50" s="18"/>
      <c r="AIC50" s="18"/>
      <c r="AID50" s="18"/>
      <c r="AIE50" s="18"/>
      <c r="AIF50" s="18"/>
      <c r="AIG50" s="18"/>
      <c r="AIH50" s="18"/>
      <c r="AII50" s="18"/>
      <c r="AIJ50" s="18"/>
      <c r="AIK50" s="18"/>
      <c r="AIL50" s="18"/>
      <c r="AIM50" s="18"/>
      <c r="AIN50" s="18"/>
      <c r="AIO50" s="18"/>
      <c r="AIP50" s="18"/>
      <c r="AIQ50" s="18"/>
      <c r="AIR50" s="18"/>
      <c r="AIS50" s="18"/>
      <c r="AIT50" s="18"/>
      <c r="AIU50" s="18"/>
      <c r="AIV50" s="18"/>
      <c r="AIW50" s="18"/>
      <c r="AIX50" s="18"/>
      <c r="AIY50" s="18"/>
      <c r="AIZ50" s="18"/>
      <c r="AJA50" s="18"/>
      <c r="AJB50" s="18"/>
      <c r="AJC50" s="18"/>
      <c r="AJD50" s="18"/>
      <c r="AJE50" s="18"/>
      <c r="AJF50" s="18"/>
      <c r="AJG50" s="18"/>
      <c r="AJH50" s="18"/>
      <c r="AJI50" s="18"/>
      <c r="AJJ50" s="18"/>
      <c r="AJK50" s="18"/>
      <c r="AJL50" s="18"/>
      <c r="AJM50" s="18"/>
      <c r="AJN50" s="18"/>
      <c r="AJO50" s="18"/>
      <c r="AJP50" s="18"/>
      <c r="AJQ50" s="18"/>
      <c r="AJR50" s="18"/>
      <c r="AJS50" s="18"/>
      <c r="AJT50" s="18"/>
      <c r="AJU50" s="18"/>
      <c r="AJV50" s="18"/>
      <c r="AJW50" s="18"/>
      <c r="AJX50" s="18"/>
      <c r="AJY50" s="18"/>
      <c r="AJZ50" s="18"/>
      <c r="AKA50" s="18"/>
      <c r="AKB50" s="18"/>
      <c r="AKC50" s="18"/>
      <c r="AKD50" s="18"/>
      <c r="AKE50" s="18"/>
      <c r="AKF50" s="18"/>
      <c r="AKG50" s="18"/>
      <c r="AKH50" s="18"/>
      <c r="AKI50" s="18"/>
      <c r="AKJ50" s="18"/>
      <c r="AKK50" s="18"/>
      <c r="AKL50" s="18"/>
      <c r="AKM50" s="18"/>
      <c r="AKN50" s="18"/>
      <c r="AKO50" s="18"/>
      <c r="AKP50" s="18"/>
      <c r="AKQ50" s="18"/>
      <c r="AKR50" s="18"/>
      <c r="AKS50" s="18"/>
      <c r="AKT50" s="18"/>
      <c r="AKU50" s="18"/>
      <c r="AKV50" s="18"/>
      <c r="AKW50" s="18"/>
      <c r="AKX50" s="18"/>
      <c r="AKY50" s="18"/>
      <c r="AKZ50" s="18"/>
      <c r="ALA50" s="18"/>
      <c r="ALB50" s="18"/>
      <c r="ALC50" s="18"/>
      <c r="ALD50" s="18"/>
      <c r="ALE50" s="18"/>
      <c r="ALF50" s="18"/>
      <c r="ALG50" s="18"/>
      <c r="ALH50" s="18"/>
      <c r="ALI50" s="18"/>
      <c r="ALJ50" s="18"/>
      <c r="ALK50" s="18"/>
      <c r="ALL50" s="18"/>
      <c r="ALM50" s="18"/>
      <c r="ALN50" s="18"/>
      <c r="ALO50" s="18"/>
      <c r="ALP50" s="18"/>
      <c r="ALQ50" s="18"/>
      <c r="ALR50" s="18"/>
      <c r="ALS50" s="18"/>
      <c r="ALT50" s="18"/>
    </row>
    <row r="51" spans="1:1008">
      <c r="A51" s="251" t="s">
        <v>6307</v>
      </c>
      <c r="B51" s="290">
        <v>616</v>
      </c>
      <c r="C51" s="278" t="str">
        <f>(IF($A51="SINAPI",INDEX(SINAPI_NOV2020_NDES!$A$7:$H$6703,MATCH($B51,SINAPI_NOV2020_NDES!$A$7:$A$6703,0),2),IF($A51="GOINFRA",INDEX(#REF!,MATCH($B51,#REF!,0),2),(INDEX(COMPOS!$A$4:$G$3900,MATCH($B51,COMPOS!$A$4:A$3900,0),2)))))</f>
        <v>CABIDE TIPO GANCHO DE LOUÇA</v>
      </c>
      <c r="D51" s="274" t="str">
        <f>(IF($A51="SINAPI",INDEX(SINAPI_NOV2020_NDES!$A$7:$H$6790,MATCH($B51,SINAPI_NOV2020_NDES!$A$7:$A$6790,0),3),(INDEX(COMPOS!$A$4:$G$5000,MATCH($B51,COMPOS!$A$4:$A$5000,0),3))))</f>
        <v>UN</v>
      </c>
      <c r="E51" s="314">
        <v>8</v>
      </c>
      <c r="F51" s="279">
        <f>(IF($A51="SINAPI",INDEX(SINAPI_NOV2020_NDES!$A$7:$H$6703,MATCH($B51,SINAPI_NOV2020_NDES!$A$7:$A$6703,0),5),(INDEX(COMPOS!$A$4:$G$801,MATCH($B51,COMPOS!$A$4:A$801,0),4))))</f>
        <v>14.724</v>
      </c>
      <c r="G51" s="280">
        <f>(IF($A51="SINAPI",INDEX(SINAPI_NOV2020_NDES!$A$7:$H$6703,MATCH($B51,SINAPI_NOV2020_NDES!$A$7:$A$6703,0),6),(INDEX(COMPOS!$A$4:$G$801,MATCH($B51,COMPOS!$A$4:A$801,0),5))))</f>
        <v>13.601000000000001</v>
      </c>
      <c r="H51" s="280">
        <f>(IF($A51="SINAPI",INDEX(SINAPI_NOV2020_NDES!$A$7:$H$6703,MATCH($B51,SINAPI_NOV2020_NDES!$A$7:$A$6703,0),7),(INDEX(COMPOS!$A$4:$G$801,MATCH($B51,COMPOS!$A$4:A$801,0),6))))</f>
        <v>0</v>
      </c>
      <c r="I51" s="279">
        <f t="shared" si="12"/>
        <v>28.325000000000003</v>
      </c>
      <c r="J51" s="276">
        <f t="shared" si="13"/>
        <v>226.60000000000002</v>
      </c>
      <c r="K51" s="191"/>
      <c r="L51" s="191"/>
      <c r="M51" s="191"/>
      <c r="N51" s="191"/>
      <c r="O51" s="262"/>
      <c r="P51" s="263"/>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c r="EF51" s="18"/>
      <c r="EG51" s="18"/>
      <c r="EH51" s="18"/>
      <c r="EI51" s="18"/>
      <c r="EJ51" s="18"/>
      <c r="EK51" s="18"/>
      <c r="EL51" s="18"/>
      <c r="EM51" s="18"/>
      <c r="EN51" s="18"/>
      <c r="EO51" s="18"/>
      <c r="EP51" s="18"/>
      <c r="EQ51" s="18"/>
      <c r="ER51" s="18"/>
      <c r="ES51" s="18"/>
      <c r="ET51" s="18"/>
      <c r="EU51" s="18"/>
      <c r="EV51" s="18"/>
      <c r="EW51" s="18"/>
      <c r="EX51" s="18"/>
      <c r="EY51" s="18"/>
      <c r="EZ51" s="18"/>
      <c r="FA51" s="18"/>
      <c r="FB51" s="18"/>
      <c r="FC51" s="18"/>
      <c r="FD51" s="18"/>
      <c r="FE51" s="18"/>
      <c r="FF51" s="18"/>
      <c r="FG51" s="18"/>
      <c r="FH51" s="18"/>
      <c r="FI51" s="18"/>
      <c r="FJ51" s="18"/>
      <c r="FK51" s="18"/>
      <c r="FL51" s="18"/>
      <c r="FM51" s="18"/>
      <c r="FN51" s="18"/>
      <c r="FO51" s="18"/>
      <c r="FP51" s="18"/>
      <c r="FQ51" s="18"/>
      <c r="FR51" s="18"/>
      <c r="FS51" s="18"/>
      <c r="FT51" s="18"/>
      <c r="FU51" s="18"/>
      <c r="FV51" s="18"/>
      <c r="FW51" s="18"/>
      <c r="FX51" s="18"/>
      <c r="FY51" s="18"/>
      <c r="FZ51" s="18"/>
      <c r="GA51" s="18"/>
      <c r="GB51" s="18"/>
      <c r="GC51" s="18"/>
      <c r="GD51" s="18"/>
      <c r="GE51" s="18"/>
      <c r="GF51" s="18"/>
      <c r="GG51" s="18"/>
      <c r="GH51" s="18"/>
      <c r="GI51" s="18"/>
      <c r="GJ51" s="18"/>
      <c r="GK51" s="18"/>
      <c r="GL51" s="18"/>
      <c r="GM51" s="18"/>
      <c r="GN51" s="18"/>
      <c r="GO51" s="18"/>
      <c r="GP51" s="18"/>
      <c r="GQ51" s="18"/>
      <c r="GR51" s="18"/>
      <c r="GS51" s="18"/>
      <c r="GT51" s="18"/>
      <c r="GU51" s="18"/>
      <c r="GV51" s="18"/>
      <c r="GW51" s="18"/>
      <c r="GX51" s="18"/>
      <c r="GY51" s="18"/>
      <c r="GZ51" s="18"/>
      <c r="HA51" s="18"/>
      <c r="HB51" s="18"/>
      <c r="HC51" s="18"/>
      <c r="HD51" s="18"/>
      <c r="HE51" s="18"/>
      <c r="HF51" s="18"/>
      <c r="HG51" s="18"/>
      <c r="HH51" s="18"/>
      <c r="HI51" s="18"/>
      <c r="HJ51" s="18"/>
      <c r="HK51" s="18"/>
      <c r="HL51" s="18"/>
      <c r="HM51" s="18"/>
      <c r="HN51" s="18"/>
      <c r="HO51" s="18"/>
      <c r="HP51" s="18"/>
      <c r="HQ51" s="18"/>
      <c r="HR51" s="18"/>
      <c r="HS51" s="18"/>
      <c r="HT51" s="18"/>
      <c r="HU51" s="18"/>
      <c r="HV51" s="18"/>
      <c r="HW51" s="18"/>
      <c r="HX51" s="18"/>
      <c r="HY51" s="18"/>
      <c r="HZ51" s="18"/>
      <c r="IA51" s="18"/>
      <c r="IB51" s="18"/>
      <c r="IC51" s="18"/>
      <c r="ID51" s="18"/>
      <c r="IE51" s="18"/>
      <c r="IF51" s="18"/>
      <c r="IG51" s="18"/>
      <c r="IH51" s="18"/>
      <c r="II51" s="18"/>
      <c r="IJ51" s="18"/>
      <c r="IK51" s="18"/>
      <c r="IL51" s="18"/>
      <c r="IM51" s="18"/>
      <c r="IN51" s="18"/>
      <c r="IO51" s="18"/>
      <c r="IP51" s="18"/>
      <c r="IQ51" s="18"/>
      <c r="IR51" s="18"/>
      <c r="IS51" s="18"/>
      <c r="IT51" s="18"/>
      <c r="IU51" s="18"/>
      <c r="IV51" s="18"/>
      <c r="IW51" s="18"/>
      <c r="IX51" s="18"/>
      <c r="IY51" s="18"/>
      <c r="IZ51" s="18"/>
      <c r="JA51" s="18"/>
      <c r="JB51" s="18"/>
      <c r="JC51" s="18"/>
      <c r="JD51" s="18"/>
      <c r="JE51" s="18"/>
      <c r="JF51" s="18"/>
      <c r="JG51" s="18"/>
      <c r="JH51" s="18"/>
      <c r="JI51" s="18"/>
      <c r="JJ51" s="18"/>
      <c r="JK51" s="18"/>
      <c r="JL51" s="18"/>
      <c r="JM51" s="18"/>
      <c r="JN51" s="18"/>
      <c r="JO51" s="18"/>
      <c r="JP51" s="18"/>
      <c r="JQ51" s="18"/>
      <c r="JR51" s="18"/>
      <c r="JS51" s="18"/>
      <c r="JT51" s="18"/>
      <c r="JU51" s="18"/>
      <c r="JV51" s="18"/>
      <c r="JW51" s="18"/>
      <c r="JX51" s="18"/>
      <c r="JY51" s="18"/>
      <c r="JZ51" s="18"/>
      <c r="KA51" s="18"/>
      <c r="KB51" s="18"/>
      <c r="KC51" s="18"/>
      <c r="KD51" s="18"/>
      <c r="KE51" s="18"/>
      <c r="KF51" s="18"/>
      <c r="KG51" s="18"/>
      <c r="KH51" s="18"/>
      <c r="KI51" s="18"/>
      <c r="KJ51" s="18"/>
      <c r="KK51" s="18"/>
      <c r="KL51" s="18"/>
      <c r="KM51" s="18"/>
      <c r="KN51" s="18"/>
      <c r="KO51" s="18"/>
      <c r="KP51" s="18"/>
      <c r="KQ51" s="18"/>
      <c r="KR51" s="18"/>
      <c r="KS51" s="18"/>
      <c r="KT51" s="18"/>
      <c r="KU51" s="18"/>
      <c r="KV51" s="18"/>
      <c r="KW51" s="18"/>
      <c r="KX51" s="18"/>
      <c r="KY51" s="18"/>
      <c r="KZ51" s="18"/>
      <c r="LA51" s="18"/>
      <c r="LB51" s="18"/>
      <c r="LC51" s="18"/>
      <c r="LD51" s="18"/>
      <c r="LE51" s="18"/>
      <c r="LF51" s="18"/>
      <c r="LG51" s="18"/>
      <c r="LH51" s="18"/>
      <c r="LI51" s="18"/>
      <c r="LJ51" s="18"/>
      <c r="LK51" s="18"/>
      <c r="LL51" s="18"/>
      <c r="LM51" s="18"/>
      <c r="LN51" s="18"/>
      <c r="LO51" s="18"/>
      <c r="LP51" s="18"/>
      <c r="LQ51" s="18"/>
      <c r="LR51" s="18"/>
      <c r="LS51" s="18"/>
      <c r="LT51" s="18"/>
      <c r="LU51" s="18"/>
      <c r="LV51" s="18"/>
      <c r="LW51" s="18"/>
      <c r="LX51" s="18"/>
      <c r="LY51" s="18"/>
      <c r="LZ51" s="18"/>
      <c r="MA51" s="18"/>
      <c r="MB51" s="18"/>
      <c r="MC51" s="18"/>
      <c r="MD51" s="18"/>
      <c r="ME51" s="18"/>
      <c r="MF51" s="18"/>
      <c r="MG51" s="18"/>
      <c r="MH51" s="18"/>
      <c r="MI51" s="18"/>
      <c r="MJ51" s="18"/>
      <c r="MK51" s="18"/>
      <c r="ML51" s="18"/>
      <c r="MM51" s="18"/>
      <c r="MN51" s="18"/>
      <c r="MO51" s="18"/>
      <c r="MP51" s="18"/>
      <c r="MQ51" s="18"/>
      <c r="MR51" s="18"/>
      <c r="MS51" s="18"/>
      <c r="MT51" s="18"/>
      <c r="MU51" s="18"/>
      <c r="MV51" s="18"/>
      <c r="MW51" s="18"/>
      <c r="MX51" s="18"/>
      <c r="MY51" s="18"/>
      <c r="MZ51" s="18"/>
      <c r="NA51" s="18"/>
      <c r="NB51" s="18"/>
      <c r="NC51" s="18"/>
      <c r="ND51" s="18"/>
      <c r="NE51" s="18"/>
      <c r="NF51" s="18"/>
      <c r="NG51" s="18"/>
      <c r="NH51" s="18"/>
      <c r="NI51" s="18"/>
      <c r="NJ51" s="18"/>
      <c r="NK51" s="18"/>
      <c r="NL51" s="18"/>
      <c r="NM51" s="18"/>
      <c r="NN51" s="18"/>
      <c r="NO51" s="18"/>
      <c r="NP51" s="18"/>
      <c r="NQ51" s="18"/>
      <c r="NR51" s="18"/>
      <c r="NS51" s="18"/>
      <c r="NT51" s="18"/>
      <c r="NU51" s="18"/>
      <c r="NV51" s="18"/>
      <c r="NW51" s="18"/>
      <c r="NX51" s="18"/>
      <c r="NY51" s="18"/>
      <c r="NZ51" s="18"/>
      <c r="OA51" s="18"/>
      <c r="OB51" s="18"/>
      <c r="OC51" s="18"/>
      <c r="OD51" s="18"/>
      <c r="OE51" s="18"/>
      <c r="OF51" s="18"/>
      <c r="OG51" s="18"/>
      <c r="OH51" s="18"/>
      <c r="OI51" s="18"/>
      <c r="OJ51" s="18"/>
      <c r="OK51" s="18"/>
      <c r="OL51" s="18"/>
      <c r="OM51" s="18"/>
      <c r="ON51" s="18"/>
      <c r="OO51" s="18"/>
      <c r="OP51" s="18"/>
      <c r="OQ51" s="18"/>
      <c r="OR51" s="18"/>
      <c r="OS51" s="18"/>
      <c r="OT51" s="18"/>
      <c r="OU51" s="18"/>
      <c r="OV51" s="18"/>
      <c r="OW51" s="18"/>
      <c r="OX51" s="18"/>
      <c r="OY51" s="18"/>
      <c r="OZ51" s="18"/>
      <c r="PA51" s="18"/>
      <c r="PB51" s="18"/>
      <c r="PC51" s="18"/>
      <c r="PD51" s="18"/>
      <c r="PE51" s="18"/>
      <c r="PF51" s="18"/>
      <c r="PG51" s="18"/>
      <c r="PH51" s="18"/>
      <c r="PI51" s="18"/>
      <c r="PJ51" s="18"/>
      <c r="PK51" s="18"/>
      <c r="PL51" s="18"/>
      <c r="PM51" s="18"/>
      <c r="PN51" s="18"/>
      <c r="PO51" s="18"/>
      <c r="PP51" s="18"/>
      <c r="PQ51" s="18"/>
      <c r="PR51" s="18"/>
      <c r="PS51" s="18"/>
      <c r="PT51" s="18"/>
      <c r="PU51" s="18"/>
      <c r="PV51" s="18"/>
      <c r="PW51" s="18"/>
      <c r="PX51" s="18"/>
      <c r="PY51" s="18"/>
      <c r="PZ51" s="18"/>
      <c r="QA51" s="18"/>
      <c r="QB51" s="18"/>
      <c r="QC51" s="18"/>
      <c r="QD51" s="18"/>
      <c r="QE51" s="18"/>
      <c r="QF51" s="18"/>
      <c r="QG51" s="18"/>
      <c r="QH51" s="18"/>
      <c r="QI51" s="18"/>
      <c r="QJ51" s="18"/>
      <c r="QK51" s="18"/>
      <c r="QL51" s="18"/>
      <c r="QM51" s="18"/>
      <c r="QN51" s="18"/>
      <c r="QO51" s="18"/>
      <c r="QP51" s="18"/>
      <c r="QQ51" s="18"/>
      <c r="QR51" s="18"/>
      <c r="QS51" s="18"/>
      <c r="QT51" s="18"/>
      <c r="QU51" s="18"/>
      <c r="QV51" s="18"/>
      <c r="QW51" s="18"/>
      <c r="QX51" s="18"/>
      <c r="QY51" s="18"/>
      <c r="QZ51" s="18"/>
      <c r="RA51" s="18"/>
      <c r="RB51" s="18"/>
      <c r="RC51" s="18"/>
      <c r="RD51" s="18"/>
      <c r="RE51" s="18"/>
      <c r="RF51" s="18"/>
      <c r="RG51" s="18"/>
      <c r="RH51" s="18"/>
      <c r="RI51" s="18"/>
      <c r="RJ51" s="18"/>
      <c r="RK51" s="18"/>
      <c r="RL51" s="18"/>
      <c r="RM51" s="18"/>
      <c r="RN51" s="18"/>
      <c r="RO51" s="18"/>
      <c r="RP51" s="18"/>
      <c r="RQ51" s="18"/>
      <c r="RR51" s="18"/>
      <c r="RS51" s="18"/>
      <c r="RT51" s="18"/>
      <c r="RU51" s="18"/>
      <c r="RV51" s="18"/>
      <c r="RW51" s="18"/>
      <c r="RX51" s="18"/>
      <c r="RY51" s="18"/>
      <c r="RZ51" s="18"/>
      <c r="SA51" s="18"/>
      <c r="SB51" s="18"/>
      <c r="SC51" s="18"/>
      <c r="SD51" s="18"/>
      <c r="SE51" s="18"/>
      <c r="SF51" s="18"/>
      <c r="SG51" s="18"/>
      <c r="SH51" s="18"/>
      <c r="SI51" s="18"/>
      <c r="SJ51" s="18"/>
      <c r="SK51" s="18"/>
      <c r="SL51" s="18"/>
      <c r="SM51" s="18"/>
      <c r="SN51" s="18"/>
      <c r="SO51" s="18"/>
      <c r="SP51" s="18"/>
      <c r="SQ51" s="18"/>
      <c r="SR51" s="18"/>
      <c r="SS51" s="18"/>
      <c r="ST51" s="18"/>
      <c r="SU51" s="18"/>
      <c r="SV51" s="18"/>
      <c r="SW51" s="18"/>
      <c r="SX51" s="18"/>
      <c r="SY51" s="18"/>
      <c r="SZ51" s="18"/>
      <c r="TA51" s="18"/>
      <c r="TB51" s="18"/>
      <c r="TC51" s="18"/>
      <c r="TD51" s="18"/>
      <c r="TE51" s="18"/>
      <c r="TF51" s="18"/>
      <c r="TG51" s="18"/>
      <c r="TH51" s="18"/>
      <c r="TI51" s="18"/>
      <c r="TJ51" s="18"/>
      <c r="TK51" s="18"/>
      <c r="TL51" s="18"/>
      <c r="TM51" s="18"/>
      <c r="TN51" s="18"/>
      <c r="TO51" s="18"/>
      <c r="TP51" s="18"/>
      <c r="TQ51" s="18"/>
      <c r="TR51" s="18"/>
      <c r="TS51" s="18"/>
      <c r="TT51" s="18"/>
      <c r="TU51" s="18"/>
      <c r="TV51" s="18"/>
      <c r="TW51" s="18"/>
      <c r="TX51" s="18"/>
      <c r="TY51" s="18"/>
      <c r="TZ51" s="18"/>
      <c r="UA51" s="18"/>
      <c r="UB51" s="18"/>
      <c r="UC51" s="18"/>
      <c r="UD51" s="18"/>
      <c r="UE51" s="18"/>
      <c r="UF51" s="18"/>
      <c r="UG51" s="18"/>
      <c r="UH51" s="18"/>
      <c r="UI51" s="18"/>
      <c r="UJ51" s="18"/>
      <c r="UK51" s="18"/>
      <c r="UL51" s="18"/>
      <c r="UM51" s="18"/>
      <c r="UN51" s="18"/>
      <c r="UO51" s="18"/>
      <c r="UP51" s="18"/>
      <c r="UQ51" s="18"/>
      <c r="UR51" s="18"/>
      <c r="US51" s="18"/>
      <c r="UT51" s="18"/>
      <c r="UU51" s="18"/>
      <c r="UV51" s="18"/>
      <c r="UW51" s="18"/>
      <c r="UX51" s="18"/>
      <c r="UY51" s="18"/>
      <c r="UZ51" s="18"/>
      <c r="VA51" s="18"/>
      <c r="VB51" s="18"/>
      <c r="VC51" s="18"/>
      <c r="VD51" s="18"/>
      <c r="VE51" s="18"/>
      <c r="VF51" s="18"/>
      <c r="VG51" s="18"/>
      <c r="VH51" s="18"/>
      <c r="VI51" s="18"/>
      <c r="VJ51" s="18"/>
      <c r="VK51" s="18"/>
      <c r="VL51" s="18"/>
      <c r="VM51" s="18"/>
      <c r="VN51" s="18"/>
      <c r="VO51" s="18"/>
      <c r="VP51" s="18"/>
      <c r="VQ51" s="18"/>
      <c r="VR51" s="18"/>
      <c r="VS51" s="18"/>
      <c r="VT51" s="18"/>
      <c r="VU51" s="18"/>
      <c r="VV51" s="18"/>
      <c r="VW51" s="18"/>
      <c r="VX51" s="18"/>
      <c r="VY51" s="18"/>
      <c r="VZ51" s="18"/>
      <c r="WA51" s="18"/>
      <c r="WB51" s="18"/>
      <c r="WC51" s="18"/>
      <c r="WD51" s="18"/>
      <c r="WE51" s="18"/>
      <c r="WF51" s="18"/>
      <c r="WG51" s="18"/>
      <c r="WH51" s="18"/>
      <c r="WI51" s="18"/>
      <c r="WJ51" s="18"/>
      <c r="WK51" s="18"/>
      <c r="WL51" s="18"/>
      <c r="WM51" s="18"/>
      <c r="WN51" s="18"/>
      <c r="WO51" s="18"/>
      <c r="WP51" s="18"/>
      <c r="WQ51" s="18"/>
      <c r="WR51" s="18"/>
      <c r="WS51" s="18"/>
      <c r="WT51" s="18"/>
      <c r="WU51" s="18"/>
      <c r="WV51" s="18"/>
      <c r="WW51" s="18"/>
      <c r="WX51" s="18"/>
      <c r="WY51" s="18"/>
      <c r="WZ51" s="18"/>
      <c r="XA51" s="18"/>
      <c r="XB51" s="18"/>
      <c r="XC51" s="18"/>
      <c r="XD51" s="18"/>
      <c r="XE51" s="18"/>
      <c r="XF51" s="18"/>
      <c r="XG51" s="18"/>
      <c r="XH51" s="18"/>
      <c r="XI51" s="18"/>
      <c r="XJ51" s="18"/>
      <c r="XK51" s="18"/>
      <c r="XL51" s="18"/>
      <c r="XM51" s="18"/>
      <c r="XN51" s="18"/>
      <c r="XO51" s="18"/>
      <c r="XP51" s="18"/>
      <c r="XQ51" s="18"/>
      <c r="XR51" s="18"/>
      <c r="XS51" s="18"/>
      <c r="XT51" s="18"/>
      <c r="XU51" s="18"/>
      <c r="XV51" s="18"/>
      <c r="XW51" s="18"/>
      <c r="XX51" s="18"/>
      <c r="XY51" s="18"/>
      <c r="XZ51" s="18"/>
      <c r="YA51" s="18"/>
      <c r="YB51" s="18"/>
      <c r="YC51" s="18"/>
      <c r="YD51" s="18"/>
      <c r="YE51" s="18"/>
      <c r="YF51" s="18"/>
      <c r="YG51" s="18"/>
      <c r="YH51" s="18"/>
      <c r="YI51" s="18"/>
      <c r="YJ51" s="18"/>
      <c r="YK51" s="18"/>
      <c r="YL51" s="18"/>
      <c r="YM51" s="18"/>
      <c r="YN51" s="18"/>
      <c r="YO51" s="18"/>
      <c r="YP51" s="18"/>
      <c r="YQ51" s="18"/>
      <c r="YR51" s="18"/>
      <c r="YS51" s="18"/>
      <c r="YT51" s="18"/>
      <c r="YU51" s="18"/>
      <c r="YV51" s="18"/>
      <c r="YW51" s="18"/>
      <c r="YX51" s="18"/>
      <c r="YY51" s="18"/>
      <c r="YZ51" s="18"/>
      <c r="ZA51" s="18"/>
      <c r="ZB51" s="18"/>
      <c r="ZC51" s="18"/>
      <c r="ZD51" s="18"/>
      <c r="ZE51" s="18"/>
      <c r="ZF51" s="18"/>
      <c r="ZG51" s="18"/>
      <c r="ZH51" s="18"/>
      <c r="ZI51" s="18"/>
      <c r="ZJ51" s="18"/>
      <c r="ZK51" s="18"/>
      <c r="ZL51" s="18"/>
      <c r="ZM51" s="18"/>
      <c r="ZN51" s="18"/>
      <c r="ZO51" s="18"/>
      <c r="ZP51" s="18"/>
      <c r="ZQ51" s="18"/>
      <c r="ZR51" s="18"/>
      <c r="ZS51" s="18"/>
      <c r="ZT51" s="18"/>
      <c r="ZU51" s="18"/>
      <c r="ZV51" s="18"/>
      <c r="ZW51" s="18"/>
      <c r="ZX51" s="18"/>
      <c r="ZY51" s="18"/>
      <c r="ZZ51" s="18"/>
      <c r="AAA51" s="18"/>
      <c r="AAB51" s="18"/>
      <c r="AAC51" s="18"/>
      <c r="AAD51" s="18"/>
      <c r="AAE51" s="18"/>
      <c r="AAF51" s="18"/>
      <c r="AAG51" s="18"/>
      <c r="AAH51" s="18"/>
      <c r="AAI51" s="18"/>
      <c r="AAJ51" s="18"/>
      <c r="AAK51" s="18"/>
      <c r="AAL51" s="18"/>
      <c r="AAM51" s="18"/>
      <c r="AAN51" s="18"/>
      <c r="AAO51" s="18"/>
      <c r="AAP51" s="18"/>
      <c r="AAQ51" s="18"/>
      <c r="AAR51" s="18"/>
      <c r="AAS51" s="18"/>
      <c r="AAT51" s="18"/>
      <c r="AAU51" s="18"/>
      <c r="AAV51" s="18"/>
      <c r="AAW51" s="18"/>
      <c r="AAX51" s="18"/>
      <c r="AAY51" s="18"/>
      <c r="AAZ51" s="18"/>
      <c r="ABA51" s="18"/>
      <c r="ABB51" s="18"/>
      <c r="ABC51" s="18"/>
      <c r="ABD51" s="18"/>
      <c r="ABE51" s="18"/>
      <c r="ABF51" s="18"/>
      <c r="ABG51" s="18"/>
      <c r="ABH51" s="18"/>
      <c r="ABI51" s="18"/>
      <c r="ABJ51" s="18"/>
      <c r="ABK51" s="18"/>
      <c r="ABL51" s="18"/>
      <c r="ABM51" s="18"/>
      <c r="ABN51" s="18"/>
      <c r="ABO51" s="18"/>
      <c r="ABP51" s="18"/>
      <c r="ABQ51" s="18"/>
      <c r="ABR51" s="18"/>
      <c r="ABS51" s="18"/>
      <c r="ABT51" s="18"/>
      <c r="ABU51" s="18"/>
      <c r="ABV51" s="18"/>
      <c r="ABW51" s="18"/>
      <c r="ABX51" s="18"/>
      <c r="ABY51" s="18"/>
      <c r="ABZ51" s="18"/>
      <c r="ACA51" s="18"/>
      <c r="ACB51" s="18"/>
      <c r="ACC51" s="18"/>
      <c r="ACD51" s="18"/>
      <c r="ACE51" s="18"/>
      <c r="ACF51" s="18"/>
      <c r="ACG51" s="18"/>
      <c r="ACH51" s="18"/>
      <c r="ACI51" s="18"/>
      <c r="ACJ51" s="18"/>
      <c r="ACK51" s="18"/>
      <c r="ACL51" s="18"/>
      <c r="ACM51" s="18"/>
      <c r="ACN51" s="18"/>
      <c r="ACO51" s="18"/>
      <c r="ACP51" s="18"/>
      <c r="ACQ51" s="18"/>
      <c r="ACR51" s="18"/>
      <c r="ACS51" s="18"/>
      <c r="ACT51" s="18"/>
      <c r="ACU51" s="18"/>
      <c r="ACV51" s="18"/>
      <c r="ACW51" s="18"/>
      <c r="ACX51" s="18"/>
      <c r="ACY51" s="18"/>
      <c r="ACZ51" s="18"/>
      <c r="ADA51" s="18"/>
      <c r="ADB51" s="18"/>
      <c r="ADC51" s="18"/>
      <c r="ADD51" s="18"/>
      <c r="ADE51" s="18"/>
      <c r="ADF51" s="18"/>
      <c r="ADG51" s="18"/>
      <c r="ADH51" s="18"/>
      <c r="ADI51" s="18"/>
      <c r="ADJ51" s="18"/>
      <c r="ADK51" s="18"/>
      <c r="ADL51" s="18"/>
      <c r="ADM51" s="18"/>
      <c r="ADN51" s="18"/>
      <c r="ADO51" s="18"/>
      <c r="ADP51" s="18"/>
      <c r="ADQ51" s="18"/>
      <c r="ADR51" s="18"/>
      <c r="ADS51" s="18"/>
      <c r="ADT51" s="18"/>
      <c r="ADU51" s="18"/>
      <c r="ADV51" s="18"/>
      <c r="ADW51" s="18"/>
      <c r="ADX51" s="18"/>
      <c r="ADY51" s="18"/>
      <c r="ADZ51" s="18"/>
      <c r="AEA51" s="18"/>
      <c r="AEB51" s="18"/>
      <c r="AEC51" s="18"/>
      <c r="AED51" s="18"/>
      <c r="AEE51" s="18"/>
      <c r="AEF51" s="18"/>
      <c r="AEG51" s="18"/>
      <c r="AEH51" s="18"/>
      <c r="AEI51" s="18"/>
      <c r="AEJ51" s="18"/>
      <c r="AEK51" s="18"/>
      <c r="AEL51" s="18"/>
      <c r="AEM51" s="18"/>
      <c r="AEN51" s="18"/>
      <c r="AEO51" s="18"/>
      <c r="AEP51" s="18"/>
      <c r="AEQ51" s="18"/>
      <c r="AER51" s="18"/>
      <c r="AES51" s="18"/>
      <c r="AET51" s="18"/>
      <c r="AEU51" s="18"/>
      <c r="AEV51" s="18"/>
      <c r="AEW51" s="18"/>
      <c r="AEX51" s="18"/>
      <c r="AEY51" s="18"/>
      <c r="AEZ51" s="18"/>
      <c r="AFA51" s="18"/>
      <c r="AFB51" s="18"/>
      <c r="AFC51" s="18"/>
      <c r="AFD51" s="18"/>
      <c r="AFE51" s="18"/>
      <c r="AFF51" s="18"/>
      <c r="AFG51" s="18"/>
      <c r="AFH51" s="18"/>
      <c r="AFI51" s="18"/>
      <c r="AFJ51" s="18"/>
      <c r="AFK51" s="18"/>
      <c r="AFL51" s="18"/>
      <c r="AFM51" s="18"/>
      <c r="AFN51" s="18"/>
      <c r="AFO51" s="18"/>
      <c r="AFP51" s="18"/>
      <c r="AFQ51" s="18"/>
      <c r="AFR51" s="18"/>
      <c r="AFS51" s="18"/>
      <c r="AFT51" s="18"/>
      <c r="AFU51" s="18"/>
      <c r="AFV51" s="18"/>
      <c r="AFW51" s="18"/>
      <c r="AFX51" s="18"/>
      <c r="AFY51" s="18"/>
      <c r="AFZ51" s="18"/>
      <c r="AGA51" s="18"/>
      <c r="AGB51" s="18"/>
      <c r="AGC51" s="18"/>
      <c r="AGD51" s="18"/>
      <c r="AGE51" s="18"/>
      <c r="AGF51" s="18"/>
      <c r="AGG51" s="18"/>
      <c r="AGH51" s="18"/>
      <c r="AGI51" s="18"/>
      <c r="AGJ51" s="18"/>
      <c r="AGK51" s="18"/>
      <c r="AGL51" s="18"/>
      <c r="AGM51" s="18"/>
      <c r="AGN51" s="18"/>
      <c r="AGO51" s="18"/>
      <c r="AGP51" s="18"/>
      <c r="AGQ51" s="18"/>
      <c r="AGR51" s="18"/>
      <c r="AGS51" s="18"/>
      <c r="AGT51" s="18"/>
      <c r="AGU51" s="18"/>
      <c r="AGV51" s="18"/>
      <c r="AGW51" s="18"/>
      <c r="AGX51" s="18"/>
      <c r="AGY51" s="18"/>
      <c r="AGZ51" s="18"/>
      <c r="AHA51" s="18"/>
      <c r="AHB51" s="18"/>
      <c r="AHC51" s="18"/>
      <c r="AHD51" s="18"/>
      <c r="AHE51" s="18"/>
      <c r="AHF51" s="18"/>
      <c r="AHG51" s="18"/>
      <c r="AHH51" s="18"/>
      <c r="AHI51" s="18"/>
      <c r="AHJ51" s="18"/>
      <c r="AHK51" s="18"/>
      <c r="AHL51" s="18"/>
      <c r="AHM51" s="18"/>
      <c r="AHN51" s="18"/>
      <c r="AHO51" s="18"/>
      <c r="AHP51" s="18"/>
      <c r="AHQ51" s="18"/>
      <c r="AHR51" s="18"/>
      <c r="AHS51" s="18"/>
      <c r="AHT51" s="18"/>
      <c r="AHU51" s="18"/>
      <c r="AHV51" s="18"/>
      <c r="AHW51" s="18"/>
      <c r="AHX51" s="18"/>
      <c r="AHY51" s="18"/>
      <c r="AHZ51" s="18"/>
      <c r="AIA51" s="18"/>
      <c r="AIB51" s="18"/>
      <c r="AIC51" s="18"/>
      <c r="AID51" s="18"/>
      <c r="AIE51" s="18"/>
      <c r="AIF51" s="18"/>
      <c r="AIG51" s="18"/>
      <c r="AIH51" s="18"/>
      <c r="AII51" s="18"/>
      <c r="AIJ51" s="18"/>
      <c r="AIK51" s="18"/>
      <c r="AIL51" s="18"/>
      <c r="AIM51" s="18"/>
      <c r="AIN51" s="18"/>
      <c r="AIO51" s="18"/>
      <c r="AIP51" s="18"/>
      <c r="AIQ51" s="18"/>
      <c r="AIR51" s="18"/>
      <c r="AIS51" s="18"/>
      <c r="AIT51" s="18"/>
      <c r="AIU51" s="18"/>
      <c r="AIV51" s="18"/>
      <c r="AIW51" s="18"/>
      <c r="AIX51" s="18"/>
      <c r="AIY51" s="18"/>
      <c r="AIZ51" s="18"/>
      <c r="AJA51" s="18"/>
      <c r="AJB51" s="18"/>
      <c r="AJC51" s="18"/>
      <c r="AJD51" s="18"/>
      <c r="AJE51" s="18"/>
      <c r="AJF51" s="18"/>
      <c r="AJG51" s="18"/>
      <c r="AJH51" s="18"/>
      <c r="AJI51" s="18"/>
      <c r="AJJ51" s="18"/>
      <c r="AJK51" s="18"/>
      <c r="AJL51" s="18"/>
      <c r="AJM51" s="18"/>
      <c r="AJN51" s="18"/>
      <c r="AJO51" s="18"/>
      <c r="AJP51" s="18"/>
      <c r="AJQ51" s="18"/>
      <c r="AJR51" s="18"/>
      <c r="AJS51" s="18"/>
      <c r="AJT51" s="18"/>
      <c r="AJU51" s="18"/>
      <c r="AJV51" s="18"/>
      <c r="AJW51" s="18"/>
      <c r="AJX51" s="18"/>
      <c r="AJY51" s="18"/>
      <c r="AJZ51" s="18"/>
      <c r="AKA51" s="18"/>
      <c r="AKB51" s="18"/>
      <c r="AKC51" s="18"/>
      <c r="AKD51" s="18"/>
      <c r="AKE51" s="18"/>
      <c r="AKF51" s="18"/>
      <c r="AKG51" s="18"/>
      <c r="AKH51" s="18"/>
      <c r="AKI51" s="18"/>
      <c r="AKJ51" s="18"/>
      <c r="AKK51" s="18"/>
      <c r="AKL51" s="18"/>
      <c r="AKM51" s="18"/>
      <c r="AKN51" s="18"/>
      <c r="AKO51" s="18"/>
      <c r="AKP51" s="18"/>
      <c r="AKQ51" s="18"/>
      <c r="AKR51" s="18"/>
      <c r="AKS51" s="18"/>
      <c r="AKT51" s="18"/>
      <c r="AKU51" s="18"/>
      <c r="AKV51" s="18"/>
      <c r="AKW51" s="18"/>
      <c r="AKX51" s="18"/>
      <c r="AKY51" s="18"/>
      <c r="AKZ51" s="18"/>
      <c r="ALA51" s="18"/>
      <c r="ALB51" s="18"/>
      <c r="ALC51" s="18"/>
      <c r="ALD51" s="18"/>
      <c r="ALE51" s="18"/>
      <c r="ALF51" s="18"/>
      <c r="ALG51" s="18"/>
      <c r="ALH51" s="18"/>
      <c r="ALI51" s="18"/>
      <c r="ALJ51" s="18"/>
      <c r="ALK51" s="18"/>
      <c r="ALL51" s="18"/>
      <c r="ALM51" s="18"/>
      <c r="ALN51" s="18"/>
      <c r="ALO51" s="18"/>
      <c r="ALP51" s="18"/>
      <c r="ALQ51" s="18"/>
      <c r="ALR51" s="18"/>
      <c r="ALS51" s="18"/>
      <c r="ALT51" s="18"/>
    </row>
    <row r="52" spans="1:1008" ht="24">
      <c r="A52" s="251" t="s">
        <v>7</v>
      </c>
      <c r="B52" s="290">
        <v>100858</v>
      </c>
      <c r="C52" s="278" t="str">
        <f>(IF($A52="SINAPI",INDEX(SINAPI_NOV2020_NDES!$A$7:$H$6703,MATCH($B52,SINAPI_NOV2020_NDES!$A$7:$A$6703,0),2),IF($A52="GOINFRA",INDEX(#REF!,MATCH($B52,#REF!,0),2),(INDEX(COMPOS!$A$4:$G$390,MATCH($B52,COMPOS!$A$4:A$390,0),2)))))</f>
        <v>MICTÓRIO SIFONADO LOUÇA BRANCA  PADRÃO MÉDIO  FORNECIMENTO E INSTALAÇÃO. AF_01/2020</v>
      </c>
      <c r="D52" s="274" t="str">
        <f>(IF($A52="SINAPI",INDEX(SINAPI_NOV2020_NDES!$A$7:$H$6790,MATCH($B52,SINAPI_NOV2020_NDES!$A$7:$A$6790,0),3),(INDEX(COMPOS!$A$4:$G$5000,MATCH($B52,COMPOS!$A$4:$A$5000,0),3))))</f>
        <v>UN</v>
      </c>
      <c r="E52" s="314">
        <v>2</v>
      </c>
      <c r="F52" s="279">
        <f>(IF($A52="SINAPI",INDEX(SINAPI_NOV2020_NDES!$A$7:$H$6703,MATCH($B52,SINAPI_NOV2020_NDES!$A$7:$A$6703,0),5),(INDEX(COMPOS!$A$4:$G$801,MATCH($B52,COMPOS!$A$4:A$801,0),4))))</f>
        <v>20.6</v>
      </c>
      <c r="G52" s="280">
        <f>(IF($A52="SINAPI",INDEX(SINAPI_NOV2020_NDES!$A$7:$H$6703,MATCH($B52,SINAPI_NOV2020_NDES!$A$7:$A$6703,0),6),(INDEX(COMPOS!$A$4:$G$801,MATCH($B52,COMPOS!$A$4:A$801,0),5))))</f>
        <v>433.06</v>
      </c>
      <c r="H52" s="280">
        <f>(IF($A52="SINAPI",INDEX(SINAPI_NOV2020_NDES!$A$7:$H$6703,MATCH($B52,SINAPI_NOV2020_NDES!$A$7:$A$6703,0),7),(INDEX(COMPOS!$A$4:$G$801,MATCH($B52,COMPOS!$A$4:A$801,0),6))))</f>
        <v>0</v>
      </c>
      <c r="I52" s="279">
        <f t="shared" si="12"/>
        <v>453.66</v>
      </c>
      <c r="J52" s="276">
        <f t="shared" si="13"/>
        <v>907.32</v>
      </c>
      <c r="K52" s="191"/>
      <c r="L52" s="191"/>
      <c r="M52" s="191"/>
      <c r="N52" s="191"/>
      <c r="O52" s="262"/>
      <c r="P52" s="263"/>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c r="EF52" s="18"/>
      <c r="EG52" s="18"/>
      <c r="EH52" s="18"/>
      <c r="EI52" s="18"/>
      <c r="EJ52" s="18"/>
      <c r="EK52" s="18"/>
      <c r="EL52" s="18"/>
      <c r="EM52" s="18"/>
      <c r="EN52" s="18"/>
      <c r="EO52" s="18"/>
      <c r="EP52" s="18"/>
      <c r="EQ52" s="18"/>
      <c r="ER52" s="18"/>
      <c r="ES52" s="18"/>
      <c r="ET52" s="18"/>
      <c r="EU52" s="18"/>
      <c r="EV52" s="18"/>
      <c r="EW52" s="18"/>
      <c r="EX52" s="18"/>
      <c r="EY52" s="18"/>
      <c r="EZ52" s="18"/>
      <c r="FA52" s="18"/>
      <c r="FB52" s="18"/>
      <c r="FC52" s="18"/>
      <c r="FD52" s="18"/>
      <c r="FE52" s="18"/>
      <c r="FF52" s="18"/>
      <c r="FG52" s="18"/>
      <c r="FH52" s="18"/>
      <c r="FI52" s="18"/>
      <c r="FJ52" s="18"/>
      <c r="FK52" s="18"/>
      <c r="FL52" s="18"/>
      <c r="FM52" s="18"/>
      <c r="FN52" s="18"/>
      <c r="FO52" s="18"/>
      <c r="FP52" s="18"/>
      <c r="FQ52" s="18"/>
      <c r="FR52" s="18"/>
      <c r="FS52" s="18"/>
      <c r="FT52" s="18"/>
      <c r="FU52" s="18"/>
      <c r="FV52" s="18"/>
      <c r="FW52" s="18"/>
      <c r="FX52" s="18"/>
      <c r="FY52" s="18"/>
      <c r="FZ52" s="18"/>
      <c r="GA52" s="18"/>
      <c r="GB52" s="18"/>
      <c r="GC52" s="18"/>
      <c r="GD52" s="18"/>
      <c r="GE52" s="18"/>
      <c r="GF52" s="18"/>
      <c r="GG52" s="18"/>
      <c r="GH52" s="18"/>
      <c r="GI52" s="18"/>
      <c r="GJ52" s="18"/>
      <c r="GK52" s="18"/>
      <c r="GL52" s="18"/>
      <c r="GM52" s="18"/>
      <c r="GN52" s="18"/>
      <c r="GO52" s="18"/>
      <c r="GP52" s="18"/>
      <c r="GQ52" s="18"/>
      <c r="GR52" s="18"/>
      <c r="GS52" s="18"/>
      <c r="GT52" s="18"/>
      <c r="GU52" s="18"/>
      <c r="GV52" s="18"/>
      <c r="GW52" s="18"/>
      <c r="GX52" s="18"/>
      <c r="GY52" s="18"/>
      <c r="GZ52" s="18"/>
      <c r="HA52" s="18"/>
      <c r="HB52" s="18"/>
      <c r="HC52" s="18"/>
      <c r="HD52" s="18"/>
      <c r="HE52" s="18"/>
      <c r="HF52" s="18"/>
      <c r="HG52" s="18"/>
      <c r="HH52" s="18"/>
      <c r="HI52" s="18"/>
      <c r="HJ52" s="18"/>
      <c r="HK52" s="18"/>
      <c r="HL52" s="18"/>
      <c r="HM52" s="18"/>
      <c r="HN52" s="18"/>
      <c r="HO52" s="18"/>
      <c r="HP52" s="18"/>
      <c r="HQ52" s="18"/>
      <c r="HR52" s="18"/>
      <c r="HS52" s="18"/>
      <c r="HT52" s="18"/>
      <c r="HU52" s="18"/>
      <c r="HV52" s="18"/>
      <c r="HW52" s="18"/>
      <c r="HX52" s="18"/>
      <c r="HY52" s="18"/>
      <c r="HZ52" s="18"/>
      <c r="IA52" s="18"/>
      <c r="IB52" s="18"/>
      <c r="IC52" s="18"/>
      <c r="ID52" s="18"/>
      <c r="IE52" s="18"/>
      <c r="IF52" s="18"/>
      <c r="IG52" s="18"/>
      <c r="IH52" s="18"/>
      <c r="II52" s="18"/>
      <c r="IJ52" s="18"/>
      <c r="IK52" s="18"/>
      <c r="IL52" s="18"/>
      <c r="IM52" s="18"/>
      <c r="IN52" s="18"/>
      <c r="IO52" s="18"/>
      <c r="IP52" s="18"/>
      <c r="IQ52" s="18"/>
      <c r="IR52" s="18"/>
      <c r="IS52" s="18"/>
      <c r="IT52" s="18"/>
      <c r="IU52" s="18"/>
      <c r="IV52" s="18"/>
      <c r="IW52" s="18"/>
      <c r="IX52" s="18"/>
      <c r="IY52" s="18"/>
      <c r="IZ52" s="18"/>
      <c r="JA52" s="18"/>
      <c r="JB52" s="18"/>
      <c r="JC52" s="18"/>
      <c r="JD52" s="18"/>
      <c r="JE52" s="18"/>
      <c r="JF52" s="18"/>
      <c r="JG52" s="18"/>
      <c r="JH52" s="18"/>
      <c r="JI52" s="18"/>
      <c r="JJ52" s="18"/>
      <c r="JK52" s="18"/>
      <c r="JL52" s="18"/>
      <c r="JM52" s="18"/>
      <c r="JN52" s="18"/>
      <c r="JO52" s="18"/>
      <c r="JP52" s="18"/>
      <c r="JQ52" s="18"/>
      <c r="JR52" s="18"/>
      <c r="JS52" s="18"/>
      <c r="JT52" s="18"/>
      <c r="JU52" s="18"/>
      <c r="JV52" s="18"/>
      <c r="JW52" s="18"/>
      <c r="JX52" s="18"/>
      <c r="JY52" s="18"/>
      <c r="JZ52" s="18"/>
      <c r="KA52" s="18"/>
      <c r="KB52" s="18"/>
      <c r="KC52" s="18"/>
      <c r="KD52" s="18"/>
      <c r="KE52" s="18"/>
      <c r="KF52" s="18"/>
      <c r="KG52" s="18"/>
      <c r="KH52" s="18"/>
      <c r="KI52" s="18"/>
      <c r="KJ52" s="18"/>
      <c r="KK52" s="18"/>
      <c r="KL52" s="18"/>
      <c r="KM52" s="18"/>
      <c r="KN52" s="18"/>
      <c r="KO52" s="18"/>
      <c r="KP52" s="18"/>
      <c r="KQ52" s="18"/>
      <c r="KR52" s="18"/>
      <c r="KS52" s="18"/>
      <c r="KT52" s="18"/>
      <c r="KU52" s="18"/>
      <c r="KV52" s="18"/>
      <c r="KW52" s="18"/>
      <c r="KX52" s="18"/>
      <c r="KY52" s="18"/>
      <c r="KZ52" s="18"/>
      <c r="LA52" s="18"/>
      <c r="LB52" s="18"/>
      <c r="LC52" s="18"/>
      <c r="LD52" s="18"/>
      <c r="LE52" s="18"/>
      <c r="LF52" s="18"/>
      <c r="LG52" s="18"/>
      <c r="LH52" s="18"/>
      <c r="LI52" s="18"/>
      <c r="LJ52" s="18"/>
      <c r="LK52" s="18"/>
      <c r="LL52" s="18"/>
      <c r="LM52" s="18"/>
      <c r="LN52" s="18"/>
      <c r="LO52" s="18"/>
      <c r="LP52" s="18"/>
      <c r="LQ52" s="18"/>
      <c r="LR52" s="18"/>
      <c r="LS52" s="18"/>
      <c r="LT52" s="18"/>
      <c r="LU52" s="18"/>
      <c r="LV52" s="18"/>
      <c r="LW52" s="18"/>
      <c r="LX52" s="18"/>
      <c r="LY52" s="18"/>
      <c r="LZ52" s="18"/>
      <c r="MA52" s="18"/>
      <c r="MB52" s="18"/>
      <c r="MC52" s="18"/>
      <c r="MD52" s="18"/>
      <c r="ME52" s="18"/>
      <c r="MF52" s="18"/>
      <c r="MG52" s="18"/>
      <c r="MH52" s="18"/>
      <c r="MI52" s="18"/>
      <c r="MJ52" s="18"/>
      <c r="MK52" s="18"/>
      <c r="ML52" s="18"/>
      <c r="MM52" s="18"/>
      <c r="MN52" s="18"/>
      <c r="MO52" s="18"/>
      <c r="MP52" s="18"/>
      <c r="MQ52" s="18"/>
      <c r="MR52" s="18"/>
      <c r="MS52" s="18"/>
      <c r="MT52" s="18"/>
      <c r="MU52" s="18"/>
      <c r="MV52" s="18"/>
      <c r="MW52" s="18"/>
      <c r="MX52" s="18"/>
      <c r="MY52" s="18"/>
      <c r="MZ52" s="18"/>
      <c r="NA52" s="18"/>
      <c r="NB52" s="18"/>
      <c r="NC52" s="18"/>
      <c r="ND52" s="18"/>
      <c r="NE52" s="18"/>
      <c r="NF52" s="18"/>
      <c r="NG52" s="18"/>
      <c r="NH52" s="18"/>
      <c r="NI52" s="18"/>
      <c r="NJ52" s="18"/>
      <c r="NK52" s="18"/>
      <c r="NL52" s="18"/>
      <c r="NM52" s="18"/>
      <c r="NN52" s="18"/>
      <c r="NO52" s="18"/>
      <c r="NP52" s="18"/>
      <c r="NQ52" s="18"/>
      <c r="NR52" s="18"/>
      <c r="NS52" s="18"/>
      <c r="NT52" s="18"/>
      <c r="NU52" s="18"/>
      <c r="NV52" s="18"/>
      <c r="NW52" s="18"/>
      <c r="NX52" s="18"/>
      <c r="NY52" s="18"/>
      <c r="NZ52" s="18"/>
      <c r="OA52" s="18"/>
      <c r="OB52" s="18"/>
      <c r="OC52" s="18"/>
      <c r="OD52" s="18"/>
      <c r="OE52" s="18"/>
      <c r="OF52" s="18"/>
      <c r="OG52" s="18"/>
      <c r="OH52" s="18"/>
      <c r="OI52" s="18"/>
      <c r="OJ52" s="18"/>
      <c r="OK52" s="18"/>
      <c r="OL52" s="18"/>
      <c r="OM52" s="18"/>
      <c r="ON52" s="18"/>
      <c r="OO52" s="18"/>
      <c r="OP52" s="18"/>
      <c r="OQ52" s="18"/>
      <c r="OR52" s="18"/>
      <c r="OS52" s="18"/>
      <c r="OT52" s="18"/>
      <c r="OU52" s="18"/>
      <c r="OV52" s="18"/>
      <c r="OW52" s="18"/>
      <c r="OX52" s="18"/>
      <c r="OY52" s="18"/>
      <c r="OZ52" s="18"/>
      <c r="PA52" s="18"/>
      <c r="PB52" s="18"/>
      <c r="PC52" s="18"/>
      <c r="PD52" s="18"/>
      <c r="PE52" s="18"/>
      <c r="PF52" s="18"/>
      <c r="PG52" s="18"/>
      <c r="PH52" s="18"/>
      <c r="PI52" s="18"/>
      <c r="PJ52" s="18"/>
      <c r="PK52" s="18"/>
      <c r="PL52" s="18"/>
      <c r="PM52" s="18"/>
      <c r="PN52" s="18"/>
      <c r="PO52" s="18"/>
      <c r="PP52" s="18"/>
      <c r="PQ52" s="18"/>
      <c r="PR52" s="18"/>
      <c r="PS52" s="18"/>
      <c r="PT52" s="18"/>
      <c r="PU52" s="18"/>
      <c r="PV52" s="18"/>
      <c r="PW52" s="18"/>
      <c r="PX52" s="18"/>
      <c r="PY52" s="18"/>
      <c r="PZ52" s="18"/>
      <c r="QA52" s="18"/>
      <c r="QB52" s="18"/>
      <c r="QC52" s="18"/>
      <c r="QD52" s="18"/>
      <c r="QE52" s="18"/>
      <c r="QF52" s="18"/>
      <c r="QG52" s="18"/>
      <c r="QH52" s="18"/>
      <c r="QI52" s="18"/>
      <c r="QJ52" s="18"/>
      <c r="QK52" s="18"/>
      <c r="QL52" s="18"/>
      <c r="QM52" s="18"/>
      <c r="QN52" s="18"/>
      <c r="QO52" s="18"/>
      <c r="QP52" s="18"/>
      <c r="QQ52" s="18"/>
      <c r="QR52" s="18"/>
      <c r="QS52" s="18"/>
      <c r="QT52" s="18"/>
      <c r="QU52" s="18"/>
      <c r="QV52" s="18"/>
      <c r="QW52" s="18"/>
      <c r="QX52" s="18"/>
      <c r="QY52" s="18"/>
      <c r="QZ52" s="18"/>
      <c r="RA52" s="18"/>
      <c r="RB52" s="18"/>
      <c r="RC52" s="18"/>
      <c r="RD52" s="18"/>
      <c r="RE52" s="18"/>
      <c r="RF52" s="18"/>
      <c r="RG52" s="18"/>
      <c r="RH52" s="18"/>
      <c r="RI52" s="18"/>
      <c r="RJ52" s="18"/>
      <c r="RK52" s="18"/>
      <c r="RL52" s="18"/>
      <c r="RM52" s="18"/>
      <c r="RN52" s="18"/>
      <c r="RO52" s="18"/>
      <c r="RP52" s="18"/>
      <c r="RQ52" s="18"/>
      <c r="RR52" s="18"/>
      <c r="RS52" s="18"/>
      <c r="RT52" s="18"/>
      <c r="RU52" s="18"/>
      <c r="RV52" s="18"/>
      <c r="RW52" s="18"/>
      <c r="RX52" s="18"/>
      <c r="RY52" s="18"/>
      <c r="RZ52" s="18"/>
      <c r="SA52" s="18"/>
      <c r="SB52" s="18"/>
      <c r="SC52" s="18"/>
      <c r="SD52" s="18"/>
      <c r="SE52" s="18"/>
      <c r="SF52" s="18"/>
      <c r="SG52" s="18"/>
      <c r="SH52" s="18"/>
      <c r="SI52" s="18"/>
      <c r="SJ52" s="18"/>
      <c r="SK52" s="18"/>
      <c r="SL52" s="18"/>
      <c r="SM52" s="18"/>
      <c r="SN52" s="18"/>
      <c r="SO52" s="18"/>
      <c r="SP52" s="18"/>
      <c r="SQ52" s="18"/>
      <c r="SR52" s="18"/>
      <c r="SS52" s="18"/>
      <c r="ST52" s="18"/>
      <c r="SU52" s="18"/>
      <c r="SV52" s="18"/>
      <c r="SW52" s="18"/>
      <c r="SX52" s="18"/>
      <c r="SY52" s="18"/>
      <c r="SZ52" s="18"/>
      <c r="TA52" s="18"/>
      <c r="TB52" s="18"/>
      <c r="TC52" s="18"/>
      <c r="TD52" s="18"/>
      <c r="TE52" s="18"/>
      <c r="TF52" s="18"/>
      <c r="TG52" s="18"/>
      <c r="TH52" s="18"/>
      <c r="TI52" s="18"/>
      <c r="TJ52" s="18"/>
      <c r="TK52" s="18"/>
      <c r="TL52" s="18"/>
      <c r="TM52" s="18"/>
      <c r="TN52" s="18"/>
      <c r="TO52" s="18"/>
      <c r="TP52" s="18"/>
      <c r="TQ52" s="18"/>
      <c r="TR52" s="18"/>
      <c r="TS52" s="18"/>
      <c r="TT52" s="18"/>
      <c r="TU52" s="18"/>
      <c r="TV52" s="18"/>
      <c r="TW52" s="18"/>
      <c r="TX52" s="18"/>
      <c r="TY52" s="18"/>
      <c r="TZ52" s="18"/>
      <c r="UA52" s="18"/>
      <c r="UB52" s="18"/>
      <c r="UC52" s="18"/>
      <c r="UD52" s="18"/>
      <c r="UE52" s="18"/>
      <c r="UF52" s="18"/>
      <c r="UG52" s="18"/>
      <c r="UH52" s="18"/>
      <c r="UI52" s="18"/>
      <c r="UJ52" s="18"/>
      <c r="UK52" s="18"/>
      <c r="UL52" s="18"/>
      <c r="UM52" s="18"/>
      <c r="UN52" s="18"/>
      <c r="UO52" s="18"/>
      <c r="UP52" s="18"/>
      <c r="UQ52" s="18"/>
      <c r="UR52" s="18"/>
      <c r="US52" s="18"/>
      <c r="UT52" s="18"/>
      <c r="UU52" s="18"/>
      <c r="UV52" s="18"/>
      <c r="UW52" s="18"/>
      <c r="UX52" s="18"/>
      <c r="UY52" s="18"/>
      <c r="UZ52" s="18"/>
      <c r="VA52" s="18"/>
      <c r="VB52" s="18"/>
      <c r="VC52" s="18"/>
      <c r="VD52" s="18"/>
      <c r="VE52" s="18"/>
      <c r="VF52" s="18"/>
      <c r="VG52" s="18"/>
      <c r="VH52" s="18"/>
      <c r="VI52" s="18"/>
      <c r="VJ52" s="18"/>
      <c r="VK52" s="18"/>
      <c r="VL52" s="18"/>
      <c r="VM52" s="18"/>
      <c r="VN52" s="18"/>
      <c r="VO52" s="18"/>
      <c r="VP52" s="18"/>
      <c r="VQ52" s="18"/>
      <c r="VR52" s="18"/>
      <c r="VS52" s="18"/>
      <c r="VT52" s="18"/>
      <c r="VU52" s="18"/>
      <c r="VV52" s="18"/>
      <c r="VW52" s="18"/>
      <c r="VX52" s="18"/>
      <c r="VY52" s="18"/>
      <c r="VZ52" s="18"/>
      <c r="WA52" s="18"/>
      <c r="WB52" s="18"/>
      <c r="WC52" s="18"/>
      <c r="WD52" s="18"/>
      <c r="WE52" s="18"/>
      <c r="WF52" s="18"/>
      <c r="WG52" s="18"/>
      <c r="WH52" s="18"/>
      <c r="WI52" s="18"/>
      <c r="WJ52" s="18"/>
      <c r="WK52" s="18"/>
      <c r="WL52" s="18"/>
      <c r="WM52" s="18"/>
      <c r="WN52" s="18"/>
      <c r="WO52" s="18"/>
      <c r="WP52" s="18"/>
      <c r="WQ52" s="18"/>
      <c r="WR52" s="18"/>
      <c r="WS52" s="18"/>
      <c r="WT52" s="18"/>
      <c r="WU52" s="18"/>
      <c r="WV52" s="18"/>
      <c r="WW52" s="18"/>
      <c r="WX52" s="18"/>
      <c r="WY52" s="18"/>
      <c r="WZ52" s="18"/>
      <c r="XA52" s="18"/>
      <c r="XB52" s="18"/>
      <c r="XC52" s="18"/>
      <c r="XD52" s="18"/>
      <c r="XE52" s="18"/>
      <c r="XF52" s="18"/>
      <c r="XG52" s="18"/>
      <c r="XH52" s="18"/>
      <c r="XI52" s="18"/>
      <c r="XJ52" s="18"/>
      <c r="XK52" s="18"/>
      <c r="XL52" s="18"/>
      <c r="XM52" s="18"/>
      <c r="XN52" s="18"/>
      <c r="XO52" s="18"/>
      <c r="XP52" s="18"/>
      <c r="XQ52" s="18"/>
      <c r="XR52" s="18"/>
      <c r="XS52" s="18"/>
      <c r="XT52" s="18"/>
      <c r="XU52" s="18"/>
      <c r="XV52" s="18"/>
      <c r="XW52" s="18"/>
      <c r="XX52" s="18"/>
      <c r="XY52" s="18"/>
      <c r="XZ52" s="18"/>
      <c r="YA52" s="18"/>
      <c r="YB52" s="18"/>
      <c r="YC52" s="18"/>
      <c r="YD52" s="18"/>
      <c r="YE52" s="18"/>
      <c r="YF52" s="18"/>
      <c r="YG52" s="18"/>
      <c r="YH52" s="18"/>
      <c r="YI52" s="18"/>
      <c r="YJ52" s="18"/>
      <c r="YK52" s="18"/>
      <c r="YL52" s="18"/>
      <c r="YM52" s="18"/>
      <c r="YN52" s="18"/>
      <c r="YO52" s="18"/>
      <c r="YP52" s="18"/>
      <c r="YQ52" s="18"/>
      <c r="YR52" s="18"/>
      <c r="YS52" s="18"/>
      <c r="YT52" s="18"/>
      <c r="YU52" s="18"/>
      <c r="YV52" s="18"/>
      <c r="YW52" s="18"/>
      <c r="YX52" s="18"/>
      <c r="YY52" s="18"/>
      <c r="YZ52" s="18"/>
      <c r="ZA52" s="18"/>
      <c r="ZB52" s="18"/>
      <c r="ZC52" s="18"/>
      <c r="ZD52" s="18"/>
      <c r="ZE52" s="18"/>
      <c r="ZF52" s="18"/>
      <c r="ZG52" s="18"/>
      <c r="ZH52" s="18"/>
      <c r="ZI52" s="18"/>
      <c r="ZJ52" s="18"/>
      <c r="ZK52" s="18"/>
      <c r="ZL52" s="18"/>
      <c r="ZM52" s="18"/>
      <c r="ZN52" s="18"/>
      <c r="ZO52" s="18"/>
      <c r="ZP52" s="18"/>
      <c r="ZQ52" s="18"/>
      <c r="ZR52" s="18"/>
      <c r="ZS52" s="18"/>
      <c r="ZT52" s="18"/>
      <c r="ZU52" s="18"/>
      <c r="ZV52" s="18"/>
      <c r="ZW52" s="18"/>
      <c r="ZX52" s="18"/>
      <c r="ZY52" s="18"/>
      <c r="ZZ52" s="18"/>
      <c r="AAA52" s="18"/>
      <c r="AAB52" s="18"/>
      <c r="AAC52" s="18"/>
      <c r="AAD52" s="18"/>
      <c r="AAE52" s="18"/>
      <c r="AAF52" s="18"/>
      <c r="AAG52" s="18"/>
      <c r="AAH52" s="18"/>
      <c r="AAI52" s="18"/>
      <c r="AAJ52" s="18"/>
      <c r="AAK52" s="18"/>
      <c r="AAL52" s="18"/>
      <c r="AAM52" s="18"/>
      <c r="AAN52" s="18"/>
      <c r="AAO52" s="18"/>
      <c r="AAP52" s="18"/>
      <c r="AAQ52" s="18"/>
      <c r="AAR52" s="18"/>
      <c r="AAS52" s="18"/>
      <c r="AAT52" s="18"/>
      <c r="AAU52" s="18"/>
      <c r="AAV52" s="18"/>
      <c r="AAW52" s="18"/>
      <c r="AAX52" s="18"/>
      <c r="AAY52" s="18"/>
      <c r="AAZ52" s="18"/>
      <c r="ABA52" s="18"/>
      <c r="ABB52" s="18"/>
      <c r="ABC52" s="18"/>
      <c r="ABD52" s="18"/>
      <c r="ABE52" s="18"/>
      <c r="ABF52" s="18"/>
      <c r="ABG52" s="18"/>
      <c r="ABH52" s="18"/>
      <c r="ABI52" s="18"/>
      <c r="ABJ52" s="18"/>
      <c r="ABK52" s="18"/>
      <c r="ABL52" s="18"/>
      <c r="ABM52" s="18"/>
      <c r="ABN52" s="18"/>
      <c r="ABO52" s="18"/>
      <c r="ABP52" s="18"/>
      <c r="ABQ52" s="18"/>
      <c r="ABR52" s="18"/>
      <c r="ABS52" s="18"/>
      <c r="ABT52" s="18"/>
      <c r="ABU52" s="18"/>
      <c r="ABV52" s="18"/>
      <c r="ABW52" s="18"/>
      <c r="ABX52" s="18"/>
      <c r="ABY52" s="18"/>
      <c r="ABZ52" s="18"/>
      <c r="ACA52" s="18"/>
      <c r="ACB52" s="18"/>
      <c r="ACC52" s="18"/>
      <c r="ACD52" s="18"/>
      <c r="ACE52" s="18"/>
      <c r="ACF52" s="18"/>
      <c r="ACG52" s="18"/>
      <c r="ACH52" s="18"/>
      <c r="ACI52" s="18"/>
      <c r="ACJ52" s="18"/>
      <c r="ACK52" s="18"/>
      <c r="ACL52" s="18"/>
      <c r="ACM52" s="18"/>
      <c r="ACN52" s="18"/>
      <c r="ACO52" s="18"/>
      <c r="ACP52" s="18"/>
      <c r="ACQ52" s="18"/>
      <c r="ACR52" s="18"/>
      <c r="ACS52" s="18"/>
      <c r="ACT52" s="18"/>
      <c r="ACU52" s="18"/>
      <c r="ACV52" s="18"/>
      <c r="ACW52" s="18"/>
      <c r="ACX52" s="18"/>
      <c r="ACY52" s="18"/>
      <c r="ACZ52" s="18"/>
      <c r="ADA52" s="18"/>
      <c r="ADB52" s="18"/>
      <c r="ADC52" s="18"/>
      <c r="ADD52" s="18"/>
      <c r="ADE52" s="18"/>
      <c r="ADF52" s="18"/>
      <c r="ADG52" s="18"/>
      <c r="ADH52" s="18"/>
      <c r="ADI52" s="18"/>
      <c r="ADJ52" s="18"/>
      <c r="ADK52" s="18"/>
      <c r="ADL52" s="18"/>
      <c r="ADM52" s="18"/>
      <c r="ADN52" s="18"/>
      <c r="ADO52" s="18"/>
      <c r="ADP52" s="18"/>
      <c r="ADQ52" s="18"/>
      <c r="ADR52" s="18"/>
      <c r="ADS52" s="18"/>
      <c r="ADT52" s="18"/>
      <c r="ADU52" s="18"/>
      <c r="ADV52" s="18"/>
      <c r="ADW52" s="18"/>
      <c r="ADX52" s="18"/>
      <c r="ADY52" s="18"/>
      <c r="ADZ52" s="18"/>
      <c r="AEA52" s="18"/>
      <c r="AEB52" s="18"/>
      <c r="AEC52" s="18"/>
      <c r="AED52" s="18"/>
      <c r="AEE52" s="18"/>
      <c r="AEF52" s="18"/>
      <c r="AEG52" s="18"/>
      <c r="AEH52" s="18"/>
      <c r="AEI52" s="18"/>
      <c r="AEJ52" s="18"/>
      <c r="AEK52" s="18"/>
      <c r="AEL52" s="18"/>
      <c r="AEM52" s="18"/>
      <c r="AEN52" s="18"/>
      <c r="AEO52" s="18"/>
      <c r="AEP52" s="18"/>
      <c r="AEQ52" s="18"/>
      <c r="AER52" s="18"/>
      <c r="AES52" s="18"/>
      <c r="AET52" s="18"/>
      <c r="AEU52" s="18"/>
      <c r="AEV52" s="18"/>
      <c r="AEW52" s="18"/>
      <c r="AEX52" s="18"/>
      <c r="AEY52" s="18"/>
      <c r="AEZ52" s="18"/>
      <c r="AFA52" s="18"/>
      <c r="AFB52" s="18"/>
      <c r="AFC52" s="18"/>
      <c r="AFD52" s="18"/>
      <c r="AFE52" s="18"/>
      <c r="AFF52" s="18"/>
      <c r="AFG52" s="18"/>
      <c r="AFH52" s="18"/>
      <c r="AFI52" s="18"/>
      <c r="AFJ52" s="18"/>
      <c r="AFK52" s="18"/>
      <c r="AFL52" s="18"/>
      <c r="AFM52" s="18"/>
      <c r="AFN52" s="18"/>
      <c r="AFO52" s="18"/>
      <c r="AFP52" s="18"/>
      <c r="AFQ52" s="18"/>
      <c r="AFR52" s="18"/>
      <c r="AFS52" s="18"/>
      <c r="AFT52" s="18"/>
      <c r="AFU52" s="18"/>
      <c r="AFV52" s="18"/>
      <c r="AFW52" s="18"/>
      <c r="AFX52" s="18"/>
      <c r="AFY52" s="18"/>
      <c r="AFZ52" s="18"/>
      <c r="AGA52" s="18"/>
      <c r="AGB52" s="18"/>
      <c r="AGC52" s="18"/>
      <c r="AGD52" s="18"/>
      <c r="AGE52" s="18"/>
      <c r="AGF52" s="18"/>
      <c r="AGG52" s="18"/>
      <c r="AGH52" s="18"/>
      <c r="AGI52" s="18"/>
      <c r="AGJ52" s="18"/>
      <c r="AGK52" s="18"/>
      <c r="AGL52" s="18"/>
      <c r="AGM52" s="18"/>
      <c r="AGN52" s="18"/>
      <c r="AGO52" s="18"/>
      <c r="AGP52" s="18"/>
      <c r="AGQ52" s="18"/>
      <c r="AGR52" s="18"/>
      <c r="AGS52" s="18"/>
      <c r="AGT52" s="18"/>
      <c r="AGU52" s="18"/>
      <c r="AGV52" s="18"/>
      <c r="AGW52" s="18"/>
      <c r="AGX52" s="18"/>
      <c r="AGY52" s="18"/>
      <c r="AGZ52" s="18"/>
      <c r="AHA52" s="18"/>
      <c r="AHB52" s="18"/>
      <c r="AHC52" s="18"/>
      <c r="AHD52" s="18"/>
      <c r="AHE52" s="18"/>
      <c r="AHF52" s="18"/>
      <c r="AHG52" s="18"/>
      <c r="AHH52" s="18"/>
      <c r="AHI52" s="18"/>
      <c r="AHJ52" s="18"/>
      <c r="AHK52" s="18"/>
      <c r="AHL52" s="18"/>
      <c r="AHM52" s="18"/>
      <c r="AHN52" s="18"/>
      <c r="AHO52" s="18"/>
      <c r="AHP52" s="18"/>
      <c r="AHQ52" s="18"/>
      <c r="AHR52" s="18"/>
      <c r="AHS52" s="18"/>
      <c r="AHT52" s="18"/>
      <c r="AHU52" s="18"/>
      <c r="AHV52" s="18"/>
      <c r="AHW52" s="18"/>
      <c r="AHX52" s="18"/>
      <c r="AHY52" s="18"/>
      <c r="AHZ52" s="18"/>
      <c r="AIA52" s="18"/>
      <c r="AIB52" s="18"/>
      <c r="AIC52" s="18"/>
      <c r="AID52" s="18"/>
      <c r="AIE52" s="18"/>
      <c r="AIF52" s="18"/>
      <c r="AIG52" s="18"/>
      <c r="AIH52" s="18"/>
      <c r="AII52" s="18"/>
      <c r="AIJ52" s="18"/>
      <c r="AIK52" s="18"/>
      <c r="AIL52" s="18"/>
      <c r="AIM52" s="18"/>
      <c r="AIN52" s="18"/>
      <c r="AIO52" s="18"/>
      <c r="AIP52" s="18"/>
      <c r="AIQ52" s="18"/>
      <c r="AIR52" s="18"/>
      <c r="AIS52" s="18"/>
      <c r="AIT52" s="18"/>
      <c r="AIU52" s="18"/>
      <c r="AIV52" s="18"/>
      <c r="AIW52" s="18"/>
      <c r="AIX52" s="18"/>
      <c r="AIY52" s="18"/>
      <c r="AIZ52" s="18"/>
      <c r="AJA52" s="18"/>
      <c r="AJB52" s="18"/>
      <c r="AJC52" s="18"/>
      <c r="AJD52" s="18"/>
      <c r="AJE52" s="18"/>
      <c r="AJF52" s="18"/>
      <c r="AJG52" s="18"/>
      <c r="AJH52" s="18"/>
      <c r="AJI52" s="18"/>
      <c r="AJJ52" s="18"/>
      <c r="AJK52" s="18"/>
      <c r="AJL52" s="18"/>
      <c r="AJM52" s="18"/>
      <c r="AJN52" s="18"/>
      <c r="AJO52" s="18"/>
      <c r="AJP52" s="18"/>
      <c r="AJQ52" s="18"/>
      <c r="AJR52" s="18"/>
      <c r="AJS52" s="18"/>
      <c r="AJT52" s="18"/>
      <c r="AJU52" s="18"/>
      <c r="AJV52" s="18"/>
      <c r="AJW52" s="18"/>
      <c r="AJX52" s="18"/>
      <c r="AJY52" s="18"/>
      <c r="AJZ52" s="18"/>
      <c r="AKA52" s="18"/>
      <c r="AKB52" s="18"/>
      <c r="AKC52" s="18"/>
      <c r="AKD52" s="18"/>
      <c r="AKE52" s="18"/>
      <c r="AKF52" s="18"/>
      <c r="AKG52" s="18"/>
      <c r="AKH52" s="18"/>
      <c r="AKI52" s="18"/>
      <c r="AKJ52" s="18"/>
      <c r="AKK52" s="18"/>
      <c r="AKL52" s="18"/>
      <c r="AKM52" s="18"/>
      <c r="AKN52" s="18"/>
      <c r="AKO52" s="18"/>
      <c r="AKP52" s="18"/>
      <c r="AKQ52" s="18"/>
      <c r="AKR52" s="18"/>
      <c r="AKS52" s="18"/>
      <c r="AKT52" s="18"/>
      <c r="AKU52" s="18"/>
      <c r="AKV52" s="18"/>
      <c r="AKW52" s="18"/>
      <c r="AKX52" s="18"/>
      <c r="AKY52" s="18"/>
      <c r="AKZ52" s="18"/>
      <c r="ALA52" s="18"/>
      <c r="ALB52" s="18"/>
      <c r="ALC52" s="18"/>
      <c r="ALD52" s="18"/>
      <c r="ALE52" s="18"/>
      <c r="ALF52" s="18"/>
      <c r="ALG52" s="18"/>
      <c r="ALH52" s="18"/>
      <c r="ALI52" s="18"/>
      <c r="ALJ52" s="18"/>
      <c r="ALK52" s="18"/>
      <c r="ALL52" s="18"/>
      <c r="ALM52" s="18"/>
      <c r="ALN52" s="18"/>
      <c r="ALO52" s="18"/>
      <c r="ALP52" s="18"/>
      <c r="ALQ52" s="18"/>
      <c r="ALR52" s="18"/>
      <c r="ALS52" s="18"/>
      <c r="ALT52" s="18"/>
    </row>
    <row r="53" spans="1:1008">
      <c r="A53" s="251" t="s">
        <v>6307</v>
      </c>
      <c r="B53" s="290">
        <v>788</v>
      </c>
      <c r="C53" s="278" t="str">
        <f>(IF($A53="SINAPI",INDEX(SINAPI_NOV2020_NDES!$A$7:$H$6703,MATCH($B53,SINAPI_NOV2020_NDES!$A$7:$A$6703,0),2),IF($A53="GOINFRA",INDEX(#REF!,MATCH($B53,#REF!,0),2),(INDEX(COMPOS!$A$4:$G$390,MATCH($B53,COMPOS!$A$4:A$390,0),2)))))</f>
        <v>ACABAMENTO PARA REGISTRO DE GAVETA 3/4"</v>
      </c>
      <c r="D53" s="274" t="str">
        <f>(IF($A53="SINAPI",INDEX(SINAPI_NOV2020_NDES!$A$7:$H$6790,MATCH($B53,SINAPI_NOV2020_NDES!$A$7:$A$6790,0),3),(INDEX(COMPOS!$A$4:$G$5000,MATCH($B53,COMPOS!$A$4:$A$5000,0),3))))</f>
        <v>UN</v>
      </c>
      <c r="E53" s="314">
        <v>17</v>
      </c>
      <c r="F53" s="279">
        <f>(IF($A53="SINAPI",INDEX(SINAPI_NOV2020_NDES!$A$7:$H$6703,MATCH($B53,SINAPI_NOV2020_NDES!$A$7:$A$6703,0),5),(INDEX(COMPOS!$A$4:$G$801,MATCH($B53,COMPOS!$A$4:A$801,0),4))))</f>
        <v>2.9952000000000001</v>
      </c>
      <c r="G53" s="280">
        <f>(IF($A53="SINAPI",INDEX(SINAPI_NOV2020_NDES!$A$7:$H$6703,MATCH($B53,SINAPI_NOV2020_NDES!$A$7:$A$6703,0),6),(INDEX(COMPOS!$A$4:$G$801,MATCH($B53,COMPOS!$A$4:A$801,0),5))))</f>
        <v>18.329999999999998</v>
      </c>
      <c r="H53" s="280">
        <f>(IF($A53="SINAPI",INDEX(SINAPI_NOV2020_NDES!$A$7:$H$6703,MATCH($B53,SINAPI_NOV2020_NDES!$A$7:$A$6703,0),7),(INDEX(COMPOS!$A$4:$G$801,MATCH($B53,COMPOS!$A$4:A$801,0),6))))</f>
        <v>0</v>
      </c>
      <c r="I53" s="279">
        <f t="shared" si="12"/>
        <v>21.325199999999999</v>
      </c>
      <c r="J53" s="276">
        <f t="shared" si="13"/>
        <v>362.52839999999998</v>
      </c>
      <c r="K53" s="191"/>
      <c r="L53" s="191"/>
      <c r="M53" s="191"/>
      <c r="N53" s="191"/>
      <c r="O53" s="262"/>
      <c r="P53" s="263"/>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c r="EF53" s="18"/>
      <c r="EG53" s="18"/>
      <c r="EH53" s="18"/>
      <c r="EI53" s="18"/>
      <c r="EJ53" s="18"/>
      <c r="EK53" s="18"/>
      <c r="EL53" s="18"/>
      <c r="EM53" s="18"/>
      <c r="EN53" s="18"/>
      <c r="EO53" s="18"/>
      <c r="EP53" s="18"/>
      <c r="EQ53" s="18"/>
      <c r="ER53" s="18"/>
      <c r="ES53" s="18"/>
      <c r="ET53" s="18"/>
      <c r="EU53" s="18"/>
      <c r="EV53" s="18"/>
      <c r="EW53" s="18"/>
      <c r="EX53" s="18"/>
      <c r="EY53" s="18"/>
      <c r="EZ53" s="18"/>
      <c r="FA53" s="18"/>
      <c r="FB53" s="18"/>
      <c r="FC53" s="18"/>
      <c r="FD53" s="18"/>
      <c r="FE53" s="18"/>
      <c r="FF53" s="18"/>
      <c r="FG53" s="18"/>
      <c r="FH53" s="18"/>
      <c r="FI53" s="18"/>
      <c r="FJ53" s="18"/>
      <c r="FK53" s="18"/>
      <c r="FL53" s="18"/>
      <c r="FM53" s="18"/>
      <c r="FN53" s="18"/>
      <c r="FO53" s="18"/>
      <c r="FP53" s="18"/>
      <c r="FQ53" s="18"/>
      <c r="FR53" s="18"/>
      <c r="FS53" s="18"/>
      <c r="FT53" s="18"/>
      <c r="FU53" s="18"/>
      <c r="FV53" s="18"/>
      <c r="FW53" s="18"/>
      <c r="FX53" s="18"/>
      <c r="FY53" s="18"/>
      <c r="FZ53" s="18"/>
      <c r="GA53" s="18"/>
      <c r="GB53" s="18"/>
      <c r="GC53" s="18"/>
      <c r="GD53" s="18"/>
      <c r="GE53" s="18"/>
      <c r="GF53" s="18"/>
      <c r="GG53" s="18"/>
      <c r="GH53" s="18"/>
      <c r="GI53" s="18"/>
      <c r="GJ53" s="18"/>
      <c r="GK53" s="18"/>
      <c r="GL53" s="18"/>
      <c r="GM53" s="18"/>
      <c r="GN53" s="18"/>
      <c r="GO53" s="18"/>
      <c r="GP53" s="18"/>
      <c r="GQ53" s="18"/>
      <c r="GR53" s="18"/>
      <c r="GS53" s="18"/>
      <c r="GT53" s="18"/>
      <c r="GU53" s="18"/>
      <c r="GV53" s="18"/>
      <c r="GW53" s="18"/>
      <c r="GX53" s="18"/>
      <c r="GY53" s="18"/>
      <c r="GZ53" s="18"/>
      <c r="HA53" s="18"/>
      <c r="HB53" s="18"/>
      <c r="HC53" s="18"/>
      <c r="HD53" s="18"/>
      <c r="HE53" s="18"/>
      <c r="HF53" s="18"/>
      <c r="HG53" s="18"/>
      <c r="HH53" s="18"/>
      <c r="HI53" s="18"/>
      <c r="HJ53" s="18"/>
      <c r="HK53" s="18"/>
      <c r="HL53" s="18"/>
      <c r="HM53" s="18"/>
      <c r="HN53" s="18"/>
      <c r="HO53" s="18"/>
      <c r="HP53" s="18"/>
      <c r="HQ53" s="18"/>
      <c r="HR53" s="18"/>
      <c r="HS53" s="18"/>
      <c r="HT53" s="18"/>
      <c r="HU53" s="18"/>
      <c r="HV53" s="18"/>
      <c r="HW53" s="18"/>
      <c r="HX53" s="18"/>
      <c r="HY53" s="18"/>
      <c r="HZ53" s="18"/>
      <c r="IA53" s="18"/>
      <c r="IB53" s="18"/>
      <c r="IC53" s="18"/>
      <c r="ID53" s="18"/>
      <c r="IE53" s="18"/>
      <c r="IF53" s="18"/>
      <c r="IG53" s="18"/>
      <c r="IH53" s="18"/>
      <c r="II53" s="18"/>
      <c r="IJ53" s="18"/>
      <c r="IK53" s="18"/>
      <c r="IL53" s="18"/>
      <c r="IM53" s="18"/>
      <c r="IN53" s="18"/>
      <c r="IO53" s="18"/>
      <c r="IP53" s="18"/>
      <c r="IQ53" s="18"/>
      <c r="IR53" s="18"/>
      <c r="IS53" s="18"/>
      <c r="IT53" s="18"/>
      <c r="IU53" s="18"/>
      <c r="IV53" s="18"/>
      <c r="IW53" s="18"/>
      <c r="IX53" s="18"/>
      <c r="IY53" s="18"/>
      <c r="IZ53" s="18"/>
      <c r="JA53" s="18"/>
      <c r="JB53" s="18"/>
      <c r="JC53" s="18"/>
      <c r="JD53" s="18"/>
      <c r="JE53" s="18"/>
      <c r="JF53" s="18"/>
      <c r="JG53" s="18"/>
      <c r="JH53" s="18"/>
      <c r="JI53" s="18"/>
      <c r="JJ53" s="18"/>
      <c r="JK53" s="18"/>
      <c r="JL53" s="18"/>
      <c r="JM53" s="18"/>
      <c r="JN53" s="18"/>
      <c r="JO53" s="18"/>
      <c r="JP53" s="18"/>
      <c r="JQ53" s="18"/>
      <c r="JR53" s="18"/>
      <c r="JS53" s="18"/>
      <c r="JT53" s="18"/>
      <c r="JU53" s="18"/>
      <c r="JV53" s="18"/>
      <c r="JW53" s="18"/>
      <c r="JX53" s="18"/>
      <c r="JY53" s="18"/>
      <c r="JZ53" s="18"/>
      <c r="KA53" s="18"/>
      <c r="KB53" s="18"/>
      <c r="KC53" s="18"/>
      <c r="KD53" s="18"/>
      <c r="KE53" s="18"/>
      <c r="KF53" s="18"/>
      <c r="KG53" s="18"/>
      <c r="KH53" s="18"/>
      <c r="KI53" s="18"/>
      <c r="KJ53" s="18"/>
      <c r="KK53" s="18"/>
      <c r="KL53" s="18"/>
      <c r="KM53" s="18"/>
      <c r="KN53" s="18"/>
      <c r="KO53" s="18"/>
      <c r="KP53" s="18"/>
      <c r="KQ53" s="18"/>
      <c r="KR53" s="18"/>
      <c r="KS53" s="18"/>
      <c r="KT53" s="18"/>
      <c r="KU53" s="18"/>
      <c r="KV53" s="18"/>
      <c r="KW53" s="18"/>
      <c r="KX53" s="18"/>
      <c r="KY53" s="18"/>
      <c r="KZ53" s="18"/>
      <c r="LA53" s="18"/>
      <c r="LB53" s="18"/>
      <c r="LC53" s="18"/>
      <c r="LD53" s="18"/>
      <c r="LE53" s="18"/>
      <c r="LF53" s="18"/>
      <c r="LG53" s="18"/>
      <c r="LH53" s="18"/>
      <c r="LI53" s="18"/>
      <c r="LJ53" s="18"/>
      <c r="LK53" s="18"/>
      <c r="LL53" s="18"/>
      <c r="LM53" s="18"/>
      <c r="LN53" s="18"/>
      <c r="LO53" s="18"/>
      <c r="LP53" s="18"/>
      <c r="LQ53" s="18"/>
      <c r="LR53" s="18"/>
      <c r="LS53" s="18"/>
      <c r="LT53" s="18"/>
      <c r="LU53" s="18"/>
      <c r="LV53" s="18"/>
      <c r="LW53" s="18"/>
      <c r="LX53" s="18"/>
      <c r="LY53" s="18"/>
      <c r="LZ53" s="18"/>
      <c r="MA53" s="18"/>
      <c r="MB53" s="18"/>
      <c r="MC53" s="18"/>
      <c r="MD53" s="18"/>
      <c r="ME53" s="18"/>
      <c r="MF53" s="18"/>
      <c r="MG53" s="18"/>
      <c r="MH53" s="18"/>
      <c r="MI53" s="18"/>
      <c r="MJ53" s="18"/>
      <c r="MK53" s="18"/>
      <c r="ML53" s="18"/>
      <c r="MM53" s="18"/>
      <c r="MN53" s="18"/>
      <c r="MO53" s="18"/>
      <c r="MP53" s="18"/>
      <c r="MQ53" s="18"/>
      <c r="MR53" s="18"/>
      <c r="MS53" s="18"/>
      <c r="MT53" s="18"/>
      <c r="MU53" s="18"/>
      <c r="MV53" s="18"/>
      <c r="MW53" s="18"/>
      <c r="MX53" s="18"/>
      <c r="MY53" s="18"/>
      <c r="MZ53" s="18"/>
      <c r="NA53" s="18"/>
      <c r="NB53" s="18"/>
      <c r="NC53" s="18"/>
      <c r="ND53" s="18"/>
      <c r="NE53" s="18"/>
      <c r="NF53" s="18"/>
      <c r="NG53" s="18"/>
      <c r="NH53" s="18"/>
      <c r="NI53" s="18"/>
      <c r="NJ53" s="18"/>
      <c r="NK53" s="18"/>
      <c r="NL53" s="18"/>
      <c r="NM53" s="18"/>
      <c r="NN53" s="18"/>
      <c r="NO53" s="18"/>
      <c r="NP53" s="18"/>
      <c r="NQ53" s="18"/>
      <c r="NR53" s="18"/>
      <c r="NS53" s="18"/>
      <c r="NT53" s="18"/>
      <c r="NU53" s="18"/>
      <c r="NV53" s="18"/>
      <c r="NW53" s="18"/>
      <c r="NX53" s="18"/>
      <c r="NY53" s="18"/>
      <c r="NZ53" s="18"/>
      <c r="OA53" s="18"/>
      <c r="OB53" s="18"/>
      <c r="OC53" s="18"/>
      <c r="OD53" s="18"/>
      <c r="OE53" s="18"/>
      <c r="OF53" s="18"/>
      <c r="OG53" s="18"/>
      <c r="OH53" s="18"/>
      <c r="OI53" s="18"/>
      <c r="OJ53" s="18"/>
      <c r="OK53" s="18"/>
      <c r="OL53" s="18"/>
      <c r="OM53" s="18"/>
      <c r="ON53" s="18"/>
      <c r="OO53" s="18"/>
      <c r="OP53" s="18"/>
      <c r="OQ53" s="18"/>
      <c r="OR53" s="18"/>
      <c r="OS53" s="18"/>
      <c r="OT53" s="18"/>
      <c r="OU53" s="18"/>
      <c r="OV53" s="18"/>
      <c r="OW53" s="18"/>
      <c r="OX53" s="18"/>
      <c r="OY53" s="18"/>
      <c r="OZ53" s="18"/>
      <c r="PA53" s="18"/>
      <c r="PB53" s="18"/>
      <c r="PC53" s="18"/>
      <c r="PD53" s="18"/>
      <c r="PE53" s="18"/>
      <c r="PF53" s="18"/>
      <c r="PG53" s="18"/>
      <c r="PH53" s="18"/>
      <c r="PI53" s="18"/>
      <c r="PJ53" s="18"/>
      <c r="PK53" s="18"/>
      <c r="PL53" s="18"/>
      <c r="PM53" s="18"/>
      <c r="PN53" s="18"/>
      <c r="PO53" s="18"/>
      <c r="PP53" s="18"/>
      <c r="PQ53" s="18"/>
      <c r="PR53" s="18"/>
      <c r="PS53" s="18"/>
      <c r="PT53" s="18"/>
      <c r="PU53" s="18"/>
      <c r="PV53" s="18"/>
      <c r="PW53" s="18"/>
      <c r="PX53" s="18"/>
      <c r="PY53" s="18"/>
      <c r="PZ53" s="18"/>
      <c r="QA53" s="18"/>
      <c r="QB53" s="18"/>
      <c r="QC53" s="18"/>
      <c r="QD53" s="18"/>
      <c r="QE53" s="18"/>
      <c r="QF53" s="18"/>
      <c r="QG53" s="18"/>
      <c r="QH53" s="18"/>
      <c r="QI53" s="18"/>
      <c r="QJ53" s="18"/>
      <c r="QK53" s="18"/>
      <c r="QL53" s="18"/>
      <c r="QM53" s="18"/>
      <c r="QN53" s="18"/>
      <c r="QO53" s="18"/>
      <c r="QP53" s="18"/>
      <c r="QQ53" s="18"/>
      <c r="QR53" s="18"/>
      <c r="QS53" s="18"/>
      <c r="QT53" s="18"/>
      <c r="QU53" s="18"/>
      <c r="QV53" s="18"/>
      <c r="QW53" s="18"/>
      <c r="QX53" s="18"/>
      <c r="QY53" s="18"/>
      <c r="QZ53" s="18"/>
      <c r="RA53" s="18"/>
      <c r="RB53" s="18"/>
      <c r="RC53" s="18"/>
      <c r="RD53" s="18"/>
      <c r="RE53" s="18"/>
      <c r="RF53" s="18"/>
      <c r="RG53" s="18"/>
      <c r="RH53" s="18"/>
      <c r="RI53" s="18"/>
      <c r="RJ53" s="18"/>
      <c r="RK53" s="18"/>
      <c r="RL53" s="18"/>
      <c r="RM53" s="18"/>
      <c r="RN53" s="18"/>
      <c r="RO53" s="18"/>
      <c r="RP53" s="18"/>
      <c r="RQ53" s="18"/>
      <c r="RR53" s="18"/>
      <c r="RS53" s="18"/>
      <c r="RT53" s="18"/>
      <c r="RU53" s="18"/>
      <c r="RV53" s="18"/>
      <c r="RW53" s="18"/>
      <c r="RX53" s="18"/>
      <c r="RY53" s="18"/>
      <c r="RZ53" s="18"/>
      <c r="SA53" s="18"/>
      <c r="SB53" s="18"/>
      <c r="SC53" s="18"/>
      <c r="SD53" s="18"/>
      <c r="SE53" s="18"/>
      <c r="SF53" s="18"/>
      <c r="SG53" s="18"/>
      <c r="SH53" s="18"/>
      <c r="SI53" s="18"/>
      <c r="SJ53" s="18"/>
      <c r="SK53" s="18"/>
      <c r="SL53" s="18"/>
      <c r="SM53" s="18"/>
      <c r="SN53" s="18"/>
      <c r="SO53" s="18"/>
      <c r="SP53" s="18"/>
      <c r="SQ53" s="18"/>
      <c r="SR53" s="18"/>
      <c r="SS53" s="18"/>
      <c r="ST53" s="18"/>
      <c r="SU53" s="18"/>
      <c r="SV53" s="18"/>
      <c r="SW53" s="18"/>
      <c r="SX53" s="18"/>
      <c r="SY53" s="18"/>
      <c r="SZ53" s="18"/>
      <c r="TA53" s="18"/>
      <c r="TB53" s="18"/>
      <c r="TC53" s="18"/>
      <c r="TD53" s="18"/>
      <c r="TE53" s="18"/>
      <c r="TF53" s="18"/>
      <c r="TG53" s="18"/>
      <c r="TH53" s="18"/>
      <c r="TI53" s="18"/>
      <c r="TJ53" s="18"/>
      <c r="TK53" s="18"/>
      <c r="TL53" s="18"/>
      <c r="TM53" s="18"/>
      <c r="TN53" s="18"/>
      <c r="TO53" s="18"/>
      <c r="TP53" s="18"/>
      <c r="TQ53" s="18"/>
      <c r="TR53" s="18"/>
      <c r="TS53" s="18"/>
      <c r="TT53" s="18"/>
      <c r="TU53" s="18"/>
      <c r="TV53" s="18"/>
      <c r="TW53" s="18"/>
      <c r="TX53" s="18"/>
      <c r="TY53" s="18"/>
      <c r="TZ53" s="18"/>
      <c r="UA53" s="18"/>
      <c r="UB53" s="18"/>
      <c r="UC53" s="18"/>
      <c r="UD53" s="18"/>
      <c r="UE53" s="18"/>
      <c r="UF53" s="18"/>
      <c r="UG53" s="18"/>
      <c r="UH53" s="18"/>
      <c r="UI53" s="18"/>
      <c r="UJ53" s="18"/>
      <c r="UK53" s="18"/>
      <c r="UL53" s="18"/>
      <c r="UM53" s="18"/>
      <c r="UN53" s="18"/>
      <c r="UO53" s="18"/>
      <c r="UP53" s="18"/>
      <c r="UQ53" s="18"/>
      <c r="UR53" s="18"/>
      <c r="US53" s="18"/>
      <c r="UT53" s="18"/>
      <c r="UU53" s="18"/>
      <c r="UV53" s="18"/>
      <c r="UW53" s="18"/>
      <c r="UX53" s="18"/>
      <c r="UY53" s="18"/>
      <c r="UZ53" s="18"/>
      <c r="VA53" s="18"/>
      <c r="VB53" s="18"/>
      <c r="VC53" s="18"/>
      <c r="VD53" s="18"/>
      <c r="VE53" s="18"/>
      <c r="VF53" s="18"/>
      <c r="VG53" s="18"/>
      <c r="VH53" s="18"/>
      <c r="VI53" s="18"/>
      <c r="VJ53" s="18"/>
      <c r="VK53" s="18"/>
      <c r="VL53" s="18"/>
      <c r="VM53" s="18"/>
      <c r="VN53" s="18"/>
      <c r="VO53" s="18"/>
      <c r="VP53" s="18"/>
      <c r="VQ53" s="18"/>
      <c r="VR53" s="18"/>
      <c r="VS53" s="18"/>
      <c r="VT53" s="18"/>
      <c r="VU53" s="18"/>
      <c r="VV53" s="18"/>
      <c r="VW53" s="18"/>
      <c r="VX53" s="18"/>
      <c r="VY53" s="18"/>
      <c r="VZ53" s="18"/>
      <c r="WA53" s="18"/>
      <c r="WB53" s="18"/>
      <c r="WC53" s="18"/>
      <c r="WD53" s="18"/>
      <c r="WE53" s="18"/>
      <c r="WF53" s="18"/>
      <c r="WG53" s="18"/>
      <c r="WH53" s="18"/>
      <c r="WI53" s="18"/>
      <c r="WJ53" s="18"/>
      <c r="WK53" s="18"/>
      <c r="WL53" s="18"/>
      <c r="WM53" s="18"/>
      <c r="WN53" s="18"/>
      <c r="WO53" s="18"/>
      <c r="WP53" s="18"/>
      <c r="WQ53" s="18"/>
      <c r="WR53" s="18"/>
      <c r="WS53" s="18"/>
      <c r="WT53" s="18"/>
      <c r="WU53" s="18"/>
      <c r="WV53" s="18"/>
      <c r="WW53" s="18"/>
      <c r="WX53" s="18"/>
      <c r="WY53" s="18"/>
      <c r="WZ53" s="18"/>
      <c r="XA53" s="18"/>
      <c r="XB53" s="18"/>
      <c r="XC53" s="18"/>
      <c r="XD53" s="18"/>
      <c r="XE53" s="18"/>
      <c r="XF53" s="18"/>
      <c r="XG53" s="18"/>
      <c r="XH53" s="18"/>
      <c r="XI53" s="18"/>
      <c r="XJ53" s="18"/>
      <c r="XK53" s="18"/>
      <c r="XL53" s="18"/>
      <c r="XM53" s="18"/>
      <c r="XN53" s="18"/>
      <c r="XO53" s="18"/>
      <c r="XP53" s="18"/>
      <c r="XQ53" s="18"/>
      <c r="XR53" s="18"/>
      <c r="XS53" s="18"/>
      <c r="XT53" s="18"/>
      <c r="XU53" s="18"/>
      <c r="XV53" s="18"/>
      <c r="XW53" s="18"/>
      <c r="XX53" s="18"/>
      <c r="XY53" s="18"/>
      <c r="XZ53" s="18"/>
      <c r="YA53" s="18"/>
      <c r="YB53" s="18"/>
      <c r="YC53" s="18"/>
      <c r="YD53" s="18"/>
      <c r="YE53" s="18"/>
      <c r="YF53" s="18"/>
      <c r="YG53" s="18"/>
      <c r="YH53" s="18"/>
      <c r="YI53" s="18"/>
      <c r="YJ53" s="18"/>
      <c r="YK53" s="18"/>
      <c r="YL53" s="18"/>
      <c r="YM53" s="18"/>
      <c r="YN53" s="18"/>
      <c r="YO53" s="18"/>
      <c r="YP53" s="18"/>
      <c r="YQ53" s="18"/>
      <c r="YR53" s="18"/>
      <c r="YS53" s="18"/>
      <c r="YT53" s="18"/>
      <c r="YU53" s="18"/>
      <c r="YV53" s="18"/>
      <c r="YW53" s="18"/>
      <c r="YX53" s="18"/>
      <c r="YY53" s="18"/>
      <c r="YZ53" s="18"/>
      <c r="ZA53" s="18"/>
      <c r="ZB53" s="18"/>
      <c r="ZC53" s="18"/>
      <c r="ZD53" s="18"/>
      <c r="ZE53" s="18"/>
      <c r="ZF53" s="18"/>
      <c r="ZG53" s="18"/>
      <c r="ZH53" s="18"/>
      <c r="ZI53" s="18"/>
      <c r="ZJ53" s="18"/>
      <c r="ZK53" s="18"/>
      <c r="ZL53" s="18"/>
      <c r="ZM53" s="18"/>
      <c r="ZN53" s="18"/>
      <c r="ZO53" s="18"/>
      <c r="ZP53" s="18"/>
      <c r="ZQ53" s="18"/>
      <c r="ZR53" s="18"/>
      <c r="ZS53" s="18"/>
      <c r="ZT53" s="18"/>
      <c r="ZU53" s="18"/>
      <c r="ZV53" s="18"/>
      <c r="ZW53" s="18"/>
      <c r="ZX53" s="18"/>
      <c r="ZY53" s="18"/>
      <c r="ZZ53" s="18"/>
      <c r="AAA53" s="18"/>
      <c r="AAB53" s="18"/>
      <c r="AAC53" s="18"/>
      <c r="AAD53" s="18"/>
      <c r="AAE53" s="18"/>
      <c r="AAF53" s="18"/>
      <c r="AAG53" s="18"/>
      <c r="AAH53" s="18"/>
      <c r="AAI53" s="18"/>
      <c r="AAJ53" s="18"/>
      <c r="AAK53" s="18"/>
      <c r="AAL53" s="18"/>
      <c r="AAM53" s="18"/>
      <c r="AAN53" s="18"/>
      <c r="AAO53" s="18"/>
      <c r="AAP53" s="18"/>
      <c r="AAQ53" s="18"/>
      <c r="AAR53" s="18"/>
      <c r="AAS53" s="18"/>
      <c r="AAT53" s="18"/>
      <c r="AAU53" s="18"/>
      <c r="AAV53" s="18"/>
      <c r="AAW53" s="18"/>
      <c r="AAX53" s="18"/>
      <c r="AAY53" s="18"/>
      <c r="AAZ53" s="18"/>
      <c r="ABA53" s="18"/>
      <c r="ABB53" s="18"/>
      <c r="ABC53" s="18"/>
      <c r="ABD53" s="18"/>
      <c r="ABE53" s="18"/>
      <c r="ABF53" s="18"/>
      <c r="ABG53" s="18"/>
      <c r="ABH53" s="18"/>
      <c r="ABI53" s="18"/>
      <c r="ABJ53" s="18"/>
      <c r="ABK53" s="18"/>
      <c r="ABL53" s="18"/>
      <c r="ABM53" s="18"/>
      <c r="ABN53" s="18"/>
      <c r="ABO53" s="18"/>
      <c r="ABP53" s="18"/>
      <c r="ABQ53" s="18"/>
      <c r="ABR53" s="18"/>
      <c r="ABS53" s="18"/>
      <c r="ABT53" s="18"/>
      <c r="ABU53" s="18"/>
      <c r="ABV53" s="18"/>
      <c r="ABW53" s="18"/>
      <c r="ABX53" s="18"/>
      <c r="ABY53" s="18"/>
      <c r="ABZ53" s="18"/>
      <c r="ACA53" s="18"/>
      <c r="ACB53" s="18"/>
      <c r="ACC53" s="18"/>
      <c r="ACD53" s="18"/>
      <c r="ACE53" s="18"/>
      <c r="ACF53" s="18"/>
      <c r="ACG53" s="18"/>
      <c r="ACH53" s="18"/>
      <c r="ACI53" s="18"/>
      <c r="ACJ53" s="18"/>
      <c r="ACK53" s="18"/>
      <c r="ACL53" s="18"/>
      <c r="ACM53" s="18"/>
      <c r="ACN53" s="18"/>
      <c r="ACO53" s="18"/>
      <c r="ACP53" s="18"/>
      <c r="ACQ53" s="18"/>
      <c r="ACR53" s="18"/>
      <c r="ACS53" s="18"/>
      <c r="ACT53" s="18"/>
      <c r="ACU53" s="18"/>
      <c r="ACV53" s="18"/>
      <c r="ACW53" s="18"/>
      <c r="ACX53" s="18"/>
      <c r="ACY53" s="18"/>
      <c r="ACZ53" s="18"/>
      <c r="ADA53" s="18"/>
      <c r="ADB53" s="18"/>
      <c r="ADC53" s="18"/>
      <c r="ADD53" s="18"/>
      <c r="ADE53" s="18"/>
      <c r="ADF53" s="18"/>
      <c r="ADG53" s="18"/>
      <c r="ADH53" s="18"/>
      <c r="ADI53" s="18"/>
      <c r="ADJ53" s="18"/>
      <c r="ADK53" s="18"/>
      <c r="ADL53" s="18"/>
      <c r="ADM53" s="18"/>
      <c r="ADN53" s="18"/>
      <c r="ADO53" s="18"/>
      <c r="ADP53" s="18"/>
      <c r="ADQ53" s="18"/>
      <c r="ADR53" s="18"/>
      <c r="ADS53" s="18"/>
      <c r="ADT53" s="18"/>
      <c r="ADU53" s="18"/>
      <c r="ADV53" s="18"/>
      <c r="ADW53" s="18"/>
      <c r="ADX53" s="18"/>
      <c r="ADY53" s="18"/>
      <c r="ADZ53" s="18"/>
      <c r="AEA53" s="18"/>
      <c r="AEB53" s="18"/>
      <c r="AEC53" s="18"/>
      <c r="AED53" s="18"/>
      <c r="AEE53" s="18"/>
      <c r="AEF53" s="18"/>
      <c r="AEG53" s="18"/>
      <c r="AEH53" s="18"/>
      <c r="AEI53" s="18"/>
      <c r="AEJ53" s="18"/>
      <c r="AEK53" s="18"/>
      <c r="AEL53" s="18"/>
      <c r="AEM53" s="18"/>
      <c r="AEN53" s="18"/>
      <c r="AEO53" s="18"/>
      <c r="AEP53" s="18"/>
      <c r="AEQ53" s="18"/>
      <c r="AER53" s="18"/>
      <c r="AES53" s="18"/>
      <c r="AET53" s="18"/>
      <c r="AEU53" s="18"/>
      <c r="AEV53" s="18"/>
      <c r="AEW53" s="18"/>
      <c r="AEX53" s="18"/>
      <c r="AEY53" s="18"/>
      <c r="AEZ53" s="18"/>
      <c r="AFA53" s="18"/>
      <c r="AFB53" s="18"/>
      <c r="AFC53" s="18"/>
      <c r="AFD53" s="18"/>
      <c r="AFE53" s="18"/>
      <c r="AFF53" s="18"/>
      <c r="AFG53" s="18"/>
      <c r="AFH53" s="18"/>
      <c r="AFI53" s="18"/>
      <c r="AFJ53" s="18"/>
      <c r="AFK53" s="18"/>
      <c r="AFL53" s="18"/>
      <c r="AFM53" s="18"/>
      <c r="AFN53" s="18"/>
      <c r="AFO53" s="18"/>
      <c r="AFP53" s="18"/>
      <c r="AFQ53" s="18"/>
      <c r="AFR53" s="18"/>
      <c r="AFS53" s="18"/>
      <c r="AFT53" s="18"/>
      <c r="AFU53" s="18"/>
      <c r="AFV53" s="18"/>
      <c r="AFW53" s="18"/>
      <c r="AFX53" s="18"/>
      <c r="AFY53" s="18"/>
      <c r="AFZ53" s="18"/>
      <c r="AGA53" s="18"/>
      <c r="AGB53" s="18"/>
      <c r="AGC53" s="18"/>
      <c r="AGD53" s="18"/>
      <c r="AGE53" s="18"/>
      <c r="AGF53" s="18"/>
      <c r="AGG53" s="18"/>
      <c r="AGH53" s="18"/>
      <c r="AGI53" s="18"/>
      <c r="AGJ53" s="18"/>
      <c r="AGK53" s="18"/>
      <c r="AGL53" s="18"/>
      <c r="AGM53" s="18"/>
      <c r="AGN53" s="18"/>
      <c r="AGO53" s="18"/>
      <c r="AGP53" s="18"/>
      <c r="AGQ53" s="18"/>
      <c r="AGR53" s="18"/>
      <c r="AGS53" s="18"/>
      <c r="AGT53" s="18"/>
      <c r="AGU53" s="18"/>
      <c r="AGV53" s="18"/>
      <c r="AGW53" s="18"/>
      <c r="AGX53" s="18"/>
      <c r="AGY53" s="18"/>
      <c r="AGZ53" s="18"/>
      <c r="AHA53" s="18"/>
      <c r="AHB53" s="18"/>
      <c r="AHC53" s="18"/>
      <c r="AHD53" s="18"/>
      <c r="AHE53" s="18"/>
      <c r="AHF53" s="18"/>
      <c r="AHG53" s="18"/>
      <c r="AHH53" s="18"/>
      <c r="AHI53" s="18"/>
      <c r="AHJ53" s="18"/>
      <c r="AHK53" s="18"/>
      <c r="AHL53" s="18"/>
      <c r="AHM53" s="18"/>
      <c r="AHN53" s="18"/>
      <c r="AHO53" s="18"/>
      <c r="AHP53" s="18"/>
      <c r="AHQ53" s="18"/>
      <c r="AHR53" s="18"/>
      <c r="AHS53" s="18"/>
      <c r="AHT53" s="18"/>
      <c r="AHU53" s="18"/>
      <c r="AHV53" s="18"/>
      <c r="AHW53" s="18"/>
      <c r="AHX53" s="18"/>
      <c r="AHY53" s="18"/>
      <c r="AHZ53" s="18"/>
      <c r="AIA53" s="18"/>
      <c r="AIB53" s="18"/>
      <c r="AIC53" s="18"/>
      <c r="AID53" s="18"/>
      <c r="AIE53" s="18"/>
      <c r="AIF53" s="18"/>
      <c r="AIG53" s="18"/>
      <c r="AIH53" s="18"/>
      <c r="AII53" s="18"/>
      <c r="AIJ53" s="18"/>
      <c r="AIK53" s="18"/>
      <c r="AIL53" s="18"/>
      <c r="AIM53" s="18"/>
      <c r="AIN53" s="18"/>
      <c r="AIO53" s="18"/>
      <c r="AIP53" s="18"/>
      <c r="AIQ53" s="18"/>
      <c r="AIR53" s="18"/>
      <c r="AIS53" s="18"/>
      <c r="AIT53" s="18"/>
      <c r="AIU53" s="18"/>
      <c r="AIV53" s="18"/>
      <c r="AIW53" s="18"/>
      <c r="AIX53" s="18"/>
      <c r="AIY53" s="18"/>
      <c r="AIZ53" s="18"/>
      <c r="AJA53" s="18"/>
      <c r="AJB53" s="18"/>
      <c r="AJC53" s="18"/>
      <c r="AJD53" s="18"/>
      <c r="AJE53" s="18"/>
      <c r="AJF53" s="18"/>
      <c r="AJG53" s="18"/>
      <c r="AJH53" s="18"/>
      <c r="AJI53" s="18"/>
      <c r="AJJ53" s="18"/>
      <c r="AJK53" s="18"/>
      <c r="AJL53" s="18"/>
      <c r="AJM53" s="18"/>
      <c r="AJN53" s="18"/>
      <c r="AJO53" s="18"/>
      <c r="AJP53" s="18"/>
      <c r="AJQ53" s="18"/>
      <c r="AJR53" s="18"/>
      <c r="AJS53" s="18"/>
      <c r="AJT53" s="18"/>
      <c r="AJU53" s="18"/>
      <c r="AJV53" s="18"/>
      <c r="AJW53" s="18"/>
      <c r="AJX53" s="18"/>
      <c r="AJY53" s="18"/>
      <c r="AJZ53" s="18"/>
      <c r="AKA53" s="18"/>
      <c r="AKB53" s="18"/>
      <c r="AKC53" s="18"/>
      <c r="AKD53" s="18"/>
      <c r="AKE53" s="18"/>
      <c r="AKF53" s="18"/>
      <c r="AKG53" s="18"/>
      <c r="AKH53" s="18"/>
      <c r="AKI53" s="18"/>
      <c r="AKJ53" s="18"/>
      <c r="AKK53" s="18"/>
      <c r="AKL53" s="18"/>
      <c r="AKM53" s="18"/>
      <c r="AKN53" s="18"/>
      <c r="AKO53" s="18"/>
      <c r="AKP53" s="18"/>
      <c r="AKQ53" s="18"/>
      <c r="AKR53" s="18"/>
      <c r="AKS53" s="18"/>
      <c r="AKT53" s="18"/>
      <c r="AKU53" s="18"/>
      <c r="AKV53" s="18"/>
      <c r="AKW53" s="18"/>
      <c r="AKX53" s="18"/>
      <c r="AKY53" s="18"/>
      <c r="AKZ53" s="18"/>
      <c r="ALA53" s="18"/>
      <c r="ALB53" s="18"/>
      <c r="ALC53" s="18"/>
      <c r="ALD53" s="18"/>
      <c r="ALE53" s="18"/>
      <c r="ALF53" s="18"/>
      <c r="ALG53" s="18"/>
      <c r="ALH53" s="18"/>
      <c r="ALI53" s="18"/>
      <c r="ALJ53" s="18"/>
      <c r="ALK53" s="18"/>
      <c r="ALL53" s="18"/>
      <c r="ALM53" s="18"/>
      <c r="ALN53" s="18"/>
      <c r="ALO53" s="18"/>
      <c r="ALP53" s="18"/>
      <c r="ALQ53" s="18"/>
      <c r="ALR53" s="18"/>
      <c r="ALS53" s="18"/>
      <c r="ALT53" s="18"/>
    </row>
    <row r="54" spans="1:1008">
      <c r="A54" s="251" t="s">
        <v>6307</v>
      </c>
      <c r="B54" s="290">
        <v>793</v>
      </c>
      <c r="C54" s="278" t="str">
        <f>(IF($A54="SINAPI",INDEX(SINAPI_NOV2020_NDES!$A$7:$H$6703,MATCH($B54,SINAPI_NOV2020_NDES!$A$7:$A$6703,0),2),IF($A54="GOINFRA",INDEX(#REF!,MATCH($B54,#REF!,0),2),(INDEX(COMPOS!$A$4:$G$390,MATCH($B54,COMPOS!$A$4:A$390,0),2)))))</f>
        <v>ACABAMENTO PARA REGISTRO DE GAVETA 1"</v>
      </c>
      <c r="D54" s="274" t="str">
        <f>(IF($A54="SINAPI",INDEX(SINAPI_NOV2020_NDES!$A$7:$H$6790,MATCH($B54,SINAPI_NOV2020_NDES!$A$7:$A$6790,0),3),(INDEX(COMPOS!$A$4:$G$5000,MATCH($B54,COMPOS!$A$4:$A$5000,0),3))))</f>
        <v>UN</v>
      </c>
      <c r="E54" s="314">
        <v>2</v>
      </c>
      <c r="F54" s="279">
        <f>(IF($A54="SINAPI",INDEX(SINAPI_NOV2020_NDES!$A$7:$H$6703,MATCH($B54,SINAPI_NOV2020_NDES!$A$7:$A$6703,0),5),(INDEX(COMPOS!$A$4:$G$801,MATCH($B54,COMPOS!$A$4:A$801,0),4))))</f>
        <v>2.9952000000000001</v>
      </c>
      <c r="G54" s="280">
        <f>(IF($A54="SINAPI",INDEX(SINAPI_NOV2020_NDES!$A$7:$H$6703,MATCH($B54,SINAPI_NOV2020_NDES!$A$7:$A$6703,0),6),(INDEX(COMPOS!$A$4:$G$801,MATCH($B54,COMPOS!$A$4:A$801,0),5))))</f>
        <v>75.023333333333341</v>
      </c>
      <c r="H54" s="280">
        <f>(IF($A54="SINAPI",INDEX(SINAPI_NOV2020_NDES!$A$7:$H$6703,MATCH($B54,SINAPI_NOV2020_NDES!$A$7:$A$6703,0),7),(INDEX(COMPOS!$A$4:$G$801,MATCH($B54,COMPOS!$A$4:A$801,0),6))))</f>
        <v>0</v>
      </c>
      <c r="I54" s="279">
        <f t="shared" si="12"/>
        <v>78.018533333333338</v>
      </c>
      <c r="J54" s="276">
        <f t="shared" si="13"/>
        <v>156.03706666666668</v>
      </c>
      <c r="K54" s="191"/>
      <c r="L54" s="191"/>
      <c r="M54" s="191"/>
      <c r="N54" s="191"/>
      <c r="O54" s="262"/>
      <c r="P54" s="263"/>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c r="EF54" s="18"/>
      <c r="EG54" s="18"/>
      <c r="EH54" s="18"/>
      <c r="EI54" s="18"/>
      <c r="EJ54" s="18"/>
      <c r="EK54" s="18"/>
      <c r="EL54" s="18"/>
      <c r="EM54" s="18"/>
      <c r="EN54" s="18"/>
      <c r="EO54" s="18"/>
      <c r="EP54" s="18"/>
      <c r="EQ54" s="18"/>
      <c r="ER54" s="18"/>
      <c r="ES54" s="18"/>
      <c r="ET54" s="18"/>
      <c r="EU54" s="18"/>
      <c r="EV54" s="18"/>
      <c r="EW54" s="18"/>
      <c r="EX54" s="18"/>
      <c r="EY54" s="18"/>
      <c r="EZ54" s="18"/>
      <c r="FA54" s="18"/>
      <c r="FB54" s="18"/>
      <c r="FC54" s="18"/>
      <c r="FD54" s="18"/>
      <c r="FE54" s="18"/>
      <c r="FF54" s="18"/>
      <c r="FG54" s="18"/>
      <c r="FH54" s="18"/>
      <c r="FI54" s="18"/>
      <c r="FJ54" s="18"/>
      <c r="FK54" s="18"/>
      <c r="FL54" s="18"/>
      <c r="FM54" s="18"/>
      <c r="FN54" s="18"/>
      <c r="FO54" s="18"/>
      <c r="FP54" s="18"/>
      <c r="FQ54" s="18"/>
      <c r="FR54" s="18"/>
      <c r="FS54" s="18"/>
      <c r="FT54" s="18"/>
      <c r="FU54" s="18"/>
      <c r="FV54" s="18"/>
      <c r="FW54" s="18"/>
      <c r="FX54" s="18"/>
      <c r="FY54" s="18"/>
      <c r="FZ54" s="18"/>
      <c r="GA54" s="18"/>
      <c r="GB54" s="18"/>
      <c r="GC54" s="18"/>
      <c r="GD54" s="18"/>
      <c r="GE54" s="18"/>
      <c r="GF54" s="18"/>
      <c r="GG54" s="18"/>
      <c r="GH54" s="18"/>
      <c r="GI54" s="18"/>
      <c r="GJ54" s="18"/>
      <c r="GK54" s="18"/>
      <c r="GL54" s="18"/>
      <c r="GM54" s="18"/>
      <c r="GN54" s="18"/>
      <c r="GO54" s="18"/>
      <c r="GP54" s="18"/>
      <c r="GQ54" s="18"/>
      <c r="GR54" s="18"/>
      <c r="GS54" s="18"/>
      <c r="GT54" s="18"/>
      <c r="GU54" s="18"/>
      <c r="GV54" s="18"/>
      <c r="GW54" s="18"/>
      <c r="GX54" s="18"/>
      <c r="GY54" s="18"/>
      <c r="GZ54" s="18"/>
      <c r="HA54" s="18"/>
      <c r="HB54" s="18"/>
      <c r="HC54" s="18"/>
      <c r="HD54" s="18"/>
      <c r="HE54" s="18"/>
      <c r="HF54" s="18"/>
      <c r="HG54" s="18"/>
      <c r="HH54" s="18"/>
      <c r="HI54" s="18"/>
      <c r="HJ54" s="18"/>
      <c r="HK54" s="18"/>
      <c r="HL54" s="18"/>
      <c r="HM54" s="18"/>
      <c r="HN54" s="18"/>
      <c r="HO54" s="18"/>
      <c r="HP54" s="18"/>
      <c r="HQ54" s="18"/>
      <c r="HR54" s="18"/>
      <c r="HS54" s="18"/>
      <c r="HT54" s="18"/>
      <c r="HU54" s="18"/>
      <c r="HV54" s="18"/>
      <c r="HW54" s="18"/>
      <c r="HX54" s="18"/>
      <c r="HY54" s="18"/>
      <c r="HZ54" s="18"/>
      <c r="IA54" s="18"/>
      <c r="IB54" s="18"/>
      <c r="IC54" s="18"/>
      <c r="ID54" s="18"/>
      <c r="IE54" s="18"/>
      <c r="IF54" s="18"/>
      <c r="IG54" s="18"/>
      <c r="IH54" s="18"/>
      <c r="II54" s="18"/>
      <c r="IJ54" s="18"/>
      <c r="IK54" s="18"/>
      <c r="IL54" s="18"/>
      <c r="IM54" s="18"/>
      <c r="IN54" s="18"/>
      <c r="IO54" s="18"/>
      <c r="IP54" s="18"/>
      <c r="IQ54" s="18"/>
      <c r="IR54" s="18"/>
      <c r="IS54" s="18"/>
      <c r="IT54" s="18"/>
      <c r="IU54" s="18"/>
      <c r="IV54" s="18"/>
      <c r="IW54" s="18"/>
      <c r="IX54" s="18"/>
      <c r="IY54" s="18"/>
      <c r="IZ54" s="18"/>
      <c r="JA54" s="18"/>
      <c r="JB54" s="18"/>
      <c r="JC54" s="18"/>
      <c r="JD54" s="18"/>
      <c r="JE54" s="18"/>
      <c r="JF54" s="18"/>
      <c r="JG54" s="18"/>
      <c r="JH54" s="18"/>
      <c r="JI54" s="18"/>
      <c r="JJ54" s="18"/>
      <c r="JK54" s="18"/>
      <c r="JL54" s="18"/>
      <c r="JM54" s="18"/>
      <c r="JN54" s="18"/>
      <c r="JO54" s="18"/>
      <c r="JP54" s="18"/>
      <c r="JQ54" s="18"/>
      <c r="JR54" s="18"/>
      <c r="JS54" s="18"/>
      <c r="JT54" s="18"/>
      <c r="JU54" s="18"/>
      <c r="JV54" s="18"/>
      <c r="JW54" s="18"/>
      <c r="JX54" s="18"/>
      <c r="JY54" s="18"/>
      <c r="JZ54" s="18"/>
      <c r="KA54" s="18"/>
      <c r="KB54" s="18"/>
      <c r="KC54" s="18"/>
      <c r="KD54" s="18"/>
      <c r="KE54" s="18"/>
      <c r="KF54" s="18"/>
      <c r="KG54" s="18"/>
      <c r="KH54" s="18"/>
      <c r="KI54" s="18"/>
      <c r="KJ54" s="18"/>
      <c r="KK54" s="18"/>
      <c r="KL54" s="18"/>
      <c r="KM54" s="18"/>
      <c r="KN54" s="18"/>
      <c r="KO54" s="18"/>
      <c r="KP54" s="18"/>
      <c r="KQ54" s="18"/>
      <c r="KR54" s="18"/>
      <c r="KS54" s="18"/>
      <c r="KT54" s="18"/>
      <c r="KU54" s="18"/>
      <c r="KV54" s="18"/>
      <c r="KW54" s="18"/>
      <c r="KX54" s="18"/>
      <c r="KY54" s="18"/>
      <c r="KZ54" s="18"/>
      <c r="LA54" s="18"/>
      <c r="LB54" s="18"/>
      <c r="LC54" s="18"/>
      <c r="LD54" s="18"/>
      <c r="LE54" s="18"/>
      <c r="LF54" s="18"/>
      <c r="LG54" s="18"/>
      <c r="LH54" s="18"/>
      <c r="LI54" s="18"/>
      <c r="LJ54" s="18"/>
      <c r="LK54" s="18"/>
      <c r="LL54" s="18"/>
      <c r="LM54" s="18"/>
      <c r="LN54" s="18"/>
      <c r="LO54" s="18"/>
      <c r="LP54" s="18"/>
      <c r="LQ54" s="18"/>
      <c r="LR54" s="18"/>
      <c r="LS54" s="18"/>
      <c r="LT54" s="18"/>
      <c r="LU54" s="18"/>
      <c r="LV54" s="18"/>
      <c r="LW54" s="18"/>
      <c r="LX54" s="18"/>
      <c r="LY54" s="18"/>
      <c r="LZ54" s="18"/>
      <c r="MA54" s="18"/>
      <c r="MB54" s="18"/>
      <c r="MC54" s="18"/>
      <c r="MD54" s="18"/>
      <c r="ME54" s="18"/>
      <c r="MF54" s="18"/>
      <c r="MG54" s="18"/>
      <c r="MH54" s="18"/>
      <c r="MI54" s="18"/>
      <c r="MJ54" s="18"/>
      <c r="MK54" s="18"/>
      <c r="ML54" s="18"/>
      <c r="MM54" s="18"/>
      <c r="MN54" s="18"/>
      <c r="MO54" s="18"/>
      <c r="MP54" s="18"/>
      <c r="MQ54" s="18"/>
      <c r="MR54" s="18"/>
      <c r="MS54" s="18"/>
      <c r="MT54" s="18"/>
      <c r="MU54" s="18"/>
      <c r="MV54" s="18"/>
      <c r="MW54" s="18"/>
      <c r="MX54" s="18"/>
      <c r="MY54" s="18"/>
      <c r="MZ54" s="18"/>
      <c r="NA54" s="18"/>
      <c r="NB54" s="18"/>
      <c r="NC54" s="18"/>
      <c r="ND54" s="18"/>
      <c r="NE54" s="18"/>
      <c r="NF54" s="18"/>
      <c r="NG54" s="18"/>
      <c r="NH54" s="18"/>
      <c r="NI54" s="18"/>
      <c r="NJ54" s="18"/>
      <c r="NK54" s="18"/>
      <c r="NL54" s="18"/>
      <c r="NM54" s="18"/>
      <c r="NN54" s="18"/>
      <c r="NO54" s="18"/>
      <c r="NP54" s="18"/>
      <c r="NQ54" s="18"/>
      <c r="NR54" s="18"/>
      <c r="NS54" s="18"/>
      <c r="NT54" s="18"/>
      <c r="NU54" s="18"/>
      <c r="NV54" s="18"/>
      <c r="NW54" s="18"/>
      <c r="NX54" s="18"/>
      <c r="NY54" s="18"/>
      <c r="NZ54" s="18"/>
      <c r="OA54" s="18"/>
      <c r="OB54" s="18"/>
      <c r="OC54" s="18"/>
      <c r="OD54" s="18"/>
      <c r="OE54" s="18"/>
      <c r="OF54" s="18"/>
      <c r="OG54" s="18"/>
      <c r="OH54" s="18"/>
      <c r="OI54" s="18"/>
      <c r="OJ54" s="18"/>
      <c r="OK54" s="18"/>
      <c r="OL54" s="18"/>
      <c r="OM54" s="18"/>
      <c r="ON54" s="18"/>
      <c r="OO54" s="18"/>
      <c r="OP54" s="18"/>
      <c r="OQ54" s="18"/>
      <c r="OR54" s="18"/>
      <c r="OS54" s="18"/>
      <c r="OT54" s="18"/>
      <c r="OU54" s="18"/>
      <c r="OV54" s="18"/>
      <c r="OW54" s="18"/>
      <c r="OX54" s="18"/>
      <c r="OY54" s="18"/>
      <c r="OZ54" s="18"/>
      <c r="PA54" s="18"/>
      <c r="PB54" s="18"/>
      <c r="PC54" s="18"/>
      <c r="PD54" s="18"/>
      <c r="PE54" s="18"/>
      <c r="PF54" s="18"/>
      <c r="PG54" s="18"/>
      <c r="PH54" s="18"/>
      <c r="PI54" s="18"/>
      <c r="PJ54" s="18"/>
      <c r="PK54" s="18"/>
      <c r="PL54" s="18"/>
      <c r="PM54" s="18"/>
      <c r="PN54" s="18"/>
      <c r="PO54" s="18"/>
      <c r="PP54" s="18"/>
      <c r="PQ54" s="18"/>
      <c r="PR54" s="18"/>
      <c r="PS54" s="18"/>
      <c r="PT54" s="18"/>
      <c r="PU54" s="18"/>
      <c r="PV54" s="18"/>
      <c r="PW54" s="18"/>
      <c r="PX54" s="18"/>
      <c r="PY54" s="18"/>
      <c r="PZ54" s="18"/>
      <c r="QA54" s="18"/>
      <c r="QB54" s="18"/>
      <c r="QC54" s="18"/>
      <c r="QD54" s="18"/>
      <c r="QE54" s="18"/>
      <c r="QF54" s="18"/>
      <c r="QG54" s="18"/>
      <c r="QH54" s="18"/>
      <c r="QI54" s="18"/>
      <c r="QJ54" s="18"/>
      <c r="QK54" s="18"/>
      <c r="QL54" s="18"/>
      <c r="QM54" s="18"/>
      <c r="QN54" s="18"/>
      <c r="QO54" s="18"/>
      <c r="QP54" s="18"/>
      <c r="QQ54" s="18"/>
      <c r="QR54" s="18"/>
      <c r="QS54" s="18"/>
      <c r="QT54" s="18"/>
      <c r="QU54" s="18"/>
      <c r="QV54" s="18"/>
      <c r="QW54" s="18"/>
      <c r="QX54" s="18"/>
      <c r="QY54" s="18"/>
      <c r="QZ54" s="18"/>
      <c r="RA54" s="18"/>
      <c r="RB54" s="18"/>
      <c r="RC54" s="18"/>
      <c r="RD54" s="18"/>
      <c r="RE54" s="18"/>
      <c r="RF54" s="18"/>
      <c r="RG54" s="18"/>
      <c r="RH54" s="18"/>
      <c r="RI54" s="18"/>
      <c r="RJ54" s="18"/>
      <c r="RK54" s="18"/>
      <c r="RL54" s="18"/>
      <c r="RM54" s="18"/>
      <c r="RN54" s="18"/>
      <c r="RO54" s="18"/>
      <c r="RP54" s="18"/>
      <c r="RQ54" s="18"/>
      <c r="RR54" s="18"/>
      <c r="RS54" s="18"/>
      <c r="RT54" s="18"/>
      <c r="RU54" s="18"/>
      <c r="RV54" s="18"/>
      <c r="RW54" s="18"/>
      <c r="RX54" s="18"/>
      <c r="RY54" s="18"/>
      <c r="RZ54" s="18"/>
      <c r="SA54" s="18"/>
      <c r="SB54" s="18"/>
      <c r="SC54" s="18"/>
      <c r="SD54" s="18"/>
      <c r="SE54" s="18"/>
      <c r="SF54" s="18"/>
      <c r="SG54" s="18"/>
      <c r="SH54" s="18"/>
      <c r="SI54" s="18"/>
      <c r="SJ54" s="18"/>
      <c r="SK54" s="18"/>
      <c r="SL54" s="18"/>
      <c r="SM54" s="18"/>
      <c r="SN54" s="18"/>
      <c r="SO54" s="18"/>
      <c r="SP54" s="18"/>
      <c r="SQ54" s="18"/>
      <c r="SR54" s="18"/>
      <c r="SS54" s="18"/>
      <c r="ST54" s="18"/>
      <c r="SU54" s="18"/>
      <c r="SV54" s="18"/>
      <c r="SW54" s="18"/>
      <c r="SX54" s="18"/>
      <c r="SY54" s="18"/>
      <c r="SZ54" s="18"/>
      <c r="TA54" s="18"/>
      <c r="TB54" s="18"/>
      <c r="TC54" s="18"/>
      <c r="TD54" s="18"/>
      <c r="TE54" s="18"/>
      <c r="TF54" s="18"/>
      <c r="TG54" s="18"/>
      <c r="TH54" s="18"/>
      <c r="TI54" s="18"/>
      <c r="TJ54" s="18"/>
      <c r="TK54" s="18"/>
      <c r="TL54" s="18"/>
      <c r="TM54" s="18"/>
      <c r="TN54" s="18"/>
      <c r="TO54" s="18"/>
      <c r="TP54" s="18"/>
      <c r="TQ54" s="18"/>
      <c r="TR54" s="18"/>
      <c r="TS54" s="18"/>
      <c r="TT54" s="18"/>
      <c r="TU54" s="18"/>
      <c r="TV54" s="18"/>
      <c r="TW54" s="18"/>
      <c r="TX54" s="18"/>
      <c r="TY54" s="18"/>
      <c r="TZ54" s="18"/>
      <c r="UA54" s="18"/>
      <c r="UB54" s="18"/>
      <c r="UC54" s="18"/>
      <c r="UD54" s="18"/>
      <c r="UE54" s="18"/>
      <c r="UF54" s="18"/>
      <c r="UG54" s="18"/>
      <c r="UH54" s="18"/>
      <c r="UI54" s="18"/>
      <c r="UJ54" s="18"/>
      <c r="UK54" s="18"/>
      <c r="UL54" s="18"/>
      <c r="UM54" s="18"/>
      <c r="UN54" s="18"/>
      <c r="UO54" s="18"/>
      <c r="UP54" s="18"/>
      <c r="UQ54" s="18"/>
      <c r="UR54" s="18"/>
      <c r="US54" s="18"/>
      <c r="UT54" s="18"/>
      <c r="UU54" s="18"/>
      <c r="UV54" s="18"/>
      <c r="UW54" s="18"/>
      <c r="UX54" s="18"/>
      <c r="UY54" s="18"/>
      <c r="UZ54" s="18"/>
      <c r="VA54" s="18"/>
      <c r="VB54" s="18"/>
      <c r="VC54" s="18"/>
      <c r="VD54" s="18"/>
      <c r="VE54" s="18"/>
      <c r="VF54" s="18"/>
      <c r="VG54" s="18"/>
      <c r="VH54" s="18"/>
      <c r="VI54" s="18"/>
      <c r="VJ54" s="18"/>
      <c r="VK54" s="18"/>
      <c r="VL54" s="18"/>
      <c r="VM54" s="18"/>
      <c r="VN54" s="18"/>
      <c r="VO54" s="18"/>
      <c r="VP54" s="18"/>
      <c r="VQ54" s="18"/>
      <c r="VR54" s="18"/>
      <c r="VS54" s="18"/>
      <c r="VT54" s="18"/>
      <c r="VU54" s="18"/>
      <c r="VV54" s="18"/>
      <c r="VW54" s="18"/>
      <c r="VX54" s="18"/>
      <c r="VY54" s="18"/>
      <c r="VZ54" s="18"/>
      <c r="WA54" s="18"/>
      <c r="WB54" s="18"/>
      <c r="WC54" s="18"/>
      <c r="WD54" s="18"/>
      <c r="WE54" s="18"/>
      <c r="WF54" s="18"/>
      <c r="WG54" s="18"/>
      <c r="WH54" s="18"/>
      <c r="WI54" s="18"/>
      <c r="WJ54" s="18"/>
      <c r="WK54" s="18"/>
      <c r="WL54" s="18"/>
      <c r="WM54" s="18"/>
      <c r="WN54" s="18"/>
      <c r="WO54" s="18"/>
      <c r="WP54" s="18"/>
      <c r="WQ54" s="18"/>
      <c r="WR54" s="18"/>
      <c r="WS54" s="18"/>
      <c r="WT54" s="18"/>
      <c r="WU54" s="18"/>
      <c r="WV54" s="18"/>
      <c r="WW54" s="18"/>
      <c r="WX54" s="18"/>
      <c r="WY54" s="18"/>
      <c r="WZ54" s="18"/>
      <c r="XA54" s="18"/>
      <c r="XB54" s="18"/>
      <c r="XC54" s="18"/>
      <c r="XD54" s="18"/>
      <c r="XE54" s="18"/>
      <c r="XF54" s="18"/>
      <c r="XG54" s="18"/>
      <c r="XH54" s="18"/>
      <c r="XI54" s="18"/>
      <c r="XJ54" s="18"/>
      <c r="XK54" s="18"/>
      <c r="XL54" s="18"/>
      <c r="XM54" s="18"/>
      <c r="XN54" s="18"/>
      <c r="XO54" s="18"/>
      <c r="XP54" s="18"/>
      <c r="XQ54" s="18"/>
      <c r="XR54" s="18"/>
      <c r="XS54" s="18"/>
      <c r="XT54" s="18"/>
      <c r="XU54" s="18"/>
      <c r="XV54" s="18"/>
      <c r="XW54" s="18"/>
      <c r="XX54" s="18"/>
      <c r="XY54" s="18"/>
      <c r="XZ54" s="18"/>
      <c r="YA54" s="18"/>
      <c r="YB54" s="18"/>
      <c r="YC54" s="18"/>
      <c r="YD54" s="18"/>
      <c r="YE54" s="18"/>
      <c r="YF54" s="18"/>
      <c r="YG54" s="18"/>
      <c r="YH54" s="18"/>
      <c r="YI54" s="18"/>
      <c r="YJ54" s="18"/>
      <c r="YK54" s="18"/>
      <c r="YL54" s="18"/>
      <c r="YM54" s="18"/>
      <c r="YN54" s="18"/>
      <c r="YO54" s="18"/>
      <c r="YP54" s="18"/>
      <c r="YQ54" s="18"/>
      <c r="YR54" s="18"/>
      <c r="YS54" s="18"/>
      <c r="YT54" s="18"/>
      <c r="YU54" s="18"/>
      <c r="YV54" s="18"/>
      <c r="YW54" s="18"/>
      <c r="YX54" s="18"/>
      <c r="YY54" s="18"/>
      <c r="YZ54" s="18"/>
      <c r="ZA54" s="18"/>
      <c r="ZB54" s="18"/>
      <c r="ZC54" s="18"/>
      <c r="ZD54" s="18"/>
      <c r="ZE54" s="18"/>
      <c r="ZF54" s="18"/>
      <c r="ZG54" s="18"/>
      <c r="ZH54" s="18"/>
      <c r="ZI54" s="18"/>
      <c r="ZJ54" s="18"/>
      <c r="ZK54" s="18"/>
      <c r="ZL54" s="18"/>
      <c r="ZM54" s="18"/>
      <c r="ZN54" s="18"/>
      <c r="ZO54" s="18"/>
      <c r="ZP54" s="18"/>
      <c r="ZQ54" s="18"/>
      <c r="ZR54" s="18"/>
      <c r="ZS54" s="18"/>
      <c r="ZT54" s="18"/>
      <c r="ZU54" s="18"/>
      <c r="ZV54" s="18"/>
      <c r="ZW54" s="18"/>
      <c r="ZX54" s="18"/>
      <c r="ZY54" s="18"/>
      <c r="ZZ54" s="18"/>
      <c r="AAA54" s="18"/>
      <c r="AAB54" s="18"/>
      <c r="AAC54" s="18"/>
      <c r="AAD54" s="18"/>
      <c r="AAE54" s="18"/>
      <c r="AAF54" s="18"/>
      <c r="AAG54" s="18"/>
      <c r="AAH54" s="18"/>
      <c r="AAI54" s="18"/>
      <c r="AAJ54" s="18"/>
      <c r="AAK54" s="18"/>
      <c r="AAL54" s="18"/>
      <c r="AAM54" s="18"/>
      <c r="AAN54" s="18"/>
      <c r="AAO54" s="18"/>
      <c r="AAP54" s="18"/>
      <c r="AAQ54" s="18"/>
      <c r="AAR54" s="18"/>
      <c r="AAS54" s="18"/>
      <c r="AAT54" s="18"/>
      <c r="AAU54" s="18"/>
      <c r="AAV54" s="18"/>
      <c r="AAW54" s="18"/>
      <c r="AAX54" s="18"/>
      <c r="AAY54" s="18"/>
      <c r="AAZ54" s="18"/>
      <c r="ABA54" s="18"/>
      <c r="ABB54" s="18"/>
      <c r="ABC54" s="18"/>
      <c r="ABD54" s="18"/>
      <c r="ABE54" s="18"/>
      <c r="ABF54" s="18"/>
      <c r="ABG54" s="18"/>
      <c r="ABH54" s="18"/>
      <c r="ABI54" s="18"/>
      <c r="ABJ54" s="18"/>
      <c r="ABK54" s="18"/>
      <c r="ABL54" s="18"/>
      <c r="ABM54" s="18"/>
      <c r="ABN54" s="18"/>
      <c r="ABO54" s="18"/>
      <c r="ABP54" s="18"/>
      <c r="ABQ54" s="18"/>
      <c r="ABR54" s="18"/>
      <c r="ABS54" s="18"/>
      <c r="ABT54" s="18"/>
      <c r="ABU54" s="18"/>
      <c r="ABV54" s="18"/>
      <c r="ABW54" s="18"/>
      <c r="ABX54" s="18"/>
      <c r="ABY54" s="18"/>
      <c r="ABZ54" s="18"/>
      <c r="ACA54" s="18"/>
      <c r="ACB54" s="18"/>
      <c r="ACC54" s="18"/>
      <c r="ACD54" s="18"/>
      <c r="ACE54" s="18"/>
      <c r="ACF54" s="18"/>
      <c r="ACG54" s="18"/>
      <c r="ACH54" s="18"/>
      <c r="ACI54" s="18"/>
      <c r="ACJ54" s="18"/>
      <c r="ACK54" s="18"/>
      <c r="ACL54" s="18"/>
      <c r="ACM54" s="18"/>
      <c r="ACN54" s="18"/>
      <c r="ACO54" s="18"/>
      <c r="ACP54" s="18"/>
      <c r="ACQ54" s="18"/>
      <c r="ACR54" s="18"/>
      <c r="ACS54" s="18"/>
      <c r="ACT54" s="18"/>
      <c r="ACU54" s="18"/>
      <c r="ACV54" s="18"/>
      <c r="ACW54" s="18"/>
      <c r="ACX54" s="18"/>
      <c r="ACY54" s="18"/>
      <c r="ACZ54" s="18"/>
      <c r="ADA54" s="18"/>
      <c r="ADB54" s="18"/>
      <c r="ADC54" s="18"/>
      <c r="ADD54" s="18"/>
      <c r="ADE54" s="18"/>
      <c r="ADF54" s="18"/>
      <c r="ADG54" s="18"/>
      <c r="ADH54" s="18"/>
      <c r="ADI54" s="18"/>
      <c r="ADJ54" s="18"/>
      <c r="ADK54" s="18"/>
      <c r="ADL54" s="18"/>
      <c r="ADM54" s="18"/>
      <c r="ADN54" s="18"/>
      <c r="ADO54" s="18"/>
      <c r="ADP54" s="18"/>
      <c r="ADQ54" s="18"/>
      <c r="ADR54" s="18"/>
      <c r="ADS54" s="18"/>
      <c r="ADT54" s="18"/>
      <c r="ADU54" s="18"/>
      <c r="ADV54" s="18"/>
      <c r="ADW54" s="18"/>
      <c r="ADX54" s="18"/>
      <c r="ADY54" s="18"/>
      <c r="ADZ54" s="18"/>
      <c r="AEA54" s="18"/>
      <c r="AEB54" s="18"/>
      <c r="AEC54" s="18"/>
      <c r="AED54" s="18"/>
      <c r="AEE54" s="18"/>
      <c r="AEF54" s="18"/>
      <c r="AEG54" s="18"/>
      <c r="AEH54" s="18"/>
      <c r="AEI54" s="18"/>
      <c r="AEJ54" s="18"/>
      <c r="AEK54" s="18"/>
      <c r="AEL54" s="18"/>
      <c r="AEM54" s="18"/>
      <c r="AEN54" s="18"/>
      <c r="AEO54" s="18"/>
      <c r="AEP54" s="18"/>
      <c r="AEQ54" s="18"/>
      <c r="AER54" s="18"/>
      <c r="AES54" s="18"/>
      <c r="AET54" s="18"/>
      <c r="AEU54" s="18"/>
      <c r="AEV54" s="18"/>
      <c r="AEW54" s="18"/>
      <c r="AEX54" s="18"/>
      <c r="AEY54" s="18"/>
      <c r="AEZ54" s="18"/>
      <c r="AFA54" s="18"/>
      <c r="AFB54" s="18"/>
      <c r="AFC54" s="18"/>
      <c r="AFD54" s="18"/>
      <c r="AFE54" s="18"/>
      <c r="AFF54" s="18"/>
      <c r="AFG54" s="18"/>
      <c r="AFH54" s="18"/>
      <c r="AFI54" s="18"/>
      <c r="AFJ54" s="18"/>
      <c r="AFK54" s="18"/>
      <c r="AFL54" s="18"/>
      <c r="AFM54" s="18"/>
      <c r="AFN54" s="18"/>
      <c r="AFO54" s="18"/>
      <c r="AFP54" s="18"/>
      <c r="AFQ54" s="18"/>
      <c r="AFR54" s="18"/>
      <c r="AFS54" s="18"/>
      <c r="AFT54" s="18"/>
      <c r="AFU54" s="18"/>
      <c r="AFV54" s="18"/>
      <c r="AFW54" s="18"/>
      <c r="AFX54" s="18"/>
      <c r="AFY54" s="18"/>
      <c r="AFZ54" s="18"/>
      <c r="AGA54" s="18"/>
      <c r="AGB54" s="18"/>
      <c r="AGC54" s="18"/>
      <c r="AGD54" s="18"/>
      <c r="AGE54" s="18"/>
      <c r="AGF54" s="18"/>
      <c r="AGG54" s="18"/>
      <c r="AGH54" s="18"/>
      <c r="AGI54" s="18"/>
      <c r="AGJ54" s="18"/>
      <c r="AGK54" s="18"/>
      <c r="AGL54" s="18"/>
      <c r="AGM54" s="18"/>
      <c r="AGN54" s="18"/>
      <c r="AGO54" s="18"/>
      <c r="AGP54" s="18"/>
      <c r="AGQ54" s="18"/>
      <c r="AGR54" s="18"/>
      <c r="AGS54" s="18"/>
      <c r="AGT54" s="18"/>
      <c r="AGU54" s="18"/>
      <c r="AGV54" s="18"/>
      <c r="AGW54" s="18"/>
      <c r="AGX54" s="18"/>
      <c r="AGY54" s="18"/>
      <c r="AGZ54" s="18"/>
      <c r="AHA54" s="18"/>
      <c r="AHB54" s="18"/>
      <c r="AHC54" s="18"/>
      <c r="AHD54" s="18"/>
      <c r="AHE54" s="18"/>
      <c r="AHF54" s="18"/>
      <c r="AHG54" s="18"/>
      <c r="AHH54" s="18"/>
      <c r="AHI54" s="18"/>
      <c r="AHJ54" s="18"/>
      <c r="AHK54" s="18"/>
      <c r="AHL54" s="18"/>
      <c r="AHM54" s="18"/>
      <c r="AHN54" s="18"/>
      <c r="AHO54" s="18"/>
      <c r="AHP54" s="18"/>
      <c r="AHQ54" s="18"/>
      <c r="AHR54" s="18"/>
      <c r="AHS54" s="18"/>
      <c r="AHT54" s="18"/>
      <c r="AHU54" s="18"/>
      <c r="AHV54" s="18"/>
      <c r="AHW54" s="18"/>
      <c r="AHX54" s="18"/>
      <c r="AHY54" s="18"/>
      <c r="AHZ54" s="18"/>
      <c r="AIA54" s="18"/>
      <c r="AIB54" s="18"/>
      <c r="AIC54" s="18"/>
      <c r="AID54" s="18"/>
      <c r="AIE54" s="18"/>
      <c r="AIF54" s="18"/>
      <c r="AIG54" s="18"/>
      <c r="AIH54" s="18"/>
      <c r="AII54" s="18"/>
      <c r="AIJ54" s="18"/>
      <c r="AIK54" s="18"/>
      <c r="AIL54" s="18"/>
      <c r="AIM54" s="18"/>
      <c r="AIN54" s="18"/>
      <c r="AIO54" s="18"/>
      <c r="AIP54" s="18"/>
      <c r="AIQ54" s="18"/>
      <c r="AIR54" s="18"/>
      <c r="AIS54" s="18"/>
      <c r="AIT54" s="18"/>
      <c r="AIU54" s="18"/>
      <c r="AIV54" s="18"/>
      <c r="AIW54" s="18"/>
      <c r="AIX54" s="18"/>
      <c r="AIY54" s="18"/>
      <c r="AIZ54" s="18"/>
      <c r="AJA54" s="18"/>
      <c r="AJB54" s="18"/>
      <c r="AJC54" s="18"/>
      <c r="AJD54" s="18"/>
      <c r="AJE54" s="18"/>
      <c r="AJF54" s="18"/>
      <c r="AJG54" s="18"/>
      <c r="AJH54" s="18"/>
      <c r="AJI54" s="18"/>
      <c r="AJJ54" s="18"/>
      <c r="AJK54" s="18"/>
      <c r="AJL54" s="18"/>
      <c r="AJM54" s="18"/>
      <c r="AJN54" s="18"/>
      <c r="AJO54" s="18"/>
      <c r="AJP54" s="18"/>
      <c r="AJQ54" s="18"/>
      <c r="AJR54" s="18"/>
      <c r="AJS54" s="18"/>
      <c r="AJT54" s="18"/>
      <c r="AJU54" s="18"/>
      <c r="AJV54" s="18"/>
      <c r="AJW54" s="18"/>
      <c r="AJX54" s="18"/>
      <c r="AJY54" s="18"/>
      <c r="AJZ54" s="18"/>
      <c r="AKA54" s="18"/>
      <c r="AKB54" s="18"/>
      <c r="AKC54" s="18"/>
      <c r="AKD54" s="18"/>
      <c r="AKE54" s="18"/>
      <c r="AKF54" s="18"/>
      <c r="AKG54" s="18"/>
      <c r="AKH54" s="18"/>
      <c r="AKI54" s="18"/>
      <c r="AKJ54" s="18"/>
      <c r="AKK54" s="18"/>
      <c r="AKL54" s="18"/>
      <c r="AKM54" s="18"/>
      <c r="AKN54" s="18"/>
      <c r="AKO54" s="18"/>
      <c r="AKP54" s="18"/>
      <c r="AKQ54" s="18"/>
      <c r="AKR54" s="18"/>
      <c r="AKS54" s="18"/>
      <c r="AKT54" s="18"/>
      <c r="AKU54" s="18"/>
      <c r="AKV54" s="18"/>
      <c r="AKW54" s="18"/>
      <c r="AKX54" s="18"/>
      <c r="AKY54" s="18"/>
      <c r="AKZ54" s="18"/>
      <c r="ALA54" s="18"/>
      <c r="ALB54" s="18"/>
      <c r="ALC54" s="18"/>
      <c r="ALD54" s="18"/>
      <c r="ALE54" s="18"/>
      <c r="ALF54" s="18"/>
      <c r="ALG54" s="18"/>
      <c r="ALH54" s="18"/>
      <c r="ALI54" s="18"/>
      <c r="ALJ54" s="18"/>
      <c r="ALK54" s="18"/>
      <c r="ALL54" s="18"/>
      <c r="ALM54" s="18"/>
      <c r="ALN54" s="18"/>
      <c r="ALO54" s="18"/>
      <c r="ALP54" s="18"/>
      <c r="ALQ54" s="18"/>
      <c r="ALR54" s="18"/>
      <c r="ALS54" s="18"/>
      <c r="ALT54" s="18"/>
    </row>
    <row r="55" spans="1:1008">
      <c r="A55" s="251" t="s">
        <v>6307</v>
      </c>
      <c r="B55" s="290">
        <v>378</v>
      </c>
      <c r="C55" s="278" t="str">
        <f>(IF($A55="SINAPI",INDEX(SINAPI_NOV2020_NDES!$A$7:$H$6703,MATCH($B55,SINAPI_NOV2020_NDES!$A$7:$A$6703,0),2),IF($A55="GOINFRA",INDEX(#REF!,MATCH($B55,#REF!,0),2),(INDEX(COMPOS!$A$4:$G$390,MATCH($B55,COMPOS!$A$4:A$390,0),2)))))</f>
        <v>GRELHA QUADRADA EM INOX SIMPLES, DIAM. 150MM</v>
      </c>
      <c r="D55" s="274" t="str">
        <f>(IF($A55="SINAPI",INDEX(SINAPI_NOV2020_NDES!$A$7:$H$6790,MATCH($B55,SINAPI_NOV2020_NDES!$A$7:$A$6790,0),3),(INDEX(COMPOS!$A$4:$G$5000,MATCH($B55,COMPOS!$A$4:$A$5000,0),3))))</f>
        <v>UN</v>
      </c>
      <c r="E55" s="314">
        <v>4</v>
      </c>
      <c r="F55" s="279">
        <f>(IF($A55="SINAPI",INDEX(SINAPI_NOV2020_NDES!$A$7:$H$6703,MATCH($B55,SINAPI_NOV2020_NDES!$A$7:$A$6703,0),5),(INDEX(COMPOS!$A$4:$G$801,MATCH($B55,COMPOS!$A$4:A$801,0),4))))</f>
        <v>2.9952000000000001</v>
      </c>
      <c r="G55" s="280">
        <f>(IF($A55="SINAPI",INDEX(SINAPI_NOV2020_NDES!$A$7:$H$6703,MATCH($B55,SINAPI_NOV2020_NDES!$A$7:$A$6703,0),6),(INDEX(COMPOS!$A$4:$G$801,MATCH($B55,COMPOS!$A$4:A$801,0),5))))</f>
        <v>23.76</v>
      </c>
      <c r="H55" s="280">
        <f>(IF($A55="SINAPI",INDEX(SINAPI_NOV2020_NDES!$A$7:$H$6703,MATCH($B55,SINAPI_NOV2020_NDES!$A$7:$A$6703,0),7),(INDEX(COMPOS!$A$4:$G$801,MATCH($B55,COMPOS!$A$4:A$801,0),6))))</f>
        <v>0</v>
      </c>
      <c r="I55" s="279">
        <f t="shared" si="12"/>
        <v>26.755200000000002</v>
      </c>
      <c r="J55" s="276">
        <f t="shared" si="13"/>
        <v>107.02080000000001</v>
      </c>
      <c r="K55" s="191"/>
      <c r="L55" s="191"/>
      <c r="M55" s="191"/>
      <c r="N55" s="191"/>
      <c r="O55" s="262"/>
      <c r="P55" s="263"/>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c r="EF55" s="18"/>
      <c r="EG55" s="18"/>
      <c r="EH55" s="18"/>
      <c r="EI55" s="18"/>
      <c r="EJ55" s="18"/>
      <c r="EK55" s="18"/>
      <c r="EL55" s="18"/>
      <c r="EM55" s="18"/>
      <c r="EN55" s="18"/>
      <c r="EO55" s="18"/>
      <c r="EP55" s="18"/>
      <c r="EQ55" s="18"/>
      <c r="ER55" s="18"/>
      <c r="ES55" s="18"/>
      <c r="ET55" s="18"/>
      <c r="EU55" s="18"/>
      <c r="EV55" s="18"/>
      <c r="EW55" s="18"/>
      <c r="EX55" s="18"/>
      <c r="EY55" s="18"/>
      <c r="EZ55" s="18"/>
      <c r="FA55" s="18"/>
      <c r="FB55" s="18"/>
      <c r="FC55" s="18"/>
      <c r="FD55" s="18"/>
      <c r="FE55" s="18"/>
      <c r="FF55" s="18"/>
      <c r="FG55" s="18"/>
      <c r="FH55" s="18"/>
      <c r="FI55" s="18"/>
      <c r="FJ55" s="18"/>
      <c r="FK55" s="18"/>
      <c r="FL55" s="18"/>
      <c r="FM55" s="18"/>
      <c r="FN55" s="18"/>
      <c r="FO55" s="18"/>
      <c r="FP55" s="18"/>
      <c r="FQ55" s="18"/>
      <c r="FR55" s="18"/>
      <c r="FS55" s="18"/>
      <c r="FT55" s="18"/>
      <c r="FU55" s="18"/>
      <c r="FV55" s="18"/>
      <c r="FW55" s="18"/>
      <c r="FX55" s="18"/>
      <c r="FY55" s="18"/>
      <c r="FZ55" s="18"/>
      <c r="GA55" s="18"/>
      <c r="GB55" s="18"/>
      <c r="GC55" s="18"/>
      <c r="GD55" s="18"/>
      <c r="GE55" s="18"/>
      <c r="GF55" s="18"/>
      <c r="GG55" s="18"/>
      <c r="GH55" s="18"/>
      <c r="GI55" s="18"/>
      <c r="GJ55" s="18"/>
      <c r="GK55" s="18"/>
      <c r="GL55" s="18"/>
      <c r="GM55" s="18"/>
      <c r="GN55" s="18"/>
      <c r="GO55" s="18"/>
      <c r="GP55" s="18"/>
      <c r="GQ55" s="18"/>
      <c r="GR55" s="18"/>
      <c r="GS55" s="18"/>
      <c r="GT55" s="18"/>
      <c r="GU55" s="18"/>
      <c r="GV55" s="18"/>
      <c r="GW55" s="18"/>
      <c r="GX55" s="18"/>
      <c r="GY55" s="18"/>
      <c r="GZ55" s="18"/>
      <c r="HA55" s="18"/>
      <c r="HB55" s="18"/>
      <c r="HC55" s="18"/>
      <c r="HD55" s="18"/>
      <c r="HE55" s="18"/>
      <c r="HF55" s="18"/>
      <c r="HG55" s="18"/>
      <c r="HH55" s="18"/>
      <c r="HI55" s="18"/>
      <c r="HJ55" s="18"/>
      <c r="HK55" s="18"/>
      <c r="HL55" s="18"/>
      <c r="HM55" s="18"/>
      <c r="HN55" s="18"/>
      <c r="HO55" s="18"/>
      <c r="HP55" s="18"/>
      <c r="HQ55" s="18"/>
      <c r="HR55" s="18"/>
      <c r="HS55" s="18"/>
      <c r="HT55" s="18"/>
      <c r="HU55" s="18"/>
      <c r="HV55" s="18"/>
      <c r="HW55" s="18"/>
      <c r="HX55" s="18"/>
      <c r="HY55" s="18"/>
      <c r="HZ55" s="18"/>
      <c r="IA55" s="18"/>
      <c r="IB55" s="18"/>
      <c r="IC55" s="18"/>
      <c r="ID55" s="18"/>
      <c r="IE55" s="18"/>
      <c r="IF55" s="18"/>
      <c r="IG55" s="18"/>
      <c r="IH55" s="18"/>
      <c r="II55" s="18"/>
      <c r="IJ55" s="18"/>
      <c r="IK55" s="18"/>
      <c r="IL55" s="18"/>
      <c r="IM55" s="18"/>
      <c r="IN55" s="18"/>
      <c r="IO55" s="18"/>
      <c r="IP55" s="18"/>
      <c r="IQ55" s="18"/>
      <c r="IR55" s="18"/>
      <c r="IS55" s="18"/>
      <c r="IT55" s="18"/>
      <c r="IU55" s="18"/>
      <c r="IV55" s="18"/>
      <c r="IW55" s="18"/>
      <c r="IX55" s="18"/>
      <c r="IY55" s="18"/>
      <c r="IZ55" s="18"/>
      <c r="JA55" s="18"/>
      <c r="JB55" s="18"/>
      <c r="JC55" s="18"/>
      <c r="JD55" s="18"/>
      <c r="JE55" s="18"/>
      <c r="JF55" s="18"/>
      <c r="JG55" s="18"/>
      <c r="JH55" s="18"/>
      <c r="JI55" s="18"/>
      <c r="JJ55" s="18"/>
      <c r="JK55" s="18"/>
      <c r="JL55" s="18"/>
      <c r="JM55" s="18"/>
      <c r="JN55" s="18"/>
      <c r="JO55" s="18"/>
      <c r="JP55" s="18"/>
      <c r="JQ55" s="18"/>
      <c r="JR55" s="18"/>
      <c r="JS55" s="18"/>
      <c r="JT55" s="18"/>
      <c r="JU55" s="18"/>
      <c r="JV55" s="18"/>
      <c r="JW55" s="18"/>
      <c r="JX55" s="18"/>
      <c r="JY55" s="18"/>
      <c r="JZ55" s="18"/>
      <c r="KA55" s="18"/>
      <c r="KB55" s="18"/>
      <c r="KC55" s="18"/>
      <c r="KD55" s="18"/>
      <c r="KE55" s="18"/>
      <c r="KF55" s="18"/>
      <c r="KG55" s="18"/>
      <c r="KH55" s="18"/>
      <c r="KI55" s="18"/>
      <c r="KJ55" s="18"/>
      <c r="KK55" s="18"/>
      <c r="KL55" s="18"/>
      <c r="KM55" s="18"/>
      <c r="KN55" s="18"/>
      <c r="KO55" s="18"/>
      <c r="KP55" s="18"/>
      <c r="KQ55" s="18"/>
      <c r="KR55" s="18"/>
      <c r="KS55" s="18"/>
      <c r="KT55" s="18"/>
      <c r="KU55" s="18"/>
      <c r="KV55" s="18"/>
      <c r="KW55" s="18"/>
      <c r="KX55" s="18"/>
      <c r="KY55" s="18"/>
      <c r="KZ55" s="18"/>
      <c r="LA55" s="18"/>
      <c r="LB55" s="18"/>
      <c r="LC55" s="18"/>
      <c r="LD55" s="18"/>
      <c r="LE55" s="18"/>
      <c r="LF55" s="18"/>
      <c r="LG55" s="18"/>
      <c r="LH55" s="18"/>
      <c r="LI55" s="18"/>
      <c r="LJ55" s="18"/>
      <c r="LK55" s="18"/>
      <c r="LL55" s="18"/>
      <c r="LM55" s="18"/>
      <c r="LN55" s="18"/>
      <c r="LO55" s="18"/>
      <c r="LP55" s="18"/>
      <c r="LQ55" s="18"/>
      <c r="LR55" s="18"/>
      <c r="LS55" s="18"/>
      <c r="LT55" s="18"/>
      <c r="LU55" s="18"/>
      <c r="LV55" s="18"/>
      <c r="LW55" s="18"/>
      <c r="LX55" s="18"/>
      <c r="LY55" s="18"/>
      <c r="LZ55" s="18"/>
      <c r="MA55" s="18"/>
      <c r="MB55" s="18"/>
      <c r="MC55" s="18"/>
      <c r="MD55" s="18"/>
      <c r="ME55" s="18"/>
      <c r="MF55" s="18"/>
      <c r="MG55" s="18"/>
      <c r="MH55" s="18"/>
      <c r="MI55" s="18"/>
      <c r="MJ55" s="18"/>
      <c r="MK55" s="18"/>
      <c r="ML55" s="18"/>
      <c r="MM55" s="18"/>
      <c r="MN55" s="18"/>
      <c r="MO55" s="18"/>
      <c r="MP55" s="18"/>
      <c r="MQ55" s="18"/>
      <c r="MR55" s="18"/>
      <c r="MS55" s="18"/>
      <c r="MT55" s="18"/>
      <c r="MU55" s="18"/>
      <c r="MV55" s="18"/>
      <c r="MW55" s="18"/>
      <c r="MX55" s="18"/>
      <c r="MY55" s="18"/>
      <c r="MZ55" s="18"/>
      <c r="NA55" s="18"/>
      <c r="NB55" s="18"/>
      <c r="NC55" s="18"/>
      <c r="ND55" s="18"/>
      <c r="NE55" s="18"/>
      <c r="NF55" s="18"/>
      <c r="NG55" s="18"/>
      <c r="NH55" s="18"/>
      <c r="NI55" s="18"/>
      <c r="NJ55" s="18"/>
      <c r="NK55" s="18"/>
      <c r="NL55" s="18"/>
      <c r="NM55" s="18"/>
      <c r="NN55" s="18"/>
      <c r="NO55" s="18"/>
      <c r="NP55" s="18"/>
      <c r="NQ55" s="18"/>
      <c r="NR55" s="18"/>
      <c r="NS55" s="18"/>
      <c r="NT55" s="18"/>
      <c r="NU55" s="18"/>
      <c r="NV55" s="18"/>
      <c r="NW55" s="18"/>
      <c r="NX55" s="18"/>
      <c r="NY55" s="18"/>
      <c r="NZ55" s="18"/>
      <c r="OA55" s="18"/>
      <c r="OB55" s="18"/>
      <c r="OC55" s="18"/>
      <c r="OD55" s="18"/>
      <c r="OE55" s="18"/>
      <c r="OF55" s="18"/>
      <c r="OG55" s="18"/>
      <c r="OH55" s="18"/>
      <c r="OI55" s="18"/>
      <c r="OJ55" s="18"/>
      <c r="OK55" s="18"/>
      <c r="OL55" s="18"/>
      <c r="OM55" s="18"/>
      <c r="ON55" s="18"/>
      <c r="OO55" s="18"/>
      <c r="OP55" s="18"/>
      <c r="OQ55" s="18"/>
      <c r="OR55" s="18"/>
      <c r="OS55" s="18"/>
      <c r="OT55" s="18"/>
      <c r="OU55" s="18"/>
      <c r="OV55" s="18"/>
      <c r="OW55" s="18"/>
      <c r="OX55" s="18"/>
      <c r="OY55" s="18"/>
      <c r="OZ55" s="18"/>
      <c r="PA55" s="18"/>
      <c r="PB55" s="18"/>
      <c r="PC55" s="18"/>
      <c r="PD55" s="18"/>
      <c r="PE55" s="18"/>
      <c r="PF55" s="18"/>
      <c r="PG55" s="18"/>
      <c r="PH55" s="18"/>
      <c r="PI55" s="18"/>
      <c r="PJ55" s="18"/>
      <c r="PK55" s="18"/>
      <c r="PL55" s="18"/>
      <c r="PM55" s="18"/>
      <c r="PN55" s="18"/>
      <c r="PO55" s="18"/>
      <c r="PP55" s="18"/>
      <c r="PQ55" s="18"/>
      <c r="PR55" s="18"/>
      <c r="PS55" s="18"/>
      <c r="PT55" s="18"/>
      <c r="PU55" s="18"/>
      <c r="PV55" s="18"/>
      <c r="PW55" s="18"/>
      <c r="PX55" s="18"/>
      <c r="PY55" s="18"/>
      <c r="PZ55" s="18"/>
      <c r="QA55" s="18"/>
      <c r="QB55" s="18"/>
      <c r="QC55" s="18"/>
      <c r="QD55" s="18"/>
      <c r="QE55" s="18"/>
      <c r="QF55" s="18"/>
      <c r="QG55" s="18"/>
      <c r="QH55" s="18"/>
      <c r="QI55" s="18"/>
      <c r="QJ55" s="18"/>
      <c r="QK55" s="18"/>
      <c r="QL55" s="18"/>
      <c r="QM55" s="18"/>
      <c r="QN55" s="18"/>
      <c r="QO55" s="18"/>
      <c r="QP55" s="18"/>
      <c r="QQ55" s="18"/>
      <c r="QR55" s="18"/>
      <c r="QS55" s="18"/>
      <c r="QT55" s="18"/>
      <c r="QU55" s="18"/>
      <c r="QV55" s="18"/>
      <c r="QW55" s="18"/>
      <c r="QX55" s="18"/>
      <c r="QY55" s="18"/>
      <c r="QZ55" s="18"/>
      <c r="RA55" s="18"/>
      <c r="RB55" s="18"/>
      <c r="RC55" s="18"/>
      <c r="RD55" s="18"/>
      <c r="RE55" s="18"/>
      <c r="RF55" s="18"/>
      <c r="RG55" s="18"/>
      <c r="RH55" s="18"/>
      <c r="RI55" s="18"/>
      <c r="RJ55" s="18"/>
      <c r="RK55" s="18"/>
      <c r="RL55" s="18"/>
      <c r="RM55" s="18"/>
      <c r="RN55" s="18"/>
      <c r="RO55" s="18"/>
      <c r="RP55" s="18"/>
      <c r="RQ55" s="18"/>
      <c r="RR55" s="18"/>
      <c r="RS55" s="18"/>
      <c r="RT55" s="18"/>
      <c r="RU55" s="18"/>
      <c r="RV55" s="18"/>
      <c r="RW55" s="18"/>
      <c r="RX55" s="18"/>
      <c r="RY55" s="18"/>
      <c r="RZ55" s="18"/>
      <c r="SA55" s="18"/>
      <c r="SB55" s="18"/>
      <c r="SC55" s="18"/>
      <c r="SD55" s="18"/>
      <c r="SE55" s="18"/>
      <c r="SF55" s="18"/>
      <c r="SG55" s="18"/>
      <c r="SH55" s="18"/>
      <c r="SI55" s="18"/>
      <c r="SJ55" s="18"/>
      <c r="SK55" s="18"/>
      <c r="SL55" s="18"/>
      <c r="SM55" s="18"/>
      <c r="SN55" s="18"/>
      <c r="SO55" s="18"/>
      <c r="SP55" s="18"/>
      <c r="SQ55" s="18"/>
      <c r="SR55" s="18"/>
      <c r="SS55" s="18"/>
      <c r="ST55" s="18"/>
      <c r="SU55" s="18"/>
      <c r="SV55" s="18"/>
      <c r="SW55" s="18"/>
      <c r="SX55" s="18"/>
      <c r="SY55" s="18"/>
      <c r="SZ55" s="18"/>
      <c r="TA55" s="18"/>
      <c r="TB55" s="18"/>
      <c r="TC55" s="18"/>
      <c r="TD55" s="18"/>
      <c r="TE55" s="18"/>
      <c r="TF55" s="18"/>
      <c r="TG55" s="18"/>
      <c r="TH55" s="18"/>
      <c r="TI55" s="18"/>
      <c r="TJ55" s="18"/>
      <c r="TK55" s="18"/>
      <c r="TL55" s="18"/>
      <c r="TM55" s="18"/>
      <c r="TN55" s="18"/>
      <c r="TO55" s="18"/>
      <c r="TP55" s="18"/>
      <c r="TQ55" s="18"/>
      <c r="TR55" s="18"/>
      <c r="TS55" s="18"/>
      <c r="TT55" s="18"/>
      <c r="TU55" s="18"/>
      <c r="TV55" s="18"/>
      <c r="TW55" s="18"/>
      <c r="TX55" s="18"/>
      <c r="TY55" s="18"/>
      <c r="TZ55" s="18"/>
      <c r="UA55" s="18"/>
      <c r="UB55" s="18"/>
      <c r="UC55" s="18"/>
      <c r="UD55" s="18"/>
      <c r="UE55" s="18"/>
      <c r="UF55" s="18"/>
      <c r="UG55" s="18"/>
      <c r="UH55" s="18"/>
      <c r="UI55" s="18"/>
      <c r="UJ55" s="18"/>
      <c r="UK55" s="18"/>
      <c r="UL55" s="18"/>
      <c r="UM55" s="18"/>
      <c r="UN55" s="18"/>
      <c r="UO55" s="18"/>
      <c r="UP55" s="18"/>
      <c r="UQ55" s="18"/>
      <c r="UR55" s="18"/>
      <c r="US55" s="18"/>
      <c r="UT55" s="18"/>
      <c r="UU55" s="18"/>
      <c r="UV55" s="18"/>
      <c r="UW55" s="18"/>
      <c r="UX55" s="18"/>
      <c r="UY55" s="18"/>
      <c r="UZ55" s="18"/>
      <c r="VA55" s="18"/>
      <c r="VB55" s="18"/>
      <c r="VC55" s="18"/>
      <c r="VD55" s="18"/>
      <c r="VE55" s="18"/>
      <c r="VF55" s="18"/>
      <c r="VG55" s="18"/>
      <c r="VH55" s="18"/>
      <c r="VI55" s="18"/>
      <c r="VJ55" s="18"/>
      <c r="VK55" s="18"/>
      <c r="VL55" s="18"/>
      <c r="VM55" s="18"/>
      <c r="VN55" s="18"/>
      <c r="VO55" s="18"/>
      <c r="VP55" s="18"/>
      <c r="VQ55" s="18"/>
      <c r="VR55" s="18"/>
      <c r="VS55" s="18"/>
      <c r="VT55" s="18"/>
      <c r="VU55" s="18"/>
      <c r="VV55" s="18"/>
      <c r="VW55" s="18"/>
      <c r="VX55" s="18"/>
      <c r="VY55" s="18"/>
      <c r="VZ55" s="18"/>
      <c r="WA55" s="18"/>
      <c r="WB55" s="18"/>
      <c r="WC55" s="18"/>
      <c r="WD55" s="18"/>
      <c r="WE55" s="18"/>
      <c r="WF55" s="18"/>
      <c r="WG55" s="18"/>
      <c r="WH55" s="18"/>
      <c r="WI55" s="18"/>
      <c r="WJ55" s="18"/>
      <c r="WK55" s="18"/>
      <c r="WL55" s="18"/>
      <c r="WM55" s="18"/>
      <c r="WN55" s="18"/>
      <c r="WO55" s="18"/>
      <c r="WP55" s="18"/>
      <c r="WQ55" s="18"/>
      <c r="WR55" s="18"/>
      <c r="WS55" s="18"/>
      <c r="WT55" s="18"/>
      <c r="WU55" s="18"/>
      <c r="WV55" s="18"/>
      <c r="WW55" s="18"/>
      <c r="WX55" s="18"/>
      <c r="WY55" s="18"/>
      <c r="WZ55" s="18"/>
      <c r="XA55" s="18"/>
      <c r="XB55" s="18"/>
      <c r="XC55" s="18"/>
      <c r="XD55" s="18"/>
      <c r="XE55" s="18"/>
      <c r="XF55" s="18"/>
      <c r="XG55" s="18"/>
      <c r="XH55" s="18"/>
      <c r="XI55" s="18"/>
      <c r="XJ55" s="18"/>
      <c r="XK55" s="18"/>
      <c r="XL55" s="18"/>
      <c r="XM55" s="18"/>
      <c r="XN55" s="18"/>
      <c r="XO55" s="18"/>
      <c r="XP55" s="18"/>
      <c r="XQ55" s="18"/>
      <c r="XR55" s="18"/>
      <c r="XS55" s="18"/>
      <c r="XT55" s="18"/>
      <c r="XU55" s="18"/>
      <c r="XV55" s="18"/>
      <c r="XW55" s="18"/>
      <c r="XX55" s="18"/>
      <c r="XY55" s="18"/>
      <c r="XZ55" s="18"/>
      <c r="YA55" s="18"/>
      <c r="YB55" s="18"/>
      <c r="YC55" s="18"/>
      <c r="YD55" s="18"/>
      <c r="YE55" s="18"/>
      <c r="YF55" s="18"/>
      <c r="YG55" s="18"/>
      <c r="YH55" s="18"/>
      <c r="YI55" s="18"/>
      <c r="YJ55" s="18"/>
      <c r="YK55" s="18"/>
      <c r="YL55" s="18"/>
      <c r="YM55" s="18"/>
      <c r="YN55" s="18"/>
      <c r="YO55" s="18"/>
      <c r="YP55" s="18"/>
      <c r="YQ55" s="18"/>
      <c r="YR55" s="18"/>
      <c r="YS55" s="18"/>
      <c r="YT55" s="18"/>
      <c r="YU55" s="18"/>
      <c r="YV55" s="18"/>
      <c r="YW55" s="18"/>
      <c r="YX55" s="18"/>
      <c r="YY55" s="18"/>
      <c r="YZ55" s="18"/>
      <c r="ZA55" s="18"/>
      <c r="ZB55" s="18"/>
      <c r="ZC55" s="18"/>
      <c r="ZD55" s="18"/>
      <c r="ZE55" s="18"/>
      <c r="ZF55" s="18"/>
      <c r="ZG55" s="18"/>
      <c r="ZH55" s="18"/>
      <c r="ZI55" s="18"/>
      <c r="ZJ55" s="18"/>
      <c r="ZK55" s="18"/>
      <c r="ZL55" s="18"/>
      <c r="ZM55" s="18"/>
      <c r="ZN55" s="18"/>
      <c r="ZO55" s="18"/>
      <c r="ZP55" s="18"/>
      <c r="ZQ55" s="18"/>
      <c r="ZR55" s="18"/>
      <c r="ZS55" s="18"/>
      <c r="ZT55" s="18"/>
      <c r="ZU55" s="18"/>
      <c r="ZV55" s="18"/>
      <c r="ZW55" s="18"/>
      <c r="ZX55" s="18"/>
      <c r="ZY55" s="18"/>
      <c r="ZZ55" s="18"/>
      <c r="AAA55" s="18"/>
      <c r="AAB55" s="18"/>
      <c r="AAC55" s="18"/>
      <c r="AAD55" s="18"/>
      <c r="AAE55" s="18"/>
      <c r="AAF55" s="18"/>
      <c r="AAG55" s="18"/>
      <c r="AAH55" s="18"/>
      <c r="AAI55" s="18"/>
      <c r="AAJ55" s="18"/>
      <c r="AAK55" s="18"/>
      <c r="AAL55" s="18"/>
      <c r="AAM55" s="18"/>
      <c r="AAN55" s="18"/>
      <c r="AAO55" s="18"/>
      <c r="AAP55" s="18"/>
      <c r="AAQ55" s="18"/>
      <c r="AAR55" s="18"/>
      <c r="AAS55" s="18"/>
      <c r="AAT55" s="18"/>
      <c r="AAU55" s="18"/>
      <c r="AAV55" s="18"/>
      <c r="AAW55" s="18"/>
      <c r="AAX55" s="18"/>
      <c r="AAY55" s="18"/>
      <c r="AAZ55" s="18"/>
      <c r="ABA55" s="18"/>
      <c r="ABB55" s="18"/>
      <c r="ABC55" s="18"/>
      <c r="ABD55" s="18"/>
      <c r="ABE55" s="18"/>
      <c r="ABF55" s="18"/>
      <c r="ABG55" s="18"/>
      <c r="ABH55" s="18"/>
      <c r="ABI55" s="18"/>
      <c r="ABJ55" s="18"/>
      <c r="ABK55" s="18"/>
      <c r="ABL55" s="18"/>
      <c r="ABM55" s="18"/>
      <c r="ABN55" s="18"/>
      <c r="ABO55" s="18"/>
      <c r="ABP55" s="18"/>
      <c r="ABQ55" s="18"/>
      <c r="ABR55" s="18"/>
      <c r="ABS55" s="18"/>
      <c r="ABT55" s="18"/>
      <c r="ABU55" s="18"/>
      <c r="ABV55" s="18"/>
      <c r="ABW55" s="18"/>
      <c r="ABX55" s="18"/>
      <c r="ABY55" s="18"/>
      <c r="ABZ55" s="18"/>
      <c r="ACA55" s="18"/>
      <c r="ACB55" s="18"/>
      <c r="ACC55" s="18"/>
      <c r="ACD55" s="18"/>
      <c r="ACE55" s="18"/>
      <c r="ACF55" s="18"/>
      <c r="ACG55" s="18"/>
      <c r="ACH55" s="18"/>
      <c r="ACI55" s="18"/>
      <c r="ACJ55" s="18"/>
      <c r="ACK55" s="18"/>
      <c r="ACL55" s="18"/>
      <c r="ACM55" s="18"/>
      <c r="ACN55" s="18"/>
      <c r="ACO55" s="18"/>
      <c r="ACP55" s="18"/>
      <c r="ACQ55" s="18"/>
      <c r="ACR55" s="18"/>
      <c r="ACS55" s="18"/>
      <c r="ACT55" s="18"/>
      <c r="ACU55" s="18"/>
      <c r="ACV55" s="18"/>
      <c r="ACW55" s="18"/>
      <c r="ACX55" s="18"/>
      <c r="ACY55" s="18"/>
      <c r="ACZ55" s="18"/>
      <c r="ADA55" s="18"/>
      <c r="ADB55" s="18"/>
      <c r="ADC55" s="18"/>
      <c r="ADD55" s="18"/>
      <c r="ADE55" s="18"/>
      <c r="ADF55" s="18"/>
      <c r="ADG55" s="18"/>
      <c r="ADH55" s="18"/>
      <c r="ADI55" s="18"/>
      <c r="ADJ55" s="18"/>
      <c r="ADK55" s="18"/>
      <c r="ADL55" s="18"/>
      <c r="ADM55" s="18"/>
      <c r="ADN55" s="18"/>
      <c r="ADO55" s="18"/>
      <c r="ADP55" s="18"/>
      <c r="ADQ55" s="18"/>
      <c r="ADR55" s="18"/>
      <c r="ADS55" s="18"/>
      <c r="ADT55" s="18"/>
      <c r="ADU55" s="18"/>
      <c r="ADV55" s="18"/>
      <c r="ADW55" s="18"/>
      <c r="ADX55" s="18"/>
      <c r="ADY55" s="18"/>
      <c r="ADZ55" s="18"/>
      <c r="AEA55" s="18"/>
      <c r="AEB55" s="18"/>
      <c r="AEC55" s="18"/>
      <c r="AED55" s="18"/>
      <c r="AEE55" s="18"/>
      <c r="AEF55" s="18"/>
      <c r="AEG55" s="18"/>
      <c r="AEH55" s="18"/>
      <c r="AEI55" s="18"/>
      <c r="AEJ55" s="18"/>
      <c r="AEK55" s="18"/>
      <c r="AEL55" s="18"/>
      <c r="AEM55" s="18"/>
      <c r="AEN55" s="18"/>
      <c r="AEO55" s="18"/>
      <c r="AEP55" s="18"/>
      <c r="AEQ55" s="18"/>
      <c r="AER55" s="18"/>
      <c r="AES55" s="18"/>
      <c r="AET55" s="18"/>
      <c r="AEU55" s="18"/>
      <c r="AEV55" s="18"/>
      <c r="AEW55" s="18"/>
      <c r="AEX55" s="18"/>
      <c r="AEY55" s="18"/>
      <c r="AEZ55" s="18"/>
      <c r="AFA55" s="18"/>
      <c r="AFB55" s="18"/>
      <c r="AFC55" s="18"/>
      <c r="AFD55" s="18"/>
      <c r="AFE55" s="18"/>
      <c r="AFF55" s="18"/>
      <c r="AFG55" s="18"/>
      <c r="AFH55" s="18"/>
      <c r="AFI55" s="18"/>
      <c r="AFJ55" s="18"/>
      <c r="AFK55" s="18"/>
      <c r="AFL55" s="18"/>
      <c r="AFM55" s="18"/>
      <c r="AFN55" s="18"/>
      <c r="AFO55" s="18"/>
      <c r="AFP55" s="18"/>
      <c r="AFQ55" s="18"/>
      <c r="AFR55" s="18"/>
      <c r="AFS55" s="18"/>
      <c r="AFT55" s="18"/>
      <c r="AFU55" s="18"/>
      <c r="AFV55" s="18"/>
      <c r="AFW55" s="18"/>
      <c r="AFX55" s="18"/>
      <c r="AFY55" s="18"/>
      <c r="AFZ55" s="18"/>
      <c r="AGA55" s="18"/>
      <c r="AGB55" s="18"/>
      <c r="AGC55" s="18"/>
      <c r="AGD55" s="18"/>
      <c r="AGE55" s="18"/>
      <c r="AGF55" s="18"/>
      <c r="AGG55" s="18"/>
      <c r="AGH55" s="18"/>
      <c r="AGI55" s="18"/>
      <c r="AGJ55" s="18"/>
      <c r="AGK55" s="18"/>
      <c r="AGL55" s="18"/>
      <c r="AGM55" s="18"/>
      <c r="AGN55" s="18"/>
      <c r="AGO55" s="18"/>
      <c r="AGP55" s="18"/>
      <c r="AGQ55" s="18"/>
      <c r="AGR55" s="18"/>
      <c r="AGS55" s="18"/>
      <c r="AGT55" s="18"/>
      <c r="AGU55" s="18"/>
      <c r="AGV55" s="18"/>
      <c r="AGW55" s="18"/>
      <c r="AGX55" s="18"/>
      <c r="AGY55" s="18"/>
      <c r="AGZ55" s="18"/>
      <c r="AHA55" s="18"/>
      <c r="AHB55" s="18"/>
      <c r="AHC55" s="18"/>
      <c r="AHD55" s="18"/>
      <c r="AHE55" s="18"/>
      <c r="AHF55" s="18"/>
      <c r="AHG55" s="18"/>
      <c r="AHH55" s="18"/>
      <c r="AHI55" s="18"/>
      <c r="AHJ55" s="18"/>
      <c r="AHK55" s="18"/>
      <c r="AHL55" s="18"/>
      <c r="AHM55" s="18"/>
      <c r="AHN55" s="18"/>
      <c r="AHO55" s="18"/>
      <c r="AHP55" s="18"/>
      <c r="AHQ55" s="18"/>
      <c r="AHR55" s="18"/>
      <c r="AHS55" s="18"/>
      <c r="AHT55" s="18"/>
      <c r="AHU55" s="18"/>
      <c r="AHV55" s="18"/>
      <c r="AHW55" s="18"/>
      <c r="AHX55" s="18"/>
      <c r="AHY55" s="18"/>
      <c r="AHZ55" s="18"/>
      <c r="AIA55" s="18"/>
      <c r="AIB55" s="18"/>
      <c r="AIC55" s="18"/>
      <c r="AID55" s="18"/>
      <c r="AIE55" s="18"/>
      <c r="AIF55" s="18"/>
      <c r="AIG55" s="18"/>
      <c r="AIH55" s="18"/>
      <c r="AII55" s="18"/>
      <c r="AIJ55" s="18"/>
      <c r="AIK55" s="18"/>
      <c r="AIL55" s="18"/>
      <c r="AIM55" s="18"/>
      <c r="AIN55" s="18"/>
      <c r="AIO55" s="18"/>
      <c r="AIP55" s="18"/>
      <c r="AIQ55" s="18"/>
      <c r="AIR55" s="18"/>
      <c r="AIS55" s="18"/>
      <c r="AIT55" s="18"/>
      <c r="AIU55" s="18"/>
      <c r="AIV55" s="18"/>
      <c r="AIW55" s="18"/>
      <c r="AIX55" s="18"/>
      <c r="AIY55" s="18"/>
      <c r="AIZ55" s="18"/>
      <c r="AJA55" s="18"/>
      <c r="AJB55" s="18"/>
      <c r="AJC55" s="18"/>
      <c r="AJD55" s="18"/>
      <c r="AJE55" s="18"/>
      <c r="AJF55" s="18"/>
      <c r="AJG55" s="18"/>
      <c r="AJH55" s="18"/>
      <c r="AJI55" s="18"/>
      <c r="AJJ55" s="18"/>
      <c r="AJK55" s="18"/>
      <c r="AJL55" s="18"/>
      <c r="AJM55" s="18"/>
      <c r="AJN55" s="18"/>
      <c r="AJO55" s="18"/>
      <c r="AJP55" s="18"/>
      <c r="AJQ55" s="18"/>
      <c r="AJR55" s="18"/>
      <c r="AJS55" s="18"/>
      <c r="AJT55" s="18"/>
      <c r="AJU55" s="18"/>
      <c r="AJV55" s="18"/>
      <c r="AJW55" s="18"/>
      <c r="AJX55" s="18"/>
      <c r="AJY55" s="18"/>
      <c r="AJZ55" s="18"/>
      <c r="AKA55" s="18"/>
      <c r="AKB55" s="18"/>
      <c r="AKC55" s="18"/>
      <c r="AKD55" s="18"/>
      <c r="AKE55" s="18"/>
      <c r="AKF55" s="18"/>
      <c r="AKG55" s="18"/>
      <c r="AKH55" s="18"/>
      <c r="AKI55" s="18"/>
      <c r="AKJ55" s="18"/>
      <c r="AKK55" s="18"/>
      <c r="AKL55" s="18"/>
      <c r="AKM55" s="18"/>
      <c r="AKN55" s="18"/>
      <c r="AKO55" s="18"/>
      <c r="AKP55" s="18"/>
      <c r="AKQ55" s="18"/>
      <c r="AKR55" s="18"/>
      <c r="AKS55" s="18"/>
      <c r="AKT55" s="18"/>
      <c r="AKU55" s="18"/>
      <c r="AKV55" s="18"/>
      <c r="AKW55" s="18"/>
      <c r="AKX55" s="18"/>
      <c r="AKY55" s="18"/>
      <c r="AKZ55" s="18"/>
      <c r="ALA55" s="18"/>
      <c r="ALB55" s="18"/>
      <c r="ALC55" s="18"/>
      <c r="ALD55" s="18"/>
      <c r="ALE55" s="18"/>
      <c r="ALF55" s="18"/>
      <c r="ALG55" s="18"/>
      <c r="ALH55" s="18"/>
      <c r="ALI55" s="18"/>
      <c r="ALJ55" s="18"/>
      <c r="ALK55" s="18"/>
      <c r="ALL55" s="18"/>
      <c r="ALM55" s="18"/>
      <c r="ALN55" s="18"/>
      <c r="ALO55" s="18"/>
      <c r="ALP55" s="18"/>
      <c r="ALQ55" s="18"/>
      <c r="ALR55" s="18"/>
      <c r="ALS55" s="18"/>
      <c r="ALT55" s="18"/>
    </row>
    <row r="56" spans="1:1008">
      <c r="A56" s="251" t="s">
        <v>6307</v>
      </c>
      <c r="B56" s="290">
        <v>404</v>
      </c>
      <c r="C56" s="278" t="str">
        <f>(IF($A56="SINAPI",INDEX(SINAPI_NOV2020_NDES!$A$7:$H$6703,MATCH($B56,SINAPI_NOV2020_NDES!$A$7:$A$6703,0),2),IF($A56="GOINFRA",INDEX(#REF!,MATCH($B56,#REF!,0),2),(INDEX(COMPOS!$A$4:$G$390,MATCH($B56,COMPOS!$A$4:A$390,0),2)))))</f>
        <v>GRELHA REDONDA CROMADA DIAM. 100MM</v>
      </c>
      <c r="D56" s="274" t="str">
        <f>(IF($A56="SINAPI",INDEX(SINAPI_NOV2020_NDES!$A$7:$H$6790,MATCH($B56,SINAPI_NOV2020_NDES!$A$7:$A$6790,0),3),(INDEX(COMPOS!$A$4:$G$5000,MATCH($B56,COMPOS!$A$4:$A$5000,0),3))))</f>
        <v>UN</v>
      </c>
      <c r="E56" s="314">
        <v>6</v>
      </c>
      <c r="F56" s="279">
        <f>(IF($A56="SINAPI",INDEX(SINAPI_NOV2020_NDES!$A$7:$H$6703,MATCH($B56,SINAPI_NOV2020_NDES!$A$7:$A$6703,0),5),(INDEX(COMPOS!$A$4:$G$801,MATCH($B56,COMPOS!$A$4:A$801,0),4))))</f>
        <v>2.9952000000000001</v>
      </c>
      <c r="G56" s="280">
        <f>(IF($A56="SINAPI",INDEX(SINAPI_NOV2020_NDES!$A$7:$H$6703,MATCH($B56,SINAPI_NOV2020_NDES!$A$7:$A$6703,0),6),(INDEX(COMPOS!$A$4:$G$801,MATCH($B56,COMPOS!$A$4:A$801,0),5))))</f>
        <v>11.88</v>
      </c>
      <c r="H56" s="280">
        <f>(IF($A56="SINAPI",INDEX(SINAPI_NOV2020_NDES!$A$7:$H$6703,MATCH($B56,SINAPI_NOV2020_NDES!$A$7:$A$6703,0),7),(INDEX(COMPOS!$A$4:$G$801,MATCH($B56,COMPOS!$A$4:A$801,0),6))))</f>
        <v>0</v>
      </c>
      <c r="I56" s="279">
        <f t="shared" si="12"/>
        <v>14.875200000000001</v>
      </c>
      <c r="J56" s="276">
        <f t="shared" si="13"/>
        <v>89.251200000000011</v>
      </c>
      <c r="K56" s="191"/>
      <c r="L56" s="191"/>
      <c r="M56" s="191"/>
      <c r="N56" s="191"/>
      <c r="O56" s="262"/>
      <c r="P56" s="263"/>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c r="EF56" s="18"/>
      <c r="EG56" s="18"/>
      <c r="EH56" s="18"/>
      <c r="EI56" s="18"/>
      <c r="EJ56" s="18"/>
      <c r="EK56" s="18"/>
      <c r="EL56" s="18"/>
      <c r="EM56" s="18"/>
      <c r="EN56" s="18"/>
      <c r="EO56" s="18"/>
      <c r="EP56" s="18"/>
      <c r="EQ56" s="18"/>
      <c r="ER56" s="18"/>
      <c r="ES56" s="18"/>
      <c r="ET56" s="18"/>
      <c r="EU56" s="18"/>
      <c r="EV56" s="18"/>
      <c r="EW56" s="18"/>
      <c r="EX56" s="18"/>
      <c r="EY56" s="18"/>
      <c r="EZ56" s="18"/>
      <c r="FA56" s="18"/>
      <c r="FB56" s="18"/>
      <c r="FC56" s="18"/>
      <c r="FD56" s="18"/>
      <c r="FE56" s="18"/>
      <c r="FF56" s="18"/>
      <c r="FG56" s="18"/>
      <c r="FH56" s="18"/>
      <c r="FI56" s="18"/>
      <c r="FJ56" s="18"/>
      <c r="FK56" s="18"/>
      <c r="FL56" s="18"/>
      <c r="FM56" s="18"/>
      <c r="FN56" s="18"/>
      <c r="FO56" s="18"/>
      <c r="FP56" s="18"/>
      <c r="FQ56" s="18"/>
      <c r="FR56" s="18"/>
      <c r="FS56" s="18"/>
      <c r="FT56" s="18"/>
      <c r="FU56" s="18"/>
      <c r="FV56" s="18"/>
      <c r="FW56" s="18"/>
      <c r="FX56" s="18"/>
      <c r="FY56" s="18"/>
      <c r="FZ56" s="18"/>
      <c r="GA56" s="18"/>
      <c r="GB56" s="18"/>
      <c r="GC56" s="18"/>
      <c r="GD56" s="18"/>
      <c r="GE56" s="18"/>
      <c r="GF56" s="18"/>
      <c r="GG56" s="18"/>
      <c r="GH56" s="18"/>
      <c r="GI56" s="18"/>
      <c r="GJ56" s="18"/>
      <c r="GK56" s="18"/>
      <c r="GL56" s="18"/>
      <c r="GM56" s="18"/>
      <c r="GN56" s="18"/>
      <c r="GO56" s="18"/>
      <c r="GP56" s="18"/>
      <c r="GQ56" s="18"/>
      <c r="GR56" s="18"/>
      <c r="GS56" s="18"/>
      <c r="GT56" s="18"/>
      <c r="GU56" s="18"/>
      <c r="GV56" s="18"/>
      <c r="GW56" s="18"/>
      <c r="GX56" s="18"/>
      <c r="GY56" s="18"/>
      <c r="GZ56" s="18"/>
      <c r="HA56" s="18"/>
      <c r="HB56" s="18"/>
      <c r="HC56" s="18"/>
      <c r="HD56" s="18"/>
      <c r="HE56" s="18"/>
      <c r="HF56" s="18"/>
      <c r="HG56" s="18"/>
      <c r="HH56" s="18"/>
      <c r="HI56" s="18"/>
      <c r="HJ56" s="18"/>
      <c r="HK56" s="18"/>
      <c r="HL56" s="18"/>
      <c r="HM56" s="18"/>
      <c r="HN56" s="18"/>
      <c r="HO56" s="18"/>
      <c r="HP56" s="18"/>
      <c r="HQ56" s="18"/>
      <c r="HR56" s="18"/>
      <c r="HS56" s="18"/>
      <c r="HT56" s="18"/>
      <c r="HU56" s="18"/>
      <c r="HV56" s="18"/>
      <c r="HW56" s="18"/>
      <c r="HX56" s="18"/>
      <c r="HY56" s="18"/>
      <c r="HZ56" s="18"/>
      <c r="IA56" s="18"/>
      <c r="IB56" s="18"/>
      <c r="IC56" s="18"/>
      <c r="ID56" s="18"/>
      <c r="IE56" s="18"/>
      <c r="IF56" s="18"/>
      <c r="IG56" s="18"/>
      <c r="IH56" s="18"/>
      <c r="II56" s="18"/>
      <c r="IJ56" s="18"/>
      <c r="IK56" s="18"/>
      <c r="IL56" s="18"/>
      <c r="IM56" s="18"/>
      <c r="IN56" s="18"/>
      <c r="IO56" s="18"/>
      <c r="IP56" s="18"/>
      <c r="IQ56" s="18"/>
      <c r="IR56" s="18"/>
      <c r="IS56" s="18"/>
      <c r="IT56" s="18"/>
      <c r="IU56" s="18"/>
      <c r="IV56" s="18"/>
      <c r="IW56" s="18"/>
      <c r="IX56" s="18"/>
      <c r="IY56" s="18"/>
      <c r="IZ56" s="18"/>
      <c r="JA56" s="18"/>
      <c r="JB56" s="18"/>
      <c r="JC56" s="18"/>
      <c r="JD56" s="18"/>
      <c r="JE56" s="18"/>
      <c r="JF56" s="18"/>
      <c r="JG56" s="18"/>
      <c r="JH56" s="18"/>
      <c r="JI56" s="18"/>
      <c r="JJ56" s="18"/>
      <c r="JK56" s="18"/>
      <c r="JL56" s="18"/>
      <c r="JM56" s="18"/>
      <c r="JN56" s="18"/>
      <c r="JO56" s="18"/>
      <c r="JP56" s="18"/>
      <c r="JQ56" s="18"/>
      <c r="JR56" s="18"/>
      <c r="JS56" s="18"/>
      <c r="JT56" s="18"/>
      <c r="JU56" s="18"/>
      <c r="JV56" s="18"/>
      <c r="JW56" s="18"/>
      <c r="JX56" s="18"/>
      <c r="JY56" s="18"/>
      <c r="JZ56" s="18"/>
      <c r="KA56" s="18"/>
      <c r="KB56" s="18"/>
      <c r="KC56" s="18"/>
      <c r="KD56" s="18"/>
      <c r="KE56" s="18"/>
      <c r="KF56" s="18"/>
      <c r="KG56" s="18"/>
      <c r="KH56" s="18"/>
      <c r="KI56" s="18"/>
      <c r="KJ56" s="18"/>
      <c r="KK56" s="18"/>
      <c r="KL56" s="18"/>
      <c r="KM56" s="18"/>
      <c r="KN56" s="18"/>
      <c r="KO56" s="18"/>
      <c r="KP56" s="18"/>
      <c r="KQ56" s="18"/>
      <c r="KR56" s="18"/>
      <c r="KS56" s="18"/>
      <c r="KT56" s="18"/>
      <c r="KU56" s="18"/>
      <c r="KV56" s="18"/>
      <c r="KW56" s="18"/>
      <c r="KX56" s="18"/>
      <c r="KY56" s="18"/>
      <c r="KZ56" s="18"/>
      <c r="LA56" s="18"/>
      <c r="LB56" s="18"/>
      <c r="LC56" s="18"/>
      <c r="LD56" s="18"/>
      <c r="LE56" s="18"/>
      <c r="LF56" s="18"/>
      <c r="LG56" s="18"/>
      <c r="LH56" s="18"/>
      <c r="LI56" s="18"/>
      <c r="LJ56" s="18"/>
      <c r="LK56" s="18"/>
      <c r="LL56" s="18"/>
      <c r="LM56" s="18"/>
      <c r="LN56" s="18"/>
      <c r="LO56" s="18"/>
      <c r="LP56" s="18"/>
      <c r="LQ56" s="18"/>
      <c r="LR56" s="18"/>
      <c r="LS56" s="18"/>
      <c r="LT56" s="18"/>
      <c r="LU56" s="18"/>
      <c r="LV56" s="18"/>
      <c r="LW56" s="18"/>
      <c r="LX56" s="18"/>
      <c r="LY56" s="18"/>
      <c r="LZ56" s="18"/>
      <c r="MA56" s="18"/>
      <c r="MB56" s="18"/>
      <c r="MC56" s="18"/>
      <c r="MD56" s="18"/>
      <c r="ME56" s="18"/>
      <c r="MF56" s="18"/>
      <c r="MG56" s="18"/>
      <c r="MH56" s="18"/>
      <c r="MI56" s="18"/>
      <c r="MJ56" s="18"/>
      <c r="MK56" s="18"/>
      <c r="ML56" s="18"/>
      <c r="MM56" s="18"/>
      <c r="MN56" s="18"/>
      <c r="MO56" s="18"/>
      <c r="MP56" s="18"/>
      <c r="MQ56" s="18"/>
      <c r="MR56" s="18"/>
      <c r="MS56" s="18"/>
      <c r="MT56" s="18"/>
      <c r="MU56" s="18"/>
      <c r="MV56" s="18"/>
      <c r="MW56" s="18"/>
      <c r="MX56" s="18"/>
      <c r="MY56" s="18"/>
      <c r="MZ56" s="18"/>
      <c r="NA56" s="18"/>
      <c r="NB56" s="18"/>
      <c r="NC56" s="18"/>
      <c r="ND56" s="18"/>
      <c r="NE56" s="18"/>
      <c r="NF56" s="18"/>
      <c r="NG56" s="18"/>
      <c r="NH56" s="18"/>
      <c r="NI56" s="18"/>
      <c r="NJ56" s="18"/>
      <c r="NK56" s="18"/>
      <c r="NL56" s="18"/>
      <c r="NM56" s="18"/>
      <c r="NN56" s="18"/>
      <c r="NO56" s="18"/>
      <c r="NP56" s="18"/>
      <c r="NQ56" s="18"/>
      <c r="NR56" s="18"/>
      <c r="NS56" s="18"/>
      <c r="NT56" s="18"/>
      <c r="NU56" s="18"/>
      <c r="NV56" s="18"/>
      <c r="NW56" s="18"/>
      <c r="NX56" s="18"/>
      <c r="NY56" s="18"/>
      <c r="NZ56" s="18"/>
      <c r="OA56" s="18"/>
      <c r="OB56" s="18"/>
      <c r="OC56" s="18"/>
      <c r="OD56" s="18"/>
      <c r="OE56" s="18"/>
      <c r="OF56" s="18"/>
      <c r="OG56" s="18"/>
      <c r="OH56" s="18"/>
      <c r="OI56" s="18"/>
      <c r="OJ56" s="18"/>
      <c r="OK56" s="18"/>
      <c r="OL56" s="18"/>
      <c r="OM56" s="18"/>
      <c r="ON56" s="18"/>
      <c r="OO56" s="18"/>
      <c r="OP56" s="18"/>
      <c r="OQ56" s="18"/>
      <c r="OR56" s="18"/>
      <c r="OS56" s="18"/>
      <c r="OT56" s="18"/>
      <c r="OU56" s="18"/>
      <c r="OV56" s="18"/>
      <c r="OW56" s="18"/>
      <c r="OX56" s="18"/>
      <c r="OY56" s="18"/>
      <c r="OZ56" s="18"/>
      <c r="PA56" s="18"/>
      <c r="PB56" s="18"/>
      <c r="PC56" s="18"/>
      <c r="PD56" s="18"/>
      <c r="PE56" s="18"/>
      <c r="PF56" s="18"/>
      <c r="PG56" s="18"/>
      <c r="PH56" s="18"/>
      <c r="PI56" s="18"/>
      <c r="PJ56" s="18"/>
      <c r="PK56" s="18"/>
      <c r="PL56" s="18"/>
      <c r="PM56" s="18"/>
      <c r="PN56" s="18"/>
      <c r="PO56" s="18"/>
      <c r="PP56" s="18"/>
      <c r="PQ56" s="18"/>
      <c r="PR56" s="18"/>
      <c r="PS56" s="18"/>
      <c r="PT56" s="18"/>
      <c r="PU56" s="18"/>
      <c r="PV56" s="18"/>
      <c r="PW56" s="18"/>
      <c r="PX56" s="18"/>
      <c r="PY56" s="18"/>
      <c r="PZ56" s="18"/>
      <c r="QA56" s="18"/>
      <c r="QB56" s="18"/>
      <c r="QC56" s="18"/>
      <c r="QD56" s="18"/>
      <c r="QE56" s="18"/>
      <c r="QF56" s="18"/>
      <c r="QG56" s="18"/>
      <c r="QH56" s="18"/>
      <c r="QI56" s="18"/>
      <c r="QJ56" s="18"/>
      <c r="QK56" s="18"/>
      <c r="QL56" s="18"/>
      <c r="QM56" s="18"/>
      <c r="QN56" s="18"/>
      <c r="QO56" s="18"/>
      <c r="QP56" s="18"/>
      <c r="QQ56" s="18"/>
      <c r="QR56" s="18"/>
      <c r="QS56" s="18"/>
      <c r="QT56" s="18"/>
      <c r="QU56" s="18"/>
      <c r="QV56" s="18"/>
      <c r="QW56" s="18"/>
      <c r="QX56" s="18"/>
      <c r="QY56" s="18"/>
      <c r="QZ56" s="18"/>
      <c r="RA56" s="18"/>
      <c r="RB56" s="18"/>
      <c r="RC56" s="18"/>
      <c r="RD56" s="18"/>
      <c r="RE56" s="18"/>
      <c r="RF56" s="18"/>
      <c r="RG56" s="18"/>
      <c r="RH56" s="18"/>
      <c r="RI56" s="18"/>
      <c r="RJ56" s="18"/>
      <c r="RK56" s="18"/>
      <c r="RL56" s="18"/>
      <c r="RM56" s="18"/>
      <c r="RN56" s="18"/>
      <c r="RO56" s="18"/>
      <c r="RP56" s="18"/>
      <c r="RQ56" s="18"/>
      <c r="RR56" s="18"/>
      <c r="RS56" s="18"/>
      <c r="RT56" s="18"/>
      <c r="RU56" s="18"/>
      <c r="RV56" s="18"/>
      <c r="RW56" s="18"/>
      <c r="RX56" s="18"/>
      <c r="RY56" s="18"/>
      <c r="RZ56" s="18"/>
      <c r="SA56" s="18"/>
      <c r="SB56" s="18"/>
      <c r="SC56" s="18"/>
      <c r="SD56" s="18"/>
      <c r="SE56" s="18"/>
      <c r="SF56" s="18"/>
      <c r="SG56" s="18"/>
      <c r="SH56" s="18"/>
      <c r="SI56" s="18"/>
      <c r="SJ56" s="18"/>
      <c r="SK56" s="18"/>
      <c r="SL56" s="18"/>
      <c r="SM56" s="18"/>
      <c r="SN56" s="18"/>
      <c r="SO56" s="18"/>
      <c r="SP56" s="18"/>
      <c r="SQ56" s="18"/>
      <c r="SR56" s="18"/>
      <c r="SS56" s="18"/>
      <c r="ST56" s="18"/>
      <c r="SU56" s="18"/>
      <c r="SV56" s="18"/>
      <c r="SW56" s="18"/>
      <c r="SX56" s="18"/>
      <c r="SY56" s="18"/>
      <c r="SZ56" s="18"/>
      <c r="TA56" s="18"/>
      <c r="TB56" s="18"/>
      <c r="TC56" s="18"/>
      <c r="TD56" s="18"/>
      <c r="TE56" s="18"/>
      <c r="TF56" s="18"/>
      <c r="TG56" s="18"/>
      <c r="TH56" s="18"/>
      <c r="TI56" s="18"/>
      <c r="TJ56" s="18"/>
      <c r="TK56" s="18"/>
      <c r="TL56" s="18"/>
      <c r="TM56" s="18"/>
      <c r="TN56" s="18"/>
      <c r="TO56" s="18"/>
      <c r="TP56" s="18"/>
      <c r="TQ56" s="18"/>
      <c r="TR56" s="18"/>
      <c r="TS56" s="18"/>
      <c r="TT56" s="18"/>
      <c r="TU56" s="18"/>
      <c r="TV56" s="18"/>
      <c r="TW56" s="18"/>
      <c r="TX56" s="18"/>
      <c r="TY56" s="18"/>
      <c r="TZ56" s="18"/>
      <c r="UA56" s="18"/>
      <c r="UB56" s="18"/>
      <c r="UC56" s="18"/>
      <c r="UD56" s="18"/>
      <c r="UE56" s="18"/>
      <c r="UF56" s="18"/>
      <c r="UG56" s="18"/>
      <c r="UH56" s="18"/>
      <c r="UI56" s="18"/>
      <c r="UJ56" s="18"/>
      <c r="UK56" s="18"/>
      <c r="UL56" s="18"/>
      <c r="UM56" s="18"/>
      <c r="UN56" s="18"/>
      <c r="UO56" s="18"/>
      <c r="UP56" s="18"/>
      <c r="UQ56" s="18"/>
      <c r="UR56" s="18"/>
      <c r="US56" s="18"/>
      <c r="UT56" s="18"/>
      <c r="UU56" s="18"/>
      <c r="UV56" s="18"/>
      <c r="UW56" s="18"/>
      <c r="UX56" s="18"/>
      <c r="UY56" s="18"/>
      <c r="UZ56" s="18"/>
      <c r="VA56" s="18"/>
      <c r="VB56" s="18"/>
      <c r="VC56" s="18"/>
      <c r="VD56" s="18"/>
      <c r="VE56" s="18"/>
      <c r="VF56" s="18"/>
      <c r="VG56" s="18"/>
      <c r="VH56" s="18"/>
      <c r="VI56" s="18"/>
      <c r="VJ56" s="18"/>
      <c r="VK56" s="18"/>
      <c r="VL56" s="18"/>
      <c r="VM56" s="18"/>
      <c r="VN56" s="18"/>
      <c r="VO56" s="18"/>
      <c r="VP56" s="18"/>
      <c r="VQ56" s="18"/>
      <c r="VR56" s="18"/>
      <c r="VS56" s="18"/>
      <c r="VT56" s="18"/>
      <c r="VU56" s="18"/>
      <c r="VV56" s="18"/>
      <c r="VW56" s="18"/>
      <c r="VX56" s="18"/>
      <c r="VY56" s="18"/>
      <c r="VZ56" s="18"/>
      <c r="WA56" s="18"/>
      <c r="WB56" s="18"/>
      <c r="WC56" s="18"/>
      <c r="WD56" s="18"/>
      <c r="WE56" s="18"/>
      <c r="WF56" s="18"/>
      <c r="WG56" s="18"/>
      <c r="WH56" s="18"/>
      <c r="WI56" s="18"/>
      <c r="WJ56" s="18"/>
      <c r="WK56" s="18"/>
      <c r="WL56" s="18"/>
      <c r="WM56" s="18"/>
      <c r="WN56" s="18"/>
      <c r="WO56" s="18"/>
      <c r="WP56" s="18"/>
      <c r="WQ56" s="18"/>
      <c r="WR56" s="18"/>
      <c r="WS56" s="18"/>
      <c r="WT56" s="18"/>
      <c r="WU56" s="18"/>
      <c r="WV56" s="18"/>
      <c r="WW56" s="18"/>
      <c r="WX56" s="18"/>
      <c r="WY56" s="18"/>
      <c r="WZ56" s="18"/>
      <c r="XA56" s="18"/>
      <c r="XB56" s="18"/>
      <c r="XC56" s="18"/>
      <c r="XD56" s="18"/>
      <c r="XE56" s="18"/>
      <c r="XF56" s="18"/>
      <c r="XG56" s="18"/>
      <c r="XH56" s="18"/>
      <c r="XI56" s="18"/>
      <c r="XJ56" s="18"/>
      <c r="XK56" s="18"/>
      <c r="XL56" s="18"/>
      <c r="XM56" s="18"/>
      <c r="XN56" s="18"/>
      <c r="XO56" s="18"/>
      <c r="XP56" s="18"/>
      <c r="XQ56" s="18"/>
      <c r="XR56" s="18"/>
      <c r="XS56" s="18"/>
      <c r="XT56" s="18"/>
      <c r="XU56" s="18"/>
      <c r="XV56" s="18"/>
      <c r="XW56" s="18"/>
      <c r="XX56" s="18"/>
      <c r="XY56" s="18"/>
      <c r="XZ56" s="18"/>
      <c r="YA56" s="18"/>
      <c r="YB56" s="18"/>
      <c r="YC56" s="18"/>
      <c r="YD56" s="18"/>
      <c r="YE56" s="18"/>
      <c r="YF56" s="18"/>
      <c r="YG56" s="18"/>
      <c r="YH56" s="18"/>
      <c r="YI56" s="18"/>
      <c r="YJ56" s="18"/>
      <c r="YK56" s="18"/>
      <c r="YL56" s="18"/>
      <c r="YM56" s="18"/>
      <c r="YN56" s="18"/>
      <c r="YO56" s="18"/>
      <c r="YP56" s="18"/>
      <c r="YQ56" s="18"/>
      <c r="YR56" s="18"/>
      <c r="YS56" s="18"/>
      <c r="YT56" s="18"/>
      <c r="YU56" s="18"/>
      <c r="YV56" s="18"/>
      <c r="YW56" s="18"/>
      <c r="YX56" s="18"/>
      <c r="YY56" s="18"/>
      <c r="YZ56" s="18"/>
      <c r="ZA56" s="18"/>
      <c r="ZB56" s="18"/>
      <c r="ZC56" s="18"/>
      <c r="ZD56" s="18"/>
      <c r="ZE56" s="18"/>
      <c r="ZF56" s="18"/>
      <c r="ZG56" s="18"/>
      <c r="ZH56" s="18"/>
      <c r="ZI56" s="18"/>
      <c r="ZJ56" s="18"/>
      <c r="ZK56" s="18"/>
      <c r="ZL56" s="18"/>
      <c r="ZM56" s="18"/>
      <c r="ZN56" s="18"/>
      <c r="ZO56" s="18"/>
      <c r="ZP56" s="18"/>
      <c r="ZQ56" s="18"/>
      <c r="ZR56" s="18"/>
      <c r="ZS56" s="18"/>
      <c r="ZT56" s="18"/>
      <c r="ZU56" s="18"/>
      <c r="ZV56" s="18"/>
      <c r="ZW56" s="18"/>
      <c r="ZX56" s="18"/>
      <c r="ZY56" s="18"/>
      <c r="ZZ56" s="18"/>
      <c r="AAA56" s="18"/>
      <c r="AAB56" s="18"/>
      <c r="AAC56" s="18"/>
      <c r="AAD56" s="18"/>
      <c r="AAE56" s="18"/>
      <c r="AAF56" s="18"/>
      <c r="AAG56" s="18"/>
      <c r="AAH56" s="18"/>
      <c r="AAI56" s="18"/>
      <c r="AAJ56" s="18"/>
      <c r="AAK56" s="18"/>
      <c r="AAL56" s="18"/>
      <c r="AAM56" s="18"/>
      <c r="AAN56" s="18"/>
      <c r="AAO56" s="18"/>
      <c r="AAP56" s="18"/>
      <c r="AAQ56" s="18"/>
      <c r="AAR56" s="18"/>
      <c r="AAS56" s="18"/>
      <c r="AAT56" s="18"/>
      <c r="AAU56" s="18"/>
      <c r="AAV56" s="18"/>
      <c r="AAW56" s="18"/>
      <c r="AAX56" s="18"/>
      <c r="AAY56" s="18"/>
      <c r="AAZ56" s="18"/>
      <c r="ABA56" s="18"/>
      <c r="ABB56" s="18"/>
      <c r="ABC56" s="18"/>
      <c r="ABD56" s="18"/>
      <c r="ABE56" s="18"/>
      <c r="ABF56" s="18"/>
      <c r="ABG56" s="18"/>
      <c r="ABH56" s="18"/>
      <c r="ABI56" s="18"/>
      <c r="ABJ56" s="18"/>
      <c r="ABK56" s="18"/>
      <c r="ABL56" s="18"/>
      <c r="ABM56" s="18"/>
      <c r="ABN56" s="18"/>
      <c r="ABO56" s="18"/>
      <c r="ABP56" s="18"/>
      <c r="ABQ56" s="18"/>
      <c r="ABR56" s="18"/>
      <c r="ABS56" s="18"/>
      <c r="ABT56" s="18"/>
      <c r="ABU56" s="18"/>
      <c r="ABV56" s="18"/>
      <c r="ABW56" s="18"/>
      <c r="ABX56" s="18"/>
      <c r="ABY56" s="18"/>
      <c r="ABZ56" s="18"/>
      <c r="ACA56" s="18"/>
      <c r="ACB56" s="18"/>
      <c r="ACC56" s="18"/>
      <c r="ACD56" s="18"/>
      <c r="ACE56" s="18"/>
      <c r="ACF56" s="18"/>
      <c r="ACG56" s="18"/>
      <c r="ACH56" s="18"/>
      <c r="ACI56" s="18"/>
      <c r="ACJ56" s="18"/>
      <c r="ACK56" s="18"/>
      <c r="ACL56" s="18"/>
      <c r="ACM56" s="18"/>
      <c r="ACN56" s="18"/>
      <c r="ACO56" s="18"/>
      <c r="ACP56" s="18"/>
      <c r="ACQ56" s="18"/>
      <c r="ACR56" s="18"/>
      <c r="ACS56" s="18"/>
      <c r="ACT56" s="18"/>
      <c r="ACU56" s="18"/>
      <c r="ACV56" s="18"/>
      <c r="ACW56" s="18"/>
      <c r="ACX56" s="18"/>
      <c r="ACY56" s="18"/>
      <c r="ACZ56" s="18"/>
      <c r="ADA56" s="18"/>
      <c r="ADB56" s="18"/>
      <c r="ADC56" s="18"/>
      <c r="ADD56" s="18"/>
      <c r="ADE56" s="18"/>
      <c r="ADF56" s="18"/>
      <c r="ADG56" s="18"/>
      <c r="ADH56" s="18"/>
      <c r="ADI56" s="18"/>
      <c r="ADJ56" s="18"/>
      <c r="ADK56" s="18"/>
      <c r="ADL56" s="18"/>
      <c r="ADM56" s="18"/>
      <c r="ADN56" s="18"/>
      <c r="ADO56" s="18"/>
      <c r="ADP56" s="18"/>
      <c r="ADQ56" s="18"/>
      <c r="ADR56" s="18"/>
      <c r="ADS56" s="18"/>
      <c r="ADT56" s="18"/>
      <c r="ADU56" s="18"/>
      <c r="ADV56" s="18"/>
      <c r="ADW56" s="18"/>
      <c r="ADX56" s="18"/>
      <c r="ADY56" s="18"/>
      <c r="ADZ56" s="18"/>
      <c r="AEA56" s="18"/>
      <c r="AEB56" s="18"/>
      <c r="AEC56" s="18"/>
      <c r="AED56" s="18"/>
      <c r="AEE56" s="18"/>
      <c r="AEF56" s="18"/>
      <c r="AEG56" s="18"/>
      <c r="AEH56" s="18"/>
      <c r="AEI56" s="18"/>
      <c r="AEJ56" s="18"/>
      <c r="AEK56" s="18"/>
      <c r="AEL56" s="18"/>
      <c r="AEM56" s="18"/>
      <c r="AEN56" s="18"/>
      <c r="AEO56" s="18"/>
      <c r="AEP56" s="18"/>
      <c r="AEQ56" s="18"/>
      <c r="AER56" s="18"/>
      <c r="AES56" s="18"/>
      <c r="AET56" s="18"/>
      <c r="AEU56" s="18"/>
      <c r="AEV56" s="18"/>
      <c r="AEW56" s="18"/>
      <c r="AEX56" s="18"/>
      <c r="AEY56" s="18"/>
      <c r="AEZ56" s="18"/>
      <c r="AFA56" s="18"/>
      <c r="AFB56" s="18"/>
      <c r="AFC56" s="18"/>
      <c r="AFD56" s="18"/>
      <c r="AFE56" s="18"/>
      <c r="AFF56" s="18"/>
      <c r="AFG56" s="18"/>
      <c r="AFH56" s="18"/>
      <c r="AFI56" s="18"/>
      <c r="AFJ56" s="18"/>
      <c r="AFK56" s="18"/>
      <c r="AFL56" s="18"/>
      <c r="AFM56" s="18"/>
      <c r="AFN56" s="18"/>
      <c r="AFO56" s="18"/>
      <c r="AFP56" s="18"/>
      <c r="AFQ56" s="18"/>
      <c r="AFR56" s="18"/>
      <c r="AFS56" s="18"/>
      <c r="AFT56" s="18"/>
      <c r="AFU56" s="18"/>
      <c r="AFV56" s="18"/>
      <c r="AFW56" s="18"/>
      <c r="AFX56" s="18"/>
      <c r="AFY56" s="18"/>
      <c r="AFZ56" s="18"/>
      <c r="AGA56" s="18"/>
      <c r="AGB56" s="18"/>
      <c r="AGC56" s="18"/>
      <c r="AGD56" s="18"/>
      <c r="AGE56" s="18"/>
      <c r="AGF56" s="18"/>
      <c r="AGG56" s="18"/>
      <c r="AGH56" s="18"/>
      <c r="AGI56" s="18"/>
      <c r="AGJ56" s="18"/>
      <c r="AGK56" s="18"/>
      <c r="AGL56" s="18"/>
      <c r="AGM56" s="18"/>
      <c r="AGN56" s="18"/>
      <c r="AGO56" s="18"/>
      <c r="AGP56" s="18"/>
      <c r="AGQ56" s="18"/>
      <c r="AGR56" s="18"/>
      <c r="AGS56" s="18"/>
      <c r="AGT56" s="18"/>
      <c r="AGU56" s="18"/>
      <c r="AGV56" s="18"/>
      <c r="AGW56" s="18"/>
      <c r="AGX56" s="18"/>
      <c r="AGY56" s="18"/>
      <c r="AGZ56" s="18"/>
      <c r="AHA56" s="18"/>
      <c r="AHB56" s="18"/>
      <c r="AHC56" s="18"/>
      <c r="AHD56" s="18"/>
      <c r="AHE56" s="18"/>
      <c r="AHF56" s="18"/>
      <c r="AHG56" s="18"/>
      <c r="AHH56" s="18"/>
      <c r="AHI56" s="18"/>
      <c r="AHJ56" s="18"/>
      <c r="AHK56" s="18"/>
      <c r="AHL56" s="18"/>
      <c r="AHM56" s="18"/>
      <c r="AHN56" s="18"/>
      <c r="AHO56" s="18"/>
      <c r="AHP56" s="18"/>
      <c r="AHQ56" s="18"/>
      <c r="AHR56" s="18"/>
      <c r="AHS56" s="18"/>
      <c r="AHT56" s="18"/>
      <c r="AHU56" s="18"/>
      <c r="AHV56" s="18"/>
      <c r="AHW56" s="18"/>
      <c r="AHX56" s="18"/>
      <c r="AHY56" s="18"/>
      <c r="AHZ56" s="18"/>
      <c r="AIA56" s="18"/>
      <c r="AIB56" s="18"/>
      <c r="AIC56" s="18"/>
      <c r="AID56" s="18"/>
      <c r="AIE56" s="18"/>
      <c r="AIF56" s="18"/>
      <c r="AIG56" s="18"/>
      <c r="AIH56" s="18"/>
      <c r="AII56" s="18"/>
      <c r="AIJ56" s="18"/>
      <c r="AIK56" s="18"/>
      <c r="AIL56" s="18"/>
      <c r="AIM56" s="18"/>
      <c r="AIN56" s="18"/>
      <c r="AIO56" s="18"/>
      <c r="AIP56" s="18"/>
      <c r="AIQ56" s="18"/>
      <c r="AIR56" s="18"/>
      <c r="AIS56" s="18"/>
      <c r="AIT56" s="18"/>
      <c r="AIU56" s="18"/>
      <c r="AIV56" s="18"/>
      <c r="AIW56" s="18"/>
      <c r="AIX56" s="18"/>
      <c r="AIY56" s="18"/>
      <c r="AIZ56" s="18"/>
      <c r="AJA56" s="18"/>
      <c r="AJB56" s="18"/>
      <c r="AJC56" s="18"/>
      <c r="AJD56" s="18"/>
      <c r="AJE56" s="18"/>
      <c r="AJF56" s="18"/>
      <c r="AJG56" s="18"/>
      <c r="AJH56" s="18"/>
      <c r="AJI56" s="18"/>
      <c r="AJJ56" s="18"/>
      <c r="AJK56" s="18"/>
      <c r="AJL56" s="18"/>
      <c r="AJM56" s="18"/>
      <c r="AJN56" s="18"/>
      <c r="AJO56" s="18"/>
      <c r="AJP56" s="18"/>
      <c r="AJQ56" s="18"/>
      <c r="AJR56" s="18"/>
      <c r="AJS56" s="18"/>
      <c r="AJT56" s="18"/>
      <c r="AJU56" s="18"/>
      <c r="AJV56" s="18"/>
      <c r="AJW56" s="18"/>
      <c r="AJX56" s="18"/>
      <c r="AJY56" s="18"/>
      <c r="AJZ56" s="18"/>
      <c r="AKA56" s="18"/>
      <c r="AKB56" s="18"/>
      <c r="AKC56" s="18"/>
      <c r="AKD56" s="18"/>
      <c r="AKE56" s="18"/>
      <c r="AKF56" s="18"/>
      <c r="AKG56" s="18"/>
      <c r="AKH56" s="18"/>
      <c r="AKI56" s="18"/>
      <c r="AKJ56" s="18"/>
      <c r="AKK56" s="18"/>
      <c r="AKL56" s="18"/>
      <c r="AKM56" s="18"/>
      <c r="AKN56" s="18"/>
      <c r="AKO56" s="18"/>
      <c r="AKP56" s="18"/>
      <c r="AKQ56" s="18"/>
      <c r="AKR56" s="18"/>
      <c r="AKS56" s="18"/>
      <c r="AKT56" s="18"/>
      <c r="AKU56" s="18"/>
      <c r="AKV56" s="18"/>
      <c r="AKW56" s="18"/>
      <c r="AKX56" s="18"/>
      <c r="AKY56" s="18"/>
      <c r="AKZ56" s="18"/>
      <c r="ALA56" s="18"/>
      <c r="ALB56" s="18"/>
      <c r="ALC56" s="18"/>
      <c r="ALD56" s="18"/>
      <c r="ALE56" s="18"/>
      <c r="ALF56" s="18"/>
      <c r="ALG56" s="18"/>
      <c r="ALH56" s="18"/>
      <c r="ALI56" s="18"/>
      <c r="ALJ56" s="18"/>
      <c r="ALK56" s="18"/>
      <c r="ALL56" s="18"/>
      <c r="ALM56" s="18"/>
      <c r="ALN56" s="18"/>
      <c r="ALO56" s="18"/>
      <c r="ALP56" s="18"/>
      <c r="ALQ56" s="18"/>
      <c r="ALR56" s="18"/>
      <c r="ALS56" s="18"/>
      <c r="ALT56" s="18"/>
    </row>
    <row r="57" spans="1:1008">
      <c r="A57" s="251" t="s">
        <v>6307</v>
      </c>
      <c r="B57" s="290">
        <v>379</v>
      </c>
      <c r="C57" s="278" t="str">
        <f>(IF($A57="SINAPI",INDEX(SINAPI_NOV2020_NDES!$A$7:$H$6703,MATCH($B57,SINAPI_NOV2020_NDES!$A$7:$A$6703,0),2),IF($A57="GOINFRA",INDEX(#REF!,MATCH($B57,#REF!,0),2),(INDEX(COMPOS!$A$4:$G$390,MATCH($B57,COMPOS!$A$4:A$390,0),2)))))</f>
        <v>PORTA GRELHA QUADRADA PVC CROMADO, DIAM. 150MM</v>
      </c>
      <c r="D57" s="274" t="str">
        <f>(IF($A57="SINAPI",INDEX(SINAPI_NOV2020_NDES!$A$7:$H$6790,MATCH($B57,SINAPI_NOV2020_NDES!$A$7:$A$6790,0),3),(INDEX(COMPOS!$A$4:$G$5000,MATCH($B57,COMPOS!$A$4:$A$5000,0),3))))</f>
        <v>UN</v>
      </c>
      <c r="E57" s="314">
        <v>4</v>
      </c>
      <c r="F57" s="279">
        <f>(IF($A57="SINAPI",INDEX(SINAPI_NOV2020_NDES!$A$7:$H$6703,MATCH($B57,SINAPI_NOV2020_NDES!$A$7:$A$6703,0),5),(INDEX(COMPOS!$A$4:$G$801,MATCH($B57,COMPOS!$A$4:A$801,0),4))))</f>
        <v>3.7440000000000002</v>
      </c>
      <c r="G57" s="280">
        <f>(IF($A57="SINAPI",INDEX(SINAPI_NOV2020_NDES!$A$7:$H$6703,MATCH($B57,SINAPI_NOV2020_NDES!$A$7:$A$6703,0),6),(INDEX(COMPOS!$A$4:$G$801,MATCH($B57,COMPOS!$A$4:A$801,0),5))))</f>
        <v>6.36</v>
      </c>
      <c r="H57" s="280">
        <f>(IF($A57="SINAPI",INDEX(SINAPI_NOV2020_NDES!$A$7:$H$6703,MATCH($B57,SINAPI_NOV2020_NDES!$A$7:$A$6703,0),7),(INDEX(COMPOS!$A$4:$G$801,MATCH($B57,COMPOS!$A$4:A$801,0),6))))</f>
        <v>0</v>
      </c>
      <c r="I57" s="279">
        <f t="shared" si="12"/>
        <v>10.104000000000001</v>
      </c>
      <c r="J57" s="276">
        <f t="shared" si="13"/>
        <v>40.416000000000004</v>
      </c>
      <c r="K57" s="191"/>
      <c r="L57" s="191"/>
      <c r="M57" s="191"/>
      <c r="N57" s="191"/>
      <c r="O57" s="262"/>
      <c r="P57" s="263"/>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c r="EF57" s="18"/>
      <c r="EG57" s="18"/>
      <c r="EH57" s="18"/>
      <c r="EI57" s="18"/>
      <c r="EJ57" s="18"/>
      <c r="EK57" s="18"/>
      <c r="EL57" s="18"/>
      <c r="EM57" s="18"/>
      <c r="EN57" s="18"/>
      <c r="EO57" s="18"/>
      <c r="EP57" s="18"/>
      <c r="EQ57" s="18"/>
      <c r="ER57" s="18"/>
      <c r="ES57" s="18"/>
      <c r="ET57" s="18"/>
      <c r="EU57" s="18"/>
      <c r="EV57" s="18"/>
      <c r="EW57" s="18"/>
      <c r="EX57" s="18"/>
      <c r="EY57" s="18"/>
      <c r="EZ57" s="18"/>
      <c r="FA57" s="18"/>
      <c r="FB57" s="18"/>
      <c r="FC57" s="18"/>
      <c r="FD57" s="18"/>
      <c r="FE57" s="18"/>
      <c r="FF57" s="18"/>
      <c r="FG57" s="18"/>
      <c r="FH57" s="18"/>
      <c r="FI57" s="18"/>
      <c r="FJ57" s="18"/>
      <c r="FK57" s="18"/>
      <c r="FL57" s="18"/>
      <c r="FM57" s="18"/>
      <c r="FN57" s="18"/>
      <c r="FO57" s="18"/>
      <c r="FP57" s="18"/>
      <c r="FQ57" s="18"/>
      <c r="FR57" s="18"/>
      <c r="FS57" s="18"/>
      <c r="FT57" s="18"/>
      <c r="FU57" s="18"/>
      <c r="FV57" s="18"/>
      <c r="FW57" s="18"/>
      <c r="FX57" s="18"/>
      <c r="FY57" s="18"/>
      <c r="FZ57" s="18"/>
      <c r="GA57" s="18"/>
      <c r="GB57" s="18"/>
      <c r="GC57" s="18"/>
      <c r="GD57" s="18"/>
      <c r="GE57" s="18"/>
      <c r="GF57" s="18"/>
      <c r="GG57" s="18"/>
      <c r="GH57" s="18"/>
      <c r="GI57" s="18"/>
      <c r="GJ57" s="18"/>
      <c r="GK57" s="18"/>
      <c r="GL57" s="18"/>
      <c r="GM57" s="18"/>
      <c r="GN57" s="18"/>
      <c r="GO57" s="18"/>
      <c r="GP57" s="18"/>
      <c r="GQ57" s="18"/>
      <c r="GR57" s="18"/>
      <c r="GS57" s="18"/>
      <c r="GT57" s="18"/>
      <c r="GU57" s="18"/>
      <c r="GV57" s="18"/>
      <c r="GW57" s="18"/>
      <c r="GX57" s="18"/>
      <c r="GY57" s="18"/>
      <c r="GZ57" s="18"/>
      <c r="HA57" s="18"/>
      <c r="HB57" s="18"/>
      <c r="HC57" s="18"/>
      <c r="HD57" s="18"/>
      <c r="HE57" s="18"/>
      <c r="HF57" s="18"/>
      <c r="HG57" s="18"/>
      <c r="HH57" s="18"/>
      <c r="HI57" s="18"/>
      <c r="HJ57" s="18"/>
      <c r="HK57" s="18"/>
      <c r="HL57" s="18"/>
      <c r="HM57" s="18"/>
      <c r="HN57" s="18"/>
      <c r="HO57" s="18"/>
      <c r="HP57" s="18"/>
      <c r="HQ57" s="18"/>
      <c r="HR57" s="18"/>
      <c r="HS57" s="18"/>
      <c r="HT57" s="18"/>
      <c r="HU57" s="18"/>
      <c r="HV57" s="18"/>
      <c r="HW57" s="18"/>
      <c r="HX57" s="18"/>
      <c r="HY57" s="18"/>
      <c r="HZ57" s="18"/>
      <c r="IA57" s="18"/>
      <c r="IB57" s="18"/>
      <c r="IC57" s="18"/>
      <c r="ID57" s="18"/>
      <c r="IE57" s="18"/>
      <c r="IF57" s="18"/>
      <c r="IG57" s="18"/>
      <c r="IH57" s="18"/>
      <c r="II57" s="18"/>
      <c r="IJ57" s="18"/>
      <c r="IK57" s="18"/>
      <c r="IL57" s="18"/>
      <c r="IM57" s="18"/>
      <c r="IN57" s="18"/>
      <c r="IO57" s="18"/>
      <c r="IP57" s="18"/>
      <c r="IQ57" s="18"/>
      <c r="IR57" s="18"/>
      <c r="IS57" s="18"/>
      <c r="IT57" s="18"/>
      <c r="IU57" s="18"/>
      <c r="IV57" s="18"/>
      <c r="IW57" s="18"/>
      <c r="IX57" s="18"/>
      <c r="IY57" s="18"/>
      <c r="IZ57" s="18"/>
      <c r="JA57" s="18"/>
      <c r="JB57" s="18"/>
      <c r="JC57" s="18"/>
      <c r="JD57" s="18"/>
      <c r="JE57" s="18"/>
      <c r="JF57" s="18"/>
      <c r="JG57" s="18"/>
      <c r="JH57" s="18"/>
      <c r="JI57" s="18"/>
      <c r="JJ57" s="18"/>
      <c r="JK57" s="18"/>
      <c r="JL57" s="18"/>
      <c r="JM57" s="18"/>
      <c r="JN57" s="18"/>
      <c r="JO57" s="18"/>
      <c r="JP57" s="18"/>
      <c r="JQ57" s="18"/>
      <c r="JR57" s="18"/>
      <c r="JS57" s="18"/>
      <c r="JT57" s="18"/>
      <c r="JU57" s="18"/>
      <c r="JV57" s="18"/>
      <c r="JW57" s="18"/>
      <c r="JX57" s="18"/>
      <c r="JY57" s="18"/>
      <c r="JZ57" s="18"/>
      <c r="KA57" s="18"/>
      <c r="KB57" s="18"/>
      <c r="KC57" s="18"/>
      <c r="KD57" s="18"/>
      <c r="KE57" s="18"/>
      <c r="KF57" s="18"/>
      <c r="KG57" s="18"/>
      <c r="KH57" s="18"/>
      <c r="KI57" s="18"/>
      <c r="KJ57" s="18"/>
      <c r="KK57" s="18"/>
      <c r="KL57" s="18"/>
      <c r="KM57" s="18"/>
      <c r="KN57" s="18"/>
      <c r="KO57" s="18"/>
      <c r="KP57" s="18"/>
      <c r="KQ57" s="18"/>
      <c r="KR57" s="18"/>
      <c r="KS57" s="18"/>
      <c r="KT57" s="18"/>
      <c r="KU57" s="18"/>
      <c r="KV57" s="18"/>
      <c r="KW57" s="18"/>
      <c r="KX57" s="18"/>
      <c r="KY57" s="18"/>
      <c r="KZ57" s="18"/>
      <c r="LA57" s="18"/>
      <c r="LB57" s="18"/>
      <c r="LC57" s="18"/>
      <c r="LD57" s="18"/>
      <c r="LE57" s="18"/>
      <c r="LF57" s="18"/>
      <c r="LG57" s="18"/>
      <c r="LH57" s="18"/>
      <c r="LI57" s="18"/>
      <c r="LJ57" s="18"/>
      <c r="LK57" s="18"/>
      <c r="LL57" s="18"/>
      <c r="LM57" s="18"/>
      <c r="LN57" s="18"/>
      <c r="LO57" s="18"/>
      <c r="LP57" s="18"/>
      <c r="LQ57" s="18"/>
      <c r="LR57" s="18"/>
      <c r="LS57" s="18"/>
      <c r="LT57" s="18"/>
      <c r="LU57" s="18"/>
      <c r="LV57" s="18"/>
      <c r="LW57" s="18"/>
      <c r="LX57" s="18"/>
      <c r="LY57" s="18"/>
      <c r="LZ57" s="18"/>
      <c r="MA57" s="18"/>
      <c r="MB57" s="18"/>
      <c r="MC57" s="18"/>
      <c r="MD57" s="18"/>
      <c r="ME57" s="18"/>
      <c r="MF57" s="18"/>
      <c r="MG57" s="18"/>
      <c r="MH57" s="18"/>
      <c r="MI57" s="18"/>
      <c r="MJ57" s="18"/>
      <c r="MK57" s="18"/>
      <c r="ML57" s="18"/>
      <c r="MM57" s="18"/>
      <c r="MN57" s="18"/>
      <c r="MO57" s="18"/>
      <c r="MP57" s="18"/>
      <c r="MQ57" s="18"/>
      <c r="MR57" s="18"/>
      <c r="MS57" s="18"/>
      <c r="MT57" s="18"/>
      <c r="MU57" s="18"/>
      <c r="MV57" s="18"/>
      <c r="MW57" s="18"/>
      <c r="MX57" s="18"/>
      <c r="MY57" s="18"/>
      <c r="MZ57" s="18"/>
      <c r="NA57" s="18"/>
      <c r="NB57" s="18"/>
      <c r="NC57" s="18"/>
      <c r="ND57" s="18"/>
      <c r="NE57" s="18"/>
      <c r="NF57" s="18"/>
      <c r="NG57" s="18"/>
      <c r="NH57" s="18"/>
      <c r="NI57" s="18"/>
      <c r="NJ57" s="18"/>
      <c r="NK57" s="18"/>
      <c r="NL57" s="18"/>
      <c r="NM57" s="18"/>
      <c r="NN57" s="18"/>
      <c r="NO57" s="18"/>
      <c r="NP57" s="18"/>
      <c r="NQ57" s="18"/>
      <c r="NR57" s="18"/>
      <c r="NS57" s="18"/>
      <c r="NT57" s="18"/>
      <c r="NU57" s="18"/>
      <c r="NV57" s="18"/>
      <c r="NW57" s="18"/>
      <c r="NX57" s="18"/>
      <c r="NY57" s="18"/>
      <c r="NZ57" s="18"/>
      <c r="OA57" s="18"/>
      <c r="OB57" s="18"/>
      <c r="OC57" s="18"/>
      <c r="OD57" s="18"/>
      <c r="OE57" s="18"/>
      <c r="OF57" s="18"/>
      <c r="OG57" s="18"/>
      <c r="OH57" s="18"/>
      <c r="OI57" s="18"/>
      <c r="OJ57" s="18"/>
      <c r="OK57" s="18"/>
      <c r="OL57" s="18"/>
      <c r="OM57" s="18"/>
      <c r="ON57" s="18"/>
      <c r="OO57" s="18"/>
      <c r="OP57" s="18"/>
      <c r="OQ57" s="18"/>
      <c r="OR57" s="18"/>
      <c r="OS57" s="18"/>
      <c r="OT57" s="18"/>
      <c r="OU57" s="18"/>
      <c r="OV57" s="18"/>
      <c r="OW57" s="18"/>
      <c r="OX57" s="18"/>
      <c r="OY57" s="18"/>
      <c r="OZ57" s="18"/>
      <c r="PA57" s="18"/>
      <c r="PB57" s="18"/>
      <c r="PC57" s="18"/>
      <c r="PD57" s="18"/>
      <c r="PE57" s="18"/>
      <c r="PF57" s="18"/>
      <c r="PG57" s="18"/>
      <c r="PH57" s="18"/>
      <c r="PI57" s="18"/>
      <c r="PJ57" s="18"/>
      <c r="PK57" s="18"/>
      <c r="PL57" s="18"/>
      <c r="PM57" s="18"/>
      <c r="PN57" s="18"/>
      <c r="PO57" s="18"/>
      <c r="PP57" s="18"/>
      <c r="PQ57" s="18"/>
      <c r="PR57" s="18"/>
      <c r="PS57" s="18"/>
      <c r="PT57" s="18"/>
      <c r="PU57" s="18"/>
      <c r="PV57" s="18"/>
      <c r="PW57" s="18"/>
      <c r="PX57" s="18"/>
      <c r="PY57" s="18"/>
      <c r="PZ57" s="18"/>
      <c r="QA57" s="18"/>
      <c r="QB57" s="18"/>
      <c r="QC57" s="18"/>
      <c r="QD57" s="18"/>
      <c r="QE57" s="18"/>
      <c r="QF57" s="18"/>
      <c r="QG57" s="18"/>
      <c r="QH57" s="18"/>
      <c r="QI57" s="18"/>
      <c r="QJ57" s="18"/>
      <c r="QK57" s="18"/>
      <c r="QL57" s="18"/>
      <c r="QM57" s="18"/>
      <c r="QN57" s="18"/>
      <c r="QO57" s="18"/>
      <c r="QP57" s="18"/>
      <c r="QQ57" s="18"/>
      <c r="QR57" s="18"/>
      <c r="QS57" s="18"/>
      <c r="QT57" s="18"/>
      <c r="QU57" s="18"/>
      <c r="QV57" s="18"/>
      <c r="QW57" s="18"/>
      <c r="QX57" s="18"/>
      <c r="QY57" s="18"/>
      <c r="QZ57" s="18"/>
      <c r="RA57" s="18"/>
      <c r="RB57" s="18"/>
      <c r="RC57" s="18"/>
      <c r="RD57" s="18"/>
      <c r="RE57" s="18"/>
      <c r="RF57" s="18"/>
      <c r="RG57" s="18"/>
      <c r="RH57" s="18"/>
      <c r="RI57" s="18"/>
      <c r="RJ57" s="18"/>
      <c r="RK57" s="18"/>
      <c r="RL57" s="18"/>
      <c r="RM57" s="18"/>
      <c r="RN57" s="18"/>
      <c r="RO57" s="18"/>
      <c r="RP57" s="18"/>
      <c r="RQ57" s="18"/>
      <c r="RR57" s="18"/>
      <c r="RS57" s="18"/>
      <c r="RT57" s="18"/>
      <c r="RU57" s="18"/>
      <c r="RV57" s="18"/>
      <c r="RW57" s="18"/>
      <c r="RX57" s="18"/>
      <c r="RY57" s="18"/>
      <c r="RZ57" s="18"/>
      <c r="SA57" s="18"/>
      <c r="SB57" s="18"/>
      <c r="SC57" s="18"/>
      <c r="SD57" s="18"/>
      <c r="SE57" s="18"/>
      <c r="SF57" s="18"/>
      <c r="SG57" s="18"/>
      <c r="SH57" s="18"/>
      <c r="SI57" s="18"/>
      <c r="SJ57" s="18"/>
      <c r="SK57" s="18"/>
      <c r="SL57" s="18"/>
      <c r="SM57" s="18"/>
      <c r="SN57" s="18"/>
      <c r="SO57" s="18"/>
      <c r="SP57" s="18"/>
      <c r="SQ57" s="18"/>
      <c r="SR57" s="18"/>
      <c r="SS57" s="18"/>
      <c r="ST57" s="18"/>
      <c r="SU57" s="18"/>
      <c r="SV57" s="18"/>
      <c r="SW57" s="18"/>
      <c r="SX57" s="18"/>
      <c r="SY57" s="18"/>
      <c r="SZ57" s="18"/>
      <c r="TA57" s="18"/>
      <c r="TB57" s="18"/>
      <c r="TC57" s="18"/>
      <c r="TD57" s="18"/>
      <c r="TE57" s="18"/>
      <c r="TF57" s="18"/>
      <c r="TG57" s="18"/>
      <c r="TH57" s="18"/>
      <c r="TI57" s="18"/>
      <c r="TJ57" s="18"/>
      <c r="TK57" s="18"/>
      <c r="TL57" s="18"/>
      <c r="TM57" s="18"/>
      <c r="TN57" s="18"/>
      <c r="TO57" s="18"/>
      <c r="TP57" s="18"/>
      <c r="TQ57" s="18"/>
      <c r="TR57" s="18"/>
      <c r="TS57" s="18"/>
      <c r="TT57" s="18"/>
      <c r="TU57" s="18"/>
      <c r="TV57" s="18"/>
      <c r="TW57" s="18"/>
      <c r="TX57" s="18"/>
      <c r="TY57" s="18"/>
      <c r="TZ57" s="18"/>
      <c r="UA57" s="18"/>
      <c r="UB57" s="18"/>
      <c r="UC57" s="18"/>
      <c r="UD57" s="18"/>
      <c r="UE57" s="18"/>
      <c r="UF57" s="18"/>
      <c r="UG57" s="18"/>
      <c r="UH57" s="18"/>
      <c r="UI57" s="18"/>
      <c r="UJ57" s="18"/>
      <c r="UK57" s="18"/>
      <c r="UL57" s="18"/>
      <c r="UM57" s="18"/>
      <c r="UN57" s="18"/>
      <c r="UO57" s="18"/>
      <c r="UP57" s="18"/>
      <c r="UQ57" s="18"/>
      <c r="UR57" s="18"/>
      <c r="US57" s="18"/>
      <c r="UT57" s="18"/>
      <c r="UU57" s="18"/>
      <c r="UV57" s="18"/>
      <c r="UW57" s="18"/>
      <c r="UX57" s="18"/>
      <c r="UY57" s="18"/>
      <c r="UZ57" s="18"/>
      <c r="VA57" s="18"/>
      <c r="VB57" s="18"/>
      <c r="VC57" s="18"/>
      <c r="VD57" s="18"/>
      <c r="VE57" s="18"/>
      <c r="VF57" s="18"/>
      <c r="VG57" s="18"/>
      <c r="VH57" s="18"/>
      <c r="VI57" s="18"/>
      <c r="VJ57" s="18"/>
      <c r="VK57" s="18"/>
      <c r="VL57" s="18"/>
      <c r="VM57" s="18"/>
      <c r="VN57" s="18"/>
      <c r="VO57" s="18"/>
      <c r="VP57" s="18"/>
      <c r="VQ57" s="18"/>
      <c r="VR57" s="18"/>
      <c r="VS57" s="18"/>
      <c r="VT57" s="18"/>
      <c r="VU57" s="18"/>
      <c r="VV57" s="18"/>
      <c r="VW57" s="18"/>
      <c r="VX57" s="18"/>
      <c r="VY57" s="18"/>
      <c r="VZ57" s="18"/>
      <c r="WA57" s="18"/>
      <c r="WB57" s="18"/>
      <c r="WC57" s="18"/>
      <c r="WD57" s="18"/>
      <c r="WE57" s="18"/>
      <c r="WF57" s="18"/>
      <c r="WG57" s="18"/>
      <c r="WH57" s="18"/>
      <c r="WI57" s="18"/>
      <c r="WJ57" s="18"/>
      <c r="WK57" s="18"/>
      <c r="WL57" s="18"/>
      <c r="WM57" s="18"/>
      <c r="WN57" s="18"/>
      <c r="WO57" s="18"/>
      <c r="WP57" s="18"/>
      <c r="WQ57" s="18"/>
      <c r="WR57" s="18"/>
      <c r="WS57" s="18"/>
      <c r="WT57" s="18"/>
      <c r="WU57" s="18"/>
      <c r="WV57" s="18"/>
      <c r="WW57" s="18"/>
      <c r="WX57" s="18"/>
      <c r="WY57" s="18"/>
      <c r="WZ57" s="18"/>
      <c r="XA57" s="18"/>
      <c r="XB57" s="18"/>
      <c r="XC57" s="18"/>
      <c r="XD57" s="18"/>
      <c r="XE57" s="18"/>
      <c r="XF57" s="18"/>
      <c r="XG57" s="18"/>
      <c r="XH57" s="18"/>
      <c r="XI57" s="18"/>
      <c r="XJ57" s="18"/>
      <c r="XK57" s="18"/>
      <c r="XL57" s="18"/>
      <c r="XM57" s="18"/>
      <c r="XN57" s="18"/>
      <c r="XO57" s="18"/>
      <c r="XP57" s="18"/>
      <c r="XQ57" s="18"/>
      <c r="XR57" s="18"/>
      <c r="XS57" s="18"/>
      <c r="XT57" s="18"/>
      <c r="XU57" s="18"/>
      <c r="XV57" s="18"/>
      <c r="XW57" s="18"/>
      <c r="XX57" s="18"/>
      <c r="XY57" s="18"/>
      <c r="XZ57" s="18"/>
      <c r="YA57" s="18"/>
      <c r="YB57" s="18"/>
      <c r="YC57" s="18"/>
      <c r="YD57" s="18"/>
      <c r="YE57" s="18"/>
      <c r="YF57" s="18"/>
      <c r="YG57" s="18"/>
      <c r="YH57" s="18"/>
      <c r="YI57" s="18"/>
      <c r="YJ57" s="18"/>
      <c r="YK57" s="18"/>
      <c r="YL57" s="18"/>
      <c r="YM57" s="18"/>
      <c r="YN57" s="18"/>
      <c r="YO57" s="18"/>
      <c r="YP57" s="18"/>
      <c r="YQ57" s="18"/>
      <c r="YR57" s="18"/>
      <c r="YS57" s="18"/>
      <c r="YT57" s="18"/>
      <c r="YU57" s="18"/>
      <c r="YV57" s="18"/>
      <c r="YW57" s="18"/>
      <c r="YX57" s="18"/>
      <c r="YY57" s="18"/>
      <c r="YZ57" s="18"/>
      <c r="ZA57" s="18"/>
      <c r="ZB57" s="18"/>
      <c r="ZC57" s="18"/>
      <c r="ZD57" s="18"/>
      <c r="ZE57" s="18"/>
      <c r="ZF57" s="18"/>
      <c r="ZG57" s="18"/>
      <c r="ZH57" s="18"/>
      <c r="ZI57" s="18"/>
      <c r="ZJ57" s="18"/>
      <c r="ZK57" s="18"/>
      <c r="ZL57" s="18"/>
      <c r="ZM57" s="18"/>
      <c r="ZN57" s="18"/>
      <c r="ZO57" s="18"/>
      <c r="ZP57" s="18"/>
      <c r="ZQ57" s="18"/>
      <c r="ZR57" s="18"/>
      <c r="ZS57" s="18"/>
      <c r="ZT57" s="18"/>
      <c r="ZU57" s="18"/>
      <c r="ZV57" s="18"/>
      <c r="ZW57" s="18"/>
      <c r="ZX57" s="18"/>
      <c r="ZY57" s="18"/>
      <c r="ZZ57" s="18"/>
      <c r="AAA57" s="18"/>
      <c r="AAB57" s="18"/>
      <c r="AAC57" s="18"/>
      <c r="AAD57" s="18"/>
      <c r="AAE57" s="18"/>
      <c r="AAF57" s="18"/>
      <c r="AAG57" s="18"/>
      <c r="AAH57" s="18"/>
      <c r="AAI57" s="18"/>
      <c r="AAJ57" s="18"/>
      <c r="AAK57" s="18"/>
      <c r="AAL57" s="18"/>
      <c r="AAM57" s="18"/>
      <c r="AAN57" s="18"/>
      <c r="AAO57" s="18"/>
      <c r="AAP57" s="18"/>
      <c r="AAQ57" s="18"/>
      <c r="AAR57" s="18"/>
      <c r="AAS57" s="18"/>
      <c r="AAT57" s="18"/>
      <c r="AAU57" s="18"/>
      <c r="AAV57" s="18"/>
      <c r="AAW57" s="18"/>
      <c r="AAX57" s="18"/>
      <c r="AAY57" s="18"/>
      <c r="AAZ57" s="18"/>
      <c r="ABA57" s="18"/>
      <c r="ABB57" s="18"/>
      <c r="ABC57" s="18"/>
      <c r="ABD57" s="18"/>
      <c r="ABE57" s="18"/>
      <c r="ABF57" s="18"/>
      <c r="ABG57" s="18"/>
      <c r="ABH57" s="18"/>
      <c r="ABI57" s="18"/>
      <c r="ABJ57" s="18"/>
      <c r="ABK57" s="18"/>
      <c r="ABL57" s="18"/>
      <c r="ABM57" s="18"/>
      <c r="ABN57" s="18"/>
      <c r="ABO57" s="18"/>
      <c r="ABP57" s="18"/>
      <c r="ABQ57" s="18"/>
      <c r="ABR57" s="18"/>
      <c r="ABS57" s="18"/>
      <c r="ABT57" s="18"/>
      <c r="ABU57" s="18"/>
      <c r="ABV57" s="18"/>
      <c r="ABW57" s="18"/>
      <c r="ABX57" s="18"/>
      <c r="ABY57" s="18"/>
      <c r="ABZ57" s="18"/>
      <c r="ACA57" s="18"/>
      <c r="ACB57" s="18"/>
      <c r="ACC57" s="18"/>
      <c r="ACD57" s="18"/>
      <c r="ACE57" s="18"/>
      <c r="ACF57" s="18"/>
      <c r="ACG57" s="18"/>
      <c r="ACH57" s="18"/>
      <c r="ACI57" s="18"/>
      <c r="ACJ57" s="18"/>
      <c r="ACK57" s="18"/>
      <c r="ACL57" s="18"/>
      <c r="ACM57" s="18"/>
      <c r="ACN57" s="18"/>
      <c r="ACO57" s="18"/>
      <c r="ACP57" s="18"/>
      <c r="ACQ57" s="18"/>
      <c r="ACR57" s="18"/>
      <c r="ACS57" s="18"/>
      <c r="ACT57" s="18"/>
      <c r="ACU57" s="18"/>
      <c r="ACV57" s="18"/>
      <c r="ACW57" s="18"/>
      <c r="ACX57" s="18"/>
      <c r="ACY57" s="18"/>
      <c r="ACZ57" s="18"/>
      <c r="ADA57" s="18"/>
      <c r="ADB57" s="18"/>
      <c r="ADC57" s="18"/>
      <c r="ADD57" s="18"/>
      <c r="ADE57" s="18"/>
      <c r="ADF57" s="18"/>
      <c r="ADG57" s="18"/>
      <c r="ADH57" s="18"/>
      <c r="ADI57" s="18"/>
      <c r="ADJ57" s="18"/>
      <c r="ADK57" s="18"/>
      <c r="ADL57" s="18"/>
      <c r="ADM57" s="18"/>
      <c r="ADN57" s="18"/>
      <c r="ADO57" s="18"/>
      <c r="ADP57" s="18"/>
      <c r="ADQ57" s="18"/>
      <c r="ADR57" s="18"/>
      <c r="ADS57" s="18"/>
      <c r="ADT57" s="18"/>
      <c r="ADU57" s="18"/>
      <c r="ADV57" s="18"/>
      <c r="ADW57" s="18"/>
      <c r="ADX57" s="18"/>
      <c r="ADY57" s="18"/>
      <c r="ADZ57" s="18"/>
      <c r="AEA57" s="18"/>
      <c r="AEB57" s="18"/>
      <c r="AEC57" s="18"/>
      <c r="AED57" s="18"/>
      <c r="AEE57" s="18"/>
      <c r="AEF57" s="18"/>
      <c r="AEG57" s="18"/>
      <c r="AEH57" s="18"/>
      <c r="AEI57" s="18"/>
      <c r="AEJ57" s="18"/>
      <c r="AEK57" s="18"/>
      <c r="AEL57" s="18"/>
      <c r="AEM57" s="18"/>
      <c r="AEN57" s="18"/>
      <c r="AEO57" s="18"/>
      <c r="AEP57" s="18"/>
      <c r="AEQ57" s="18"/>
      <c r="AER57" s="18"/>
      <c r="AES57" s="18"/>
      <c r="AET57" s="18"/>
      <c r="AEU57" s="18"/>
      <c r="AEV57" s="18"/>
      <c r="AEW57" s="18"/>
      <c r="AEX57" s="18"/>
      <c r="AEY57" s="18"/>
      <c r="AEZ57" s="18"/>
      <c r="AFA57" s="18"/>
      <c r="AFB57" s="18"/>
      <c r="AFC57" s="18"/>
      <c r="AFD57" s="18"/>
      <c r="AFE57" s="18"/>
      <c r="AFF57" s="18"/>
      <c r="AFG57" s="18"/>
      <c r="AFH57" s="18"/>
      <c r="AFI57" s="18"/>
      <c r="AFJ57" s="18"/>
      <c r="AFK57" s="18"/>
      <c r="AFL57" s="18"/>
      <c r="AFM57" s="18"/>
      <c r="AFN57" s="18"/>
      <c r="AFO57" s="18"/>
      <c r="AFP57" s="18"/>
      <c r="AFQ57" s="18"/>
      <c r="AFR57" s="18"/>
      <c r="AFS57" s="18"/>
      <c r="AFT57" s="18"/>
      <c r="AFU57" s="18"/>
      <c r="AFV57" s="18"/>
      <c r="AFW57" s="18"/>
      <c r="AFX57" s="18"/>
      <c r="AFY57" s="18"/>
      <c r="AFZ57" s="18"/>
      <c r="AGA57" s="18"/>
      <c r="AGB57" s="18"/>
      <c r="AGC57" s="18"/>
      <c r="AGD57" s="18"/>
      <c r="AGE57" s="18"/>
      <c r="AGF57" s="18"/>
      <c r="AGG57" s="18"/>
      <c r="AGH57" s="18"/>
      <c r="AGI57" s="18"/>
      <c r="AGJ57" s="18"/>
      <c r="AGK57" s="18"/>
      <c r="AGL57" s="18"/>
      <c r="AGM57" s="18"/>
      <c r="AGN57" s="18"/>
      <c r="AGO57" s="18"/>
      <c r="AGP57" s="18"/>
      <c r="AGQ57" s="18"/>
      <c r="AGR57" s="18"/>
      <c r="AGS57" s="18"/>
      <c r="AGT57" s="18"/>
      <c r="AGU57" s="18"/>
      <c r="AGV57" s="18"/>
      <c r="AGW57" s="18"/>
      <c r="AGX57" s="18"/>
      <c r="AGY57" s="18"/>
      <c r="AGZ57" s="18"/>
      <c r="AHA57" s="18"/>
      <c r="AHB57" s="18"/>
      <c r="AHC57" s="18"/>
      <c r="AHD57" s="18"/>
      <c r="AHE57" s="18"/>
      <c r="AHF57" s="18"/>
      <c r="AHG57" s="18"/>
      <c r="AHH57" s="18"/>
      <c r="AHI57" s="18"/>
      <c r="AHJ57" s="18"/>
      <c r="AHK57" s="18"/>
      <c r="AHL57" s="18"/>
      <c r="AHM57" s="18"/>
      <c r="AHN57" s="18"/>
      <c r="AHO57" s="18"/>
      <c r="AHP57" s="18"/>
      <c r="AHQ57" s="18"/>
      <c r="AHR57" s="18"/>
      <c r="AHS57" s="18"/>
      <c r="AHT57" s="18"/>
      <c r="AHU57" s="18"/>
      <c r="AHV57" s="18"/>
      <c r="AHW57" s="18"/>
      <c r="AHX57" s="18"/>
      <c r="AHY57" s="18"/>
      <c r="AHZ57" s="18"/>
      <c r="AIA57" s="18"/>
      <c r="AIB57" s="18"/>
      <c r="AIC57" s="18"/>
      <c r="AID57" s="18"/>
      <c r="AIE57" s="18"/>
      <c r="AIF57" s="18"/>
      <c r="AIG57" s="18"/>
      <c r="AIH57" s="18"/>
      <c r="AII57" s="18"/>
      <c r="AIJ57" s="18"/>
      <c r="AIK57" s="18"/>
      <c r="AIL57" s="18"/>
      <c r="AIM57" s="18"/>
      <c r="AIN57" s="18"/>
      <c r="AIO57" s="18"/>
      <c r="AIP57" s="18"/>
      <c r="AIQ57" s="18"/>
      <c r="AIR57" s="18"/>
      <c r="AIS57" s="18"/>
      <c r="AIT57" s="18"/>
      <c r="AIU57" s="18"/>
      <c r="AIV57" s="18"/>
      <c r="AIW57" s="18"/>
      <c r="AIX57" s="18"/>
      <c r="AIY57" s="18"/>
      <c r="AIZ57" s="18"/>
      <c r="AJA57" s="18"/>
      <c r="AJB57" s="18"/>
      <c r="AJC57" s="18"/>
      <c r="AJD57" s="18"/>
      <c r="AJE57" s="18"/>
      <c r="AJF57" s="18"/>
      <c r="AJG57" s="18"/>
      <c r="AJH57" s="18"/>
      <c r="AJI57" s="18"/>
      <c r="AJJ57" s="18"/>
      <c r="AJK57" s="18"/>
      <c r="AJL57" s="18"/>
      <c r="AJM57" s="18"/>
      <c r="AJN57" s="18"/>
      <c r="AJO57" s="18"/>
      <c r="AJP57" s="18"/>
      <c r="AJQ57" s="18"/>
      <c r="AJR57" s="18"/>
      <c r="AJS57" s="18"/>
      <c r="AJT57" s="18"/>
      <c r="AJU57" s="18"/>
      <c r="AJV57" s="18"/>
      <c r="AJW57" s="18"/>
      <c r="AJX57" s="18"/>
      <c r="AJY57" s="18"/>
      <c r="AJZ57" s="18"/>
      <c r="AKA57" s="18"/>
      <c r="AKB57" s="18"/>
      <c r="AKC57" s="18"/>
      <c r="AKD57" s="18"/>
      <c r="AKE57" s="18"/>
      <c r="AKF57" s="18"/>
      <c r="AKG57" s="18"/>
      <c r="AKH57" s="18"/>
      <c r="AKI57" s="18"/>
      <c r="AKJ57" s="18"/>
      <c r="AKK57" s="18"/>
      <c r="AKL57" s="18"/>
      <c r="AKM57" s="18"/>
      <c r="AKN57" s="18"/>
      <c r="AKO57" s="18"/>
      <c r="AKP57" s="18"/>
      <c r="AKQ57" s="18"/>
      <c r="AKR57" s="18"/>
      <c r="AKS57" s="18"/>
      <c r="AKT57" s="18"/>
      <c r="AKU57" s="18"/>
      <c r="AKV57" s="18"/>
      <c r="AKW57" s="18"/>
      <c r="AKX57" s="18"/>
      <c r="AKY57" s="18"/>
      <c r="AKZ57" s="18"/>
      <c r="ALA57" s="18"/>
      <c r="ALB57" s="18"/>
      <c r="ALC57" s="18"/>
      <c r="ALD57" s="18"/>
      <c r="ALE57" s="18"/>
      <c r="ALF57" s="18"/>
      <c r="ALG57" s="18"/>
      <c r="ALH57" s="18"/>
      <c r="ALI57" s="18"/>
      <c r="ALJ57" s="18"/>
      <c r="ALK57" s="18"/>
      <c r="ALL57" s="18"/>
      <c r="ALM57" s="18"/>
      <c r="ALN57" s="18"/>
      <c r="ALO57" s="18"/>
      <c r="ALP57" s="18"/>
      <c r="ALQ57" s="18"/>
      <c r="ALR57" s="18"/>
      <c r="ALS57" s="18"/>
      <c r="ALT57" s="18"/>
    </row>
    <row r="58" spans="1:1008">
      <c r="A58" s="251" t="s">
        <v>6307</v>
      </c>
      <c r="B58" s="290">
        <v>405</v>
      </c>
      <c r="C58" s="278" t="str">
        <f>(IF($A58="SINAPI",INDEX(SINAPI_NOV2020_NDES!$A$7:$H$6703,MATCH($B58,SINAPI_NOV2020_NDES!$A$7:$A$6703,0),2),IF($A58="GOINFRA",INDEX(#REF!,MATCH($B58,#REF!,0),2),(INDEX(COMPOS!$A$4:$G$390,MATCH($B58,COMPOS!$A$4:A$390,0),2)))))</f>
        <v>PORTA GRELHA QUADRADO PARA GRELHA QUADRADA DIAM. 100MM</v>
      </c>
      <c r="D58" s="274" t="str">
        <f>(IF($A58="SINAPI",INDEX(SINAPI_NOV2020_NDES!$A$7:$H$6790,MATCH($B58,SINAPI_NOV2020_NDES!$A$7:$A$6790,0),3),(INDEX(COMPOS!$A$4:$G$5000,MATCH($B58,COMPOS!$A$4:$A$5000,0),3))))</f>
        <v>UN</v>
      </c>
      <c r="E58" s="314">
        <v>6</v>
      </c>
      <c r="F58" s="279">
        <f>(IF($A58="SINAPI",INDEX(SINAPI_NOV2020_NDES!$A$7:$H$6703,MATCH($B58,SINAPI_NOV2020_NDES!$A$7:$A$6703,0),5),(INDEX(COMPOS!$A$4:$G$801,MATCH($B58,COMPOS!$A$4:A$801,0),4))))</f>
        <v>3.7440000000000002</v>
      </c>
      <c r="G58" s="280">
        <f>(IF($A58="SINAPI",INDEX(SINAPI_NOV2020_NDES!$A$7:$H$6703,MATCH($B58,SINAPI_NOV2020_NDES!$A$7:$A$6703,0),6),(INDEX(COMPOS!$A$4:$G$801,MATCH($B58,COMPOS!$A$4:A$801,0),5))))</f>
        <v>6.68</v>
      </c>
      <c r="H58" s="280">
        <f>(IF($A58="SINAPI",INDEX(SINAPI_NOV2020_NDES!$A$7:$H$6703,MATCH($B58,SINAPI_NOV2020_NDES!$A$7:$A$6703,0),7),(INDEX(COMPOS!$A$4:$G$801,MATCH($B58,COMPOS!$A$4:A$801,0),6))))</f>
        <v>0</v>
      </c>
      <c r="I58" s="279">
        <f t="shared" si="12"/>
        <v>10.423999999999999</v>
      </c>
      <c r="J58" s="276">
        <f t="shared" si="13"/>
        <v>62.543999999999997</v>
      </c>
      <c r="K58" s="191"/>
      <c r="L58" s="191"/>
      <c r="M58" s="191"/>
      <c r="N58" s="191"/>
      <c r="O58" s="262"/>
      <c r="P58" s="263"/>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c r="EF58" s="18"/>
      <c r="EG58" s="18"/>
      <c r="EH58" s="18"/>
      <c r="EI58" s="18"/>
      <c r="EJ58" s="18"/>
      <c r="EK58" s="18"/>
      <c r="EL58" s="18"/>
      <c r="EM58" s="18"/>
      <c r="EN58" s="18"/>
      <c r="EO58" s="18"/>
      <c r="EP58" s="18"/>
      <c r="EQ58" s="18"/>
      <c r="ER58" s="18"/>
      <c r="ES58" s="18"/>
      <c r="ET58" s="18"/>
      <c r="EU58" s="18"/>
      <c r="EV58" s="18"/>
      <c r="EW58" s="18"/>
      <c r="EX58" s="18"/>
      <c r="EY58" s="18"/>
      <c r="EZ58" s="18"/>
      <c r="FA58" s="18"/>
      <c r="FB58" s="18"/>
      <c r="FC58" s="18"/>
      <c r="FD58" s="18"/>
      <c r="FE58" s="18"/>
      <c r="FF58" s="18"/>
      <c r="FG58" s="18"/>
      <c r="FH58" s="18"/>
      <c r="FI58" s="18"/>
      <c r="FJ58" s="18"/>
      <c r="FK58" s="18"/>
      <c r="FL58" s="18"/>
      <c r="FM58" s="18"/>
      <c r="FN58" s="18"/>
      <c r="FO58" s="18"/>
      <c r="FP58" s="18"/>
      <c r="FQ58" s="18"/>
      <c r="FR58" s="18"/>
      <c r="FS58" s="18"/>
      <c r="FT58" s="18"/>
      <c r="FU58" s="18"/>
      <c r="FV58" s="18"/>
      <c r="FW58" s="18"/>
      <c r="FX58" s="18"/>
      <c r="FY58" s="18"/>
      <c r="FZ58" s="18"/>
      <c r="GA58" s="18"/>
      <c r="GB58" s="18"/>
      <c r="GC58" s="18"/>
      <c r="GD58" s="18"/>
      <c r="GE58" s="18"/>
      <c r="GF58" s="18"/>
      <c r="GG58" s="18"/>
      <c r="GH58" s="18"/>
      <c r="GI58" s="18"/>
      <c r="GJ58" s="18"/>
      <c r="GK58" s="18"/>
      <c r="GL58" s="18"/>
      <c r="GM58" s="18"/>
      <c r="GN58" s="18"/>
      <c r="GO58" s="18"/>
      <c r="GP58" s="18"/>
      <c r="GQ58" s="18"/>
      <c r="GR58" s="18"/>
      <c r="GS58" s="18"/>
      <c r="GT58" s="18"/>
      <c r="GU58" s="18"/>
      <c r="GV58" s="18"/>
      <c r="GW58" s="18"/>
      <c r="GX58" s="18"/>
      <c r="GY58" s="18"/>
      <c r="GZ58" s="18"/>
      <c r="HA58" s="18"/>
      <c r="HB58" s="18"/>
      <c r="HC58" s="18"/>
      <c r="HD58" s="18"/>
      <c r="HE58" s="18"/>
      <c r="HF58" s="18"/>
      <c r="HG58" s="18"/>
      <c r="HH58" s="18"/>
      <c r="HI58" s="18"/>
      <c r="HJ58" s="18"/>
      <c r="HK58" s="18"/>
      <c r="HL58" s="18"/>
      <c r="HM58" s="18"/>
      <c r="HN58" s="18"/>
      <c r="HO58" s="18"/>
      <c r="HP58" s="18"/>
      <c r="HQ58" s="18"/>
      <c r="HR58" s="18"/>
      <c r="HS58" s="18"/>
      <c r="HT58" s="18"/>
      <c r="HU58" s="18"/>
      <c r="HV58" s="18"/>
      <c r="HW58" s="18"/>
      <c r="HX58" s="18"/>
      <c r="HY58" s="18"/>
      <c r="HZ58" s="18"/>
      <c r="IA58" s="18"/>
      <c r="IB58" s="18"/>
      <c r="IC58" s="18"/>
      <c r="ID58" s="18"/>
      <c r="IE58" s="18"/>
      <c r="IF58" s="18"/>
      <c r="IG58" s="18"/>
      <c r="IH58" s="18"/>
      <c r="II58" s="18"/>
      <c r="IJ58" s="18"/>
      <c r="IK58" s="18"/>
      <c r="IL58" s="18"/>
      <c r="IM58" s="18"/>
      <c r="IN58" s="18"/>
      <c r="IO58" s="18"/>
      <c r="IP58" s="18"/>
      <c r="IQ58" s="18"/>
      <c r="IR58" s="18"/>
      <c r="IS58" s="18"/>
      <c r="IT58" s="18"/>
      <c r="IU58" s="18"/>
      <c r="IV58" s="18"/>
      <c r="IW58" s="18"/>
      <c r="IX58" s="18"/>
      <c r="IY58" s="18"/>
      <c r="IZ58" s="18"/>
      <c r="JA58" s="18"/>
      <c r="JB58" s="18"/>
      <c r="JC58" s="18"/>
      <c r="JD58" s="18"/>
      <c r="JE58" s="18"/>
      <c r="JF58" s="18"/>
      <c r="JG58" s="18"/>
      <c r="JH58" s="18"/>
      <c r="JI58" s="18"/>
      <c r="JJ58" s="18"/>
      <c r="JK58" s="18"/>
      <c r="JL58" s="18"/>
      <c r="JM58" s="18"/>
      <c r="JN58" s="18"/>
      <c r="JO58" s="18"/>
      <c r="JP58" s="18"/>
      <c r="JQ58" s="18"/>
      <c r="JR58" s="18"/>
      <c r="JS58" s="18"/>
      <c r="JT58" s="18"/>
      <c r="JU58" s="18"/>
      <c r="JV58" s="18"/>
      <c r="JW58" s="18"/>
      <c r="JX58" s="18"/>
      <c r="JY58" s="18"/>
      <c r="JZ58" s="18"/>
      <c r="KA58" s="18"/>
      <c r="KB58" s="18"/>
      <c r="KC58" s="18"/>
      <c r="KD58" s="18"/>
      <c r="KE58" s="18"/>
      <c r="KF58" s="18"/>
      <c r="KG58" s="18"/>
      <c r="KH58" s="18"/>
      <c r="KI58" s="18"/>
      <c r="KJ58" s="18"/>
      <c r="KK58" s="18"/>
      <c r="KL58" s="18"/>
      <c r="KM58" s="18"/>
      <c r="KN58" s="18"/>
      <c r="KO58" s="18"/>
      <c r="KP58" s="18"/>
      <c r="KQ58" s="18"/>
      <c r="KR58" s="18"/>
      <c r="KS58" s="18"/>
      <c r="KT58" s="18"/>
      <c r="KU58" s="18"/>
      <c r="KV58" s="18"/>
      <c r="KW58" s="18"/>
      <c r="KX58" s="18"/>
      <c r="KY58" s="18"/>
      <c r="KZ58" s="18"/>
      <c r="LA58" s="18"/>
      <c r="LB58" s="18"/>
      <c r="LC58" s="18"/>
      <c r="LD58" s="18"/>
      <c r="LE58" s="18"/>
      <c r="LF58" s="18"/>
      <c r="LG58" s="18"/>
      <c r="LH58" s="18"/>
      <c r="LI58" s="18"/>
      <c r="LJ58" s="18"/>
      <c r="LK58" s="18"/>
      <c r="LL58" s="18"/>
      <c r="LM58" s="18"/>
      <c r="LN58" s="18"/>
      <c r="LO58" s="18"/>
      <c r="LP58" s="18"/>
      <c r="LQ58" s="18"/>
      <c r="LR58" s="18"/>
      <c r="LS58" s="18"/>
      <c r="LT58" s="18"/>
      <c r="LU58" s="18"/>
      <c r="LV58" s="18"/>
      <c r="LW58" s="18"/>
      <c r="LX58" s="18"/>
      <c r="LY58" s="18"/>
      <c r="LZ58" s="18"/>
      <c r="MA58" s="18"/>
      <c r="MB58" s="18"/>
      <c r="MC58" s="18"/>
      <c r="MD58" s="18"/>
      <c r="ME58" s="18"/>
      <c r="MF58" s="18"/>
      <c r="MG58" s="18"/>
      <c r="MH58" s="18"/>
      <c r="MI58" s="18"/>
      <c r="MJ58" s="18"/>
      <c r="MK58" s="18"/>
      <c r="ML58" s="18"/>
      <c r="MM58" s="18"/>
      <c r="MN58" s="18"/>
      <c r="MO58" s="18"/>
      <c r="MP58" s="18"/>
      <c r="MQ58" s="18"/>
      <c r="MR58" s="18"/>
      <c r="MS58" s="18"/>
      <c r="MT58" s="18"/>
      <c r="MU58" s="18"/>
      <c r="MV58" s="18"/>
      <c r="MW58" s="18"/>
      <c r="MX58" s="18"/>
      <c r="MY58" s="18"/>
      <c r="MZ58" s="18"/>
      <c r="NA58" s="18"/>
      <c r="NB58" s="18"/>
      <c r="NC58" s="18"/>
      <c r="ND58" s="18"/>
      <c r="NE58" s="18"/>
      <c r="NF58" s="18"/>
      <c r="NG58" s="18"/>
      <c r="NH58" s="18"/>
      <c r="NI58" s="18"/>
      <c r="NJ58" s="18"/>
      <c r="NK58" s="18"/>
      <c r="NL58" s="18"/>
      <c r="NM58" s="18"/>
      <c r="NN58" s="18"/>
      <c r="NO58" s="18"/>
      <c r="NP58" s="18"/>
      <c r="NQ58" s="18"/>
      <c r="NR58" s="18"/>
      <c r="NS58" s="18"/>
      <c r="NT58" s="18"/>
      <c r="NU58" s="18"/>
      <c r="NV58" s="18"/>
      <c r="NW58" s="18"/>
      <c r="NX58" s="18"/>
      <c r="NY58" s="18"/>
      <c r="NZ58" s="18"/>
      <c r="OA58" s="18"/>
      <c r="OB58" s="18"/>
      <c r="OC58" s="18"/>
      <c r="OD58" s="18"/>
      <c r="OE58" s="18"/>
      <c r="OF58" s="18"/>
      <c r="OG58" s="18"/>
      <c r="OH58" s="18"/>
      <c r="OI58" s="18"/>
      <c r="OJ58" s="18"/>
      <c r="OK58" s="18"/>
      <c r="OL58" s="18"/>
      <c r="OM58" s="18"/>
      <c r="ON58" s="18"/>
      <c r="OO58" s="18"/>
      <c r="OP58" s="18"/>
      <c r="OQ58" s="18"/>
      <c r="OR58" s="18"/>
      <c r="OS58" s="18"/>
      <c r="OT58" s="18"/>
      <c r="OU58" s="18"/>
      <c r="OV58" s="18"/>
      <c r="OW58" s="18"/>
      <c r="OX58" s="18"/>
      <c r="OY58" s="18"/>
      <c r="OZ58" s="18"/>
      <c r="PA58" s="18"/>
      <c r="PB58" s="18"/>
      <c r="PC58" s="18"/>
      <c r="PD58" s="18"/>
      <c r="PE58" s="18"/>
      <c r="PF58" s="18"/>
      <c r="PG58" s="18"/>
      <c r="PH58" s="18"/>
      <c r="PI58" s="18"/>
      <c r="PJ58" s="18"/>
      <c r="PK58" s="18"/>
      <c r="PL58" s="18"/>
      <c r="PM58" s="18"/>
      <c r="PN58" s="18"/>
      <c r="PO58" s="18"/>
      <c r="PP58" s="18"/>
      <c r="PQ58" s="18"/>
      <c r="PR58" s="18"/>
      <c r="PS58" s="18"/>
      <c r="PT58" s="18"/>
      <c r="PU58" s="18"/>
      <c r="PV58" s="18"/>
      <c r="PW58" s="18"/>
      <c r="PX58" s="18"/>
      <c r="PY58" s="18"/>
      <c r="PZ58" s="18"/>
      <c r="QA58" s="18"/>
      <c r="QB58" s="18"/>
      <c r="QC58" s="18"/>
      <c r="QD58" s="18"/>
      <c r="QE58" s="18"/>
      <c r="QF58" s="18"/>
      <c r="QG58" s="18"/>
      <c r="QH58" s="18"/>
      <c r="QI58" s="18"/>
      <c r="QJ58" s="18"/>
      <c r="QK58" s="18"/>
      <c r="QL58" s="18"/>
      <c r="QM58" s="18"/>
      <c r="QN58" s="18"/>
      <c r="QO58" s="18"/>
      <c r="QP58" s="18"/>
      <c r="QQ58" s="18"/>
      <c r="QR58" s="18"/>
      <c r="QS58" s="18"/>
      <c r="QT58" s="18"/>
      <c r="QU58" s="18"/>
      <c r="QV58" s="18"/>
      <c r="QW58" s="18"/>
      <c r="QX58" s="18"/>
      <c r="QY58" s="18"/>
      <c r="QZ58" s="18"/>
      <c r="RA58" s="18"/>
      <c r="RB58" s="18"/>
      <c r="RC58" s="18"/>
      <c r="RD58" s="18"/>
      <c r="RE58" s="18"/>
      <c r="RF58" s="18"/>
      <c r="RG58" s="18"/>
      <c r="RH58" s="18"/>
      <c r="RI58" s="18"/>
      <c r="RJ58" s="18"/>
      <c r="RK58" s="18"/>
      <c r="RL58" s="18"/>
      <c r="RM58" s="18"/>
      <c r="RN58" s="18"/>
      <c r="RO58" s="18"/>
      <c r="RP58" s="18"/>
      <c r="RQ58" s="18"/>
      <c r="RR58" s="18"/>
      <c r="RS58" s="18"/>
      <c r="RT58" s="18"/>
      <c r="RU58" s="18"/>
      <c r="RV58" s="18"/>
      <c r="RW58" s="18"/>
      <c r="RX58" s="18"/>
      <c r="RY58" s="18"/>
      <c r="RZ58" s="18"/>
      <c r="SA58" s="18"/>
      <c r="SB58" s="18"/>
      <c r="SC58" s="18"/>
      <c r="SD58" s="18"/>
      <c r="SE58" s="18"/>
      <c r="SF58" s="18"/>
      <c r="SG58" s="18"/>
      <c r="SH58" s="18"/>
      <c r="SI58" s="18"/>
      <c r="SJ58" s="18"/>
      <c r="SK58" s="18"/>
      <c r="SL58" s="18"/>
      <c r="SM58" s="18"/>
      <c r="SN58" s="18"/>
      <c r="SO58" s="18"/>
      <c r="SP58" s="18"/>
      <c r="SQ58" s="18"/>
      <c r="SR58" s="18"/>
      <c r="SS58" s="18"/>
      <c r="ST58" s="18"/>
      <c r="SU58" s="18"/>
      <c r="SV58" s="18"/>
      <c r="SW58" s="18"/>
      <c r="SX58" s="18"/>
      <c r="SY58" s="18"/>
      <c r="SZ58" s="18"/>
      <c r="TA58" s="18"/>
      <c r="TB58" s="18"/>
      <c r="TC58" s="18"/>
      <c r="TD58" s="18"/>
      <c r="TE58" s="18"/>
      <c r="TF58" s="18"/>
      <c r="TG58" s="18"/>
      <c r="TH58" s="18"/>
      <c r="TI58" s="18"/>
      <c r="TJ58" s="18"/>
      <c r="TK58" s="18"/>
      <c r="TL58" s="18"/>
      <c r="TM58" s="18"/>
      <c r="TN58" s="18"/>
      <c r="TO58" s="18"/>
      <c r="TP58" s="18"/>
      <c r="TQ58" s="18"/>
      <c r="TR58" s="18"/>
      <c r="TS58" s="18"/>
      <c r="TT58" s="18"/>
      <c r="TU58" s="18"/>
      <c r="TV58" s="18"/>
      <c r="TW58" s="18"/>
      <c r="TX58" s="18"/>
      <c r="TY58" s="18"/>
      <c r="TZ58" s="18"/>
      <c r="UA58" s="18"/>
      <c r="UB58" s="18"/>
      <c r="UC58" s="18"/>
      <c r="UD58" s="18"/>
      <c r="UE58" s="18"/>
      <c r="UF58" s="18"/>
      <c r="UG58" s="18"/>
      <c r="UH58" s="18"/>
      <c r="UI58" s="18"/>
      <c r="UJ58" s="18"/>
      <c r="UK58" s="18"/>
      <c r="UL58" s="18"/>
      <c r="UM58" s="18"/>
      <c r="UN58" s="18"/>
      <c r="UO58" s="18"/>
      <c r="UP58" s="18"/>
      <c r="UQ58" s="18"/>
      <c r="UR58" s="18"/>
      <c r="US58" s="18"/>
      <c r="UT58" s="18"/>
      <c r="UU58" s="18"/>
      <c r="UV58" s="18"/>
      <c r="UW58" s="18"/>
      <c r="UX58" s="18"/>
      <c r="UY58" s="18"/>
      <c r="UZ58" s="18"/>
      <c r="VA58" s="18"/>
      <c r="VB58" s="18"/>
      <c r="VC58" s="18"/>
      <c r="VD58" s="18"/>
      <c r="VE58" s="18"/>
      <c r="VF58" s="18"/>
      <c r="VG58" s="18"/>
      <c r="VH58" s="18"/>
      <c r="VI58" s="18"/>
      <c r="VJ58" s="18"/>
      <c r="VK58" s="18"/>
      <c r="VL58" s="18"/>
      <c r="VM58" s="18"/>
      <c r="VN58" s="18"/>
      <c r="VO58" s="18"/>
      <c r="VP58" s="18"/>
      <c r="VQ58" s="18"/>
      <c r="VR58" s="18"/>
      <c r="VS58" s="18"/>
      <c r="VT58" s="18"/>
      <c r="VU58" s="18"/>
      <c r="VV58" s="18"/>
      <c r="VW58" s="18"/>
      <c r="VX58" s="18"/>
      <c r="VY58" s="18"/>
      <c r="VZ58" s="18"/>
      <c r="WA58" s="18"/>
      <c r="WB58" s="18"/>
      <c r="WC58" s="18"/>
      <c r="WD58" s="18"/>
      <c r="WE58" s="18"/>
      <c r="WF58" s="18"/>
      <c r="WG58" s="18"/>
      <c r="WH58" s="18"/>
      <c r="WI58" s="18"/>
      <c r="WJ58" s="18"/>
      <c r="WK58" s="18"/>
      <c r="WL58" s="18"/>
      <c r="WM58" s="18"/>
      <c r="WN58" s="18"/>
      <c r="WO58" s="18"/>
      <c r="WP58" s="18"/>
      <c r="WQ58" s="18"/>
      <c r="WR58" s="18"/>
      <c r="WS58" s="18"/>
      <c r="WT58" s="18"/>
      <c r="WU58" s="18"/>
      <c r="WV58" s="18"/>
      <c r="WW58" s="18"/>
      <c r="WX58" s="18"/>
      <c r="WY58" s="18"/>
      <c r="WZ58" s="18"/>
      <c r="XA58" s="18"/>
      <c r="XB58" s="18"/>
      <c r="XC58" s="18"/>
      <c r="XD58" s="18"/>
      <c r="XE58" s="18"/>
      <c r="XF58" s="18"/>
      <c r="XG58" s="18"/>
      <c r="XH58" s="18"/>
      <c r="XI58" s="18"/>
      <c r="XJ58" s="18"/>
      <c r="XK58" s="18"/>
      <c r="XL58" s="18"/>
      <c r="XM58" s="18"/>
      <c r="XN58" s="18"/>
      <c r="XO58" s="18"/>
      <c r="XP58" s="18"/>
      <c r="XQ58" s="18"/>
      <c r="XR58" s="18"/>
      <c r="XS58" s="18"/>
      <c r="XT58" s="18"/>
      <c r="XU58" s="18"/>
      <c r="XV58" s="18"/>
      <c r="XW58" s="18"/>
      <c r="XX58" s="18"/>
      <c r="XY58" s="18"/>
      <c r="XZ58" s="18"/>
      <c r="YA58" s="18"/>
      <c r="YB58" s="18"/>
      <c r="YC58" s="18"/>
      <c r="YD58" s="18"/>
      <c r="YE58" s="18"/>
      <c r="YF58" s="18"/>
      <c r="YG58" s="18"/>
      <c r="YH58" s="18"/>
      <c r="YI58" s="18"/>
      <c r="YJ58" s="18"/>
      <c r="YK58" s="18"/>
      <c r="YL58" s="18"/>
      <c r="YM58" s="18"/>
      <c r="YN58" s="18"/>
      <c r="YO58" s="18"/>
      <c r="YP58" s="18"/>
      <c r="YQ58" s="18"/>
      <c r="YR58" s="18"/>
      <c r="YS58" s="18"/>
      <c r="YT58" s="18"/>
      <c r="YU58" s="18"/>
      <c r="YV58" s="18"/>
      <c r="YW58" s="18"/>
      <c r="YX58" s="18"/>
      <c r="YY58" s="18"/>
      <c r="YZ58" s="18"/>
      <c r="ZA58" s="18"/>
      <c r="ZB58" s="18"/>
      <c r="ZC58" s="18"/>
      <c r="ZD58" s="18"/>
      <c r="ZE58" s="18"/>
      <c r="ZF58" s="18"/>
      <c r="ZG58" s="18"/>
      <c r="ZH58" s="18"/>
      <c r="ZI58" s="18"/>
      <c r="ZJ58" s="18"/>
      <c r="ZK58" s="18"/>
      <c r="ZL58" s="18"/>
      <c r="ZM58" s="18"/>
      <c r="ZN58" s="18"/>
      <c r="ZO58" s="18"/>
      <c r="ZP58" s="18"/>
      <c r="ZQ58" s="18"/>
      <c r="ZR58" s="18"/>
      <c r="ZS58" s="18"/>
      <c r="ZT58" s="18"/>
      <c r="ZU58" s="18"/>
      <c r="ZV58" s="18"/>
      <c r="ZW58" s="18"/>
      <c r="ZX58" s="18"/>
      <c r="ZY58" s="18"/>
      <c r="ZZ58" s="18"/>
      <c r="AAA58" s="18"/>
      <c r="AAB58" s="18"/>
      <c r="AAC58" s="18"/>
      <c r="AAD58" s="18"/>
      <c r="AAE58" s="18"/>
      <c r="AAF58" s="18"/>
      <c r="AAG58" s="18"/>
      <c r="AAH58" s="18"/>
      <c r="AAI58" s="18"/>
      <c r="AAJ58" s="18"/>
      <c r="AAK58" s="18"/>
      <c r="AAL58" s="18"/>
      <c r="AAM58" s="18"/>
      <c r="AAN58" s="18"/>
      <c r="AAO58" s="18"/>
      <c r="AAP58" s="18"/>
      <c r="AAQ58" s="18"/>
      <c r="AAR58" s="18"/>
      <c r="AAS58" s="18"/>
      <c r="AAT58" s="18"/>
      <c r="AAU58" s="18"/>
      <c r="AAV58" s="18"/>
      <c r="AAW58" s="18"/>
      <c r="AAX58" s="18"/>
      <c r="AAY58" s="18"/>
      <c r="AAZ58" s="18"/>
      <c r="ABA58" s="18"/>
      <c r="ABB58" s="18"/>
      <c r="ABC58" s="18"/>
      <c r="ABD58" s="18"/>
      <c r="ABE58" s="18"/>
      <c r="ABF58" s="18"/>
      <c r="ABG58" s="18"/>
      <c r="ABH58" s="18"/>
      <c r="ABI58" s="18"/>
      <c r="ABJ58" s="18"/>
      <c r="ABK58" s="18"/>
      <c r="ABL58" s="18"/>
      <c r="ABM58" s="18"/>
      <c r="ABN58" s="18"/>
      <c r="ABO58" s="18"/>
      <c r="ABP58" s="18"/>
      <c r="ABQ58" s="18"/>
      <c r="ABR58" s="18"/>
      <c r="ABS58" s="18"/>
      <c r="ABT58" s="18"/>
      <c r="ABU58" s="18"/>
      <c r="ABV58" s="18"/>
      <c r="ABW58" s="18"/>
      <c r="ABX58" s="18"/>
      <c r="ABY58" s="18"/>
      <c r="ABZ58" s="18"/>
      <c r="ACA58" s="18"/>
      <c r="ACB58" s="18"/>
      <c r="ACC58" s="18"/>
      <c r="ACD58" s="18"/>
      <c r="ACE58" s="18"/>
      <c r="ACF58" s="18"/>
      <c r="ACG58" s="18"/>
      <c r="ACH58" s="18"/>
      <c r="ACI58" s="18"/>
      <c r="ACJ58" s="18"/>
      <c r="ACK58" s="18"/>
      <c r="ACL58" s="18"/>
      <c r="ACM58" s="18"/>
      <c r="ACN58" s="18"/>
      <c r="ACO58" s="18"/>
      <c r="ACP58" s="18"/>
      <c r="ACQ58" s="18"/>
      <c r="ACR58" s="18"/>
      <c r="ACS58" s="18"/>
      <c r="ACT58" s="18"/>
      <c r="ACU58" s="18"/>
      <c r="ACV58" s="18"/>
      <c r="ACW58" s="18"/>
      <c r="ACX58" s="18"/>
      <c r="ACY58" s="18"/>
      <c r="ACZ58" s="18"/>
      <c r="ADA58" s="18"/>
      <c r="ADB58" s="18"/>
      <c r="ADC58" s="18"/>
      <c r="ADD58" s="18"/>
      <c r="ADE58" s="18"/>
      <c r="ADF58" s="18"/>
      <c r="ADG58" s="18"/>
      <c r="ADH58" s="18"/>
      <c r="ADI58" s="18"/>
      <c r="ADJ58" s="18"/>
      <c r="ADK58" s="18"/>
      <c r="ADL58" s="18"/>
      <c r="ADM58" s="18"/>
      <c r="ADN58" s="18"/>
      <c r="ADO58" s="18"/>
      <c r="ADP58" s="18"/>
      <c r="ADQ58" s="18"/>
      <c r="ADR58" s="18"/>
      <c r="ADS58" s="18"/>
      <c r="ADT58" s="18"/>
      <c r="ADU58" s="18"/>
      <c r="ADV58" s="18"/>
      <c r="ADW58" s="18"/>
      <c r="ADX58" s="18"/>
      <c r="ADY58" s="18"/>
      <c r="ADZ58" s="18"/>
      <c r="AEA58" s="18"/>
      <c r="AEB58" s="18"/>
      <c r="AEC58" s="18"/>
      <c r="AED58" s="18"/>
      <c r="AEE58" s="18"/>
      <c r="AEF58" s="18"/>
      <c r="AEG58" s="18"/>
      <c r="AEH58" s="18"/>
      <c r="AEI58" s="18"/>
      <c r="AEJ58" s="18"/>
      <c r="AEK58" s="18"/>
      <c r="AEL58" s="18"/>
      <c r="AEM58" s="18"/>
      <c r="AEN58" s="18"/>
      <c r="AEO58" s="18"/>
      <c r="AEP58" s="18"/>
      <c r="AEQ58" s="18"/>
      <c r="AER58" s="18"/>
      <c r="AES58" s="18"/>
      <c r="AET58" s="18"/>
      <c r="AEU58" s="18"/>
      <c r="AEV58" s="18"/>
      <c r="AEW58" s="18"/>
      <c r="AEX58" s="18"/>
      <c r="AEY58" s="18"/>
      <c r="AEZ58" s="18"/>
      <c r="AFA58" s="18"/>
      <c r="AFB58" s="18"/>
      <c r="AFC58" s="18"/>
      <c r="AFD58" s="18"/>
      <c r="AFE58" s="18"/>
      <c r="AFF58" s="18"/>
      <c r="AFG58" s="18"/>
      <c r="AFH58" s="18"/>
      <c r="AFI58" s="18"/>
      <c r="AFJ58" s="18"/>
      <c r="AFK58" s="18"/>
      <c r="AFL58" s="18"/>
      <c r="AFM58" s="18"/>
      <c r="AFN58" s="18"/>
      <c r="AFO58" s="18"/>
      <c r="AFP58" s="18"/>
      <c r="AFQ58" s="18"/>
      <c r="AFR58" s="18"/>
      <c r="AFS58" s="18"/>
      <c r="AFT58" s="18"/>
      <c r="AFU58" s="18"/>
      <c r="AFV58" s="18"/>
      <c r="AFW58" s="18"/>
      <c r="AFX58" s="18"/>
      <c r="AFY58" s="18"/>
      <c r="AFZ58" s="18"/>
      <c r="AGA58" s="18"/>
      <c r="AGB58" s="18"/>
      <c r="AGC58" s="18"/>
      <c r="AGD58" s="18"/>
      <c r="AGE58" s="18"/>
      <c r="AGF58" s="18"/>
      <c r="AGG58" s="18"/>
      <c r="AGH58" s="18"/>
      <c r="AGI58" s="18"/>
      <c r="AGJ58" s="18"/>
      <c r="AGK58" s="18"/>
      <c r="AGL58" s="18"/>
      <c r="AGM58" s="18"/>
      <c r="AGN58" s="18"/>
      <c r="AGO58" s="18"/>
      <c r="AGP58" s="18"/>
      <c r="AGQ58" s="18"/>
      <c r="AGR58" s="18"/>
      <c r="AGS58" s="18"/>
      <c r="AGT58" s="18"/>
      <c r="AGU58" s="18"/>
      <c r="AGV58" s="18"/>
      <c r="AGW58" s="18"/>
      <c r="AGX58" s="18"/>
      <c r="AGY58" s="18"/>
      <c r="AGZ58" s="18"/>
      <c r="AHA58" s="18"/>
      <c r="AHB58" s="18"/>
      <c r="AHC58" s="18"/>
      <c r="AHD58" s="18"/>
      <c r="AHE58" s="18"/>
      <c r="AHF58" s="18"/>
      <c r="AHG58" s="18"/>
      <c r="AHH58" s="18"/>
      <c r="AHI58" s="18"/>
      <c r="AHJ58" s="18"/>
      <c r="AHK58" s="18"/>
      <c r="AHL58" s="18"/>
      <c r="AHM58" s="18"/>
      <c r="AHN58" s="18"/>
      <c r="AHO58" s="18"/>
      <c r="AHP58" s="18"/>
      <c r="AHQ58" s="18"/>
      <c r="AHR58" s="18"/>
      <c r="AHS58" s="18"/>
      <c r="AHT58" s="18"/>
      <c r="AHU58" s="18"/>
      <c r="AHV58" s="18"/>
      <c r="AHW58" s="18"/>
      <c r="AHX58" s="18"/>
      <c r="AHY58" s="18"/>
      <c r="AHZ58" s="18"/>
      <c r="AIA58" s="18"/>
      <c r="AIB58" s="18"/>
      <c r="AIC58" s="18"/>
      <c r="AID58" s="18"/>
      <c r="AIE58" s="18"/>
      <c r="AIF58" s="18"/>
      <c r="AIG58" s="18"/>
      <c r="AIH58" s="18"/>
      <c r="AII58" s="18"/>
      <c r="AIJ58" s="18"/>
      <c r="AIK58" s="18"/>
      <c r="AIL58" s="18"/>
      <c r="AIM58" s="18"/>
      <c r="AIN58" s="18"/>
      <c r="AIO58" s="18"/>
      <c r="AIP58" s="18"/>
      <c r="AIQ58" s="18"/>
      <c r="AIR58" s="18"/>
      <c r="AIS58" s="18"/>
      <c r="AIT58" s="18"/>
      <c r="AIU58" s="18"/>
      <c r="AIV58" s="18"/>
      <c r="AIW58" s="18"/>
      <c r="AIX58" s="18"/>
      <c r="AIY58" s="18"/>
      <c r="AIZ58" s="18"/>
      <c r="AJA58" s="18"/>
      <c r="AJB58" s="18"/>
      <c r="AJC58" s="18"/>
      <c r="AJD58" s="18"/>
      <c r="AJE58" s="18"/>
      <c r="AJF58" s="18"/>
      <c r="AJG58" s="18"/>
      <c r="AJH58" s="18"/>
      <c r="AJI58" s="18"/>
      <c r="AJJ58" s="18"/>
      <c r="AJK58" s="18"/>
      <c r="AJL58" s="18"/>
      <c r="AJM58" s="18"/>
      <c r="AJN58" s="18"/>
      <c r="AJO58" s="18"/>
      <c r="AJP58" s="18"/>
      <c r="AJQ58" s="18"/>
      <c r="AJR58" s="18"/>
      <c r="AJS58" s="18"/>
      <c r="AJT58" s="18"/>
      <c r="AJU58" s="18"/>
      <c r="AJV58" s="18"/>
      <c r="AJW58" s="18"/>
      <c r="AJX58" s="18"/>
      <c r="AJY58" s="18"/>
      <c r="AJZ58" s="18"/>
      <c r="AKA58" s="18"/>
      <c r="AKB58" s="18"/>
      <c r="AKC58" s="18"/>
      <c r="AKD58" s="18"/>
      <c r="AKE58" s="18"/>
      <c r="AKF58" s="18"/>
      <c r="AKG58" s="18"/>
      <c r="AKH58" s="18"/>
      <c r="AKI58" s="18"/>
      <c r="AKJ58" s="18"/>
      <c r="AKK58" s="18"/>
      <c r="AKL58" s="18"/>
      <c r="AKM58" s="18"/>
      <c r="AKN58" s="18"/>
      <c r="AKO58" s="18"/>
      <c r="AKP58" s="18"/>
      <c r="AKQ58" s="18"/>
      <c r="AKR58" s="18"/>
      <c r="AKS58" s="18"/>
      <c r="AKT58" s="18"/>
      <c r="AKU58" s="18"/>
      <c r="AKV58" s="18"/>
      <c r="AKW58" s="18"/>
      <c r="AKX58" s="18"/>
      <c r="AKY58" s="18"/>
      <c r="AKZ58" s="18"/>
      <c r="ALA58" s="18"/>
      <c r="ALB58" s="18"/>
      <c r="ALC58" s="18"/>
      <c r="ALD58" s="18"/>
      <c r="ALE58" s="18"/>
      <c r="ALF58" s="18"/>
      <c r="ALG58" s="18"/>
      <c r="ALH58" s="18"/>
      <c r="ALI58" s="18"/>
      <c r="ALJ58" s="18"/>
      <c r="ALK58" s="18"/>
      <c r="ALL58" s="18"/>
      <c r="ALM58" s="18"/>
      <c r="ALN58" s="18"/>
      <c r="ALO58" s="18"/>
      <c r="ALP58" s="18"/>
      <c r="ALQ58" s="18"/>
      <c r="ALR58" s="18"/>
      <c r="ALS58" s="18"/>
      <c r="ALT58" s="18"/>
    </row>
    <row r="59" spans="1:1008" ht="24">
      <c r="A59" s="251" t="s">
        <v>7</v>
      </c>
      <c r="B59" s="290">
        <v>86903</v>
      </c>
      <c r="C59" s="278" t="str">
        <f>(IF($A59="SINAPI",INDEX(SINAPI_NOV2020_NDES!$A$7:$H$6703,MATCH($B59,SINAPI_NOV2020_NDES!$A$7:$A$6703,0),2),IF($A59="GOINFRA",INDEX(#REF!,MATCH($B59,#REF!,0),2),(INDEX(COMPOS!$A$4:$G$390,MATCH($B59,COMPOS!$A$4:A$390,0),2)))))</f>
        <v>LAVATÓRIO LOUÇA BRANCA COM COLUNA, 45 X 55CM OU EQUIVALENTE, PADRÃO MÉDIO - FORNECIMENTO E INSTALAÇÃO. AF_01/2020</v>
      </c>
      <c r="D59" s="274" t="str">
        <f>(IF($A59="SINAPI",INDEX(SINAPI_NOV2020_NDES!$A$7:$H$6790,MATCH($B59,SINAPI_NOV2020_NDES!$A$7:$A$6790,0),3),(INDEX(COMPOS!$A$4:$G$5000,MATCH($B59,COMPOS!$A$4:$A$5000,0),3))))</f>
        <v>UN</v>
      </c>
      <c r="E59" s="314">
        <v>6</v>
      </c>
      <c r="F59" s="279">
        <f>(IF($A59="SINAPI",INDEX(SINAPI_NOV2020_NDES!$A$7:$H$6703,MATCH($B59,SINAPI_NOV2020_NDES!$A$7:$A$6703,0),5),(INDEX(COMPOS!$A$4:$G$801,MATCH($B59,COMPOS!$A$4:A$801,0),4))))</f>
        <v>31.96</v>
      </c>
      <c r="G59" s="280">
        <f>(IF($A59="SINAPI",INDEX(SINAPI_NOV2020_NDES!$A$7:$H$6703,MATCH($B59,SINAPI_NOV2020_NDES!$A$7:$A$6703,0),6),(INDEX(COMPOS!$A$4:$G$801,MATCH($B59,COMPOS!$A$4:A$801,0),5))))</f>
        <v>247.2</v>
      </c>
      <c r="H59" s="280">
        <f>(IF($A59="SINAPI",INDEX(SINAPI_NOV2020_NDES!$A$7:$H$6703,MATCH($B59,SINAPI_NOV2020_NDES!$A$7:$A$6703,0),7),(INDEX(COMPOS!$A$4:$G$801,MATCH($B59,COMPOS!$A$4:A$801,0),6))))</f>
        <v>0</v>
      </c>
      <c r="I59" s="279">
        <f t="shared" si="12"/>
        <v>279.15999999999997</v>
      </c>
      <c r="J59" s="276">
        <f t="shared" si="13"/>
        <v>1674.9599999999998</v>
      </c>
      <c r="K59" s="191"/>
      <c r="L59" s="191"/>
      <c r="M59" s="191"/>
      <c r="N59" s="191"/>
      <c r="O59" s="262"/>
      <c r="P59" s="263"/>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c r="EF59" s="18"/>
      <c r="EG59" s="18"/>
      <c r="EH59" s="18"/>
      <c r="EI59" s="18"/>
      <c r="EJ59" s="18"/>
      <c r="EK59" s="18"/>
      <c r="EL59" s="18"/>
      <c r="EM59" s="18"/>
      <c r="EN59" s="18"/>
      <c r="EO59" s="18"/>
      <c r="EP59" s="18"/>
      <c r="EQ59" s="18"/>
      <c r="ER59" s="18"/>
      <c r="ES59" s="18"/>
      <c r="ET59" s="18"/>
      <c r="EU59" s="18"/>
      <c r="EV59" s="18"/>
      <c r="EW59" s="18"/>
      <c r="EX59" s="18"/>
      <c r="EY59" s="18"/>
      <c r="EZ59" s="18"/>
      <c r="FA59" s="18"/>
      <c r="FB59" s="18"/>
      <c r="FC59" s="18"/>
      <c r="FD59" s="18"/>
      <c r="FE59" s="18"/>
      <c r="FF59" s="18"/>
      <c r="FG59" s="18"/>
      <c r="FH59" s="18"/>
      <c r="FI59" s="18"/>
      <c r="FJ59" s="18"/>
      <c r="FK59" s="18"/>
      <c r="FL59" s="18"/>
      <c r="FM59" s="18"/>
      <c r="FN59" s="18"/>
      <c r="FO59" s="18"/>
      <c r="FP59" s="18"/>
      <c r="FQ59" s="18"/>
      <c r="FR59" s="18"/>
      <c r="FS59" s="18"/>
      <c r="FT59" s="18"/>
      <c r="FU59" s="18"/>
      <c r="FV59" s="18"/>
      <c r="FW59" s="18"/>
      <c r="FX59" s="18"/>
      <c r="FY59" s="18"/>
      <c r="FZ59" s="18"/>
      <c r="GA59" s="18"/>
      <c r="GB59" s="18"/>
      <c r="GC59" s="18"/>
      <c r="GD59" s="18"/>
      <c r="GE59" s="18"/>
      <c r="GF59" s="18"/>
      <c r="GG59" s="18"/>
      <c r="GH59" s="18"/>
      <c r="GI59" s="18"/>
      <c r="GJ59" s="18"/>
      <c r="GK59" s="18"/>
      <c r="GL59" s="18"/>
      <c r="GM59" s="18"/>
      <c r="GN59" s="18"/>
      <c r="GO59" s="18"/>
      <c r="GP59" s="18"/>
      <c r="GQ59" s="18"/>
      <c r="GR59" s="18"/>
      <c r="GS59" s="18"/>
      <c r="GT59" s="18"/>
      <c r="GU59" s="18"/>
      <c r="GV59" s="18"/>
      <c r="GW59" s="18"/>
      <c r="GX59" s="18"/>
      <c r="GY59" s="18"/>
      <c r="GZ59" s="18"/>
      <c r="HA59" s="18"/>
      <c r="HB59" s="18"/>
      <c r="HC59" s="18"/>
      <c r="HD59" s="18"/>
      <c r="HE59" s="18"/>
      <c r="HF59" s="18"/>
      <c r="HG59" s="18"/>
      <c r="HH59" s="18"/>
      <c r="HI59" s="18"/>
      <c r="HJ59" s="18"/>
      <c r="HK59" s="18"/>
      <c r="HL59" s="18"/>
      <c r="HM59" s="18"/>
      <c r="HN59" s="18"/>
      <c r="HO59" s="18"/>
      <c r="HP59" s="18"/>
      <c r="HQ59" s="18"/>
      <c r="HR59" s="18"/>
      <c r="HS59" s="18"/>
      <c r="HT59" s="18"/>
      <c r="HU59" s="18"/>
      <c r="HV59" s="18"/>
      <c r="HW59" s="18"/>
      <c r="HX59" s="18"/>
      <c r="HY59" s="18"/>
      <c r="HZ59" s="18"/>
      <c r="IA59" s="18"/>
      <c r="IB59" s="18"/>
      <c r="IC59" s="18"/>
      <c r="ID59" s="18"/>
      <c r="IE59" s="18"/>
      <c r="IF59" s="18"/>
      <c r="IG59" s="18"/>
      <c r="IH59" s="18"/>
      <c r="II59" s="18"/>
      <c r="IJ59" s="18"/>
      <c r="IK59" s="18"/>
      <c r="IL59" s="18"/>
      <c r="IM59" s="18"/>
      <c r="IN59" s="18"/>
      <c r="IO59" s="18"/>
      <c r="IP59" s="18"/>
      <c r="IQ59" s="18"/>
      <c r="IR59" s="18"/>
      <c r="IS59" s="18"/>
      <c r="IT59" s="18"/>
      <c r="IU59" s="18"/>
      <c r="IV59" s="18"/>
      <c r="IW59" s="18"/>
      <c r="IX59" s="18"/>
      <c r="IY59" s="18"/>
      <c r="IZ59" s="18"/>
      <c r="JA59" s="18"/>
      <c r="JB59" s="18"/>
      <c r="JC59" s="18"/>
      <c r="JD59" s="18"/>
      <c r="JE59" s="18"/>
      <c r="JF59" s="18"/>
      <c r="JG59" s="18"/>
      <c r="JH59" s="18"/>
      <c r="JI59" s="18"/>
      <c r="JJ59" s="18"/>
      <c r="JK59" s="18"/>
      <c r="JL59" s="18"/>
      <c r="JM59" s="18"/>
      <c r="JN59" s="18"/>
      <c r="JO59" s="18"/>
      <c r="JP59" s="18"/>
      <c r="JQ59" s="18"/>
      <c r="JR59" s="18"/>
      <c r="JS59" s="18"/>
      <c r="JT59" s="18"/>
      <c r="JU59" s="18"/>
      <c r="JV59" s="18"/>
      <c r="JW59" s="18"/>
      <c r="JX59" s="18"/>
      <c r="JY59" s="18"/>
      <c r="JZ59" s="18"/>
      <c r="KA59" s="18"/>
      <c r="KB59" s="18"/>
      <c r="KC59" s="18"/>
      <c r="KD59" s="18"/>
      <c r="KE59" s="18"/>
      <c r="KF59" s="18"/>
      <c r="KG59" s="18"/>
      <c r="KH59" s="18"/>
      <c r="KI59" s="18"/>
      <c r="KJ59" s="18"/>
      <c r="KK59" s="18"/>
      <c r="KL59" s="18"/>
      <c r="KM59" s="18"/>
      <c r="KN59" s="18"/>
      <c r="KO59" s="18"/>
      <c r="KP59" s="18"/>
      <c r="KQ59" s="18"/>
      <c r="KR59" s="18"/>
      <c r="KS59" s="18"/>
      <c r="KT59" s="18"/>
      <c r="KU59" s="18"/>
      <c r="KV59" s="18"/>
      <c r="KW59" s="18"/>
      <c r="KX59" s="18"/>
      <c r="KY59" s="18"/>
      <c r="KZ59" s="18"/>
      <c r="LA59" s="18"/>
      <c r="LB59" s="18"/>
      <c r="LC59" s="18"/>
      <c r="LD59" s="18"/>
      <c r="LE59" s="18"/>
      <c r="LF59" s="18"/>
      <c r="LG59" s="18"/>
      <c r="LH59" s="18"/>
      <c r="LI59" s="18"/>
      <c r="LJ59" s="18"/>
      <c r="LK59" s="18"/>
      <c r="LL59" s="18"/>
      <c r="LM59" s="18"/>
      <c r="LN59" s="18"/>
      <c r="LO59" s="18"/>
      <c r="LP59" s="18"/>
      <c r="LQ59" s="18"/>
      <c r="LR59" s="18"/>
      <c r="LS59" s="18"/>
      <c r="LT59" s="18"/>
      <c r="LU59" s="18"/>
      <c r="LV59" s="18"/>
      <c r="LW59" s="18"/>
      <c r="LX59" s="18"/>
      <c r="LY59" s="18"/>
      <c r="LZ59" s="18"/>
      <c r="MA59" s="18"/>
      <c r="MB59" s="18"/>
      <c r="MC59" s="18"/>
      <c r="MD59" s="18"/>
      <c r="ME59" s="18"/>
      <c r="MF59" s="18"/>
      <c r="MG59" s="18"/>
      <c r="MH59" s="18"/>
      <c r="MI59" s="18"/>
      <c r="MJ59" s="18"/>
      <c r="MK59" s="18"/>
      <c r="ML59" s="18"/>
      <c r="MM59" s="18"/>
      <c r="MN59" s="18"/>
      <c r="MO59" s="18"/>
      <c r="MP59" s="18"/>
      <c r="MQ59" s="18"/>
      <c r="MR59" s="18"/>
      <c r="MS59" s="18"/>
      <c r="MT59" s="18"/>
      <c r="MU59" s="18"/>
      <c r="MV59" s="18"/>
      <c r="MW59" s="18"/>
      <c r="MX59" s="18"/>
      <c r="MY59" s="18"/>
      <c r="MZ59" s="18"/>
      <c r="NA59" s="18"/>
      <c r="NB59" s="18"/>
      <c r="NC59" s="18"/>
      <c r="ND59" s="18"/>
      <c r="NE59" s="18"/>
      <c r="NF59" s="18"/>
      <c r="NG59" s="18"/>
      <c r="NH59" s="18"/>
      <c r="NI59" s="18"/>
      <c r="NJ59" s="18"/>
      <c r="NK59" s="18"/>
      <c r="NL59" s="18"/>
      <c r="NM59" s="18"/>
      <c r="NN59" s="18"/>
      <c r="NO59" s="18"/>
      <c r="NP59" s="18"/>
      <c r="NQ59" s="18"/>
      <c r="NR59" s="18"/>
      <c r="NS59" s="18"/>
      <c r="NT59" s="18"/>
      <c r="NU59" s="18"/>
      <c r="NV59" s="18"/>
      <c r="NW59" s="18"/>
      <c r="NX59" s="18"/>
      <c r="NY59" s="18"/>
      <c r="NZ59" s="18"/>
      <c r="OA59" s="18"/>
      <c r="OB59" s="18"/>
      <c r="OC59" s="18"/>
      <c r="OD59" s="18"/>
      <c r="OE59" s="18"/>
      <c r="OF59" s="18"/>
      <c r="OG59" s="18"/>
      <c r="OH59" s="18"/>
      <c r="OI59" s="18"/>
      <c r="OJ59" s="18"/>
      <c r="OK59" s="18"/>
      <c r="OL59" s="18"/>
      <c r="OM59" s="18"/>
      <c r="ON59" s="18"/>
      <c r="OO59" s="18"/>
      <c r="OP59" s="18"/>
      <c r="OQ59" s="18"/>
      <c r="OR59" s="18"/>
      <c r="OS59" s="18"/>
      <c r="OT59" s="18"/>
      <c r="OU59" s="18"/>
      <c r="OV59" s="18"/>
      <c r="OW59" s="18"/>
      <c r="OX59" s="18"/>
      <c r="OY59" s="18"/>
      <c r="OZ59" s="18"/>
      <c r="PA59" s="18"/>
      <c r="PB59" s="18"/>
      <c r="PC59" s="18"/>
      <c r="PD59" s="18"/>
      <c r="PE59" s="18"/>
      <c r="PF59" s="18"/>
      <c r="PG59" s="18"/>
      <c r="PH59" s="18"/>
      <c r="PI59" s="18"/>
      <c r="PJ59" s="18"/>
      <c r="PK59" s="18"/>
      <c r="PL59" s="18"/>
      <c r="PM59" s="18"/>
      <c r="PN59" s="18"/>
      <c r="PO59" s="18"/>
      <c r="PP59" s="18"/>
      <c r="PQ59" s="18"/>
      <c r="PR59" s="18"/>
      <c r="PS59" s="18"/>
      <c r="PT59" s="18"/>
      <c r="PU59" s="18"/>
      <c r="PV59" s="18"/>
      <c r="PW59" s="18"/>
      <c r="PX59" s="18"/>
      <c r="PY59" s="18"/>
      <c r="PZ59" s="18"/>
      <c r="QA59" s="18"/>
      <c r="QB59" s="18"/>
      <c r="QC59" s="18"/>
      <c r="QD59" s="18"/>
      <c r="QE59" s="18"/>
      <c r="QF59" s="18"/>
      <c r="QG59" s="18"/>
      <c r="QH59" s="18"/>
      <c r="QI59" s="18"/>
      <c r="QJ59" s="18"/>
      <c r="QK59" s="18"/>
      <c r="QL59" s="18"/>
      <c r="QM59" s="18"/>
      <c r="QN59" s="18"/>
      <c r="QO59" s="18"/>
      <c r="QP59" s="18"/>
      <c r="QQ59" s="18"/>
      <c r="QR59" s="18"/>
      <c r="QS59" s="18"/>
      <c r="QT59" s="18"/>
      <c r="QU59" s="18"/>
      <c r="QV59" s="18"/>
      <c r="QW59" s="18"/>
      <c r="QX59" s="18"/>
      <c r="QY59" s="18"/>
      <c r="QZ59" s="18"/>
      <c r="RA59" s="18"/>
      <c r="RB59" s="18"/>
      <c r="RC59" s="18"/>
      <c r="RD59" s="18"/>
      <c r="RE59" s="18"/>
      <c r="RF59" s="18"/>
      <c r="RG59" s="18"/>
      <c r="RH59" s="18"/>
      <c r="RI59" s="18"/>
      <c r="RJ59" s="18"/>
      <c r="RK59" s="18"/>
      <c r="RL59" s="18"/>
      <c r="RM59" s="18"/>
      <c r="RN59" s="18"/>
      <c r="RO59" s="18"/>
      <c r="RP59" s="18"/>
      <c r="RQ59" s="18"/>
      <c r="RR59" s="18"/>
      <c r="RS59" s="18"/>
      <c r="RT59" s="18"/>
      <c r="RU59" s="18"/>
      <c r="RV59" s="18"/>
      <c r="RW59" s="18"/>
      <c r="RX59" s="18"/>
      <c r="RY59" s="18"/>
      <c r="RZ59" s="18"/>
      <c r="SA59" s="18"/>
      <c r="SB59" s="18"/>
      <c r="SC59" s="18"/>
      <c r="SD59" s="18"/>
      <c r="SE59" s="18"/>
      <c r="SF59" s="18"/>
      <c r="SG59" s="18"/>
      <c r="SH59" s="18"/>
      <c r="SI59" s="18"/>
      <c r="SJ59" s="18"/>
      <c r="SK59" s="18"/>
      <c r="SL59" s="18"/>
      <c r="SM59" s="18"/>
      <c r="SN59" s="18"/>
      <c r="SO59" s="18"/>
      <c r="SP59" s="18"/>
      <c r="SQ59" s="18"/>
      <c r="SR59" s="18"/>
      <c r="SS59" s="18"/>
      <c r="ST59" s="18"/>
      <c r="SU59" s="18"/>
      <c r="SV59" s="18"/>
      <c r="SW59" s="18"/>
      <c r="SX59" s="18"/>
      <c r="SY59" s="18"/>
      <c r="SZ59" s="18"/>
      <c r="TA59" s="18"/>
      <c r="TB59" s="18"/>
      <c r="TC59" s="18"/>
      <c r="TD59" s="18"/>
      <c r="TE59" s="18"/>
      <c r="TF59" s="18"/>
      <c r="TG59" s="18"/>
      <c r="TH59" s="18"/>
      <c r="TI59" s="18"/>
      <c r="TJ59" s="18"/>
      <c r="TK59" s="18"/>
      <c r="TL59" s="18"/>
      <c r="TM59" s="18"/>
      <c r="TN59" s="18"/>
      <c r="TO59" s="18"/>
      <c r="TP59" s="18"/>
      <c r="TQ59" s="18"/>
      <c r="TR59" s="18"/>
      <c r="TS59" s="18"/>
      <c r="TT59" s="18"/>
      <c r="TU59" s="18"/>
      <c r="TV59" s="18"/>
      <c r="TW59" s="18"/>
      <c r="TX59" s="18"/>
      <c r="TY59" s="18"/>
      <c r="TZ59" s="18"/>
      <c r="UA59" s="18"/>
      <c r="UB59" s="18"/>
      <c r="UC59" s="18"/>
      <c r="UD59" s="18"/>
      <c r="UE59" s="18"/>
      <c r="UF59" s="18"/>
      <c r="UG59" s="18"/>
      <c r="UH59" s="18"/>
      <c r="UI59" s="18"/>
      <c r="UJ59" s="18"/>
      <c r="UK59" s="18"/>
      <c r="UL59" s="18"/>
      <c r="UM59" s="18"/>
      <c r="UN59" s="18"/>
      <c r="UO59" s="18"/>
      <c r="UP59" s="18"/>
      <c r="UQ59" s="18"/>
      <c r="UR59" s="18"/>
      <c r="US59" s="18"/>
      <c r="UT59" s="18"/>
      <c r="UU59" s="18"/>
      <c r="UV59" s="18"/>
      <c r="UW59" s="18"/>
      <c r="UX59" s="18"/>
      <c r="UY59" s="18"/>
      <c r="UZ59" s="18"/>
      <c r="VA59" s="18"/>
      <c r="VB59" s="18"/>
      <c r="VC59" s="18"/>
      <c r="VD59" s="18"/>
      <c r="VE59" s="18"/>
      <c r="VF59" s="18"/>
      <c r="VG59" s="18"/>
      <c r="VH59" s="18"/>
      <c r="VI59" s="18"/>
      <c r="VJ59" s="18"/>
      <c r="VK59" s="18"/>
      <c r="VL59" s="18"/>
      <c r="VM59" s="18"/>
      <c r="VN59" s="18"/>
      <c r="VO59" s="18"/>
      <c r="VP59" s="18"/>
      <c r="VQ59" s="18"/>
      <c r="VR59" s="18"/>
      <c r="VS59" s="18"/>
      <c r="VT59" s="18"/>
      <c r="VU59" s="18"/>
      <c r="VV59" s="18"/>
      <c r="VW59" s="18"/>
      <c r="VX59" s="18"/>
      <c r="VY59" s="18"/>
      <c r="VZ59" s="18"/>
      <c r="WA59" s="18"/>
      <c r="WB59" s="18"/>
      <c r="WC59" s="18"/>
      <c r="WD59" s="18"/>
      <c r="WE59" s="18"/>
      <c r="WF59" s="18"/>
      <c r="WG59" s="18"/>
      <c r="WH59" s="18"/>
      <c r="WI59" s="18"/>
      <c r="WJ59" s="18"/>
      <c r="WK59" s="18"/>
      <c r="WL59" s="18"/>
      <c r="WM59" s="18"/>
      <c r="WN59" s="18"/>
      <c r="WO59" s="18"/>
      <c r="WP59" s="18"/>
      <c r="WQ59" s="18"/>
      <c r="WR59" s="18"/>
      <c r="WS59" s="18"/>
      <c r="WT59" s="18"/>
      <c r="WU59" s="18"/>
      <c r="WV59" s="18"/>
      <c r="WW59" s="18"/>
      <c r="WX59" s="18"/>
      <c r="WY59" s="18"/>
      <c r="WZ59" s="18"/>
      <c r="XA59" s="18"/>
      <c r="XB59" s="18"/>
      <c r="XC59" s="18"/>
      <c r="XD59" s="18"/>
      <c r="XE59" s="18"/>
      <c r="XF59" s="18"/>
      <c r="XG59" s="18"/>
      <c r="XH59" s="18"/>
      <c r="XI59" s="18"/>
      <c r="XJ59" s="18"/>
      <c r="XK59" s="18"/>
      <c r="XL59" s="18"/>
      <c r="XM59" s="18"/>
      <c r="XN59" s="18"/>
      <c r="XO59" s="18"/>
      <c r="XP59" s="18"/>
      <c r="XQ59" s="18"/>
      <c r="XR59" s="18"/>
      <c r="XS59" s="18"/>
      <c r="XT59" s="18"/>
      <c r="XU59" s="18"/>
      <c r="XV59" s="18"/>
      <c r="XW59" s="18"/>
      <c r="XX59" s="18"/>
      <c r="XY59" s="18"/>
      <c r="XZ59" s="18"/>
      <c r="YA59" s="18"/>
      <c r="YB59" s="18"/>
      <c r="YC59" s="18"/>
      <c r="YD59" s="18"/>
      <c r="YE59" s="18"/>
      <c r="YF59" s="18"/>
      <c r="YG59" s="18"/>
      <c r="YH59" s="18"/>
      <c r="YI59" s="18"/>
      <c r="YJ59" s="18"/>
      <c r="YK59" s="18"/>
      <c r="YL59" s="18"/>
      <c r="YM59" s="18"/>
      <c r="YN59" s="18"/>
      <c r="YO59" s="18"/>
      <c r="YP59" s="18"/>
      <c r="YQ59" s="18"/>
      <c r="YR59" s="18"/>
      <c r="YS59" s="18"/>
      <c r="YT59" s="18"/>
      <c r="YU59" s="18"/>
      <c r="YV59" s="18"/>
      <c r="YW59" s="18"/>
      <c r="YX59" s="18"/>
      <c r="YY59" s="18"/>
      <c r="YZ59" s="18"/>
      <c r="ZA59" s="18"/>
      <c r="ZB59" s="18"/>
      <c r="ZC59" s="18"/>
      <c r="ZD59" s="18"/>
      <c r="ZE59" s="18"/>
      <c r="ZF59" s="18"/>
      <c r="ZG59" s="18"/>
      <c r="ZH59" s="18"/>
      <c r="ZI59" s="18"/>
      <c r="ZJ59" s="18"/>
      <c r="ZK59" s="18"/>
      <c r="ZL59" s="18"/>
      <c r="ZM59" s="18"/>
      <c r="ZN59" s="18"/>
      <c r="ZO59" s="18"/>
      <c r="ZP59" s="18"/>
      <c r="ZQ59" s="18"/>
      <c r="ZR59" s="18"/>
      <c r="ZS59" s="18"/>
      <c r="ZT59" s="18"/>
      <c r="ZU59" s="18"/>
      <c r="ZV59" s="18"/>
      <c r="ZW59" s="18"/>
      <c r="ZX59" s="18"/>
      <c r="ZY59" s="18"/>
      <c r="ZZ59" s="18"/>
      <c r="AAA59" s="18"/>
      <c r="AAB59" s="18"/>
      <c r="AAC59" s="18"/>
      <c r="AAD59" s="18"/>
      <c r="AAE59" s="18"/>
      <c r="AAF59" s="18"/>
      <c r="AAG59" s="18"/>
      <c r="AAH59" s="18"/>
      <c r="AAI59" s="18"/>
      <c r="AAJ59" s="18"/>
      <c r="AAK59" s="18"/>
      <c r="AAL59" s="18"/>
      <c r="AAM59" s="18"/>
      <c r="AAN59" s="18"/>
      <c r="AAO59" s="18"/>
      <c r="AAP59" s="18"/>
      <c r="AAQ59" s="18"/>
      <c r="AAR59" s="18"/>
      <c r="AAS59" s="18"/>
      <c r="AAT59" s="18"/>
      <c r="AAU59" s="18"/>
      <c r="AAV59" s="18"/>
      <c r="AAW59" s="18"/>
      <c r="AAX59" s="18"/>
      <c r="AAY59" s="18"/>
      <c r="AAZ59" s="18"/>
      <c r="ABA59" s="18"/>
      <c r="ABB59" s="18"/>
      <c r="ABC59" s="18"/>
      <c r="ABD59" s="18"/>
      <c r="ABE59" s="18"/>
      <c r="ABF59" s="18"/>
      <c r="ABG59" s="18"/>
      <c r="ABH59" s="18"/>
      <c r="ABI59" s="18"/>
      <c r="ABJ59" s="18"/>
      <c r="ABK59" s="18"/>
      <c r="ABL59" s="18"/>
      <c r="ABM59" s="18"/>
      <c r="ABN59" s="18"/>
      <c r="ABO59" s="18"/>
      <c r="ABP59" s="18"/>
      <c r="ABQ59" s="18"/>
      <c r="ABR59" s="18"/>
      <c r="ABS59" s="18"/>
      <c r="ABT59" s="18"/>
      <c r="ABU59" s="18"/>
      <c r="ABV59" s="18"/>
      <c r="ABW59" s="18"/>
      <c r="ABX59" s="18"/>
      <c r="ABY59" s="18"/>
      <c r="ABZ59" s="18"/>
      <c r="ACA59" s="18"/>
      <c r="ACB59" s="18"/>
      <c r="ACC59" s="18"/>
      <c r="ACD59" s="18"/>
      <c r="ACE59" s="18"/>
      <c r="ACF59" s="18"/>
      <c r="ACG59" s="18"/>
      <c r="ACH59" s="18"/>
      <c r="ACI59" s="18"/>
      <c r="ACJ59" s="18"/>
      <c r="ACK59" s="18"/>
      <c r="ACL59" s="18"/>
      <c r="ACM59" s="18"/>
      <c r="ACN59" s="18"/>
      <c r="ACO59" s="18"/>
      <c r="ACP59" s="18"/>
      <c r="ACQ59" s="18"/>
      <c r="ACR59" s="18"/>
      <c r="ACS59" s="18"/>
      <c r="ACT59" s="18"/>
      <c r="ACU59" s="18"/>
      <c r="ACV59" s="18"/>
      <c r="ACW59" s="18"/>
      <c r="ACX59" s="18"/>
      <c r="ACY59" s="18"/>
      <c r="ACZ59" s="18"/>
      <c r="ADA59" s="18"/>
      <c r="ADB59" s="18"/>
      <c r="ADC59" s="18"/>
      <c r="ADD59" s="18"/>
      <c r="ADE59" s="18"/>
      <c r="ADF59" s="18"/>
      <c r="ADG59" s="18"/>
      <c r="ADH59" s="18"/>
      <c r="ADI59" s="18"/>
      <c r="ADJ59" s="18"/>
      <c r="ADK59" s="18"/>
      <c r="ADL59" s="18"/>
      <c r="ADM59" s="18"/>
      <c r="ADN59" s="18"/>
      <c r="ADO59" s="18"/>
      <c r="ADP59" s="18"/>
      <c r="ADQ59" s="18"/>
      <c r="ADR59" s="18"/>
      <c r="ADS59" s="18"/>
      <c r="ADT59" s="18"/>
      <c r="ADU59" s="18"/>
      <c r="ADV59" s="18"/>
      <c r="ADW59" s="18"/>
      <c r="ADX59" s="18"/>
      <c r="ADY59" s="18"/>
      <c r="ADZ59" s="18"/>
      <c r="AEA59" s="18"/>
      <c r="AEB59" s="18"/>
      <c r="AEC59" s="18"/>
      <c r="AED59" s="18"/>
      <c r="AEE59" s="18"/>
      <c r="AEF59" s="18"/>
      <c r="AEG59" s="18"/>
      <c r="AEH59" s="18"/>
      <c r="AEI59" s="18"/>
      <c r="AEJ59" s="18"/>
      <c r="AEK59" s="18"/>
      <c r="AEL59" s="18"/>
      <c r="AEM59" s="18"/>
      <c r="AEN59" s="18"/>
      <c r="AEO59" s="18"/>
      <c r="AEP59" s="18"/>
      <c r="AEQ59" s="18"/>
      <c r="AER59" s="18"/>
      <c r="AES59" s="18"/>
      <c r="AET59" s="18"/>
      <c r="AEU59" s="18"/>
      <c r="AEV59" s="18"/>
      <c r="AEW59" s="18"/>
      <c r="AEX59" s="18"/>
      <c r="AEY59" s="18"/>
      <c r="AEZ59" s="18"/>
      <c r="AFA59" s="18"/>
      <c r="AFB59" s="18"/>
      <c r="AFC59" s="18"/>
      <c r="AFD59" s="18"/>
      <c r="AFE59" s="18"/>
      <c r="AFF59" s="18"/>
      <c r="AFG59" s="18"/>
      <c r="AFH59" s="18"/>
      <c r="AFI59" s="18"/>
      <c r="AFJ59" s="18"/>
      <c r="AFK59" s="18"/>
      <c r="AFL59" s="18"/>
      <c r="AFM59" s="18"/>
      <c r="AFN59" s="18"/>
      <c r="AFO59" s="18"/>
      <c r="AFP59" s="18"/>
      <c r="AFQ59" s="18"/>
      <c r="AFR59" s="18"/>
      <c r="AFS59" s="18"/>
      <c r="AFT59" s="18"/>
      <c r="AFU59" s="18"/>
      <c r="AFV59" s="18"/>
      <c r="AFW59" s="18"/>
      <c r="AFX59" s="18"/>
      <c r="AFY59" s="18"/>
      <c r="AFZ59" s="18"/>
      <c r="AGA59" s="18"/>
      <c r="AGB59" s="18"/>
      <c r="AGC59" s="18"/>
      <c r="AGD59" s="18"/>
      <c r="AGE59" s="18"/>
      <c r="AGF59" s="18"/>
      <c r="AGG59" s="18"/>
      <c r="AGH59" s="18"/>
      <c r="AGI59" s="18"/>
      <c r="AGJ59" s="18"/>
      <c r="AGK59" s="18"/>
      <c r="AGL59" s="18"/>
      <c r="AGM59" s="18"/>
      <c r="AGN59" s="18"/>
      <c r="AGO59" s="18"/>
      <c r="AGP59" s="18"/>
      <c r="AGQ59" s="18"/>
      <c r="AGR59" s="18"/>
      <c r="AGS59" s="18"/>
      <c r="AGT59" s="18"/>
      <c r="AGU59" s="18"/>
      <c r="AGV59" s="18"/>
      <c r="AGW59" s="18"/>
      <c r="AGX59" s="18"/>
      <c r="AGY59" s="18"/>
      <c r="AGZ59" s="18"/>
      <c r="AHA59" s="18"/>
      <c r="AHB59" s="18"/>
      <c r="AHC59" s="18"/>
      <c r="AHD59" s="18"/>
      <c r="AHE59" s="18"/>
      <c r="AHF59" s="18"/>
      <c r="AHG59" s="18"/>
      <c r="AHH59" s="18"/>
      <c r="AHI59" s="18"/>
      <c r="AHJ59" s="18"/>
      <c r="AHK59" s="18"/>
      <c r="AHL59" s="18"/>
      <c r="AHM59" s="18"/>
      <c r="AHN59" s="18"/>
      <c r="AHO59" s="18"/>
      <c r="AHP59" s="18"/>
      <c r="AHQ59" s="18"/>
      <c r="AHR59" s="18"/>
      <c r="AHS59" s="18"/>
      <c r="AHT59" s="18"/>
      <c r="AHU59" s="18"/>
      <c r="AHV59" s="18"/>
      <c r="AHW59" s="18"/>
      <c r="AHX59" s="18"/>
      <c r="AHY59" s="18"/>
      <c r="AHZ59" s="18"/>
      <c r="AIA59" s="18"/>
      <c r="AIB59" s="18"/>
      <c r="AIC59" s="18"/>
      <c r="AID59" s="18"/>
      <c r="AIE59" s="18"/>
      <c r="AIF59" s="18"/>
      <c r="AIG59" s="18"/>
      <c r="AIH59" s="18"/>
      <c r="AII59" s="18"/>
      <c r="AIJ59" s="18"/>
      <c r="AIK59" s="18"/>
      <c r="AIL59" s="18"/>
      <c r="AIM59" s="18"/>
      <c r="AIN59" s="18"/>
      <c r="AIO59" s="18"/>
      <c r="AIP59" s="18"/>
      <c r="AIQ59" s="18"/>
      <c r="AIR59" s="18"/>
      <c r="AIS59" s="18"/>
      <c r="AIT59" s="18"/>
      <c r="AIU59" s="18"/>
      <c r="AIV59" s="18"/>
      <c r="AIW59" s="18"/>
      <c r="AIX59" s="18"/>
      <c r="AIY59" s="18"/>
      <c r="AIZ59" s="18"/>
      <c r="AJA59" s="18"/>
      <c r="AJB59" s="18"/>
      <c r="AJC59" s="18"/>
      <c r="AJD59" s="18"/>
      <c r="AJE59" s="18"/>
      <c r="AJF59" s="18"/>
      <c r="AJG59" s="18"/>
      <c r="AJH59" s="18"/>
      <c r="AJI59" s="18"/>
      <c r="AJJ59" s="18"/>
      <c r="AJK59" s="18"/>
      <c r="AJL59" s="18"/>
      <c r="AJM59" s="18"/>
      <c r="AJN59" s="18"/>
      <c r="AJO59" s="18"/>
      <c r="AJP59" s="18"/>
      <c r="AJQ59" s="18"/>
      <c r="AJR59" s="18"/>
      <c r="AJS59" s="18"/>
      <c r="AJT59" s="18"/>
      <c r="AJU59" s="18"/>
      <c r="AJV59" s="18"/>
      <c r="AJW59" s="18"/>
      <c r="AJX59" s="18"/>
      <c r="AJY59" s="18"/>
      <c r="AJZ59" s="18"/>
      <c r="AKA59" s="18"/>
      <c r="AKB59" s="18"/>
      <c r="AKC59" s="18"/>
      <c r="AKD59" s="18"/>
      <c r="AKE59" s="18"/>
      <c r="AKF59" s="18"/>
      <c r="AKG59" s="18"/>
      <c r="AKH59" s="18"/>
      <c r="AKI59" s="18"/>
      <c r="AKJ59" s="18"/>
      <c r="AKK59" s="18"/>
      <c r="AKL59" s="18"/>
      <c r="AKM59" s="18"/>
      <c r="AKN59" s="18"/>
      <c r="AKO59" s="18"/>
      <c r="AKP59" s="18"/>
      <c r="AKQ59" s="18"/>
      <c r="AKR59" s="18"/>
      <c r="AKS59" s="18"/>
      <c r="AKT59" s="18"/>
      <c r="AKU59" s="18"/>
      <c r="AKV59" s="18"/>
      <c r="AKW59" s="18"/>
      <c r="AKX59" s="18"/>
      <c r="AKY59" s="18"/>
      <c r="AKZ59" s="18"/>
      <c r="ALA59" s="18"/>
      <c r="ALB59" s="18"/>
      <c r="ALC59" s="18"/>
      <c r="ALD59" s="18"/>
      <c r="ALE59" s="18"/>
      <c r="ALF59" s="18"/>
      <c r="ALG59" s="18"/>
      <c r="ALH59" s="18"/>
      <c r="ALI59" s="18"/>
      <c r="ALJ59" s="18"/>
      <c r="ALK59" s="18"/>
      <c r="ALL59" s="18"/>
      <c r="ALM59" s="18"/>
      <c r="ALN59" s="18"/>
      <c r="ALO59" s="18"/>
      <c r="ALP59" s="18"/>
      <c r="ALQ59" s="18"/>
      <c r="ALR59" s="18"/>
      <c r="ALS59" s="18"/>
      <c r="ALT59" s="18"/>
    </row>
    <row r="60" spans="1:1008">
      <c r="A60" s="251" t="s">
        <v>6307</v>
      </c>
      <c r="B60" s="290">
        <v>787</v>
      </c>
      <c r="C60" s="278" t="str">
        <f>(IF($A60="SINAPI",INDEX(SINAPI_NOV2020_NDES!$A$7:$H$6703,MATCH($B60,SINAPI_NOV2020_NDES!$A$7:$A$6703,0),2),IF($A60="GOINFRA",INDEX(#REF!,MATCH($B60,#REF!,0),2),(INDEX(COMPOS!$A$4:$G$390,MATCH($B60,COMPOS!$A$4:A$390,0),2)))))</f>
        <v>ACABAMENTO PARA VÁLVULA DE DESCARGA</v>
      </c>
      <c r="D60" s="274" t="str">
        <f>(IF($A60="SINAPI",INDEX(SINAPI_NOV2020_NDES!$A$7:$H$6790,MATCH($B60,SINAPI_NOV2020_NDES!$A$7:$A$6790,0),3),(INDEX(COMPOS!$A$4:$G$5000,MATCH($B60,COMPOS!$A$4:$A$5000,0),3))))</f>
        <v>UN</v>
      </c>
      <c r="E60" s="314">
        <v>4</v>
      </c>
      <c r="F60" s="279">
        <f>(IF($A60="SINAPI",INDEX(SINAPI_NOV2020_NDES!$A$7:$H$6703,MATCH($B60,SINAPI_NOV2020_NDES!$A$7:$A$6703,0),5),(INDEX(COMPOS!$A$4:$G$801,MATCH($B60,COMPOS!$A$4:A$801,0),4))))</f>
        <v>2.9952000000000001</v>
      </c>
      <c r="G60" s="280">
        <f>(IF($A60="SINAPI",INDEX(SINAPI_NOV2020_NDES!$A$7:$H$6703,MATCH($B60,SINAPI_NOV2020_NDES!$A$7:$A$6703,0),6),(INDEX(COMPOS!$A$4:$G$801,MATCH($B60,COMPOS!$A$4:A$801,0),5))))</f>
        <v>64.320000000000007</v>
      </c>
      <c r="H60" s="280">
        <f>(IF($A60="SINAPI",INDEX(SINAPI_NOV2020_NDES!$A$7:$H$6703,MATCH($B60,SINAPI_NOV2020_NDES!$A$7:$A$6703,0),7),(INDEX(COMPOS!$A$4:$G$801,MATCH($B60,COMPOS!$A$4:A$801,0),6))))</f>
        <v>0</v>
      </c>
      <c r="I60" s="279">
        <f t="shared" si="12"/>
        <v>67.315200000000004</v>
      </c>
      <c r="J60" s="276">
        <f t="shared" si="13"/>
        <v>269.26080000000002</v>
      </c>
      <c r="K60" s="191"/>
      <c r="L60" s="191"/>
      <c r="M60" s="191"/>
      <c r="N60" s="191"/>
      <c r="O60" s="262"/>
      <c r="P60" s="263"/>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c r="EF60" s="18"/>
      <c r="EG60" s="18"/>
      <c r="EH60" s="18"/>
      <c r="EI60" s="18"/>
      <c r="EJ60" s="18"/>
      <c r="EK60" s="18"/>
      <c r="EL60" s="18"/>
      <c r="EM60" s="18"/>
      <c r="EN60" s="18"/>
      <c r="EO60" s="18"/>
      <c r="EP60" s="18"/>
      <c r="EQ60" s="18"/>
      <c r="ER60" s="18"/>
      <c r="ES60" s="18"/>
      <c r="ET60" s="18"/>
      <c r="EU60" s="18"/>
      <c r="EV60" s="18"/>
      <c r="EW60" s="18"/>
      <c r="EX60" s="18"/>
      <c r="EY60" s="18"/>
      <c r="EZ60" s="18"/>
      <c r="FA60" s="18"/>
      <c r="FB60" s="18"/>
      <c r="FC60" s="18"/>
      <c r="FD60" s="18"/>
      <c r="FE60" s="18"/>
      <c r="FF60" s="18"/>
      <c r="FG60" s="18"/>
      <c r="FH60" s="18"/>
      <c r="FI60" s="18"/>
      <c r="FJ60" s="18"/>
      <c r="FK60" s="18"/>
      <c r="FL60" s="18"/>
      <c r="FM60" s="18"/>
      <c r="FN60" s="18"/>
      <c r="FO60" s="18"/>
      <c r="FP60" s="18"/>
      <c r="FQ60" s="18"/>
      <c r="FR60" s="18"/>
      <c r="FS60" s="18"/>
      <c r="FT60" s="18"/>
      <c r="FU60" s="18"/>
      <c r="FV60" s="18"/>
      <c r="FW60" s="18"/>
      <c r="FX60" s="18"/>
      <c r="FY60" s="18"/>
      <c r="FZ60" s="18"/>
      <c r="GA60" s="18"/>
      <c r="GB60" s="18"/>
      <c r="GC60" s="18"/>
      <c r="GD60" s="18"/>
      <c r="GE60" s="18"/>
      <c r="GF60" s="18"/>
      <c r="GG60" s="18"/>
      <c r="GH60" s="18"/>
      <c r="GI60" s="18"/>
      <c r="GJ60" s="18"/>
      <c r="GK60" s="18"/>
      <c r="GL60" s="18"/>
      <c r="GM60" s="18"/>
      <c r="GN60" s="18"/>
      <c r="GO60" s="18"/>
      <c r="GP60" s="18"/>
      <c r="GQ60" s="18"/>
      <c r="GR60" s="18"/>
      <c r="GS60" s="18"/>
      <c r="GT60" s="18"/>
      <c r="GU60" s="18"/>
      <c r="GV60" s="18"/>
      <c r="GW60" s="18"/>
      <c r="GX60" s="18"/>
      <c r="GY60" s="18"/>
      <c r="GZ60" s="18"/>
      <c r="HA60" s="18"/>
      <c r="HB60" s="18"/>
      <c r="HC60" s="18"/>
      <c r="HD60" s="18"/>
      <c r="HE60" s="18"/>
      <c r="HF60" s="18"/>
      <c r="HG60" s="18"/>
      <c r="HH60" s="18"/>
      <c r="HI60" s="18"/>
      <c r="HJ60" s="18"/>
      <c r="HK60" s="18"/>
      <c r="HL60" s="18"/>
      <c r="HM60" s="18"/>
      <c r="HN60" s="18"/>
      <c r="HO60" s="18"/>
      <c r="HP60" s="18"/>
      <c r="HQ60" s="18"/>
      <c r="HR60" s="18"/>
      <c r="HS60" s="18"/>
      <c r="HT60" s="18"/>
      <c r="HU60" s="18"/>
      <c r="HV60" s="18"/>
      <c r="HW60" s="18"/>
      <c r="HX60" s="18"/>
      <c r="HY60" s="18"/>
      <c r="HZ60" s="18"/>
      <c r="IA60" s="18"/>
      <c r="IB60" s="18"/>
      <c r="IC60" s="18"/>
      <c r="ID60" s="18"/>
      <c r="IE60" s="18"/>
      <c r="IF60" s="18"/>
      <c r="IG60" s="18"/>
      <c r="IH60" s="18"/>
      <c r="II60" s="18"/>
      <c r="IJ60" s="18"/>
      <c r="IK60" s="18"/>
      <c r="IL60" s="18"/>
      <c r="IM60" s="18"/>
      <c r="IN60" s="18"/>
      <c r="IO60" s="18"/>
      <c r="IP60" s="18"/>
      <c r="IQ60" s="18"/>
      <c r="IR60" s="18"/>
      <c r="IS60" s="18"/>
      <c r="IT60" s="18"/>
      <c r="IU60" s="18"/>
      <c r="IV60" s="18"/>
      <c r="IW60" s="18"/>
      <c r="IX60" s="18"/>
      <c r="IY60" s="18"/>
      <c r="IZ60" s="18"/>
      <c r="JA60" s="18"/>
      <c r="JB60" s="18"/>
      <c r="JC60" s="18"/>
      <c r="JD60" s="18"/>
      <c r="JE60" s="18"/>
      <c r="JF60" s="18"/>
      <c r="JG60" s="18"/>
      <c r="JH60" s="18"/>
      <c r="JI60" s="18"/>
      <c r="JJ60" s="18"/>
      <c r="JK60" s="18"/>
      <c r="JL60" s="18"/>
      <c r="JM60" s="18"/>
      <c r="JN60" s="18"/>
      <c r="JO60" s="18"/>
      <c r="JP60" s="18"/>
      <c r="JQ60" s="18"/>
      <c r="JR60" s="18"/>
      <c r="JS60" s="18"/>
      <c r="JT60" s="18"/>
      <c r="JU60" s="18"/>
      <c r="JV60" s="18"/>
      <c r="JW60" s="18"/>
      <c r="JX60" s="18"/>
      <c r="JY60" s="18"/>
      <c r="JZ60" s="18"/>
      <c r="KA60" s="18"/>
      <c r="KB60" s="18"/>
      <c r="KC60" s="18"/>
      <c r="KD60" s="18"/>
      <c r="KE60" s="18"/>
      <c r="KF60" s="18"/>
      <c r="KG60" s="18"/>
      <c r="KH60" s="18"/>
      <c r="KI60" s="18"/>
      <c r="KJ60" s="18"/>
      <c r="KK60" s="18"/>
      <c r="KL60" s="18"/>
      <c r="KM60" s="18"/>
      <c r="KN60" s="18"/>
      <c r="KO60" s="18"/>
      <c r="KP60" s="18"/>
      <c r="KQ60" s="18"/>
      <c r="KR60" s="18"/>
      <c r="KS60" s="18"/>
      <c r="KT60" s="18"/>
      <c r="KU60" s="18"/>
      <c r="KV60" s="18"/>
      <c r="KW60" s="18"/>
      <c r="KX60" s="18"/>
      <c r="KY60" s="18"/>
      <c r="KZ60" s="18"/>
      <c r="LA60" s="18"/>
      <c r="LB60" s="18"/>
      <c r="LC60" s="18"/>
      <c r="LD60" s="18"/>
      <c r="LE60" s="18"/>
      <c r="LF60" s="18"/>
      <c r="LG60" s="18"/>
      <c r="LH60" s="18"/>
      <c r="LI60" s="18"/>
      <c r="LJ60" s="18"/>
      <c r="LK60" s="18"/>
      <c r="LL60" s="18"/>
      <c r="LM60" s="18"/>
      <c r="LN60" s="18"/>
      <c r="LO60" s="18"/>
      <c r="LP60" s="18"/>
      <c r="LQ60" s="18"/>
      <c r="LR60" s="18"/>
      <c r="LS60" s="18"/>
      <c r="LT60" s="18"/>
      <c r="LU60" s="18"/>
      <c r="LV60" s="18"/>
      <c r="LW60" s="18"/>
      <c r="LX60" s="18"/>
      <c r="LY60" s="18"/>
      <c r="LZ60" s="18"/>
      <c r="MA60" s="18"/>
      <c r="MB60" s="18"/>
      <c r="MC60" s="18"/>
      <c r="MD60" s="18"/>
      <c r="ME60" s="18"/>
      <c r="MF60" s="18"/>
      <c r="MG60" s="18"/>
      <c r="MH60" s="18"/>
      <c r="MI60" s="18"/>
      <c r="MJ60" s="18"/>
      <c r="MK60" s="18"/>
      <c r="ML60" s="18"/>
      <c r="MM60" s="18"/>
      <c r="MN60" s="18"/>
      <c r="MO60" s="18"/>
      <c r="MP60" s="18"/>
      <c r="MQ60" s="18"/>
      <c r="MR60" s="18"/>
      <c r="MS60" s="18"/>
      <c r="MT60" s="18"/>
      <c r="MU60" s="18"/>
      <c r="MV60" s="18"/>
      <c r="MW60" s="18"/>
      <c r="MX60" s="18"/>
      <c r="MY60" s="18"/>
      <c r="MZ60" s="18"/>
      <c r="NA60" s="18"/>
      <c r="NB60" s="18"/>
      <c r="NC60" s="18"/>
      <c r="ND60" s="18"/>
      <c r="NE60" s="18"/>
      <c r="NF60" s="18"/>
      <c r="NG60" s="18"/>
      <c r="NH60" s="18"/>
      <c r="NI60" s="18"/>
      <c r="NJ60" s="18"/>
      <c r="NK60" s="18"/>
      <c r="NL60" s="18"/>
      <c r="NM60" s="18"/>
      <c r="NN60" s="18"/>
      <c r="NO60" s="18"/>
      <c r="NP60" s="18"/>
      <c r="NQ60" s="18"/>
      <c r="NR60" s="18"/>
      <c r="NS60" s="18"/>
      <c r="NT60" s="18"/>
      <c r="NU60" s="18"/>
      <c r="NV60" s="18"/>
      <c r="NW60" s="18"/>
      <c r="NX60" s="18"/>
      <c r="NY60" s="18"/>
      <c r="NZ60" s="18"/>
      <c r="OA60" s="18"/>
      <c r="OB60" s="18"/>
      <c r="OC60" s="18"/>
      <c r="OD60" s="18"/>
      <c r="OE60" s="18"/>
      <c r="OF60" s="18"/>
      <c r="OG60" s="18"/>
      <c r="OH60" s="18"/>
      <c r="OI60" s="18"/>
      <c r="OJ60" s="18"/>
      <c r="OK60" s="18"/>
      <c r="OL60" s="18"/>
      <c r="OM60" s="18"/>
      <c r="ON60" s="18"/>
      <c r="OO60" s="18"/>
      <c r="OP60" s="18"/>
      <c r="OQ60" s="18"/>
      <c r="OR60" s="18"/>
      <c r="OS60" s="18"/>
      <c r="OT60" s="18"/>
      <c r="OU60" s="18"/>
      <c r="OV60" s="18"/>
      <c r="OW60" s="18"/>
      <c r="OX60" s="18"/>
      <c r="OY60" s="18"/>
      <c r="OZ60" s="18"/>
      <c r="PA60" s="18"/>
      <c r="PB60" s="18"/>
      <c r="PC60" s="18"/>
      <c r="PD60" s="18"/>
      <c r="PE60" s="18"/>
      <c r="PF60" s="18"/>
      <c r="PG60" s="18"/>
      <c r="PH60" s="18"/>
      <c r="PI60" s="18"/>
      <c r="PJ60" s="18"/>
      <c r="PK60" s="18"/>
      <c r="PL60" s="18"/>
      <c r="PM60" s="18"/>
      <c r="PN60" s="18"/>
      <c r="PO60" s="18"/>
      <c r="PP60" s="18"/>
      <c r="PQ60" s="18"/>
      <c r="PR60" s="18"/>
      <c r="PS60" s="18"/>
      <c r="PT60" s="18"/>
      <c r="PU60" s="18"/>
      <c r="PV60" s="18"/>
      <c r="PW60" s="18"/>
      <c r="PX60" s="18"/>
      <c r="PY60" s="18"/>
      <c r="PZ60" s="18"/>
      <c r="QA60" s="18"/>
      <c r="QB60" s="18"/>
      <c r="QC60" s="18"/>
      <c r="QD60" s="18"/>
      <c r="QE60" s="18"/>
      <c r="QF60" s="18"/>
      <c r="QG60" s="18"/>
      <c r="QH60" s="18"/>
      <c r="QI60" s="18"/>
      <c r="QJ60" s="18"/>
      <c r="QK60" s="18"/>
      <c r="QL60" s="18"/>
      <c r="QM60" s="18"/>
      <c r="QN60" s="18"/>
      <c r="QO60" s="18"/>
      <c r="QP60" s="18"/>
      <c r="QQ60" s="18"/>
      <c r="QR60" s="18"/>
      <c r="QS60" s="18"/>
      <c r="QT60" s="18"/>
      <c r="QU60" s="18"/>
      <c r="QV60" s="18"/>
      <c r="QW60" s="18"/>
      <c r="QX60" s="18"/>
      <c r="QY60" s="18"/>
      <c r="QZ60" s="18"/>
      <c r="RA60" s="18"/>
      <c r="RB60" s="18"/>
      <c r="RC60" s="18"/>
      <c r="RD60" s="18"/>
      <c r="RE60" s="18"/>
      <c r="RF60" s="18"/>
      <c r="RG60" s="18"/>
      <c r="RH60" s="18"/>
      <c r="RI60" s="18"/>
      <c r="RJ60" s="18"/>
      <c r="RK60" s="18"/>
      <c r="RL60" s="18"/>
      <c r="RM60" s="18"/>
      <c r="RN60" s="18"/>
      <c r="RO60" s="18"/>
      <c r="RP60" s="18"/>
      <c r="RQ60" s="18"/>
      <c r="RR60" s="18"/>
      <c r="RS60" s="18"/>
      <c r="RT60" s="18"/>
      <c r="RU60" s="18"/>
      <c r="RV60" s="18"/>
      <c r="RW60" s="18"/>
      <c r="RX60" s="18"/>
      <c r="RY60" s="18"/>
      <c r="RZ60" s="18"/>
      <c r="SA60" s="18"/>
      <c r="SB60" s="18"/>
      <c r="SC60" s="18"/>
      <c r="SD60" s="18"/>
      <c r="SE60" s="18"/>
      <c r="SF60" s="18"/>
      <c r="SG60" s="18"/>
      <c r="SH60" s="18"/>
      <c r="SI60" s="18"/>
      <c r="SJ60" s="18"/>
      <c r="SK60" s="18"/>
      <c r="SL60" s="18"/>
      <c r="SM60" s="18"/>
      <c r="SN60" s="18"/>
      <c r="SO60" s="18"/>
      <c r="SP60" s="18"/>
      <c r="SQ60" s="18"/>
      <c r="SR60" s="18"/>
      <c r="SS60" s="18"/>
      <c r="ST60" s="18"/>
      <c r="SU60" s="18"/>
      <c r="SV60" s="18"/>
      <c r="SW60" s="18"/>
      <c r="SX60" s="18"/>
      <c r="SY60" s="18"/>
      <c r="SZ60" s="18"/>
      <c r="TA60" s="18"/>
      <c r="TB60" s="18"/>
      <c r="TC60" s="18"/>
      <c r="TD60" s="18"/>
      <c r="TE60" s="18"/>
      <c r="TF60" s="18"/>
      <c r="TG60" s="18"/>
      <c r="TH60" s="18"/>
      <c r="TI60" s="18"/>
      <c r="TJ60" s="18"/>
      <c r="TK60" s="18"/>
      <c r="TL60" s="18"/>
      <c r="TM60" s="18"/>
      <c r="TN60" s="18"/>
      <c r="TO60" s="18"/>
      <c r="TP60" s="18"/>
      <c r="TQ60" s="18"/>
      <c r="TR60" s="18"/>
      <c r="TS60" s="18"/>
      <c r="TT60" s="18"/>
      <c r="TU60" s="18"/>
      <c r="TV60" s="18"/>
      <c r="TW60" s="18"/>
      <c r="TX60" s="18"/>
      <c r="TY60" s="18"/>
      <c r="TZ60" s="18"/>
      <c r="UA60" s="18"/>
      <c r="UB60" s="18"/>
      <c r="UC60" s="18"/>
      <c r="UD60" s="18"/>
      <c r="UE60" s="18"/>
      <c r="UF60" s="18"/>
      <c r="UG60" s="18"/>
      <c r="UH60" s="18"/>
      <c r="UI60" s="18"/>
      <c r="UJ60" s="18"/>
      <c r="UK60" s="18"/>
      <c r="UL60" s="18"/>
      <c r="UM60" s="18"/>
      <c r="UN60" s="18"/>
      <c r="UO60" s="18"/>
      <c r="UP60" s="18"/>
      <c r="UQ60" s="18"/>
      <c r="UR60" s="18"/>
      <c r="US60" s="18"/>
      <c r="UT60" s="18"/>
      <c r="UU60" s="18"/>
      <c r="UV60" s="18"/>
      <c r="UW60" s="18"/>
      <c r="UX60" s="18"/>
      <c r="UY60" s="18"/>
      <c r="UZ60" s="18"/>
      <c r="VA60" s="18"/>
      <c r="VB60" s="18"/>
      <c r="VC60" s="18"/>
      <c r="VD60" s="18"/>
      <c r="VE60" s="18"/>
      <c r="VF60" s="18"/>
      <c r="VG60" s="18"/>
      <c r="VH60" s="18"/>
      <c r="VI60" s="18"/>
      <c r="VJ60" s="18"/>
      <c r="VK60" s="18"/>
      <c r="VL60" s="18"/>
      <c r="VM60" s="18"/>
      <c r="VN60" s="18"/>
      <c r="VO60" s="18"/>
      <c r="VP60" s="18"/>
      <c r="VQ60" s="18"/>
      <c r="VR60" s="18"/>
      <c r="VS60" s="18"/>
      <c r="VT60" s="18"/>
      <c r="VU60" s="18"/>
      <c r="VV60" s="18"/>
      <c r="VW60" s="18"/>
      <c r="VX60" s="18"/>
      <c r="VY60" s="18"/>
      <c r="VZ60" s="18"/>
      <c r="WA60" s="18"/>
      <c r="WB60" s="18"/>
      <c r="WC60" s="18"/>
      <c r="WD60" s="18"/>
      <c r="WE60" s="18"/>
      <c r="WF60" s="18"/>
      <c r="WG60" s="18"/>
      <c r="WH60" s="18"/>
      <c r="WI60" s="18"/>
      <c r="WJ60" s="18"/>
      <c r="WK60" s="18"/>
      <c r="WL60" s="18"/>
      <c r="WM60" s="18"/>
      <c r="WN60" s="18"/>
      <c r="WO60" s="18"/>
      <c r="WP60" s="18"/>
      <c r="WQ60" s="18"/>
      <c r="WR60" s="18"/>
      <c r="WS60" s="18"/>
      <c r="WT60" s="18"/>
      <c r="WU60" s="18"/>
      <c r="WV60" s="18"/>
      <c r="WW60" s="18"/>
      <c r="WX60" s="18"/>
      <c r="WY60" s="18"/>
      <c r="WZ60" s="18"/>
      <c r="XA60" s="18"/>
      <c r="XB60" s="18"/>
      <c r="XC60" s="18"/>
      <c r="XD60" s="18"/>
      <c r="XE60" s="18"/>
      <c r="XF60" s="18"/>
      <c r="XG60" s="18"/>
      <c r="XH60" s="18"/>
      <c r="XI60" s="18"/>
      <c r="XJ60" s="18"/>
      <c r="XK60" s="18"/>
      <c r="XL60" s="18"/>
      <c r="XM60" s="18"/>
      <c r="XN60" s="18"/>
      <c r="XO60" s="18"/>
      <c r="XP60" s="18"/>
      <c r="XQ60" s="18"/>
      <c r="XR60" s="18"/>
      <c r="XS60" s="18"/>
      <c r="XT60" s="18"/>
      <c r="XU60" s="18"/>
      <c r="XV60" s="18"/>
      <c r="XW60" s="18"/>
      <c r="XX60" s="18"/>
      <c r="XY60" s="18"/>
      <c r="XZ60" s="18"/>
      <c r="YA60" s="18"/>
      <c r="YB60" s="18"/>
      <c r="YC60" s="18"/>
      <c r="YD60" s="18"/>
      <c r="YE60" s="18"/>
      <c r="YF60" s="18"/>
      <c r="YG60" s="18"/>
      <c r="YH60" s="18"/>
      <c r="YI60" s="18"/>
      <c r="YJ60" s="18"/>
      <c r="YK60" s="18"/>
      <c r="YL60" s="18"/>
      <c r="YM60" s="18"/>
      <c r="YN60" s="18"/>
      <c r="YO60" s="18"/>
      <c r="YP60" s="18"/>
      <c r="YQ60" s="18"/>
      <c r="YR60" s="18"/>
      <c r="YS60" s="18"/>
      <c r="YT60" s="18"/>
      <c r="YU60" s="18"/>
      <c r="YV60" s="18"/>
      <c r="YW60" s="18"/>
      <c r="YX60" s="18"/>
      <c r="YY60" s="18"/>
      <c r="YZ60" s="18"/>
      <c r="ZA60" s="18"/>
      <c r="ZB60" s="18"/>
      <c r="ZC60" s="18"/>
      <c r="ZD60" s="18"/>
      <c r="ZE60" s="18"/>
      <c r="ZF60" s="18"/>
      <c r="ZG60" s="18"/>
      <c r="ZH60" s="18"/>
      <c r="ZI60" s="18"/>
      <c r="ZJ60" s="18"/>
      <c r="ZK60" s="18"/>
      <c r="ZL60" s="18"/>
      <c r="ZM60" s="18"/>
      <c r="ZN60" s="18"/>
      <c r="ZO60" s="18"/>
      <c r="ZP60" s="18"/>
      <c r="ZQ60" s="18"/>
      <c r="ZR60" s="18"/>
      <c r="ZS60" s="18"/>
      <c r="ZT60" s="18"/>
      <c r="ZU60" s="18"/>
      <c r="ZV60" s="18"/>
      <c r="ZW60" s="18"/>
      <c r="ZX60" s="18"/>
      <c r="ZY60" s="18"/>
      <c r="ZZ60" s="18"/>
      <c r="AAA60" s="18"/>
      <c r="AAB60" s="18"/>
      <c r="AAC60" s="18"/>
      <c r="AAD60" s="18"/>
      <c r="AAE60" s="18"/>
      <c r="AAF60" s="18"/>
      <c r="AAG60" s="18"/>
      <c r="AAH60" s="18"/>
      <c r="AAI60" s="18"/>
      <c r="AAJ60" s="18"/>
      <c r="AAK60" s="18"/>
      <c r="AAL60" s="18"/>
      <c r="AAM60" s="18"/>
      <c r="AAN60" s="18"/>
      <c r="AAO60" s="18"/>
      <c r="AAP60" s="18"/>
      <c r="AAQ60" s="18"/>
      <c r="AAR60" s="18"/>
      <c r="AAS60" s="18"/>
      <c r="AAT60" s="18"/>
      <c r="AAU60" s="18"/>
      <c r="AAV60" s="18"/>
      <c r="AAW60" s="18"/>
      <c r="AAX60" s="18"/>
      <c r="AAY60" s="18"/>
      <c r="AAZ60" s="18"/>
      <c r="ABA60" s="18"/>
      <c r="ABB60" s="18"/>
      <c r="ABC60" s="18"/>
      <c r="ABD60" s="18"/>
      <c r="ABE60" s="18"/>
      <c r="ABF60" s="18"/>
      <c r="ABG60" s="18"/>
      <c r="ABH60" s="18"/>
      <c r="ABI60" s="18"/>
      <c r="ABJ60" s="18"/>
      <c r="ABK60" s="18"/>
      <c r="ABL60" s="18"/>
      <c r="ABM60" s="18"/>
      <c r="ABN60" s="18"/>
      <c r="ABO60" s="18"/>
      <c r="ABP60" s="18"/>
      <c r="ABQ60" s="18"/>
      <c r="ABR60" s="18"/>
      <c r="ABS60" s="18"/>
      <c r="ABT60" s="18"/>
      <c r="ABU60" s="18"/>
      <c r="ABV60" s="18"/>
      <c r="ABW60" s="18"/>
      <c r="ABX60" s="18"/>
      <c r="ABY60" s="18"/>
      <c r="ABZ60" s="18"/>
      <c r="ACA60" s="18"/>
      <c r="ACB60" s="18"/>
      <c r="ACC60" s="18"/>
      <c r="ACD60" s="18"/>
      <c r="ACE60" s="18"/>
      <c r="ACF60" s="18"/>
      <c r="ACG60" s="18"/>
      <c r="ACH60" s="18"/>
      <c r="ACI60" s="18"/>
      <c r="ACJ60" s="18"/>
      <c r="ACK60" s="18"/>
      <c r="ACL60" s="18"/>
      <c r="ACM60" s="18"/>
      <c r="ACN60" s="18"/>
      <c r="ACO60" s="18"/>
      <c r="ACP60" s="18"/>
      <c r="ACQ60" s="18"/>
      <c r="ACR60" s="18"/>
      <c r="ACS60" s="18"/>
      <c r="ACT60" s="18"/>
      <c r="ACU60" s="18"/>
      <c r="ACV60" s="18"/>
      <c r="ACW60" s="18"/>
      <c r="ACX60" s="18"/>
      <c r="ACY60" s="18"/>
      <c r="ACZ60" s="18"/>
      <c r="ADA60" s="18"/>
      <c r="ADB60" s="18"/>
      <c r="ADC60" s="18"/>
      <c r="ADD60" s="18"/>
      <c r="ADE60" s="18"/>
      <c r="ADF60" s="18"/>
      <c r="ADG60" s="18"/>
      <c r="ADH60" s="18"/>
      <c r="ADI60" s="18"/>
      <c r="ADJ60" s="18"/>
      <c r="ADK60" s="18"/>
      <c r="ADL60" s="18"/>
      <c r="ADM60" s="18"/>
      <c r="ADN60" s="18"/>
      <c r="ADO60" s="18"/>
      <c r="ADP60" s="18"/>
      <c r="ADQ60" s="18"/>
      <c r="ADR60" s="18"/>
      <c r="ADS60" s="18"/>
      <c r="ADT60" s="18"/>
      <c r="ADU60" s="18"/>
      <c r="ADV60" s="18"/>
      <c r="ADW60" s="18"/>
      <c r="ADX60" s="18"/>
      <c r="ADY60" s="18"/>
      <c r="ADZ60" s="18"/>
      <c r="AEA60" s="18"/>
      <c r="AEB60" s="18"/>
      <c r="AEC60" s="18"/>
      <c r="AED60" s="18"/>
      <c r="AEE60" s="18"/>
      <c r="AEF60" s="18"/>
      <c r="AEG60" s="18"/>
      <c r="AEH60" s="18"/>
      <c r="AEI60" s="18"/>
      <c r="AEJ60" s="18"/>
      <c r="AEK60" s="18"/>
      <c r="AEL60" s="18"/>
      <c r="AEM60" s="18"/>
      <c r="AEN60" s="18"/>
      <c r="AEO60" s="18"/>
      <c r="AEP60" s="18"/>
      <c r="AEQ60" s="18"/>
      <c r="AER60" s="18"/>
      <c r="AES60" s="18"/>
      <c r="AET60" s="18"/>
      <c r="AEU60" s="18"/>
      <c r="AEV60" s="18"/>
      <c r="AEW60" s="18"/>
      <c r="AEX60" s="18"/>
      <c r="AEY60" s="18"/>
      <c r="AEZ60" s="18"/>
      <c r="AFA60" s="18"/>
      <c r="AFB60" s="18"/>
      <c r="AFC60" s="18"/>
      <c r="AFD60" s="18"/>
      <c r="AFE60" s="18"/>
      <c r="AFF60" s="18"/>
      <c r="AFG60" s="18"/>
      <c r="AFH60" s="18"/>
      <c r="AFI60" s="18"/>
      <c r="AFJ60" s="18"/>
      <c r="AFK60" s="18"/>
      <c r="AFL60" s="18"/>
      <c r="AFM60" s="18"/>
      <c r="AFN60" s="18"/>
      <c r="AFO60" s="18"/>
      <c r="AFP60" s="18"/>
      <c r="AFQ60" s="18"/>
      <c r="AFR60" s="18"/>
      <c r="AFS60" s="18"/>
      <c r="AFT60" s="18"/>
      <c r="AFU60" s="18"/>
      <c r="AFV60" s="18"/>
      <c r="AFW60" s="18"/>
      <c r="AFX60" s="18"/>
      <c r="AFY60" s="18"/>
      <c r="AFZ60" s="18"/>
      <c r="AGA60" s="18"/>
      <c r="AGB60" s="18"/>
      <c r="AGC60" s="18"/>
      <c r="AGD60" s="18"/>
      <c r="AGE60" s="18"/>
      <c r="AGF60" s="18"/>
      <c r="AGG60" s="18"/>
      <c r="AGH60" s="18"/>
      <c r="AGI60" s="18"/>
      <c r="AGJ60" s="18"/>
      <c r="AGK60" s="18"/>
      <c r="AGL60" s="18"/>
      <c r="AGM60" s="18"/>
      <c r="AGN60" s="18"/>
      <c r="AGO60" s="18"/>
      <c r="AGP60" s="18"/>
      <c r="AGQ60" s="18"/>
      <c r="AGR60" s="18"/>
      <c r="AGS60" s="18"/>
      <c r="AGT60" s="18"/>
      <c r="AGU60" s="18"/>
      <c r="AGV60" s="18"/>
      <c r="AGW60" s="18"/>
      <c r="AGX60" s="18"/>
      <c r="AGY60" s="18"/>
      <c r="AGZ60" s="18"/>
      <c r="AHA60" s="18"/>
      <c r="AHB60" s="18"/>
      <c r="AHC60" s="18"/>
      <c r="AHD60" s="18"/>
      <c r="AHE60" s="18"/>
      <c r="AHF60" s="18"/>
      <c r="AHG60" s="18"/>
      <c r="AHH60" s="18"/>
      <c r="AHI60" s="18"/>
      <c r="AHJ60" s="18"/>
      <c r="AHK60" s="18"/>
      <c r="AHL60" s="18"/>
      <c r="AHM60" s="18"/>
      <c r="AHN60" s="18"/>
      <c r="AHO60" s="18"/>
      <c r="AHP60" s="18"/>
      <c r="AHQ60" s="18"/>
      <c r="AHR60" s="18"/>
      <c r="AHS60" s="18"/>
      <c r="AHT60" s="18"/>
      <c r="AHU60" s="18"/>
      <c r="AHV60" s="18"/>
      <c r="AHW60" s="18"/>
      <c r="AHX60" s="18"/>
      <c r="AHY60" s="18"/>
      <c r="AHZ60" s="18"/>
      <c r="AIA60" s="18"/>
      <c r="AIB60" s="18"/>
      <c r="AIC60" s="18"/>
      <c r="AID60" s="18"/>
      <c r="AIE60" s="18"/>
      <c r="AIF60" s="18"/>
      <c r="AIG60" s="18"/>
      <c r="AIH60" s="18"/>
      <c r="AII60" s="18"/>
      <c r="AIJ60" s="18"/>
      <c r="AIK60" s="18"/>
      <c r="AIL60" s="18"/>
      <c r="AIM60" s="18"/>
      <c r="AIN60" s="18"/>
      <c r="AIO60" s="18"/>
      <c r="AIP60" s="18"/>
      <c r="AIQ60" s="18"/>
      <c r="AIR60" s="18"/>
      <c r="AIS60" s="18"/>
      <c r="AIT60" s="18"/>
      <c r="AIU60" s="18"/>
      <c r="AIV60" s="18"/>
      <c r="AIW60" s="18"/>
      <c r="AIX60" s="18"/>
      <c r="AIY60" s="18"/>
      <c r="AIZ60" s="18"/>
      <c r="AJA60" s="18"/>
      <c r="AJB60" s="18"/>
      <c r="AJC60" s="18"/>
      <c r="AJD60" s="18"/>
      <c r="AJE60" s="18"/>
      <c r="AJF60" s="18"/>
      <c r="AJG60" s="18"/>
      <c r="AJH60" s="18"/>
      <c r="AJI60" s="18"/>
      <c r="AJJ60" s="18"/>
      <c r="AJK60" s="18"/>
      <c r="AJL60" s="18"/>
      <c r="AJM60" s="18"/>
      <c r="AJN60" s="18"/>
      <c r="AJO60" s="18"/>
      <c r="AJP60" s="18"/>
      <c r="AJQ60" s="18"/>
      <c r="AJR60" s="18"/>
      <c r="AJS60" s="18"/>
      <c r="AJT60" s="18"/>
      <c r="AJU60" s="18"/>
      <c r="AJV60" s="18"/>
      <c r="AJW60" s="18"/>
      <c r="AJX60" s="18"/>
      <c r="AJY60" s="18"/>
      <c r="AJZ60" s="18"/>
      <c r="AKA60" s="18"/>
      <c r="AKB60" s="18"/>
      <c r="AKC60" s="18"/>
      <c r="AKD60" s="18"/>
      <c r="AKE60" s="18"/>
      <c r="AKF60" s="18"/>
      <c r="AKG60" s="18"/>
      <c r="AKH60" s="18"/>
      <c r="AKI60" s="18"/>
      <c r="AKJ60" s="18"/>
      <c r="AKK60" s="18"/>
      <c r="AKL60" s="18"/>
      <c r="AKM60" s="18"/>
      <c r="AKN60" s="18"/>
      <c r="AKO60" s="18"/>
      <c r="AKP60" s="18"/>
      <c r="AKQ60" s="18"/>
      <c r="AKR60" s="18"/>
      <c r="AKS60" s="18"/>
      <c r="AKT60" s="18"/>
      <c r="AKU60" s="18"/>
      <c r="AKV60" s="18"/>
      <c r="AKW60" s="18"/>
      <c r="AKX60" s="18"/>
      <c r="AKY60" s="18"/>
      <c r="AKZ60" s="18"/>
      <c r="ALA60" s="18"/>
      <c r="ALB60" s="18"/>
      <c r="ALC60" s="18"/>
      <c r="ALD60" s="18"/>
      <c r="ALE60" s="18"/>
      <c r="ALF60" s="18"/>
      <c r="ALG60" s="18"/>
      <c r="ALH60" s="18"/>
      <c r="ALI60" s="18"/>
      <c r="ALJ60" s="18"/>
      <c r="ALK60" s="18"/>
      <c r="ALL60" s="18"/>
      <c r="ALM60" s="18"/>
      <c r="ALN60" s="18"/>
      <c r="ALO60" s="18"/>
      <c r="ALP60" s="18"/>
      <c r="ALQ60" s="18"/>
      <c r="ALR60" s="18"/>
      <c r="ALS60" s="18"/>
      <c r="ALT60" s="18"/>
    </row>
    <row r="61" spans="1:1008" s="88" customFormat="1" ht="24" customHeight="1">
      <c r="A61" s="680" t="s">
        <v>6927</v>
      </c>
      <c r="B61" s="680"/>
      <c r="C61" s="680"/>
      <c r="D61" s="680"/>
      <c r="E61" s="680"/>
      <c r="F61" s="680"/>
      <c r="G61" s="680"/>
      <c r="H61" s="680"/>
      <c r="I61" s="680"/>
      <c r="J61" s="281">
        <f>SUM(J37:J60)</f>
        <v>7371.6062666666667</v>
      </c>
      <c r="K61" s="191"/>
      <c r="L61" s="191"/>
      <c r="M61" s="191"/>
      <c r="N61" s="191"/>
      <c r="O61" s="191"/>
      <c r="P61" s="263"/>
    </row>
    <row r="62" spans="1:1008">
      <c r="A62" s="251"/>
      <c r="B62" s="370">
        <v>172</v>
      </c>
      <c r="C62" s="340" t="s">
        <v>602</v>
      </c>
      <c r="D62" s="274"/>
      <c r="E62" s="276"/>
      <c r="F62" s="276"/>
      <c r="G62" s="276"/>
      <c r="H62" s="276"/>
      <c r="I62" s="276"/>
      <c r="J62" s="276"/>
      <c r="K62" s="191"/>
      <c r="L62" s="191"/>
      <c r="M62" s="191"/>
      <c r="N62" s="191"/>
      <c r="O62" s="191"/>
      <c r="P62" s="263"/>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c r="EF62" s="18"/>
      <c r="EG62" s="18"/>
      <c r="EH62" s="18"/>
      <c r="EI62" s="18"/>
      <c r="EJ62" s="18"/>
      <c r="EK62" s="18"/>
      <c r="EL62" s="18"/>
      <c r="EM62" s="18"/>
      <c r="EN62" s="18"/>
      <c r="EO62" s="18"/>
      <c r="EP62" s="18"/>
      <c r="EQ62" s="18"/>
      <c r="ER62" s="18"/>
      <c r="ES62" s="18"/>
      <c r="ET62" s="18"/>
      <c r="EU62" s="18"/>
      <c r="EV62" s="18"/>
      <c r="EW62" s="18"/>
      <c r="EX62" s="18"/>
      <c r="EY62" s="18"/>
      <c r="EZ62" s="18"/>
      <c r="FA62" s="18"/>
      <c r="FB62" s="18"/>
      <c r="FC62" s="18"/>
      <c r="FD62" s="18"/>
      <c r="FE62" s="18"/>
      <c r="FF62" s="18"/>
      <c r="FG62" s="18"/>
      <c r="FH62" s="18"/>
      <c r="FI62" s="18"/>
      <c r="FJ62" s="18"/>
      <c r="FK62" s="18"/>
      <c r="FL62" s="18"/>
      <c r="FM62" s="18"/>
      <c r="FN62" s="18"/>
      <c r="FO62" s="18"/>
      <c r="FP62" s="18"/>
      <c r="FQ62" s="18"/>
      <c r="FR62" s="18"/>
      <c r="FS62" s="18"/>
      <c r="FT62" s="18"/>
      <c r="FU62" s="18"/>
      <c r="FV62" s="18"/>
      <c r="FW62" s="18"/>
      <c r="FX62" s="18"/>
      <c r="FY62" s="18"/>
      <c r="FZ62" s="18"/>
      <c r="GA62" s="18"/>
      <c r="GB62" s="18"/>
      <c r="GC62" s="18"/>
      <c r="GD62" s="18"/>
      <c r="GE62" s="18"/>
      <c r="GF62" s="18"/>
      <c r="GG62" s="18"/>
      <c r="GH62" s="18"/>
      <c r="GI62" s="18"/>
      <c r="GJ62" s="18"/>
      <c r="GK62" s="18"/>
      <c r="GL62" s="18"/>
      <c r="GM62" s="18"/>
      <c r="GN62" s="18"/>
      <c r="GO62" s="18"/>
      <c r="GP62" s="18"/>
      <c r="GQ62" s="18"/>
      <c r="GR62" s="18"/>
      <c r="GS62" s="18"/>
      <c r="GT62" s="18"/>
      <c r="GU62" s="18"/>
      <c r="GV62" s="18"/>
      <c r="GW62" s="18"/>
      <c r="GX62" s="18"/>
      <c r="GY62" s="18"/>
      <c r="GZ62" s="18"/>
      <c r="HA62" s="18"/>
      <c r="HB62" s="18"/>
      <c r="HC62" s="18"/>
      <c r="HD62" s="18"/>
      <c r="HE62" s="18"/>
      <c r="HF62" s="18"/>
      <c r="HG62" s="18"/>
      <c r="HH62" s="18"/>
      <c r="HI62" s="18"/>
      <c r="HJ62" s="18"/>
      <c r="HK62" s="18"/>
      <c r="HL62" s="18"/>
      <c r="HM62" s="18"/>
      <c r="HN62" s="18"/>
      <c r="HO62" s="18"/>
      <c r="HP62" s="18"/>
      <c r="HQ62" s="18"/>
      <c r="HR62" s="18"/>
      <c r="HS62" s="18"/>
      <c r="HT62" s="18"/>
      <c r="HU62" s="18"/>
      <c r="HV62" s="18"/>
      <c r="HW62" s="18"/>
      <c r="HX62" s="18"/>
      <c r="HY62" s="18"/>
      <c r="HZ62" s="18"/>
      <c r="IA62" s="18"/>
      <c r="IB62" s="18"/>
      <c r="IC62" s="18"/>
      <c r="ID62" s="18"/>
      <c r="IE62" s="18"/>
      <c r="IF62" s="18"/>
      <c r="IG62" s="18"/>
      <c r="IH62" s="18"/>
      <c r="II62" s="18"/>
      <c r="IJ62" s="18"/>
      <c r="IK62" s="18"/>
      <c r="IL62" s="18"/>
      <c r="IM62" s="18"/>
      <c r="IN62" s="18"/>
      <c r="IO62" s="18"/>
      <c r="IP62" s="18"/>
      <c r="IQ62" s="18"/>
      <c r="IR62" s="18"/>
      <c r="IS62" s="18"/>
      <c r="IT62" s="18"/>
      <c r="IU62" s="18"/>
      <c r="IV62" s="18"/>
      <c r="IW62" s="18"/>
      <c r="IX62" s="18"/>
      <c r="IY62" s="18"/>
      <c r="IZ62" s="18"/>
      <c r="JA62" s="18"/>
      <c r="JB62" s="18"/>
      <c r="JC62" s="18"/>
      <c r="JD62" s="18"/>
      <c r="JE62" s="18"/>
      <c r="JF62" s="18"/>
      <c r="JG62" s="18"/>
      <c r="JH62" s="18"/>
      <c r="JI62" s="18"/>
      <c r="JJ62" s="18"/>
      <c r="JK62" s="18"/>
      <c r="JL62" s="18"/>
      <c r="JM62" s="18"/>
      <c r="JN62" s="18"/>
      <c r="JO62" s="18"/>
      <c r="JP62" s="18"/>
      <c r="JQ62" s="18"/>
      <c r="JR62" s="18"/>
      <c r="JS62" s="18"/>
      <c r="JT62" s="18"/>
      <c r="JU62" s="18"/>
      <c r="JV62" s="18"/>
      <c r="JW62" s="18"/>
      <c r="JX62" s="18"/>
      <c r="JY62" s="18"/>
      <c r="JZ62" s="18"/>
      <c r="KA62" s="18"/>
      <c r="KB62" s="18"/>
      <c r="KC62" s="18"/>
      <c r="KD62" s="18"/>
      <c r="KE62" s="18"/>
      <c r="KF62" s="18"/>
      <c r="KG62" s="18"/>
      <c r="KH62" s="18"/>
      <c r="KI62" s="18"/>
      <c r="KJ62" s="18"/>
      <c r="KK62" s="18"/>
      <c r="KL62" s="18"/>
      <c r="KM62" s="18"/>
      <c r="KN62" s="18"/>
      <c r="KO62" s="18"/>
      <c r="KP62" s="18"/>
      <c r="KQ62" s="18"/>
      <c r="KR62" s="18"/>
      <c r="KS62" s="18"/>
      <c r="KT62" s="18"/>
      <c r="KU62" s="18"/>
      <c r="KV62" s="18"/>
      <c r="KW62" s="18"/>
      <c r="KX62" s="18"/>
      <c r="KY62" s="18"/>
      <c r="KZ62" s="18"/>
      <c r="LA62" s="18"/>
      <c r="LB62" s="18"/>
      <c r="LC62" s="18"/>
      <c r="LD62" s="18"/>
      <c r="LE62" s="18"/>
      <c r="LF62" s="18"/>
      <c r="LG62" s="18"/>
      <c r="LH62" s="18"/>
      <c r="LI62" s="18"/>
      <c r="LJ62" s="18"/>
      <c r="LK62" s="18"/>
      <c r="LL62" s="18"/>
      <c r="LM62" s="18"/>
      <c r="LN62" s="18"/>
      <c r="LO62" s="18"/>
      <c r="LP62" s="18"/>
      <c r="LQ62" s="18"/>
      <c r="LR62" s="18"/>
      <c r="LS62" s="18"/>
      <c r="LT62" s="18"/>
      <c r="LU62" s="18"/>
      <c r="LV62" s="18"/>
      <c r="LW62" s="18"/>
      <c r="LX62" s="18"/>
      <c r="LY62" s="18"/>
      <c r="LZ62" s="18"/>
      <c r="MA62" s="18"/>
      <c r="MB62" s="18"/>
      <c r="MC62" s="18"/>
      <c r="MD62" s="18"/>
      <c r="ME62" s="18"/>
      <c r="MF62" s="18"/>
      <c r="MG62" s="18"/>
      <c r="MH62" s="18"/>
      <c r="MI62" s="18"/>
      <c r="MJ62" s="18"/>
      <c r="MK62" s="18"/>
      <c r="ML62" s="18"/>
      <c r="MM62" s="18"/>
      <c r="MN62" s="18"/>
      <c r="MO62" s="18"/>
      <c r="MP62" s="18"/>
      <c r="MQ62" s="18"/>
      <c r="MR62" s="18"/>
      <c r="MS62" s="18"/>
      <c r="MT62" s="18"/>
      <c r="MU62" s="18"/>
      <c r="MV62" s="18"/>
      <c r="MW62" s="18"/>
      <c r="MX62" s="18"/>
      <c r="MY62" s="18"/>
      <c r="MZ62" s="18"/>
      <c r="NA62" s="18"/>
      <c r="NB62" s="18"/>
      <c r="NC62" s="18"/>
      <c r="ND62" s="18"/>
      <c r="NE62" s="18"/>
      <c r="NF62" s="18"/>
      <c r="NG62" s="18"/>
      <c r="NH62" s="18"/>
      <c r="NI62" s="18"/>
      <c r="NJ62" s="18"/>
      <c r="NK62" s="18"/>
      <c r="NL62" s="18"/>
      <c r="NM62" s="18"/>
      <c r="NN62" s="18"/>
      <c r="NO62" s="18"/>
      <c r="NP62" s="18"/>
      <c r="NQ62" s="18"/>
      <c r="NR62" s="18"/>
      <c r="NS62" s="18"/>
      <c r="NT62" s="18"/>
      <c r="NU62" s="18"/>
      <c r="NV62" s="18"/>
      <c r="NW62" s="18"/>
      <c r="NX62" s="18"/>
      <c r="NY62" s="18"/>
      <c r="NZ62" s="18"/>
      <c r="OA62" s="18"/>
      <c r="OB62" s="18"/>
      <c r="OC62" s="18"/>
      <c r="OD62" s="18"/>
      <c r="OE62" s="18"/>
      <c r="OF62" s="18"/>
      <c r="OG62" s="18"/>
      <c r="OH62" s="18"/>
      <c r="OI62" s="18"/>
      <c r="OJ62" s="18"/>
      <c r="OK62" s="18"/>
      <c r="OL62" s="18"/>
      <c r="OM62" s="18"/>
      <c r="ON62" s="18"/>
      <c r="OO62" s="18"/>
      <c r="OP62" s="18"/>
      <c r="OQ62" s="18"/>
      <c r="OR62" s="18"/>
      <c r="OS62" s="18"/>
      <c r="OT62" s="18"/>
      <c r="OU62" s="18"/>
      <c r="OV62" s="18"/>
      <c r="OW62" s="18"/>
      <c r="OX62" s="18"/>
      <c r="OY62" s="18"/>
      <c r="OZ62" s="18"/>
      <c r="PA62" s="18"/>
      <c r="PB62" s="18"/>
      <c r="PC62" s="18"/>
      <c r="PD62" s="18"/>
      <c r="PE62" s="18"/>
      <c r="PF62" s="18"/>
      <c r="PG62" s="18"/>
      <c r="PH62" s="18"/>
      <c r="PI62" s="18"/>
      <c r="PJ62" s="18"/>
      <c r="PK62" s="18"/>
      <c r="PL62" s="18"/>
      <c r="PM62" s="18"/>
      <c r="PN62" s="18"/>
      <c r="PO62" s="18"/>
      <c r="PP62" s="18"/>
      <c r="PQ62" s="18"/>
      <c r="PR62" s="18"/>
      <c r="PS62" s="18"/>
      <c r="PT62" s="18"/>
      <c r="PU62" s="18"/>
      <c r="PV62" s="18"/>
      <c r="PW62" s="18"/>
      <c r="PX62" s="18"/>
      <c r="PY62" s="18"/>
      <c r="PZ62" s="18"/>
      <c r="QA62" s="18"/>
      <c r="QB62" s="18"/>
      <c r="QC62" s="18"/>
      <c r="QD62" s="18"/>
      <c r="QE62" s="18"/>
      <c r="QF62" s="18"/>
      <c r="QG62" s="18"/>
      <c r="QH62" s="18"/>
      <c r="QI62" s="18"/>
      <c r="QJ62" s="18"/>
      <c r="QK62" s="18"/>
      <c r="QL62" s="18"/>
      <c r="QM62" s="18"/>
      <c r="QN62" s="18"/>
      <c r="QO62" s="18"/>
      <c r="QP62" s="18"/>
      <c r="QQ62" s="18"/>
      <c r="QR62" s="18"/>
      <c r="QS62" s="18"/>
      <c r="QT62" s="18"/>
      <c r="QU62" s="18"/>
      <c r="QV62" s="18"/>
      <c r="QW62" s="18"/>
      <c r="QX62" s="18"/>
      <c r="QY62" s="18"/>
      <c r="QZ62" s="18"/>
      <c r="RA62" s="18"/>
      <c r="RB62" s="18"/>
      <c r="RC62" s="18"/>
      <c r="RD62" s="18"/>
      <c r="RE62" s="18"/>
      <c r="RF62" s="18"/>
      <c r="RG62" s="18"/>
      <c r="RH62" s="18"/>
      <c r="RI62" s="18"/>
      <c r="RJ62" s="18"/>
      <c r="RK62" s="18"/>
      <c r="RL62" s="18"/>
      <c r="RM62" s="18"/>
      <c r="RN62" s="18"/>
      <c r="RO62" s="18"/>
      <c r="RP62" s="18"/>
      <c r="RQ62" s="18"/>
      <c r="RR62" s="18"/>
      <c r="RS62" s="18"/>
      <c r="RT62" s="18"/>
      <c r="RU62" s="18"/>
      <c r="RV62" s="18"/>
      <c r="RW62" s="18"/>
      <c r="RX62" s="18"/>
      <c r="RY62" s="18"/>
      <c r="RZ62" s="18"/>
      <c r="SA62" s="18"/>
      <c r="SB62" s="18"/>
      <c r="SC62" s="18"/>
      <c r="SD62" s="18"/>
      <c r="SE62" s="18"/>
      <c r="SF62" s="18"/>
      <c r="SG62" s="18"/>
      <c r="SH62" s="18"/>
      <c r="SI62" s="18"/>
      <c r="SJ62" s="18"/>
      <c r="SK62" s="18"/>
      <c r="SL62" s="18"/>
      <c r="SM62" s="18"/>
      <c r="SN62" s="18"/>
      <c r="SO62" s="18"/>
      <c r="SP62" s="18"/>
      <c r="SQ62" s="18"/>
      <c r="SR62" s="18"/>
      <c r="SS62" s="18"/>
      <c r="ST62" s="18"/>
      <c r="SU62" s="18"/>
      <c r="SV62" s="18"/>
      <c r="SW62" s="18"/>
      <c r="SX62" s="18"/>
      <c r="SY62" s="18"/>
      <c r="SZ62" s="18"/>
      <c r="TA62" s="18"/>
      <c r="TB62" s="18"/>
      <c r="TC62" s="18"/>
      <c r="TD62" s="18"/>
      <c r="TE62" s="18"/>
      <c r="TF62" s="18"/>
      <c r="TG62" s="18"/>
      <c r="TH62" s="18"/>
      <c r="TI62" s="18"/>
      <c r="TJ62" s="18"/>
      <c r="TK62" s="18"/>
      <c r="TL62" s="18"/>
      <c r="TM62" s="18"/>
      <c r="TN62" s="18"/>
      <c r="TO62" s="18"/>
      <c r="TP62" s="18"/>
      <c r="TQ62" s="18"/>
      <c r="TR62" s="18"/>
      <c r="TS62" s="18"/>
      <c r="TT62" s="18"/>
      <c r="TU62" s="18"/>
      <c r="TV62" s="18"/>
      <c r="TW62" s="18"/>
      <c r="TX62" s="18"/>
      <c r="TY62" s="18"/>
      <c r="TZ62" s="18"/>
      <c r="UA62" s="18"/>
      <c r="UB62" s="18"/>
      <c r="UC62" s="18"/>
      <c r="UD62" s="18"/>
      <c r="UE62" s="18"/>
      <c r="UF62" s="18"/>
      <c r="UG62" s="18"/>
      <c r="UH62" s="18"/>
      <c r="UI62" s="18"/>
      <c r="UJ62" s="18"/>
      <c r="UK62" s="18"/>
      <c r="UL62" s="18"/>
      <c r="UM62" s="18"/>
      <c r="UN62" s="18"/>
      <c r="UO62" s="18"/>
      <c r="UP62" s="18"/>
      <c r="UQ62" s="18"/>
      <c r="UR62" s="18"/>
      <c r="US62" s="18"/>
      <c r="UT62" s="18"/>
      <c r="UU62" s="18"/>
      <c r="UV62" s="18"/>
      <c r="UW62" s="18"/>
      <c r="UX62" s="18"/>
      <c r="UY62" s="18"/>
      <c r="UZ62" s="18"/>
      <c r="VA62" s="18"/>
      <c r="VB62" s="18"/>
      <c r="VC62" s="18"/>
      <c r="VD62" s="18"/>
      <c r="VE62" s="18"/>
      <c r="VF62" s="18"/>
      <c r="VG62" s="18"/>
      <c r="VH62" s="18"/>
      <c r="VI62" s="18"/>
      <c r="VJ62" s="18"/>
      <c r="VK62" s="18"/>
      <c r="VL62" s="18"/>
      <c r="VM62" s="18"/>
      <c r="VN62" s="18"/>
      <c r="VO62" s="18"/>
      <c r="VP62" s="18"/>
      <c r="VQ62" s="18"/>
      <c r="VR62" s="18"/>
      <c r="VS62" s="18"/>
      <c r="VT62" s="18"/>
      <c r="VU62" s="18"/>
      <c r="VV62" s="18"/>
      <c r="VW62" s="18"/>
      <c r="VX62" s="18"/>
      <c r="VY62" s="18"/>
      <c r="VZ62" s="18"/>
      <c r="WA62" s="18"/>
      <c r="WB62" s="18"/>
      <c r="WC62" s="18"/>
      <c r="WD62" s="18"/>
      <c r="WE62" s="18"/>
      <c r="WF62" s="18"/>
      <c r="WG62" s="18"/>
      <c r="WH62" s="18"/>
      <c r="WI62" s="18"/>
      <c r="WJ62" s="18"/>
      <c r="WK62" s="18"/>
      <c r="WL62" s="18"/>
      <c r="WM62" s="18"/>
      <c r="WN62" s="18"/>
      <c r="WO62" s="18"/>
      <c r="WP62" s="18"/>
      <c r="WQ62" s="18"/>
      <c r="WR62" s="18"/>
      <c r="WS62" s="18"/>
      <c r="WT62" s="18"/>
      <c r="WU62" s="18"/>
      <c r="WV62" s="18"/>
      <c r="WW62" s="18"/>
      <c r="WX62" s="18"/>
      <c r="WY62" s="18"/>
      <c r="WZ62" s="18"/>
      <c r="XA62" s="18"/>
      <c r="XB62" s="18"/>
      <c r="XC62" s="18"/>
      <c r="XD62" s="18"/>
      <c r="XE62" s="18"/>
      <c r="XF62" s="18"/>
      <c r="XG62" s="18"/>
      <c r="XH62" s="18"/>
      <c r="XI62" s="18"/>
      <c r="XJ62" s="18"/>
      <c r="XK62" s="18"/>
      <c r="XL62" s="18"/>
      <c r="XM62" s="18"/>
      <c r="XN62" s="18"/>
      <c r="XO62" s="18"/>
      <c r="XP62" s="18"/>
      <c r="XQ62" s="18"/>
      <c r="XR62" s="18"/>
      <c r="XS62" s="18"/>
      <c r="XT62" s="18"/>
      <c r="XU62" s="18"/>
      <c r="XV62" s="18"/>
      <c r="XW62" s="18"/>
      <c r="XX62" s="18"/>
      <c r="XY62" s="18"/>
      <c r="XZ62" s="18"/>
      <c r="YA62" s="18"/>
      <c r="YB62" s="18"/>
      <c r="YC62" s="18"/>
      <c r="YD62" s="18"/>
      <c r="YE62" s="18"/>
      <c r="YF62" s="18"/>
      <c r="YG62" s="18"/>
      <c r="YH62" s="18"/>
      <c r="YI62" s="18"/>
      <c r="YJ62" s="18"/>
      <c r="YK62" s="18"/>
      <c r="YL62" s="18"/>
      <c r="YM62" s="18"/>
      <c r="YN62" s="18"/>
      <c r="YO62" s="18"/>
      <c r="YP62" s="18"/>
      <c r="YQ62" s="18"/>
      <c r="YR62" s="18"/>
      <c r="YS62" s="18"/>
      <c r="YT62" s="18"/>
      <c r="YU62" s="18"/>
      <c r="YV62" s="18"/>
      <c r="YW62" s="18"/>
      <c r="YX62" s="18"/>
      <c r="YY62" s="18"/>
      <c r="YZ62" s="18"/>
      <c r="ZA62" s="18"/>
      <c r="ZB62" s="18"/>
      <c r="ZC62" s="18"/>
      <c r="ZD62" s="18"/>
      <c r="ZE62" s="18"/>
      <c r="ZF62" s="18"/>
      <c r="ZG62" s="18"/>
      <c r="ZH62" s="18"/>
      <c r="ZI62" s="18"/>
      <c r="ZJ62" s="18"/>
      <c r="ZK62" s="18"/>
      <c r="ZL62" s="18"/>
      <c r="ZM62" s="18"/>
      <c r="ZN62" s="18"/>
      <c r="ZO62" s="18"/>
      <c r="ZP62" s="18"/>
      <c r="ZQ62" s="18"/>
      <c r="ZR62" s="18"/>
      <c r="ZS62" s="18"/>
      <c r="ZT62" s="18"/>
      <c r="ZU62" s="18"/>
      <c r="ZV62" s="18"/>
      <c r="ZW62" s="18"/>
      <c r="ZX62" s="18"/>
      <c r="ZY62" s="18"/>
      <c r="ZZ62" s="18"/>
      <c r="AAA62" s="18"/>
      <c r="AAB62" s="18"/>
      <c r="AAC62" s="18"/>
      <c r="AAD62" s="18"/>
      <c r="AAE62" s="18"/>
      <c r="AAF62" s="18"/>
      <c r="AAG62" s="18"/>
      <c r="AAH62" s="18"/>
      <c r="AAI62" s="18"/>
      <c r="AAJ62" s="18"/>
      <c r="AAK62" s="18"/>
      <c r="AAL62" s="18"/>
      <c r="AAM62" s="18"/>
      <c r="AAN62" s="18"/>
      <c r="AAO62" s="18"/>
      <c r="AAP62" s="18"/>
      <c r="AAQ62" s="18"/>
      <c r="AAR62" s="18"/>
      <c r="AAS62" s="18"/>
      <c r="AAT62" s="18"/>
      <c r="AAU62" s="18"/>
      <c r="AAV62" s="18"/>
      <c r="AAW62" s="18"/>
      <c r="AAX62" s="18"/>
      <c r="AAY62" s="18"/>
      <c r="AAZ62" s="18"/>
      <c r="ABA62" s="18"/>
      <c r="ABB62" s="18"/>
      <c r="ABC62" s="18"/>
      <c r="ABD62" s="18"/>
      <c r="ABE62" s="18"/>
      <c r="ABF62" s="18"/>
      <c r="ABG62" s="18"/>
      <c r="ABH62" s="18"/>
      <c r="ABI62" s="18"/>
      <c r="ABJ62" s="18"/>
      <c r="ABK62" s="18"/>
      <c r="ABL62" s="18"/>
      <c r="ABM62" s="18"/>
      <c r="ABN62" s="18"/>
      <c r="ABO62" s="18"/>
      <c r="ABP62" s="18"/>
      <c r="ABQ62" s="18"/>
      <c r="ABR62" s="18"/>
      <c r="ABS62" s="18"/>
      <c r="ABT62" s="18"/>
      <c r="ABU62" s="18"/>
      <c r="ABV62" s="18"/>
      <c r="ABW62" s="18"/>
      <c r="ABX62" s="18"/>
      <c r="ABY62" s="18"/>
      <c r="ABZ62" s="18"/>
      <c r="ACA62" s="18"/>
      <c r="ACB62" s="18"/>
      <c r="ACC62" s="18"/>
      <c r="ACD62" s="18"/>
      <c r="ACE62" s="18"/>
      <c r="ACF62" s="18"/>
      <c r="ACG62" s="18"/>
      <c r="ACH62" s="18"/>
      <c r="ACI62" s="18"/>
      <c r="ACJ62" s="18"/>
      <c r="ACK62" s="18"/>
      <c r="ACL62" s="18"/>
      <c r="ACM62" s="18"/>
      <c r="ACN62" s="18"/>
      <c r="ACO62" s="18"/>
      <c r="ACP62" s="18"/>
      <c r="ACQ62" s="18"/>
      <c r="ACR62" s="18"/>
      <c r="ACS62" s="18"/>
      <c r="ACT62" s="18"/>
      <c r="ACU62" s="18"/>
      <c r="ACV62" s="18"/>
      <c r="ACW62" s="18"/>
      <c r="ACX62" s="18"/>
      <c r="ACY62" s="18"/>
      <c r="ACZ62" s="18"/>
      <c r="ADA62" s="18"/>
      <c r="ADB62" s="18"/>
      <c r="ADC62" s="18"/>
      <c r="ADD62" s="18"/>
      <c r="ADE62" s="18"/>
      <c r="ADF62" s="18"/>
      <c r="ADG62" s="18"/>
      <c r="ADH62" s="18"/>
      <c r="ADI62" s="18"/>
      <c r="ADJ62" s="18"/>
      <c r="ADK62" s="18"/>
      <c r="ADL62" s="18"/>
      <c r="ADM62" s="18"/>
      <c r="ADN62" s="18"/>
      <c r="ADO62" s="18"/>
      <c r="ADP62" s="18"/>
      <c r="ADQ62" s="18"/>
      <c r="ADR62" s="18"/>
      <c r="ADS62" s="18"/>
      <c r="ADT62" s="18"/>
      <c r="ADU62" s="18"/>
      <c r="ADV62" s="18"/>
      <c r="ADW62" s="18"/>
      <c r="ADX62" s="18"/>
      <c r="ADY62" s="18"/>
      <c r="ADZ62" s="18"/>
      <c r="AEA62" s="18"/>
      <c r="AEB62" s="18"/>
      <c r="AEC62" s="18"/>
      <c r="AED62" s="18"/>
      <c r="AEE62" s="18"/>
      <c r="AEF62" s="18"/>
      <c r="AEG62" s="18"/>
      <c r="AEH62" s="18"/>
      <c r="AEI62" s="18"/>
      <c r="AEJ62" s="18"/>
      <c r="AEK62" s="18"/>
      <c r="AEL62" s="18"/>
      <c r="AEM62" s="18"/>
      <c r="AEN62" s="18"/>
      <c r="AEO62" s="18"/>
      <c r="AEP62" s="18"/>
      <c r="AEQ62" s="18"/>
      <c r="AER62" s="18"/>
      <c r="AES62" s="18"/>
      <c r="AET62" s="18"/>
      <c r="AEU62" s="18"/>
      <c r="AEV62" s="18"/>
      <c r="AEW62" s="18"/>
      <c r="AEX62" s="18"/>
      <c r="AEY62" s="18"/>
      <c r="AEZ62" s="18"/>
      <c r="AFA62" s="18"/>
      <c r="AFB62" s="18"/>
      <c r="AFC62" s="18"/>
      <c r="AFD62" s="18"/>
      <c r="AFE62" s="18"/>
      <c r="AFF62" s="18"/>
      <c r="AFG62" s="18"/>
      <c r="AFH62" s="18"/>
      <c r="AFI62" s="18"/>
      <c r="AFJ62" s="18"/>
      <c r="AFK62" s="18"/>
      <c r="AFL62" s="18"/>
      <c r="AFM62" s="18"/>
      <c r="AFN62" s="18"/>
      <c r="AFO62" s="18"/>
      <c r="AFP62" s="18"/>
      <c r="AFQ62" s="18"/>
      <c r="AFR62" s="18"/>
      <c r="AFS62" s="18"/>
      <c r="AFT62" s="18"/>
      <c r="AFU62" s="18"/>
      <c r="AFV62" s="18"/>
      <c r="AFW62" s="18"/>
      <c r="AFX62" s="18"/>
      <c r="AFY62" s="18"/>
      <c r="AFZ62" s="18"/>
      <c r="AGA62" s="18"/>
      <c r="AGB62" s="18"/>
      <c r="AGC62" s="18"/>
      <c r="AGD62" s="18"/>
      <c r="AGE62" s="18"/>
      <c r="AGF62" s="18"/>
      <c r="AGG62" s="18"/>
      <c r="AGH62" s="18"/>
      <c r="AGI62" s="18"/>
      <c r="AGJ62" s="18"/>
      <c r="AGK62" s="18"/>
      <c r="AGL62" s="18"/>
      <c r="AGM62" s="18"/>
      <c r="AGN62" s="18"/>
      <c r="AGO62" s="18"/>
      <c r="AGP62" s="18"/>
      <c r="AGQ62" s="18"/>
      <c r="AGR62" s="18"/>
      <c r="AGS62" s="18"/>
      <c r="AGT62" s="18"/>
      <c r="AGU62" s="18"/>
      <c r="AGV62" s="18"/>
      <c r="AGW62" s="18"/>
      <c r="AGX62" s="18"/>
      <c r="AGY62" s="18"/>
      <c r="AGZ62" s="18"/>
      <c r="AHA62" s="18"/>
      <c r="AHB62" s="18"/>
      <c r="AHC62" s="18"/>
      <c r="AHD62" s="18"/>
      <c r="AHE62" s="18"/>
      <c r="AHF62" s="18"/>
      <c r="AHG62" s="18"/>
      <c r="AHH62" s="18"/>
      <c r="AHI62" s="18"/>
      <c r="AHJ62" s="18"/>
      <c r="AHK62" s="18"/>
      <c r="AHL62" s="18"/>
      <c r="AHM62" s="18"/>
      <c r="AHN62" s="18"/>
      <c r="AHO62" s="18"/>
      <c r="AHP62" s="18"/>
      <c r="AHQ62" s="18"/>
      <c r="AHR62" s="18"/>
      <c r="AHS62" s="18"/>
      <c r="AHT62" s="18"/>
      <c r="AHU62" s="18"/>
      <c r="AHV62" s="18"/>
      <c r="AHW62" s="18"/>
      <c r="AHX62" s="18"/>
      <c r="AHY62" s="18"/>
      <c r="AHZ62" s="18"/>
      <c r="AIA62" s="18"/>
      <c r="AIB62" s="18"/>
      <c r="AIC62" s="18"/>
      <c r="AID62" s="18"/>
      <c r="AIE62" s="18"/>
      <c r="AIF62" s="18"/>
      <c r="AIG62" s="18"/>
      <c r="AIH62" s="18"/>
      <c r="AII62" s="18"/>
      <c r="AIJ62" s="18"/>
      <c r="AIK62" s="18"/>
      <c r="AIL62" s="18"/>
      <c r="AIM62" s="18"/>
      <c r="AIN62" s="18"/>
      <c r="AIO62" s="18"/>
      <c r="AIP62" s="18"/>
      <c r="AIQ62" s="18"/>
      <c r="AIR62" s="18"/>
      <c r="AIS62" s="18"/>
      <c r="AIT62" s="18"/>
      <c r="AIU62" s="18"/>
      <c r="AIV62" s="18"/>
      <c r="AIW62" s="18"/>
      <c r="AIX62" s="18"/>
      <c r="AIY62" s="18"/>
      <c r="AIZ62" s="18"/>
      <c r="AJA62" s="18"/>
      <c r="AJB62" s="18"/>
      <c r="AJC62" s="18"/>
      <c r="AJD62" s="18"/>
      <c r="AJE62" s="18"/>
      <c r="AJF62" s="18"/>
      <c r="AJG62" s="18"/>
      <c r="AJH62" s="18"/>
      <c r="AJI62" s="18"/>
      <c r="AJJ62" s="18"/>
      <c r="AJK62" s="18"/>
      <c r="AJL62" s="18"/>
      <c r="AJM62" s="18"/>
      <c r="AJN62" s="18"/>
      <c r="AJO62" s="18"/>
      <c r="AJP62" s="18"/>
      <c r="AJQ62" s="18"/>
      <c r="AJR62" s="18"/>
      <c r="AJS62" s="18"/>
      <c r="AJT62" s="18"/>
      <c r="AJU62" s="18"/>
      <c r="AJV62" s="18"/>
      <c r="AJW62" s="18"/>
      <c r="AJX62" s="18"/>
      <c r="AJY62" s="18"/>
      <c r="AJZ62" s="18"/>
      <c r="AKA62" s="18"/>
      <c r="AKB62" s="18"/>
      <c r="AKC62" s="18"/>
      <c r="AKD62" s="18"/>
      <c r="AKE62" s="18"/>
      <c r="AKF62" s="18"/>
      <c r="AKG62" s="18"/>
      <c r="AKH62" s="18"/>
      <c r="AKI62" s="18"/>
      <c r="AKJ62" s="18"/>
      <c r="AKK62" s="18"/>
      <c r="AKL62" s="18"/>
      <c r="AKM62" s="18"/>
      <c r="AKN62" s="18"/>
      <c r="AKO62" s="18"/>
      <c r="AKP62" s="18"/>
      <c r="AKQ62" s="18"/>
      <c r="AKR62" s="18"/>
      <c r="AKS62" s="18"/>
      <c r="AKT62" s="18"/>
      <c r="AKU62" s="18"/>
      <c r="AKV62" s="18"/>
      <c r="AKW62" s="18"/>
      <c r="AKX62" s="18"/>
      <c r="AKY62" s="18"/>
      <c r="AKZ62" s="18"/>
      <c r="ALA62" s="18"/>
      <c r="ALB62" s="18"/>
      <c r="ALC62" s="18"/>
      <c r="ALD62" s="18"/>
      <c r="ALE62" s="18"/>
      <c r="ALF62" s="18"/>
      <c r="ALG62" s="18"/>
      <c r="ALH62" s="18"/>
      <c r="ALI62" s="18"/>
      <c r="ALJ62" s="18"/>
      <c r="ALK62" s="18"/>
      <c r="ALL62" s="18"/>
      <c r="ALM62" s="18"/>
      <c r="ALN62" s="18"/>
      <c r="ALO62" s="18"/>
      <c r="ALP62" s="18"/>
      <c r="ALQ62" s="18"/>
      <c r="ALR62" s="18"/>
      <c r="ALS62" s="18"/>
      <c r="ALT62" s="18"/>
    </row>
    <row r="63" spans="1:1008">
      <c r="A63" s="251" t="s">
        <v>6307</v>
      </c>
      <c r="B63" s="290">
        <v>806</v>
      </c>
      <c r="C63" s="278" t="str">
        <f>(IF($A63="SINAPI",INDEX(SINAPI_NOV2020_NDES!$A$7:$H$6703,MATCH($B63,SINAPI_NOV2020_NDES!$A$7:$A$6703,0),2),IF($A63="GOINFRA",INDEX(#REF!,MATCH($B63,#REF!,0),2),(INDEX(COMPOS!$A$4:$G$390,MATCH($B63,COMPOS!$A$4:A$390,0),2)))))</f>
        <v>DIVISORIA DE GRANITO POLIDO</v>
      </c>
      <c r="D63" s="274" t="str">
        <f>(IF($A63="SINAPI",INDEX(SINAPI_NOV2020_NDES!$A$7:$H$6790,MATCH($B63,SINAPI_NOV2020_NDES!$A$7:$A$6790,0),3),(INDEX(COMPOS!$A$4:$G$5000,MATCH($B63,COMPOS!$A$4:$A$5000,0),3))))</f>
        <v>M²</v>
      </c>
      <c r="E63" s="314">
        <v>0.72</v>
      </c>
      <c r="F63" s="279">
        <f>(IF($A63="SINAPI",INDEX(SINAPI_NOV2020_NDES!$A$7:$H$6703,MATCH($B63,SINAPI_NOV2020_NDES!$A$7:$A$6703,0),5),(INDEX(COMPOS!$A$4:$G$801,MATCH($B63,COMPOS!$A$4:A$801,0),4))))</f>
        <v>62.303999999999995</v>
      </c>
      <c r="G63" s="280">
        <f>(IF($A63="SINAPI",INDEX(SINAPI_NOV2020_NDES!$A$7:$H$6703,MATCH($B63,SINAPI_NOV2020_NDES!$A$7:$A$6703,0),6),(INDEX(COMPOS!$A$4:$G$801,MATCH($B63,COMPOS!$A$4:A$801,0),5))))</f>
        <v>389.55840000000001</v>
      </c>
      <c r="H63" s="280">
        <f>(IF($A63="SINAPI",INDEX(SINAPI_NOV2020_NDES!$A$7:$H$6703,MATCH($B63,SINAPI_NOV2020_NDES!$A$7:$A$6703,0),7),(INDEX(COMPOS!$A$4:$G$801,MATCH($B63,COMPOS!$A$4:A$801,0),6))))</f>
        <v>0</v>
      </c>
      <c r="I63" s="279">
        <f t="shared" ref="I63" si="14">SUM(F63:H63)</f>
        <v>451.86239999999998</v>
      </c>
      <c r="J63" s="276">
        <f t="shared" ref="J63" si="15">+I63*E63</f>
        <v>325.34092799999996</v>
      </c>
      <c r="K63" s="191"/>
      <c r="L63" s="191"/>
      <c r="M63" s="191"/>
      <c r="N63" s="191"/>
      <c r="O63" s="262"/>
      <c r="P63" s="263"/>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c r="EF63" s="18"/>
      <c r="EG63" s="18"/>
      <c r="EH63" s="18"/>
      <c r="EI63" s="18"/>
      <c r="EJ63" s="18"/>
      <c r="EK63" s="18"/>
      <c r="EL63" s="18"/>
      <c r="EM63" s="18"/>
      <c r="EN63" s="18"/>
      <c r="EO63" s="18"/>
      <c r="EP63" s="18"/>
      <c r="EQ63" s="18"/>
      <c r="ER63" s="18"/>
      <c r="ES63" s="18"/>
      <c r="ET63" s="18"/>
      <c r="EU63" s="18"/>
      <c r="EV63" s="18"/>
      <c r="EW63" s="18"/>
      <c r="EX63" s="18"/>
      <c r="EY63" s="18"/>
      <c r="EZ63" s="18"/>
      <c r="FA63" s="18"/>
      <c r="FB63" s="18"/>
      <c r="FC63" s="18"/>
      <c r="FD63" s="18"/>
      <c r="FE63" s="18"/>
      <c r="FF63" s="18"/>
      <c r="FG63" s="18"/>
      <c r="FH63" s="18"/>
      <c r="FI63" s="18"/>
      <c r="FJ63" s="18"/>
      <c r="FK63" s="18"/>
      <c r="FL63" s="18"/>
      <c r="FM63" s="18"/>
      <c r="FN63" s="18"/>
      <c r="FO63" s="18"/>
      <c r="FP63" s="18"/>
      <c r="FQ63" s="18"/>
      <c r="FR63" s="18"/>
      <c r="FS63" s="18"/>
      <c r="FT63" s="18"/>
      <c r="FU63" s="18"/>
      <c r="FV63" s="18"/>
      <c r="FW63" s="18"/>
      <c r="FX63" s="18"/>
      <c r="FY63" s="18"/>
      <c r="FZ63" s="18"/>
      <c r="GA63" s="18"/>
      <c r="GB63" s="18"/>
      <c r="GC63" s="18"/>
      <c r="GD63" s="18"/>
      <c r="GE63" s="18"/>
      <c r="GF63" s="18"/>
      <c r="GG63" s="18"/>
      <c r="GH63" s="18"/>
      <c r="GI63" s="18"/>
      <c r="GJ63" s="18"/>
      <c r="GK63" s="18"/>
      <c r="GL63" s="18"/>
      <c r="GM63" s="18"/>
      <c r="GN63" s="18"/>
      <c r="GO63" s="18"/>
      <c r="GP63" s="18"/>
      <c r="GQ63" s="18"/>
      <c r="GR63" s="18"/>
      <c r="GS63" s="18"/>
      <c r="GT63" s="18"/>
      <c r="GU63" s="18"/>
      <c r="GV63" s="18"/>
      <c r="GW63" s="18"/>
      <c r="GX63" s="18"/>
      <c r="GY63" s="18"/>
      <c r="GZ63" s="18"/>
      <c r="HA63" s="18"/>
      <c r="HB63" s="18"/>
      <c r="HC63" s="18"/>
      <c r="HD63" s="18"/>
      <c r="HE63" s="18"/>
      <c r="HF63" s="18"/>
      <c r="HG63" s="18"/>
      <c r="HH63" s="18"/>
      <c r="HI63" s="18"/>
      <c r="HJ63" s="18"/>
      <c r="HK63" s="18"/>
      <c r="HL63" s="18"/>
      <c r="HM63" s="18"/>
      <c r="HN63" s="18"/>
      <c r="HO63" s="18"/>
      <c r="HP63" s="18"/>
      <c r="HQ63" s="18"/>
      <c r="HR63" s="18"/>
      <c r="HS63" s="18"/>
      <c r="HT63" s="18"/>
      <c r="HU63" s="18"/>
      <c r="HV63" s="18"/>
      <c r="HW63" s="18"/>
      <c r="HX63" s="18"/>
      <c r="HY63" s="18"/>
      <c r="HZ63" s="18"/>
      <c r="IA63" s="18"/>
      <c r="IB63" s="18"/>
      <c r="IC63" s="18"/>
      <c r="ID63" s="18"/>
      <c r="IE63" s="18"/>
      <c r="IF63" s="18"/>
      <c r="IG63" s="18"/>
      <c r="IH63" s="18"/>
      <c r="II63" s="18"/>
      <c r="IJ63" s="18"/>
      <c r="IK63" s="18"/>
      <c r="IL63" s="18"/>
      <c r="IM63" s="18"/>
      <c r="IN63" s="18"/>
      <c r="IO63" s="18"/>
      <c r="IP63" s="18"/>
      <c r="IQ63" s="18"/>
      <c r="IR63" s="18"/>
      <c r="IS63" s="18"/>
      <c r="IT63" s="18"/>
      <c r="IU63" s="18"/>
      <c r="IV63" s="18"/>
      <c r="IW63" s="18"/>
      <c r="IX63" s="18"/>
      <c r="IY63" s="18"/>
      <c r="IZ63" s="18"/>
      <c r="JA63" s="18"/>
      <c r="JB63" s="18"/>
      <c r="JC63" s="18"/>
      <c r="JD63" s="18"/>
      <c r="JE63" s="18"/>
      <c r="JF63" s="18"/>
      <c r="JG63" s="18"/>
      <c r="JH63" s="18"/>
      <c r="JI63" s="18"/>
      <c r="JJ63" s="18"/>
      <c r="JK63" s="18"/>
      <c r="JL63" s="18"/>
      <c r="JM63" s="18"/>
      <c r="JN63" s="18"/>
      <c r="JO63" s="18"/>
      <c r="JP63" s="18"/>
      <c r="JQ63" s="18"/>
      <c r="JR63" s="18"/>
      <c r="JS63" s="18"/>
      <c r="JT63" s="18"/>
      <c r="JU63" s="18"/>
      <c r="JV63" s="18"/>
      <c r="JW63" s="18"/>
      <c r="JX63" s="18"/>
      <c r="JY63" s="18"/>
      <c r="JZ63" s="18"/>
      <c r="KA63" s="18"/>
      <c r="KB63" s="18"/>
      <c r="KC63" s="18"/>
      <c r="KD63" s="18"/>
      <c r="KE63" s="18"/>
      <c r="KF63" s="18"/>
      <c r="KG63" s="18"/>
      <c r="KH63" s="18"/>
      <c r="KI63" s="18"/>
      <c r="KJ63" s="18"/>
      <c r="KK63" s="18"/>
      <c r="KL63" s="18"/>
      <c r="KM63" s="18"/>
      <c r="KN63" s="18"/>
      <c r="KO63" s="18"/>
      <c r="KP63" s="18"/>
      <c r="KQ63" s="18"/>
      <c r="KR63" s="18"/>
      <c r="KS63" s="18"/>
      <c r="KT63" s="18"/>
      <c r="KU63" s="18"/>
      <c r="KV63" s="18"/>
      <c r="KW63" s="18"/>
      <c r="KX63" s="18"/>
      <c r="KY63" s="18"/>
      <c r="KZ63" s="18"/>
      <c r="LA63" s="18"/>
      <c r="LB63" s="18"/>
      <c r="LC63" s="18"/>
      <c r="LD63" s="18"/>
      <c r="LE63" s="18"/>
      <c r="LF63" s="18"/>
      <c r="LG63" s="18"/>
      <c r="LH63" s="18"/>
      <c r="LI63" s="18"/>
      <c r="LJ63" s="18"/>
      <c r="LK63" s="18"/>
      <c r="LL63" s="18"/>
      <c r="LM63" s="18"/>
      <c r="LN63" s="18"/>
      <c r="LO63" s="18"/>
      <c r="LP63" s="18"/>
      <c r="LQ63" s="18"/>
      <c r="LR63" s="18"/>
      <c r="LS63" s="18"/>
      <c r="LT63" s="18"/>
      <c r="LU63" s="18"/>
      <c r="LV63" s="18"/>
      <c r="LW63" s="18"/>
      <c r="LX63" s="18"/>
      <c r="LY63" s="18"/>
      <c r="LZ63" s="18"/>
      <c r="MA63" s="18"/>
      <c r="MB63" s="18"/>
      <c r="MC63" s="18"/>
      <c r="MD63" s="18"/>
      <c r="ME63" s="18"/>
      <c r="MF63" s="18"/>
      <c r="MG63" s="18"/>
      <c r="MH63" s="18"/>
      <c r="MI63" s="18"/>
      <c r="MJ63" s="18"/>
      <c r="MK63" s="18"/>
      <c r="ML63" s="18"/>
      <c r="MM63" s="18"/>
      <c r="MN63" s="18"/>
      <c r="MO63" s="18"/>
      <c r="MP63" s="18"/>
      <c r="MQ63" s="18"/>
      <c r="MR63" s="18"/>
      <c r="MS63" s="18"/>
      <c r="MT63" s="18"/>
      <c r="MU63" s="18"/>
      <c r="MV63" s="18"/>
      <c r="MW63" s="18"/>
      <c r="MX63" s="18"/>
      <c r="MY63" s="18"/>
      <c r="MZ63" s="18"/>
      <c r="NA63" s="18"/>
      <c r="NB63" s="18"/>
      <c r="NC63" s="18"/>
      <c r="ND63" s="18"/>
      <c r="NE63" s="18"/>
      <c r="NF63" s="18"/>
      <c r="NG63" s="18"/>
      <c r="NH63" s="18"/>
      <c r="NI63" s="18"/>
      <c r="NJ63" s="18"/>
      <c r="NK63" s="18"/>
      <c r="NL63" s="18"/>
      <c r="NM63" s="18"/>
      <c r="NN63" s="18"/>
      <c r="NO63" s="18"/>
      <c r="NP63" s="18"/>
      <c r="NQ63" s="18"/>
      <c r="NR63" s="18"/>
      <c r="NS63" s="18"/>
      <c r="NT63" s="18"/>
      <c r="NU63" s="18"/>
      <c r="NV63" s="18"/>
      <c r="NW63" s="18"/>
      <c r="NX63" s="18"/>
      <c r="NY63" s="18"/>
      <c r="NZ63" s="18"/>
      <c r="OA63" s="18"/>
      <c r="OB63" s="18"/>
      <c r="OC63" s="18"/>
      <c r="OD63" s="18"/>
      <c r="OE63" s="18"/>
      <c r="OF63" s="18"/>
      <c r="OG63" s="18"/>
      <c r="OH63" s="18"/>
      <c r="OI63" s="18"/>
      <c r="OJ63" s="18"/>
      <c r="OK63" s="18"/>
      <c r="OL63" s="18"/>
      <c r="OM63" s="18"/>
      <c r="ON63" s="18"/>
      <c r="OO63" s="18"/>
      <c r="OP63" s="18"/>
      <c r="OQ63" s="18"/>
      <c r="OR63" s="18"/>
      <c r="OS63" s="18"/>
      <c r="OT63" s="18"/>
      <c r="OU63" s="18"/>
      <c r="OV63" s="18"/>
      <c r="OW63" s="18"/>
      <c r="OX63" s="18"/>
      <c r="OY63" s="18"/>
      <c r="OZ63" s="18"/>
      <c r="PA63" s="18"/>
      <c r="PB63" s="18"/>
      <c r="PC63" s="18"/>
      <c r="PD63" s="18"/>
      <c r="PE63" s="18"/>
      <c r="PF63" s="18"/>
      <c r="PG63" s="18"/>
      <c r="PH63" s="18"/>
      <c r="PI63" s="18"/>
      <c r="PJ63" s="18"/>
      <c r="PK63" s="18"/>
      <c r="PL63" s="18"/>
      <c r="PM63" s="18"/>
      <c r="PN63" s="18"/>
      <c r="PO63" s="18"/>
      <c r="PP63" s="18"/>
      <c r="PQ63" s="18"/>
      <c r="PR63" s="18"/>
      <c r="PS63" s="18"/>
      <c r="PT63" s="18"/>
      <c r="PU63" s="18"/>
      <c r="PV63" s="18"/>
      <c r="PW63" s="18"/>
      <c r="PX63" s="18"/>
      <c r="PY63" s="18"/>
      <c r="PZ63" s="18"/>
      <c r="QA63" s="18"/>
      <c r="QB63" s="18"/>
      <c r="QC63" s="18"/>
      <c r="QD63" s="18"/>
      <c r="QE63" s="18"/>
      <c r="QF63" s="18"/>
      <c r="QG63" s="18"/>
      <c r="QH63" s="18"/>
      <c r="QI63" s="18"/>
      <c r="QJ63" s="18"/>
      <c r="QK63" s="18"/>
      <c r="QL63" s="18"/>
      <c r="QM63" s="18"/>
      <c r="QN63" s="18"/>
      <c r="QO63" s="18"/>
      <c r="QP63" s="18"/>
      <c r="QQ63" s="18"/>
      <c r="QR63" s="18"/>
      <c r="QS63" s="18"/>
      <c r="QT63" s="18"/>
      <c r="QU63" s="18"/>
      <c r="QV63" s="18"/>
      <c r="QW63" s="18"/>
      <c r="QX63" s="18"/>
      <c r="QY63" s="18"/>
      <c r="QZ63" s="18"/>
      <c r="RA63" s="18"/>
      <c r="RB63" s="18"/>
      <c r="RC63" s="18"/>
      <c r="RD63" s="18"/>
      <c r="RE63" s="18"/>
      <c r="RF63" s="18"/>
      <c r="RG63" s="18"/>
      <c r="RH63" s="18"/>
      <c r="RI63" s="18"/>
      <c r="RJ63" s="18"/>
      <c r="RK63" s="18"/>
      <c r="RL63" s="18"/>
      <c r="RM63" s="18"/>
      <c r="RN63" s="18"/>
      <c r="RO63" s="18"/>
      <c r="RP63" s="18"/>
      <c r="RQ63" s="18"/>
      <c r="RR63" s="18"/>
      <c r="RS63" s="18"/>
      <c r="RT63" s="18"/>
      <c r="RU63" s="18"/>
      <c r="RV63" s="18"/>
      <c r="RW63" s="18"/>
      <c r="RX63" s="18"/>
      <c r="RY63" s="18"/>
      <c r="RZ63" s="18"/>
      <c r="SA63" s="18"/>
      <c r="SB63" s="18"/>
      <c r="SC63" s="18"/>
      <c r="SD63" s="18"/>
      <c r="SE63" s="18"/>
      <c r="SF63" s="18"/>
      <c r="SG63" s="18"/>
      <c r="SH63" s="18"/>
      <c r="SI63" s="18"/>
      <c r="SJ63" s="18"/>
      <c r="SK63" s="18"/>
      <c r="SL63" s="18"/>
      <c r="SM63" s="18"/>
      <c r="SN63" s="18"/>
      <c r="SO63" s="18"/>
      <c r="SP63" s="18"/>
      <c r="SQ63" s="18"/>
      <c r="SR63" s="18"/>
      <c r="SS63" s="18"/>
      <c r="ST63" s="18"/>
      <c r="SU63" s="18"/>
      <c r="SV63" s="18"/>
      <c r="SW63" s="18"/>
      <c r="SX63" s="18"/>
      <c r="SY63" s="18"/>
      <c r="SZ63" s="18"/>
      <c r="TA63" s="18"/>
      <c r="TB63" s="18"/>
      <c r="TC63" s="18"/>
      <c r="TD63" s="18"/>
      <c r="TE63" s="18"/>
      <c r="TF63" s="18"/>
      <c r="TG63" s="18"/>
      <c r="TH63" s="18"/>
      <c r="TI63" s="18"/>
      <c r="TJ63" s="18"/>
      <c r="TK63" s="18"/>
      <c r="TL63" s="18"/>
      <c r="TM63" s="18"/>
      <c r="TN63" s="18"/>
      <c r="TO63" s="18"/>
      <c r="TP63" s="18"/>
      <c r="TQ63" s="18"/>
      <c r="TR63" s="18"/>
      <c r="TS63" s="18"/>
      <c r="TT63" s="18"/>
      <c r="TU63" s="18"/>
      <c r="TV63" s="18"/>
      <c r="TW63" s="18"/>
      <c r="TX63" s="18"/>
      <c r="TY63" s="18"/>
      <c r="TZ63" s="18"/>
      <c r="UA63" s="18"/>
      <c r="UB63" s="18"/>
      <c r="UC63" s="18"/>
      <c r="UD63" s="18"/>
      <c r="UE63" s="18"/>
      <c r="UF63" s="18"/>
      <c r="UG63" s="18"/>
      <c r="UH63" s="18"/>
      <c r="UI63" s="18"/>
      <c r="UJ63" s="18"/>
      <c r="UK63" s="18"/>
      <c r="UL63" s="18"/>
      <c r="UM63" s="18"/>
      <c r="UN63" s="18"/>
      <c r="UO63" s="18"/>
      <c r="UP63" s="18"/>
      <c r="UQ63" s="18"/>
      <c r="UR63" s="18"/>
      <c r="US63" s="18"/>
      <c r="UT63" s="18"/>
      <c r="UU63" s="18"/>
      <c r="UV63" s="18"/>
      <c r="UW63" s="18"/>
      <c r="UX63" s="18"/>
      <c r="UY63" s="18"/>
      <c r="UZ63" s="18"/>
      <c r="VA63" s="18"/>
      <c r="VB63" s="18"/>
      <c r="VC63" s="18"/>
      <c r="VD63" s="18"/>
      <c r="VE63" s="18"/>
      <c r="VF63" s="18"/>
      <c r="VG63" s="18"/>
      <c r="VH63" s="18"/>
      <c r="VI63" s="18"/>
      <c r="VJ63" s="18"/>
      <c r="VK63" s="18"/>
      <c r="VL63" s="18"/>
      <c r="VM63" s="18"/>
      <c r="VN63" s="18"/>
      <c r="VO63" s="18"/>
      <c r="VP63" s="18"/>
      <c r="VQ63" s="18"/>
      <c r="VR63" s="18"/>
      <c r="VS63" s="18"/>
      <c r="VT63" s="18"/>
      <c r="VU63" s="18"/>
      <c r="VV63" s="18"/>
      <c r="VW63" s="18"/>
      <c r="VX63" s="18"/>
      <c r="VY63" s="18"/>
      <c r="VZ63" s="18"/>
      <c r="WA63" s="18"/>
      <c r="WB63" s="18"/>
      <c r="WC63" s="18"/>
      <c r="WD63" s="18"/>
      <c r="WE63" s="18"/>
      <c r="WF63" s="18"/>
      <c r="WG63" s="18"/>
      <c r="WH63" s="18"/>
      <c r="WI63" s="18"/>
      <c r="WJ63" s="18"/>
      <c r="WK63" s="18"/>
      <c r="WL63" s="18"/>
      <c r="WM63" s="18"/>
      <c r="WN63" s="18"/>
      <c r="WO63" s="18"/>
      <c r="WP63" s="18"/>
      <c r="WQ63" s="18"/>
      <c r="WR63" s="18"/>
      <c r="WS63" s="18"/>
      <c r="WT63" s="18"/>
      <c r="WU63" s="18"/>
      <c r="WV63" s="18"/>
      <c r="WW63" s="18"/>
      <c r="WX63" s="18"/>
      <c r="WY63" s="18"/>
      <c r="WZ63" s="18"/>
      <c r="XA63" s="18"/>
      <c r="XB63" s="18"/>
      <c r="XC63" s="18"/>
      <c r="XD63" s="18"/>
      <c r="XE63" s="18"/>
      <c r="XF63" s="18"/>
      <c r="XG63" s="18"/>
      <c r="XH63" s="18"/>
      <c r="XI63" s="18"/>
      <c r="XJ63" s="18"/>
      <c r="XK63" s="18"/>
      <c r="XL63" s="18"/>
      <c r="XM63" s="18"/>
      <c r="XN63" s="18"/>
      <c r="XO63" s="18"/>
      <c r="XP63" s="18"/>
      <c r="XQ63" s="18"/>
      <c r="XR63" s="18"/>
      <c r="XS63" s="18"/>
      <c r="XT63" s="18"/>
      <c r="XU63" s="18"/>
      <c r="XV63" s="18"/>
      <c r="XW63" s="18"/>
      <c r="XX63" s="18"/>
      <c r="XY63" s="18"/>
      <c r="XZ63" s="18"/>
      <c r="YA63" s="18"/>
      <c r="YB63" s="18"/>
      <c r="YC63" s="18"/>
      <c r="YD63" s="18"/>
      <c r="YE63" s="18"/>
      <c r="YF63" s="18"/>
      <c r="YG63" s="18"/>
      <c r="YH63" s="18"/>
      <c r="YI63" s="18"/>
      <c r="YJ63" s="18"/>
      <c r="YK63" s="18"/>
      <c r="YL63" s="18"/>
      <c r="YM63" s="18"/>
      <c r="YN63" s="18"/>
      <c r="YO63" s="18"/>
      <c r="YP63" s="18"/>
      <c r="YQ63" s="18"/>
      <c r="YR63" s="18"/>
      <c r="YS63" s="18"/>
      <c r="YT63" s="18"/>
      <c r="YU63" s="18"/>
      <c r="YV63" s="18"/>
      <c r="YW63" s="18"/>
      <c r="YX63" s="18"/>
      <c r="YY63" s="18"/>
      <c r="YZ63" s="18"/>
      <c r="ZA63" s="18"/>
      <c r="ZB63" s="18"/>
      <c r="ZC63" s="18"/>
      <c r="ZD63" s="18"/>
      <c r="ZE63" s="18"/>
      <c r="ZF63" s="18"/>
      <c r="ZG63" s="18"/>
      <c r="ZH63" s="18"/>
      <c r="ZI63" s="18"/>
      <c r="ZJ63" s="18"/>
      <c r="ZK63" s="18"/>
      <c r="ZL63" s="18"/>
      <c r="ZM63" s="18"/>
      <c r="ZN63" s="18"/>
      <c r="ZO63" s="18"/>
      <c r="ZP63" s="18"/>
      <c r="ZQ63" s="18"/>
      <c r="ZR63" s="18"/>
      <c r="ZS63" s="18"/>
      <c r="ZT63" s="18"/>
      <c r="ZU63" s="18"/>
      <c r="ZV63" s="18"/>
      <c r="ZW63" s="18"/>
      <c r="ZX63" s="18"/>
      <c r="ZY63" s="18"/>
      <c r="ZZ63" s="18"/>
      <c r="AAA63" s="18"/>
      <c r="AAB63" s="18"/>
      <c r="AAC63" s="18"/>
      <c r="AAD63" s="18"/>
      <c r="AAE63" s="18"/>
      <c r="AAF63" s="18"/>
      <c r="AAG63" s="18"/>
      <c r="AAH63" s="18"/>
      <c r="AAI63" s="18"/>
      <c r="AAJ63" s="18"/>
      <c r="AAK63" s="18"/>
      <c r="AAL63" s="18"/>
      <c r="AAM63" s="18"/>
      <c r="AAN63" s="18"/>
      <c r="AAO63" s="18"/>
      <c r="AAP63" s="18"/>
      <c r="AAQ63" s="18"/>
      <c r="AAR63" s="18"/>
      <c r="AAS63" s="18"/>
      <c r="AAT63" s="18"/>
      <c r="AAU63" s="18"/>
      <c r="AAV63" s="18"/>
      <c r="AAW63" s="18"/>
      <c r="AAX63" s="18"/>
      <c r="AAY63" s="18"/>
      <c r="AAZ63" s="18"/>
      <c r="ABA63" s="18"/>
      <c r="ABB63" s="18"/>
      <c r="ABC63" s="18"/>
      <c r="ABD63" s="18"/>
      <c r="ABE63" s="18"/>
      <c r="ABF63" s="18"/>
      <c r="ABG63" s="18"/>
      <c r="ABH63" s="18"/>
      <c r="ABI63" s="18"/>
      <c r="ABJ63" s="18"/>
      <c r="ABK63" s="18"/>
      <c r="ABL63" s="18"/>
      <c r="ABM63" s="18"/>
      <c r="ABN63" s="18"/>
      <c r="ABO63" s="18"/>
      <c r="ABP63" s="18"/>
      <c r="ABQ63" s="18"/>
      <c r="ABR63" s="18"/>
      <c r="ABS63" s="18"/>
      <c r="ABT63" s="18"/>
      <c r="ABU63" s="18"/>
      <c r="ABV63" s="18"/>
      <c r="ABW63" s="18"/>
      <c r="ABX63" s="18"/>
      <c r="ABY63" s="18"/>
      <c r="ABZ63" s="18"/>
      <c r="ACA63" s="18"/>
      <c r="ACB63" s="18"/>
      <c r="ACC63" s="18"/>
      <c r="ACD63" s="18"/>
      <c r="ACE63" s="18"/>
      <c r="ACF63" s="18"/>
      <c r="ACG63" s="18"/>
      <c r="ACH63" s="18"/>
      <c r="ACI63" s="18"/>
      <c r="ACJ63" s="18"/>
      <c r="ACK63" s="18"/>
      <c r="ACL63" s="18"/>
      <c r="ACM63" s="18"/>
      <c r="ACN63" s="18"/>
      <c r="ACO63" s="18"/>
      <c r="ACP63" s="18"/>
      <c r="ACQ63" s="18"/>
      <c r="ACR63" s="18"/>
      <c r="ACS63" s="18"/>
      <c r="ACT63" s="18"/>
      <c r="ACU63" s="18"/>
      <c r="ACV63" s="18"/>
      <c r="ACW63" s="18"/>
      <c r="ACX63" s="18"/>
      <c r="ACY63" s="18"/>
      <c r="ACZ63" s="18"/>
      <c r="ADA63" s="18"/>
      <c r="ADB63" s="18"/>
      <c r="ADC63" s="18"/>
      <c r="ADD63" s="18"/>
      <c r="ADE63" s="18"/>
      <c r="ADF63" s="18"/>
      <c r="ADG63" s="18"/>
      <c r="ADH63" s="18"/>
      <c r="ADI63" s="18"/>
      <c r="ADJ63" s="18"/>
      <c r="ADK63" s="18"/>
      <c r="ADL63" s="18"/>
      <c r="ADM63" s="18"/>
      <c r="ADN63" s="18"/>
      <c r="ADO63" s="18"/>
      <c r="ADP63" s="18"/>
      <c r="ADQ63" s="18"/>
      <c r="ADR63" s="18"/>
      <c r="ADS63" s="18"/>
      <c r="ADT63" s="18"/>
      <c r="ADU63" s="18"/>
      <c r="ADV63" s="18"/>
      <c r="ADW63" s="18"/>
      <c r="ADX63" s="18"/>
      <c r="ADY63" s="18"/>
      <c r="ADZ63" s="18"/>
      <c r="AEA63" s="18"/>
      <c r="AEB63" s="18"/>
      <c r="AEC63" s="18"/>
      <c r="AED63" s="18"/>
      <c r="AEE63" s="18"/>
      <c r="AEF63" s="18"/>
      <c r="AEG63" s="18"/>
      <c r="AEH63" s="18"/>
      <c r="AEI63" s="18"/>
      <c r="AEJ63" s="18"/>
      <c r="AEK63" s="18"/>
      <c r="AEL63" s="18"/>
      <c r="AEM63" s="18"/>
      <c r="AEN63" s="18"/>
      <c r="AEO63" s="18"/>
      <c r="AEP63" s="18"/>
      <c r="AEQ63" s="18"/>
      <c r="AER63" s="18"/>
      <c r="AES63" s="18"/>
      <c r="AET63" s="18"/>
      <c r="AEU63" s="18"/>
      <c r="AEV63" s="18"/>
      <c r="AEW63" s="18"/>
      <c r="AEX63" s="18"/>
      <c r="AEY63" s="18"/>
      <c r="AEZ63" s="18"/>
      <c r="AFA63" s="18"/>
      <c r="AFB63" s="18"/>
      <c r="AFC63" s="18"/>
      <c r="AFD63" s="18"/>
      <c r="AFE63" s="18"/>
      <c r="AFF63" s="18"/>
      <c r="AFG63" s="18"/>
      <c r="AFH63" s="18"/>
      <c r="AFI63" s="18"/>
      <c r="AFJ63" s="18"/>
      <c r="AFK63" s="18"/>
      <c r="AFL63" s="18"/>
      <c r="AFM63" s="18"/>
      <c r="AFN63" s="18"/>
      <c r="AFO63" s="18"/>
      <c r="AFP63" s="18"/>
      <c r="AFQ63" s="18"/>
      <c r="AFR63" s="18"/>
      <c r="AFS63" s="18"/>
      <c r="AFT63" s="18"/>
      <c r="AFU63" s="18"/>
      <c r="AFV63" s="18"/>
      <c r="AFW63" s="18"/>
      <c r="AFX63" s="18"/>
      <c r="AFY63" s="18"/>
      <c r="AFZ63" s="18"/>
      <c r="AGA63" s="18"/>
      <c r="AGB63" s="18"/>
      <c r="AGC63" s="18"/>
      <c r="AGD63" s="18"/>
      <c r="AGE63" s="18"/>
      <c r="AGF63" s="18"/>
      <c r="AGG63" s="18"/>
      <c r="AGH63" s="18"/>
      <c r="AGI63" s="18"/>
      <c r="AGJ63" s="18"/>
      <c r="AGK63" s="18"/>
      <c r="AGL63" s="18"/>
      <c r="AGM63" s="18"/>
      <c r="AGN63" s="18"/>
      <c r="AGO63" s="18"/>
      <c r="AGP63" s="18"/>
      <c r="AGQ63" s="18"/>
      <c r="AGR63" s="18"/>
      <c r="AGS63" s="18"/>
      <c r="AGT63" s="18"/>
      <c r="AGU63" s="18"/>
      <c r="AGV63" s="18"/>
      <c r="AGW63" s="18"/>
      <c r="AGX63" s="18"/>
      <c r="AGY63" s="18"/>
      <c r="AGZ63" s="18"/>
      <c r="AHA63" s="18"/>
      <c r="AHB63" s="18"/>
      <c r="AHC63" s="18"/>
      <c r="AHD63" s="18"/>
      <c r="AHE63" s="18"/>
      <c r="AHF63" s="18"/>
      <c r="AHG63" s="18"/>
      <c r="AHH63" s="18"/>
      <c r="AHI63" s="18"/>
      <c r="AHJ63" s="18"/>
      <c r="AHK63" s="18"/>
      <c r="AHL63" s="18"/>
      <c r="AHM63" s="18"/>
      <c r="AHN63" s="18"/>
      <c r="AHO63" s="18"/>
      <c r="AHP63" s="18"/>
      <c r="AHQ63" s="18"/>
      <c r="AHR63" s="18"/>
      <c r="AHS63" s="18"/>
      <c r="AHT63" s="18"/>
      <c r="AHU63" s="18"/>
      <c r="AHV63" s="18"/>
      <c r="AHW63" s="18"/>
      <c r="AHX63" s="18"/>
      <c r="AHY63" s="18"/>
      <c r="AHZ63" s="18"/>
      <c r="AIA63" s="18"/>
      <c r="AIB63" s="18"/>
      <c r="AIC63" s="18"/>
      <c r="AID63" s="18"/>
      <c r="AIE63" s="18"/>
      <c r="AIF63" s="18"/>
      <c r="AIG63" s="18"/>
      <c r="AIH63" s="18"/>
      <c r="AII63" s="18"/>
      <c r="AIJ63" s="18"/>
      <c r="AIK63" s="18"/>
      <c r="AIL63" s="18"/>
      <c r="AIM63" s="18"/>
      <c r="AIN63" s="18"/>
      <c r="AIO63" s="18"/>
      <c r="AIP63" s="18"/>
      <c r="AIQ63" s="18"/>
      <c r="AIR63" s="18"/>
      <c r="AIS63" s="18"/>
      <c r="AIT63" s="18"/>
      <c r="AIU63" s="18"/>
      <c r="AIV63" s="18"/>
      <c r="AIW63" s="18"/>
      <c r="AIX63" s="18"/>
      <c r="AIY63" s="18"/>
      <c r="AIZ63" s="18"/>
      <c r="AJA63" s="18"/>
      <c r="AJB63" s="18"/>
      <c r="AJC63" s="18"/>
      <c r="AJD63" s="18"/>
      <c r="AJE63" s="18"/>
      <c r="AJF63" s="18"/>
      <c r="AJG63" s="18"/>
      <c r="AJH63" s="18"/>
      <c r="AJI63" s="18"/>
      <c r="AJJ63" s="18"/>
      <c r="AJK63" s="18"/>
      <c r="AJL63" s="18"/>
      <c r="AJM63" s="18"/>
      <c r="AJN63" s="18"/>
      <c r="AJO63" s="18"/>
      <c r="AJP63" s="18"/>
      <c r="AJQ63" s="18"/>
      <c r="AJR63" s="18"/>
      <c r="AJS63" s="18"/>
      <c r="AJT63" s="18"/>
      <c r="AJU63" s="18"/>
      <c r="AJV63" s="18"/>
      <c r="AJW63" s="18"/>
      <c r="AJX63" s="18"/>
      <c r="AJY63" s="18"/>
      <c r="AJZ63" s="18"/>
      <c r="AKA63" s="18"/>
      <c r="AKB63" s="18"/>
      <c r="AKC63" s="18"/>
      <c r="AKD63" s="18"/>
      <c r="AKE63" s="18"/>
      <c r="AKF63" s="18"/>
      <c r="AKG63" s="18"/>
      <c r="AKH63" s="18"/>
      <c r="AKI63" s="18"/>
      <c r="AKJ63" s="18"/>
      <c r="AKK63" s="18"/>
      <c r="AKL63" s="18"/>
      <c r="AKM63" s="18"/>
      <c r="AKN63" s="18"/>
      <c r="AKO63" s="18"/>
      <c r="AKP63" s="18"/>
      <c r="AKQ63" s="18"/>
      <c r="AKR63" s="18"/>
      <c r="AKS63" s="18"/>
      <c r="AKT63" s="18"/>
      <c r="AKU63" s="18"/>
      <c r="AKV63" s="18"/>
      <c r="AKW63" s="18"/>
      <c r="AKX63" s="18"/>
      <c r="AKY63" s="18"/>
      <c r="AKZ63" s="18"/>
      <c r="ALA63" s="18"/>
      <c r="ALB63" s="18"/>
      <c r="ALC63" s="18"/>
      <c r="ALD63" s="18"/>
      <c r="ALE63" s="18"/>
      <c r="ALF63" s="18"/>
      <c r="ALG63" s="18"/>
      <c r="ALH63" s="18"/>
      <c r="ALI63" s="18"/>
      <c r="ALJ63" s="18"/>
      <c r="ALK63" s="18"/>
      <c r="ALL63" s="18"/>
      <c r="ALM63" s="18"/>
      <c r="ALN63" s="18"/>
      <c r="ALO63" s="18"/>
      <c r="ALP63" s="18"/>
      <c r="ALQ63" s="18"/>
      <c r="ALR63" s="18"/>
      <c r="ALS63" s="18"/>
      <c r="ALT63" s="18"/>
    </row>
    <row r="64" spans="1:1008" s="88" customFormat="1" ht="24" customHeight="1">
      <c r="A64" s="680" t="s">
        <v>6927</v>
      </c>
      <c r="B64" s="680"/>
      <c r="C64" s="680"/>
      <c r="D64" s="680"/>
      <c r="E64" s="680"/>
      <c r="F64" s="680"/>
      <c r="G64" s="680"/>
      <c r="H64" s="680"/>
      <c r="I64" s="680"/>
      <c r="J64" s="281">
        <f>SUM(J62:J63)</f>
        <v>325.34092799999996</v>
      </c>
      <c r="K64" s="191"/>
      <c r="L64" s="191"/>
      <c r="M64" s="191"/>
      <c r="N64" s="191"/>
      <c r="O64" s="191"/>
      <c r="P64" s="263"/>
    </row>
    <row r="65" spans="1:1008">
      <c r="A65" s="251"/>
      <c r="B65" s="370">
        <v>180</v>
      </c>
      <c r="C65" s="340" t="s">
        <v>595</v>
      </c>
      <c r="D65" s="274"/>
      <c r="E65" s="276"/>
      <c r="F65" s="276"/>
      <c r="G65" s="276"/>
      <c r="H65" s="276"/>
      <c r="I65" s="276"/>
      <c r="J65" s="276"/>
      <c r="K65" s="191"/>
      <c r="L65" s="191"/>
      <c r="M65" s="191"/>
      <c r="N65" s="191"/>
      <c r="O65" s="191"/>
      <c r="P65" s="263"/>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c r="EF65" s="18"/>
      <c r="EG65" s="18"/>
      <c r="EH65" s="18"/>
      <c r="EI65" s="18"/>
      <c r="EJ65" s="18"/>
      <c r="EK65" s="18"/>
      <c r="EL65" s="18"/>
      <c r="EM65" s="18"/>
      <c r="EN65" s="18"/>
      <c r="EO65" s="18"/>
      <c r="EP65" s="18"/>
      <c r="EQ65" s="18"/>
      <c r="ER65" s="18"/>
      <c r="ES65" s="18"/>
      <c r="ET65" s="18"/>
      <c r="EU65" s="18"/>
      <c r="EV65" s="18"/>
      <c r="EW65" s="18"/>
      <c r="EX65" s="18"/>
      <c r="EY65" s="18"/>
      <c r="EZ65" s="18"/>
      <c r="FA65" s="18"/>
      <c r="FB65" s="18"/>
      <c r="FC65" s="18"/>
      <c r="FD65" s="18"/>
      <c r="FE65" s="18"/>
      <c r="FF65" s="18"/>
      <c r="FG65" s="18"/>
      <c r="FH65" s="18"/>
      <c r="FI65" s="18"/>
      <c r="FJ65" s="18"/>
      <c r="FK65" s="18"/>
      <c r="FL65" s="18"/>
      <c r="FM65" s="18"/>
      <c r="FN65" s="18"/>
      <c r="FO65" s="18"/>
      <c r="FP65" s="18"/>
      <c r="FQ65" s="18"/>
      <c r="FR65" s="18"/>
      <c r="FS65" s="18"/>
      <c r="FT65" s="18"/>
      <c r="FU65" s="18"/>
      <c r="FV65" s="18"/>
      <c r="FW65" s="18"/>
      <c r="FX65" s="18"/>
      <c r="FY65" s="18"/>
      <c r="FZ65" s="18"/>
      <c r="GA65" s="18"/>
      <c r="GB65" s="18"/>
      <c r="GC65" s="18"/>
      <c r="GD65" s="18"/>
      <c r="GE65" s="18"/>
      <c r="GF65" s="18"/>
      <c r="GG65" s="18"/>
      <c r="GH65" s="18"/>
      <c r="GI65" s="18"/>
      <c r="GJ65" s="18"/>
      <c r="GK65" s="18"/>
      <c r="GL65" s="18"/>
      <c r="GM65" s="18"/>
      <c r="GN65" s="18"/>
      <c r="GO65" s="18"/>
      <c r="GP65" s="18"/>
      <c r="GQ65" s="18"/>
      <c r="GR65" s="18"/>
      <c r="GS65" s="18"/>
      <c r="GT65" s="18"/>
      <c r="GU65" s="18"/>
      <c r="GV65" s="18"/>
      <c r="GW65" s="18"/>
      <c r="GX65" s="18"/>
      <c r="GY65" s="18"/>
      <c r="GZ65" s="18"/>
      <c r="HA65" s="18"/>
      <c r="HB65" s="18"/>
      <c r="HC65" s="18"/>
      <c r="HD65" s="18"/>
      <c r="HE65" s="18"/>
      <c r="HF65" s="18"/>
      <c r="HG65" s="18"/>
      <c r="HH65" s="18"/>
      <c r="HI65" s="18"/>
      <c r="HJ65" s="18"/>
      <c r="HK65" s="18"/>
      <c r="HL65" s="18"/>
      <c r="HM65" s="18"/>
      <c r="HN65" s="18"/>
      <c r="HO65" s="18"/>
      <c r="HP65" s="18"/>
      <c r="HQ65" s="18"/>
      <c r="HR65" s="18"/>
      <c r="HS65" s="18"/>
      <c r="HT65" s="18"/>
      <c r="HU65" s="18"/>
      <c r="HV65" s="18"/>
      <c r="HW65" s="18"/>
      <c r="HX65" s="18"/>
      <c r="HY65" s="18"/>
      <c r="HZ65" s="18"/>
      <c r="IA65" s="18"/>
      <c r="IB65" s="18"/>
      <c r="IC65" s="18"/>
      <c r="ID65" s="18"/>
      <c r="IE65" s="18"/>
      <c r="IF65" s="18"/>
      <c r="IG65" s="18"/>
      <c r="IH65" s="18"/>
      <c r="II65" s="18"/>
      <c r="IJ65" s="18"/>
      <c r="IK65" s="18"/>
      <c r="IL65" s="18"/>
      <c r="IM65" s="18"/>
      <c r="IN65" s="18"/>
      <c r="IO65" s="18"/>
      <c r="IP65" s="18"/>
      <c r="IQ65" s="18"/>
      <c r="IR65" s="18"/>
      <c r="IS65" s="18"/>
      <c r="IT65" s="18"/>
      <c r="IU65" s="18"/>
      <c r="IV65" s="18"/>
      <c r="IW65" s="18"/>
      <c r="IX65" s="18"/>
      <c r="IY65" s="18"/>
      <c r="IZ65" s="18"/>
      <c r="JA65" s="18"/>
      <c r="JB65" s="18"/>
      <c r="JC65" s="18"/>
      <c r="JD65" s="18"/>
      <c r="JE65" s="18"/>
      <c r="JF65" s="18"/>
      <c r="JG65" s="18"/>
      <c r="JH65" s="18"/>
      <c r="JI65" s="18"/>
      <c r="JJ65" s="18"/>
      <c r="JK65" s="18"/>
      <c r="JL65" s="18"/>
      <c r="JM65" s="18"/>
      <c r="JN65" s="18"/>
      <c r="JO65" s="18"/>
      <c r="JP65" s="18"/>
      <c r="JQ65" s="18"/>
      <c r="JR65" s="18"/>
      <c r="JS65" s="18"/>
      <c r="JT65" s="18"/>
      <c r="JU65" s="18"/>
      <c r="JV65" s="18"/>
      <c r="JW65" s="18"/>
      <c r="JX65" s="18"/>
      <c r="JY65" s="18"/>
      <c r="JZ65" s="18"/>
      <c r="KA65" s="18"/>
      <c r="KB65" s="18"/>
      <c r="KC65" s="18"/>
      <c r="KD65" s="18"/>
      <c r="KE65" s="18"/>
      <c r="KF65" s="18"/>
      <c r="KG65" s="18"/>
      <c r="KH65" s="18"/>
      <c r="KI65" s="18"/>
      <c r="KJ65" s="18"/>
      <c r="KK65" s="18"/>
      <c r="KL65" s="18"/>
      <c r="KM65" s="18"/>
      <c r="KN65" s="18"/>
      <c r="KO65" s="18"/>
      <c r="KP65" s="18"/>
      <c r="KQ65" s="18"/>
      <c r="KR65" s="18"/>
      <c r="KS65" s="18"/>
      <c r="KT65" s="18"/>
      <c r="KU65" s="18"/>
      <c r="KV65" s="18"/>
      <c r="KW65" s="18"/>
      <c r="KX65" s="18"/>
      <c r="KY65" s="18"/>
      <c r="KZ65" s="18"/>
      <c r="LA65" s="18"/>
      <c r="LB65" s="18"/>
      <c r="LC65" s="18"/>
      <c r="LD65" s="18"/>
      <c r="LE65" s="18"/>
      <c r="LF65" s="18"/>
      <c r="LG65" s="18"/>
      <c r="LH65" s="18"/>
      <c r="LI65" s="18"/>
      <c r="LJ65" s="18"/>
      <c r="LK65" s="18"/>
      <c r="LL65" s="18"/>
      <c r="LM65" s="18"/>
      <c r="LN65" s="18"/>
      <c r="LO65" s="18"/>
      <c r="LP65" s="18"/>
      <c r="LQ65" s="18"/>
      <c r="LR65" s="18"/>
      <c r="LS65" s="18"/>
      <c r="LT65" s="18"/>
      <c r="LU65" s="18"/>
      <c r="LV65" s="18"/>
      <c r="LW65" s="18"/>
      <c r="LX65" s="18"/>
      <c r="LY65" s="18"/>
      <c r="LZ65" s="18"/>
      <c r="MA65" s="18"/>
      <c r="MB65" s="18"/>
      <c r="MC65" s="18"/>
      <c r="MD65" s="18"/>
      <c r="ME65" s="18"/>
      <c r="MF65" s="18"/>
      <c r="MG65" s="18"/>
      <c r="MH65" s="18"/>
      <c r="MI65" s="18"/>
      <c r="MJ65" s="18"/>
      <c r="MK65" s="18"/>
      <c r="ML65" s="18"/>
      <c r="MM65" s="18"/>
      <c r="MN65" s="18"/>
      <c r="MO65" s="18"/>
      <c r="MP65" s="18"/>
      <c r="MQ65" s="18"/>
      <c r="MR65" s="18"/>
      <c r="MS65" s="18"/>
      <c r="MT65" s="18"/>
      <c r="MU65" s="18"/>
      <c r="MV65" s="18"/>
      <c r="MW65" s="18"/>
      <c r="MX65" s="18"/>
      <c r="MY65" s="18"/>
      <c r="MZ65" s="18"/>
      <c r="NA65" s="18"/>
      <c r="NB65" s="18"/>
      <c r="NC65" s="18"/>
      <c r="ND65" s="18"/>
      <c r="NE65" s="18"/>
      <c r="NF65" s="18"/>
      <c r="NG65" s="18"/>
      <c r="NH65" s="18"/>
      <c r="NI65" s="18"/>
      <c r="NJ65" s="18"/>
      <c r="NK65" s="18"/>
      <c r="NL65" s="18"/>
      <c r="NM65" s="18"/>
      <c r="NN65" s="18"/>
      <c r="NO65" s="18"/>
      <c r="NP65" s="18"/>
      <c r="NQ65" s="18"/>
      <c r="NR65" s="18"/>
      <c r="NS65" s="18"/>
      <c r="NT65" s="18"/>
      <c r="NU65" s="18"/>
      <c r="NV65" s="18"/>
      <c r="NW65" s="18"/>
      <c r="NX65" s="18"/>
      <c r="NY65" s="18"/>
      <c r="NZ65" s="18"/>
      <c r="OA65" s="18"/>
      <c r="OB65" s="18"/>
      <c r="OC65" s="18"/>
      <c r="OD65" s="18"/>
      <c r="OE65" s="18"/>
      <c r="OF65" s="18"/>
      <c r="OG65" s="18"/>
      <c r="OH65" s="18"/>
      <c r="OI65" s="18"/>
      <c r="OJ65" s="18"/>
      <c r="OK65" s="18"/>
      <c r="OL65" s="18"/>
      <c r="OM65" s="18"/>
      <c r="ON65" s="18"/>
      <c r="OO65" s="18"/>
      <c r="OP65" s="18"/>
      <c r="OQ65" s="18"/>
      <c r="OR65" s="18"/>
      <c r="OS65" s="18"/>
      <c r="OT65" s="18"/>
      <c r="OU65" s="18"/>
      <c r="OV65" s="18"/>
      <c r="OW65" s="18"/>
      <c r="OX65" s="18"/>
      <c r="OY65" s="18"/>
      <c r="OZ65" s="18"/>
      <c r="PA65" s="18"/>
      <c r="PB65" s="18"/>
      <c r="PC65" s="18"/>
      <c r="PD65" s="18"/>
      <c r="PE65" s="18"/>
      <c r="PF65" s="18"/>
      <c r="PG65" s="18"/>
      <c r="PH65" s="18"/>
      <c r="PI65" s="18"/>
      <c r="PJ65" s="18"/>
      <c r="PK65" s="18"/>
      <c r="PL65" s="18"/>
      <c r="PM65" s="18"/>
      <c r="PN65" s="18"/>
      <c r="PO65" s="18"/>
      <c r="PP65" s="18"/>
      <c r="PQ65" s="18"/>
      <c r="PR65" s="18"/>
      <c r="PS65" s="18"/>
      <c r="PT65" s="18"/>
      <c r="PU65" s="18"/>
      <c r="PV65" s="18"/>
      <c r="PW65" s="18"/>
      <c r="PX65" s="18"/>
      <c r="PY65" s="18"/>
      <c r="PZ65" s="18"/>
      <c r="QA65" s="18"/>
      <c r="QB65" s="18"/>
      <c r="QC65" s="18"/>
      <c r="QD65" s="18"/>
      <c r="QE65" s="18"/>
      <c r="QF65" s="18"/>
      <c r="QG65" s="18"/>
      <c r="QH65" s="18"/>
      <c r="QI65" s="18"/>
      <c r="QJ65" s="18"/>
      <c r="QK65" s="18"/>
      <c r="QL65" s="18"/>
      <c r="QM65" s="18"/>
      <c r="QN65" s="18"/>
      <c r="QO65" s="18"/>
      <c r="QP65" s="18"/>
      <c r="QQ65" s="18"/>
      <c r="QR65" s="18"/>
      <c r="QS65" s="18"/>
      <c r="QT65" s="18"/>
      <c r="QU65" s="18"/>
      <c r="QV65" s="18"/>
      <c r="QW65" s="18"/>
      <c r="QX65" s="18"/>
      <c r="QY65" s="18"/>
      <c r="QZ65" s="18"/>
      <c r="RA65" s="18"/>
      <c r="RB65" s="18"/>
      <c r="RC65" s="18"/>
      <c r="RD65" s="18"/>
      <c r="RE65" s="18"/>
      <c r="RF65" s="18"/>
      <c r="RG65" s="18"/>
      <c r="RH65" s="18"/>
      <c r="RI65" s="18"/>
      <c r="RJ65" s="18"/>
      <c r="RK65" s="18"/>
      <c r="RL65" s="18"/>
      <c r="RM65" s="18"/>
      <c r="RN65" s="18"/>
      <c r="RO65" s="18"/>
      <c r="RP65" s="18"/>
      <c r="RQ65" s="18"/>
      <c r="RR65" s="18"/>
      <c r="RS65" s="18"/>
      <c r="RT65" s="18"/>
      <c r="RU65" s="18"/>
      <c r="RV65" s="18"/>
      <c r="RW65" s="18"/>
      <c r="RX65" s="18"/>
      <c r="RY65" s="18"/>
      <c r="RZ65" s="18"/>
      <c r="SA65" s="18"/>
      <c r="SB65" s="18"/>
      <c r="SC65" s="18"/>
      <c r="SD65" s="18"/>
      <c r="SE65" s="18"/>
      <c r="SF65" s="18"/>
      <c r="SG65" s="18"/>
      <c r="SH65" s="18"/>
      <c r="SI65" s="18"/>
      <c r="SJ65" s="18"/>
      <c r="SK65" s="18"/>
      <c r="SL65" s="18"/>
      <c r="SM65" s="18"/>
      <c r="SN65" s="18"/>
      <c r="SO65" s="18"/>
      <c r="SP65" s="18"/>
      <c r="SQ65" s="18"/>
      <c r="SR65" s="18"/>
      <c r="SS65" s="18"/>
      <c r="ST65" s="18"/>
      <c r="SU65" s="18"/>
      <c r="SV65" s="18"/>
      <c r="SW65" s="18"/>
      <c r="SX65" s="18"/>
      <c r="SY65" s="18"/>
      <c r="SZ65" s="18"/>
      <c r="TA65" s="18"/>
      <c r="TB65" s="18"/>
      <c r="TC65" s="18"/>
      <c r="TD65" s="18"/>
      <c r="TE65" s="18"/>
      <c r="TF65" s="18"/>
      <c r="TG65" s="18"/>
      <c r="TH65" s="18"/>
      <c r="TI65" s="18"/>
      <c r="TJ65" s="18"/>
      <c r="TK65" s="18"/>
      <c r="TL65" s="18"/>
      <c r="TM65" s="18"/>
      <c r="TN65" s="18"/>
      <c r="TO65" s="18"/>
      <c r="TP65" s="18"/>
      <c r="TQ65" s="18"/>
      <c r="TR65" s="18"/>
      <c r="TS65" s="18"/>
      <c r="TT65" s="18"/>
      <c r="TU65" s="18"/>
      <c r="TV65" s="18"/>
      <c r="TW65" s="18"/>
      <c r="TX65" s="18"/>
      <c r="TY65" s="18"/>
      <c r="TZ65" s="18"/>
      <c r="UA65" s="18"/>
      <c r="UB65" s="18"/>
      <c r="UC65" s="18"/>
      <c r="UD65" s="18"/>
      <c r="UE65" s="18"/>
      <c r="UF65" s="18"/>
      <c r="UG65" s="18"/>
      <c r="UH65" s="18"/>
      <c r="UI65" s="18"/>
      <c r="UJ65" s="18"/>
      <c r="UK65" s="18"/>
      <c r="UL65" s="18"/>
      <c r="UM65" s="18"/>
      <c r="UN65" s="18"/>
      <c r="UO65" s="18"/>
      <c r="UP65" s="18"/>
      <c r="UQ65" s="18"/>
      <c r="UR65" s="18"/>
      <c r="US65" s="18"/>
      <c r="UT65" s="18"/>
      <c r="UU65" s="18"/>
      <c r="UV65" s="18"/>
      <c r="UW65" s="18"/>
      <c r="UX65" s="18"/>
      <c r="UY65" s="18"/>
      <c r="UZ65" s="18"/>
      <c r="VA65" s="18"/>
      <c r="VB65" s="18"/>
      <c r="VC65" s="18"/>
      <c r="VD65" s="18"/>
      <c r="VE65" s="18"/>
      <c r="VF65" s="18"/>
      <c r="VG65" s="18"/>
      <c r="VH65" s="18"/>
      <c r="VI65" s="18"/>
      <c r="VJ65" s="18"/>
      <c r="VK65" s="18"/>
      <c r="VL65" s="18"/>
      <c r="VM65" s="18"/>
      <c r="VN65" s="18"/>
      <c r="VO65" s="18"/>
      <c r="VP65" s="18"/>
      <c r="VQ65" s="18"/>
      <c r="VR65" s="18"/>
      <c r="VS65" s="18"/>
      <c r="VT65" s="18"/>
      <c r="VU65" s="18"/>
      <c r="VV65" s="18"/>
      <c r="VW65" s="18"/>
      <c r="VX65" s="18"/>
      <c r="VY65" s="18"/>
      <c r="VZ65" s="18"/>
      <c r="WA65" s="18"/>
      <c r="WB65" s="18"/>
      <c r="WC65" s="18"/>
      <c r="WD65" s="18"/>
      <c r="WE65" s="18"/>
      <c r="WF65" s="18"/>
      <c r="WG65" s="18"/>
      <c r="WH65" s="18"/>
      <c r="WI65" s="18"/>
      <c r="WJ65" s="18"/>
      <c r="WK65" s="18"/>
      <c r="WL65" s="18"/>
      <c r="WM65" s="18"/>
      <c r="WN65" s="18"/>
      <c r="WO65" s="18"/>
      <c r="WP65" s="18"/>
      <c r="WQ65" s="18"/>
      <c r="WR65" s="18"/>
      <c r="WS65" s="18"/>
      <c r="WT65" s="18"/>
      <c r="WU65" s="18"/>
      <c r="WV65" s="18"/>
      <c r="WW65" s="18"/>
      <c r="WX65" s="18"/>
      <c r="WY65" s="18"/>
      <c r="WZ65" s="18"/>
      <c r="XA65" s="18"/>
      <c r="XB65" s="18"/>
      <c r="XC65" s="18"/>
      <c r="XD65" s="18"/>
      <c r="XE65" s="18"/>
      <c r="XF65" s="18"/>
      <c r="XG65" s="18"/>
      <c r="XH65" s="18"/>
      <c r="XI65" s="18"/>
      <c r="XJ65" s="18"/>
      <c r="XK65" s="18"/>
      <c r="XL65" s="18"/>
      <c r="XM65" s="18"/>
      <c r="XN65" s="18"/>
      <c r="XO65" s="18"/>
      <c r="XP65" s="18"/>
      <c r="XQ65" s="18"/>
      <c r="XR65" s="18"/>
      <c r="XS65" s="18"/>
      <c r="XT65" s="18"/>
      <c r="XU65" s="18"/>
      <c r="XV65" s="18"/>
      <c r="XW65" s="18"/>
      <c r="XX65" s="18"/>
      <c r="XY65" s="18"/>
      <c r="XZ65" s="18"/>
      <c r="YA65" s="18"/>
      <c r="YB65" s="18"/>
      <c r="YC65" s="18"/>
      <c r="YD65" s="18"/>
      <c r="YE65" s="18"/>
      <c r="YF65" s="18"/>
      <c r="YG65" s="18"/>
      <c r="YH65" s="18"/>
      <c r="YI65" s="18"/>
      <c r="YJ65" s="18"/>
      <c r="YK65" s="18"/>
      <c r="YL65" s="18"/>
      <c r="YM65" s="18"/>
      <c r="YN65" s="18"/>
      <c r="YO65" s="18"/>
      <c r="YP65" s="18"/>
      <c r="YQ65" s="18"/>
      <c r="YR65" s="18"/>
      <c r="YS65" s="18"/>
      <c r="YT65" s="18"/>
      <c r="YU65" s="18"/>
      <c r="YV65" s="18"/>
      <c r="YW65" s="18"/>
      <c r="YX65" s="18"/>
      <c r="YY65" s="18"/>
      <c r="YZ65" s="18"/>
      <c r="ZA65" s="18"/>
      <c r="ZB65" s="18"/>
      <c r="ZC65" s="18"/>
      <c r="ZD65" s="18"/>
      <c r="ZE65" s="18"/>
      <c r="ZF65" s="18"/>
      <c r="ZG65" s="18"/>
      <c r="ZH65" s="18"/>
      <c r="ZI65" s="18"/>
      <c r="ZJ65" s="18"/>
      <c r="ZK65" s="18"/>
      <c r="ZL65" s="18"/>
      <c r="ZM65" s="18"/>
      <c r="ZN65" s="18"/>
      <c r="ZO65" s="18"/>
      <c r="ZP65" s="18"/>
      <c r="ZQ65" s="18"/>
      <c r="ZR65" s="18"/>
      <c r="ZS65" s="18"/>
      <c r="ZT65" s="18"/>
      <c r="ZU65" s="18"/>
      <c r="ZV65" s="18"/>
      <c r="ZW65" s="18"/>
      <c r="ZX65" s="18"/>
      <c r="ZY65" s="18"/>
      <c r="ZZ65" s="18"/>
      <c r="AAA65" s="18"/>
      <c r="AAB65" s="18"/>
      <c r="AAC65" s="18"/>
      <c r="AAD65" s="18"/>
      <c r="AAE65" s="18"/>
      <c r="AAF65" s="18"/>
      <c r="AAG65" s="18"/>
      <c r="AAH65" s="18"/>
      <c r="AAI65" s="18"/>
      <c r="AAJ65" s="18"/>
      <c r="AAK65" s="18"/>
      <c r="AAL65" s="18"/>
      <c r="AAM65" s="18"/>
      <c r="AAN65" s="18"/>
      <c r="AAO65" s="18"/>
      <c r="AAP65" s="18"/>
      <c r="AAQ65" s="18"/>
      <c r="AAR65" s="18"/>
      <c r="AAS65" s="18"/>
      <c r="AAT65" s="18"/>
      <c r="AAU65" s="18"/>
      <c r="AAV65" s="18"/>
      <c r="AAW65" s="18"/>
      <c r="AAX65" s="18"/>
      <c r="AAY65" s="18"/>
      <c r="AAZ65" s="18"/>
      <c r="ABA65" s="18"/>
      <c r="ABB65" s="18"/>
      <c r="ABC65" s="18"/>
      <c r="ABD65" s="18"/>
      <c r="ABE65" s="18"/>
      <c r="ABF65" s="18"/>
      <c r="ABG65" s="18"/>
      <c r="ABH65" s="18"/>
      <c r="ABI65" s="18"/>
      <c r="ABJ65" s="18"/>
      <c r="ABK65" s="18"/>
      <c r="ABL65" s="18"/>
      <c r="ABM65" s="18"/>
      <c r="ABN65" s="18"/>
      <c r="ABO65" s="18"/>
      <c r="ABP65" s="18"/>
      <c r="ABQ65" s="18"/>
      <c r="ABR65" s="18"/>
      <c r="ABS65" s="18"/>
      <c r="ABT65" s="18"/>
      <c r="ABU65" s="18"/>
      <c r="ABV65" s="18"/>
      <c r="ABW65" s="18"/>
      <c r="ABX65" s="18"/>
      <c r="ABY65" s="18"/>
      <c r="ABZ65" s="18"/>
      <c r="ACA65" s="18"/>
      <c r="ACB65" s="18"/>
      <c r="ACC65" s="18"/>
      <c r="ACD65" s="18"/>
      <c r="ACE65" s="18"/>
      <c r="ACF65" s="18"/>
      <c r="ACG65" s="18"/>
      <c r="ACH65" s="18"/>
      <c r="ACI65" s="18"/>
      <c r="ACJ65" s="18"/>
      <c r="ACK65" s="18"/>
      <c r="ACL65" s="18"/>
      <c r="ACM65" s="18"/>
      <c r="ACN65" s="18"/>
      <c r="ACO65" s="18"/>
      <c r="ACP65" s="18"/>
      <c r="ACQ65" s="18"/>
      <c r="ACR65" s="18"/>
      <c r="ACS65" s="18"/>
      <c r="ACT65" s="18"/>
      <c r="ACU65" s="18"/>
      <c r="ACV65" s="18"/>
      <c r="ACW65" s="18"/>
      <c r="ACX65" s="18"/>
      <c r="ACY65" s="18"/>
      <c r="ACZ65" s="18"/>
      <c r="ADA65" s="18"/>
      <c r="ADB65" s="18"/>
      <c r="ADC65" s="18"/>
      <c r="ADD65" s="18"/>
      <c r="ADE65" s="18"/>
      <c r="ADF65" s="18"/>
      <c r="ADG65" s="18"/>
      <c r="ADH65" s="18"/>
      <c r="ADI65" s="18"/>
      <c r="ADJ65" s="18"/>
      <c r="ADK65" s="18"/>
      <c r="ADL65" s="18"/>
      <c r="ADM65" s="18"/>
      <c r="ADN65" s="18"/>
      <c r="ADO65" s="18"/>
      <c r="ADP65" s="18"/>
      <c r="ADQ65" s="18"/>
      <c r="ADR65" s="18"/>
      <c r="ADS65" s="18"/>
      <c r="ADT65" s="18"/>
      <c r="ADU65" s="18"/>
      <c r="ADV65" s="18"/>
      <c r="ADW65" s="18"/>
      <c r="ADX65" s="18"/>
      <c r="ADY65" s="18"/>
      <c r="ADZ65" s="18"/>
      <c r="AEA65" s="18"/>
      <c r="AEB65" s="18"/>
      <c r="AEC65" s="18"/>
      <c r="AED65" s="18"/>
      <c r="AEE65" s="18"/>
      <c r="AEF65" s="18"/>
      <c r="AEG65" s="18"/>
      <c r="AEH65" s="18"/>
      <c r="AEI65" s="18"/>
      <c r="AEJ65" s="18"/>
      <c r="AEK65" s="18"/>
      <c r="AEL65" s="18"/>
      <c r="AEM65" s="18"/>
      <c r="AEN65" s="18"/>
      <c r="AEO65" s="18"/>
      <c r="AEP65" s="18"/>
      <c r="AEQ65" s="18"/>
      <c r="AER65" s="18"/>
      <c r="AES65" s="18"/>
      <c r="AET65" s="18"/>
      <c r="AEU65" s="18"/>
      <c r="AEV65" s="18"/>
      <c r="AEW65" s="18"/>
      <c r="AEX65" s="18"/>
      <c r="AEY65" s="18"/>
      <c r="AEZ65" s="18"/>
      <c r="AFA65" s="18"/>
      <c r="AFB65" s="18"/>
      <c r="AFC65" s="18"/>
      <c r="AFD65" s="18"/>
      <c r="AFE65" s="18"/>
      <c r="AFF65" s="18"/>
      <c r="AFG65" s="18"/>
      <c r="AFH65" s="18"/>
      <c r="AFI65" s="18"/>
      <c r="AFJ65" s="18"/>
      <c r="AFK65" s="18"/>
      <c r="AFL65" s="18"/>
      <c r="AFM65" s="18"/>
      <c r="AFN65" s="18"/>
      <c r="AFO65" s="18"/>
      <c r="AFP65" s="18"/>
      <c r="AFQ65" s="18"/>
      <c r="AFR65" s="18"/>
      <c r="AFS65" s="18"/>
      <c r="AFT65" s="18"/>
      <c r="AFU65" s="18"/>
      <c r="AFV65" s="18"/>
      <c r="AFW65" s="18"/>
      <c r="AFX65" s="18"/>
      <c r="AFY65" s="18"/>
      <c r="AFZ65" s="18"/>
      <c r="AGA65" s="18"/>
      <c r="AGB65" s="18"/>
      <c r="AGC65" s="18"/>
      <c r="AGD65" s="18"/>
      <c r="AGE65" s="18"/>
      <c r="AGF65" s="18"/>
      <c r="AGG65" s="18"/>
      <c r="AGH65" s="18"/>
      <c r="AGI65" s="18"/>
      <c r="AGJ65" s="18"/>
      <c r="AGK65" s="18"/>
      <c r="AGL65" s="18"/>
      <c r="AGM65" s="18"/>
      <c r="AGN65" s="18"/>
      <c r="AGO65" s="18"/>
      <c r="AGP65" s="18"/>
      <c r="AGQ65" s="18"/>
      <c r="AGR65" s="18"/>
      <c r="AGS65" s="18"/>
      <c r="AGT65" s="18"/>
      <c r="AGU65" s="18"/>
      <c r="AGV65" s="18"/>
      <c r="AGW65" s="18"/>
      <c r="AGX65" s="18"/>
      <c r="AGY65" s="18"/>
      <c r="AGZ65" s="18"/>
      <c r="AHA65" s="18"/>
      <c r="AHB65" s="18"/>
      <c r="AHC65" s="18"/>
      <c r="AHD65" s="18"/>
      <c r="AHE65" s="18"/>
      <c r="AHF65" s="18"/>
      <c r="AHG65" s="18"/>
      <c r="AHH65" s="18"/>
      <c r="AHI65" s="18"/>
      <c r="AHJ65" s="18"/>
      <c r="AHK65" s="18"/>
      <c r="AHL65" s="18"/>
      <c r="AHM65" s="18"/>
      <c r="AHN65" s="18"/>
      <c r="AHO65" s="18"/>
      <c r="AHP65" s="18"/>
      <c r="AHQ65" s="18"/>
      <c r="AHR65" s="18"/>
      <c r="AHS65" s="18"/>
      <c r="AHT65" s="18"/>
      <c r="AHU65" s="18"/>
      <c r="AHV65" s="18"/>
      <c r="AHW65" s="18"/>
      <c r="AHX65" s="18"/>
      <c r="AHY65" s="18"/>
      <c r="AHZ65" s="18"/>
      <c r="AIA65" s="18"/>
      <c r="AIB65" s="18"/>
      <c r="AIC65" s="18"/>
      <c r="AID65" s="18"/>
      <c r="AIE65" s="18"/>
      <c r="AIF65" s="18"/>
      <c r="AIG65" s="18"/>
      <c r="AIH65" s="18"/>
      <c r="AII65" s="18"/>
      <c r="AIJ65" s="18"/>
      <c r="AIK65" s="18"/>
      <c r="AIL65" s="18"/>
      <c r="AIM65" s="18"/>
      <c r="AIN65" s="18"/>
      <c r="AIO65" s="18"/>
      <c r="AIP65" s="18"/>
      <c r="AIQ65" s="18"/>
      <c r="AIR65" s="18"/>
      <c r="AIS65" s="18"/>
      <c r="AIT65" s="18"/>
      <c r="AIU65" s="18"/>
      <c r="AIV65" s="18"/>
      <c r="AIW65" s="18"/>
      <c r="AIX65" s="18"/>
      <c r="AIY65" s="18"/>
      <c r="AIZ65" s="18"/>
      <c r="AJA65" s="18"/>
      <c r="AJB65" s="18"/>
      <c r="AJC65" s="18"/>
      <c r="AJD65" s="18"/>
      <c r="AJE65" s="18"/>
      <c r="AJF65" s="18"/>
      <c r="AJG65" s="18"/>
      <c r="AJH65" s="18"/>
      <c r="AJI65" s="18"/>
      <c r="AJJ65" s="18"/>
      <c r="AJK65" s="18"/>
      <c r="AJL65" s="18"/>
      <c r="AJM65" s="18"/>
      <c r="AJN65" s="18"/>
      <c r="AJO65" s="18"/>
      <c r="AJP65" s="18"/>
      <c r="AJQ65" s="18"/>
      <c r="AJR65" s="18"/>
      <c r="AJS65" s="18"/>
      <c r="AJT65" s="18"/>
      <c r="AJU65" s="18"/>
      <c r="AJV65" s="18"/>
      <c r="AJW65" s="18"/>
      <c r="AJX65" s="18"/>
      <c r="AJY65" s="18"/>
      <c r="AJZ65" s="18"/>
      <c r="AKA65" s="18"/>
      <c r="AKB65" s="18"/>
      <c r="AKC65" s="18"/>
      <c r="AKD65" s="18"/>
      <c r="AKE65" s="18"/>
      <c r="AKF65" s="18"/>
      <c r="AKG65" s="18"/>
      <c r="AKH65" s="18"/>
      <c r="AKI65" s="18"/>
      <c r="AKJ65" s="18"/>
      <c r="AKK65" s="18"/>
      <c r="AKL65" s="18"/>
      <c r="AKM65" s="18"/>
      <c r="AKN65" s="18"/>
      <c r="AKO65" s="18"/>
      <c r="AKP65" s="18"/>
      <c r="AKQ65" s="18"/>
      <c r="AKR65" s="18"/>
      <c r="AKS65" s="18"/>
      <c r="AKT65" s="18"/>
      <c r="AKU65" s="18"/>
      <c r="AKV65" s="18"/>
      <c r="AKW65" s="18"/>
      <c r="AKX65" s="18"/>
      <c r="AKY65" s="18"/>
      <c r="AKZ65" s="18"/>
      <c r="ALA65" s="18"/>
      <c r="ALB65" s="18"/>
      <c r="ALC65" s="18"/>
      <c r="ALD65" s="18"/>
      <c r="ALE65" s="18"/>
      <c r="ALF65" s="18"/>
      <c r="ALG65" s="18"/>
      <c r="ALH65" s="18"/>
      <c r="ALI65" s="18"/>
      <c r="ALJ65" s="18"/>
      <c r="ALK65" s="18"/>
      <c r="ALL65" s="18"/>
      <c r="ALM65" s="18"/>
      <c r="ALN65" s="18"/>
      <c r="ALO65" s="18"/>
      <c r="ALP65" s="18"/>
      <c r="ALQ65" s="18"/>
      <c r="ALR65" s="18"/>
      <c r="ALS65" s="18"/>
      <c r="ALT65" s="18"/>
    </row>
    <row r="66" spans="1:1008">
      <c r="A66" s="251" t="s">
        <v>6307</v>
      </c>
      <c r="B66" s="290">
        <v>618</v>
      </c>
      <c r="C66" s="278" t="str">
        <f>(IF($A66="SINAPI",INDEX(SINAPI_NOV2020_NDES!$A$7:$H$6703,MATCH($B66,SINAPI_NOV2020_NDES!$A$7:$A$6703,0),2),IF($A66="GOINFRA",INDEX(#REF!,MATCH($B66,#REF!,0),2),(INDEX(COMPOS!$A$4:$G$390,MATCH($B66,COMPOS!$A$4:A$390,0),2)))))</f>
        <v>PORTA EM CHAPA P/WC - PRE-MOLD.PPM-4 C/FERRAGEM</v>
      </c>
      <c r="D66" s="274" t="str">
        <f>(IF($A66="SINAPI",INDEX(SINAPI_NOV2020_NDES!$A$7:$H$6790,MATCH($B66,SINAPI_NOV2020_NDES!$A$7:$A$6790,0),3),(INDEX(COMPOS!$A$4:$G$5000,MATCH($B66,COMPOS!$A$4:$A$5000,0),3))))</f>
        <v>M2</v>
      </c>
      <c r="E66" s="314">
        <v>10.199999999999999</v>
      </c>
      <c r="F66" s="279">
        <f>(IF($A66="SINAPI",INDEX(SINAPI_NOV2020_NDES!$A$7:$H$6703,MATCH($B66,SINAPI_NOV2020_NDES!$A$7:$A$6703,0),5),(INDEX(COMPOS!$A$4:$G$801,MATCH($B66,COMPOS!$A$4:A$801,0),4))))</f>
        <v>119.98615459999999</v>
      </c>
      <c r="G66" s="280">
        <f>(IF($A66="SINAPI",INDEX(SINAPI_NOV2020_NDES!$A$7:$H$6703,MATCH($B66,SINAPI_NOV2020_NDES!$A$7:$A$6703,0),6),(INDEX(COMPOS!$A$4:$G$801,MATCH($B66,COMPOS!$A$4:A$801,0),5))))</f>
        <v>207.95219399999996</v>
      </c>
      <c r="H66" s="280">
        <f>(IF($A66="SINAPI",INDEX(SINAPI_NOV2020_NDES!$A$7:$H$6703,MATCH($B66,SINAPI_NOV2020_NDES!$A$7:$A$6703,0),7),(INDEX(COMPOS!$A$4:$G$801,MATCH($B66,COMPOS!$A$4:A$801,0),6))))</f>
        <v>0</v>
      </c>
      <c r="I66" s="279">
        <f t="shared" ref="I66" si="16">SUM(F66:H66)</f>
        <v>327.93834859999993</v>
      </c>
      <c r="J66" s="276">
        <f t="shared" ref="J66" si="17">+I66*E66</f>
        <v>3344.9711557199989</v>
      </c>
      <c r="K66" s="191"/>
      <c r="L66" s="191"/>
      <c r="M66" s="191"/>
      <c r="N66" s="191"/>
      <c r="O66" s="262"/>
      <c r="P66" s="263"/>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c r="EF66" s="18"/>
      <c r="EG66" s="18"/>
      <c r="EH66" s="18"/>
      <c r="EI66" s="18"/>
      <c r="EJ66" s="18"/>
      <c r="EK66" s="18"/>
      <c r="EL66" s="18"/>
      <c r="EM66" s="18"/>
      <c r="EN66" s="18"/>
      <c r="EO66" s="18"/>
      <c r="EP66" s="18"/>
      <c r="EQ66" s="18"/>
      <c r="ER66" s="18"/>
      <c r="ES66" s="18"/>
      <c r="ET66" s="18"/>
      <c r="EU66" s="18"/>
      <c r="EV66" s="18"/>
      <c r="EW66" s="18"/>
      <c r="EX66" s="18"/>
      <c r="EY66" s="18"/>
      <c r="EZ66" s="18"/>
      <c r="FA66" s="18"/>
      <c r="FB66" s="18"/>
      <c r="FC66" s="18"/>
      <c r="FD66" s="18"/>
      <c r="FE66" s="18"/>
      <c r="FF66" s="18"/>
      <c r="FG66" s="18"/>
      <c r="FH66" s="18"/>
      <c r="FI66" s="18"/>
      <c r="FJ66" s="18"/>
      <c r="FK66" s="18"/>
      <c r="FL66" s="18"/>
      <c r="FM66" s="18"/>
      <c r="FN66" s="18"/>
      <c r="FO66" s="18"/>
      <c r="FP66" s="18"/>
      <c r="FQ66" s="18"/>
      <c r="FR66" s="18"/>
      <c r="FS66" s="18"/>
      <c r="FT66" s="18"/>
      <c r="FU66" s="18"/>
      <c r="FV66" s="18"/>
      <c r="FW66" s="18"/>
      <c r="FX66" s="18"/>
      <c r="FY66" s="18"/>
      <c r="FZ66" s="18"/>
      <c r="GA66" s="18"/>
      <c r="GB66" s="18"/>
      <c r="GC66" s="18"/>
      <c r="GD66" s="18"/>
      <c r="GE66" s="18"/>
      <c r="GF66" s="18"/>
      <c r="GG66" s="18"/>
      <c r="GH66" s="18"/>
      <c r="GI66" s="18"/>
      <c r="GJ66" s="18"/>
      <c r="GK66" s="18"/>
      <c r="GL66" s="18"/>
      <c r="GM66" s="18"/>
      <c r="GN66" s="18"/>
      <c r="GO66" s="18"/>
      <c r="GP66" s="18"/>
      <c r="GQ66" s="18"/>
      <c r="GR66" s="18"/>
      <c r="GS66" s="18"/>
      <c r="GT66" s="18"/>
      <c r="GU66" s="18"/>
      <c r="GV66" s="18"/>
      <c r="GW66" s="18"/>
      <c r="GX66" s="18"/>
      <c r="GY66" s="18"/>
      <c r="GZ66" s="18"/>
      <c r="HA66" s="18"/>
      <c r="HB66" s="18"/>
      <c r="HC66" s="18"/>
      <c r="HD66" s="18"/>
      <c r="HE66" s="18"/>
      <c r="HF66" s="18"/>
      <c r="HG66" s="18"/>
      <c r="HH66" s="18"/>
      <c r="HI66" s="18"/>
      <c r="HJ66" s="18"/>
      <c r="HK66" s="18"/>
      <c r="HL66" s="18"/>
      <c r="HM66" s="18"/>
      <c r="HN66" s="18"/>
      <c r="HO66" s="18"/>
      <c r="HP66" s="18"/>
      <c r="HQ66" s="18"/>
      <c r="HR66" s="18"/>
      <c r="HS66" s="18"/>
      <c r="HT66" s="18"/>
      <c r="HU66" s="18"/>
      <c r="HV66" s="18"/>
      <c r="HW66" s="18"/>
      <c r="HX66" s="18"/>
      <c r="HY66" s="18"/>
      <c r="HZ66" s="18"/>
      <c r="IA66" s="18"/>
      <c r="IB66" s="18"/>
      <c r="IC66" s="18"/>
      <c r="ID66" s="18"/>
      <c r="IE66" s="18"/>
      <c r="IF66" s="18"/>
      <c r="IG66" s="18"/>
      <c r="IH66" s="18"/>
      <c r="II66" s="18"/>
      <c r="IJ66" s="18"/>
      <c r="IK66" s="18"/>
      <c r="IL66" s="18"/>
      <c r="IM66" s="18"/>
      <c r="IN66" s="18"/>
      <c r="IO66" s="18"/>
      <c r="IP66" s="18"/>
      <c r="IQ66" s="18"/>
      <c r="IR66" s="18"/>
      <c r="IS66" s="18"/>
      <c r="IT66" s="18"/>
      <c r="IU66" s="18"/>
      <c r="IV66" s="18"/>
      <c r="IW66" s="18"/>
      <c r="IX66" s="18"/>
      <c r="IY66" s="18"/>
      <c r="IZ66" s="18"/>
      <c r="JA66" s="18"/>
      <c r="JB66" s="18"/>
      <c r="JC66" s="18"/>
      <c r="JD66" s="18"/>
      <c r="JE66" s="18"/>
      <c r="JF66" s="18"/>
      <c r="JG66" s="18"/>
      <c r="JH66" s="18"/>
      <c r="JI66" s="18"/>
      <c r="JJ66" s="18"/>
      <c r="JK66" s="18"/>
      <c r="JL66" s="18"/>
      <c r="JM66" s="18"/>
      <c r="JN66" s="18"/>
      <c r="JO66" s="18"/>
      <c r="JP66" s="18"/>
      <c r="JQ66" s="18"/>
      <c r="JR66" s="18"/>
      <c r="JS66" s="18"/>
      <c r="JT66" s="18"/>
      <c r="JU66" s="18"/>
      <c r="JV66" s="18"/>
      <c r="JW66" s="18"/>
      <c r="JX66" s="18"/>
      <c r="JY66" s="18"/>
      <c r="JZ66" s="18"/>
      <c r="KA66" s="18"/>
      <c r="KB66" s="18"/>
      <c r="KC66" s="18"/>
      <c r="KD66" s="18"/>
      <c r="KE66" s="18"/>
      <c r="KF66" s="18"/>
      <c r="KG66" s="18"/>
      <c r="KH66" s="18"/>
      <c r="KI66" s="18"/>
      <c r="KJ66" s="18"/>
      <c r="KK66" s="18"/>
      <c r="KL66" s="18"/>
      <c r="KM66" s="18"/>
      <c r="KN66" s="18"/>
      <c r="KO66" s="18"/>
      <c r="KP66" s="18"/>
      <c r="KQ66" s="18"/>
      <c r="KR66" s="18"/>
      <c r="KS66" s="18"/>
      <c r="KT66" s="18"/>
      <c r="KU66" s="18"/>
      <c r="KV66" s="18"/>
      <c r="KW66" s="18"/>
      <c r="KX66" s="18"/>
      <c r="KY66" s="18"/>
      <c r="KZ66" s="18"/>
      <c r="LA66" s="18"/>
      <c r="LB66" s="18"/>
      <c r="LC66" s="18"/>
      <c r="LD66" s="18"/>
      <c r="LE66" s="18"/>
      <c r="LF66" s="18"/>
      <c r="LG66" s="18"/>
      <c r="LH66" s="18"/>
      <c r="LI66" s="18"/>
      <c r="LJ66" s="18"/>
      <c r="LK66" s="18"/>
      <c r="LL66" s="18"/>
      <c r="LM66" s="18"/>
      <c r="LN66" s="18"/>
      <c r="LO66" s="18"/>
      <c r="LP66" s="18"/>
      <c r="LQ66" s="18"/>
      <c r="LR66" s="18"/>
      <c r="LS66" s="18"/>
      <c r="LT66" s="18"/>
      <c r="LU66" s="18"/>
      <c r="LV66" s="18"/>
      <c r="LW66" s="18"/>
      <c r="LX66" s="18"/>
      <c r="LY66" s="18"/>
      <c r="LZ66" s="18"/>
      <c r="MA66" s="18"/>
      <c r="MB66" s="18"/>
      <c r="MC66" s="18"/>
      <c r="MD66" s="18"/>
      <c r="ME66" s="18"/>
      <c r="MF66" s="18"/>
      <c r="MG66" s="18"/>
      <c r="MH66" s="18"/>
      <c r="MI66" s="18"/>
      <c r="MJ66" s="18"/>
      <c r="MK66" s="18"/>
      <c r="ML66" s="18"/>
      <c r="MM66" s="18"/>
      <c r="MN66" s="18"/>
      <c r="MO66" s="18"/>
      <c r="MP66" s="18"/>
      <c r="MQ66" s="18"/>
      <c r="MR66" s="18"/>
      <c r="MS66" s="18"/>
      <c r="MT66" s="18"/>
      <c r="MU66" s="18"/>
      <c r="MV66" s="18"/>
      <c r="MW66" s="18"/>
      <c r="MX66" s="18"/>
      <c r="MY66" s="18"/>
      <c r="MZ66" s="18"/>
      <c r="NA66" s="18"/>
      <c r="NB66" s="18"/>
      <c r="NC66" s="18"/>
      <c r="ND66" s="18"/>
      <c r="NE66" s="18"/>
      <c r="NF66" s="18"/>
      <c r="NG66" s="18"/>
      <c r="NH66" s="18"/>
      <c r="NI66" s="18"/>
      <c r="NJ66" s="18"/>
      <c r="NK66" s="18"/>
      <c r="NL66" s="18"/>
      <c r="NM66" s="18"/>
      <c r="NN66" s="18"/>
      <c r="NO66" s="18"/>
      <c r="NP66" s="18"/>
      <c r="NQ66" s="18"/>
      <c r="NR66" s="18"/>
      <c r="NS66" s="18"/>
      <c r="NT66" s="18"/>
      <c r="NU66" s="18"/>
      <c r="NV66" s="18"/>
      <c r="NW66" s="18"/>
      <c r="NX66" s="18"/>
      <c r="NY66" s="18"/>
      <c r="NZ66" s="18"/>
      <c r="OA66" s="18"/>
      <c r="OB66" s="18"/>
      <c r="OC66" s="18"/>
      <c r="OD66" s="18"/>
      <c r="OE66" s="18"/>
      <c r="OF66" s="18"/>
      <c r="OG66" s="18"/>
      <c r="OH66" s="18"/>
      <c r="OI66" s="18"/>
      <c r="OJ66" s="18"/>
      <c r="OK66" s="18"/>
      <c r="OL66" s="18"/>
      <c r="OM66" s="18"/>
      <c r="ON66" s="18"/>
      <c r="OO66" s="18"/>
      <c r="OP66" s="18"/>
      <c r="OQ66" s="18"/>
      <c r="OR66" s="18"/>
      <c r="OS66" s="18"/>
      <c r="OT66" s="18"/>
      <c r="OU66" s="18"/>
      <c r="OV66" s="18"/>
      <c r="OW66" s="18"/>
      <c r="OX66" s="18"/>
      <c r="OY66" s="18"/>
      <c r="OZ66" s="18"/>
      <c r="PA66" s="18"/>
      <c r="PB66" s="18"/>
      <c r="PC66" s="18"/>
      <c r="PD66" s="18"/>
      <c r="PE66" s="18"/>
      <c r="PF66" s="18"/>
      <c r="PG66" s="18"/>
      <c r="PH66" s="18"/>
      <c r="PI66" s="18"/>
      <c r="PJ66" s="18"/>
      <c r="PK66" s="18"/>
      <c r="PL66" s="18"/>
      <c r="PM66" s="18"/>
      <c r="PN66" s="18"/>
      <c r="PO66" s="18"/>
      <c r="PP66" s="18"/>
      <c r="PQ66" s="18"/>
      <c r="PR66" s="18"/>
      <c r="PS66" s="18"/>
      <c r="PT66" s="18"/>
      <c r="PU66" s="18"/>
      <c r="PV66" s="18"/>
      <c r="PW66" s="18"/>
      <c r="PX66" s="18"/>
      <c r="PY66" s="18"/>
      <c r="PZ66" s="18"/>
      <c r="QA66" s="18"/>
      <c r="QB66" s="18"/>
      <c r="QC66" s="18"/>
      <c r="QD66" s="18"/>
      <c r="QE66" s="18"/>
      <c r="QF66" s="18"/>
      <c r="QG66" s="18"/>
      <c r="QH66" s="18"/>
      <c r="QI66" s="18"/>
      <c r="QJ66" s="18"/>
      <c r="QK66" s="18"/>
      <c r="QL66" s="18"/>
      <c r="QM66" s="18"/>
      <c r="QN66" s="18"/>
      <c r="QO66" s="18"/>
      <c r="QP66" s="18"/>
      <c r="QQ66" s="18"/>
      <c r="QR66" s="18"/>
      <c r="QS66" s="18"/>
      <c r="QT66" s="18"/>
      <c r="QU66" s="18"/>
      <c r="QV66" s="18"/>
      <c r="QW66" s="18"/>
      <c r="QX66" s="18"/>
      <c r="QY66" s="18"/>
      <c r="QZ66" s="18"/>
      <c r="RA66" s="18"/>
      <c r="RB66" s="18"/>
      <c r="RC66" s="18"/>
      <c r="RD66" s="18"/>
      <c r="RE66" s="18"/>
      <c r="RF66" s="18"/>
      <c r="RG66" s="18"/>
      <c r="RH66" s="18"/>
      <c r="RI66" s="18"/>
      <c r="RJ66" s="18"/>
      <c r="RK66" s="18"/>
      <c r="RL66" s="18"/>
      <c r="RM66" s="18"/>
      <c r="RN66" s="18"/>
      <c r="RO66" s="18"/>
      <c r="RP66" s="18"/>
      <c r="RQ66" s="18"/>
      <c r="RR66" s="18"/>
      <c r="RS66" s="18"/>
      <c r="RT66" s="18"/>
      <c r="RU66" s="18"/>
      <c r="RV66" s="18"/>
      <c r="RW66" s="18"/>
      <c r="RX66" s="18"/>
      <c r="RY66" s="18"/>
      <c r="RZ66" s="18"/>
      <c r="SA66" s="18"/>
      <c r="SB66" s="18"/>
      <c r="SC66" s="18"/>
      <c r="SD66" s="18"/>
      <c r="SE66" s="18"/>
      <c r="SF66" s="18"/>
      <c r="SG66" s="18"/>
      <c r="SH66" s="18"/>
      <c r="SI66" s="18"/>
      <c r="SJ66" s="18"/>
      <c r="SK66" s="18"/>
      <c r="SL66" s="18"/>
      <c r="SM66" s="18"/>
      <c r="SN66" s="18"/>
      <c r="SO66" s="18"/>
      <c r="SP66" s="18"/>
      <c r="SQ66" s="18"/>
      <c r="SR66" s="18"/>
      <c r="SS66" s="18"/>
      <c r="ST66" s="18"/>
      <c r="SU66" s="18"/>
      <c r="SV66" s="18"/>
      <c r="SW66" s="18"/>
      <c r="SX66" s="18"/>
      <c r="SY66" s="18"/>
      <c r="SZ66" s="18"/>
      <c r="TA66" s="18"/>
      <c r="TB66" s="18"/>
      <c r="TC66" s="18"/>
      <c r="TD66" s="18"/>
      <c r="TE66" s="18"/>
      <c r="TF66" s="18"/>
      <c r="TG66" s="18"/>
      <c r="TH66" s="18"/>
      <c r="TI66" s="18"/>
      <c r="TJ66" s="18"/>
      <c r="TK66" s="18"/>
      <c r="TL66" s="18"/>
      <c r="TM66" s="18"/>
      <c r="TN66" s="18"/>
      <c r="TO66" s="18"/>
      <c r="TP66" s="18"/>
      <c r="TQ66" s="18"/>
      <c r="TR66" s="18"/>
      <c r="TS66" s="18"/>
      <c r="TT66" s="18"/>
      <c r="TU66" s="18"/>
      <c r="TV66" s="18"/>
      <c r="TW66" s="18"/>
      <c r="TX66" s="18"/>
      <c r="TY66" s="18"/>
      <c r="TZ66" s="18"/>
      <c r="UA66" s="18"/>
      <c r="UB66" s="18"/>
      <c r="UC66" s="18"/>
      <c r="UD66" s="18"/>
      <c r="UE66" s="18"/>
      <c r="UF66" s="18"/>
      <c r="UG66" s="18"/>
      <c r="UH66" s="18"/>
      <c r="UI66" s="18"/>
      <c r="UJ66" s="18"/>
      <c r="UK66" s="18"/>
      <c r="UL66" s="18"/>
      <c r="UM66" s="18"/>
      <c r="UN66" s="18"/>
      <c r="UO66" s="18"/>
      <c r="UP66" s="18"/>
      <c r="UQ66" s="18"/>
      <c r="UR66" s="18"/>
      <c r="US66" s="18"/>
      <c r="UT66" s="18"/>
      <c r="UU66" s="18"/>
      <c r="UV66" s="18"/>
      <c r="UW66" s="18"/>
      <c r="UX66" s="18"/>
      <c r="UY66" s="18"/>
      <c r="UZ66" s="18"/>
      <c r="VA66" s="18"/>
      <c r="VB66" s="18"/>
      <c r="VC66" s="18"/>
      <c r="VD66" s="18"/>
      <c r="VE66" s="18"/>
      <c r="VF66" s="18"/>
      <c r="VG66" s="18"/>
      <c r="VH66" s="18"/>
      <c r="VI66" s="18"/>
      <c r="VJ66" s="18"/>
      <c r="VK66" s="18"/>
      <c r="VL66" s="18"/>
      <c r="VM66" s="18"/>
      <c r="VN66" s="18"/>
      <c r="VO66" s="18"/>
      <c r="VP66" s="18"/>
      <c r="VQ66" s="18"/>
      <c r="VR66" s="18"/>
      <c r="VS66" s="18"/>
      <c r="VT66" s="18"/>
      <c r="VU66" s="18"/>
      <c r="VV66" s="18"/>
      <c r="VW66" s="18"/>
      <c r="VX66" s="18"/>
      <c r="VY66" s="18"/>
      <c r="VZ66" s="18"/>
      <c r="WA66" s="18"/>
      <c r="WB66" s="18"/>
      <c r="WC66" s="18"/>
      <c r="WD66" s="18"/>
      <c r="WE66" s="18"/>
      <c r="WF66" s="18"/>
      <c r="WG66" s="18"/>
      <c r="WH66" s="18"/>
      <c r="WI66" s="18"/>
      <c r="WJ66" s="18"/>
      <c r="WK66" s="18"/>
      <c r="WL66" s="18"/>
      <c r="WM66" s="18"/>
      <c r="WN66" s="18"/>
      <c r="WO66" s="18"/>
      <c r="WP66" s="18"/>
      <c r="WQ66" s="18"/>
      <c r="WR66" s="18"/>
      <c r="WS66" s="18"/>
      <c r="WT66" s="18"/>
      <c r="WU66" s="18"/>
      <c r="WV66" s="18"/>
      <c r="WW66" s="18"/>
      <c r="WX66" s="18"/>
      <c r="WY66" s="18"/>
      <c r="WZ66" s="18"/>
      <c r="XA66" s="18"/>
      <c r="XB66" s="18"/>
      <c r="XC66" s="18"/>
      <c r="XD66" s="18"/>
      <c r="XE66" s="18"/>
      <c r="XF66" s="18"/>
      <c r="XG66" s="18"/>
      <c r="XH66" s="18"/>
      <c r="XI66" s="18"/>
      <c r="XJ66" s="18"/>
      <c r="XK66" s="18"/>
      <c r="XL66" s="18"/>
      <c r="XM66" s="18"/>
      <c r="XN66" s="18"/>
      <c r="XO66" s="18"/>
      <c r="XP66" s="18"/>
      <c r="XQ66" s="18"/>
      <c r="XR66" s="18"/>
      <c r="XS66" s="18"/>
      <c r="XT66" s="18"/>
      <c r="XU66" s="18"/>
      <c r="XV66" s="18"/>
      <c r="XW66" s="18"/>
      <c r="XX66" s="18"/>
      <c r="XY66" s="18"/>
      <c r="XZ66" s="18"/>
      <c r="YA66" s="18"/>
      <c r="YB66" s="18"/>
      <c r="YC66" s="18"/>
      <c r="YD66" s="18"/>
      <c r="YE66" s="18"/>
      <c r="YF66" s="18"/>
      <c r="YG66" s="18"/>
      <c r="YH66" s="18"/>
      <c r="YI66" s="18"/>
      <c r="YJ66" s="18"/>
      <c r="YK66" s="18"/>
      <c r="YL66" s="18"/>
      <c r="YM66" s="18"/>
      <c r="YN66" s="18"/>
      <c r="YO66" s="18"/>
      <c r="YP66" s="18"/>
      <c r="YQ66" s="18"/>
      <c r="YR66" s="18"/>
      <c r="YS66" s="18"/>
      <c r="YT66" s="18"/>
      <c r="YU66" s="18"/>
      <c r="YV66" s="18"/>
      <c r="YW66" s="18"/>
      <c r="YX66" s="18"/>
      <c r="YY66" s="18"/>
      <c r="YZ66" s="18"/>
      <c r="ZA66" s="18"/>
      <c r="ZB66" s="18"/>
      <c r="ZC66" s="18"/>
      <c r="ZD66" s="18"/>
      <c r="ZE66" s="18"/>
      <c r="ZF66" s="18"/>
      <c r="ZG66" s="18"/>
      <c r="ZH66" s="18"/>
      <c r="ZI66" s="18"/>
      <c r="ZJ66" s="18"/>
      <c r="ZK66" s="18"/>
      <c r="ZL66" s="18"/>
      <c r="ZM66" s="18"/>
      <c r="ZN66" s="18"/>
      <c r="ZO66" s="18"/>
      <c r="ZP66" s="18"/>
      <c r="ZQ66" s="18"/>
      <c r="ZR66" s="18"/>
      <c r="ZS66" s="18"/>
      <c r="ZT66" s="18"/>
      <c r="ZU66" s="18"/>
      <c r="ZV66" s="18"/>
      <c r="ZW66" s="18"/>
      <c r="ZX66" s="18"/>
      <c r="ZY66" s="18"/>
      <c r="ZZ66" s="18"/>
      <c r="AAA66" s="18"/>
      <c r="AAB66" s="18"/>
      <c r="AAC66" s="18"/>
      <c r="AAD66" s="18"/>
      <c r="AAE66" s="18"/>
      <c r="AAF66" s="18"/>
      <c r="AAG66" s="18"/>
      <c r="AAH66" s="18"/>
      <c r="AAI66" s="18"/>
      <c r="AAJ66" s="18"/>
      <c r="AAK66" s="18"/>
      <c r="AAL66" s="18"/>
      <c r="AAM66" s="18"/>
      <c r="AAN66" s="18"/>
      <c r="AAO66" s="18"/>
      <c r="AAP66" s="18"/>
      <c r="AAQ66" s="18"/>
      <c r="AAR66" s="18"/>
      <c r="AAS66" s="18"/>
      <c r="AAT66" s="18"/>
      <c r="AAU66" s="18"/>
      <c r="AAV66" s="18"/>
      <c r="AAW66" s="18"/>
      <c r="AAX66" s="18"/>
      <c r="AAY66" s="18"/>
      <c r="AAZ66" s="18"/>
      <c r="ABA66" s="18"/>
      <c r="ABB66" s="18"/>
      <c r="ABC66" s="18"/>
      <c r="ABD66" s="18"/>
      <c r="ABE66" s="18"/>
      <c r="ABF66" s="18"/>
      <c r="ABG66" s="18"/>
      <c r="ABH66" s="18"/>
      <c r="ABI66" s="18"/>
      <c r="ABJ66" s="18"/>
      <c r="ABK66" s="18"/>
      <c r="ABL66" s="18"/>
      <c r="ABM66" s="18"/>
      <c r="ABN66" s="18"/>
      <c r="ABO66" s="18"/>
      <c r="ABP66" s="18"/>
      <c r="ABQ66" s="18"/>
      <c r="ABR66" s="18"/>
      <c r="ABS66" s="18"/>
      <c r="ABT66" s="18"/>
      <c r="ABU66" s="18"/>
      <c r="ABV66" s="18"/>
      <c r="ABW66" s="18"/>
      <c r="ABX66" s="18"/>
      <c r="ABY66" s="18"/>
      <c r="ABZ66" s="18"/>
      <c r="ACA66" s="18"/>
      <c r="ACB66" s="18"/>
      <c r="ACC66" s="18"/>
      <c r="ACD66" s="18"/>
      <c r="ACE66" s="18"/>
      <c r="ACF66" s="18"/>
      <c r="ACG66" s="18"/>
      <c r="ACH66" s="18"/>
      <c r="ACI66" s="18"/>
      <c r="ACJ66" s="18"/>
      <c r="ACK66" s="18"/>
      <c r="ACL66" s="18"/>
      <c r="ACM66" s="18"/>
      <c r="ACN66" s="18"/>
      <c r="ACO66" s="18"/>
      <c r="ACP66" s="18"/>
      <c r="ACQ66" s="18"/>
      <c r="ACR66" s="18"/>
      <c r="ACS66" s="18"/>
      <c r="ACT66" s="18"/>
      <c r="ACU66" s="18"/>
      <c r="ACV66" s="18"/>
      <c r="ACW66" s="18"/>
      <c r="ACX66" s="18"/>
      <c r="ACY66" s="18"/>
      <c r="ACZ66" s="18"/>
      <c r="ADA66" s="18"/>
      <c r="ADB66" s="18"/>
      <c r="ADC66" s="18"/>
      <c r="ADD66" s="18"/>
      <c r="ADE66" s="18"/>
      <c r="ADF66" s="18"/>
      <c r="ADG66" s="18"/>
      <c r="ADH66" s="18"/>
      <c r="ADI66" s="18"/>
      <c r="ADJ66" s="18"/>
      <c r="ADK66" s="18"/>
      <c r="ADL66" s="18"/>
      <c r="ADM66" s="18"/>
      <c r="ADN66" s="18"/>
      <c r="ADO66" s="18"/>
      <c r="ADP66" s="18"/>
      <c r="ADQ66" s="18"/>
      <c r="ADR66" s="18"/>
      <c r="ADS66" s="18"/>
      <c r="ADT66" s="18"/>
      <c r="ADU66" s="18"/>
      <c r="ADV66" s="18"/>
      <c r="ADW66" s="18"/>
      <c r="ADX66" s="18"/>
      <c r="ADY66" s="18"/>
      <c r="ADZ66" s="18"/>
      <c r="AEA66" s="18"/>
      <c r="AEB66" s="18"/>
      <c r="AEC66" s="18"/>
      <c r="AED66" s="18"/>
      <c r="AEE66" s="18"/>
      <c r="AEF66" s="18"/>
      <c r="AEG66" s="18"/>
      <c r="AEH66" s="18"/>
      <c r="AEI66" s="18"/>
      <c r="AEJ66" s="18"/>
      <c r="AEK66" s="18"/>
      <c r="AEL66" s="18"/>
      <c r="AEM66" s="18"/>
      <c r="AEN66" s="18"/>
      <c r="AEO66" s="18"/>
      <c r="AEP66" s="18"/>
      <c r="AEQ66" s="18"/>
      <c r="AER66" s="18"/>
      <c r="AES66" s="18"/>
      <c r="AET66" s="18"/>
      <c r="AEU66" s="18"/>
      <c r="AEV66" s="18"/>
      <c r="AEW66" s="18"/>
      <c r="AEX66" s="18"/>
      <c r="AEY66" s="18"/>
      <c r="AEZ66" s="18"/>
      <c r="AFA66" s="18"/>
      <c r="AFB66" s="18"/>
      <c r="AFC66" s="18"/>
      <c r="AFD66" s="18"/>
      <c r="AFE66" s="18"/>
      <c r="AFF66" s="18"/>
      <c r="AFG66" s="18"/>
      <c r="AFH66" s="18"/>
      <c r="AFI66" s="18"/>
      <c r="AFJ66" s="18"/>
      <c r="AFK66" s="18"/>
      <c r="AFL66" s="18"/>
      <c r="AFM66" s="18"/>
      <c r="AFN66" s="18"/>
      <c r="AFO66" s="18"/>
      <c r="AFP66" s="18"/>
      <c r="AFQ66" s="18"/>
      <c r="AFR66" s="18"/>
      <c r="AFS66" s="18"/>
      <c r="AFT66" s="18"/>
      <c r="AFU66" s="18"/>
      <c r="AFV66" s="18"/>
      <c r="AFW66" s="18"/>
      <c r="AFX66" s="18"/>
      <c r="AFY66" s="18"/>
      <c r="AFZ66" s="18"/>
      <c r="AGA66" s="18"/>
      <c r="AGB66" s="18"/>
      <c r="AGC66" s="18"/>
      <c r="AGD66" s="18"/>
      <c r="AGE66" s="18"/>
      <c r="AGF66" s="18"/>
      <c r="AGG66" s="18"/>
      <c r="AGH66" s="18"/>
      <c r="AGI66" s="18"/>
      <c r="AGJ66" s="18"/>
      <c r="AGK66" s="18"/>
      <c r="AGL66" s="18"/>
      <c r="AGM66" s="18"/>
      <c r="AGN66" s="18"/>
      <c r="AGO66" s="18"/>
      <c r="AGP66" s="18"/>
      <c r="AGQ66" s="18"/>
      <c r="AGR66" s="18"/>
      <c r="AGS66" s="18"/>
      <c r="AGT66" s="18"/>
      <c r="AGU66" s="18"/>
      <c r="AGV66" s="18"/>
      <c r="AGW66" s="18"/>
      <c r="AGX66" s="18"/>
      <c r="AGY66" s="18"/>
      <c r="AGZ66" s="18"/>
      <c r="AHA66" s="18"/>
      <c r="AHB66" s="18"/>
      <c r="AHC66" s="18"/>
      <c r="AHD66" s="18"/>
      <c r="AHE66" s="18"/>
      <c r="AHF66" s="18"/>
      <c r="AHG66" s="18"/>
      <c r="AHH66" s="18"/>
      <c r="AHI66" s="18"/>
      <c r="AHJ66" s="18"/>
      <c r="AHK66" s="18"/>
      <c r="AHL66" s="18"/>
      <c r="AHM66" s="18"/>
      <c r="AHN66" s="18"/>
      <c r="AHO66" s="18"/>
      <c r="AHP66" s="18"/>
      <c r="AHQ66" s="18"/>
      <c r="AHR66" s="18"/>
      <c r="AHS66" s="18"/>
      <c r="AHT66" s="18"/>
      <c r="AHU66" s="18"/>
      <c r="AHV66" s="18"/>
      <c r="AHW66" s="18"/>
      <c r="AHX66" s="18"/>
      <c r="AHY66" s="18"/>
      <c r="AHZ66" s="18"/>
      <c r="AIA66" s="18"/>
      <c r="AIB66" s="18"/>
      <c r="AIC66" s="18"/>
      <c r="AID66" s="18"/>
      <c r="AIE66" s="18"/>
      <c r="AIF66" s="18"/>
      <c r="AIG66" s="18"/>
      <c r="AIH66" s="18"/>
      <c r="AII66" s="18"/>
      <c r="AIJ66" s="18"/>
      <c r="AIK66" s="18"/>
      <c r="AIL66" s="18"/>
      <c r="AIM66" s="18"/>
      <c r="AIN66" s="18"/>
      <c r="AIO66" s="18"/>
      <c r="AIP66" s="18"/>
      <c r="AIQ66" s="18"/>
      <c r="AIR66" s="18"/>
      <c r="AIS66" s="18"/>
      <c r="AIT66" s="18"/>
      <c r="AIU66" s="18"/>
      <c r="AIV66" s="18"/>
      <c r="AIW66" s="18"/>
      <c r="AIX66" s="18"/>
      <c r="AIY66" s="18"/>
      <c r="AIZ66" s="18"/>
      <c r="AJA66" s="18"/>
      <c r="AJB66" s="18"/>
      <c r="AJC66" s="18"/>
      <c r="AJD66" s="18"/>
      <c r="AJE66" s="18"/>
      <c r="AJF66" s="18"/>
      <c r="AJG66" s="18"/>
      <c r="AJH66" s="18"/>
      <c r="AJI66" s="18"/>
      <c r="AJJ66" s="18"/>
      <c r="AJK66" s="18"/>
      <c r="AJL66" s="18"/>
      <c r="AJM66" s="18"/>
      <c r="AJN66" s="18"/>
      <c r="AJO66" s="18"/>
      <c r="AJP66" s="18"/>
      <c r="AJQ66" s="18"/>
      <c r="AJR66" s="18"/>
      <c r="AJS66" s="18"/>
      <c r="AJT66" s="18"/>
      <c r="AJU66" s="18"/>
      <c r="AJV66" s="18"/>
      <c r="AJW66" s="18"/>
      <c r="AJX66" s="18"/>
      <c r="AJY66" s="18"/>
      <c r="AJZ66" s="18"/>
      <c r="AKA66" s="18"/>
      <c r="AKB66" s="18"/>
      <c r="AKC66" s="18"/>
      <c r="AKD66" s="18"/>
      <c r="AKE66" s="18"/>
      <c r="AKF66" s="18"/>
      <c r="AKG66" s="18"/>
      <c r="AKH66" s="18"/>
      <c r="AKI66" s="18"/>
      <c r="AKJ66" s="18"/>
      <c r="AKK66" s="18"/>
      <c r="AKL66" s="18"/>
      <c r="AKM66" s="18"/>
      <c r="AKN66" s="18"/>
      <c r="AKO66" s="18"/>
      <c r="AKP66" s="18"/>
      <c r="AKQ66" s="18"/>
      <c r="AKR66" s="18"/>
      <c r="AKS66" s="18"/>
      <c r="AKT66" s="18"/>
      <c r="AKU66" s="18"/>
      <c r="AKV66" s="18"/>
      <c r="AKW66" s="18"/>
      <c r="AKX66" s="18"/>
      <c r="AKY66" s="18"/>
      <c r="AKZ66" s="18"/>
      <c r="ALA66" s="18"/>
      <c r="ALB66" s="18"/>
      <c r="ALC66" s="18"/>
      <c r="ALD66" s="18"/>
      <c r="ALE66" s="18"/>
      <c r="ALF66" s="18"/>
      <c r="ALG66" s="18"/>
      <c r="ALH66" s="18"/>
      <c r="ALI66" s="18"/>
      <c r="ALJ66" s="18"/>
      <c r="ALK66" s="18"/>
      <c r="ALL66" s="18"/>
      <c r="ALM66" s="18"/>
      <c r="ALN66" s="18"/>
      <c r="ALO66" s="18"/>
      <c r="ALP66" s="18"/>
      <c r="ALQ66" s="18"/>
      <c r="ALR66" s="18"/>
      <c r="ALS66" s="18"/>
      <c r="ALT66" s="18"/>
    </row>
    <row r="67" spans="1:1008">
      <c r="A67" s="251" t="s">
        <v>6307</v>
      </c>
      <c r="B67" s="290">
        <v>427</v>
      </c>
      <c r="C67" s="278" t="str">
        <f>(IF($A67="SINAPI",INDEX(SINAPI_NOV2020_NDES!$A$7:$H$6703,MATCH($B67,SINAPI_NOV2020_NDES!$A$7:$A$6703,0),2),IF($A67="GOINFRA",INDEX(#REF!,MATCH($B67,#REF!,0),2),(INDEX(COMPOS!$A$4:$G$390,MATCH($B67,COMPOS!$A$4:A$390,0),2)))))</f>
        <v>PORTA DE ABRIR EM CHAPA PF-1 COM FERRAGENS</v>
      </c>
      <c r="D67" s="274" t="str">
        <f>(IF($A67="SINAPI",INDEX(SINAPI_NOV2020_NDES!$A$7:$H$6790,MATCH($B67,SINAPI_NOV2020_NDES!$A$7:$A$6790,0),3),(INDEX(COMPOS!$A$4:$G$5000,MATCH($B67,COMPOS!$A$4:$A$5000,0),3))))</f>
        <v>M2</v>
      </c>
      <c r="E67" s="314">
        <v>3.78</v>
      </c>
      <c r="F67" s="279">
        <f>(IF($A67="SINAPI",INDEX(SINAPI_NOV2020_NDES!$A$7:$H$6703,MATCH($B67,SINAPI_NOV2020_NDES!$A$7:$A$6703,0),5),(INDEX(COMPOS!$A$4:$G$801,MATCH($B67,COMPOS!$A$4:A$801,0),4))))</f>
        <v>209.359869</v>
      </c>
      <c r="G67" s="280">
        <f>(IF($A67="SINAPI",INDEX(SINAPI_NOV2020_NDES!$A$7:$H$6703,MATCH($B67,SINAPI_NOV2020_NDES!$A$7:$A$6703,0),6),(INDEX(COMPOS!$A$4:$G$801,MATCH($B67,COMPOS!$A$4:A$801,0),5))))</f>
        <v>366.39710000000002</v>
      </c>
      <c r="H67" s="280">
        <f>(IF($A67="SINAPI",INDEX(SINAPI_NOV2020_NDES!$A$7:$H$6703,MATCH($B67,SINAPI_NOV2020_NDES!$A$7:$A$6703,0),7),(INDEX(COMPOS!$A$4:$G$801,MATCH($B67,COMPOS!$A$4:A$801,0),6))))</f>
        <v>0</v>
      </c>
      <c r="I67" s="279">
        <f t="shared" ref="I67:I68" si="18">SUM(F67:H67)</f>
        <v>575.75696900000003</v>
      </c>
      <c r="J67" s="276">
        <f t="shared" ref="J67:J68" si="19">+I67*E67</f>
        <v>2176.3613428200001</v>
      </c>
      <c r="K67" s="191"/>
      <c r="L67" s="191"/>
      <c r="M67" s="191"/>
      <c r="N67" s="191"/>
      <c r="O67" s="262"/>
      <c r="P67" s="263"/>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c r="EF67" s="18"/>
      <c r="EG67" s="18"/>
      <c r="EH67" s="18"/>
      <c r="EI67" s="18"/>
      <c r="EJ67" s="18"/>
      <c r="EK67" s="18"/>
      <c r="EL67" s="18"/>
      <c r="EM67" s="18"/>
      <c r="EN67" s="18"/>
      <c r="EO67" s="18"/>
      <c r="EP67" s="18"/>
      <c r="EQ67" s="18"/>
      <c r="ER67" s="18"/>
      <c r="ES67" s="18"/>
      <c r="ET67" s="18"/>
      <c r="EU67" s="18"/>
      <c r="EV67" s="18"/>
      <c r="EW67" s="18"/>
      <c r="EX67" s="18"/>
      <c r="EY67" s="18"/>
      <c r="EZ67" s="18"/>
      <c r="FA67" s="18"/>
      <c r="FB67" s="18"/>
      <c r="FC67" s="18"/>
      <c r="FD67" s="18"/>
      <c r="FE67" s="18"/>
      <c r="FF67" s="18"/>
      <c r="FG67" s="18"/>
      <c r="FH67" s="18"/>
      <c r="FI67" s="18"/>
      <c r="FJ67" s="18"/>
      <c r="FK67" s="18"/>
      <c r="FL67" s="18"/>
      <c r="FM67" s="18"/>
      <c r="FN67" s="18"/>
      <c r="FO67" s="18"/>
      <c r="FP67" s="18"/>
      <c r="FQ67" s="18"/>
      <c r="FR67" s="18"/>
      <c r="FS67" s="18"/>
      <c r="FT67" s="18"/>
      <c r="FU67" s="18"/>
      <c r="FV67" s="18"/>
      <c r="FW67" s="18"/>
      <c r="FX67" s="18"/>
      <c r="FY67" s="18"/>
      <c r="FZ67" s="18"/>
      <c r="GA67" s="18"/>
      <c r="GB67" s="18"/>
      <c r="GC67" s="18"/>
      <c r="GD67" s="18"/>
      <c r="GE67" s="18"/>
      <c r="GF67" s="18"/>
      <c r="GG67" s="18"/>
      <c r="GH67" s="18"/>
      <c r="GI67" s="18"/>
      <c r="GJ67" s="18"/>
      <c r="GK67" s="18"/>
      <c r="GL67" s="18"/>
      <c r="GM67" s="18"/>
      <c r="GN67" s="18"/>
      <c r="GO67" s="18"/>
      <c r="GP67" s="18"/>
      <c r="GQ67" s="18"/>
      <c r="GR67" s="18"/>
      <c r="GS67" s="18"/>
      <c r="GT67" s="18"/>
      <c r="GU67" s="18"/>
      <c r="GV67" s="18"/>
      <c r="GW67" s="18"/>
      <c r="GX67" s="18"/>
      <c r="GY67" s="18"/>
      <c r="GZ67" s="18"/>
      <c r="HA67" s="18"/>
      <c r="HB67" s="18"/>
      <c r="HC67" s="18"/>
      <c r="HD67" s="18"/>
      <c r="HE67" s="18"/>
      <c r="HF67" s="18"/>
      <c r="HG67" s="18"/>
      <c r="HH67" s="18"/>
      <c r="HI67" s="18"/>
      <c r="HJ67" s="18"/>
      <c r="HK67" s="18"/>
      <c r="HL67" s="18"/>
      <c r="HM67" s="18"/>
      <c r="HN67" s="18"/>
      <c r="HO67" s="18"/>
      <c r="HP67" s="18"/>
      <c r="HQ67" s="18"/>
      <c r="HR67" s="18"/>
      <c r="HS67" s="18"/>
      <c r="HT67" s="18"/>
      <c r="HU67" s="18"/>
      <c r="HV67" s="18"/>
      <c r="HW67" s="18"/>
      <c r="HX67" s="18"/>
      <c r="HY67" s="18"/>
      <c r="HZ67" s="18"/>
      <c r="IA67" s="18"/>
      <c r="IB67" s="18"/>
      <c r="IC67" s="18"/>
      <c r="ID67" s="18"/>
      <c r="IE67" s="18"/>
      <c r="IF67" s="18"/>
      <c r="IG67" s="18"/>
      <c r="IH67" s="18"/>
      <c r="II67" s="18"/>
      <c r="IJ67" s="18"/>
      <c r="IK67" s="18"/>
      <c r="IL67" s="18"/>
      <c r="IM67" s="18"/>
      <c r="IN67" s="18"/>
      <c r="IO67" s="18"/>
      <c r="IP67" s="18"/>
      <c r="IQ67" s="18"/>
      <c r="IR67" s="18"/>
      <c r="IS67" s="18"/>
      <c r="IT67" s="18"/>
      <c r="IU67" s="18"/>
      <c r="IV67" s="18"/>
      <c r="IW67" s="18"/>
      <c r="IX67" s="18"/>
      <c r="IY67" s="18"/>
      <c r="IZ67" s="18"/>
      <c r="JA67" s="18"/>
      <c r="JB67" s="18"/>
      <c r="JC67" s="18"/>
      <c r="JD67" s="18"/>
      <c r="JE67" s="18"/>
      <c r="JF67" s="18"/>
      <c r="JG67" s="18"/>
      <c r="JH67" s="18"/>
      <c r="JI67" s="18"/>
      <c r="JJ67" s="18"/>
      <c r="JK67" s="18"/>
      <c r="JL67" s="18"/>
      <c r="JM67" s="18"/>
      <c r="JN67" s="18"/>
      <c r="JO67" s="18"/>
      <c r="JP67" s="18"/>
      <c r="JQ67" s="18"/>
      <c r="JR67" s="18"/>
      <c r="JS67" s="18"/>
      <c r="JT67" s="18"/>
      <c r="JU67" s="18"/>
      <c r="JV67" s="18"/>
      <c r="JW67" s="18"/>
      <c r="JX67" s="18"/>
      <c r="JY67" s="18"/>
      <c r="JZ67" s="18"/>
      <c r="KA67" s="18"/>
      <c r="KB67" s="18"/>
      <c r="KC67" s="18"/>
      <c r="KD67" s="18"/>
      <c r="KE67" s="18"/>
      <c r="KF67" s="18"/>
      <c r="KG67" s="18"/>
      <c r="KH67" s="18"/>
      <c r="KI67" s="18"/>
      <c r="KJ67" s="18"/>
      <c r="KK67" s="18"/>
      <c r="KL67" s="18"/>
      <c r="KM67" s="18"/>
      <c r="KN67" s="18"/>
      <c r="KO67" s="18"/>
      <c r="KP67" s="18"/>
      <c r="KQ67" s="18"/>
      <c r="KR67" s="18"/>
      <c r="KS67" s="18"/>
      <c r="KT67" s="18"/>
      <c r="KU67" s="18"/>
      <c r="KV67" s="18"/>
      <c r="KW67" s="18"/>
      <c r="KX67" s="18"/>
      <c r="KY67" s="18"/>
      <c r="KZ67" s="18"/>
      <c r="LA67" s="18"/>
      <c r="LB67" s="18"/>
      <c r="LC67" s="18"/>
      <c r="LD67" s="18"/>
      <c r="LE67" s="18"/>
      <c r="LF67" s="18"/>
      <c r="LG67" s="18"/>
      <c r="LH67" s="18"/>
      <c r="LI67" s="18"/>
      <c r="LJ67" s="18"/>
      <c r="LK67" s="18"/>
      <c r="LL67" s="18"/>
      <c r="LM67" s="18"/>
      <c r="LN67" s="18"/>
      <c r="LO67" s="18"/>
      <c r="LP67" s="18"/>
      <c r="LQ67" s="18"/>
      <c r="LR67" s="18"/>
      <c r="LS67" s="18"/>
      <c r="LT67" s="18"/>
      <c r="LU67" s="18"/>
      <c r="LV67" s="18"/>
      <c r="LW67" s="18"/>
      <c r="LX67" s="18"/>
      <c r="LY67" s="18"/>
      <c r="LZ67" s="18"/>
      <c r="MA67" s="18"/>
      <c r="MB67" s="18"/>
      <c r="MC67" s="18"/>
      <c r="MD67" s="18"/>
      <c r="ME67" s="18"/>
      <c r="MF67" s="18"/>
      <c r="MG67" s="18"/>
      <c r="MH67" s="18"/>
      <c r="MI67" s="18"/>
      <c r="MJ67" s="18"/>
      <c r="MK67" s="18"/>
      <c r="ML67" s="18"/>
      <c r="MM67" s="18"/>
      <c r="MN67" s="18"/>
      <c r="MO67" s="18"/>
      <c r="MP67" s="18"/>
      <c r="MQ67" s="18"/>
      <c r="MR67" s="18"/>
      <c r="MS67" s="18"/>
      <c r="MT67" s="18"/>
      <c r="MU67" s="18"/>
      <c r="MV67" s="18"/>
      <c r="MW67" s="18"/>
      <c r="MX67" s="18"/>
      <c r="MY67" s="18"/>
      <c r="MZ67" s="18"/>
      <c r="NA67" s="18"/>
      <c r="NB67" s="18"/>
      <c r="NC67" s="18"/>
      <c r="ND67" s="18"/>
      <c r="NE67" s="18"/>
      <c r="NF67" s="18"/>
      <c r="NG67" s="18"/>
      <c r="NH67" s="18"/>
      <c r="NI67" s="18"/>
      <c r="NJ67" s="18"/>
      <c r="NK67" s="18"/>
      <c r="NL67" s="18"/>
      <c r="NM67" s="18"/>
      <c r="NN67" s="18"/>
      <c r="NO67" s="18"/>
      <c r="NP67" s="18"/>
      <c r="NQ67" s="18"/>
      <c r="NR67" s="18"/>
      <c r="NS67" s="18"/>
      <c r="NT67" s="18"/>
      <c r="NU67" s="18"/>
      <c r="NV67" s="18"/>
      <c r="NW67" s="18"/>
      <c r="NX67" s="18"/>
      <c r="NY67" s="18"/>
      <c r="NZ67" s="18"/>
      <c r="OA67" s="18"/>
      <c r="OB67" s="18"/>
      <c r="OC67" s="18"/>
      <c r="OD67" s="18"/>
      <c r="OE67" s="18"/>
      <c r="OF67" s="18"/>
      <c r="OG67" s="18"/>
      <c r="OH67" s="18"/>
      <c r="OI67" s="18"/>
      <c r="OJ67" s="18"/>
      <c r="OK67" s="18"/>
      <c r="OL67" s="18"/>
      <c r="OM67" s="18"/>
      <c r="ON67" s="18"/>
      <c r="OO67" s="18"/>
      <c r="OP67" s="18"/>
      <c r="OQ67" s="18"/>
      <c r="OR67" s="18"/>
      <c r="OS67" s="18"/>
      <c r="OT67" s="18"/>
      <c r="OU67" s="18"/>
      <c r="OV67" s="18"/>
      <c r="OW67" s="18"/>
      <c r="OX67" s="18"/>
      <c r="OY67" s="18"/>
      <c r="OZ67" s="18"/>
      <c r="PA67" s="18"/>
      <c r="PB67" s="18"/>
      <c r="PC67" s="18"/>
      <c r="PD67" s="18"/>
      <c r="PE67" s="18"/>
      <c r="PF67" s="18"/>
      <c r="PG67" s="18"/>
      <c r="PH67" s="18"/>
      <c r="PI67" s="18"/>
      <c r="PJ67" s="18"/>
      <c r="PK67" s="18"/>
      <c r="PL67" s="18"/>
      <c r="PM67" s="18"/>
      <c r="PN67" s="18"/>
      <c r="PO67" s="18"/>
      <c r="PP67" s="18"/>
      <c r="PQ67" s="18"/>
      <c r="PR67" s="18"/>
      <c r="PS67" s="18"/>
      <c r="PT67" s="18"/>
      <c r="PU67" s="18"/>
      <c r="PV67" s="18"/>
      <c r="PW67" s="18"/>
      <c r="PX67" s="18"/>
      <c r="PY67" s="18"/>
      <c r="PZ67" s="18"/>
      <c r="QA67" s="18"/>
      <c r="QB67" s="18"/>
      <c r="QC67" s="18"/>
      <c r="QD67" s="18"/>
      <c r="QE67" s="18"/>
      <c r="QF67" s="18"/>
      <c r="QG67" s="18"/>
      <c r="QH67" s="18"/>
      <c r="QI67" s="18"/>
      <c r="QJ67" s="18"/>
      <c r="QK67" s="18"/>
      <c r="QL67" s="18"/>
      <c r="QM67" s="18"/>
      <c r="QN67" s="18"/>
      <c r="QO67" s="18"/>
      <c r="QP67" s="18"/>
      <c r="QQ67" s="18"/>
      <c r="QR67" s="18"/>
      <c r="QS67" s="18"/>
      <c r="QT67" s="18"/>
      <c r="QU67" s="18"/>
      <c r="QV67" s="18"/>
      <c r="QW67" s="18"/>
      <c r="QX67" s="18"/>
      <c r="QY67" s="18"/>
      <c r="QZ67" s="18"/>
      <c r="RA67" s="18"/>
      <c r="RB67" s="18"/>
      <c r="RC67" s="18"/>
      <c r="RD67" s="18"/>
      <c r="RE67" s="18"/>
      <c r="RF67" s="18"/>
      <c r="RG67" s="18"/>
      <c r="RH67" s="18"/>
      <c r="RI67" s="18"/>
      <c r="RJ67" s="18"/>
      <c r="RK67" s="18"/>
      <c r="RL67" s="18"/>
      <c r="RM67" s="18"/>
      <c r="RN67" s="18"/>
      <c r="RO67" s="18"/>
      <c r="RP67" s="18"/>
      <c r="RQ67" s="18"/>
      <c r="RR67" s="18"/>
      <c r="RS67" s="18"/>
      <c r="RT67" s="18"/>
      <c r="RU67" s="18"/>
      <c r="RV67" s="18"/>
      <c r="RW67" s="18"/>
      <c r="RX67" s="18"/>
      <c r="RY67" s="18"/>
      <c r="RZ67" s="18"/>
      <c r="SA67" s="18"/>
      <c r="SB67" s="18"/>
      <c r="SC67" s="18"/>
      <c r="SD67" s="18"/>
      <c r="SE67" s="18"/>
      <c r="SF67" s="18"/>
      <c r="SG67" s="18"/>
      <c r="SH67" s="18"/>
      <c r="SI67" s="18"/>
      <c r="SJ67" s="18"/>
      <c r="SK67" s="18"/>
      <c r="SL67" s="18"/>
      <c r="SM67" s="18"/>
      <c r="SN67" s="18"/>
      <c r="SO67" s="18"/>
      <c r="SP67" s="18"/>
      <c r="SQ67" s="18"/>
      <c r="SR67" s="18"/>
      <c r="SS67" s="18"/>
      <c r="ST67" s="18"/>
      <c r="SU67" s="18"/>
      <c r="SV67" s="18"/>
      <c r="SW67" s="18"/>
      <c r="SX67" s="18"/>
      <c r="SY67" s="18"/>
      <c r="SZ67" s="18"/>
      <c r="TA67" s="18"/>
      <c r="TB67" s="18"/>
      <c r="TC67" s="18"/>
      <c r="TD67" s="18"/>
      <c r="TE67" s="18"/>
      <c r="TF67" s="18"/>
      <c r="TG67" s="18"/>
      <c r="TH67" s="18"/>
      <c r="TI67" s="18"/>
      <c r="TJ67" s="18"/>
      <c r="TK67" s="18"/>
      <c r="TL67" s="18"/>
      <c r="TM67" s="18"/>
      <c r="TN67" s="18"/>
      <c r="TO67" s="18"/>
      <c r="TP67" s="18"/>
      <c r="TQ67" s="18"/>
      <c r="TR67" s="18"/>
      <c r="TS67" s="18"/>
      <c r="TT67" s="18"/>
      <c r="TU67" s="18"/>
      <c r="TV67" s="18"/>
      <c r="TW67" s="18"/>
      <c r="TX67" s="18"/>
      <c r="TY67" s="18"/>
      <c r="TZ67" s="18"/>
      <c r="UA67" s="18"/>
      <c r="UB67" s="18"/>
      <c r="UC67" s="18"/>
      <c r="UD67" s="18"/>
      <c r="UE67" s="18"/>
      <c r="UF67" s="18"/>
      <c r="UG67" s="18"/>
      <c r="UH67" s="18"/>
      <c r="UI67" s="18"/>
      <c r="UJ67" s="18"/>
      <c r="UK67" s="18"/>
      <c r="UL67" s="18"/>
      <c r="UM67" s="18"/>
      <c r="UN67" s="18"/>
      <c r="UO67" s="18"/>
      <c r="UP67" s="18"/>
      <c r="UQ67" s="18"/>
      <c r="UR67" s="18"/>
      <c r="US67" s="18"/>
      <c r="UT67" s="18"/>
      <c r="UU67" s="18"/>
      <c r="UV67" s="18"/>
      <c r="UW67" s="18"/>
      <c r="UX67" s="18"/>
      <c r="UY67" s="18"/>
      <c r="UZ67" s="18"/>
      <c r="VA67" s="18"/>
      <c r="VB67" s="18"/>
      <c r="VC67" s="18"/>
      <c r="VD67" s="18"/>
      <c r="VE67" s="18"/>
      <c r="VF67" s="18"/>
      <c r="VG67" s="18"/>
      <c r="VH67" s="18"/>
      <c r="VI67" s="18"/>
      <c r="VJ67" s="18"/>
      <c r="VK67" s="18"/>
      <c r="VL67" s="18"/>
      <c r="VM67" s="18"/>
      <c r="VN67" s="18"/>
      <c r="VO67" s="18"/>
      <c r="VP67" s="18"/>
      <c r="VQ67" s="18"/>
      <c r="VR67" s="18"/>
      <c r="VS67" s="18"/>
      <c r="VT67" s="18"/>
      <c r="VU67" s="18"/>
      <c r="VV67" s="18"/>
      <c r="VW67" s="18"/>
      <c r="VX67" s="18"/>
      <c r="VY67" s="18"/>
      <c r="VZ67" s="18"/>
      <c r="WA67" s="18"/>
      <c r="WB67" s="18"/>
      <c r="WC67" s="18"/>
      <c r="WD67" s="18"/>
      <c r="WE67" s="18"/>
      <c r="WF67" s="18"/>
      <c r="WG67" s="18"/>
      <c r="WH67" s="18"/>
      <c r="WI67" s="18"/>
      <c r="WJ67" s="18"/>
      <c r="WK67" s="18"/>
      <c r="WL67" s="18"/>
      <c r="WM67" s="18"/>
      <c r="WN67" s="18"/>
      <c r="WO67" s="18"/>
      <c r="WP67" s="18"/>
      <c r="WQ67" s="18"/>
      <c r="WR67" s="18"/>
      <c r="WS67" s="18"/>
      <c r="WT67" s="18"/>
      <c r="WU67" s="18"/>
      <c r="WV67" s="18"/>
      <c r="WW67" s="18"/>
      <c r="WX67" s="18"/>
      <c r="WY67" s="18"/>
      <c r="WZ67" s="18"/>
      <c r="XA67" s="18"/>
      <c r="XB67" s="18"/>
      <c r="XC67" s="18"/>
      <c r="XD67" s="18"/>
      <c r="XE67" s="18"/>
      <c r="XF67" s="18"/>
      <c r="XG67" s="18"/>
      <c r="XH67" s="18"/>
      <c r="XI67" s="18"/>
      <c r="XJ67" s="18"/>
      <c r="XK67" s="18"/>
      <c r="XL67" s="18"/>
      <c r="XM67" s="18"/>
      <c r="XN67" s="18"/>
      <c r="XO67" s="18"/>
      <c r="XP67" s="18"/>
      <c r="XQ67" s="18"/>
      <c r="XR67" s="18"/>
      <c r="XS67" s="18"/>
      <c r="XT67" s="18"/>
      <c r="XU67" s="18"/>
      <c r="XV67" s="18"/>
      <c r="XW67" s="18"/>
      <c r="XX67" s="18"/>
      <c r="XY67" s="18"/>
      <c r="XZ67" s="18"/>
      <c r="YA67" s="18"/>
      <c r="YB67" s="18"/>
      <c r="YC67" s="18"/>
      <c r="YD67" s="18"/>
      <c r="YE67" s="18"/>
      <c r="YF67" s="18"/>
      <c r="YG67" s="18"/>
      <c r="YH67" s="18"/>
      <c r="YI67" s="18"/>
      <c r="YJ67" s="18"/>
      <c r="YK67" s="18"/>
      <c r="YL67" s="18"/>
      <c r="YM67" s="18"/>
      <c r="YN67" s="18"/>
      <c r="YO67" s="18"/>
      <c r="YP67" s="18"/>
      <c r="YQ67" s="18"/>
      <c r="YR67" s="18"/>
      <c r="YS67" s="18"/>
      <c r="YT67" s="18"/>
      <c r="YU67" s="18"/>
      <c r="YV67" s="18"/>
      <c r="YW67" s="18"/>
      <c r="YX67" s="18"/>
      <c r="YY67" s="18"/>
      <c r="YZ67" s="18"/>
      <c r="ZA67" s="18"/>
      <c r="ZB67" s="18"/>
      <c r="ZC67" s="18"/>
      <c r="ZD67" s="18"/>
      <c r="ZE67" s="18"/>
      <c r="ZF67" s="18"/>
      <c r="ZG67" s="18"/>
      <c r="ZH67" s="18"/>
      <c r="ZI67" s="18"/>
      <c r="ZJ67" s="18"/>
      <c r="ZK67" s="18"/>
      <c r="ZL67" s="18"/>
      <c r="ZM67" s="18"/>
      <c r="ZN67" s="18"/>
      <c r="ZO67" s="18"/>
      <c r="ZP67" s="18"/>
      <c r="ZQ67" s="18"/>
      <c r="ZR67" s="18"/>
      <c r="ZS67" s="18"/>
      <c r="ZT67" s="18"/>
      <c r="ZU67" s="18"/>
      <c r="ZV67" s="18"/>
      <c r="ZW67" s="18"/>
      <c r="ZX67" s="18"/>
      <c r="ZY67" s="18"/>
      <c r="ZZ67" s="18"/>
      <c r="AAA67" s="18"/>
      <c r="AAB67" s="18"/>
      <c r="AAC67" s="18"/>
      <c r="AAD67" s="18"/>
      <c r="AAE67" s="18"/>
      <c r="AAF67" s="18"/>
      <c r="AAG67" s="18"/>
      <c r="AAH67" s="18"/>
      <c r="AAI67" s="18"/>
      <c r="AAJ67" s="18"/>
      <c r="AAK67" s="18"/>
      <c r="AAL67" s="18"/>
      <c r="AAM67" s="18"/>
      <c r="AAN67" s="18"/>
      <c r="AAO67" s="18"/>
      <c r="AAP67" s="18"/>
      <c r="AAQ67" s="18"/>
      <c r="AAR67" s="18"/>
      <c r="AAS67" s="18"/>
      <c r="AAT67" s="18"/>
      <c r="AAU67" s="18"/>
      <c r="AAV67" s="18"/>
      <c r="AAW67" s="18"/>
      <c r="AAX67" s="18"/>
      <c r="AAY67" s="18"/>
      <c r="AAZ67" s="18"/>
      <c r="ABA67" s="18"/>
      <c r="ABB67" s="18"/>
      <c r="ABC67" s="18"/>
      <c r="ABD67" s="18"/>
      <c r="ABE67" s="18"/>
      <c r="ABF67" s="18"/>
      <c r="ABG67" s="18"/>
      <c r="ABH67" s="18"/>
      <c r="ABI67" s="18"/>
      <c r="ABJ67" s="18"/>
      <c r="ABK67" s="18"/>
      <c r="ABL67" s="18"/>
      <c r="ABM67" s="18"/>
      <c r="ABN67" s="18"/>
      <c r="ABO67" s="18"/>
      <c r="ABP67" s="18"/>
      <c r="ABQ67" s="18"/>
      <c r="ABR67" s="18"/>
      <c r="ABS67" s="18"/>
      <c r="ABT67" s="18"/>
      <c r="ABU67" s="18"/>
      <c r="ABV67" s="18"/>
      <c r="ABW67" s="18"/>
      <c r="ABX67" s="18"/>
      <c r="ABY67" s="18"/>
      <c r="ABZ67" s="18"/>
      <c r="ACA67" s="18"/>
      <c r="ACB67" s="18"/>
      <c r="ACC67" s="18"/>
      <c r="ACD67" s="18"/>
      <c r="ACE67" s="18"/>
      <c r="ACF67" s="18"/>
      <c r="ACG67" s="18"/>
      <c r="ACH67" s="18"/>
      <c r="ACI67" s="18"/>
      <c r="ACJ67" s="18"/>
      <c r="ACK67" s="18"/>
      <c r="ACL67" s="18"/>
      <c r="ACM67" s="18"/>
      <c r="ACN67" s="18"/>
      <c r="ACO67" s="18"/>
      <c r="ACP67" s="18"/>
      <c r="ACQ67" s="18"/>
      <c r="ACR67" s="18"/>
      <c r="ACS67" s="18"/>
      <c r="ACT67" s="18"/>
      <c r="ACU67" s="18"/>
      <c r="ACV67" s="18"/>
      <c r="ACW67" s="18"/>
      <c r="ACX67" s="18"/>
      <c r="ACY67" s="18"/>
      <c r="ACZ67" s="18"/>
      <c r="ADA67" s="18"/>
      <c r="ADB67" s="18"/>
      <c r="ADC67" s="18"/>
      <c r="ADD67" s="18"/>
      <c r="ADE67" s="18"/>
      <c r="ADF67" s="18"/>
      <c r="ADG67" s="18"/>
      <c r="ADH67" s="18"/>
      <c r="ADI67" s="18"/>
      <c r="ADJ67" s="18"/>
      <c r="ADK67" s="18"/>
      <c r="ADL67" s="18"/>
      <c r="ADM67" s="18"/>
      <c r="ADN67" s="18"/>
      <c r="ADO67" s="18"/>
      <c r="ADP67" s="18"/>
      <c r="ADQ67" s="18"/>
      <c r="ADR67" s="18"/>
      <c r="ADS67" s="18"/>
      <c r="ADT67" s="18"/>
      <c r="ADU67" s="18"/>
      <c r="ADV67" s="18"/>
      <c r="ADW67" s="18"/>
      <c r="ADX67" s="18"/>
      <c r="ADY67" s="18"/>
      <c r="ADZ67" s="18"/>
      <c r="AEA67" s="18"/>
      <c r="AEB67" s="18"/>
      <c r="AEC67" s="18"/>
      <c r="AED67" s="18"/>
      <c r="AEE67" s="18"/>
      <c r="AEF67" s="18"/>
      <c r="AEG67" s="18"/>
      <c r="AEH67" s="18"/>
      <c r="AEI67" s="18"/>
      <c r="AEJ67" s="18"/>
      <c r="AEK67" s="18"/>
      <c r="AEL67" s="18"/>
      <c r="AEM67" s="18"/>
      <c r="AEN67" s="18"/>
      <c r="AEO67" s="18"/>
      <c r="AEP67" s="18"/>
      <c r="AEQ67" s="18"/>
      <c r="AER67" s="18"/>
      <c r="AES67" s="18"/>
      <c r="AET67" s="18"/>
      <c r="AEU67" s="18"/>
      <c r="AEV67" s="18"/>
      <c r="AEW67" s="18"/>
      <c r="AEX67" s="18"/>
      <c r="AEY67" s="18"/>
      <c r="AEZ67" s="18"/>
      <c r="AFA67" s="18"/>
      <c r="AFB67" s="18"/>
      <c r="AFC67" s="18"/>
      <c r="AFD67" s="18"/>
      <c r="AFE67" s="18"/>
      <c r="AFF67" s="18"/>
      <c r="AFG67" s="18"/>
      <c r="AFH67" s="18"/>
      <c r="AFI67" s="18"/>
      <c r="AFJ67" s="18"/>
      <c r="AFK67" s="18"/>
      <c r="AFL67" s="18"/>
      <c r="AFM67" s="18"/>
      <c r="AFN67" s="18"/>
      <c r="AFO67" s="18"/>
      <c r="AFP67" s="18"/>
      <c r="AFQ67" s="18"/>
      <c r="AFR67" s="18"/>
      <c r="AFS67" s="18"/>
      <c r="AFT67" s="18"/>
      <c r="AFU67" s="18"/>
      <c r="AFV67" s="18"/>
      <c r="AFW67" s="18"/>
      <c r="AFX67" s="18"/>
      <c r="AFY67" s="18"/>
      <c r="AFZ67" s="18"/>
      <c r="AGA67" s="18"/>
      <c r="AGB67" s="18"/>
      <c r="AGC67" s="18"/>
      <c r="AGD67" s="18"/>
      <c r="AGE67" s="18"/>
      <c r="AGF67" s="18"/>
      <c r="AGG67" s="18"/>
      <c r="AGH67" s="18"/>
      <c r="AGI67" s="18"/>
      <c r="AGJ67" s="18"/>
      <c r="AGK67" s="18"/>
      <c r="AGL67" s="18"/>
      <c r="AGM67" s="18"/>
      <c r="AGN67" s="18"/>
      <c r="AGO67" s="18"/>
      <c r="AGP67" s="18"/>
      <c r="AGQ67" s="18"/>
      <c r="AGR67" s="18"/>
      <c r="AGS67" s="18"/>
      <c r="AGT67" s="18"/>
      <c r="AGU67" s="18"/>
      <c r="AGV67" s="18"/>
      <c r="AGW67" s="18"/>
      <c r="AGX67" s="18"/>
      <c r="AGY67" s="18"/>
      <c r="AGZ67" s="18"/>
      <c r="AHA67" s="18"/>
      <c r="AHB67" s="18"/>
      <c r="AHC67" s="18"/>
      <c r="AHD67" s="18"/>
      <c r="AHE67" s="18"/>
      <c r="AHF67" s="18"/>
      <c r="AHG67" s="18"/>
      <c r="AHH67" s="18"/>
      <c r="AHI67" s="18"/>
      <c r="AHJ67" s="18"/>
      <c r="AHK67" s="18"/>
      <c r="AHL67" s="18"/>
      <c r="AHM67" s="18"/>
      <c r="AHN67" s="18"/>
      <c r="AHO67" s="18"/>
      <c r="AHP67" s="18"/>
      <c r="AHQ67" s="18"/>
      <c r="AHR67" s="18"/>
      <c r="AHS67" s="18"/>
      <c r="AHT67" s="18"/>
      <c r="AHU67" s="18"/>
      <c r="AHV67" s="18"/>
      <c r="AHW67" s="18"/>
      <c r="AHX67" s="18"/>
      <c r="AHY67" s="18"/>
      <c r="AHZ67" s="18"/>
      <c r="AIA67" s="18"/>
      <c r="AIB67" s="18"/>
      <c r="AIC67" s="18"/>
      <c r="AID67" s="18"/>
      <c r="AIE67" s="18"/>
      <c r="AIF67" s="18"/>
      <c r="AIG67" s="18"/>
      <c r="AIH67" s="18"/>
      <c r="AII67" s="18"/>
      <c r="AIJ67" s="18"/>
      <c r="AIK67" s="18"/>
      <c r="AIL67" s="18"/>
      <c r="AIM67" s="18"/>
      <c r="AIN67" s="18"/>
      <c r="AIO67" s="18"/>
      <c r="AIP67" s="18"/>
      <c r="AIQ67" s="18"/>
      <c r="AIR67" s="18"/>
      <c r="AIS67" s="18"/>
      <c r="AIT67" s="18"/>
      <c r="AIU67" s="18"/>
      <c r="AIV67" s="18"/>
      <c r="AIW67" s="18"/>
      <c r="AIX67" s="18"/>
      <c r="AIY67" s="18"/>
      <c r="AIZ67" s="18"/>
      <c r="AJA67" s="18"/>
      <c r="AJB67" s="18"/>
      <c r="AJC67" s="18"/>
      <c r="AJD67" s="18"/>
      <c r="AJE67" s="18"/>
      <c r="AJF67" s="18"/>
      <c r="AJG67" s="18"/>
      <c r="AJH67" s="18"/>
      <c r="AJI67" s="18"/>
      <c r="AJJ67" s="18"/>
      <c r="AJK67" s="18"/>
      <c r="AJL67" s="18"/>
      <c r="AJM67" s="18"/>
      <c r="AJN67" s="18"/>
      <c r="AJO67" s="18"/>
      <c r="AJP67" s="18"/>
      <c r="AJQ67" s="18"/>
      <c r="AJR67" s="18"/>
      <c r="AJS67" s="18"/>
      <c r="AJT67" s="18"/>
      <c r="AJU67" s="18"/>
      <c r="AJV67" s="18"/>
      <c r="AJW67" s="18"/>
      <c r="AJX67" s="18"/>
      <c r="AJY67" s="18"/>
      <c r="AJZ67" s="18"/>
      <c r="AKA67" s="18"/>
      <c r="AKB67" s="18"/>
      <c r="AKC67" s="18"/>
      <c r="AKD67" s="18"/>
      <c r="AKE67" s="18"/>
      <c r="AKF67" s="18"/>
      <c r="AKG67" s="18"/>
      <c r="AKH67" s="18"/>
      <c r="AKI67" s="18"/>
      <c r="AKJ67" s="18"/>
      <c r="AKK67" s="18"/>
      <c r="AKL67" s="18"/>
      <c r="AKM67" s="18"/>
      <c r="AKN67" s="18"/>
      <c r="AKO67" s="18"/>
      <c r="AKP67" s="18"/>
      <c r="AKQ67" s="18"/>
      <c r="AKR67" s="18"/>
      <c r="AKS67" s="18"/>
      <c r="AKT67" s="18"/>
      <c r="AKU67" s="18"/>
      <c r="AKV67" s="18"/>
      <c r="AKW67" s="18"/>
      <c r="AKX67" s="18"/>
      <c r="AKY67" s="18"/>
      <c r="AKZ67" s="18"/>
      <c r="ALA67" s="18"/>
      <c r="ALB67" s="18"/>
      <c r="ALC67" s="18"/>
      <c r="ALD67" s="18"/>
      <c r="ALE67" s="18"/>
      <c r="ALF67" s="18"/>
      <c r="ALG67" s="18"/>
      <c r="ALH67" s="18"/>
      <c r="ALI67" s="18"/>
      <c r="ALJ67" s="18"/>
      <c r="ALK67" s="18"/>
      <c r="ALL67" s="18"/>
      <c r="ALM67" s="18"/>
      <c r="ALN67" s="18"/>
      <c r="ALO67" s="18"/>
      <c r="ALP67" s="18"/>
      <c r="ALQ67" s="18"/>
      <c r="ALR67" s="18"/>
      <c r="ALS67" s="18"/>
      <c r="ALT67" s="18"/>
    </row>
    <row r="68" spans="1:1008">
      <c r="A68" s="251" t="s">
        <v>6307</v>
      </c>
      <c r="B68" s="290">
        <v>428</v>
      </c>
      <c r="C68" s="278" t="str">
        <f>(IF($A68="SINAPI",INDEX(SINAPI_NOV2020_NDES!$A$7:$H$6703,MATCH($B68,SINAPI_NOV2020_NDES!$A$7:$A$6703,0),2),IF($A68="GOINFRA",INDEX(#REF!,MATCH($B68,#REF!,0),2),(INDEX(COMPOS!$A$4:$G$390,MATCH($B68,COMPOS!$A$4:A$390,0),2)))))</f>
        <v>ESQUADRIA BASCULANTE EM CHAPA J17, J18 e J19 C/FERRAGENS</v>
      </c>
      <c r="D68" s="274" t="str">
        <f>(IF($A68="SINAPI",INDEX(SINAPI_NOV2020_NDES!$A$7:$H$6790,MATCH($B68,SINAPI_NOV2020_NDES!$A$7:$A$6790,0),3),(INDEX(COMPOS!$A$4:$G$5000,MATCH($B68,COMPOS!$A$4:$A$5000,0),3))))</f>
        <v>M2</v>
      </c>
      <c r="E68" s="314">
        <v>6.28</v>
      </c>
      <c r="F68" s="279">
        <f>(IF($A68="SINAPI",INDEX(SINAPI_NOV2020_NDES!$A$7:$H$6703,MATCH($B68,SINAPI_NOV2020_NDES!$A$7:$A$6703,0),5),(INDEX(COMPOS!$A$4:$G$801,MATCH($B68,COMPOS!$A$4:A$801,0),4))))</f>
        <v>114.71309199999999</v>
      </c>
      <c r="G68" s="280">
        <f>(IF($A68="SINAPI",INDEX(SINAPI_NOV2020_NDES!$A$7:$H$6703,MATCH($B68,SINAPI_NOV2020_NDES!$A$7:$A$6703,0),6),(INDEX(COMPOS!$A$4:$G$801,MATCH($B68,COMPOS!$A$4:A$801,0),5))))</f>
        <v>146.74901199999999</v>
      </c>
      <c r="H68" s="280">
        <f>(IF($A68="SINAPI",INDEX(SINAPI_NOV2020_NDES!$A$7:$H$6703,MATCH($B68,SINAPI_NOV2020_NDES!$A$7:$A$6703,0),7),(INDEX(COMPOS!$A$4:$G$801,MATCH($B68,COMPOS!$A$4:A$801,0),6))))</f>
        <v>0</v>
      </c>
      <c r="I68" s="279">
        <f t="shared" si="18"/>
        <v>261.46210399999995</v>
      </c>
      <c r="J68" s="276">
        <f t="shared" si="19"/>
        <v>1641.9820131199997</v>
      </c>
      <c r="K68" s="191"/>
      <c r="L68" s="191"/>
      <c r="M68" s="191"/>
      <c r="N68" s="191"/>
      <c r="O68" s="262"/>
      <c r="P68" s="263"/>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c r="EF68" s="18"/>
      <c r="EG68" s="18"/>
      <c r="EH68" s="18"/>
      <c r="EI68" s="18"/>
      <c r="EJ68" s="18"/>
      <c r="EK68" s="18"/>
      <c r="EL68" s="18"/>
      <c r="EM68" s="18"/>
      <c r="EN68" s="18"/>
      <c r="EO68" s="18"/>
      <c r="EP68" s="18"/>
      <c r="EQ68" s="18"/>
      <c r="ER68" s="18"/>
      <c r="ES68" s="18"/>
      <c r="ET68" s="18"/>
      <c r="EU68" s="18"/>
      <c r="EV68" s="18"/>
      <c r="EW68" s="18"/>
      <c r="EX68" s="18"/>
      <c r="EY68" s="18"/>
      <c r="EZ68" s="18"/>
      <c r="FA68" s="18"/>
      <c r="FB68" s="18"/>
      <c r="FC68" s="18"/>
      <c r="FD68" s="18"/>
      <c r="FE68" s="18"/>
      <c r="FF68" s="18"/>
      <c r="FG68" s="18"/>
      <c r="FH68" s="18"/>
      <c r="FI68" s="18"/>
      <c r="FJ68" s="18"/>
      <c r="FK68" s="18"/>
      <c r="FL68" s="18"/>
      <c r="FM68" s="18"/>
      <c r="FN68" s="18"/>
      <c r="FO68" s="18"/>
      <c r="FP68" s="18"/>
      <c r="FQ68" s="18"/>
      <c r="FR68" s="18"/>
      <c r="FS68" s="18"/>
      <c r="FT68" s="18"/>
      <c r="FU68" s="18"/>
      <c r="FV68" s="18"/>
      <c r="FW68" s="18"/>
      <c r="FX68" s="18"/>
      <c r="FY68" s="18"/>
      <c r="FZ68" s="18"/>
      <c r="GA68" s="18"/>
      <c r="GB68" s="18"/>
      <c r="GC68" s="18"/>
      <c r="GD68" s="18"/>
      <c r="GE68" s="18"/>
      <c r="GF68" s="18"/>
      <c r="GG68" s="18"/>
      <c r="GH68" s="18"/>
      <c r="GI68" s="18"/>
      <c r="GJ68" s="18"/>
      <c r="GK68" s="18"/>
      <c r="GL68" s="18"/>
      <c r="GM68" s="18"/>
      <c r="GN68" s="18"/>
      <c r="GO68" s="18"/>
      <c r="GP68" s="18"/>
      <c r="GQ68" s="18"/>
      <c r="GR68" s="18"/>
      <c r="GS68" s="18"/>
      <c r="GT68" s="18"/>
      <c r="GU68" s="18"/>
      <c r="GV68" s="18"/>
      <c r="GW68" s="18"/>
      <c r="GX68" s="18"/>
      <c r="GY68" s="18"/>
      <c r="GZ68" s="18"/>
      <c r="HA68" s="18"/>
      <c r="HB68" s="18"/>
      <c r="HC68" s="18"/>
      <c r="HD68" s="18"/>
      <c r="HE68" s="18"/>
      <c r="HF68" s="18"/>
      <c r="HG68" s="18"/>
      <c r="HH68" s="18"/>
      <c r="HI68" s="18"/>
      <c r="HJ68" s="18"/>
      <c r="HK68" s="18"/>
      <c r="HL68" s="18"/>
      <c r="HM68" s="18"/>
      <c r="HN68" s="18"/>
      <c r="HO68" s="18"/>
      <c r="HP68" s="18"/>
      <c r="HQ68" s="18"/>
      <c r="HR68" s="18"/>
      <c r="HS68" s="18"/>
      <c r="HT68" s="18"/>
      <c r="HU68" s="18"/>
      <c r="HV68" s="18"/>
      <c r="HW68" s="18"/>
      <c r="HX68" s="18"/>
      <c r="HY68" s="18"/>
      <c r="HZ68" s="18"/>
      <c r="IA68" s="18"/>
      <c r="IB68" s="18"/>
      <c r="IC68" s="18"/>
      <c r="ID68" s="18"/>
      <c r="IE68" s="18"/>
      <c r="IF68" s="18"/>
      <c r="IG68" s="18"/>
      <c r="IH68" s="18"/>
      <c r="II68" s="18"/>
      <c r="IJ68" s="18"/>
      <c r="IK68" s="18"/>
      <c r="IL68" s="18"/>
      <c r="IM68" s="18"/>
      <c r="IN68" s="18"/>
      <c r="IO68" s="18"/>
      <c r="IP68" s="18"/>
      <c r="IQ68" s="18"/>
      <c r="IR68" s="18"/>
      <c r="IS68" s="18"/>
      <c r="IT68" s="18"/>
      <c r="IU68" s="18"/>
      <c r="IV68" s="18"/>
      <c r="IW68" s="18"/>
      <c r="IX68" s="18"/>
      <c r="IY68" s="18"/>
      <c r="IZ68" s="18"/>
      <c r="JA68" s="18"/>
      <c r="JB68" s="18"/>
      <c r="JC68" s="18"/>
      <c r="JD68" s="18"/>
      <c r="JE68" s="18"/>
      <c r="JF68" s="18"/>
      <c r="JG68" s="18"/>
      <c r="JH68" s="18"/>
      <c r="JI68" s="18"/>
      <c r="JJ68" s="18"/>
      <c r="JK68" s="18"/>
      <c r="JL68" s="18"/>
      <c r="JM68" s="18"/>
      <c r="JN68" s="18"/>
      <c r="JO68" s="18"/>
      <c r="JP68" s="18"/>
      <c r="JQ68" s="18"/>
      <c r="JR68" s="18"/>
      <c r="JS68" s="18"/>
      <c r="JT68" s="18"/>
      <c r="JU68" s="18"/>
      <c r="JV68" s="18"/>
      <c r="JW68" s="18"/>
      <c r="JX68" s="18"/>
      <c r="JY68" s="18"/>
      <c r="JZ68" s="18"/>
      <c r="KA68" s="18"/>
      <c r="KB68" s="18"/>
      <c r="KC68" s="18"/>
      <c r="KD68" s="18"/>
      <c r="KE68" s="18"/>
      <c r="KF68" s="18"/>
      <c r="KG68" s="18"/>
      <c r="KH68" s="18"/>
      <c r="KI68" s="18"/>
      <c r="KJ68" s="18"/>
      <c r="KK68" s="18"/>
      <c r="KL68" s="18"/>
      <c r="KM68" s="18"/>
      <c r="KN68" s="18"/>
      <c r="KO68" s="18"/>
      <c r="KP68" s="18"/>
      <c r="KQ68" s="18"/>
      <c r="KR68" s="18"/>
      <c r="KS68" s="18"/>
      <c r="KT68" s="18"/>
      <c r="KU68" s="18"/>
      <c r="KV68" s="18"/>
      <c r="KW68" s="18"/>
      <c r="KX68" s="18"/>
      <c r="KY68" s="18"/>
      <c r="KZ68" s="18"/>
      <c r="LA68" s="18"/>
      <c r="LB68" s="18"/>
      <c r="LC68" s="18"/>
      <c r="LD68" s="18"/>
      <c r="LE68" s="18"/>
      <c r="LF68" s="18"/>
      <c r="LG68" s="18"/>
      <c r="LH68" s="18"/>
      <c r="LI68" s="18"/>
      <c r="LJ68" s="18"/>
      <c r="LK68" s="18"/>
      <c r="LL68" s="18"/>
      <c r="LM68" s="18"/>
      <c r="LN68" s="18"/>
      <c r="LO68" s="18"/>
      <c r="LP68" s="18"/>
      <c r="LQ68" s="18"/>
      <c r="LR68" s="18"/>
      <c r="LS68" s="18"/>
      <c r="LT68" s="18"/>
      <c r="LU68" s="18"/>
      <c r="LV68" s="18"/>
      <c r="LW68" s="18"/>
      <c r="LX68" s="18"/>
      <c r="LY68" s="18"/>
      <c r="LZ68" s="18"/>
      <c r="MA68" s="18"/>
      <c r="MB68" s="18"/>
      <c r="MC68" s="18"/>
      <c r="MD68" s="18"/>
      <c r="ME68" s="18"/>
      <c r="MF68" s="18"/>
      <c r="MG68" s="18"/>
      <c r="MH68" s="18"/>
      <c r="MI68" s="18"/>
      <c r="MJ68" s="18"/>
      <c r="MK68" s="18"/>
      <c r="ML68" s="18"/>
      <c r="MM68" s="18"/>
      <c r="MN68" s="18"/>
      <c r="MO68" s="18"/>
      <c r="MP68" s="18"/>
      <c r="MQ68" s="18"/>
      <c r="MR68" s="18"/>
      <c r="MS68" s="18"/>
      <c r="MT68" s="18"/>
      <c r="MU68" s="18"/>
      <c r="MV68" s="18"/>
      <c r="MW68" s="18"/>
      <c r="MX68" s="18"/>
      <c r="MY68" s="18"/>
      <c r="MZ68" s="18"/>
      <c r="NA68" s="18"/>
      <c r="NB68" s="18"/>
      <c r="NC68" s="18"/>
      <c r="ND68" s="18"/>
      <c r="NE68" s="18"/>
      <c r="NF68" s="18"/>
      <c r="NG68" s="18"/>
      <c r="NH68" s="18"/>
      <c r="NI68" s="18"/>
      <c r="NJ68" s="18"/>
      <c r="NK68" s="18"/>
      <c r="NL68" s="18"/>
      <c r="NM68" s="18"/>
      <c r="NN68" s="18"/>
      <c r="NO68" s="18"/>
      <c r="NP68" s="18"/>
      <c r="NQ68" s="18"/>
      <c r="NR68" s="18"/>
      <c r="NS68" s="18"/>
      <c r="NT68" s="18"/>
      <c r="NU68" s="18"/>
      <c r="NV68" s="18"/>
      <c r="NW68" s="18"/>
      <c r="NX68" s="18"/>
      <c r="NY68" s="18"/>
      <c r="NZ68" s="18"/>
      <c r="OA68" s="18"/>
      <c r="OB68" s="18"/>
      <c r="OC68" s="18"/>
      <c r="OD68" s="18"/>
      <c r="OE68" s="18"/>
      <c r="OF68" s="18"/>
      <c r="OG68" s="18"/>
      <c r="OH68" s="18"/>
      <c r="OI68" s="18"/>
      <c r="OJ68" s="18"/>
      <c r="OK68" s="18"/>
      <c r="OL68" s="18"/>
      <c r="OM68" s="18"/>
      <c r="ON68" s="18"/>
      <c r="OO68" s="18"/>
      <c r="OP68" s="18"/>
      <c r="OQ68" s="18"/>
      <c r="OR68" s="18"/>
      <c r="OS68" s="18"/>
      <c r="OT68" s="18"/>
      <c r="OU68" s="18"/>
      <c r="OV68" s="18"/>
      <c r="OW68" s="18"/>
      <c r="OX68" s="18"/>
      <c r="OY68" s="18"/>
      <c r="OZ68" s="18"/>
      <c r="PA68" s="18"/>
      <c r="PB68" s="18"/>
      <c r="PC68" s="18"/>
      <c r="PD68" s="18"/>
      <c r="PE68" s="18"/>
      <c r="PF68" s="18"/>
      <c r="PG68" s="18"/>
      <c r="PH68" s="18"/>
      <c r="PI68" s="18"/>
      <c r="PJ68" s="18"/>
      <c r="PK68" s="18"/>
      <c r="PL68" s="18"/>
      <c r="PM68" s="18"/>
      <c r="PN68" s="18"/>
      <c r="PO68" s="18"/>
      <c r="PP68" s="18"/>
      <c r="PQ68" s="18"/>
      <c r="PR68" s="18"/>
      <c r="PS68" s="18"/>
      <c r="PT68" s="18"/>
      <c r="PU68" s="18"/>
      <c r="PV68" s="18"/>
      <c r="PW68" s="18"/>
      <c r="PX68" s="18"/>
      <c r="PY68" s="18"/>
      <c r="PZ68" s="18"/>
      <c r="QA68" s="18"/>
      <c r="QB68" s="18"/>
      <c r="QC68" s="18"/>
      <c r="QD68" s="18"/>
      <c r="QE68" s="18"/>
      <c r="QF68" s="18"/>
      <c r="QG68" s="18"/>
      <c r="QH68" s="18"/>
      <c r="QI68" s="18"/>
      <c r="QJ68" s="18"/>
      <c r="QK68" s="18"/>
      <c r="QL68" s="18"/>
      <c r="QM68" s="18"/>
      <c r="QN68" s="18"/>
      <c r="QO68" s="18"/>
      <c r="QP68" s="18"/>
      <c r="QQ68" s="18"/>
      <c r="QR68" s="18"/>
      <c r="QS68" s="18"/>
      <c r="QT68" s="18"/>
      <c r="QU68" s="18"/>
      <c r="QV68" s="18"/>
      <c r="QW68" s="18"/>
      <c r="QX68" s="18"/>
      <c r="QY68" s="18"/>
      <c r="QZ68" s="18"/>
      <c r="RA68" s="18"/>
      <c r="RB68" s="18"/>
      <c r="RC68" s="18"/>
      <c r="RD68" s="18"/>
      <c r="RE68" s="18"/>
      <c r="RF68" s="18"/>
      <c r="RG68" s="18"/>
      <c r="RH68" s="18"/>
      <c r="RI68" s="18"/>
      <c r="RJ68" s="18"/>
      <c r="RK68" s="18"/>
      <c r="RL68" s="18"/>
      <c r="RM68" s="18"/>
      <c r="RN68" s="18"/>
      <c r="RO68" s="18"/>
      <c r="RP68" s="18"/>
      <c r="RQ68" s="18"/>
      <c r="RR68" s="18"/>
      <c r="RS68" s="18"/>
      <c r="RT68" s="18"/>
      <c r="RU68" s="18"/>
      <c r="RV68" s="18"/>
      <c r="RW68" s="18"/>
      <c r="RX68" s="18"/>
      <c r="RY68" s="18"/>
      <c r="RZ68" s="18"/>
      <c r="SA68" s="18"/>
      <c r="SB68" s="18"/>
      <c r="SC68" s="18"/>
      <c r="SD68" s="18"/>
      <c r="SE68" s="18"/>
      <c r="SF68" s="18"/>
      <c r="SG68" s="18"/>
      <c r="SH68" s="18"/>
      <c r="SI68" s="18"/>
      <c r="SJ68" s="18"/>
      <c r="SK68" s="18"/>
      <c r="SL68" s="18"/>
      <c r="SM68" s="18"/>
      <c r="SN68" s="18"/>
      <c r="SO68" s="18"/>
      <c r="SP68" s="18"/>
      <c r="SQ68" s="18"/>
      <c r="SR68" s="18"/>
      <c r="SS68" s="18"/>
      <c r="ST68" s="18"/>
      <c r="SU68" s="18"/>
      <c r="SV68" s="18"/>
      <c r="SW68" s="18"/>
      <c r="SX68" s="18"/>
      <c r="SY68" s="18"/>
      <c r="SZ68" s="18"/>
      <c r="TA68" s="18"/>
      <c r="TB68" s="18"/>
      <c r="TC68" s="18"/>
      <c r="TD68" s="18"/>
      <c r="TE68" s="18"/>
      <c r="TF68" s="18"/>
      <c r="TG68" s="18"/>
      <c r="TH68" s="18"/>
      <c r="TI68" s="18"/>
      <c r="TJ68" s="18"/>
      <c r="TK68" s="18"/>
      <c r="TL68" s="18"/>
      <c r="TM68" s="18"/>
      <c r="TN68" s="18"/>
      <c r="TO68" s="18"/>
      <c r="TP68" s="18"/>
      <c r="TQ68" s="18"/>
      <c r="TR68" s="18"/>
      <c r="TS68" s="18"/>
      <c r="TT68" s="18"/>
      <c r="TU68" s="18"/>
      <c r="TV68" s="18"/>
      <c r="TW68" s="18"/>
      <c r="TX68" s="18"/>
      <c r="TY68" s="18"/>
      <c r="TZ68" s="18"/>
      <c r="UA68" s="18"/>
      <c r="UB68" s="18"/>
      <c r="UC68" s="18"/>
      <c r="UD68" s="18"/>
      <c r="UE68" s="18"/>
      <c r="UF68" s="18"/>
      <c r="UG68" s="18"/>
      <c r="UH68" s="18"/>
      <c r="UI68" s="18"/>
      <c r="UJ68" s="18"/>
      <c r="UK68" s="18"/>
      <c r="UL68" s="18"/>
      <c r="UM68" s="18"/>
      <c r="UN68" s="18"/>
      <c r="UO68" s="18"/>
      <c r="UP68" s="18"/>
      <c r="UQ68" s="18"/>
      <c r="UR68" s="18"/>
      <c r="US68" s="18"/>
      <c r="UT68" s="18"/>
      <c r="UU68" s="18"/>
      <c r="UV68" s="18"/>
      <c r="UW68" s="18"/>
      <c r="UX68" s="18"/>
      <c r="UY68" s="18"/>
      <c r="UZ68" s="18"/>
      <c r="VA68" s="18"/>
      <c r="VB68" s="18"/>
      <c r="VC68" s="18"/>
      <c r="VD68" s="18"/>
      <c r="VE68" s="18"/>
      <c r="VF68" s="18"/>
      <c r="VG68" s="18"/>
      <c r="VH68" s="18"/>
      <c r="VI68" s="18"/>
      <c r="VJ68" s="18"/>
      <c r="VK68" s="18"/>
      <c r="VL68" s="18"/>
      <c r="VM68" s="18"/>
      <c r="VN68" s="18"/>
      <c r="VO68" s="18"/>
      <c r="VP68" s="18"/>
      <c r="VQ68" s="18"/>
      <c r="VR68" s="18"/>
      <c r="VS68" s="18"/>
      <c r="VT68" s="18"/>
      <c r="VU68" s="18"/>
      <c r="VV68" s="18"/>
      <c r="VW68" s="18"/>
      <c r="VX68" s="18"/>
      <c r="VY68" s="18"/>
      <c r="VZ68" s="18"/>
      <c r="WA68" s="18"/>
      <c r="WB68" s="18"/>
      <c r="WC68" s="18"/>
      <c r="WD68" s="18"/>
      <c r="WE68" s="18"/>
      <c r="WF68" s="18"/>
      <c r="WG68" s="18"/>
      <c r="WH68" s="18"/>
      <c r="WI68" s="18"/>
      <c r="WJ68" s="18"/>
      <c r="WK68" s="18"/>
      <c r="WL68" s="18"/>
      <c r="WM68" s="18"/>
      <c r="WN68" s="18"/>
      <c r="WO68" s="18"/>
      <c r="WP68" s="18"/>
      <c r="WQ68" s="18"/>
      <c r="WR68" s="18"/>
      <c r="WS68" s="18"/>
      <c r="WT68" s="18"/>
      <c r="WU68" s="18"/>
      <c r="WV68" s="18"/>
      <c r="WW68" s="18"/>
      <c r="WX68" s="18"/>
      <c r="WY68" s="18"/>
      <c r="WZ68" s="18"/>
      <c r="XA68" s="18"/>
      <c r="XB68" s="18"/>
      <c r="XC68" s="18"/>
      <c r="XD68" s="18"/>
      <c r="XE68" s="18"/>
      <c r="XF68" s="18"/>
      <c r="XG68" s="18"/>
      <c r="XH68" s="18"/>
      <c r="XI68" s="18"/>
      <c r="XJ68" s="18"/>
      <c r="XK68" s="18"/>
      <c r="XL68" s="18"/>
      <c r="XM68" s="18"/>
      <c r="XN68" s="18"/>
      <c r="XO68" s="18"/>
      <c r="XP68" s="18"/>
      <c r="XQ68" s="18"/>
      <c r="XR68" s="18"/>
      <c r="XS68" s="18"/>
      <c r="XT68" s="18"/>
      <c r="XU68" s="18"/>
      <c r="XV68" s="18"/>
      <c r="XW68" s="18"/>
      <c r="XX68" s="18"/>
      <c r="XY68" s="18"/>
      <c r="XZ68" s="18"/>
      <c r="YA68" s="18"/>
      <c r="YB68" s="18"/>
      <c r="YC68" s="18"/>
      <c r="YD68" s="18"/>
      <c r="YE68" s="18"/>
      <c r="YF68" s="18"/>
      <c r="YG68" s="18"/>
      <c r="YH68" s="18"/>
      <c r="YI68" s="18"/>
      <c r="YJ68" s="18"/>
      <c r="YK68" s="18"/>
      <c r="YL68" s="18"/>
      <c r="YM68" s="18"/>
      <c r="YN68" s="18"/>
      <c r="YO68" s="18"/>
      <c r="YP68" s="18"/>
      <c r="YQ68" s="18"/>
      <c r="YR68" s="18"/>
      <c r="YS68" s="18"/>
      <c r="YT68" s="18"/>
      <c r="YU68" s="18"/>
      <c r="YV68" s="18"/>
      <c r="YW68" s="18"/>
      <c r="YX68" s="18"/>
      <c r="YY68" s="18"/>
      <c r="YZ68" s="18"/>
      <c r="ZA68" s="18"/>
      <c r="ZB68" s="18"/>
      <c r="ZC68" s="18"/>
      <c r="ZD68" s="18"/>
      <c r="ZE68" s="18"/>
      <c r="ZF68" s="18"/>
      <c r="ZG68" s="18"/>
      <c r="ZH68" s="18"/>
      <c r="ZI68" s="18"/>
      <c r="ZJ68" s="18"/>
      <c r="ZK68" s="18"/>
      <c r="ZL68" s="18"/>
      <c r="ZM68" s="18"/>
      <c r="ZN68" s="18"/>
      <c r="ZO68" s="18"/>
      <c r="ZP68" s="18"/>
      <c r="ZQ68" s="18"/>
      <c r="ZR68" s="18"/>
      <c r="ZS68" s="18"/>
      <c r="ZT68" s="18"/>
      <c r="ZU68" s="18"/>
      <c r="ZV68" s="18"/>
      <c r="ZW68" s="18"/>
      <c r="ZX68" s="18"/>
      <c r="ZY68" s="18"/>
      <c r="ZZ68" s="18"/>
      <c r="AAA68" s="18"/>
      <c r="AAB68" s="18"/>
      <c r="AAC68" s="18"/>
      <c r="AAD68" s="18"/>
      <c r="AAE68" s="18"/>
      <c r="AAF68" s="18"/>
      <c r="AAG68" s="18"/>
      <c r="AAH68" s="18"/>
      <c r="AAI68" s="18"/>
      <c r="AAJ68" s="18"/>
      <c r="AAK68" s="18"/>
      <c r="AAL68" s="18"/>
      <c r="AAM68" s="18"/>
      <c r="AAN68" s="18"/>
      <c r="AAO68" s="18"/>
      <c r="AAP68" s="18"/>
      <c r="AAQ68" s="18"/>
      <c r="AAR68" s="18"/>
      <c r="AAS68" s="18"/>
      <c r="AAT68" s="18"/>
      <c r="AAU68" s="18"/>
      <c r="AAV68" s="18"/>
      <c r="AAW68" s="18"/>
      <c r="AAX68" s="18"/>
      <c r="AAY68" s="18"/>
      <c r="AAZ68" s="18"/>
      <c r="ABA68" s="18"/>
      <c r="ABB68" s="18"/>
      <c r="ABC68" s="18"/>
      <c r="ABD68" s="18"/>
      <c r="ABE68" s="18"/>
      <c r="ABF68" s="18"/>
      <c r="ABG68" s="18"/>
      <c r="ABH68" s="18"/>
      <c r="ABI68" s="18"/>
      <c r="ABJ68" s="18"/>
      <c r="ABK68" s="18"/>
      <c r="ABL68" s="18"/>
      <c r="ABM68" s="18"/>
      <c r="ABN68" s="18"/>
      <c r="ABO68" s="18"/>
      <c r="ABP68" s="18"/>
      <c r="ABQ68" s="18"/>
      <c r="ABR68" s="18"/>
      <c r="ABS68" s="18"/>
      <c r="ABT68" s="18"/>
      <c r="ABU68" s="18"/>
      <c r="ABV68" s="18"/>
      <c r="ABW68" s="18"/>
      <c r="ABX68" s="18"/>
      <c r="ABY68" s="18"/>
      <c r="ABZ68" s="18"/>
      <c r="ACA68" s="18"/>
      <c r="ACB68" s="18"/>
      <c r="ACC68" s="18"/>
      <c r="ACD68" s="18"/>
      <c r="ACE68" s="18"/>
      <c r="ACF68" s="18"/>
      <c r="ACG68" s="18"/>
      <c r="ACH68" s="18"/>
      <c r="ACI68" s="18"/>
      <c r="ACJ68" s="18"/>
      <c r="ACK68" s="18"/>
      <c r="ACL68" s="18"/>
      <c r="ACM68" s="18"/>
      <c r="ACN68" s="18"/>
      <c r="ACO68" s="18"/>
      <c r="ACP68" s="18"/>
      <c r="ACQ68" s="18"/>
      <c r="ACR68" s="18"/>
      <c r="ACS68" s="18"/>
      <c r="ACT68" s="18"/>
      <c r="ACU68" s="18"/>
      <c r="ACV68" s="18"/>
      <c r="ACW68" s="18"/>
      <c r="ACX68" s="18"/>
      <c r="ACY68" s="18"/>
      <c r="ACZ68" s="18"/>
      <c r="ADA68" s="18"/>
      <c r="ADB68" s="18"/>
      <c r="ADC68" s="18"/>
      <c r="ADD68" s="18"/>
      <c r="ADE68" s="18"/>
      <c r="ADF68" s="18"/>
      <c r="ADG68" s="18"/>
      <c r="ADH68" s="18"/>
      <c r="ADI68" s="18"/>
      <c r="ADJ68" s="18"/>
      <c r="ADK68" s="18"/>
      <c r="ADL68" s="18"/>
      <c r="ADM68" s="18"/>
      <c r="ADN68" s="18"/>
      <c r="ADO68" s="18"/>
      <c r="ADP68" s="18"/>
      <c r="ADQ68" s="18"/>
      <c r="ADR68" s="18"/>
      <c r="ADS68" s="18"/>
      <c r="ADT68" s="18"/>
      <c r="ADU68" s="18"/>
      <c r="ADV68" s="18"/>
      <c r="ADW68" s="18"/>
      <c r="ADX68" s="18"/>
      <c r="ADY68" s="18"/>
      <c r="ADZ68" s="18"/>
      <c r="AEA68" s="18"/>
      <c r="AEB68" s="18"/>
      <c r="AEC68" s="18"/>
      <c r="AED68" s="18"/>
      <c r="AEE68" s="18"/>
      <c r="AEF68" s="18"/>
      <c r="AEG68" s="18"/>
      <c r="AEH68" s="18"/>
      <c r="AEI68" s="18"/>
      <c r="AEJ68" s="18"/>
      <c r="AEK68" s="18"/>
      <c r="AEL68" s="18"/>
      <c r="AEM68" s="18"/>
      <c r="AEN68" s="18"/>
      <c r="AEO68" s="18"/>
      <c r="AEP68" s="18"/>
      <c r="AEQ68" s="18"/>
      <c r="AER68" s="18"/>
      <c r="AES68" s="18"/>
      <c r="AET68" s="18"/>
      <c r="AEU68" s="18"/>
      <c r="AEV68" s="18"/>
      <c r="AEW68" s="18"/>
      <c r="AEX68" s="18"/>
      <c r="AEY68" s="18"/>
      <c r="AEZ68" s="18"/>
      <c r="AFA68" s="18"/>
      <c r="AFB68" s="18"/>
      <c r="AFC68" s="18"/>
      <c r="AFD68" s="18"/>
      <c r="AFE68" s="18"/>
      <c r="AFF68" s="18"/>
      <c r="AFG68" s="18"/>
      <c r="AFH68" s="18"/>
      <c r="AFI68" s="18"/>
      <c r="AFJ68" s="18"/>
      <c r="AFK68" s="18"/>
      <c r="AFL68" s="18"/>
      <c r="AFM68" s="18"/>
      <c r="AFN68" s="18"/>
      <c r="AFO68" s="18"/>
      <c r="AFP68" s="18"/>
      <c r="AFQ68" s="18"/>
      <c r="AFR68" s="18"/>
      <c r="AFS68" s="18"/>
      <c r="AFT68" s="18"/>
      <c r="AFU68" s="18"/>
      <c r="AFV68" s="18"/>
      <c r="AFW68" s="18"/>
      <c r="AFX68" s="18"/>
      <c r="AFY68" s="18"/>
      <c r="AFZ68" s="18"/>
      <c r="AGA68" s="18"/>
      <c r="AGB68" s="18"/>
      <c r="AGC68" s="18"/>
      <c r="AGD68" s="18"/>
      <c r="AGE68" s="18"/>
      <c r="AGF68" s="18"/>
      <c r="AGG68" s="18"/>
      <c r="AGH68" s="18"/>
      <c r="AGI68" s="18"/>
      <c r="AGJ68" s="18"/>
      <c r="AGK68" s="18"/>
      <c r="AGL68" s="18"/>
      <c r="AGM68" s="18"/>
      <c r="AGN68" s="18"/>
      <c r="AGO68" s="18"/>
      <c r="AGP68" s="18"/>
      <c r="AGQ68" s="18"/>
      <c r="AGR68" s="18"/>
      <c r="AGS68" s="18"/>
      <c r="AGT68" s="18"/>
      <c r="AGU68" s="18"/>
      <c r="AGV68" s="18"/>
      <c r="AGW68" s="18"/>
      <c r="AGX68" s="18"/>
      <c r="AGY68" s="18"/>
      <c r="AGZ68" s="18"/>
      <c r="AHA68" s="18"/>
      <c r="AHB68" s="18"/>
      <c r="AHC68" s="18"/>
      <c r="AHD68" s="18"/>
      <c r="AHE68" s="18"/>
      <c r="AHF68" s="18"/>
      <c r="AHG68" s="18"/>
      <c r="AHH68" s="18"/>
      <c r="AHI68" s="18"/>
      <c r="AHJ68" s="18"/>
      <c r="AHK68" s="18"/>
      <c r="AHL68" s="18"/>
      <c r="AHM68" s="18"/>
      <c r="AHN68" s="18"/>
      <c r="AHO68" s="18"/>
      <c r="AHP68" s="18"/>
      <c r="AHQ68" s="18"/>
      <c r="AHR68" s="18"/>
      <c r="AHS68" s="18"/>
      <c r="AHT68" s="18"/>
      <c r="AHU68" s="18"/>
      <c r="AHV68" s="18"/>
      <c r="AHW68" s="18"/>
      <c r="AHX68" s="18"/>
      <c r="AHY68" s="18"/>
      <c r="AHZ68" s="18"/>
      <c r="AIA68" s="18"/>
      <c r="AIB68" s="18"/>
      <c r="AIC68" s="18"/>
      <c r="AID68" s="18"/>
      <c r="AIE68" s="18"/>
      <c r="AIF68" s="18"/>
      <c r="AIG68" s="18"/>
      <c r="AIH68" s="18"/>
      <c r="AII68" s="18"/>
      <c r="AIJ68" s="18"/>
      <c r="AIK68" s="18"/>
      <c r="AIL68" s="18"/>
      <c r="AIM68" s="18"/>
      <c r="AIN68" s="18"/>
      <c r="AIO68" s="18"/>
      <c r="AIP68" s="18"/>
      <c r="AIQ68" s="18"/>
      <c r="AIR68" s="18"/>
      <c r="AIS68" s="18"/>
      <c r="AIT68" s="18"/>
      <c r="AIU68" s="18"/>
      <c r="AIV68" s="18"/>
      <c r="AIW68" s="18"/>
      <c r="AIX68" s="18"/>
      <c r="AIY68" s="18"/>
      <c r="AIZ68" s="18"/>
      <c r="AJA68" s="18"/>
      <c r="AJB68" s="18"/>
      <c r="AJC68" s="18"/>
      <c r="AJD68" s="18"/>
      <c r="AJE68" s="18"/>
      <c r="AJF68" s="18"/>
      <c r="AJG68" s="18"/>
      <c r="AJH68" s="18"/>
      <c r="AJI68" s="18"/>
      <c r="AJJ68" s="18"/>
      <c r="AJK68" s="18"/>
      <c r="AJL68" s="18"/>
      <c r="AJM68" s="18"/>
      <c r="AJN68" s="18"/>
      <c r="AJO68" s="18"/>
      <c r="AJP68" s="18"/>
      <c r="AJQ68" s="18"/>
      <c r="AJR68" s="18"/>
      <c r="AJS68" s="18"/>
      <c r="AJT68" s="18"/>
      <c r="AJU68" s="18"/>
      <c r="AJV68" s="18"/>
      <c r="AJW68" s="18"/>
      <c r="AJX68" s="18"/>
      <c r="AJY68" s="18"/>
      <c r="AJZ68" s="18"/>
      <c r="AKA68" s="18"/>
      <c r="AKB68" s="18"/>
      <c r="AKC68" s="18"/>
      <c r="AKD68" s="18"/>
      <c r="AKE68" s="18"/>
      <c r="AKF68" s="18"/>
      <c r="AKG68" s="18"/>
      <c r="AKH68" s="18"/>
      <c r="AKI68" s="18"/>
      <c r="AKJ68" s="18"/>
      <c r="AKK68" s="18"/>
      <c r="AKL68" s="18"/>
      <c r="AKM68" s="18"/>
      <c r="AKN68" s="18"/>
      <c r="AKO68" s="18"/>
      <c r="AKP68" s="18"/>
      <c r="AKQ68" s="18"/>
      <c r="AKR68" s="18"/>
      <c r="AKS68" s="18"/>
      <c r="AKT68" s="18"/>
      <c r="AKU68" s="18"/>
      <c r="AKV68" s="18"/>
      <c r="AKW68" s="18"/>
      <c r="AKX68" s="18"/>
      <c r="AKY68" s="18"/>
      <c r="AKZ68" s="18"/>
      <c r="ALA68" s="18"/>
      <c r="ALB68" s="18"/>
      <c r="ALC68" s="18"/>
      <c r="ALD68" s="18"/>
      <c r="ALE68" s="18"/>
      <c r="ALF68" s="18"/>
      <c r="ALG68" s="18"/>
      <c r="ALH68" s="18"/>
      <c r="ALI68" s="18"/>
      <c r="ALJ68" s="18"/>
      <c r="ALK68" s="18"/>
      <c r="ALL68" s="18"/>
      <c r="ALM68" s="18"/>
      <c r="ALN68" s="18"/>
      <c r="ALO68" s="18"/>
      <c r="ALP68" s="18"/>
      <c r="ALQ68" s="18"/>
      <c r="ALR68" s="18"/>
      <c r="ALS68" s="18"/>
      <c r="ALT68" s="18"/>
    </row>
    <row r="69" spans="1:1008" s="88" customFormat="1" ht="24" customHeight="1">
      <c r="A69" s="680" t="s">
        <v>6927</v>
      </c>
      <c r="B69" s="680"/>
      <c r="C69" s="680"/>
      <c r="D69" s="680"/>
      <c r="E69" s="680"/>
      <c r="F69" s="680"/>
      <c r="G69" s="680"/>
      <c r="H69" s="680"/>
      <c r="I69" s="680"/>
      <c r="J69" s="281">
        <f>SUM(J66:J68)</f>
        <v>7163.314511659999</v>
      </c>
      <c r="K69" s="191"/>
      <c r="L69" s="191"/>
      <c r="M69" s="191"/>
      <c r="N69" s="191"/>
      <c r="O69" s="191"/>
      <c r="P69" s="263"/>
    </row>
    <row r="70" spans="1:1008">
      <c r="A70" s="251"/>
      <c r="B70" s="370">
        <v>181</v>
      </c>
      <c r="C70" s="340" t="s">
        <v>594</v>
      </c>
      <c r="D70" s="274"/>
      <c r="E70" s="276"/>
      <c r="F70" s="276"/>
      <c r="G70" s="276"/>
      <c r="H70" s="276"/>
      <c r="I70" s="276"/>
      <c r="J70" s="276"/>
      <c r="K70" s="191"/>
      <c r="L70" s="191"/>
      <c r="M70" s="191"/>
      <c r="N70" s="191"/>
      <c r="O70" s="191"/>
      <c r="P70" s="263"/>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c r="EF70" s="18"/>
      <c r="EG70" s="18"/>
      <c r="EH70" s="18"/>
      <c r="EI70" s="18"/>
      <c r="EJ70" s="18"/>
      <c r="EK70" s="18"/>
      <c r="EL70" s="18"/>
      <c r="EM70" s="18"/>
      <c r="EN70" s="18"/>
      <c r="EO70" s="18"/>
      <c r="EP70" s="18"/>
      <c r="EQ70" s="18"/>
      <c r="ER70" s="18"/>
      <c r="ES70" s="18"/>
      <c r="ET70" s="18"/>
      <c r="EU70" s="18"/>
      <c r="EV70" s="18"/>
      <c r="EW70" s="18"/>
      <c r="EX70" s="18"/>
      <c r="EY70" s="18"/>
      <c r="EZ70" s="18"/>
      <c r="FA70" s="18"/>
      <c r="FB70" s="18"/>
      <c r="FC70" s="18"/>
      <c r="FD70" s="18"/>
      <c r="FE70" s="18"/>
      <c r="FF70" s="18"/>
      <c r="FG70" s="18"/>
      <c r="FH70" s="18"/>
      <c r="FI70" s="18"/>
      <c r="FJ70" s="18"/>
      <c r="FK70" s="18"/>
      <c r="FL70" s="18"/>
      <c r="FM70" s="18"/>
      <c r="FN70" s="18"/>
      <c r="FO70" s="18"/>
      <c r="FP70" s="18"/>
      <c r="FQ70" s="18"/>
      <c r="FR70" s="18"/>
      <c r="FS70" s="18"/>
      <c r="FT70" s="18"/>
      <c r="FU70" s="18"/>
      <c r="FV70" s="18"/>
      <c r="FW70" s="18"/>
      <c r="FX70" s="18"/>
      <c r="FY70" s="18"/>
      <c r="FZ70" s="18"/>
      <c r="GA70" s="18"/>
      <c r="GB70" s="18"/>
      <c r="GC70" s="18"/>
      <c r="GD70" s="18"/>
      <c r="GE70" s="18"/>
      <c r="GF70" s="18"/>
      <c r="GG70" s="18"/>
      <c r="GH70" s="18"/>
      <c r="GI70" s="18"/>
      <c r="GJ70" s="18"/>
      <c r="GK70" s="18"/>
      <c r="GL70" s="18"/>
      <c r="GM70" s="18"/>
      <c r="GN70" s="18"/>
      <c r="GO70" s="18"/>
      <c r="GP70" s="18"/>
      <c r="GQ70" s="18"/>
      <c r="GR70" s="18"/>
      <c r="GS70" s="18"/>
      <c r="GT70" s="18"/>
      <c r="GU70" s="18"/>
      <c r="GV70" s="18"/>
      <c r="GW70" s="18"/>
      <c r="GX70" s="18"/>
      <c r="GY70" s="18"/>
      <c r="GZ70" s="18"/>
      <c r="HA70" s="18"/>
      <c r="HB70" s="18"/>
      <c r="HC70" s="18"/>
      <c r="HD70" s="18"/>
      <c r="HE70" s="18"/>
      <c r="HF70" s="18"/>
      <c r="HG70" s="18"/>
      <c r="HH70" s="18"/>
      <c r="HI70" s="18"/>
      <c r="HJ70" s="18"/>
      <c r="HK70" s="18"/>
      <c r="HL70" s="18"/>
      <c r="HM70" s="18"/>
      <c r="HN70" s="18"/>
      <c r="HO70" s="18"/>
      <c r="HP70" s="18"/>
      <c r="HQ70" s="18"/>
      <c r="HR70" s="18"/>
      <c r="HS70" s="18"/>
      <c r="HT70" s="18"/>
      <c r="HU70" s="18"/>
      <c r="HV70" s="18"/>
      <c r="HW70" s="18"/>
      <c r="HX70" s="18"/>
      <c r="HY70" s="18"/>
      <c r="HZ70" s="18"/>
      <c r="IA70" s="18"/>
      <c r="IB70" s="18"/>
      <c r="IC70" s="18"/>
      <c r="ID70" s="18"/>
      <c r="IE70" s="18"/>
      <c r="IF70" s="18"/>
      <c r="IG70" s="18"/>
      <c r="IH70" s="18"/>
      <c r="II70" s="18"/>
      <c r="IJ70" s="18"/>
      <c r="IK70" s="18"/>
      <c r="IL70" s="18"/>
      <c r="IM70" s="18"/>
      <c r="IN70" s="18"/>
      <c r="IO70" s="18"/>
      <c r="IP70" s="18"/>
      <c r="IQ70" s="18"/>
      <c r="IR70" s="18"/>
      <c r="IS70" s="18"/>
      <c r="IT70" s="18"/>
      <c r="IU70" s="18"/>
      <c r="IV70" s="18"/>
      <c r="IW70" s="18"/>
      <c r="IX70" s="18"/>
      <c r="IY70" s="18"/>
      <c r="IZ70" s="18"/>
      <c r="JA70" s="18"/>
      <c r="JB70" s="18"/>
      <c r="JC70" s="18"/>
      <c r="JD70" s="18"/>
      <c r="JE70" s="18"/>
      <c r="JF70" s="18"/>
      <c r="JG70" s="18"/>
      <c r="JH70" s="18"/>
      <c r="JI70" s="18"/>
      <c r="JJ70" s="18"/>
      <c r="JK70" s="18"/>
      <c r="JL70" s="18"/>
      <c r="JM70" s="18"/>
      <c r="JN70" s="18"/>
      <c r="JO70" s="18"/>
      <c r="JP70" s="18"/>
      <c r="JQ70" s="18"/>
      <c r="JR70" s="18"/>
      <c r="JS70" s="18"/>
      <c r="JT70" s="18"/>
      <c r="JU70" s="18"/>
      <c r="JV70" s="18"/>
      <c r="JW70" s="18"/>
      <c r="JX70" s="18"/>
      <c r="JY70" s="18"/>
      <c r="JZ70" s="18"/>
      <c r="KA70" s="18"/>
      <c r="KB70" s="18"/>
      <c r="KC70" s="18"/>
      <c r="KD70" s="18"/>
      <c r="KE70" s="18"/>
      <c r="KF70" s="18"/>
      <c r="KG70" s="18"/>
      <c r="KH70" s="18"/>
      <c r="KI70" s="18"/>
      <c r="KJ70" s="18"/>
      <c r="KK70" s="18"/>
      <c r="KL70" s="18"/>
      <c r="KM70" s="18"/>
      <c r="KN70" s="18"/>
      <c r="KO70" s="18"/>
      <c r="KP70" s="18"/>
      <c r="KQ70" s="18"/>
      <c r="KR70" s="18"/>
      <c r="KS70" s="18"/>
      <c r="KT70" s="18"/>
      <c r="KU70" s="18"/>
      <c r="KV70" s="18"/>
      <c r="KW70" s="18"/>
      <c r="KX70" s="18"/>
      <c r="KY70" s="18"/>
      <c r="KZ70" s="18"/>
      <c r="LA70" s="18"/>
      <c r="LB70" s="18"/>
      <c r="LC70" s="18"/>
      <c r="LD70" s="18"/>
      <c r="LE70" s="18"/>
      <c r="LF70" s="18"/>
      <c r="LG70" s="18"/>
      <c r="LH70" s="18"/>
      <c r="LI70" s="18"/>
      <c r="LJ70" s="18"/>
      <c r="LK70" s="18"/>
      <c r="LL70" s="18"/>
      <c r="LM70" s="18"/>
      <c r="LN70" s="18"/>
      <c r="LO70" s="18"/>
      <c r="LP70" s="18"/>
      <c r="LQ70" s="18"/>
      <c r="LR70" s="18"/>
      <c r="LS70" s="18"/>
      <c r="LT70" s="18"/>
      <c r="LU70" s="18"/>
      <c r="LV70" s="18"/>
      <c r="LW70" s="18"/>
      <c r="LX70" s="18"/>
      <c r="LY70" s="18"/>
      <c r="LZ70" s="18"/>
      <c r="MA70" s="18"/>
      <c r="MB70" s="18"/>
      <c r="MC70" s="18"/>
      <c r="MD70" s="18"/>
      <c r="ME70" s="18"/>
      <c r="MF70" s="18"/>
      <c r="MG70" s="18"/>
      <c r="MH70" s="18"/>
      <c r="MI70" s="18"/>
      <c r="MJ70" s="18"/>
      <c r="MK70" s="18"/>
      <c r="ML70" s="18"/>
      <c r="MM70" s="18"/>
      <c r="MN70" s="18"/>
      <c r="MO70" s="18"/>
      <c r="MP70" s="18"/>
      <c r="MQ70" s="18"/>
      <c r="MR70" s="18"/>
      <c r="MS70" s="18"/>
      <c r="MT70" s="18"/>
      <c r="MU70" s="18"/>
      <c r="MV70" s="18"/>
      <c r="MW70" s="18"/>
      <c r="MX70" s="18"/>
      <c r="MY70" s="18"/>
      <c r="MZ70" s="18"/>
      <c r="NA70" s="18"/>
      <c r="NB70" s="18"/>
      <c r="NC70" s="18"/>
      <c r="ND70" s="18"/>
      <c r="NE70" s="18"/>
      <c r="NF70" s="18"/>
      <c r="NG70" s="18"/>
      <c r="NH70" s="18"/>
      <c r="NI70" s="18"/>
      <c r="NJ70" s="18"/>
      <c r="NK70" s="18"/>
      <c r="NL70" s="18"/>
      <c r="NM70" s="18"/>
      <c r="NN70" s="18"/>
      <c r="NO70" s="18"/>
      <c r="NP70" s="18"/>
      <c r="NQ70" s="18"/>
      <c r="NR70" s="18"/>
      <c r="NS70" s="18"/>
      <c r="NT70" s="18"/>
      <c r="NU70" s="18"/>
      <c r="NV70" s="18"/>
      <c r="NW70" s="18"/>
      <c r="NX70" s="18"/>
      <c r="NY70" s="18"/>
      <c r="NZ70" s="18"/>
      <c r="OA70" s="18"/>
      <c r="OB70" s="18"/>
      <c r="OC70" s="18"/>
      <c r="OD70" s="18"/>
      <c r="OE70" s="18"/>
      <c r="OF70" s="18"/>
      <c r="OG70" s="18"/>
      <c r="OH70" s="18"/>
      <c r="OI70" s="18"/>
      <c r="OJ70" s="18"/>
      <c r="OK70" s="18"/>
      <c r="OL70" s="18"/>
      <c r="OM70" s="18"/>
      <c r="ON70" s="18"/>
      <c r="OO70" s="18"/>
      <c r="OP70" s="18"/>
      <c r="OQ70" s="18"/>
      <c r="OR70" s="18"/>
      <c r="OS70" s="18"/>
      <c r="OT70" s="18"/>
      <c r="OU70" s="18"/>
      <c r="OV70" s="18"/>
      <c r="OW70" s="18"/>
      <c r="OX70" s="18"/>
      <c r="OY70" s="18"/>
      <c r="OZ70" s="18"/>
      <c r="PA70" s="18"/>
      <c r="PB70" s="18"/>
      <c r="PC70" s="18"/>
      <c r="PD70" s="18"/>
      <c r="PE70" s="18"/>
      <c r="PF70" s="18"/>
      <c r="PG70" s="18"/>
      <c r="PH70" s="18"/>
      <c r="PI70" s="18"/>
      <c r="PJ70" s="18"/>
      <c r="PK70" s="18"/>
      <c r="PL70" s="18"/>
      <c r="PM70" s="18"/>
      <c r="PN70" s="18"/>
      <c r="PO70" s="18"/>
      <c r="PP70" s="18"/>
      <c r="PQ70" s="18"/>
      <c r="PR70" s="18"/>
      <c r="PS70" s="18"/>
      <c r="PT70" s="18"/>
      <c r="PU70" s="18"/>
      <c r="PV70" s="18"/>
      <c r="PW70" s="18"/>
      <c r="PX70" s="18"/>
      <c r="PY70" s="18"/>
      <c r="PZ70" s="18"/>
      <c r="QA70" s="18"/>
      <c r="QB70" s="18"/>
      <c r="QC70" s="18"/>
      <c r="QD70" s="18"/>
      <c r="QE70" s="18"/>
      <c r="QF70" s="18"/>
      <c r="QG70" s="18"/>
      <c r="QH70" s="18"/>
      <c r="QI70" s="18"/>
      <c r="QJ70" s="18"/>
      <c r="QK70" s="18"/>
      <c r="QL70" s="18"/>
      <c r="QM70" s="18"/>
      <c r="QN70" s="18"/>
      <c r="QO70" s="18"/>
      <c r="QP70" s="18"/>
      <c r="QQ70" s="18"/>
      <c r="QR70" s="18"/>
      <c r="QS70" s="18"/>
      <c r="QT70" s="18"/>
      <c r="QU70" s="18"/>
      <c r="QV70" s="18"/>
      <c r="QW70" s="18"/>
      <c r="QX70" s="18"/>
      <c r="QY70" s="18"/>
      <c r="QZ70" s="18"/>
      <c r="RA70" s="18"/>
      <c r="RB70" s="18"/>
      <c r="RC70" s="18"/>
      <c r="RD70" s="18"/>
      <c r="RE70" s="18"/>
      <c r="RF70" s="18"/>
      <c r="RG70" s="18"/>
      <c r="RH70" s="18"/>
      <c r="RI70" s="18"/>
      <c r="RJ70" s="18"/>
      <c r="RK70" s="18"/>
      <c r="RL70" s="18"/>
      <c r="RM70" s="18"/>
      <c r="RN70" s="18"/>
      <c r="RO70" s="18"/>
      <c r="RP70" s="18"/>
      <c r="RQ70" s="18"/>
      <c r="RR70" s="18"/>
      <c r="RS70" s="18"/>
      <c r="RT70" s="18"/>
      <c r="RU70" s="18"/>
      <c r="RV70" s="18"/>
      <c r="RW70" s="18"/>
      <c r="RX70" s="18"/>
      <c r="RY70" s="18"/>
      <c r="RZ70" s="18"/>
      <c r="SA70" s="18"/>
      <c r="SB70" s="18"/>
      <c r="SC70" s="18"/>
      <c r="SD70" s="18"/>
      <c r="SE70" s="18"/>
      <c r="SF70" s="18"/>
      <c r="SG70" s="18"/>
      <c r="SH70" s="18"/>
      <c r="SI70" s="18"/>
      <c r="SJ70" s="18"/>
      <c r="SK70" s="18"/>
      <c r="SL70" s="18"/>
      <c r="SM70" s="18"/>
      <c r="SN70" s="18"/>
      <c r="SO70" s="18"/>
      <c r="SP70" s="18"/>
      <c r="SQ70" s="18"/>
      <c r="SR70" s="18"/>
      <c r="SS70" s="18"/>
      <c r="ST70" s="18"/>
      <c r="SU70" s="18"/>
      <c r="SV70" s="18"/>
      <c r="SW70" s="18"/>
      <c r="SX70" s="18"/>
      <c r="SY70" s="18"/>
      <c r="SZ70" s="18"/>
      <c r="TA70" s="18"/>
      <c r="TB70" s="18"/>
      <c r="TC70" s="18"/>
      <c r="TD70" s="18"/>
      <c r="TE70" s="18"/>
      <c r="TF70" s="18"/>
      <c r="TG70" s="18"/>
      <c r="TH70" s="18"/>
      <c r="TI70" s="18"/>
      <c r="TJ70" s="18"/>
      <c r="TK70" s="18"/>
      <c r="TL70" s="18"/>
      <c r="TM70" s="18"/>
      <c r="TN70" s="18"/>
      <c r="TO70" s="18"/>
      <c r="TP70" s="18"/>
      <c r="TQ70" s="18"/>
      <c r="TR70" s="18"/>
      <c r="TS70" s="18"/>
      <c r="TT70" s="18"/>
      <c r="TU70" s="18"/>
      <c r="TV70" s="18"/>
      <c r="TW70" s="18"/>
      <c r="TX70" s="18"/>
      <c r="TY70" s="18"/>
      <c r="TZ70" s="18"/>
      <c r="UA70" s="18"/>
      <c r="UB70" s="18"/>
      <c r="UC70" s="18"/>
      <c r="UD70" s="18"/>
      <c r="UE70" s="18"/>
      <c r="UF70" s="18"/>
      <c r="UG70" s="18"/>
      <c r="UH70" s="18"/>
      <c r="UI70" s="18"/>
      <c r="UJ70" s="18"/>
      <c r="UK70" s="18"/>
      <c r="UL70" s="18"/>
      <c r="UM70" s="18"/>
      <c r="UN70" s="18"/>
      <c r="UO70" s="18"/>
      <c r="UP70" s="18"/>
      <c r="UQ70" s="18"/>
      <c r="UR70" s="18"/>
      <c r="US70" s="18"/>
      <c r="UT70" s="18"/>
      <c r="UU70" s="18"/>
      <c r="UV70" s="18"/>
      <c r="UW70" s="18"/>
      <c r="UX70" s="18"/>
      <c r="UY70" s="18"/>
      <c r="UZ70" s="18"/>
      <c r="VA70" s="18"/>
      <c r="VB70" s="18"/>
      <c r="VC70" s="18"/>
      <c r="VD70" s="18"/>
      <c r="VE70" s="18"/>
      <c r="VF70" s="18"/>
      <c r="VG70" s="18"/>
      <c r="VH70" s="18"/>
      <c r="VI70" s="18"/>
      <c r="VJ70" s="18"/>
      <c r="VK70" s="18"/>
      <c r="VL70" s="18"/>
      <c r="VM70" s="18"/>
      <c r="VN70" s="18"/>
      <c r="VO70" s="18"/>
      <c r="VP70" s="18"/>
      <c r="VQ70" s="18"/>
      <c r="VR70" s="18"/>
      <c r="VS70" s="18"/>
      <c r="VT70" s="18"/>
      <c r="VU70" s="18"/>
      <c r="VV70" s="18"/>
      <c r="VW70" s="18"/>
      <c r="VX70" s="18"/>
      <c r="VY70" s="18"/>
      <c r="VZ70" s="18"/>
      <c r="WA70" s="18"/>
      <c r="WB70" s="18"/>
      <c r="WC70" s="18"/>
      <c r="WD70" s="18"/>
      <c r="WE70" s="18"/>
      <c r="WF70" s="18"/>
      <c r="WG70" s="18"/>
      <c r="WH70" s="18"/>
      <c r="WI70" s="18"/>
      <c r="WJ70" s="18"/>
      <c r="WK70" s="18"/>
      <c r="WL70" s="18"/>
      <c r="WM70" s="18"/>
      <c r="WN70" s="18"/>
      <c r="WO70" s="18"/>
      <c r="WP70" s="18"/>
      <c r="WQ70" s="18"/>
      <c r="WR70" s="18"/>
      <c r="WS70" s="18"/>
      <c r="WT70" s="18"/>
      <c r="WU70" s="18"/>
      <c r="WV70" s="18"/>
      <c r="WW70" s="18"/>
      <c r="WX70" s="18"/>
      <c r="WY70" s="18"/>
      <c r="WZ70" s="18"/>
      <c r="XA70" s="18"/>
      <c r="XB70" s="18"/>
      <c r="XC70" s="18"/>
      <c r="XD70" s="18"/>
      <c r="XE70" s="18"/>
      <c r="XF70" s="18"/>
      <c r="XG70" s="18"/>
      <c r="XH70" s="18"/>
      <c r="XI70" s="18"/>
      <c r="XJ70" s="18"/>
      <c r="XK70" s="18"/>
      <c r="XL70" s="18"/>
      <c r="XM70" s="18"/>
      <c r="XN70" s="18"/>
      <c r="XO70" s="18"/>
      <c r="XP70" s="18"/>
      <c r="XQ70" s="18"/>
      <c r="XR70" s="18"/>
      <c r="XS70" s="18"/>
      <c r="XT70" s="18"/>
      <c r="XU70" s="18"/>
      <c r="XV70" s="18"/>
      <c r="XW70" s="18"/>
      <c r="XX70" s="18"/>
      <c r="XY70" s="18"/>
      <c r="XZ70" s="18"/>
      <c r="YA70" s="18"/>
      <c r="YB70" s="18"/>
      <c r="YC70" s="18"/>
      <c r="YD70" s="18"/>
      <c r="YE70" s="18"/>
      <c r="YF70" s="18"/>
      <c r="YG70" s="18"/>
      <c r="YH70" s="18"/>
      <c r="YI70" s="18"/>
      <c r="YJ70" s="18"/>
      <c r="YK70" s="18"/>
      <c r="YL70" s="18"/>
      <c r="YM70" s="18"/>
      <c r="YN70" s="18"/>
      <c r="YO70" s="18"/>
      <c r="YP70" s="18"/>
      <c r="YQ70" s="18"/>
      <c r="YR70" s="18"/>
      <c r="YS70" s="18"/>
      <c r="YT70" s="18"/>
      <c r="YU70" s="18"/>
      <c r="YV70" s="18"/>
      <c r="YW70" s="18"/>
      <c r="YX70" s="18"/>
      <c r="YY70" s="18"/>
      <c r="YZ70" s="18"/>
      <c r="ZA70" s="18"/>
      <c r="ZB70" s="18"/>
      <c r="ZC70" s="18"/>
      <c r="ZD70" s="18"/>
      <c r="ZE70" s="18"/>
      <c r="ZF70" s="18"/>
      <c r="ZG70" s="18"/>
      <c r="ZH70" s="18"/>
      <c r="ZI70" s="18"/>
      <c r="ZJ70" s="18"/>
      <c r="ZK70" s="18"/>
      <c r="ZL70" s="18"/>
      <c r="ZM70" s="18"/>
      <c r="ZN70" s="18"/>
      <c r="ZO70" s="18"/>
      <c r="ZP70" s="18"/>
      <c r="ZQ70" s="18"/>
      <c r="ZR70" s="18"/>
      <c r="ZS70" s="18"/>
      <c r="ZT70" s="18"/>
      <c r="ZU70" s="18"/>
      <c r="ZV70" s="18"/>
      <c r="ZW70" s="18"/>
      <c r="ZX70" s="18"/>
      <c r="ZY70" s="18"/>
      <c r="ZZ70" s="18"/>
      <c r="AAA70" s="18"/>
      <c r="AAB70" s="18"/>
      <c r="AAC70" s="18"/>
      <c r="AAD70" s="18"/>
      <c r="AAE70" s="18"/>
      <c r="AAF70" s="18"/>
      <c r="AAG70" s="18"/>
      <c r="AAH70" s="18"/>
      <c r="AAI70" s="18"/>
      <c r="AAJ70" s="18"/>
      <c r="AAK70" s="18"/>
      <c r="AAL70" s="18"/>
      <c r="AAM70" s="18"/>
      <c r="AAN70" s="18"/>
      <c r="AAO70" s="18"/>
      <c r="AAP70" s="18"/>
      <c r="AAQ70" s="18"/>
      <c r="AAR70" s="18"/>
      <c r="AAS70" s="18"/>
      <c r="AAT70" s="18"/>
      <c r="AAU70" s="18"/>
      <c r="AAV70" s="18"/>
      <c r="AAW70" s="18"/>
      <c r="AAX70" s="18"/>
      <c r="AAY70" s="18"/>
      <c r="AAZ70" s="18"/>
      <c r="ABA70" s="18"/>
      <c r="ABB70" s="18"/>
      <c r="ABC70" s="18"/>
      <c r="ABD70" s="18"/>
      <c r="ABE70" s="18"/>
      <c r="ABF70" s="18"/>
      <c r="ABG70" s="18"/>
      <c r="ABH70" s="18"/>
      <c r="ABI70" s="18"/>
      <c r="ABJ70" s="18"/>
      <c r="ABK70" s="18"/>
      <c r="ABL70" s="18"/>
      <c r="ABM70" s="18"/>
      <c r="ABN70" s="18"/>
      <c r="ABO70" s="18"/>
      <c r="ABP70" s="18"/>
      <c r="ABQ70" s="18"/>
      <c r="ABR70" s="18"/>
      <c r="ABS70" s="18"/>
      <c r="ABT70" s="18"/>
      <c r="ABU70" s="18"/>
      <c r="ABV70" s="18"/>
      <c r="ABW70" s="18"/>
      <c r="ABX70" s="18"/>
      <c r="ABY70" s="18"/>
      <c r="ABZ70" s="18"/>
      <c r="ACA70" s="18"/>
      <c r="ACB70" s="18"/>
      <c r="ACC70" s="18"/>
      <c r="ACD70" s="18"/>
      <c r="ACE70" s="18"/>
      <c r="ACF70" s="18"/>
      <c r="ACG70" s="18"/>
      <c r="ACH70" s="18"/>
      <c r="ACI70" s="18"/>
      <c r="ACJ70" s="18"/>
      <c r="ACK70" s="18"/>
      <c r="ACL70" s="18"/>
      <c r="ACM70" s="18"/>
      <c r="ACN70" s="18"/>
      <c r="ACO70" s="18"/>
      <c r="ACP70" s="18"/>
      <c r="ACQ70" s="18"/>
      <c r="ACR70" s="18"/>
      <c r="ACS70" s="18"/>
      <c r="ACT70" s="18"/>
      <c r="ACU70" s="18"/>
      <c r="ACV70" s="18"/>
      <c r="ACW70" s="18"/>
      <c r="ACX70" s="18"/>
      <c r="ACY70" s="18"/>
      <c r="ACZ70" s="18"/>
      <c r="ADA70" s="18"/>
      <c r="ADB70" s="18"/>
      <c r="ADC70" s="18"/>
      <c r="ADD70" s="18"/>
      <c r="ADE70" s="18"/>
      <c r="ADF70" s="18"/>
      <c r="ADG70" s="18"/>
      <c r="ADH70" s="18"/>
      <c r="ADI70" s="18"/>
      <c r="ADJ70" s="18"/>
      <c r="ADK70" s="18"/>
      <c r="ADL70" s="18"/>
      <c r="ADM70" s="18"/>
      <c r="ADN70" s="18"/>
      <c r="ADO70" s="18"/>
      <c r="ADP70" s="18"/>
      <c r="ADQ70" s="18"/>
      <c r="ADR70" s="18"/>
      <c r="ADS70" s="18"/>
      <c r="ADT70" s="18"/>
      <c r="ADU70" s="18"/>
      <c r="ADV70" s="18"/>
      <c r="ADW70" s="18"/>
      <c r="ADX70" s="18"/>
      <c r="ADY70" s="18"/>
      <c r="ADZ70" s="18"/>
      <c r="AEA70" s="18"/>
      <c r="AEB70" s="18"/>
      <c r="AEC70" s="18"/>
      <c r="AED70" s="18"/>
      <c r="AEE70" s="18"/>
      <c r="AEF70" s="18"/>
      <c r="AEG70" s="18"/>
      <c r="AEH70" s="18"/>
      <c r="AEI70" s="18"/>
      <c r="AEJ70" s="18"/>
      <c r="AEK70" s="18"/>
      <c r="AEL70" s="18"/>
      <c r="AEM70" s="18"/>
      <c r="AEN70" s="18"/>
      <c r="AEO70" s="18"/>
      <c r="AEP70" s="18"/>
      <c r="AEQ70" s="18"/>
      <c r="AER70" s="18"/>
      <c r="AES70" s="18"/>
      <c r="AET70" s="18"/>
      <c r="AEU70" s="18"/>
      <c r="AEV70" s="18"/>
      <c r="AEW70" s="18"/>
      <c r="AEX70" s="18"/>
      <c r="AEY70" s="18"/>
      <c r="AEZ70" s="18"/>
      <c r="AFA70" s="18"/>
      <c r="AFB70" s="18"/>
      <c r="AFC70" s="18"/>
      <c r="AFD70" s="18"/>
      <c r="AFE70" s="18"/>
      <c r="AFF70" s="18"/>
      <c r="AFG70" s="18"/>
      <c r="AFH70" s="18"/>
      <c r="AFI70" s="18"/>
      <c r="AFJ70" s="18"/>
      <c r="AFK70" s="18"/>
      <c r="AFL70" s="18"/>
      <c r="AFM70" s="18"/>
      <c r="AFN70" s="18"/>
      <c r="AFO70" s="18"/>
      <c r="AFP70" s="18"/>
      <c r="AFQ70" s="18"/>
      <c r="AFR70" s="18"/>
      <c r="AFS70" s="18"/>
      <c r="AFT70" s="18"/>
      <c r="AFU70" s="18"/>
      <c r="AFV70" s="18"/>
      <c r="AFW70" s="18"/>
      <c r="AFX70" s="18"/>
      <c r="AFY70" s="18"/>
      <c r="AFZ70" s="18"/>
      <c r="AGA70" s="18"/>
      <c r="AGB70" s="18"/>
      <c r="AGC70" s="18"/>
      <c r="AGD70" s="18"/>
      <c r="AGE70" s="18"/>
      <c r="AGF70" s="18"/>
      <c r="AGG70" s="18"/>
      <c r="AGH70" s="18"/>
      <c r="AGI70" s="18"/>
      <c r="AGJ70" s="18"/>
      <c r="AGK70" s="18"/>
      <c r="AGL70" s="18"/>
      <c r="AGM70" s="18"/>
      <c r="AGN70" s="18"/>
      <c r="AGO70" s="18"/>
      <c r="AGP70" s="18"/>
      <c r="AGQ70" s="18"/>
      <c r="AGR70" s="18"/>
      <c r="AGS70" s="18"/>
      <c r="AGT70" s="18"/>
      <c r="AGU70" s="18"/>
      <c r="AGV70" s="18"/>
      <c r="AGW70" s="18"/>
      <c r="AGX70" s="18"/>
      <c r="AGY70" s="18"/>
      <c r="AGZ70" s="18"/>
      <c r="AHA70" s="18"/>
      <c r="AHB70" s="18"/>
      <c r="AHC70" s="18"/>
      <c r="AHD70" s="18"/>
      <c r="AHE70" s="18"/>
      <c r="AHF70" s="18"/>
      <c r="AHG70" s="18"/>
      <c r="AHH70" s="18"/>
      <c r="AHI70" s="18"/>
      <c r="AHJ70" s="18"/>
      <c r="AHK70" s="18"/>
      <c r="AHL70" s="18"/>
      <c r="AHM70" s="18"/>
      <c r="AHN70" s="18"/>
      <c r="AHO70" s="18"/>
      <c r="AHP70" s="18"/>
      <c r="AHQ70" s="18"/>
      <c r="AHR70" s="18"/>
      <c r="AHS70" s="18"/>
      <c r="AHT70" s="18"/>
      <c r="AHU70" s="18"/>
      <c r="AHV70" s="18"/>
      <c r="AHW70" s="18"/>
      <c r="AHX70" s="18"/>
      <c r="AHY70" s="18"/>
      <c r="AHZ70" s="18"/>
      <c r="AIA70" s="18"/>
      <c r="AIB70" s="18"/>
      <c r="AIC70" s="18"/>
      <c r="AID70" s="18"/>
      <c r="AIE70" s="18"/>
      <c r="AIF70" s="18"/>
      <c r="AIG70" s="18"/>
      <c r="AIH70" s="18"/>
      <c r="AII70" s="18"/>
      <c r="AIJ70" s="18"/>
      <c r="AIK70" s="18"/>
      <c r="AIL70" s="18"/>
      <c r="AIM70" s="18"/>
      <c r="AIN70" s="18"/>
      <c r="AIO70" s="18"/>
      <c r="AIP70" s="18"/>
      <c r="AIQ70" s="18"/>
      <c r="AIR70" s="18"/>
      <c r="AIS70" s="18"/>
      <c r="AIT70" s="18"/>
      <c r="AIU70" s="18"/>
      <c r="AIV70" s="18"/>
      <c r="AIW70" s="18"/>
      <c r="AIX70" s="18"/>
      <c r="AIY70" s="18"/>
      <c r="AIZ70" s="18"/>
      <c r="AJA70" s="18"/>
      <c r="AJB70" s="18"/>
      <c r="AJC70" s="18"/>
      <c r="AJD70" s="18"/>
      <c r="AJE70" s="18"/>
      <c r="AJF70" s="18"/>
      <c r="AJG70" s="18"/>
      <c r="AJH70" s="18"/>
      <c r="AJI70" s="18"/>
      <c r="AJJ70" s="18"/>
      <c r="AJK70" s="18"/>
      <c r="AJL70" s="18"/>
      <c r="AJM70" s="18"/>
      <c r="AJN70" s="18"/>
      <c r="AJO70" s="18"/>
      <c r="AJP70" s="18"/>
      <c r="AJQ70" s="18"/>
      <c r="AJR70" s="18"/>
      <c r="AJS70" s="18"/>
      <c r="AJT70" s="18"/>
      <c r="AJU70" s="18"/>
      <c r="AJV70" s="18"/>
      <c r="AJW70" s="18"/>
      <c r="AJX70" s="18"/>
      <c r="AJY70" s="18"/>
      <c r="AJZ70" s="18"/>
      <c r="AKA70" s="18"/>
      <c r="AKB70" s="18"/>
      <c r="AKC70" s="18"/>
      <c r="AKD70" s="18"/>
      <c r="AKE70" s="18"/>
      <c r="AKF70" s="18"/>
      <c r="AKG70" s="18"/>
      <c r="AKH70" s="18"/>
      <c r="AKI70" s="18"/>
      <c r="AKJ70" s="18"/>
      <c r="AKK70" s="18"/>
      <c r="AKL70" s="18"/>
      <c r="AKM70" s="18"/>
      <c r="AKN70" s="18"/>
      <c r="AKO70" s="18"/>
      <c r="AKP70" s="18"/>
      <c r="AKQ70" s="18"/>
      <c r="AKR70" s="18"/>
      <c r="AKS70" s="18"/>
      <c r="AKT70" s="18"/>
      <c r="AKU70" s="18"/>
      <c r="AKV70" s="18"/>
      <c r="AKW70" s="18"/>
      <c r="AKX70" s="18"/>
      <c r="AKY70" s="18"/>
      <c r="AKZ70" s="18"/>
      <c r="ALA70" s="18"/>
      <c r="ALB70" s="18"/>
      <c r="ALC70" s="18"/>
      <c r="ALD70" s="18"/>
      <c r="ALE70" s="18"/>
      <c r="ALF70" s="18"/>
      <c r="ALG70" s="18"/>
      <c r="ALH70" s="18"/>
      <c r="ALI70" s="18"/>
      <c r="ALJ70" s="18"/>
      <c r="ALK70" s="18"/>
      <c r="ALL70" s="18"/>
      <c r="ALM70" s="18"/>
      <c r="ALN70" s="18"/>
      <c r="ALO70" s="18"/>
      <c r="ALP70" s="18"/>
      <c r="ALQ70" s="18"/>
      <c r="ALR70" s="18"/>
      <c r="ALS70" s="18"/>
      <c r="ALT70" s="18"/>
    </row>
    <row r="71" spans="1:1008">
      <c r="A71" s="251" t="s">
        <v>7</v>
      </c>
      <c r="B71" s="302">
        <v>72117</v>
      </c>
      <c r="C71" s="278" t="str">
        <f>(IF($A71="SINAPI",INDEX(SINAPI_NOV2020_NDES!$A$7:$H$6703,MATCH($B71,SINAPI_NOV2020_NDES!$A$7:$A$6703,0),2),IF($A71="GOINFRA",INDEX(#REF!,MATCH($B71,#REF!,0),2),(INDEX(COMPOS!$A$4:$G$390,MATCH($B71,COMPOS!$A$4:A$390,0),2)))))</f>
        <v>VIDRO LISO COMUM TRANSPARENTE, ESPESSURA 4MM</v>
      </c>
      <c r="D71" s="274" t="str">
        <f>(IF($A71="SINAPI",INDEX(SINAPI_NOV2020_NDES!$A$7:$H$6790,MATCH($B71,SINAPI_NOV2020_NDES!$A$7:$A$6790,0),3),(INDEX(COMPOS!$A$4:$G$5000,MATCH($B71,COMPOS!$A$4:$A$5000,0),3))))</f>
        <v>M2</v>
      </c>
      <c r="E71" s="314">
        <v>6.28</v>
      </c>
      <c r="F71" s="279">
        <f>(IF($A71="SINAPI",INDEX(SINAPI_NOV2020_NDES!$A$7:$H$6703,MATCH($B71,SINAPI_NOV2020_NDES!$A$7:$A$6703,0),5),(INDEX(COMPOS!$A$4:$G$801,MATCH($B71,COMPOS!$A$4:A$801,0),4))))</f>
        <v>11.8</v>
      </c>
      <c r="G71" s="280">
        <f>(IF($A71="SINAPI",INDEX(SINAPI_NOV2020_NDES!$A$7:$H$6703,MATCH($B71,SINAPI_NOV2020_NDES!$A$7:$A$6703,0),6),(INDEX(COMPOS!$A$4:$G$801,MATCH($B71,COMPOS!$A$4:A$801,0),5))))</f>
        <v>171.51</v>
      </c>
      <c r="H71" s="280">
        <f>(IF($A71="SINAPI",INDEX(SINAPI_NOV2020_NDES!$A$7:$H$6703,MATCH($B71,SINAPI_NOV2020_NDES!$A$7:$A$6703,0),7),(INDEX(COMPOS!$A$4:$G$801,MATCH($B71,COMPOS!$A$4:A$801,0),6))))</f>
        <v>0</v>
      </c>
      <c r="I71" s="279">
        <f t="shared" ref="I71" si="20">SUM(F71:H71)</f>
        <v>183.31</v>
      </c>
      <c r="J71" s="276">
        <f t="shared" ref="J71" si="21">+I71*E71</f>
        <v>1151.1867999999999</v>
      </c>
      <c r="K71" s="191"/>
      <c r="L71" s="191"/>
      <c r="M71" s="191"/>
      <c r="N71" s="191"/>
      <c r="O71" s="262"/>
      <c r="P71" s="263"/>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c r="EF71" s="18"/>
      <c r="EG71" s="18"/>
      <c r="EH71" s="18"/>
      <c r="EI71" s="18"/>
      <c r="EJ71" s="18"/>
      <c r="EK71" s="18"/>
      <c r="EL71" s="18"/>
      <c r="EM71" s="18"/>
      <c r="EN71" s="18"/>
      <c r="EO71" s="18"/>
      <c r="EP71" s="18"/>
      <c r="EQ71" s="18"/>
      <c r="ER71" s="18"/>
      <c r="ES71" s="18"/>
      <c r="ET71" s="18"/>
      <c r="EU71" s="18"/>
      <c r="EV71" s="18"/>
      <c r="EW71" s="18"/>
      <c r="EX71" s="18"/>
      <c r="EY71" s="18"/>
      <c r="EZ71" s="18"/>
      <c r="FA71" s="18"/>
      <c r="FB71" s="18"/>
      <c r="FC71" s="18"/>
      <c r="FD71" s="18"/>
      <c r="FE71" s="18"/>
      <c r="FF71" s="18"/>
      <c r="FG71" s="18"/>
      <c r="FH71" s="18"/>
      <c r="FI71" s="18"/>
      <c r="FJ71" s="18"/>
      <c r="FK71" s="18"/>
      <c r="FL71" s="18"/>
      <c r="FM71" s="18"/>
      <c r="FN71" s="18"/>
      <c r="FO71" s="18"/>
      <c r="FP71" s="18"/>
      <c r="FQ71" s="18"/>
      <c r="FR71" s="18"/>
      <c r="FS71" s="18"/>
      <c r="FT71" s="18"/>
      <c r="FU71" s="18"/>
      <c r="FV71" s="18"/>
      <c r="FW71" s="18"/>
      <c r="FX71" s="18"/>
      <c r="FY71" s="18"/>
      <c r="FZ71" s="18"/>
      <c r="GA71" s="18"/>
      <c r="GB71" s="18"/>
      <c r="GC71" s="18"/>
      <c r="GD71" s="18"/>
      <c r="GE71" s="18"/>
      <c r="GF71" s="18"/>
      <c r="GG71" s="18"/>
      <c r="GH71" s="18"/>
      <c r="GI71" s="18"/>
      <c r="GJ71" s="18"/>
      <c r="GK71" s="18"/>
      <c r="GL71" s="18"/>
      <c r="GM71" s="18"/>
      <c r="GN71" s="18"/>
      <c r="GO71" s="18"/>
      <c r="GP71" s="18"/>
      <c r="GQ71" s="18"/>
      <c r="GR71" s="18"/>
      <c r="GS71" s="18"/>
      <c r="GT71" s="18"/>
      <c r="GU71" s="18"/>
      <c r="GV71" s="18"/>
      <c r="GW71" s="18"/>
      <c r="GX71" s="18"/>
      <c r="GY71" s="18"/>
      <c r="GZ71" s="18"/>
      <c r="HA71" s="18"/>
      <c r="HB71" s="18"/>
      <c r="HC71" s="18"/>
      <c r="HD71" s="18"/>
      <c r="HE71" s="18"/>
      <c r="HF71" s="18"/>
      <c r="HG71" s="18"/>
      <c r="HH71" s="18"/>
      <c r="HI71" s="18"/>
      <c r="HJ71" s="18"/>
      <c r="HK71" s="18"/>
      <c r="HL71" s="18"/>
      <c r="HM71" s="18"/>
      <c r="HN71" s="18"/>
      <c r="HO71" s="18"/>
      <c r="HP71" s="18"/>
      <c r="HQ71" s="18"/>
      <c r="HR71" s="18"/>
      <c r="HS71" s="18"/>
      <c r="HT71" s="18"/>
      <c r="HU71" s="18"/>
      <c r="HV71" s="18"/>
      <c r="HW71" s="18"/>
      <c r="HX71" s="18"/>
      <c r="HY71" s="18"/>
      <c r="HZ71" s="18"/>
      <c r="IA71" s="18"/>
      <c r="IB71" s="18"/>
      <c r="IC71" s="18"/>
      <c r="ID71" s="18"/>
      <c r="IE71" s="18"/>
      <c r="IF71" s="18"/>
      <c r="IG71" s="18"/>
      <c r="IH71" s="18"/>
      <c r="II71" s="18"/>
      <c r="IJ71" s="18"/>
      <c r="IK71" s="18"/>
      <c r="IL71" s="18"/>
      <c r="IM71" s="18"/>
      <c r="IN71" s="18"/>
      <c r="IO71" s="18"/>
      <c r="IP71" s="18"/>
      <c r="IQ71" s="18"/>
      <c r="IR71" s="18"/>
      <c r="IS71" s="18"/>
      <c r="IT71" s="18"/>
      <c r="IU71" s="18"/>
      <c r="IV71" s="18"/>
      <c r="IW71" s="18"/>
      <c r="IX71" s="18"/>
      <c r="IY71" s="18"/>
      <c r="IZ71" s="18"/>
      <c r="JA71" s="18"/>
      <c r="JB71" s="18"/>
      <c r="JC71" s="18"/>
      <c r="JD71" s="18"/>
      <c r="JE71" s="18"/>
      <c r="JF71" s="18"/>
      <c r="JG71" s="18"/>
      <c r="JH71" s="18"/>
      <c r="JI71" s="18"/>
      <c r="JJ71" s="18"/>
      <c r="JK71" s="18"/>
      <c r="JL71" s="18"/>
      <c r="JM71" s="18"/>
      <c r="JN71" s="18"/>
      <c r="JO71" s="18"/>
      <c r="JP71" s="18"/>
      <c r="JQ71" s="18"/>
      <c r="JR71" s="18"/>
      <c r="JS71" s="18"/>
      <c r="JT71" s="18"/>
      <c r="JU71" s="18"/>
      <c r="JV71" s="18"/>
      <c r="JW71" s="18"/>
      <c r="JX71" s="18"/>
      <c r="JY71" s="18"/>
      <c r="JZ71" s="18"/>
      <c r="KA71" s="18"/>
      <c r="KB71" s="18"/>
      <c r="KC71" s="18"/>
      <c r="KD71" s="18"/>
      <c r="KE71" s="18"/>
      <c r="KF71" s="18"/>
      <c r="KG71" s="18"/>
      <c r="KH71" s="18"/>
      <c r="KI71" s="18"/>
      <c r="KJ71" s="18"/>
      <c r="KK71" s="18"/>
      <c r="KL71" s="18"/>
      <c r="KM71" s="18"/>
      <c r="KN71" s="18"/>
      <c r="KO71" s="18"/>
      <c r="KP71" s="18"/>
      <c r="KQ71" s="18"/>
      <c r="KR71" s="18"/>
      <c r="KS71" s="18"/>
      <c r="KT71" s="18"/>
      <c r="KU71" s="18"/>
      <c r="KV71" s="18"/>
      <c r="KW71" s="18"/>
      <c r="KX71" s="18"/>
      <c r="KY71" s="18"/>
      <c r="KZ71" s="18"/>
      <c r="LA71" s="18"/>
      <c r="LB71" s="18"/>
      <c r="LC71" s="18"/>
      <c r="LD71" s="18"/>
      <c r="LE71" s="18"/>
      <c r="LF71" s="18"/>
      <c r="LG71" s="18"/>
      <c r="LH71" s="18"/>
      <c r="LI71" s="18"/>
      <c r="LJ71" s="18"/>
      <c r="LK71" s="18"/>
      <c r="LL71" s="18"/>
      <c r="LM71" s="18"/>
      <c r="LN71" s="18"/>
      <c r="LO71" s="18"/>
      <c r="LP71" s="18"/>
      <c r="LQ71" s="18"/>
      <c r="LR71" s="18"/>
      <c r="LS71" s="18"/>
      <c r="LT71" s="18"/>
      <c r="LU71" s="18"/>
      <c r="LV71" s="18"/>
      <c r="LW71" s="18"/>
      <c r="LX71" s="18"/>
      <c r="LY71" s="18"/>
      <c r="LZ71" s="18"/>
      <c r="MA71" s="18"/>
      <c r="MB71" s="18"/>
      <c r="MC71" s="18"/>
      <c r="MD71" s="18"/>
      <c r="ME71" s="18"/>
      <c r="MF71" s="18"/>
      <c r="MG71" s="18"/>
      <c r="MH71" s="18"/>
      <c r="MI71" s="18"/>
      <c r="MJ71" s="18"/>
      <c r="MK71" s="18"/>
      <c r="ML71" s="18"/>
      <c r="MM71" s="18"/>
      <c r="MN71" s="18"/>
      <c r="MO71" s="18"/>
      <c r="MP71" s="18"/>
      <c r="MQ71" s="18"/>
      <c r="MR71" s="18"/>
      <c r="MS71" s="18"/>
      <c r="MT71" s="18"/>
      <c r="MU71" s="18"/>
      <c r="MV71" s="18"/>
      <c r="MW71" s="18"/>
      <c r="MX71" s="18"/>
      <c r="MY71" s="18"/>
      <c r="MZ71" s="18"/>
      <c r="NA71" s="18"/>
      <c r="NB71" s="18"/>
      <c r="NC71" s="18"/>
      <c r="ND71" s="18"/>
      <c r="NE71" s="18"/>
      <c r="NF71" s="18"/>
      <c r="NG71" s="18"/>
      <c r="NH71" s="18"/>
      <c r="NI71" s="18"/>
      <c r="NJ71" s="18"/>
      <c r="NK71" s="18"/>
      <c r="NL71" s="18"/>
      <c r="NM71" s="18"/>
      <c r="NN71" s="18"/>
      <c r="NO71" s="18"/>
      <c r="NP71" s="18"/>
      <c r="NQ71" s="18"/>
      <c r="NR71" s="18"/>
      <c r="NS71" s="18"/>
      <c r="NT71" s="18"/>
      <c r="NU71" s="18"/>
      <c r="NV71" s="18"/>
      <c r="NW71" s="18"/>
      <c r="NX71" s="18"/>
      <c r="NY71" s="18"/>
      <c r="NZ71" s="18"/>
      <c r="OA71" s="18"/>
      <c r="OB71" s="18"/>
      <c r="OC71" s="18"/>
      <c r="OD71" s="18"/>
      <c r="OE71" s="18"/>
      <c r="OF71" s="18"/>
      <c r="OG71" s="18"/>
      <c r="OH71" s="18"/>
      <c r="OI71" s="18"/>
      <c r="OJ71" s="18"/>
      <c r="OK71" s="18"/>
      <c r="OL71" s="18"/>
      <c r="OM71" s="18"/>
      <c r="ON71" s="18"/>
      <c r="OO71" s="18"/>
      <c r="OP71" s="18"/>
      <c r="OQ71" s="18"/>
      <c r="OR71" s="18"/>
      <c r="OS71" s="18"/>
      <c r="OT71" s="18"/>
      <c r="OU71" s="18"/>
      <c r="OV71" s="18"/>
      <c r="OW71" s="18"/>
      <c r="OX71" s="18"/>
      <c r="OY71" s="18"/>
      <c r="OZ71" s="18"/>
      <c r="PA71" s="18"/>
      <c r="PB71" s="18"/>
      <c r="PC71" s="18"/>
      <c r="PD71" s="18"/>
      <c r="PE71" s="18"/>
      <c r="PF71" s="18"/>
      <c r="PG71" s="18"/>
      <c r="PH71" s="18"/>
      <c r="PI71" s="18"/>
      <c r="PJ71" s="18"/>
      <c r="PK71" s="18"/>
      <c r="PL71" s="18"/>
      <c r="PM71" s="18"/>
      <c r="PN71" s="18"/>
      <c r="PO71" s="18"/>
      <c r="PP71" s="18"/>
      <c r="PQ71" s="18"/>
      <c r="PR71" s="18"/>
      <c r="PS71" s="18"/>
      <c r="PT71" s="18"/>
      <c r="PU71" s="18"/>
      <c r="PV71" s="18"/>
      <c r="PW71" s="18"/>
      <c r="PX71" s="18"/>
      <c r="PY71" s="18"/>
      <c r="PZ71" s="18"/>
      <c r="QA71" s="18"/>
      <c r="QB71" s="18"/>
      <c r="QC71" s="18"/>
      <c r="QD71" s="18"/>
      <c r="QE71" s="18"/>
      <c r="QF71" s="18"/>
      <c r="QG71" s="18"/>
      <c r="QH71" s="18"/>
      <c r="QI71" s="18"/>
      <c r="QJ71" s="18"/>
      <c r="QK71" s="18"/>
      <c r="QL71" s="18"/>
      <c r="QM71" s="18"/>
      <c r="QN71" s="18"/>
      <c r="QO71" s="18"/>
      <c r="QP71" s="18"/>
      <c r="QQ71" s="18"/>
      <c r="QR71" s="18"/>
      <c r="QS71" s="18"/>
      <c r="QT71" s="18"/>
      <c r="QU71" s="18"/>
      <c r="QV71" s="18"/>
      <c r="QW71" s="18"/>
      <c r="QX71" s="18"/>
      <c r="QY71" s="18"/>
      <c r="QZ71" s="18"/>
      <c r="RA71" s="18"/>
      <c r="RB71" s="18"/>
      <c r="RC71" s="18"/>
      <c r="RD71" s="18"/>
      <c r="RE71" s="18"/>
      <c r="RF71" s="18"/>
      <c r="RG71" s="18"/>
      <c r="RH71" s="18"/>
      <c r="RI71" s="18"/>
      <c r="RJ71" s="18"/>
      <c r="RK71" s="18"/>
      <c r="RL71" s="18"/>
      <c r="RM71" s="18"/>
      <c r="RN71" s="18"/>
      <c r="RO71" s="18"/>
      <c r="RP71" s="18"/>
      <c r="RQ71" s="18"/>
      <c r="RR71" s="18"/>
      <c r="RS71" s="18"/>
      <c r="RT71" s="18"/>
      <c r="RU71" s="18"/>
      <c r="RV71" s="18"/>
      <c r="RW71" s="18"/>
      <c r="RX71" s="18"/>
      <c r="RY71" s="18"/>
      <c r="RZ71" s="18"/>
      <c r="SA71" s="18"/>
      <c r="SB71" s="18"/>
      <c r="SC71" s="18"/>
      <c r="SD71" s="18"/>
      <c r="SE71" s="18"/>
      <c r="SF71" s="18"/>
      <c r="SG71" s="18"/>
      <c r="SH71" s="18"/>
      <c r="SI71" s="18"/>
      <c r="SJ71" s="18"/>
      <c r="SK71" s="18"/>
      <c r="SL71" s="18"/>
      <c r="SM71" s="18"/>
      <c r="SN71" s="18"/>
      <c r="SO71" s="18"/>
      <c r="SP71" s="18"/>
      <c r="SQ71" s="18"/>
      <c r="SR71" s="18"/>
      <c r="SS71" s="18"/>
      <c r="ST71" s="18"/>
      <c r="SU71" s="18"/>
      <c r="SV71" s="18"/>
      <c r="SW71" s="18"/>
      <c r="SX71" s="18"/>
      <c r="SY71" s="18"/>
      <c r="SZ71" s="18"/>
      <c r="TA71" s="18"/>
      <c r="TB71" s="18"/>
      <c r="TC71" s="18"/>
      <c r="TD71" s="18"/>
      <c r="TE71" s="18"/>
      <c r="TF71" s="18"/>
      <c r="TG71" s="18"/>
      <c r="TH71" s="18"/>
      <c r="TI71" s="18"/>
      <c r="TJ71" s="18"/>
      <c r="TK71" s="18"/>
      <c r="TL71" s="18"/>
      <c r="TM71" s="18"/>
      <c r="TN71" s="18"/>
      <c r="TO71" s="18"/>
      <c r="TP71" s="18"/>
      <c r="TQ71" s="18"/>
      <c r="TR71" s="18"/>
      <c r="TS71" s="18"/>
      <c r="TT71" s="18"/>
      <c r="TU71" s="18"/>
      <c r="TV71" s="18"/>
      <c r="TW71" s="18"/>
      <c r="TX71" s="18"/>
      <c r="TY71" s="18"/>
      <c r="TZ71" s="18"/>
      <c r="UA71" s="18"/>
      <c r="UB71" s="18"/>
      <c r="UC71" s="18"/>
      <c r="UD71" s="18"/>
      <c r="UE71" s="18"/>
      <c r="UF71" s="18"/>
      <c r="UG71" s="18"/>
      <c r="UH71" s="18"/>
      <c r="UI71" s="18"/>
      <c r="UJ71" s="18"/>
      <c r="UK71" s="18"/>
      <c r="UL71" s="18"/>
      <c r="UM71" s="18"/>
      <c r="UN71" s="18"/>
      <c r="UO71" s="18"/>
      <c r="UP71" s="18"/>
      <c r="UQ71" s="18"/>
      <c r="UR71" s="18"/>
      <c r="US71" s="18"/>
      <c r="UT71" s="18"/>
      <c r="UU71" s="18"/>
      <c r="UV71" s="18"/>
      <c r="UW71" s="18"/>
      <c r="UX71" s="18"/>
      <c r="UY71" s="18"/>
      <c r="UZ71" s="18"/>
      <c r="VA71" s="18"/>
      <c r="VB71" s="18"/>
      <c r="VC71" s="18"/>
      <c r="VD71" s="18"/>
      <c r="VE71" s="18"/>
      <c r="VF71" s="18"/>
      <c r="VG71" s="18"/>
      <c r="VH71" s="18"/>
      <c r="VI71" s="18"/>
      <c r="VJ71" s="18"/>
      <c r="VK71" s="18"/>
      <c r="VL71" s="18"/>
      <c r="VM71" s="18"/>
      <c r="VN71" s="18"/>
      <c r="VO71" s="18"/>
      <c r="VP71" s="18"/>
      <c r="VQ71" s="18"/>
      <c r="VR71" s="18"/>
      <c r="VS71" s="18"/>
      <c r="VT71" s="18"/>
      <c r="VU71" s="18"/>
      <c r="VV71" s="18"/>
      <c r="VW71" s="18"/>
      <c r="VX71" s="18"/>
      <c r="VY71" s="18"/>
      <c r="VZ71" s="18"/>
      <c r="WA71" s="18"/>
      <c r="WB71" s="18"/>
      <c r="WC71" s="18"/>
      <c r="WD71" s="18"/>
      <c r="WE71" s="18"/>
      <c r="WF71" s="18"/>
      <c r="WG71" s="18"/>
      <c r="WH71" s="18"/>
      <c r="WI71" s="18"/>
      <c r="WJ71" s="18"/>
      <c r="WK71" s="18"/>
      <c r="WL71" s="18"/>
      <c r="WM71" s="18"/>
      <c r="WN71" s="18"/>
      <c r="WO71" s="18"/>
      <c r="WP71" s="18"/>
      <c r="WQ71" s="18"/>
      <c r="WR71" s="18"/>
      <c r="WS71" s="18"/>
      <c r="WT71" s="18"/>
      <c r="WU71" s="18"/>
      <c r="WV71" s="18"/>
      <c r="WW71" s="18"/>
      <c r="WX71" s="18"/>
      <c r="WY71" s="18"/>
      <c r="WZ71" s="18"/>
      <c r="XA71" s="18"/>
      <c r="XB71" s="18"/>
      <c r="XC71" s="18"/>
      <c r="XD71" s="18"/>
      <c r="XE71" s="18"/>
      <c r="XF71" s="18"/>
      <c r="XG71" s="18"/>
      <c r="XH71" s="18"/>
      <c r="XI71" s="18"/>
      <c r="XJ71" s="18"/>
      <c r="XK71" s="18"/>
      <c r="XL71" s="18"/>
      <c r="XM71" s="18"/>
      <c r="XN71" s="18"/>
      <c r="XO71" s="18"/>
      <c r="XP71" s="18"/>
      <c r="XQ71" s="18"/>
      <c r="XR71" s="18"/>
      <c r="XS71" s="18"/>
      <c r="XT71" s="18"/>
      <c r="XU71" s="18"/>
      <c r="XV71" s="18"/>
      <c r="XW71" s="18"/>
      <c r="XX71" s="18"/>
      <c r="XY71" s="18"/>
      <c r="XZ71" s="18"/>
      <c r="YA71" s="18"/>
      <c r="YB71" s="18"/>
      <c r="YC71" s="18"/>
      <c r="YD71" s="18"/>
      <c r="YE71" s="18"/>
      <c r="YF71" s="18"/>
      <c r="YG71" s="18"/>
      <c r="YH71" s="18"/>
      <c r="YI71" s="18"/>
      <c r="YJ71" s="18"/>
      <c r="YK71" s="18"/>
      <c r="YL71" s="18"/>
      <c r="YM71" s="18"/>
      <c r="YN71" s="18"/>
      <c r="YO71" s="18"/>
      <c r="YP71" s="18"/>
      <c r="YQ71" s="18"/>
      <c r="YR71" s="18"/>
      <c r="YS71" s="18"/>
      <c r="YT71" s="18"/>
      <c r="YU71" s="18"/>
      <c r="YV71" s="18"/>
      <c r="YW71" s="18"/>
      <c r="YX71" s="18"/>
      <c r="YY71" s="18"/>
      <c r="YZ71" s="18"/>
      <c r="ZA71" s="18"/>
      <c r="ZB71" s="18"/>
      <c r="ZC71" s="18"/>
      <c r="ZD71" s="18"/>
      <c r="ZE71" s="18"/>
      <c r="ZF71" s="18"/>
      <c r="ZG71" s="18"/>
      <c r="ZH71" s="18"/>
      <c r="ZI71" s="18"/>
      <c r="ZJ71" s="18"/>
      <c r="ZK71" s="18"/>
      <c r="ZL71" s="18"/>
      <c r="ZM71" s="18"/>
      <c r="ZN71" s="18"/>
      <c r="ZO71" s="18"/>
      <c r="ZP71" s="18"/>
      <c r="ZQ71" s="18"/>
      <c r="ZR71" s="18"/>
      <c r="ZS71" s="18"/>
      <c r="ZT71" s="18"/>
      <c r="ZU71" s="18"/>
      <c r="ZV71" s="18"/>
      <c r="ZW71" s="18"/>
      <c r="ZX71" s="18"/>
      <c r="ZY71" s="18"/>
      <c r="ZZ71" s="18"/>
      <c r="AAA71" s="18"/>
      <c r="AAB71" s="18"/>
      <c r="AAC71" s="18"/>
      <c r="AAD71" s="18"/>
      <c r="AAE71" s="18"/>
      <c r="AAF71" s="18"/>
      <c r="AAG71" s="18"/>
      <c r="AAH71" s="18"/>
      <c r="AAI71" s="18"/>
      <c r="AAJ71" s="18"/>
      <c r="AAK71" s="18"/>
      <c r="AAL71" s="18"/>
      <c r="AAM71" s="18"/>
      <c r="AAN71" s="18"/>
      <c r="AAO71" s="18"/>
      <c r="AAP71" s="18"/>
      <c r="AAQ71" s="18"/>
      <c r="AAR71" s="18"/>
      <c r="AAS71" s="18"/>
      <c r="AAT71" s="18"/>
      <c r="AAU71" s="18"/>
      <c r="AAV71" s="18"/>
      <c r="AAW71" s="18"/>
      <c r="AAX71" s="18"/>
      <c r="AAY71" s="18"/>
      <c r="AAZ71" s="18"/>
      <c r="ABA71" s="18"/>
      <c r="ABB71" s="18"/>
      <c r="ABC71" s="18"/>
      <c r="ABD71" s="18"/>
      <c r="ABE71" s="18"/>
      <c r="ABF71" s="18"/>
      <c r="ABG71" s="18"/>
      <c r="ABH71" s="18"/>
      <c r="ABI71" s="18"/>
      <c r="ABJ71" s="18"/>
      <c r="ABK71" s="18"/>
      <c r="ABL71" s="18"/>
      <c r="ABM71" s="18"/>
      <c r="ABN71" s="18"/>
      <c r="ABO71" s="18"/>
      <c r="ABP71" s="18"/>
      <c r="ABQ71" s="18"/>
      <c r="ABR71" s="18"/>
      <c r="ABS71" s="18"/>
      <c r="ABT71" s="18"/>
      <c r="ABU71" s="18"/>
      <c r="ABV71" s="18"/>
      <c r="ABW71" s="18"/>
      <c r="ABX71" s="18"/>
      <c r="ABY71" s="18"/>
      <c r="ABZ71" s="18"/>
      <c r="ACA71" s="18"/>
      <c r="ACB71" s="18"/>
      <c r="ACC71" s="18"/>
      <c r="ACD71" s="18"/>
      <c r="ACE71" s="18"/>
      <c r="ACF71" s="18"/>
      <c r="ACG71" s="18"/>
      <c r="ACH71" s="18"/>
      <c r="ACI71" s="18"/>
      <c r="ACJ71" s="18"/>
      <c r="ACK71" s="18"/>
      <c r="ACL71" s="18"/>
      <c r="ACM71" s="18"/>
      <c r="ACN71" s="18"/>
      <c r="ACO71" s="18"/>
      <c r="ACP71" s="18"/>
      <c r="ACQ71" s="18"/>
      <c r="ACR71" s="18"/>
      <c r="ACS71" s="18"/>
      <c r="ACT71" s="18"/>
      <c r="ACU71" s="18"/>
      <c r="ACV71" s="18"/>
      <c r="ACW71" s="18"/>
      <c r="ACX71" s="18"/>
      <c r="ACY71" s="18"/>
      <c r="ACZ71" s="18"/>
      <c r="ADA71" s="18"/>
      <c r="ADB71" s="18"/>
      <c r="ADC71" s="18"/>
      <c r="ADD71" s="18"/>
      <c r="ADE71" s="18"/>
      <c r="ADF71" s="18"/>
      <c r="ADG71" s="18"/>
      <c r="ADH71" s="18"/>
      <c r="ADI71" s="18"/>
      <c r="ADJ71" s="18"/>
      <c r="ADK71" s="18"/>
      <c r="ADL71" s="18"/>
      <c r="ADM71" s="18"/>
      <c r="ADN71" s="18"/>
      <c r="ADO71" s="18"/>
      <c r="ADP71" s="18"/>
      <c r="ADQ71" s="18"/>
      <c r="ADR71" s="18"/>
      <c r="ADS71" s="18"/>
      <c r="ADT71" s="18"/>
      <c r="ADU71" s="18"/>
      <c r="ADV71" s="18"/>
      <c r="ADW71" s="18"/>
      <c r="ADX71" s="18"/>
      <c r="ADY71" s="18"/>
      <c r="ADZ71" s="18"/>
      <c r="AEA71" s="18"/>
      <c r="AEB71" s="18"/>
      <c r="AEC71" s="18"/>
      <c r="AED71" s="18"/>
      <c r="AEE71" s="18"/>
      <c r="AEF71" s="18"/>
      <c r="AEG71" s="18"/>
      <c r="AEH71" s="18"/>
      <c r="AEI71" s="18"/>
      <c r="AEJ71" s="18"/>
      <c r="AEK71" s="18"/>
      <c r="AEL71" s="18"/>
      <c r="AEM71" s="18"/>
      <c r="AEN71" s="18"/>
      <c r="AEO71" s="18"/>
      <c r="AEP71" s="18"/>
      <c r="AEQ71" s="18"/>
      <c r="AER71" s="18"/>
      <c r="AES71" s="18"/>
      <c r="AET71" s="18"/>
      <c r="AEU71" s="18"/>
      <c r="AEV71" s="18"/>
      <c r="AEW71" s="18"/>
      <c r="AEX71" s="18"/>
      <c r="AEY71" s="18"/>
      <c r="AEZ71" s="18"/>
      <c r="AFA71" s="18"/>
      <c r="AFB71" s="18"/>
      <c r="AFC71" s="18"/>
      <c r="AFD71" s="18"/>
      <c r="AFE71" s="18"/>
      <c r="AFF71" s="18"/>
      <c r="AFG71" s="18"/>
      <c r="AFH71" s="18"/>
      <c r="AFI71" s="18"/>
      <c r="AFJ71" s="18"/>
      <c r="AFK71" s="18"/>
      <c r="AFL71" s="18"/>
      <c r="AFM71" s="18"/>
      <c r="AFN71" s="18"/>
      <c r="AFO71" s="18"/>
      <c r="AFP71" s="18"/>
      <c r="AFQ71" s="18"/>
      <c r="AFR71" s="18"/>
      <c r="AFS71" s="18"/>
      <c r="AFT71" s="18"/>
      <c r="AFU71" s="18"/>
      <c r="AFV71" s="18"/>
      <c r="AFW71" s="18"/>
      <c r="AFX71" s="18"/>
      <c r="AFY71" s="18"/>
      <c r="AFZ71" s="18"/>
      <c r="AGA71" s="18"/>
      <c r="AGB71" s="18"/>
      <c r="AGC71" s="18"/>
      <c r="AGD71" s="18"/>
      <c r="AGE71" s="18"/>
      <c r="AGF71" s="18"/>
      <c r="AGG71" s="18"/>
      <c r="AGH71" s="18"/>
      <c r="AGI71" s="18"/>
      <c r="AGJ71" s="18"/>
      <c r="AGK71" s="18"/>
      <c r="AGL71" s="18"/>
      <c r="AGM71" s="18"/>
      <c r="AGN71" s="18"/>
      <c r="AGO71" s="18"/>
      <c r="AGP71" s="18"/>
      <c r="AGQ71" s="18"/>
      <c r="AGR71" s="18"/>
      <c r="AGS71" s="18"/>
      <c r="AGT71" s="18"/>
      <c r="AGU71" s="18"/>
      <c r="AGV71" s="18"/>
      <c r="AGW71" s="18"/>
      <c r="AGX71" s="18"/>
      <c r="AGY71" s="18"/>
      <c r="AGZ71" s="18"/>
      <c r="AHA71" s="18"/>
      <c r="AHB71" s="18"/>
      <c r="AHC71" s="18"/>
      <c r="AHD71" s="18"/>
      <c r="AHE71" s="18"/>
      <c r="AHF71" s="18"/>
      <c r="AHG71" s="18"/>
      <c r="AHH71" s="18"/>
      <c r="AHI71" s="18"/>
      <c r="AHJ71" s="18"/>
      <c r="AHK71" s="18"/>
      <c r="AHL71" s="18"/>
      <c r="AHM71" s="18"/>
      <c r="AHN71" s="18"/>
      <c r="AHO71" s="18"/>
      <c r="AHP71" s="18"/>
      <c r="AHQ71" s="18"/>
      <c r="AHR71" s="18"/>
      <c r="AHS71" s="18"/>
      <c r="AHT71" s="18"/>
      <c r="AHU71" s="18"/>
      <c r="AHV71" s="18"/>
      <c r="AHW71" s="18"/>
      <c r="AHX71" s="18"/>
      <c r="AHY71" s="18"/>
      <c r="AHZ71" s="18"/>
      <c r="AIA71" s="18"/>
      <c r="AIB71" s="18"/>
      <c r="AIC71" s="18"/>
      <c r="AID71" s="18"/>
      <c r="AIE71" s="18"/>
      <c r="AIF71" s="18"/>
      <c r="AIG71" s="18"/>
      <c r="AIH71" s="18"/>
      <c r="AII71" s="18"/>
      <c r="AIJ71" s="18"/>
      <c r="AIK71" s="18"/>
      <c r="AIL71" s="18"/>
      <c r="AIM71" s="18"/>
      <c r="AIN71" s="18"/>
      <c r="AIO71" s="18"/>
      <c r="AIP71" s="18"/>
      <c r="AIQ71" s="18"/>
      <c r="AIR71" s="18"/>
      <c r="AIS71" s="18"/>
      <c r="AIT71" s="18"/>
      <c r="AIU71" s="18"/>
      <c r="AIV71" s="18"/>
      <c r="AIW71" s="18"/>
      <c r="AIX71" s="18"/>
      <c r="AIY71" s="18"/>
      <c r="AIZ71" s="18"/>
      <c r="AJA71" s="18"/>
      <c r="AJB71" s="18"/>
      <c r="AJC71" s="18"/>
      <c r="AJD71" s="18"/>
      <c r="AJE71" s="18"/>
      <c r="AJF71" s="18"/>
      <c r="AJG71" s="18"/>
      <c r="AJH71" s="18"/>
      <c r="AJI71" s="18"/>
      <c r="AJJ71" s="18"/>
      <c r="AJK71" s="18"/>
      <c r="AJL71" s="18"/>
      <c r="AJM71" s="18"/>
      <c r="AJN71" s="18"/>
      <c r="AJO71" s="18"/>
      <c r="AJP71" s="18"/>
      <c r="AJQ71" s="18"/>
      <c r="AJR71" s="18"/>
      <c r="AJS71" s="18"/>
      <c r="AJT71" s="18"/>
      <c r="AJU71" s="18"/>
      <c r="AJV71" s="18"/>
      <c r="AJW71" s="18"/>
      <c r="AJX71" s="18"/>
      <c r="AJY71" s="18"/>
      <c r="AJZ71" s="18"/>
      <c r="AKA71" s="18"/>
      <c r="AKB71" s="18"/>
      <c r="AKC71" s="18"/>
      <c r="AKD71" s="18"/>
      <c r="AKE71" s="18"/>
      <c r="AKF71" s="18"/>
      <c r="AKG71" s="18"/>
      <c r="AKH71" s="18"/>
      <c r="AKI71" s="18"/>
      <c r="AKJ71" s="18"/>
      <c r="AKK71" s="18"/>
      <c r="AKL71" s="18"/>
      <c r="AKM71" s="18"/>
      <c r="AKN71" s="18"/>
      <c r="AKO71" s="18"/>
      <c r="AKP71" s="18"/>
      <c r="AKQ71" s="18"/>
      <c r="AKR71" s="18"/>
      <c r="AKS71" s="18"/>
      <c r="AKT71" s="18"/>
      <c r="AKU71" s="18"/>
      <c r="AKV71" s="18"/>
      <c r="AKW71" s="18"/>
      <c r="AKX71" s="18"/>
      <c r="AKY71" s="18"/>
      <c r="AKZ71" s="18"/>
      <c r="ALA71" s="18"/>
      <c r="ALB71" s="18"/>
      <c r="ALC71" s="18"/>
      <c r="ALD71" s="18"/>
      <c r="ALE71" s="18"/>
      <c r="ALF71" s="18"/>
      <c r="ALG71" s="18"/>
      <c r="ALH71" s="18"/>
      <c r="ALI71" s="18"/>
      <c r="ALJ71" s="18"/>
      <c r="ALK71" s="18"/>
      <c r="ALL71" s="18"/>
      <c r="ALM71" s="18"/>
      <c r="ALN71" s="18"/>
      <c r="ALO71" s="18"/>
      <c r="ALP71" s="18"/>
      <c r="ALQ71" s="18"/>
      <c r="ALR71" s="18"/>
      <c r="ALS71" s="18"/>
      <c r="ALT71" s="18"/>
    </row>
    <row r="72" spans="1:1008" s="88" customFormat="1" ht="24" customHeight="1">
      <c r="A72" s="680" t="s">
        <v>6927</v>
      </c>
      <c r="B72" s="680"/>
      <c r="C72" s="680"/>
      <c r="D72" s="680"/>
      <c r="E72" s="680"/>
      <c r="F72" s="680"/>
      <c r="G72" s="680"/>
      <c r="H72" s="680"/>
      <c r="I72" s="680"/>
      <c r="J72" s="281">
        <f>SUM(J70:J71)</f>
        <v>1151.1867999999999</v>
      </c>
      <c r="K72" s="191"/>
      <c r="L72" s="191"/>
      <c r="M72" s="191"/>
      <c r="N72" s="191"/>
      <c r="O72" s="191"/>
      <c r="P72" s="263"/>
    </row>
    <row r="73" spans="1:1008">
      <c r="A73" s="251"/>
      <c r="B73" s="370">
        <v>182</v>
      </c>
      <c r="C73" s="340" t="s">
        <v>6333</v>
      </c>
      <c r="D73" s="274"/>
      <c r="E73" s="276"/>
      <c r="F73" s="276"/>
      <c r="G73" s="276"/>
      <c r="H73" s="276"/>
      <c r="I73" s="276"/>
      <c r="J73" s="276"/>
      <c r="K73" s="191"/>
      <c r="L73" s="191"/>
      <c r="M73" s="191"/>
      <c r="N73" s="191"/>
      <c r="O73" s="191"/>
      <c r="P73" s="263"/>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c r="EF73" s="18"/>
      <c r="EG73" s="18"/>
      <c r="EH73" s="18"/>
      <c r="EI73" s="18"/>
      <c r="EJ73" s="18"/>
      <c r="EK73" s="18"/>
      <c r="EL73" s="18"/>
      <c r="EM73" s="18"/>
      <c r="EN73" s="18"/>
      <c r="EO73" s="18"/>
      <c r="EP73" s="18"/>
      <c r="EQ73" s="18"/>
      <c r="ER73" s="18"/>
      <c r="ES73" s="18"/>
      <c r="ET73" s="18"/>
      <c r="EU73" s="18"/>
      <c r="EV73" s="18"/>
      <c r="EW73" s="18"/>
      <c r="EX73" s="18"/>
      <c r="EY73" s="18"/>
      <c r="EZ73" s="18"/>
      <c r="FA73" s="18"/>
      <c r="FB73" s="18"/>
      <c r="FC73" s="18"/>
      <c r="FD73" s="18"/>
      <c r="FE73" s="18"/>
      <c r="FF73" s="18"/>
      <c r="FG73" s="18"/>
      <c r="FH73" s="18"/>
      <c r="FI73" s="18"/>
      <c r="FJ73" s="18"/>
      <c r="FK73" s="18"/>
      <c r="FL73" s="18"/>
      <c r="FM73" s="18"/>
      <c r="FN73" s="18"/>
      <c r="FO73" s="18"/>
      <c r="FP73" s="18"/>
      <c r="FQ73" s="18"/>
      <c r="FR73" s="18"/>
      <c r="FS73" s="18"/>
      <c r="FT73" s="18"/>
      <c r="FU73" s="18"/>
      <c r="FV73" s="18"/>
      <c r="FW73" s="18"/>
      <c r="FX73" s="18"/>
      <c r="FY73" s="18"/>
      <c r="FZ73" s="18"/>
      <c r="GA73" s="18"/>
      <c r="GB73" s="18"/>
      <c r="GC73" s="18"/>
      <c r="GD73" s="18"/>
      <c r="GE73" s="18"/>
      <c r="GF73" s="18"/>
      <c r="GG73" s="18"/>
      <c r="GH73" s="18"/>
      <c r="GI73" s="18"/>
      <c r="GJ73" s="18"/>
      <c r="GK73" s="18"/>
      <c r="GL73" s="18"/>
      <c r="GM73" s="18"/>
      <c r="GN73" s="18"/>
      <c r="GO73" s="18"/>
      <c r="GP73" s="18"/>
      <c r="GQ73" s="18"/>
      <c r="GR73" s="18"/>
      <c r="GS73" s="18"/>
      <c r="GT73" s="18"/>
      <c r="GU73" s="18"/>
      <c r="GV73" s="18"/>
      <c r="GW73" s="18"/>
      <c r="GX73" s="18"/>
      <c r="GY73" s="18"/>
      <c r="GZ73" s="18"/>
      <c r="HA73" s="18"/>
      <c r="HB73" s="18"/>
      <c r="HC73" s="18"/>
      <c r="HD73" s="18"/>
      <c r="HE73" s="18"/>
      <c r="HF73" s="18"/>
      <c r="HG73" s="18"/>
      <c r="HH73" s="18"/>
      <c r="HI73" s="18"/>
      <c r="HJ73" s="18"/>
      <c r="HK73" s="18"/>
      <c r="HL73" s="18"/>
      <c r="HM73" s="18"/>
      <c r="HN73" s="18"/>
      <c r="HO73" s="18"/>
      <c r="HP73" s="18"/>
      <c r="HQ73" s="18"/>
      <c r="HR73" s="18"/>
      <c r="HS73" s="18"/>
      <c r="HT73" s="18"/>
      <c r="HU73" s="18"/>
      <c r="HV73" s="18"/>
      <c r="HW73" s="18"/>
      <c r="HX73" s="18"/>
      <c r="HY73" s="18"/>
      <c r="HZ73" s="18"/>
      <c r="IA73" s="18"/>
      <c r="IB73" s="18"/>
      <c r="IC73" s="18"/>
      <c r="ID73" s="18"/>
      <c r="IE73" s="18"/>
      <c r="IF73" s="18"/>
      <c r="IG73" s="18"/>
      <c r="IH73" s="18"/>
      <c r="II73" s="18"/>
      <c r="IJ73" s="18"/>
      <c r="IK73" s="18"/>
      <c r="IL73" s="18"/>
      <c r="IM73" s="18"/>
      <c r="IN73" s="18"/>
      <c r="IO73" s="18"/>
      <c r="IP73" s="18"/>
      <c r="IQ73" s="18"/>
      <c r="IR73" s="18"/>
      <c r="IS73" s="18"/>
      <c r="IT73" s="18"/>
      <c r="IU73" s="18"/>
      <c r="IV73" s="18"/>
      <c r="IW73" s="18"/>
      <c r="IX73" s="18"/>
      <c r="IY73" s="18"/>
      <c r="IZ73" s="18"/>
      <c r="JA73" s="18"/>
      <c r="JB73" s="18"/>
      <c r="JC73" s="18"/>
      <c r="JD73" s="18"/>
      <c r="JE73" s="18"/>
      <c r="JF73" s="18"/>
      <c r="JG73" s="18"/>
      <c r="JH73" s="18"/>
      <c r="JI73" s="18"/>
      <c r="JJ73" s="18"/>
      <c r="JK73" s="18"/>
      <c r="JL73" s="18"/>
      <c r="JM73" s="18"/>
      <c r="JN73" s="18"/>
      <c r="JO73" s="18"/>
      <c r="JP73" s="18"/>
      <c r="JQ73" s="18"/>
      <c r="JR73" s="18"/>
      <c r="JS73" s="18"/>
      <c r="JT73" s="18"/>
      <c r="JU73" s="18"/>
      <c r="JV73" s="18"/>
      <c r="JW73" s="18"/>
      <c r="JX73" s="18"/>
      <c r="JY73" s="18"/>
      <c r="JZ73" s="18"/>
      <c r="KA73" s="18"/>
      <c r="KB73" s="18"/>
      <c r="KC73" s="18"/>
      <c r="KD73" s="18"/>
      <c r="KE73" s="18"/>
      <c r="KF73" s="18"/>
      <c r="KG73" s="18"/>
      <c r="KH73" s="18"/>
      <c r="KI73" s="18"/>
      <c r="KJ73" s="18"/>
      <c r="KK73" s="18"/>
      <c r="KL73" s="18"/>
      <c r="KM73" s="18"/>
      <c r="KN73" s="18"/>
      <c r="KO73" s="18"/>
      <c r="KP73" s="18"/>
      <c r="KQ73" s="18"/>
      <c r="KR73" s="18"/>
      <c r="KS73" s="18"/>
      <c r="KT73" s="18"/>
      <c r="KU73" s="18"/>
      <c r="KV73" s="18"/>
      <c r="KW73" s="18"/>
      <c r="KX73" s="18"/>
      <c r="KY73" s="18"/>
      <c r="KZ73" s="18"/>
      <c r="LA73" s="18"/>
      <c r="LB73" s="18"/>
      <c r="LC73" s="18"/>
      <c r="LD73" s="18"/>
      <c r="LE73" s="18"/>
      <c r="LF73" s="18"/>
      <c r="LG73" s="18"/>
      <c r="LH73" s="18"/>
      <c r="LI73" s="18"/>
      <c r="LJ73" s="18"/>
      <c r="LK73" s="18"/>
      <c r="LL73" s="18"/>
      <c r="LM73" s="18"/>
      <c r="LN73" s="18"/>
      <c r="LO73" s="18"/>
      <c r="LP73" s="18"/>
      <c r="LQ73" s="18"/>
      <c r="LR73" s="18"/>
      <c r="LS73" s="18"/>
      <c r="LT73" s="18"/>
      <c r="LU73" s="18"/>
      <c r="LV73" s="18"/>
      <c r="LW73" s="18"/>
      <c r="LX73" s="18"/>
      <c r="LY73" s="18"/>
      <c r="LZ73" s="18"/>
      <c r="MA73" s="18"/>
      <c r="MB73" s="18"/>
      <c r="MC73" s="18"/>
      <c r="MD73" s="18"/>
      <c r="ME73" s="18"/>
      <c r="MF73" s="18"/>
      <c r="MG73" s="18"/>
      <c r="MH73" s="18"/>
      <c r="MI73" s="18"/>
      <c r="MJ73" s="18"/>
      <c r="MK73" s="18"/>
      <c r="ML73" s="18"/>
      <c r="MM73" s="18"/>
      <c r="MN73" s="18"/>
      <c r="MO73" s="18"/>
      <c r="MP73" s="18"/>
      <c r="MQ73" s="18"/>
      <c r="MR73" s="18"/>
      <c r="MS73" s="18"/>
      <c r="MT73" s="18"/>
      <c r="MU73" s="18"/>
      <c r="MV73" s="18"/>
      <c r="MW73" s="18"/>
      <c r="MX73" s="18"/>
      <c r="MY73" s="18"/>
      <c r="MZ73" s="18"/>
      <c r="NA73" s="18"/>
      <c r="NB73" s="18"/>
      <c r="NC73" s="18"/>
      <c r="ND73" s="18"/>
      <c r="NE73" s="18"/>
      <c r="NF73" s="18"/>
      <c r="NG73" s="18"/>
      <c r="NH73" s="18"/>
      <c r="NI73" s="18"/>
      <c r="NJ73" s="18"/>
      <c r="NK73" s="18"/>
      <c r="NL73" s="18"/>
      <c r="NM73" s="18"/>
      <c r="NN73" s="18"/>
      <c r="NO73" s="18"/>
      <c r="NP73" s="18"/>
      <c r="NQ73" s="18"/>
      <c r="NR73" s="18"/>
      <c r="NS73" s="18"/>
      <c r="NT73" s="18"/>
      <c r="NU73" s="18"/>
      <c r="NV73" s="18"/>
      <c r="NW73" s="18"/>
      <c r="NX73" s="18"/>
      <c r="NY73" s="18"/>
      <c r="NZ73" s="18"/>
      <c r="OA73" s="18"/>
      <c r="OB73" s="18"/>
      <c r="OC73" s="18"/>
      <c r="OD73" s="18"/>
      <c r="OE73" s="18"/>
      <c r="OF73" s="18"/>
      <c r="OG73" s="18"/>
      <c r="OH73" s="18"/>
      <c r="OI73" s="18"/>
      <c r="OJ73" s="18"/>
      <c r="OK73" s="18"/>
      <c r="OL73" s="18"/>
      <c r="OM73" s="18"/>
      <c r="ON73" s="18"/>
      <c r="OO73" s="18"/>
      <c r="OP73" s="18"/>
      <c r="OQ73" s="18"/>
      <c r="OR73" s="18"/>
      <c r="OS73" s="18"/>
      <c r="OT73" s="18"/>
      <c r="OU73" s="18"/>
      <c r="OV73" s="18"/>
      <c r="OW73" s="18"/>
      <c r="OX73" s="18"/>
      <c r="OY73" s="18"/>
      <c r="OZ73" s="18"/>
      <c r="PA73" s="18"/>
      <c r="PB73" s="18"/>
      <c r="PC73" s="18"/>
      <c r="PD73" s="18"/>
      <c r="PE73" s="18"/>
      <c r="PF73" s="18"/>
      <c r="PG73" s="18"/>
      <c r="PH73" s="18"/>
      <c r="PI73" s="18"/>
      <c r="PJ73" s="18"/>
      <c r="PK73" s="18"/>
      <c r="PL73" s="18"/>
      <c r="PM73" s="18"/>
      <c r="PN73" s="18"/>
      <c r="PO73" s="18"/>
      <c r="PP73" s="18"/>
      <c r="PQ73" s="18"/>
      <c r="PR73" s="18"/>
      <c r="PS73" s="18"/>
      <c r="PT73" s="18"/>
      <c r="PU73" s="18"/>
      <c r="PV73" s="18"/>
      <c r="PW73" s="18"/>
      <c r="PX73" s="18"/>
      <c r="PY73" s="18"/>
      <c r="PZ73" s="18"/>
      <c r="QA73" s="18"/>
      <c r="QB73" s="18"/>
      <c r="QC73" s="18"/>
      <c r="QD73" s="18"/>
      <c r="QE73" s="18"/>
      <c r="QF73" s="18"/>
      <c r="QG73" s="18"/>
      <c r="QH73" s="18"/>
      <c r="QI73" s="18"/>
      <c r="QJ73" s="18"/>
      <c r="QK73" s="18"/>
      <c r="QL73" s="18"/>
      <c r="QM73" s="18"/>
      <c r="QN73" s="18"/>
      <c r="QO73" s="18"/>
      <c r="QP73" s="18"/>
      <c r="QQ73" s="18"/>
      <c r="QR73" s="18"/>
      <c r="QS73" s="18"/>
      <c r="QT73" s="18"/>
      <c r="QU73" s="18"/>
      <c r="QV73" s="18"/>
      <c r="QW73" s="18"/>
      <c r="QX73" s="18"/>
      <c r="QY73" s="18"/>
      <c r="QZ73" s="18"/>
      <c r="RA73" s="18"/>
      <c r="RB73" s="18"/>
      <c r="RC73" s="18"/>
      <c r="RD73" s="18"/>
      <c r="RE73" s="18"/>
      <c r="RF73" s="18"/>
      <c r="RG73" s="18"/>
      <c r="RH73" s="18"/>
      <c r="RI73" s="18"/>
      <c r="RJ73" s="18"/>
      <c r="RK73" s="18"/>
      <c r="RL73" s="18"/>
      <c r="RM73" s="18"/>
      <c r="RN73" s="18"/>
      <c r="RO73" s="18"/>
      <c r="RP73" s="18"/>
      <c r="RQ73" s="18"/>
      <c r="RR73" s="18"/>
      <c r="RS73" s="18"/>
      <c r="RT73" s="18"/>
      <c r="RU73" s="18"/>
      <c r="RV73" s="18"/>
      <c r="RW73" s="18"/>
      <c r="RX73" s="18"/>
      <c r="RY73" s="18"/>
      <c r="RZ73" s="18"/>
      <c r="SA73" s="18"/>
      <c r="SB73" s="18"/>
      <c r="SC73" s="18"/>
      <c r="SD73" s="18"/>
      <c r="SE73" s="18"/>
      <c r="SF73" s="18"/>
      <c r="SG73" s="18"/>
      <c r="SH73" s="18"/>
      <c r="SI73" s="18"/>
      <c r="SJ73" s="18"/>
      <c r="SK73" s="18"/>
      <c r="SL73" s="18"/>
      <c r="SM73" s="18"/>
      <c r="SN73" s="18"/>
      <c r="SO73" s="18"/>
      <c r="SP73" s="18"/>
      <c r="SQ73" s="18"/>
      <c r="SR73" s="18"/>
      <c r="SS73" s="18"/>
      <c r="ST73" s="18"/>
      <c r="SU73" s="18"/>
      <c r="SV73" s="18"/>
      <c r="SW73" s="18"/>
      <c r="SX73" s="18"/>
      <c r="SY73" s="18"/>
      <c r="SZ73" s="18"/>
      <c r="TA73" s="18"/>
      <c r="TB73" s="18"/>
      <c r="TC73" s="18"/>
      <c r="TD73" s="18"/>
      <c r="TE73" s="18"/>
      <c r="TF73" s="18"/>
      <c r="TG73" s="18"/>
      <c r="TH73" s="18"/>
      <c r="TI73" s="18"/>
      <c r="TJ73" s="18"/>
      <c r="TK73" s="18"/>
      <c r="TL73" s="18"/>
      <c r="TM73" s="18"/>
      <c r="TN73" s="18"/>
      <c r="TO73" s="18"/>
      <c r="TP73" s="18"/>
      <c r="TQ73" s="18"/>
      <c r="TR73" s="18"/>
      <c r="TS73" s="18"/>
      <c r="TT73" s="18"/>
      <c r="TU73" s="18"/>
      <c r="TV73" s="18"/>
      <c r="TW73" s="18"/>
      <c r="TX73" s="18"/>
      <c r="TY73" s="18"/>
      <c r="TZ73" s="18"/>
      <c r="UA73" s="18"/>
      <c r="UB73" s="18"/>
      <c r="UC73" s="18"/>
      <c r="UD73" s="18"/>
      <c r="UE73" s="18"/>
      <c r="UF73" s="18"/>
      <c r="UG73" s="18"/>
      <c r="UH73" s="18"/>
      <c r="UI73" s="18"/>
      <c r="UJ73" s="18"/>
      <c r="UK73" s="18"/>
      <c r="UL73" s="18"/>
      <c r="UM73" s="18"/>
      <c r="UN73" s="18"/>
      <c r="UO73" s="18"/>
      <c r="UP73" s="18"/>
      <c r="UQ73" s="18"/>
      <c r="UR73" s="18"/>
      <c r="US73" s="18"/>
      <c r="UT73" s="18"/>
      <c r="UU73" s="18"/>
      <c r="UV73" s="18"/>
      <c r="UW73" s="18"/>
      <c r="UX73" s="18"/>
      <c r="UY73" s="18"/>
      <c r="UZ73" s="18"/>
      <c r="VA73" s="18"/>
      <c r="VB73" s="18"/>
      <c r="VC73" s="18"/>
      <c r="VD73" s="18"/>
      <c r="VE73" s="18"/>
      <c r="VF73" s="18"/>
      <c r="VG73" s="18"/>
      <c r="VH73" s="18"/>
      <c r="VI73" s="18"/>
      <c r="VJ73" s="18"/>
      <c r="VK73" s="18"/>
      <c r="VL73" s="18"/>
      <c r="VM73" s="18"/>
      <c r="VN73" s="18"/>
      <c r="VO73" s="18"/>
      <c r="VP73" s="18"/>
      <c r="VQ73" s="18"/>
      <c r="VR73" s="18"/>
      <c r="VS73" s="18"/>
      <c r="VT73" s="18"/>
      <c r="VU73" s="18"/>
      <c r="VV73" s="18"/>
      <c r="VW73" s="18"/>
      <c r="VX73" s="18"/>
      <c r="VY73" s="18"/>
      <c r="VZ73" s="18"/>
      <c r="WA73" s="18"/>
      <c r="WB73" s="18"/>
      <c r="WC73" s="18"/>
      <c r="WD73" s="18"/>
      <c r="WE73" s="18"/>
      <c r="WF73" s="18"/>
      <c r="WG73" s="18"/>
      <c r="WH73" s="18"/>
      <c r="WI73" s="18"/>
      <c r="WJ73" s="18"/>
      <c r="WK73" s="18"/>
      <c r="WL73" s="18"/>
      <c r="WM73" s="18"/>
      <c r="WN73" s="18"/>
      <c r="WO73" s="18"/>
      <c r="WP73" s="18"/>
      <c r="WQ73" s="18"/>
      <c r="WR73" s="18"/>
      <c r="WS73" s="18"/>
      <c r="WT73" s="18"/>
      <c r="WU73" s="18"/>
      <c r="WV73" s="18"/>
      <c r="WW73" s="18"/>
      <c r="WX73" s="18"/>
      <c r="WY73" s="18"/>
      <c r="WZ73" s="18"/>
      <c r="XA73" s="18"/>
      <c r="XB73" s="18"/>
      <c r="XC73" s="18"/>
      <c r="XD73" s="18"/>
      <c r="XE73" s="18"/>
      <c r="XF73" s="18"/>
      <c r="XG73" s="18"/>
      <c r="XH73" s="18"/>
      <c r="XI73" s="18"/>
      <c r="XJ73" s="18"/>
      <c r="XK73" s="18"/>
      <c r="XL73" s="18"/>
      <c r="XM73" s="18"/>
      <c r="XN73" s="18"/>
      <c r="XO73" s="18"/>
      <c r="XP73" s="18"/>
      <c r="XQ73" s="18"/>
      <c r="XR73" s="18"/>
      <c r="XS73" s="18"/>
      <c r="XT73" s="18"/>
      <c r="XU73" s="18"/>
      <c r="XV73" s="18"/>
      <c r="XW73" s="18"/>
      <c r="XX73" s="18"/>
      <c r="XY73" s="18"/>
      <c r="XZ73" s="18"/>
      <c r="YA73" s="18"/>
      <c r="YB73" s="18"/>
      <c r="YC73" s="18"/>
      <c r="YD73" s="18"/>
      <c r="YE73" s="18"/>
      <c r="YF73" s="18"/>
      <c r="YG73" s="18"/>
      <c r="YH73" s="18"/>
      <c r="YI73" s="18"/>
      <c r="YJ73" s="18"/>
      <c r="YK73" s="18"/>
      <c r="YL73" s="18"/>
      <c r="YM73" s="18"/>
      <c r="YN73" s="18"/>
      <c r="YO73" s="18"/>
      <c r="YP73" s="18"/>
      <c r="YQ73" s="18"/>
      <c r="YR73" s="18"/>
      <c r="YS73" s="18"/>
      <c r="YT73" s="18"/>
      <c r="YU73" s="18"/>
      <c r="YV73" s="18"/>
      <c r="YW73" s="18"/>
      <c r="YX73" s="18"/>
      <c r="YY73" s="18"/>
      <c r="YZ73" s="18"/>
      <c r="ZA73" s="18"/>
      <c r="ZB73" s="18"/>
      <c r="ZC73" s="18"/>
      <c r="ZD73" s="18"/>
      <c r="ZE73" s="18"/>
      <c r="ZF73" s="18"/>
      <c r="ZG73" s="18"/>
      <c r="ZH73" s="18"/>
      <c r="ZI73" s="18"/>
      <c r="ZJ73" s="18"/>
      <c r="ZK73" s="18"/>
      <c r="ZL73" s="18"/>
      <c r="ZM73" s="18"/>
      <c r="ZN73" s="18"/>
      <c r="ZO73" s="18"/>
      <c r="ZP73" s="18"/>
      <c r="ZQ73" s="18"/>
      <c r="ZR73" s="18"/>
      <c r="ZS73" s="18"/>
      <c r="ZT73" s="18"/>
      <c r="ZU73" s="18"/>
      <c r="ZV73" s="18"/>
      <c r="ZW73" s="18"/>
      <c r="ZX73" s="18"/>
      <c r="ZY73" s="18"/>
      <c r="ZZ73" s="18"/>
      <c r="AAA73" s="18"/>
      <c r="AAB73" s="18"/>
      <c r="AAC73" s="18"/>
      <c r="AAD73" s="18"/>
      <c r="AAE73" s="18"/>
      <c r="AAF73" s="18"/>
      <c r="AAG73" s="18"/>
      <c r="AAH73" s="18"/>
      <c r="AAI73" s="18"/>
      <c r="AAJ73" s="18"/>
      <c r="AAK73" s="18"/>
      <c r="AAL73" s="18"/>
      <c r="AAM73" s="18"/>
      <c r="AAN73" s="18"/>
      <c r="AAO73" s="18"/>
      <c r="AAP73" s="18"/>
      <c r="AAQ73" s="18"/>
      <c r="AAR73" s="18"/>
      <c r="AAS73" s="18"/>
      <c r="AAT73" s="18"/>
      <c r="AAU73" s="18"/>
      <c r="AAV73" s="18"/>
      <c r="AAW73" s="18"/>
      <c r="AAX73" s="18"/>
      <c r="AAY73" s="18"/>
      <c r="AAZ73" s="18"/>
      <c r="ABA73" s="18"/>
      <c r="ABB73" s="18"/>
      <c r="ABC73" s="18"/>
      <c r="ABD73" s="18"/>
      <c r="ABE73" s="18"/>
      <c r="ABF73" s="18"/>
      <c r="ABG73" s="18"/>
      <c r="ABH73" s="18"/>
      <c r="ABI73" s="18"/>
      <c r="ABJ73" s="18"/>
      <c r="ABK73" s="18"/>
      <c r="ABL73" s="18"/>
      <c r="ABM73" s="18"/>
      <c r="ABN73" s="18"/>
      <c r="ABO73" s="18"/>
      <c r="ABP73" s="18"/>
      <c r="ABQ73" s="18"/>
      <c r="ABR73" s="18"/>
      <c r="ABS73" s="18"/>
      <c r="ABT73" s="18"/>
      <c r="ABU73" s="18"/>
      <c r="ABV73" s="18"/>
      <c r="ABW73" s="18"/>
      <c r="ABX73" s="18"/>
      <c r="ABY73" s="18"/>
      <c r="ABZ73" s="18"/>
      <c r="ACA73" s="18"/>
      <c r="ACB73" s="18"/>
      <c r="ACC73" s="18"/>
      <c r="ACD73" s="18"/>
      <c r="ACE73" s="18"/>
      <c r="ACF73" s="18"/>
      <c r="ACG73" s="18"/>
      <c r="ACH73" s="18"/>
      <c r="ACI73" s="18"/>
      <c r="ACJ73" s="18"/>
      <c r="ACK73" s="18"/>
      <c r="ACL73" s="18"/>
      <c r="ACM73" s="18"/>
      <c r="ACN73" s="18"/>
      <c r="ACO73" s="18"/>
      <c r="ACP73" s="18"/>
      <c r="ACQ73" s="18"/>
      <c r="ACR73" s="18"/>
      <c r="ACS73" s="18"/>
      <c r="ACT73" s="18"/>
      <c r="ACU73" s="18"/>
      <c r="ACV73" s="18"/>
      <c r="ACW73" s="18"/>
      <c r="ACX73" s="18"/>
      <c r="ACY73" s="18"/>
      <c r="ACZ73" s="18"/>
      <c r="ADA73" s="18"/>
      <c r="ADB73" s="18"/>
      <c r="ADC73" s="18"/>
      <c r="ADD73" s="18"/>
      <c r="ADE73" s="18"/>
      <c r="ADF73" s="18"/>
      <c r="ADG73" s="18"/>
      <c r="ADH73" s="18"/>
      <c r="ADI73" s="18"/>
      <c r="ADJ73" s="18"/>
      <c r="ADK73" s="18"/>
      <c r="ADL73" s="18"/>
      <c r="ADM73" s="18"/>
      <c r="ADN73" s="18"/>
      <c r="ADO73" s="18"/>
      <c r="ADP73" s="18"/>
      <c r="ADQ73" s="18"/>
      <c r="ADR73" s="18"/>
      <c r="ADS73" s="18"/>
      <c r="ADT73" s="18"/>
      <c r="ADU73" s="18"/>
      <c r="ADV73" s="18"/>
      <c r="ADW73" s="18"/>
      <c r="ADX73" s="18"/>
      <c r="ADY73" s="18"/>
      <c r="ADZ73" s="18"/>
      <c r="AEA73" s="18"/>
      <c r="AEB73" s="18"/>
      <c r="AEC73" s="18"/>
      <c r="AED73" s="18"/>
      <c r="AEE73" s="18"/>
      <c r="AEF73" s="18"/>
      <c r="AEG73" s="18"/>
      <c r="AEH73" s="18"/>
      <c r="AEI73" s="18"/>
      <c r="AEJ73" s="18"/>
      <c r="AEK73" s="18"/>
      <c r="AEL73" s="18"/>
      <c r="AEM73" s="18"/>
      <c r="AEN73" s="18"/>
      <c r="AEO73" s="18"/>
      <c r="AEP73" s="18"/>
      <c r="AEQ73" s="18"/>
      <c r="AER73" s="18"/>
      <c r="AES73" s="18"/>
      <c r="AET73" s="18"/>
      <c r="AEU73" s="18"/>
      <c r="AEV73" s="18"/>
      <c r="AEW73" s="18"/>
      <c r="AEX73" s="18"/>
      <c r="AEY73" s="18"/>
      <c r="AEZ73" s="18"/>
      <c r="AFA73" s="18"/>
      <c r="AFB73" s="18"/>
      <c r="AFC73" s="18"/>
      <c r="AFD73" s="18"/>
      <c r="AFE73" s="18"/>
      <c r="AFF73" s="18"/>
      <c r="AFG73" s="18"/>
      <c r="AFH73" s="18"/>
      <c r="AFI73" s="18"/>
      <c r="AFJ73" s="18"/>
      <c r="AFK73" s="18"/>
      <c r="AFL73" s="18"/>
      <c r="AFM73" s="18"/>
      <c r="AFN73" s="18"/>
      <c r="AFO73" s="18"/>
      <c r="AFP73" s="18"/>
      <c r="AFQ73" s="18"/>
      <c r="AFR73" s="18"/>
      <c r="AFS73" s="18"/>
      <c r="AFT73" s="18"/>
      <c r="AFU73" s="18"/>
      <c r="AFV73" s="18"/>
      <c r="AFW73" s="18"/>
      <c r="AFX73" s="18"/>
      <c r="AFY73" s="18"/>
      <c r="AFZ73" s="18"/>
      <c r="AGA73" s="18"/>
      <c r="AGB73" s="18"/>
      <c r="AGC73" s="18"/>
      <c r="AGD73" s="18"/>
      <c r="AGE73" s="18"/>
      <c r="AGF73" s="18"/>
      <c r="AGG73" s="18"/>
      <c r="AGH73" s="18"/>
      <c r="AGI73" s="18"/>
      <c r="AGJ73" s="18"/>
      <c r="AGK73" s="18"/>
      <c r="AGL73" s="18"/>
      <c r="AGM73" s="18"/>
      <c r="AGN73" s="18"/>
      <c r="AGO73" s="18"/>
      <c r="AGP73" s="18"/>
      <c r="AGQ73" s="18"/>
      <c r="AGR73" s="18"/>
      <c r="AGS73" s="18"/>
      <c r="AGT73" s="18"/>
      <c r="AGU73" s="18"/>
      <c r="AGV73" s="18"/>
      <c r="AGW73" s="18"/>
      <c r="AGX73" s="18"/>
      <c r="AGY73" s="18"/>
      <c r="AGZ73" s="18"/>
      <c r="AHA73" s="18"/>
      <c r="AHB73" s="18"/>
      <c r="AHC73" s="18"/>
      <c r="AHD73" s="18"/>
      <c r="AHE73" s="18"/>
      <c r="AHF73" s="18"/>
      <c r="AHG73" s="18"/>
      <c r="AHH73" s="18"/>
      <c r="AHI73" s="18"/>
      <c r="AHJ73" s="18"/>
      <c r="AHK73" s="18"/>
      <c r="AHL73" s="18"/>
      <c r="AHM73" s="18"/>
      <c r="AHN73" s="18"/>
      <c r="AHO73" s="18"/>
      <c r="AHP73" s="18"/>
      <c r="AHQ73" s="18"/>
      <c r="AHR73" s="18"/>
      <c r="AHS73" s="18"/>
      <c r="AHT73" s="18"/>
      <c r="AHU73" s="18"/>
      <c r="AHV73" s="18"/>
      <c r="AHW73" s="18"/>
      <c r="AHX73" s="18"/>
      <c r="AHY73" s="18"/>
      <c r="AHZ73" s="18"/>
      <c r="AIA73" s="18"/>
      <c r="AIB73" s="18"/>
      <c r="AIC73" s="18"/>
      <c r="AID73" s="18"/>
      <c r="AIE73" s="18"/>
      <c r="AIF73" s="18"/>
      <c r="AIG73" s="18"/>
      <c r="AIH73" s="18"/>
      <c r="AII73" s="18"/>
      <c r="AIJ73" s="18"/>
      <c r="AIK73" s="18"/>
      <c r="AIL73" s="18"/>
      <c r="AIM73" s="18"/>
      <c r="AIN73" s="18"/>
      <c r="AIO73" s="18"/>
      <c r="AIP73" s="18"/>
      <c r="AIQ73" s="18"/>
      <c r="AIR73" s="18"/>
      <c r="AIS73" s="18"/>
      <c r="AIT73" s="18"/>
      <c r="AIU73" s="18"/>
      <c r="AIV73" s="18"/>
      <c r="AIW73" s="18"/>
      <c r="AIX73" s="18"/>
      <c r="AIY73" s="18"/>
      <c r="AIZ73" s="18"/>
      <c r="AJA73" s="18"/>
      <c r="AJB73" s="18"/>
      <c r="AJC73" s="18"/>
      <c r="AJD73" s="18"/>
      <c r="AJE73" s="18"/>
      <c r="AJF73" s="18"/>
      <c r="AJG73" s="18"/>
      <c r="AJH73" s="18"/>
      <c r="AJI73" s="18"/>
      <c r="AJJ73" s="18"/>
      <c r="AJK73" s="18"/>
      <c r="AJL73" s="18"/>
      <c r="AJM73" s="18"/>
      <c r="AJN73" s="18"/>
      <c r="AJO73" s="18"/>
      <c r="AJP73" s="18"/>
      <c r="AJQ73" s="18"/>
      <c r="AJR73" s="18"/>
      <c r="AJS73" s="18"/>
      <c r="AJT73" s="18"/>
      <c r="AJU73" s="18"/>
      <c r="AJV73" s="18"/>
      <c r="AJW73" s="18"/>
      <c r="AJX73" s="18"/>
      <c r="AJY73" s="18"/>
      <c r="AJZ73" s="18"/>
      <c r="AKA73" s="18"/>
      <c r="AKB73" s="18"/>
      <c r="AKC73" s="18"/>
      <c r="AKD73" s="18"/>
      <c r="AKE73" s="18"/>
      <c r="AKF73" s="18"/>
      <c r="AKG73" s="18"/>
      <c r="AKH73" s="18"/>
      <c r="AKI73" s="18"/>
      <c r="AKJ73" s="18"/>
      <c r="AKK73" s="18"/>
      <c r="AKL73" s="18"/>
      <c r="AKM73" s="18"/>
      <c r="AKN73" s="18"/>
      <c r="AKO73" s="18"/>
      <c r="AKP73" s="18"/>
      <c r="AKQ73" s="18"/>
      <c r="AKR73" s="18"/>
      <c r="AKS73" s="18"/>
      <c r="AKT73" s="18"/>
      <c r="AKU73" s="18"/>
      <c r="AKV73" s="18"/>
      <c r="AKW73" s="18"/>
      <c r="AKX73" s="18"/>
      <c r="AKY73" s="18"/>
      <c r="AKZ73" s="18"/>
      <c r="ALA73" s="18"/>
      <c r="ALB73" s="18"/>
      <c r="ALC73" s="18"/>
      <c r="ALD73" s="18"/>
      <c r="ALE73" s="18"/>
      <c r="ALF73" s="18"/>
      <c r="ALG73" s="18"/>
      <c r="ALH73" s="18"/>
      <c r="ALI73" s="18"/>
      <c r="ALJ73" s="18"/>
      <c r="ALK73" s="18"/>
      <c r="ALL73" s="18"/>
      <c r="ALM73" s="18"/>
      <c r="ALN73" s="18"/>
      <c r="ALO73" s="18"/>
      <c r="ALP73" s="18"/>
      <c r="ALQ73" s="18"/>
      <c r="ALR73" s="18"/>
      <c r="ALS73" s="18"/>
      <c r="ALT73" s="18"/>
    </row>
    <row r="74" spans="1:1008" ht="36">
      <c r="A74" s="251" t="s">
        <v>7</v>
      </c>
      <c r="B74" s="290">
        <v>87879</v>
      </c>
      <c r="C74" s="278" t="str">
        <f>(IF($A74="SINAPI",INDEX(SINAPI_NOV2020_NDES!$A$7:$H$6703,MATCH($B74,SINAPI_NOV2020_NDES!$A$7:$A$6703,0),2),IF($A74="GOINFRA",INDEX(#REF!,MATCH($B74,#REF!,0),2),(INDEX(COMPOS!$A$4:$G$390,MATCH($B74,COMPOS!$A$4:A$390,0),2)))))</f>
        <v>CHAPISCO APLICADO EM ALVENARIAS E ESTRUTURAS DE CONCRETO INTERNAS, COM COLHER DE PEDREIRO.  ARGAMASSA TRAÇO 1:3 COM PREPARO EM BETONEIRA 400L. AF_06/2014</v>
      </c>
      <c r="D74" s="274" t="str">
        <f>(IF($A74="SINAPI",INDEX(SINAPI_NOV2020_NDES!$A$7:$H$6790,MATCH($B74,SINAPI_NOV2020_NDES!$A$7:$A$6790,0),3),(INDEX(COMPOS!$A$4:$G$5000,MATCH($B74,COMPOS!$A$4:$A$5000,0),3))))</f>
        <v>M2</v>
      </c>
      <c r="E74" s="314">
        <f>12.85*2.7-(0.9*2.1)</f>
        <v>32.805</v>
      </c>
      <c r="F74" s="279">
        <f>(IF($A74="SINAPI",INDEX(SINAPI_NOV2020_NDES!$A$7:$H$6703,MATCH($B74,SINAPI_NOV2020_NDES!$A$7:$A$6703,0),5),(INDEX(COMPOS!$A$4:$G$801,MATCH($B74,COMPOS!$A$4:A$801,0),4))))</f>
        <v>1.67</v>
      </c>
      <c r="G74" s="280">
        <f>(IF($A74="SINAPI",INDEX(SINAPI_NOV2020_NDES!$A$7:$H$6703,MATCH($B74,SINAPI_NOV2020_NDES!$A$7:$A$6703,0),6),(INDEX(COMPOS!$A$4:$G$801,MATCH($B74,COMPOS!$A$4:A$801,0),5))))</f>
        <v>1.74</v>
      </c>
      <c r="H74" s="280">
        <f>(IF($A74="SINAPI",INDEX(SINAPI_NOV2020_NDES!$A$7:$H$6703,MATCH($B74,SINAPI_NOV2020_NDES!$A$7:$A$6703,0),7),(INDEX(COMPOS!$A$4:$G$801,MATCH($B74,COMPOS!$A$4:A$801,0),6))))</f>
        <v>0</v>
      </c>
      <c r="I74" s="279">
        <f t="shared" ref="I74" si="22">SUM(F74:H74)</f>
        <v>3.41</v>
      </c>
      <c r="J74" s="276">
        <f t="shared" ref="J74" si="23">+I74*E74</f>
        <v>111.86505000000001</v>
      </c>
      <c r="K74" s="191"/>
      <c r="L74" s="191"/>
      <c r="M74" s="191"/>
      <c r="N74" s="191"/>
      <c r="O74" s="262"/>
      <c r="P74" s="263"/>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c r="EF74" s="18"/>
      <c r="EG74" s="18"/>
      <c r="EH74" s="18"/>
      <c r="EI74" s="18"/>
      <c r="EJ74" s="18"/>
      <c r="EK74" s="18"/>
      <c r="EL74" s="18"/>
      <c r="EM74" s="18"/>
      <c r="EN74" s="18"/>
      <c r="EO74" s="18"/>
      <c r="EP74" s="18"/>
      <c r="EQ74" s="18"/>
      <c r="ER74" s="18"/>
      <c r="ES74" s="18"/>
      <c r="ET74" s="18"/>
      <c r="EU74" s="18"/>
      <c r="EV74" s="18"/>
      <c r="EW74" s="18"/>
      <c r="EX74" s="18"/>
      <c r="EY74" s="18"/>
      <c r="EZ74" s="18"/>
      <c r="FA74" s="18"/>
      <c r="FB74" s="18"/>
      <c r="FC74" s="18"/>
      <c r="FD74" s="18"/>
      <c r="FE74" s="18"/>
      <c r="FF74" s="18"/>
      <c r="FG74" s="18"/>
      <c r="FH74" s="18"/>
      <c r="FI74" s="18"/>
      <c r="FJ74" s="18"/>
      <c r="FK74" s="18"/>
      <c r="FL74" s="18"/>
      <c r="FM74" s="18"/>
      <c r="FN74" s="18"/>
      <c r="FO74" s="18"/>
      <c r="FP74" s="18"/>
      <c r="FQ74" s="18"/>
      <c r="FR74" s="18"/>
      <c r="FS74" s="18"/>
      <c r="FT74" s="18"/>
      <c r="FU74" s="18"/>
      <c r="FV74" s="18"/>
      <c r="FW74" s="18"/>
      <c r="FX74" s="18"/>
      <c r="FY74" s="18"/>
      <c r="FZ74" s="18"/>
      <c r="GA74" s="18"/>
      <c r="GB74" s="18"/>
      <c r="GC74" s="18"/>
      <c r="GD74" s="18"/>
      <c r="GE74" s="18"/>
      <c r="GF74" s="18"/>
      <c r="GG74" s="18"/>
      <c r="GH74" s="18"/>
      <c r="GI74" s="18"/>
      <c r="GJ74" s="18"/>
      <c r="GK74" s="18"/>
      <c r="GL74" s="18"/>
      <c r="GM74" s="18"/>
      <c r="GN74" s="18"/>
      <c r="GO74" s="18"/>
      <c r="GP74" s="18"/>
      <c r="GQ74" s="18"/>
      <c r="GR74" s="18"/>
      <c r="GS74" s="18"/>
      <c r="GT74" s="18"/>
      <c r="GU74" s="18"/>
      <c r="GV74" s="18"/>
      <c r="GW74" s="18"/>
      <c r="GX74" s="18"/>
      <c r="GY74" s="18"/>
      <c r="GZ74" s="18"/>
      <c r="HA74" s="18"/>
      <c r="HB74" s="18"/>
      <c r="HC74" s="18"/>
      <c r="HD74" s="18"/>
      <c r="HE74" s="18"/>
      <c r="HF74" s="18"/>
      <c r="HG74" s="18"/>
      <c r="HH74" s="18"/>
      <c r="HI74" s="18"/>
      <c r="HJ74" s="18"/>
      <c r="HK74" s="18"/>
      <c r="HL74" s="18"/>
      <c r="HM74" s="18"/>
      <c r="HN74" s="18"/>
      <c r="HO74" s="18"/>
      <c r="HP74" s="18"/>
      <c r="HQ74" s="18"/>
      <c r="HR74" s="18"/>
      <c r="HS74" s="18"/>
      <c r="HT74" s="18"/>
      <c r="HU74" s="18"/>
      <c r="HV74" s="18"/>
      <c r="HW74" s="18"/>
      <c r="HX74" s="18"/>
      <c r="HY74" s="18"/>
      <c r="HZ74" s="18"/>
      <c r="IA74" s="18"/>
      <c r="IB74" s="18"/>
      <c r="IC74" s="18"/>
      <c r="ID74" s="18"/>
      <c r="IE74" s="18"/>
      <c r="IF74" s="18"/>
      <c r="IG74" s="18"/>
      <c r="IH74" s="18"/>
      <c r="II74" s="18"/>
      <c r="IJ74" s="18"/>
      <c r="IK74" s="18"/>
      <c r="IL74" s="18"/>
      <c r="IM74" s="18"/>
      <c r="IN74" s="18"/>
      <c r="IO74" s="18"/>
      <c r="IP74" s="18"/>
      <c r="IQ74" s="18"/>
      <c r="IR74" s="18"/>
      <c r="IS74" s="18"/>
      <c r="IT74" s="18"/>
      <c r="IU74" s="18"/>
      <c r="IV74" s="18"/>
      <c r="IW74" s="18"/>
      <c r="IX74" s="18"/>
      <c r="IY74" s="18"/>
      <c r="IZ74" s="18"/>
      <c r="JA74" s="18"/>
      <c r="JB74" s="18"/>
      <c r="JC74" s="18"/>
      <c r="JD74" s="18"/>
      <c r="JE74" s="18"/>
      <c r="JF74" s="18"/>
      <c r="JG74" s="18"/>
      <c r="JH74" s="18"/>
      <c r="JI74" s="18"/>
      <c r="JJ74" s="18"/>
      <c r="JK74" s="18"/>
      <c r="JL74" s="18"/>
      <c r="JM74" s="18"/>
      <c r="JN74" s="18"/>
      <c r="JO74" s="18"/>
      <c r="JP74" s="18"/>
      <c r="JQ74" s="18"/>
      <c r="JR74" s="18"/>
      <c r="JS74" s="18"/>
      <c r="JT74" s="18"/>
      <c r="JU74" s="18"/>
      <c r="JV74" s="18"/>
      <c r="JW74" s="18"/>
      <c r="JX74" s="18"/>
      <c r="JY74" s="18"/>
      <c r="JZ74" s="18"/>
      <c r="KA74" s="18"/>
      <c r="KB74" s="18"/>
      <c r="KC74" s="18"/>
      <c r="KD74" s="18"/>
      <c r="KE74" s="18"/>
      <c r="KF74" s="18"/>
      <c r="KG74" s="18"/>
      <c r="KH74" s="18"/>
      <c r="KI74" s="18"/>
      <c r="KJ74" s="18"/>
      <c r="KK74" s="18"/>
      <c r="KL74" s="18"/>
      <c r="KM74" s="18"/>
      <c r="KN74" s="18"/>
      <c r="KO74" s="18"/>
      <c r="KP74" s="18"/>
      <c r="KQ74" s="18"/>
      <c r="KR74" s="18"/>
      <c r="KS74" s="18"/>
      <c r="KT74" s="18"/>
      <c r="KU74" s="18"/>
      <c r="KV74" s="18"/>
      <c r="KW74" s="18"/>
      <c r="KX74" s="18"/>
      <c r="KY74" s="18"/>
      <c r="KZ74" s="18"/>
      <c r="LA74" s="18"/>
      <c r="LB74" s="18"/>
      <c r="LC74" s="18"/>
      <c r="LD74" s="18"/>
      <c r="LE74" s="18"/>
      <c r="LF74" s="18"/>
      <c r="LG74" s="18"/>
      <c r="LH74" s="18"/>
      <c r="LI74" s="18"/>
      <c r="LJ74" s="18"/>
      <c r="LK74" s="18"/>
      <c r="LL74" s="18"/>
      <c r="LM74" s="18"/>
      <c r="LN74" s="18"/>
      <c r="LO74" s="18"/>
      <c r="LP74" s="18"/>
      <c r="LQ74" s="18"/>
      <c r="LR74" s="18"/>
      <c r="LS74" s="18"/>
      <c r="LT74" s="18"/>
      <c r="LU74" s="18"/>
      <c r="LV74" s="18"/>
      <c r="LW74" s="18"/>
      <c r="LX74" s="18"/>
      <c r="LY74" s="18"/>
      <c r="LZ74" s="18"/>
      <c r="MA74" s="18"/>
      <c r="MB74" s="18"/>
      <c r="MC74" s="18"/>
      <c r="MD74" s="18"/>
      <c r="ME74" s="18"/>
      <c r="MF74" s="18"/>
      <c r="MG74" s="18"/>
      <c r="MH74" s="18"/>
      <c r="MI74" s="18"/>
      <c r="MJ74" s="18"/>
      <c r="MK74" s="18"/>
      <c r="ML74" s="18"/>
      <c r="MM74" s="18"/>
      <c r="MN74" s="18"/>
      <c r="MO74" s="18"/>
      <c r="MP74" s="18"/>
      <c r="MQ74" s="18"/>
      <c r="MR74" s="18"/>
      <c r="MS74" s="18"/>
      <c r="MT74" s="18"/>
      <c r="MU74" s="18"/>
      <c r="MV74" s="18"/>
      <c r="MW74" s="18"/>
      <c r="MX74" s="18"/>
      <c r="MY74" s="18"/>
      <c r="MZ74" s="18"/>
      <c r="NA74" s="18"/>
      <c r="NB74" s="18"/>
      <c r="NC74" s="18"/>
      <c r="ND74" s="18"/>
      <c r="NE74" s="18"/>
      <c r="NF74" s="18"/>
      <c r="NG74" s="18"/>
      <c r="NH74" s="18"/>
      <c r="NI74" s="18"/>
      <c r="NJ74" s="18"/>
      <c r="NK74" s="18"/>
      <c r="NL74" s="18"/>
      <c r="NM74" s="18"/>
      <c r="NN74" s="18"/>
      <c r="NO74" s="18"/>
      <c r="NP74" s="18"/>
      <c r="NQ74" s="18"/>
      <c r="NR74" s="18"/>
      <c r="NS74" s="18"/>
      <c r="NT74" s="18"/>
      <c r="NU74" s="18"/>
      <c r="NV74" s="18"/>
      <c r="NW74" s="18"/>
      <c r="NX74" s="18"/>
      <c r="NY74" s="18"/>
      <c r="NZ74" s="18"/>
      <c r="OA74" s="18"/>
      <c r="OB74" s="18"/>
      <c r="OC74" s="18"/>
      <c r="OD74" s="18"/>
      <c r="OE74" s="18"/>
      <c r="OF74" s="18"/>
      <c r="OG74" s="18"/>
      <c r="OH74" s="18"/>
      <c r="OI74" s="18"/>
      <c r="OJ74" s="18"/>
      <c r="OK74" s="18"/>
      <c r="OL74" s="18"/>
      <c r="OM74" s="18"/>
      <c r="ON74" s="18"/>
      <c r="OO74" s="18"/>
      <c r="OP74" s="18"/>
      <c r="OQ74" s="18"/>
      <c r="OR74" s="18"/>
      <c r="OS74" s="18"/>
      <c r="OT74" s="18"/>
      <c r="OU74" s="18"/>
      <c r="OV74" s="18"/>
      <c r="OW74" s="18"/>
      <c r="OX74" s="18"/>
      <c r="OY74" s="18"/>
      <c r="OZ74" s="18"/>
      <c r="PA74" s="18"/>
      <c r="PB74" s="18"/>
      <c r="PC74" s="18"/>
      <c r="PD74" s="18"/>
      <c r="PE74" s="18"/>
      <c r="PF74" s="18"/>
      <c r="PG74" s="18"/>
      <c r="PH74" s="18"/>
      <c r="PI74" s="18"/>
      <c r="PJ74" s="18"/>
      <c r="PK74" s="18"/>
      <c r="PL74" s="18"/>
      <c r="PM74" s="18"/>
      <c r="PN74" s="18"/>
      <c r="PO74" s="18"/>
      <c r="PP74" s="18"/>
      <c r="PQ74" s="18"/>
      <c r="PR74" s="18"/>
      <c r="PS74" s="18"/>
      <c r="PT74" s="18"/>
      <c r="PU74" s="18"/>
      <c r="PV74" s="18"/>
      <c r="PW74" s="18"/>
      <c r="PX74" s="18"/>
      <c r="PY74" s="18"/>
      <c r="PZ74" s="18"/>
      <c r="QA74" s="18"/>
      <c r="QB74" s="18"/>
      <c r="QC74" s="18"/>
      <c r="QD74" s="18"/>
      <c r="QE74" s="18"/>
      <c r="QF74" s="18"/>
      <c r="QG74" s="18"/>
      <c r="QH74" s="18"/>
      <c r="QI74" s="18"/>
      <c r="QJ74" s="18"/>
      <c r="QK74" s="18"/>
      <c r="QL74" s="18"/>
      <c r="QM74" s="18"/>
      <c r="QN74" s="18"/>
      <c r="QO74" s="18"/>
      <c r="QP74" s="18"/>
      <c r="QQ74" s="18"/>
      <c r="QR74" s="18"/>
      <c r="QS74" s="18"/>
      <c r="QT74" s="18"/>
      <c r="QU74" s="18"/>
      <c r="QV74" s="18"/>
      <c r="QW74" s="18"/>
      <c r="QX74" s="18"/>
      <c r="QY74" s="18"/>
      <c r="QZ74" s="18"/>
      <c r="RA74" s="18"/>
      <c r="RB74" s="18"/>
      <c r="RC74" s="18"/>
      <c r="RD74" s="18"/>
      <c r="RE74" s="18"/>
      <c r="RF74" s="18"/>
      <c r="RG74" s="18"/>
      <c r="RH74" s="18"/>
      <c r="RI74" s="18"/>
      <c r="RJ74" s="18"/>
      <c r="RK74" s="18"/>
      <c r="RL74" s="18"/>
      <c r="RM74" s="18"/>
      <c r="RN74" s="18"/>
      <c r="RO74" s="18"/>
      <c r="RP74" s="18"/>
      <c r="RQ74" s="18"/>
      <c r="RR74" s="18"/>
      <c r="RS74" s="18"/>
      <c r="RT74" s="18"/>
      <c r="RU74" s="18"/>
      <c r="RV74" s="18"/>
      <c r="RW74" s="18"/>
      <c r="RX74" s="18"/>
      <c r="RY74" s="18"/>
      <c r="RZ74" s="18"/>
      <c r="SA74" s="18"/>
      <c r="SB74" s="18"/>
      <c r="SC74" s="18"/>
      <c r="SD74" s="18"/>
      <c r="SE74" s="18"/>
      <c r="SF74" s="18"/>
      <c r="SG74" s="18"/>
      <c r="SH74" s="18"/>
      <c r="SI74" s="18"/>
      <c r="SJ74" s="18"/>
      <c r="SK74" s="18"/>
      <c r="SL74" s="18"/>
      <c r="SM74" s="18"/>
      <c r="SN74" s="18"/>
      <c r="SO74" s="18"/>
      <c r="SP74" s="18"/>
      <c r="SQ74" s="18"/>
      <c r="SR74" s="18"/>
      <c r="SS74" s="18"/>
      <c r="ST74" s="18"/>
      <c r="SU74" s="18"/>
      <c r="SV74" s="18"/>
      <c r="SW74" s="18"/>
      <c r="SX74" s="18"/>
      <c r="SY74" s="18"/>
      <c r="SZ74" s="18"/>
      <c r="TA74" s="18"/>
      <c r="TB74" s="18"/>
      <c r="TC74" s="18"/>
      <c r="TD74" s="18"/>
      <c r="TE74" s="18"/>
      <c r="TF74" s="18"/>
      <c r="TG74" s="18"/>
      <c r="TH74" s="18"/>
      <c r="TI74" s="18"/>
      <c r="TJ74" s="18"/>
      <c r="TK74" s="18"/>
      <c r="TL74" s="18"/>
      <c r="TM74" s="18"/>
      <c r="TN74" s="18"/>
      <c r="TO74" s="18"/>
      <c r="TP74" s="18"/>
      <c r="TQ74" s="18"/>
      <c r="TR74" s="18"/>
      <c r="TS74" s="18"/>
      <c r="TT74" s="18"/>
      <c r="TU74" s="18"/>
      <c r="TV74" s="18"/>
      <c r="TW74" s="18"/>
      <c r="TX74" s="18"/>
      <c r="TY74" s="18"/>
      <c r="TZ74" s="18"/>
      <c r="UA74" s="18"/>
      <c r="UB74" s="18"/>
      <c r="UC74" s="18"/>
      <c r="UD74" s="18"/>
      <c r="UE74" s="18"/>
      <c r="UF74" s="18"/>
      <c r="UG74" s="18"/>
      <c r="UH74" s="18"/>
      <c r="UI74" s="18"/>
      <c r="UJ74" s="18"/>
      <c r="UK74" s="18"/>
      <c r="UL74" s="18"/>
      <c r="UM74" s="18"/>
      <c r="UN74" s="18"/>
      <c r="UO74" s="18"/>
      <c r="UP74" s="18"/>
      <c r="UQ74" s="18"/>
      <c r="UR74" s="18"/>
      <c r="US74" s="18"/>
      <c r="UT74" s="18"/>
      <c r="UU74" s="18"/>
      <c r="UV74" s="18"/>
      <c r="UW74" s="18"/>
      <c r="UX74" s="18"/>
      <c r="UY74" s="18"/>
      <c r="UZ74" s="18"/>
      <c r="VA74" s="18"/>
      <c r="VB74" s="18"/>
      <c r="VC74" s="18"/>
      <c r="VD74" s="18"/>
      <c r="VE74" s="18"/>
      <c r="VF74" s="18"/>
      <c r="VG74" s="18"/>
      <c r="VH74" s="18"/>
      <c r="VI74" s="18"/>
      <c r="VJ74" s="18"/>
      <c r="VK74" s="18"/>
      <c r="VL74" s="18"/>
      <c r="VM74" s="18"/>
      <c r="VN74" s="18"/>
      <c r="VO74" s="18"/>
      <c r="VP74" s="18"/>
      <c r="VQ74" s="18"/>
      <c r="VR74" s="18"/>
      <c r="VS74" s="18"/>
      <c r="VT74" s="18"/>
      <c r="VU74" s="18"/>
      <c r="VV74" s="18"/>
      <c r="VW74" s="18"/>
      <c r="VX74" s="18"/>
      <c r="VY74" s="18"/>
      <c r="VZ74" s="18"/>
      <c r="WA74" s="18"/>
      <c r="WB74" s="18"/>
      <c r="WC74" s="18"/>
      <c r="WD74" s="18"/>
      <c r="WE74" s="18"/>
      <c r="WF74" s="18"/>
      <c r="WG74" s="18"/>
      <c r="WH74" s="18"/>
      <c r="WI74" s="18"/>
      <c r="WJ74" s="18"/>
      <c r="WK74" s="18"/>
      <c r="WL74" s="18"/>
      <c r="WM74" s="18"/>
      <c r="WN74" s="18"/>
      <c r="WO74" s="18"/>
      <c r="WP74" s="18"/>
      <c r="WQ74" s="18"/>
      <c r="WR74" s="18"/>
      <c r="WS74" s="18"/>
      <c r="WT74" s="18"/>
      <c r="WU74" s="18"/>
      <c r="WV74" s="18"/>
      <c r="WW74" s="18"/>
      <c r="WX74" s="18"/>
      <c r="WY74" s="18"/>
      <c r="WZ74" s="18"/>
      <c r="XA74" s="18"/>
      <c r="XB74" s="18"/>
      <c r="XC74" s="18"/>
      <c r="XD74" s="18"/>
      <c r="XE74" s="18"/>
      <c r="XF74" s="18"/>
      <c r="XG74" s="18"/>
      <c r="XH74" s="18"/>
      <c r="XI74" s="18"/>
      <c r="XJ74" s="18"/>
      <c r="XK74" s="18"/>
      <c r="XL74" s="18"/>
      <c r="XM74" s="18"/>
      <c r="XN74" s="18"/>
      <c r="XO74" s="18"/>
      <c r="XP74" s="18"/>
      <c r="XQ74" s="18"/>
      <c r="XR74" s="18"/>
      <c r="XS74" s="18"/>
      <c r="XT74" s="18"/>
      <c r="XU74" s="18"/>
      <c r="XV74" s="18"/>
      <c r="XW74" s="18"/>
      <c r="XX74" s="18"/>
      <c r="XY74" s="18"/>
      <c r="XZ74" s="18"/>
      <c r="YA74" s="18"/>
      <c r="YB74" s="18"/>
      <c r="YC74" s="18"/>
      <c r="YD74" s="18"/>
      <c r="YE74" s="18"/>
      <c r="YF74" s="18"/>
      <c r="YG74" s="18"/>
      <c r="YH74" s="18"/>
      <c r="YI74" s="18"/>
      <c r="YJ74" s="18"/>
      <c r="YK74" s="18"/>
      <c r="YL74" s="18"/>
      <c r="YM74" s="18"/>
      <c r="YN74" s="18"/>
      <c r="YO74" s="18"/>
      <c r="YP74" s="18"/>
      <c r="YQ74" s="18"/>
      <c r="YR74" s="18"/>
      <c r="YS74" s="18"/>
      <c r="YT74" s="18"/>
      <c r="YU74" s="18"/>
      <c r="YV74" s="18"/>
      <c r="YW74" s="18"/>
      <c r="YX74" s="18"/>
      <c r="YY74" s="18"/>
      <c r="YZ74" s="18"/>
      <c r="ZA74" s="18"/>
      <c r="ZB74" s="18"/>
      <c r="ZC74" s="18"/>
      <c r="ZD74" s="18"/>
      <c r="ZE74" s="18"/>
      <c r="ZF74" s="18"/>
      <c r="ZG74" s="18"/>
      <c r="ZH74" s="18"/>
      <c r="ZI74" s="18"/>
      <c r="ZJ74" s="18"/>
      <c r="ZK74" s="18"/>
      <c r="ZL74" s="18"/>
      <c r="ZM74" s="18"/>
      <c r="ZN74" s="18"/>
      <c r="ZO74" s="18"/>
      <c r="ZP74" s="18"/>
      <c r="ZQ74" s="18"/>
      <c r="ZR74" s="18"/>
      <c r="ZS74" s="18"/>
      <c r="ZT74" s="18"/>
      <c r="ZU74" s="18"/>
      <c r="ZV74" s="18"/>
      <c r="ZW74" s="18"/>
      <c r="ZX74" s="18"/>
      <c r="ZY74" s="18"/>
      <c r="ZZ74" s="18"/>
      <c r="AAA74" s="18"/>
      <c r="AAB74" s="18"/>
      <c r="AAC74" s="18"/>
      <c r="AAD74" s="18"/>
      <c r="AAE74" s="18"/>
      <c r="AAF74" s="18"/>
      <c r="AAG74" s="18"/>
      <c r="AAH74" s="18"/>
      <c r="AAI74" s="18"/>
      <c r="AAJ74" s="18"/>
      <c r="AAK74" s="18"/>
      <c r="AAL74" s="18"/>
      <c r="AAM74" s="18"/>
      <c r="AAN74" s="18"/>
      <c r="AAO74" s="18"/>
      <c r="AAP74" s="18"/>
      <c r="AAQ74" s="18"/>
      <c r="AAR74" s="18"/>
      <c r="AAS74" s="18"/>
      <c r="AAT74" s="18"/>
      <c r="AAU74" s="18"/>
      <c r="AAV74" s="18"/>
      <c r="AAW74" s="18"/>
      <c r="AAX74" s="18"/>
      <c r="AAY74" s="18"/>
      <c r="AAZ74" s="18"/>
      <c r="ABA74" s="18"/>
      <c r="ABB74" s="18"/>
      <c r="ABC74" s="18"/>
      <c r="ABD74" s="18"/>
      <c r="ABE74" s="18"/>
      <c r="ABF74" s="18"/>
      <c r="ABG74" s="18"/>
      <c r="ABH74" s="18"/>
      <c r="ABI74" s="18"/>
      <c r="ABJ74" s="18"/>
      <c r="ABK74" s="18"/>
      <c r="ABL74" s="18"/>
      <c r="ABM74" s="18"/>
      <c r="ABN74" s="18"/>
      <c r="ABO74" s="18"/>
      <c r="ABP74" s="18"/>
      <c r="ABQ74" s="18"/>
      <c r="ABR74" s="18"/>
      <c r="ABS74" s="18"/>
      <c r="ABT74" s="18"/>
      <c r="ABU74" s="18"/>
      <c r="ABV74" s="18"/>
      <c r="ABW74" s="18"/>
      <c r="ABX74" s="18"/>
      <c r="ABY74" s="18"/>
      <c r="ABZ74" s="18"/>
      <c r="ACA74" s="18"/>
      <c r="ACB74" s="18"/>
      <c r="ACC74" s="18"/>
      <c r="ACD74" s="18"/>
      <c r="ACE74" s="18"/>
      <c r="ACF74" s="18"/>
      <c r="ACG74" s="18"/>
      <c r="ACH74" s="18"/>
      <c r="ACI74" s="18"/>
      <c r="ACJ74" s="18"/>
      <c r="ACK74" s="18"/>
      <c r="ACL74" s="18"/>
      <c r="ACM74" s="18"/>
      <c r="ACN74" s="18"/>
      <c r="ACO74" s="18"/>
      <c r="ACP74" s="18"/>
      <c r="ACQ74" s="18"/>
      <c r="ACR74" s="18"/>
      <c r="ACS74" s="18"/>
      <c r="ACT74" s="18"/>
      <c r="ACU74" s="18"/>
      <c r="ACV74" s="18"/>
      <c r="ACW74" s="18"/>
      <c r="ACX74" s="18"/>
      <c r="ACY74" s="18"/>
      <c r="ACZ74" s="18"/>
      <c r="ADA74" s="18"/>
      <c r="ADB74" s="18"/>
      <c r="ADC74" s="18"/>
      <c r="ADD74" s="18"/>
      <c r="ADE74" s="18"/>
      <c r="ADF74" s="18"/>
      <c r="ADG74" s="18"/>
      <c r="ADH74" s="18"/>
      <c r="ADI74" s="18"/>
      <c r="ADJ74" s="18"/>
      <c r="ADK74" s="18"/>
      <c r="ADL74" s="18"/>
      <c r="ADM74" s="18"/>
      <c r="ADN74" s="18"/>
      <c r="ADO74" s="18"/>
      <c r="ADP74" s="18"/>
      <c r="ADQ74" s="18"/>
      <c r="ADR74" s="18"/>
      <c r="ADS74" s="18"/>
      <c r="ADT74" s="18"/>
      <c r="ADU74" s="18"/>
      <c r="ADV74" s="18"/>
      <c r="ADW74" s="18"/>
      <c r="ADX74" s="18"/>
      <c r="ADY74" s="18"/>
      <c r="ADZ74" s="18"/>
      <c r="AEA74" s="18"/>
      <c r="AEB74" s="18"/>
      <c r="AEC74" s="18"/>
      <c r="AED74" s="18"/>
      <c r="AEE74" s="18"/>
      <c r="AEF74" s="18"/>
      <c r="AEG74" s="18"/>
      <c r="AEH74" s="18"/>
      <c r="AEI74" s="18"/>
      <c r="AEJ74" s="18"/>
      <c r="AEK74" s="18"/>
      <c r="AEL74" s="18"/>
      <c r="AEM74" s="18"/>
      <c r="AEN74" s="18"/>
      <c r="AEO74" s="18"/>
      <c r="AEP74" s="18"/>
      <c r="AEQ74" s="18"/>
      <c r="AER74" s="18"/>
      <c r="AES74" s="18"/>
      <c r="AET74" s="18"/>
      <c r="AEU74" s="18"/>
      <c r="AEV74" s="18"/>
      <c r="AEW74" s="18"/>
      <c r="AEX74" s="18"/>
      <c r="AEY74" s="18"/>
      <c r="AEZ74" s="18"/>
      <c r="AFA74" s="18"/>
      <c r="AFB74" s="18"/>
      <c r="AFC74" s="18"/>
      <c r="AFD74" s="18"/>
      <c r="AFE74" s="18"/>
      <c r="AFF74" s="18"/>
      <c r="AFG74" s="18"/>
      <c r="AFH74" s="18"/>
      <c r="AFI74" s="18"/>
      <c r="AFJ74" s="18"/>
      <c r="AFK74" s="18"/>
      <c r="AFL74" s="18"/>
      <c r="AFM74" s="18"/>
      <c r="AFN74" s="18"/>
      <c r="AFO74" s="18"/>
      <c r="AFP74" s="18"/>
      <c r="AFQ74" s="18"/>
      <c r="AFR74" s="18"/>
      <c r="AFS74" s="18"/>
      <c r="AFT74" s="18"/>
      <c r="AFU74" s="18"/>
      <c r="AFV74" s="18"/>
      <c r="AFW74" s="18"/>
      <c r="AFX74" s="18"/>
      <c r="AFY74" s="18"/>
      <c r="AFZ74" s="18"/>
      <c r="AGA74" s="18"/>
      <c r="AGB74" s="18"/>
      <c r="AGC74" s="18"/>
      <c r="AGD74" s="18"/>
      <c r="AGE74" s="18"/>
      <c r="AGF74" s="18"/>
      <c r="AGG74" s="18"/>
      <c r="AGH74" s="18"/>
      <c r="AGI74" s="18"/>
      <c r="AGJ74" s="18"/>
      <c r="AGK74" s="18"/>
      <c r="AGL74" s="18"/>
      <c r="AGM74" s="18"/>
      <c r="AGN74" s="18"/>
      <c r="AGO74" s="18"/>
      <c r="AGP74" s="18"/>
      <c r="AGQ74" s="18"/>
      <c r="AGR74" s="18"/>
      <c r="AGS74" s="18"/>
      <c r="AGT74" s="18"/>
      <c r="AGU74" s="18"/>
      <c r="AGV74" s="18"/>
      <c r="AGW74" s="18"/>
      <c r="AGX74" s="18"/>
      <c r="AGY74" s="18"/>
      <c r="AGZ74" s="18"/>
      <c r="AHA74" s="18"/>
      <c r="AHB74" s="18"/>
      <c r="AHC74" s="18"/>
      <c r="AHD74" s="18"/>
      <c r="AHE74" s="18"/>
      <c r="AHF74" s="18"/>
      <c r="AHG74" s="18"/>
      <c r="AHH74" s="18"/>
      <c r="AHI74" s="18"/>
      <c r="AHJ74" s="18"/>
      <c r="AHK74" s="18"/>
      <c r="AHL74" s="18"/>
      <c r="AHM74" s="18"/>
      <c r="AHN74" s="18"/>
      <c r="AHO74" s="18"/>
      <c r="AHP74" s="18"/>
      <c r="AHQ74" s="18"/>
      <c r="AHR74" s="18"/>
      <c r="AHS74" s="18"/>
      <c r="AHT74" s="18"/>
      <c r="AHU74" s="18"/>
      <c r="AHV74" s="18"/>
      <c r="AHW74" s="18"/>
      <c r="AHX74" s="18"/>
      <c r="AHY74" s="18"/>
      <c r="AHZ74" s="18"/>
      <c r="AIA74" s="18"/>
      <c r="AIB74" s="18"/>
      <c r="AIC74" s="18"/>
      <c r="AID74" s="18"/>
      <c r="AIE74" s="18"/>
      <c r="AIF74" s="18"/>
      <c r="AIG74" s="18"/>
      <c r="AIH74" s="18"/>
      <c r="AII74" s="18"/>
      <c r="AIJ74" s="18"/>
      <c r="AIK74" s="18"/>
      <c r="AIL74" s="18"/>
      <c r="AIM74" s="18"/>
      <c r="AIN74" s="18"/>
      <c r="AIO74" s="18"/>
      <c r="AIP74" s="18"/>
      <c r="AIQ74" s="18"/>
      <c r="AIR74" s="18"/>
      <c r="AIS74" s="18"/>
      <c r="AIT74" s="18"/>
      <c r="AIU74" s="18"/>
      <c r="AIV74" s="18"/>
      <c r="AIW74" s="18"/>
      <c r="AIX74" s="18"/>
      <c r="AIY74" s="18"/>
      <c r="AIZ74" s="18"/>
      <c r="AJA74" s="18"/>
      <c r="AJB74" s="18"/>
      <c r="AJC74" s="18"/>
      <c r="AJD74" s="18"/>
      <c r="AJE74" s="18"/>
      <c r="AJF74" s="18"/>
      <c r="AJG74" s="18"/>
      <c r="AJH74" s="18"/>
      <c r="AJI74" s="18"/>
      <c r="AJJ74" s="18"/>
      <c r="AJK74" s="18"/>
      <c r="AJL74" s="18"/>
      <c r="AJM74" s="18"/>
      <c r="AJN74" s="18"/>
      <c r="AJO74" s="18"/>
      <c r="AJP74" s="18"/>
      <c r="AJQ74" s="18"/>
      <c r="AJR74" s="18"/>
      <c r="AJS74" s="18"/>
      <c r="AJT74" s="18"/>
      <c r="AJU74" s="18"/>
      <c r="AJV74" s="18"/>
      <c r="AJW74" s="18"/>
      <c r="AJX74" s="18"/>
      <c r="AJY74" s="18"/>
      <c r="AJZ74" s="18"/>
      <c r="AKA74" s="18"/>
      <c r="AKB74" s="18"/>
      <c r="AKC74" s="18"/>
      <c r="AKD74" s="18"/>
      <c r="AKE74" s="18"/>
      <c r="AKF74" s="18"/>
      <c r="AKG74" s="18"/>
      <c r="AKH74" s="18"/>
      <c r="AKI74" s="18"/>
      <c r="AKJ74" s="18"/>
      <c r="AKK74" s="18"/>
      <c r="AKL74" s="18"/>
      <c r="AKM74" s="18"/>
      <c r="AKN74" s="18"/>
      <c r="AKO74" s="18"/>
      <c r="AKP74" s="18"/>
      <c r="AKQ74" s="18"/>
      <c r="AKR74" s="18"/>
      <c r="AKS74" s="18"/>
      <c r="AKT74" s="18"/>
      <c r="AKU74" s="18"/>
      <c r="AKV74" s="18"/>
      <c r="AKW74" s="18"/>
      <c r="AKX74" s="18"/>
      <c r="AKY74" s="18"/>
      <c r="AKZ74" s="18"/>
      <c r="ALA74" s="18"/>
      <c r="ALB74" s="18"/>
      <c r="ALC74" s="18"/>
      <c r="ALD74" s="18"/>
      <c r="ALE74" s="18"/>
      <c r="ALF74" s="18"/>
      <c r="ALG74" s="18"/>
      <c r="ALH74" s="18"/>
      <c r="ALI74" s="18"/>
      <c r="ALJ74" s="18"/>
      <c r="ALK74" s="18"/>
      <c r="ALL74" s="18"/>
      <c r="ALM74" s="18"/>
      <c r="ALN74" s="18"/>
      <c r="ALO74" s="18"/>
      <c r="ALP74" s="18"/>
      <c r="ALQ74" s="18"/>
      <c r="ALR74" s="18"/>
      <c r="ALS74" s="18"/>
      <c r="ALT74" s="18"/>
    </row>
    <row r="75" spans="1:1008" ht="36">
      <c r="A75" s="251" t="s">
        <v>7</v>
      </c>
      <c r="B75" s="290">
        <v>87530</v>
      </c>
      <c r="C75" s="278" t="str">
        <f>(IF($A75="SINAPI",INDEX(SINAPI_NOV2020_NDES!$A$7:$H$6703,MATCH($B75,SINAPI_NOV2020_NDES!$A$7:$A$6703,0),2),IF($A75="GOINFRA",INDEX(#REF!,MATCH($B75,#REF!,0),2),(INDEX(COMPOS!$A$4:$G$390,MATCH($B75,COMPOS!$A$4:A$390,0),2)))))</f>
        <v>MASSA ÚNICA, PARA RECEBIMENTO DE PINTURA, EM ARGAMASSA TRAÇO 1:2:8, PREPARO MANUAL, APLICADA MANUALMENTE EM FACES INTERNAS DE PAREDES, ESPESSURA DE 20MM, COM EXECUÇÃO DE TALISCAS. AF_06/2014</v>
      </c>
      <c r="D75" s="274" t="str">
        <f>(IF($A75="SINAPI",INDEX(SINAPI_NOV2020_NDES!$A$7:$H$6790,MATCH($B75,SINAPI_NOV2020_NDES!$A$7:$A$6790,0),3),(INDEX(COMPOS!$A$4:$G$5000,MATCH($B75,COMPOS!$A$4:$A$5000,0),3))))</f>
        <v>M2</v>
      </c>
      <c r="E75" s="314">
        <f>E95</f>
        <v>9.81</v>
      </c>
      <c r="F75" s="279">
        <f>(IF($A75="SINAPI",INDEX(SINAPI_NOV2020_NDES!$A$7:$H$6703,MATCH($B75,SINAPI_NOV2020_NDES!$A$7:$A$6703,0),5),(INDEX(COMPOS!$A$4:$G$801,MATCH($B75,COMPOS!$A$4:A$801,0),4))))</f>
        <v>14.31</v>
      </c>
      <c r="G75" s="280">
        <f>(IF($A75="SINAPI",INDEX(SINAPI_NOV2020_NDES!$A$7:$H$6703,MATCH($B75,SINAPI_NOV2020_NDES!$A$7:$A$6703,0),6),(INDEX(COMPOS!$A$4:$G$801,MATCH($B75,COMPOS!$A$4:A$801,0),5))))</f>
        <v>18.489999999999998</v>
      </c>
      <c r="H75" s="280">
        <f>(IF($A75="SINAPI",INDEX(SINAPI_NOV2020_NDES!$A$7:$H$6703,MATCH($B75,SINAPI_NOV2020_NDES!$A$7:$A$6703,0),7),(INDEX(COMPOS!$A$4:$G$801,MATCH($B75,COMPOS!$A$4:A$801,0),6))))</f>
        <v>0</v>
      </c>
      <c r="I75" s="279">
        <f t="shared" ref="I75:I77" si="24">SUM(F75:H75)</f>
        <v>32.799999999999997</v>
      </c>
      <c r="J75" s="276">
        <f t="shared" ref="J75:J77" si="25">+I75*E75</f>
        <v>321.76799999999997</v>
      </c>
      <c r="K75" s="191"/>
      <c r="L75" s="191"/>
      <c r="M75" s="191"/>
      <c r="N75" s="191"/>
      <c r="O75" s="262"/>
      <c r="P75" s="263"/>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c r="EF75" s="18"/>
      <c r="EG75" s="18"/>
      <c r="EH75" s="18"/>
      <c r="EI75" s="18"/>
      <c r="EJ75" s="18"/>
      <c r="EK75" s="18"/>
      <c r="EL75" s="18"/>
      <c r="EM75" s="18"/>
      <c r="EN75" s="18"/>
      <c r="EO75" s="18"/>
      <c r="EP75" s="18"/>
      <c r="EQ75" s="18"/>
      <c r="ER75" s="18"/>
      <c r="ES75" s="18"/>
      <c r="ET75" s="18"/>
      <c r="EU75" s="18"/>
      <c r="EV75" s="18"/>
      <c r="EW75" s="18"/>
      <c r="EX75" s="18"/>
      <c r="EY75" s="18"/>
      <c r="EZ75" s="18"/>
      <c r="FA75" s="18"/>
      <c r="FB75" s="18"/>
      <c r="FC75" s="18"/>
      <c r="FD75" s="18"/>
      <c r="FE75" s="18"/>
      <c r="FF75" s="18"/>
      <c r="FG75" s="18"/>
      <c r="FH75" s="18"/>
      <c r="FI75" s="18"/>
      <c r="FJ75" s="18"/>
      <c r="FK75" s="18"/>
      <c r="FL75" s="18"/>
      <c r="FM75" s="18"/>
      <c r="FN75" s="18"/>
      <c r="FO75" s="18"/>
      <c r="FP75" s="18"/>
      <c r="FQ75" s="18"/>
      <c r="FR75" s="18"/>
      <c r="FS75" s="18"/>
      <c r="FT75" s="18"/>
      <c r="FU75" s="18"/>
      <c r="FV75" s="18"/>
      <c r="FW75" s="18"/>
      <c r="FX75" s="18"/>
      <c r="FY75" s="18"/>
      <c r="FZ75" s="18"/>
      <c r="GA75" s="18"/>
      <c r="GB75" s="18"/>
      <c r="GC75" s="18"/>
      <c r="GD75" s="18"/>
      <c r="GE75" s="18"/>
      <c r="GF75" s="18"/>
      <c r="GG75" s="18"/>
      <c r="GH75" s="18"/>
      <c r="GI75" s="18"/>
      <c r="GJ75" s="18"/>
      <c r="GK75" s="18"/>
      <c r="GL75" s="18"/>
      <c r="GM75" s="18"/>
      <c r="GN75" s="18"/>
      <c r="GO75" s="18"/>
      <c r="GP75" s="18"/>
      <c r="GQ75" s="18"/>
      <c r="GR75" s="18"/>
      <c r="GS75" s="18"/>
      <c r="GT75" s="18"/>
      <c r="GU75" s="18"/>
      <c r="GV75" s="18"/>
      <c r="GW75" s="18"/>
      <c r="GX75" s="18"/>
      <c r="GY75" s="18"/>
      <c r="GZ75" s="18"/>
      <c r="HA75" s="18"/>
      <c r="HB75" s="18"/>
      <c r="HC75" s="18"/>
      <c r="HD75" s="18"/>
      <c r="HE75" s="18"/>
      <c r="HF75" s="18"/>
      <c r="HG75" s="18"/>
      <c r="HH75" s="18"/>
      <c r="HI75" s="18"/>
      <c r="HJ75" s="18"/>
      <c r="HK75" s="18"/>
      <c r="HL75" s="18"/>
      <c r="HM75" s="18"/>
      <c r="HN75" s="18"/>
      <c r="HO75" s="18"/>
      <c r="HP75" s="18"/>
      <c r="HQ75" s="18"/>
      <c r="HR75" s="18"/>
      <c r="HS75" s="18"/>
      <c r="HT75" s="18"/>
      <c r="HU75" s="18"/>
      <c r="HV75" s="18"/>
      <c r="HW75" s="18"/>
      <c r="HX75" s="18"/>
      <c r="HY75" s="18"/>
      <c r="HZ75" s="18"/>
      <c r="IA75" s="18"/>
      <c r="IB75" s="18"/>
      <c r="IC75" s="18"/>
      <c r="ID75" s="18"/>
      <c r="IE75" s="18"/>
      <c r="IF75" s="18"/>
      <c r="IG75" s="18"/>
      <c r="IH75" s="18"/>
      <c r="II75" s="18"/>
      <c r="IJ75" s="18"/>
      <c r="IK75" s="18"/>
      <c r="IL75" s="18"/>
      <c r="IM75" s="18"/>
      <c r="IN75" s="18"/>
      <c r="IO75" s="18"/>
      <c r="IP75" s="18"/>
      <c r="IQ75" s="18"/>
      <c r="IR75" s="18"/>
      <c r="IS75" s="18"/>
      <c r="IT75" s="18"/>
      <c r="IU75" s="18"/>
      <c r="IV75" s="18"/>
      <c r="IW75" s="18"/>
      <c r="IX75" s="18"/>
      <c r="IY75" s="18"/>
      <c r="IZ75" s="18"/>
      <c r="JA75" s="18"/>
      <c r="JB75" s="18"/>
      <c r="JC75" s="18"/>
      <c r="JD75" s="18"/>
      <c r="JE75" s="18"/>
      <c r="JF75" s="18"/>
      <c r="JG75" s="18"/>
      <c r="JH75" s="18"/>
      <c r="JI75" s="18"/>
      <c r="JJ75" s="18"/>
      <c r="JK75" s="18"/>
      <c r="JL75" s="18"/>
      <c r="JM75" s="18"/>
      <c r="JN75" s="18"/>
      <c r="JO75" s="18"/>
      <c r="JP75" s="18"/>
      <c r="JQ75" s="18"/>
      <c r="JR75" s="18"/>
      <c r="JS75" s="18"/>
      <c r="JT75" s="18"/>
      <c r="JU75" s="18"/>
      <c r="JV75" s="18"/>
      <c r="JW75" s="18"/>
      <c r="JX75" s="18"/>
      <c r="JY75" s="18"/>
      <c r="JZ75" s="18"/>
      <c r="KA75" s="18"/>
      <c r="KB75" s="18"/>
      <c r="KC75" s="18"/>
      <c r="KD75" s="18"/>
      <c r="KE75" s="18"/>
      <c r="KF75" s="18"/>
      <c r="KG75" s="18"/>
      <c r="KH75" s="18"/>
      <c r="KI75" s="18"/>
      <c r="KJ75" s="18"/>
      <c r="KK75" s="18"/>
      <c r="KL75" s="18"/>
      <c r="KM75" s="18"/>
      <c r="KN75" s="18"/>
      <c r="KO75" s="18"/>
      <c r="KP75" s="18"/>
      <c r="KQ75" s="18"/>
      <c r="KR75" s="18"/>
      <c r="KS75" s="18"/>
      <c r="KT75" s="18"/>
      <c r="KU75" s="18"/>
      <c r="KV75" s="18"/>
      <c r="KW75" s="18"/>
      <c r="KX75" s="18"/>
      <c r="KY75" s="18"/>
      <c r="KZ75" s="18"/>
      <c r="LA75" s="18"/>
      <c r="LB75" s="18"/>
      <c r="LC75" s="18"/>
      <c r="LD75" s="18"/>
      <c r="LE75" s="18"/>
      <c r="LF75" s="18"/>
      <c r="LG75" s="18"/>
      <c r="LH75" s="18"/>
      <c r="LI75" s="18"/>
      <c r="LJ75" s="18"/>
      <c r="LK75" s="18"/>
      <c r="LL75" s="18"/>
      <c r="LM75" s="18"/>
      <c r="LN75" s="18"/>
      <c r="LO75" s="18"/>
      <c r="LP75" s="18"/>
      <c r="LQ75" s="18"/>
      <c r="LR75" s="18"/>
      <c r="LS75" s="18"/>
      <c r="LT75" s="18"/>
      <c r="LU75" s="18"/>
      <c r="LV75" s="18"/>
      <c r="LW75" s="18"/>
      <c r="LX75" s="18"/>
      <c r="LY75" s="18"/>
      <c r="LZ75" s="18"/>
      <c r="MA75" s="18"/>
      <c r="MB75" s="18"/>
      <c r="MC75" s="18"/>
      <c r="MD75" s="18"/>
      <c r="ME75" s="18"/>
      <c r="MF75" s="18"/>
      <c r="MG75" s="18"/>
      <c r="MH75" s="18"/>
      <c r="MI75" s="18"/>
      <c r="MJ75" s="18"/>
      <c r="MK75" s="18"/>
      <c r="ML75" s="18"/>
      <c r="MM75" s="18"/>
      <c r="MN75" s="18"/>
      <c r="MO75" s="18"/>
      <c r="MP75" s="18"/>
      <c r="MQ75" s="18"/>
      <c r="MR75" s="18"/>
      <c r="MS75" s="18"/>
      <c r="MT75" s="18"/>
      <c r="MU75" s="18"/>
      <c r="MV75" s="18"/>
      <c r="MW75" s="18"/>
      <c r="MX75" s="18"/>
      <c r="MY75" s="18"/>
      <c r="MZ75" s="18"/>
      <c r="NA75" s="18"/>
      <c r="NB75" s="18"/>
      <c r="NC75" s="18"/>
      <c r="ND75" s="18"/>
      <c r="NE75" s="18"/>
      <c r="NF75" s="18"/>
      <c r="NG75" s="18"/>
      <c r="NH75" s="18"/>
      <c r="NI75" s="18"/>
      <c r="NJ75" s="18"/>
      <c r="NK75" s="18"/>
      <c r="NL75" s="18"/>
      <c r="NM75" s="18"/>
      <c r="NN75" s="18"/>
      <c r="NO75" s="18"/>
      <c r="NP75" s="18"/>
      <c r="NQ75" s="18"/>
      <c r="NR75" s="18"/>
      <c r="NS75" s="18"/>
      <c r="NT75" s="18"/>
      <c r="NU75" s="18"/>
      <c r="NV75" s="18"/>
      <c r="NW75" s="18"/>
      <c r="NX75" s="18"/>
      <c r="NY75" s="18"/>
      <c r="NZ75" s="18"/>
      <c r="OA75" s="18"/>
      <c r="OB75" s="18"/>
      <c r="OC75" s="18"/>
      <c r="OD75" s="18"/>
      <c r="OE75" s="18"/>
      <c r="OF75" s="18"/>
      <c r="OG75" s="18"/>
      <c r="OH75" s="18"/>
      <c r="OI75" s="18"/>
      <c r="OJ75" s="18"/>
      <c r="OK75" s="18"/>
      <c r="OL75" s="18"/>
      <c r="OM75" s="18"/>
      <c r="ON75" s="18"/>
      <c r="OO75" s="18"/>
      <c r="OP75" s="18"/>
      <c r="OQ75" s="18"/>
      <c r="OR75" s="18"/>
      <c r="OS75" s="18"/>
      <c r="OT75" s="18"/>
      <c r="OU75" s="18"/>
      <c r="OV75" s="18"/>
      <c r="OW75" s="18"/>
      <c r="OX75" s="18"/>
      <c r="OY75" s="18"/>
      <c r="OZ75" s="18"/>
      <c r="PA75" s="18"/>
      <c r="PB75" s="18"/>
      <c r="PC75" s="18"/>
      <c r="PD75" s="18"/>
      <c r="PE75" s="18"/>
      <c r="PF75" s="18"/>
      <c r="PG75" s="18"/>
      <c r="PH75" s="18"/>
      <c r="PI75" s="18"/>
      <c r="PJ75" s="18"/>
      <c r="PK75" s="18"/>
      <c r="PL75" s="18"/>
      <c r="PM75" s="18"/>
      <c r="PN75" s="18"/>
      <c r="PO75" s="18"/>
      <c r="PP75" s="18"/>
      <c r="PQ75" s="18"/>
      <c r="PR75" s="18"/>
      <c r="PS75" s="18"/>
      <c r="PT75" s="18"/>
      <c r="PU75" s="18"/>
      <c r="PV75" s="18"/>
      <c r="PW75" s="18"/>
      <c r="PX75" s="18"/>
      <c r="PY75" s="18"/>
      <c r="PZ75" s="18"/>
      <c r="QA75" s="18"/>
      <c r="QB75" s="18"/>
      <c r="QC75" s="18"/>
      <c r="QD75" s="18"/>
      <c r="QE75" s="18"/>
      <c r="QF75" s="18"/>
      <c r="QG75" s="18"/>
      <c r="QH75" s="18"/>
      <c r="QI75" s="18"/>
      <c r="QJ75" s="18"/>
      <c r="QK75" s="18"/>
      <c r="QL75" s="18"/>
      <c r="QM75" s="18"/>
      <c r="QN75" s="18"/>
      <c r="QO75" s="18"/>
      <c r="QP75" s="18"/>
      <c r="QQ75" s="18"/>
      <c r="QR75" s="18"/>
      <c r="QS75" s="18"/>
      <c r="QT75" s="18"/>
      <c r="QU75" s="18"/>
      <c r="QV75" s="18"/>
      <c r="QW75" s="18"/>
      <c r="QX75" s="18"/>
      <c r="QY75" s="18"/>
      <c r="QZ75" s="18"/>
      <c r="RA75" s="18"/>
      <c r="RB75" s="18"/>
      <c r="RC75" s="18"/>
      <c r="RD75" s="18"/>
      <c r="RE75" s="18"/>
      <c r="RF75" s="18"/>
      <c r="RG75" s="18"/>
      <c r="RH75" s="18"/>
      <c r="RI75" s="18"/>
      <c r="RJ75" s="18"/>
      <c r="RK75" s="18"/>
      <c r="RL75" s="18"/>
      <c r="RM75" s="18"/>
      <c r="RN75" s="18"/>
      <c r="RO75" s="18"/>
      <c r="RP75" s="18"/>
      <c r="RQ75" s="18"/>
      <c r="RR75" s="18"/>
      <c r="RS75" s="18"/>
      <c r="RT75" s="18"/>
      <c r="RU75" s="18"/>
      <c r="RV75" s="18"/>
      <c r="RW75" s="18"/>
      <c r="RX75" s="18"/>
      <c r="RY75" s="18"/>
      <c r="RZ75" s="18"/>
      <c r="SA75" s="18"/>
      <c r="SB75" s="18"/>
      <c r="SC75" s="18"/>
      <c r="SD75" s="18"/>
      <c r="SE75" s="18"/>
      <c r="SF75" s="18"/>
      <c r="SG75" s="18"/>
      <c r="SH75" s="18"/>
      <c r="SI75" s="18"/>
      <c r="SJ75" s="18"/>
      <c r="SK75" s="18"/>
      <c r="SL75" s="18"/>
      <c r="SM75" s="18"/>
      <c r="SN75" s="18"/>
      <c r="SO75" s="18"/>
      <c r="SP75" s="18"/>
      <c r="SQ75" s="18"/>
      <c r="SR75" s="18"/>
      <c r="SS75" s="18"/>
      <c r="ST75" s="18"/>
      <c r="SU75" s="18"/>
      <c r="SV75" s="18"/>
      <c r="SW75" s="18"/>
      <c r="SX75" s="18"/>
      <c r="SY75" s="18"/>
      <c r="SZ75" s="18"/>
      <c r="TA75" s="18"/>
      <c r="TB75" s="18"/>
      <c r="TC75" s="18"/>
      <c r="TD75" s="18"/>
      <c r="TE75" s="18"/>
      <c r="TF75" s="18"/>
      <c r="TG75" s="18"/>
      <c r="TH75" s="18"/>
      <c r="TI75" s="18"/>
      <c r="TJ75" s="18"/>
      <c r="TK75" s="18"/>
      <c r="TL75" s="18"/>
      <c r="TM75" s="18"/>
      <c r="TN75" s="18"/>
      <c r="TO75" s="18"/>
      <c r="TP75" s="18"/>
      <c r="TQ75" s="18"/>
      <c r="TR75" s="18"/>
      <c r="TS75" s="18"/>
      <c r="TT75" s="18"/>
      <c r="TU75" s="18"/>
      <c r="TV75" s="18"/>
      <c r="TW75" s="18"/>
      <c r="TX75" s="18"/>
      <c r="TY75" s="18"/>
      <c r="TZ75" s="18"/>
      <c r="UA75" s="18"/>
      <c r="UB75" s="18"/>
      <c r="UC75" s="18"/>
      <c r="UD75" s="18"/>
      <c r="UE75" s="18"/>
      <c r="UF75" s="18"/>
      <c r="UG75" s="18"/>
      <c r="UH75" s="18"/>
      <c r="UI75" s="18"/>
      <c r="UJ75" s="18"/>
      <c r="UK75" s="18"/>
      <c r="UL75" s="18"/>
      <c r="UM75" s="18"/>
      <c r="UN75" s="18"/>
      <c r="UO75" s="18"/>
      <c r="UP75" s="18"/>
      <c r="UQ75" s="18"/>
      <c r="UR75" s="18"/>
      <c r="US75" s="18"/>
      <c r="UT75" s="18"/>
      <c r="UU75" s="18"/>
      <c r="UV75" s="18"/>
      <c r="UW75" s="18"/>
      <c r="UX75" s="18"/>
      <c r="UY75" s="18"/>
      <c r="UZ75" s="18"/>
      <c r="VA75" s="18"/>
      <c r="VB75" s="18"/>
      <c r="VC75" s="18"/>
      <c r="VD75" s="18"/>
      <c r="VE75" s="18"/>
      <c r="VF75" s="18"/>
      <c r="VG75" s="18"/>
      <c r="VH75" s="18"/>
      <c r="VI75" s="18"/>
      <c r="VJ75" s="18"/>
      <c r="VK75" s="18"/>
      <c r="VL75" s="18"/>
      <c r="VM75" s="18"/>
      <c r="VN75" s="18"/>
      <c r="VO75" s="18"/>
      <c r="VP75" s="18"/>
      <c r="VQ75" s="18"/>
      <c r="VR75" s="18"/>
      <c r="VS75" s="18"/>
      <c r="VT75" s="18"/>
      <c r="VU75" s="18"/>
      <c r="VV75" s="18"/>
      <c r="VW75" s="18"/>
      <c r="VX75" s="18"/>
      <c r="VY75" s="18"/>
      <c r="VZ75" s="18"/>
      <c r="WA75" s="18"/>
      <c r="WB75" s="18"/>
      <c r="WC75" s="18"/>
      <c r="WD75" s="18"/>
      <c r="WE75" s="18"/>
      <c r="WF75" s="18"/>
      <c r="WG75" s="18"/>
      <c r="WH75" s="18"/>
      <c r="WI75" s="18"/>
      <c r="WJ75" s="18"/>
      <c r="WK75" s="18"/>
      <c r="WL75" s="18"/>
      <c r="WM75" s="18"/>
      <c r="WN75" s="18"/>
      <c r="WO75" s="18"/>
      <c r="WP75" s="18"/>
      <c r="WQ75" s="18"/>
      <c r="WR75" s="18"/>
      <c r="WS75" s="18"/>
      <c r="WT75" s="18"/>
      <c r="WU75" s="18"/>
      <c r="WV75" s="18"/>
      <c r="WW75" s="18"/>
      <c r="WX75" s="18"/>
      <c r="WY75" s="18"/>
      <c r="WZ75" s="18"/>
      <c r="XA75" s="18"/>
      <c r="XB75" s="18"/>
      <c r="XC75" s="18"/>
      <c r="XD75" s="18"/>
      <c r="XE75" s="18"/>
      <c r="XF75" s="18"/>
      <c r="XG75" s="18"/>
      <c r="XH75" s="18"/>
      <c r="XI75" s="18"/>
      <c r="XJ75" s="18"/>
      <c r="XK75" s="18"/>
      <c r="XL75" s="18"/>
      <c r="XM75" s="18"/>
      <c r="XN75" s="18"/>
      <c r="XO75" s="18"/>
      <c r="XP75" s="18"/>
      <c r="XQ75" s="18"/>
      <c r="XR75" s="18"/>
      <c r="XS75" s="18"/>
      <c r="XT75" s="18"/>
      <c r="XU75" s="18"/>
      <c r="XV75" s="18"/>
      <c r="XW75" s="18"/>
      <c r="XX75" s="18"/>
      <c r="XY75" s="18"/>
      <c r="XZ75" s="18"/>
      <c r="YA75" s="18"/>
      <c r="YB75" s="18"/>
      <c r="YC75" s="18"/>
      <c r="YD75" s="18"/>
      <c r="YE75" s="18"/>
      <c r="YF75" s="18"/>
      <c r="YG75" s="18"/>
      <c r="YH75" s="18"/>
      <c r="YI75" s="18"/>
      <c r="YJ75" s="18"/>
      <c r="YK75" s="18"/>
      <c r="YL75" s="18"/>
      <c r="YM75" s="18"/>
      <c r="YN75" s="18"/>
      <c r="YO75" s="18"/>
      <c r="YP75" s="18"/>
      <c r="YQ75" s="18"/>
      <c r="YR75" s="18"/>
      <c r="YS75" s="18"/>
      <c r="YT75" s="18"/>
      <c r="YU75" s="18"/>
      <c r="YV75" s="18"/>
      <c r="YW75" s="18"/>
      <c r="YX75" s="18"/>
      <c r="YY75" s="18"/>
      <c r="YZ75" s="18"/>
      <c r="ZA75" s="18"/>
      <c r="ZB75" s="18"/>
      <c r="ZC75" s="18"/>
      <c r="ZD75" s="18"/>
      <c r="ZE75" s="18"/>
      <c r="ZF75" s="18"/>
      <c r="ZG75" s="18"/>
      <c r="ZH75" s="18"/>
      <c r="ZI75" s="18"/>
      <c r="ZJ75" s="18"/>
      <c r="ZK75" s="18"/>
      <c r="ZL75" s="18"/>
      <c r="ZM75" s="18"/>
      <c r="ZN75" s="18"/>
      <c r="ZO75" s="18"/>
      <c r="ZP75" s="18"/>
      <c r="ZQ75" s="18"/>
      <c r="ZR75" s="18"/>
      <c r="ZS75" s="18"/>
      <c r="ZT75" s="18"/>
      <c r="ZU75" s="18"/>
      <c r="ZV75" s="18"/>
      <c r="ZW75" s="18"/>
      <c r="ZX75" s="18"/>
      <c r="ZY75" s="18"/>
      <c r="ZZ75" s="18"/>
      <c r="AAA75" s="18"/>
      <c r="AAB75" s="18"/>
      <c r="AAC75" s="18"/>
      <c r="AAD75" s="18"/>
      <c r="AAE75" s="18"/>
      <c r="AAF75" s="18"/>
      <c r="AAG75" s="18"/>
      <c r="AAH75" s="18"/>
      <c r="AAI75" s="18"/>
      <c r="AAJ75" s="18"/>
      <c r="AAK75" s="18"/>
      <c r="AAL75" s="18"/>
      <c r="AAM75" s="18"/>
      <c r="AAN75" s="18"/>
      <c r="AAO75" s="18"/>
      <c r="AAP75" s="18"/>
      <c r="AAQ75" s="18"/>
      <c r="AAR75" s="18"/>
      <c r="AAS75" s="18"/>
      <c r="AAT75" s="18"/>
      <c r="AAU75" s="18"/>
      <c r="AAV75" s="18"/>
      <c r="AAW75" s="18"/>
      <c r="AAX75" s="18"/>
      <c r="AAY75" s="18"/>
      <c r="AAZ75" s="18"/>
      <c r="ABA75" s="18"/>
      <c r="ABB75" s="18"/>
      <c r="ABC75" s="18"/>
      <c r="ABD75" s="18"/>
      <c r="ABE75" s="18"/>
      <c r="ABF75" s="18"/>
      <c r="ABG75" s="18"/>
      <c r="ABH75" s="18"/>
      <c r="ABI75" s="18"/>
      <c r="ABJ75" s="18"/>
      <c r="ABK75" s="18"/>
      <c r="ABL75" s="18"/>
      <c r="ABM75" s="18"/>
      <c r="ABN75" s="18"/>
      <c r="ABO75" s="18"/>
      <c r="ABP75" s="18"/>
      <c r="ABQ75" s="18"/>
      <c r="ABR75" s="18"/>
      <c r="ABS75" s="18"/>
      <c r="ABT75" s="18"/>
      <c r="ABU75" s="18"/>
      <c r="ABV75" s="18"/>
      <c r="ABW75" s="18"/>
      <c r="ABX75" s="18"/>
      <c r="ABY75" s="18"/>
      <c r="ABZ75" s="18"/>
      <c r="ACA75" s="18"/>
      <c r="ACB75" s="18"/>
      <c r="ACC75" s="18"/>
      <c r="ACD75" s="18"/>
      <c r="ACE75" s="18"/>
      <c r="ACF75" s="18"/>
      <c r="ACG75" s="18"/>
      <c r="ACH75" s="18"/>
      <c r="ACI75" s="18"/>
      <c r="ACJ75" s="18"/>
      <c r="ACK75" s="18"/>
      <c r="ACL75" s="18"/>
      <c r="ACM75" s="18"/>
      <c r="ACN75" s="18"/>
      <c r="ACO75" s="18"/>
      <c r="ACP75" s="18"/>
      <c r="ACQ75" s="18"/>
      <c r="ACR75" s="18"/>
      <c r="ACS75" s="18"/>
      <c r="ACT75" s="18"/>
      <c r="ACU75" s="18"/>
      <c r="ACV75" s="18"/>
      <c r="ACW75" s="18"/>
      <c r="ACX75" s="18"/>
      <c r="ACY75" s="18"/>
      <c r="ACZ75" s="18"/>
      <c r="ADA75" s="18"/>
      <c r="ADB75" s="18"/>
      <c r="ADC75" s="18"/>
      <c r="ADD75" s="18"/>
      <c r="ADE75" s="18"/>
      <c r="ADF75" s="18"/>
      <c r="ADG75" s="18"/>
      <c r="ADH75" s="18"/>
      <c r="ADI75" s="18"/>
      <c r="ADJ75" s="18"/>
      <c r="ADK75" s="18"/>
      <c r="ADL75" s="18"/>
      <c r="ADM75" s="18"/>
      <c r="ADN75" s="18"/>
      <c r="ADO75" s="18"/>
      <c r="ADP75" s="18"/>
      <c r="ADQ75" s="18"/>
      <c r="ADR75" s="18"/>
      <c r="ADS75" s="18"/>
      <c r="ADT75" s="18"/>
      <c r="ADU75" s="18"/>
      <c r="ADV75" s="18"/>
      <c r="ADW75" s="18"/>
      <c r="ADX75" s="18"/>
      <c r="ADY75" s="18"/>
      <c r="ADZ75" s="18"/>
      <c r="AEA75" s="18"/>
      <c r="AEB75" s="18"/>
      <c r="AEC75" s="18"/>
      <c r="AED75" s="18"/>
      <c r="AEE75" s="18"/>
      <c r="AEF75" s="18"/>
      <c r="AEG75" s="18"/>
      <c r="AEH75" s="18"/>
      <c r="AEI75" s="18"/>
      <c r="AEJ75" s="18"/>
      <c r="AEK75" s="18"/>
      <c r="AEL75" s="18"/>
      <c r="AEM75" s="18"/>
      <c r="AEN75" s="18"/>
      <c r="AEO75" s="18"/>
      <c r="AEP75" s="18"/>
      <c r="AEQ75" s="18"/>
      <c r="AER75" s="18"/>
      <c r="AES75" s="18"/>
      <c r="AET75" s="18"/>
      <c r="AEU75" s="18"/>
      <c r="AEV75" s="18"/>
      <c r="AEW75" s="18"/>
      <c r="AEX75" s="18"/>
      <c r="AEY75" s="18"/>
      <c r="AEZ75" s="18"/>
      <c r="AFA75" s="18"/>
      <c r="AFB75" s="18"/>
      <c r="AFC75" s="18"/>
      <c r="AFD75" s="18"/>
      <c r="AFE75" s="18"/>
      <c r="AFF75" s="18"/>
      <c r="AFG75" s="18"/>
      <c r="AFH75" s="18"/>
      <c r="AFI75" s="18"/>
      <c r="AFJ75" s="18"/>
      <c r="AFK75" s="18"/>
      <c r="AFL75" s="18"/>
      <c r="AFM75" s="18"/>
      <c r="AFN75" s="18"/>
      <c r="AFO75" s="18"/>
      <c r="AFP75" s="18"/>
      <c r="AFQ75" s="18"/>
      <c r="AFR75" s="18"/>
      <c r="AFS75" s="18"/>
      <c r="AFT75" s="18"/>
      <c r="AFU75" s="18"/>
      <c r="AFV75" s="18"/>
      <c r="AFW75" s="18"/>
      <c r="AFX75" s="18"/>
      <c r="AFY75" s="18"/>
      <c r="AFZ75" s="18"/>
      <c r="AGA75" s="18"/>
      <c r="AGB75" s="18"/>
      <c r="AGC75" s="18"/>
      <c r="AGD75" s="18"/>
      <c r="AGE75" s="18"/>
      <c r="AGF75" s="18"/>
      <c r="AGG75" s="18"/>
      <c r="AGH75" s="18"/>
      <c r="AGI75" s="18"/>
      <c r="AGJ75" s="18"/>
      <c r="AGK75" s="18"/>
      <c r="AGL75" s="18"/>
      <c r="AGM75" s="18"/>
      <c r="AGN75" s="18"/>
      <c r="AGO75" s="18"/>
      <c r="AGP75" s="18"/>
      <c r="AGQ75" s="18"/>
      <c r="AGR75" s="18"/>
      <c r="AGS75" s="18"/>
      <c r="AGT75" s="18"/>
      <c r="AGU75" s="18"/>
      <c r="AGV75" s="18"/>
      <c r="AGW75" s="18"/>
      <c r="AGX75" s="18"/>
      <c r="AGY75" s="18"/>
      <c r="AGZ75" s="18"/>
      <c r="AHA75" s="18"/>
      <c r="AHB75" s="18"/>
      <c r="AHC75" s="18"/>
      <c r="AHD75" s="18"/>
      <c r="AHE75" s="18"/>
      <c r="AHF75" s="18"/>
      <c r="AHG75" s="18"/>
      <c r="AHH75" s="18"/>
      <c r="AHI75" s="18"/>
      <c r="AHJ75" s="18"/>
      <c r="AHK75" s="18"/>
      <c r="AHL75" s="18"/>
      <c r="AHM75" s="18"/>
      <c r="AHN75" s="18"/>
      <c r="AHO75" s="18"/>
      <c r="AHP75" s="18"/>
      <c r="AHQ75" s="18"/>
      <c r="AHR75" s="18"/>
      <c r="AHS75" s="18"/>
      <c r="AHT75" s="18"/>
      <c r="AHU75" s="18"/>
      <c r="AHV75" s="18"/>
      <c r="AHW75" s="18"/>
      <c r="AHX75" s="18"/>
      <c r="AHY75" s="18"/>
      <c r="AHZ75" s="18"/>
      <c r="AIA75" s="18"/>
      <c r="AIB75" s="18"/>
      <c r="AIC75" s="18"/>
      <c r="AID75" s="18"/>
      <c r="AIE75" s="18"/>
      <c r="AIF75" s="18"/>
      <c r="AIG75" s="18"/>
      <c r="AIH75" s="18"/>
      <c r="AII75" s="18"/>
      <c r="AIJ75" s="18"/>
      <c r="AIK75" s="18"/>
      <c r="AIL75" s="18"/>
      <c r="AIM75" s="18"/>
      <c r="AIN75" s="18"/>
      <c r="AIO75" s="18"/>
      <c r="AIP75" s="18"/>
      <c r="AIQ75" s="18"/>
      <c r="AIR75" s="18"/>
      <c r="AIS75" s="18"/>
      <c r="AIT75" s="18"/>
      <c r="AIU75" s="18"/>
      <c r="AIV75" s="18"/>
      <c r="AIW75" s="18"/>
      <c r="AIX75" s="18"/>
      <c r="AIY75" s="18"/>
      <c r="AIZ75" s="18"/>
      <c r="AJA75" s="18"/>
      <c r="AJB75" s="18"/>
      <c r="AJC75" s="18"/>
      <c r="AJD75" s="18"/>
      <c r="AJE75" s="18"/>
      <c r="AJF75" s="18"/>
      <c r="AJG75" s="18"/>
      <c r="AJH75" s="18"/>
      <c r="AJI75" s="18"/>
      <c r="AJJ75" s="18"/>
      <c r="AJK75" s="18"/>
      <c r="AJL75" s="18"/>
      <c r="AJM75" s="18"/>
      <c r="AJN75" s="18"/>
      <c r="AJO75" s="18"/>
      <c r="AJP75" s="18"/>
      <c r="AJQ75" s="18"/>
      <c r="AJR75" s="18"/>
      <c r="AJS75" s="18"/>
      <c r="AJT75" s="18"/>
      <c r="AJU75" s="18"/>
      <c r="AJV75" s="18"/>
      <c r="AJW75" s="18"/>
      <c r="AJX75" s="18"/>
      <c r="AJY75" s="18"/>
      <c r="AJZ75" s="18"/>
      <c r="AKA75" s="18"/>
      <c r="AKB75" s="18"/>
      <c r="AKC75" s="18"/>
      <c r="AKD75" s="18"/>
      <c r="AKE75" s="18"/>
      <c r="AKF75" s="18"/>
      <c r="AKG75" s="18"/>
      <c r="AKH75" s="18"/>
      <c r="AKI75" s="18"/>
      <c r="AKJ75" s="18"/>
      <c r="AKK75" s="18"/>
      <c r="AKL75" s="18"/>
      <c r="AKM75" s="18"/>
      <c r="AKN75" s="18"/>
      <c r="AKO75" s="18"/>
      <c r="AKP75" s="18"/>
      <c r="AKQ75" s="18"/>
      <c r="AKR75" s="18"/>
      <c r="AKS75" s="18"/>
      <c r="AKT75" s="18"/>
      <c r="AKU75" s="18"/>
      <c r="AKV75" s="18"/>
      <c r="AKW75" s="18"/>
      <c r="AKX75" s="18"/>
      <c r="AKY75" s="18"/>
      <c r="AKZ75" s="18"/>
      <c r="ALA75" s="18"/>
      <c r="ALB75" s="18"/>
      <c r="ALC75" s="18"/>
      <c r="ALD75" s="18"/>
      <c r="ALE75" s="18"/>
      <c r="ALF75" s="18"/>
      <c r="ALG75" s="18"/>
      <c r="ALH75" s="18"/>
      <c r="ALI75" s="18"/>
      <c r="ALJ75" s="18"/>
      <c r="ALK75" s="18"/>
      <c r="ALL75" s="18"/>
      <c r="ALM75" s="18"/>
      <c r="ALN75" s="18"/>
      <c r="ALO75" s="18"/>
      <c r="ALP75" s="18"/>
      <c r="ALQ75" s="18"/>
      <c r="ALR75" s="18"/>
      <c r="ALS75" s="18"/>
      <c r="ALT75" s="18"/>
    </row>
    <row r="76" spans="1:1008" ht="48">
      <c r="A76" s="251" t="s">
        <v>7</v>
      </c>
      <c r="B76" s="290">
        <v>87536</v>
      </c>
      <c r="C76" s="278" t="str">
        <f>(IF($A76="SINAPI",INDEX(SINAPI_NOV2020_NDES!$A$7:$H$6703,MATCH($B76,SINAPI_NOV2020_NDES!$A$7:$A$6703,0),2),IF($A76="GOINFRA",INDEX(#REF!,MATCH($B76,#REF!,0),2),(INDEX(COMPOS!$A$4:$G$390,MATCH($B76,COMPOS!$A$4:A$390,0),2)))))</f>
        <v>EMBOÇO, PARA RECEBIMENTO DE CERÂMICA, EM ARGAMASSA TRAÇO 1:2:8, PREPARO MANUAL, APLICADO MANUALMENTE EM FACES INTERNAS DE PAREDES, PARA AMBIENTE COM ÁREA  MAIOR QUE 10M2, ESPESSURA DE 20MM, COM EXECUÇÃO DE TALISCAS. AF_06/2014</v>
      </c>
      <c r="D76" s="274" t="str">
        <f>(IF($A76="SINAPI",INDEX(SINAPI_NOV2020_NDES!$A$7:$H$6790,MATCH($B76,SINAPI_NOV2020_NDES!$A$7:$A$6790,0),3),(INDEX(COMPOS!$A$4:$G$5000,MATCH($B76,COMPOS!$A$4:$A$5000,0),3))))</f>
        <v>M2</v>
      </c>
      <c r="E76" s="314">
        <f>12.85*2-(0.9*2)</f>
        <v>23.9</v>
      </c>
      <c r="F76" s="279">
        <f>(IF($A76="SINAPI",INDEX(SINAPI_NOV2020_NDES!$A$7:$H$6703,MATCH($B76,SINAPI_NOV2020_NDES!$A$7:$A$6703,0),5),(INDEX(COMPOS!$A$4:$G$801,MATCH($B76,COMPOS!$A$4:A$801,0),4))))</f>
        <v>11.19</v>
      </c>
      <c r="G76" s="280">
        <f>(IF($A76="SINAPI",INDEX(SINAPI_NOV2020_NDES!$A$7:$H$6703,MATCH($B76,SINAPI_NOV2020_NDES!$A$7:$A$6703,0),6),(INDEX(COMPOS!$A$4:$G$801,MATCH($B76,COMPOS!$A$4:A$801,0),5))))</f>
        <v>17.559999999999999</v>
      </c>
      <c r="H76" s="280">
        <f>(IF($A76="SINAPI",INDEX(SINAPI_NOV2020_NDES!$A$7:$H$6703,MATCH($B76,SINAPI_NOV2020_NDES!$A$7:$A$6703,0),7),(INDEX(COMPOS!$A$4:$G$801,MATCH($B76,COMPOS!$A$4:A$801,0),6))))</f>
        <v>0</v>
      </c>
      <c r="I76" s="279">
        <f t="shared" si="24"/>
        <v>28.75</v>
      </c>
      <c r="J76" s="276">
        <f t="shared" si="25"/>
        <v>687.125</v>
      </c>
      <c r="K76" s="191"/>
      <c r="L76" s="191"/>
      <c r="M76" s="191"/>
      <c r="N76" s="191"/>
      <c r="O76" s="262"/>
      <c r="P76" s="263"/>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c r="EF76" s="18"/>
      <c r="EG76" s="18"/>
      <c r="EH76" s="18"/>
      <c r="EI76" s="18"/>
      <c r="EJ76" s="18"/>
      <c r="EK76" s="18"/>
      <c r="EL76" s="18"/>
      <c r="EM76" s="18"/>
      <c r="EN76" s="18"/>
      <c r="EO76" s="18"/>
      <c r="EP76" s="18"/>
      <c r="EQ76" s="18"/>
      <c r="ER76" s="18"/>
      <c r="ES76" s="18"/>
      <c r="ET76" s="18"/>
      <c r="EU76" s="18"/>
      <c r="EV76" s="18"/>
      <c r="EW76" s="18"/>
      <c r="EX76" s="18"/>
      <c r="EY76" s="18"/>
      <c r="EZ76" s="18"/>
      <c r="FA76" s="18"/>
      <c r="FB76" s="18"/>
      <c r="FC76" s="18"/>
      <c r="FD76" s="18"/>
      <c r="FE76" s="18"/>
      <c r="FF76" s="18"/>
      <c r="FG76" s="18"/>
      <c r="FH76" s="18"/>
      <c r="FI76" s="18"/>
      <c r="FJ76" s="18"/>
      <c r="FK76" s="18"/>
      <c r="FL76" s="18"/>
      <c r="FM76" s="18"/>
      <c r="FN76" s="18"/>
      <c r="FO76" s="18"/>
      <c r="FP76" s="18"/>
      <c r="FQ76" s="18"/>
      <c r="FR76" s="18"/>
      <c r="FS76" s="18"/>
      <c r="FT76" s="18"/>
      <c r="FU76" s="18"/>
      <c r="FV76" s="18"/>
      <c r="FW76" s="18"/>
      <c r="FX76" s="18"/>
      <c r="FY76" s="18"/>
      <c r="FZ76" s="18"/>
      <c r="GA76" s="18"/>
      <c r="GB76" s="18"/>
      <c r="GC76" s="18"/>
      <c r="GD76" s="18"/>
      <c r="GE76" s="18"/>
      <c r="GF76" s="18"/>
      <c r="GG76" s="18"/>
      <c r="GH76" s="18"/>
      <c r="GI76" s="18"/>
      <c r="GJ76" s="18"/>
      <c r="GK76" s="18"/>
      <c r="GL76" s="18"/>
      <c r="GM76" s="18"/>
      <c r="GN76" s="18"/>
      <c r="GO76" s="18"/>
      <c r="GP76" s="18"/>
      <c r="GQ76" s="18"/>
      <c r="GR76" s="18"/>
      <c r="GS76" s="18"/>
      <c r="GT76" s="18"/>
      <c r="GU76" s="18"/>
      <c r="GV76" s="18"/>
      <c r="GW76" s="18"/>
      <c r="GX76" s="18"/>
      <c r="GY76" s="18"/>
      <c r="GZ76" s="18"/>
      <c r="HA76" s="18"/>
      <c r="HB76" s="18"/>
      <c r="HC76" s="18"/>
      <c r="HD76" s="18"/>
      <c r="HE76" s="18"/>
      <c r="HF76" s="18"/>
      <c r="HG76" s="18"/>
      <c r="HH76" s="18"/>
      <c r="HI76" s="18"/>
      <c r="HJ76" s="18"/>
      <c r="HK76" s="18"/>
      <c r="HL76" s="18"/>
      <c r="HM76" s="18"/>
      <c r="HN76" s="18"/>
      <c r="HO76" s="18"/>
      <c r="HP76" s="18"/>
      <c r="HQ76" s="18"/>
      <c r="HR76" s="18"/>
      <c r="HS76" s="18"/>
      <c r="HT76" s="18"/>
      <c r="HU76" s="18"/>
      <c r="HV76" s="18"/>
      <c r="HW76" s="18"/>
      <c r="HX76" s="18"/>
      <c r="HY76" s="18"/>
      <c r="HZ76" s="18"/>
      <c r="IA76" s="18"/>
      <c r="IB76" s="18"/>
      <c r="IC76" s="18"/>
      <c r="ID76" s="18"/>
      <c r="IE76" s="18"/>
      <c r="IF76" s="18"/>
      <c r="IG76" s="18"/>
      <c r="IH76" s="18"/>
      <c r="II76" s="18"/>
      <c r="IJ76" s="18"/>
      <c r="IK76" s="18"/>
      <c r="IL76" s="18"/>
      <c r="IM76" s="18"/>
      <c r="IN76" s="18"/>
      <c r="IO76" s="18"/>
      <c r="IP76" s="18"/>
      <c r="IQ76" s="18"/>
      <c r="IR76" s="18"/>
      <c r="IS76" s="18"/>
      <c r="IT76" s="18"/>
      <c r="IU76" s="18"/>
      <c r="IV76" s="18"/>
      <c r="IW76" s="18"/>
      <c r="IX76" s="18"/>
      <c r="IY76" s="18"/>
      <c r="IZ76" s="18"/>
      <c r="JA76" s="18"/>
      <c r="JB76" s="18"/>
      <c r="JC76" s="18"/>
      <c r="JD76" s="18"/>
      <c r="JE76" s="18"/>
      <c r="JF76" s="18"/>
      <c r="JG76" s="18"/>
      <c r="JH76" s="18"/>
      <c r="JI76" s="18"/>
      <c r="JJ76" s="18"/>
      <c r="JK76" s="18"/>
      <c r="JL76" s="18"/>
      <c r="JM76" s="18"/>
      <c r="JN76" s="18"/>
      <c r="JO76" s="18"/>
      <c r="JP76" s="18"/>
      <c r="JQ76" s="18"/>
      <c r="JR76" s="18"/>
      <c r="JS76" s="18"/>
      <c r="JT76" s="18"/>
      <c r="JU76" s="18"/>
      <c r="JV76" s="18"/>
      <c r="JW76" s="18"/>
      <c r="JX76" s="18"/>
      <c r="JY76" s="18"/>
      <c r="JZ76" s="18"/>
      <c r="KA76" s="18"/>
      <c r="KB76" s="18"/>
      <c r="KC76" s="18"/>
      <c r="KD76" s="18"/>
      <c r="KE76" s="18"/>
      <c r="KF76" s="18"/>
      <c r="KG76" s="18"/>
      <c r="KH76" s="18"/>
      <c r="KI76" s="18"/>
      <c r="KJ76" s="18"/>
      <c r="KK76" s="18"/>
      <c r="KL76" s="18"/>
      <c r="KM76" s="18"/>
      <c r="KN76" s="18"/>
      <c r="KO76" s="18"/>
      <c r="KP76" s="18"/>
      <c r="KQ76" s="18"/>
      <c r="KR76" s="18"/>
      <c r="KS76" s="18"/>
      <c r="KT76" s="18"/>
      <c r="KU76" s="18"/>
      <c r="KV76" s="18"/>
      <c r="KW76" s="18"/>
      <c r="KX76" s="18"/>
      <c r="KY76" s="18"/>
      <c r="KZ76" s="18"/>
      <c r="LA76" s="18"/>
      <c r="LB76" s="18"/>
      <c r="LC76" s="18"/>
      <c r="LD76" s="18"/>
      <c r="LE76" s="18"/>
      <c r="LF76" s="18"/>
      <c r="LG76" s="18"/>
      <c r="LH76" s="18"/>
      <c r="LI76" s="18"/>
      <c r="LJ76" s="18"/>
      <c r="LK76" s="18"/>
      <c r="LL76" s="18"/>
      <c r="LM76" s="18"/>
      <c r="LN76" s="18"/>
      <c r="LO76" s="18"/>
      <c r="LP76" s="18"/>
      <c r="LQ76" s="18"/>
      <c r="LR76" s="18"/>
      <c r="LS76" s="18"/>
      <c r="LT76" s="18"/>
      <c r="LU76" s="18"/>
      <c r="LV76" s="18"/>
      <c r="LW76" s="18"/>
      <c r="LX76" s="18"/>
      <c r="LY76" s="18"/>
      <c r="LZ76" s="18"/>
      <c r="MA76" s="18"/>
      <c r="MB76" s="18"/>
      <c r="MC76" s="18"/>
      <c r="MD76" s="18"/>
      <c r="ME76" s="18"/>
      <c r="MF76" s="18"/>
      <c r="MG76" s="18"/>
      <c r="MH76" s="18"/>
      <c r="MI76" s="18"/>
      <c r="MJ76" s="18"/>
      <c r="MK76" s="18"/>
      <c r="ML76" s="18"/>
      <c r="MM76" s="18"/>
      <c r="MN76" s="18"/>
      <c r="MO76" s="18"/>
      <c r="MP76" s="18"/>
      <c r="MQ76" s="18"/>
      <c r="MR76" s="18"/>
      <c r="MS76" s="18"/>
      <c r="MT76" s="18"/>
      <c r="MU76" s="18"/>
      <c r="MV76" s="18"/>
      <c r="MW76" s="18"/>
      <c r="MX76" s="18"/>
      <c r="MY76" s="18"/>
      <c r="MZ76" s="18"/>
      <c r="NA76" s="18"/>
      <c r="NB76" s="18"/>
      <c r="NC76" s="18"/>
      <c r="ND76" s="18"/>
      <c r="NE76" s="18"/>
      <c r="NF76" s="18"/>
      <c r="NG76" s="18"/>
      <c r="NH76" s="18"/>
      <c r="NI76" s="18"/>
      <c r="NJ76" s="18"/>
      <c r="NK76" s="18"/>
      <c r="NL76" s="18"/>
      <c r="NM76" s="18"/>
      <c r="NN76" s="18"/>
      <c r="NO76" s="18"/>
      <c r="NP76" s="18"/>
      <c r="NQ76" s="18"/>
      <c r="NR76" s="18"/>
      <c r="NS76" s="18"/>
      <c r="NT76" s="18"/>
      <c r="NU76" s="18"/>
      <c r="NV76" s="18"/>
      <c r="NW76" s="18"/>
      <c r="NX76" s="18"/>
      <c r="NY76" s="18"/>
      <c r="NZ76" s="18"/>
      <c r="OA76" s="18"/>
      <c r="OB76" s="18"/>
      <c r="OC76" s="18"/>
      <c r="OD76" s="18"/>
      <c r="OE76" s="18"/>
      <c r="OF76" s="18"/>
      <c r="OG76" s="18"/>
      <c r="OH76" s="18"/>
      <c r="OI76" s="18"/>
      <c r="OJ76" s="18"/>
      <c r="OK76" s="18"/>
      <c r="OL76" s="18"/>
      <c r="OM76" s="18"/>
      <c r="ON76" s="18"/>
      <c r="OO76" s="18"/>
      <c r="OP76" s="18"/>
      <c r="OQ76" s="18"/>
      <c r="OR76" s="18"/>
      <c r="OS76" s="18"/>
      <c r="OT76" s="18"/>
      <c r="OU76" s="18"/>
      <c r="OV76" s="18"/>
      <c r="OW76" s="18"/>
      <c r="OX76" s="18"/>
      <c r="OY76" s="18"/>
      <c r="OZ76" s="18"/>
      <c r="PA76" s="18"/>
      <c r="PB76" s="18"/>
      <c r="PC76" s="18"/>
      <c r="PD76" s="18"/>
      <c r="PE76" s="18"/>
      <c r="PF76" s="18"/>
      <c r="PG76" s="18"/>
      <c r="PH76" s="18"/>
      <c r="PI76" s="18"/>
      <c r="PJ76" s="18"/>
      <c r="PK76" s="18"/>
      <c r="PL76" s="18"/>
      <c r="PM76" s="18"/>
      <c r="PN76" s="18"/>
      <c r="PO76" s="18"/>
      <c r="PP76" s="18"/>
      <c r="PQ76" s="18"/>
      <c r="PR76" s="18"/>
      <c r="PS76" s="18"/>
      <c r="PT76" s="18"/>
      <c r="PU76" s="18"/>
      <c r="PV76" s="18"/>
      <c r="PW76" s="18"/>
      <c r="PX76" s="18"/>
      <c r="PY76" s="18"/>
      <c r="PZ76" s="18"/>
      <c r="QA76" s="18"/>
      <c r="QB76" s="18"/>
      <c r="QC76" s="18"/>
      <c r="QD76" s="18"/>
      <c r="QE76" s="18"/>
      <c r="QF76" s="18"/>
      <c r="QG76" s="18"/>
      <c r="QH76" s="18"/>
      <c r="QI76" s="18"/>
      <c r="QJ76" s="18"/>
      <c r="QK76" s="18"/>
      <c r="QL76" s="18"/>
      <c r="QM76" s="18"/>
      <c r="QN76" s="18"/>
      <c r="QO76" s="18"/>
      <c r="QP76" s="18"/>
      <c r="QQ76" s="18"/>
      <c r="QR76" s="18"/>
      <c r="QS76" s="18"/>
      <c r="QT76" s="18"/>
      <c r="QU76" s="18"/>
      <c r="QV76" s="18"/>
      <c r="QW76" s="18"/>
      <c r="QX76" s="18"/>
      <c r="QY76" s="18"/>
      <c r="QZ76" s="18"/>
      <c r="RA76" s="18"/>
      <c r="RB76" s="18"/>
      <c r="RC76" s="18"/>
      <c r="RD76" s="18"/>
      <c r="RE76" s="18"/>
      <c r="RF76" s="18"/>
      <c r="RG76" s="18"/>
      <c r="RH76" s="18"/>
      <c r="RI76" s="18"/>
      <c r="RJ76" s="18"/>
      <c r="RK76" s="18"/>
      <c r="RL76" s="18"/>
      <c r="RM76" s="18"/>
      <c r="RN76" s="18"/>
      <c r="RO76" s="18"/>
      <c r="RP76" s="18"/>
      <c r="RQ76" s="18"/>
      <c r="RR76" s="18"/>
      <c r="RS76" s="18"/>
      <c r="RT76" s="18"/>
      <c r="RU76" s="18"/>
      <c r="RV76" s="18"/>
      <c r="RW76" s="18"/>
      <c r="RX76" s="18"/>
      <c r="RY76" s="18"/>
      <c r="RZ76" s="18"/>
      <c r="SA76" s="18"/>
      <c r="SB76" s="18"/>
      <c r="SC76" s="18"/>
      <c r="SD76" s="18"/>
      <c r="SE76" s="18"/>
      <c r="SF76" s="18"/>
      <c r="SG76" s="18"/>
      <c r="SH76" s="18"/>
      <c r="SI76" s="18"/>
      <c r="SJ76" s="18"/>
      <c r="SK76" s="18"/>
      <c r="SL76" s="18"/>
      <c r="SM76" s="18"/>
      <c r="SN76" s="18"/>
      <c r="SO76" s="18"/>
      <c r="SP76" s="18"/>
      <c r="SQ76" s="18"/>
      <c r="SR76" s="18"/>
      <c r="SS76" s="18"/>
      <c r="ST76" s="18"/>
      <c r="SU76" s="18"/>
      <c r="SV76" s="18"/>
      <c r="SW76" s="18"/>
      <c r="SX76" s="18"/>
      <c r="SY76" s="18"/>
      <c r="SZ76" s="18"/>
      <c r="TA76" s="18"/>
      <c r="TB76" s="18"/>
      <c r="TC76" s="18"/>
      <c r="TD76" s="18"/>
      <c r="TE76" s="18"/>
      <c r="TF76" s="18"/>
      <c r="TG76" s="18"/>
      <c r="TH76" s="18"/>
      <c r="TI76" s="18"/>
      <c r="TJ76" s="18"/>
      <c r="TK76" s="18"/>
      <c r="TL76" s="18"/>
      <c r="TM76" s="18"/>
      <c r="TN76" s="18"/>
      <c r="TO76" s="18"/>
      <c r="TP76" s="18"/>
      <c r="TQ76" s="18"/>
      <c r="TR76" s="18"/>
      <c r="TS76" s="18"/>
      <c r="TT76" s="18"/>
      <c r="TU76" s="18"/>
      <c r="TV76" s="18"/>
      <c r="TW76" s="18"/>
      <c r="TX76" s="18"/>
      <c r="TY76" s="18"/>
      <c r="TZ76" s="18"/>
      <c r="UA76" s="18"/>
      <c r="UB76" s="18"/>
      <c r="UC76" s="18"/>
      <c r="UD76" s="18"/>
      <c r="UE76" s="18"/>
      <c r="UF76" s="18"/>
      <c r="UG76" s="18"/>
      <c r="UH76" s="18"/>
      <c r="UI76" s="18"/>
      <c r="UJ76" s="18"/>
      <c r="UK76" s="18"/>
      <c r="UL76" s="18"/>
      <c r="UM76" s="18"/>
      <c r="UN76" s="18"/>
      <c r="UO76" s="18"/>
      <c r="UP76" s="18"/>
      <c r="UQ76" s="18"/>
      <c r="UR76" s="18"/>
      <c r="US76" s="18"/>
      <c r="UT76" s="18"/>
      <c r="UU76" s="18"/>
      <c r="UV76" s="18"/>
      <c r="UW76" s="18"/>
      <c r="UX76" s="18"/>
      <c r="UY76" s="18"/>
      <c r="UZ76" s="18"/>
      <c r="VA76" s="18"/>
      <c r="VB76" s="18"/>
      <c r="VC76" s="18"/>
      <c r="VD76" s="18"/>
      <c r="VE76" s="18"/>
      <c r="VF76" s="18"/>
      <c r="VG76" s="18"/>
      <c r="VH76" s="18"/>
      <c r="VI76" s="18"/>
      <c r="VJ76" s="18"/>
      <c r="VK76" s="18"/>
      <c r="VL76" s="18"/>
      <c r="VM76" s="18"/>
      <c r="VN76" s="18"/>
      <c r="VO76" s="18"/>
      <c r="VP76" s="18"/>
      <c r="VQ76" s="18"/>
      <c r="VR76" s="18"/>
      <c r="VS76" s="18"/>
      <c r="VT76" s="18"/>
      <c r="VU76" s="18"/>
      <c r="VV76" s="18"/>
      <c r="VW76" s="18"/>
      <c r="VX76" s="18"/>
      <c r="VY76" s="18"/>
      <c r="VZ76" s="18"/>
      <c r="WA76" s="18"/>
      <c r="WB76" s="18"/>
      <c r="WC76" s="18"/>
      <c r="WD76" s="18"/>
      <c r="WE76" s="18"/>
      <c r="WF76" s="18"/>
      <c r="WG76" s="18"/>
      <c r="WH76" s="18"/>
      <c r="WI76" s="18"/>
      <c r="WJ76" s="18"/>
      <c r="WK76" s="18"/>
      <c r="WL76" s="18"/>
      <c r="WM76" s="18"/>
      <c r="WN76" s="18"/>
      <c r="WO76" s="18"/>
      <c r="WP76" s="18"/>
      <c r="WQ76" s="18"/>
      <c r="WR76" s="18"/>
      <c r="WS76" s="18"/>
      <c r="WT76" s="18"/>
      <c r="WU76" s="18"/>
      <c r="WV76" s="18"/>
      <c r="WW76" s="18"/>
      <c r="WX76" s="18"/>
      <c r="WY76" s="18"/>
      <c r="WZ76" s="18"/>
      <c r="XA76" s="18"/>
      <c r="XB76" s="18"/>
      <c r="XC76" s="18"/>
      <c r="XD76" s="18"/>
      <c r="XE76" s="18"/>
      <c r="XF76" s="18"/>
      <c r="XG76" s="18"/>
      <c r="XH76" s="18"/>
      <c r="XI76" s="18"/>
      <c r="XJ76" s="18"/>
      <c r="XK76" s="18"/>
      <c r="XL76" s="18"/>
      <c r="XM76" s="18"/>
      <c r="XN76" s="18"/>
      <c r="XO76" s="18"/>
      <c r="XP76" s="18"/>
      <c r="XQ76" s="18"/>
      <c r="XR76" s="18"/>
      <c r="XS76" s="18"/>
      <c r="XT76" s="18"/>
      <c r="XU76" s="18"/>
      <c r="XV76" s="18"/>
      <c r="XW76" s="18"/>
      <c r="XX76" s="18"/>
      <c r="XY76" s="18"/>
      <c r="XZ76" s="18"/>
      <c r="YA76" s="18"/>
      <c r="YB76" s="18"/>
      <c r="YC76" s="18"/>
      <c r="YD76" s="18"/>
      <c r="YE76" s="18"/>
      <c r="YF76" s="18"/>
      <c r="YG76" s="18"/>
      <c r="YH76" s="18"/>
      <c r="YI76" s="18"/>
      <c r="YJ76" s="18"/>
      <c r="YK76" s="18"/>
      <c r="YL76" s="18"/>
      <c r="YM76" s="18"/>
      <c r="YN76" s="18"/>
      <c r="YO76" s="18"/>
      <c r="YP76" s="18"/>
      <c r="YQ76" s="18"/>
      <c r="YR76" s="18"/>
      <c r="YS76" s="18"/>
      <c r="YT76" s="18"/>
      <c r="YU76" s="18"/>
      <c r="YV76" s="18"/>
      <c r="YW76" s="18"/>
      <c r="YX76" s="18"/>
      <c r="YY76" s="18"/>
      <c r="YZ76" s="18"/>
      <c r="ZA76" s="18"/>
      <c r="ZB76" s="18"/>
      <c r="ZC76" s="18"/>
      <c r="ZD76" s="18"/>
      <c r="ZE76" s="18"/>
      <c r="ZF76" s="18"/>
      <c r="ZG76" s="18"/>
      <c r="ZH76" s="18"/>
      <c r="ZI76" s="18"/>
      <c r="ZJ76" s="18"/>
      <c r="ZK76" s="18"/>
      <c r="ZL76" s="18"/>
      <c r="ZM76" s="18"/>
      <c r="ZN76" s="18"/>
      <c r="ZO76" s="18"/>
      <c r="ZP76" s="18"/>
      <c r="ZQ76" s="18"/>
      <c r="ZR76" s="18"/>
      <c r="ZS76" s="18"/>
      <c r="ZT76" s="18"/>
      <c r="ZU76" s="18"/>
      <c r="ZV76" s="18"/>
      <c r="ZW76" s="18"/>
      <c r="ZX76" s="18"/>
      <c r="ZY76" s="18"/>
      <c r="ZZ76" s="18"/>
      <c r="AAA76" s="18"/>
      <c r="AAB76" s="18"/>
      <c r="AAC76" s="18"/>
      <c r="AAD76" s="18"/>
      <c r="AAE76" s="18"/>
      <c r="AAF76" s="18"/>
      <c r="AAG76" s="18"/>
      <c r="AAH76" s="18"/>
      <c r="AAI76" s="18"/>
      <c r="AAJ76" s="18"/>
      <c r="AAK76" s="18"/>
      <c r="AAL76" s="18"/>
      <c r="AAM76" s="18"/>
      <c r="AAN76" s="18"/>
      <c r="AAO76" s="18"/>
      <c r="AAP76" s="18"/>
      <c r="AAQ76" s="18"/>
      <c r="AAR76" s="18"/>
      <c r="AAS76" s="18"/>
      <c r="AAT76" s="18"/>
      <c r="AAU76" s="18"/>
      <c r="AAV76" s="18"/>
      <c r="AAW76" s="18"/>
      <c r="AAX76" s="18"/>
      <c r="AAY76" s="18"/>
      <c r="AAZ76" s="18"/>
      <c r="ABA76" s="18"/>
      <c r="ABB76" s="18"/>
      <c r="ABC76" s="18"/>
      <c r="ABD76" s="18"/>
      <c r="ABE76" s="18"/>
      <c r="ABF76" s="18"/>
      <c r="ABG76" s="18"/>
      <c r="ABH76" s="18"/>
      <c r="ABI76" s="18"/>
      <c r="ABJ76" s="18"/>
      <c r="ABK76" s="18"/>
      <c r="ABL76" s="18"/>
      <c r="ABM76" s="18"/>
      <c r="ABN76" s="18"/>
      <c r="ABO76" s="18"/>
      <c r="ABP76" s="18"/>
      <c r="ABQ76" s="18"/>
      <c r="ABR76" s="18"/>
      <c r="ABS76" s="18"/>
      <c r="ABT76" s="18"/>
      <c r="ABU76" s="18"/>
      <c r="ABV76" s="18"/>
      <c r="ABW76" s="18"/>
      <c r="ABX76" s="18"/>
      <c r="ABY76" s="18"/>
      <c r="ABZ76" s="18"/>
      <c r="ACA76" s="18"/>
      <c r="ACB76" s="18"/>
      <c r="ACC76" s="18"/>
      <c r="ACD76" s="18"/>
      <c r="ACE76" s="18"/>
      <c r="ACF76" s="18"/>
      <c r="ACG76" s="18"/>
      <c r="ACH76" s="18"/>
      <c r="ACI76" s="18"/>
      <c r="ACJ76" s="18"/>
      <c r="ACK76" s="18"/>
      <c r="ACL76" s="18"/>
      <c r="ACM76" s="18"/>
      <c r="ACN76" s="18"/>
      <c r="ACO76" s="18"/>
      <c r="ACP76" s="18"/>
      <c r="ACQ76" s="18"/>
      <c r="ACR76" s="18"/>
      <c r="ACS76" s="18"/>
      <c r="ACT76" s="18"/>
      <c r="ACU76" s="18"/>
      <c r="ACV76" s="18"/>
      <c r="ACW76" s="18"/>
      <c r="ACX76" s="18"/>
      <c r="ACY76" s="18"/>
      <c r="ACZ76" s="18"/>
      <c r="ADA76" s="18"/>
      <c r="ADB76" s="18"/>
      <c r="ADC76" s="18"/>
      <c r="ADD76" s="18"/>
      <c r="ADE76" s="18"/>
      <c r="ADF76" s="18"/>
      <c r="ADG76" s="18"/>
      <c r="ADH76" s="18"/>
      <c r="ADI76" s="18"/>
      <c r="ADJ76" s="18"/>
      <c r="ADK76" s="18"/>
      <c r="ADL76" s="18"/>
      <c r="ADM76" s="18"/>
      <c r="ADN76" s="18"/>
      <c r="ADO76" s="18"/>
      <c r="ADP76" s="18"/>
      <c r="ADQ76" s="18"/>
      <c r="ADR76" s="18"/>
      <c r="ADS76" s="18"/>
      <c r="ADT76" s="18"/>
      <c r="ADU76" s="18"/>
      <c r="ADV76" s="18"/>
      <c r="ADW76" s="18"/>
      <c r="ADX76" s="18"/>
      <c r="ADY76" s="18"/>
      <c r="ADZ76" s="18"/>
      <c r="AEA76" s="18"/>
      <c r="AEB76" s="18"/>
      <c r="AEC76" s="18"/>
      <c r="AED76" s="18"/>
      <c r="AEE76" s="18"/>
      <c r="AEF76" s="18"/>
      <c r="AEG76" s="18"/>
      <c r="AEH76" s="18"/>
      <c r="AEI76" s="18"/>
      <c r="AEJ76" s="18"/>
      <c r="AEK76" s="18"/>
      <c r="AEL76" s="18"/>
      <c r="AEM76" s="18"/>
      <c r="AEN76" s="18"/>
      <c r="AEO76" s="18"/>
      <c r="AEP76" s="18"/>
      <c r="AEQ76" s="18"/>
      <c r="AER76" s="18"/>
      <c r="AES76" s="18"/>
      <c r="AET76" s="18"/>
      <c r="AEU76" s="18"/>
      <c r="AEV76" s="18"/>
      <c r="AEW76" s="18"/>
      <c r="AEX76" s="18"/>
      <c r="AEY76" s="18"/>
      <c r="AEZ76" s="18"/>
      <c r="AFA76" s="18"/>
      <c r="AFB76" s="18"/>
      <c r="AFC76" s="18"/>
      <c r="AFD76" s="18"/>
      <c r="AFE76" s="18"/>
      <c r="AFF76" s="18"/>
      <c r="AFG76" s="18"/>
      <c r="AFH76" s="18"/>
      <c r="AFI76" s="18"/>
      <c r="AFJ76" s="18"/>
      <c r="AFK76" s="18"/>
      <c r="AFL76" s="18"/>
      <c r="AFM76" s="18"/>
      <c r="AFN76" s="18"/>
      <c r="AFO76" s="18"/>
      <c r="AFP76" s="18"/>
      <c r="AFQ76" s="18"/>
      <c r="AFR76" s="18"/>
      <c r="AFS76" s="18"/>
      <c r="AFT76" s="18"/>
      <c r="AFU76" s="18"/>
      <c r="AFV76" s="18"/>
      <c r="AFW76" s="18"/>
      <c r="AFX76" s="18"/>
      <c r="AFY76" s="18"/>
      <c r="AFZ76" s="18"/>
      <c r="AGA76" s="18"/>
      <c r="AGB76" s="18"/>
      <c r="AGC76" s="18"/>
      <c r="AGD76" s="18"/>
      <c r="AGE76" s="18"/>
      <c r="AGF76" s="18"/>
      <c r="AGG76" s="18"/>
      <c r="AGH76" s="18"/>
      <c r="AGI76" s="18"/>
      <c r="AGJ76" s="18"/>
      <c r="AGK76" s="18"/>
      <c r="AGL76" s="18"/>
      <c r="AGM76" s="18"/>
      <c r="AGN76" s="18"/>
      <c r="AGO76" s="18"/>
      <c r="AGP76" s="18"/>
      <c r="AGQ76" s="18"/>
      <c r="AGR76" s="18"/>
      <c r="AGS76" s="18"/>
      <c r="AGT76" s="18"/>
      <c r="AGU76" s="18"/>
      <c r="AGV76" s="18"/>
      <c r="AGW76" s="18"/>
      <c r="AGX76" s="18"/>
      <c r="AGY76" s="18"/>
      <c r="AGZ76" s="18"/>
      <c r="AHA76" s="18"/>
      <c r="AHB76" s="18"/>
      <c r="AHC76" s="18"/>
      <c r="AHD76" s="18"/>
      <c r="AHE76" s="18"/>
      <c r="AHF76" s="18"/>
      <c r="AHG76" s="18"/>
      <c r="AHH76" s="18"/>
      <c r="AHI76" s="18"/>
      <c r="AHJ76" s="18"/>
      <c r="AHK76" s="18"/>
      <c r="AHL76" s="18"/>
      <c r="AHM76" s="18"/>
      <c r="AHN76" s="18"/>
      <c r="AHO76" s="18"/>
      <c r="AHP76" s="18"/>
      <c r="AHQ76" s="18"/>
      <c r="AHR76" s="18"/>
      <c r="AHS76" s="18"/>
      <c r="AHT76" s="18"/>
      <c r="AHU76" s="18"/>
      <c r="AHV76" s="18"/>
      <c r="AHW76" s="18"/>
      <c r="AHX76" s="18"/>
      <c r="AHY76" s="18"/>
      <c r="AHZ76" s="18"/>
      <c r="AIA76" s="18"/>
      <c r="AIB76" s="18"/>
      <c r="AIC76" s="18"/>
      <c r="AID76" s="18"/>
      <c r="AIE76" s="18"/>
      <c r="AIF76" s="18"/>
      <c r="AIG76" s="18"/>
      <c r="AIH76" s="18"/>
      <c r="AII76" s="18"/>
      <c r="AIJ76" s="18"/>
      <c r="AIK76" s="18"/>
      <c r="AIL76" s="18"/>
      <c r="AIM76" s="18"/>
      <c r="AIN76" s="18"/>
      <c r="AIO76" s="18"/>
      <c r="AIP76" s="18"/>
      <c r="AIQ76" s="18"/>
      <c r="AIR76" s="18"/>
      <c r="AIS76" s="18"/>
      <c r="AIT76" s="18"/>
      <c r="AIU76" s="18"/>
      <c r="AIV76" s="18"/>
      <c r="AIW76" s="18"/>
      <c r="AIX76" s="18"/>
      <c r="AIY76" s="18"/>
      <c r="AIZ76" s="18"/>
      <c r="AJA76" s="18"/>
      <c r="AJB76" s="18"/>
      <c r="AJC76" s="18"/>
      <c r="AJD76" s="18"/>
      <c r="AJE76" s="18"/>
      <c r="AJF76" s="18"/>
      <c r="AJG76" s="18"/>
      <c r="AJH76" s="18"/>
      <c r="AJI76" s="18"/>
      <c r="AJJ76" s="18"/>
      <c r="AJK76" s="18"/>
      <c r="AJL76" s="18"/>
      <c r="AJM76" s="18"/>
      <c r="AJN76" s="18"/>
      <c r="AJO76" s="18"/>
      <c r="AJP76" s="18"/>
      <c r="AJQ76" s="18"/>
      <c r="AJR76" s="18"/>
      <c r="AJS76" s="18"/>
      <c r="AJT76" s="18"/>
      <c r="AJU76" s="18"/>
      <c r="AJV76" s="18"/>
      <c r="AJW76" s="18"/>
      <c r="AJX76" s="18"/>
      <c r="AJY76" s="18"/>
      <c r="AJZ76" s="18"/>
      <c r="AKA76" s="18"/>
      <c r="AKB76" s="18"/>
      <c r="AKC76" s="18"/>
      <c r="AKD76" s="18"/>
      <c r="AKE76" s="18"/>
      <c r="AKF76" s="18"/>
      <c r="AKG76" s="18"/>
      <c r="AKH76" s="18"/>
      <c r="AKI76" s="18"/>
      <c r="AKJ76" s="18"/>
      <c r="AKK76" s="18"/>
      <c r="AKL76" s="18"/>
      <c r="AKM76" s="18"/>
      <c r="AKN76" s="18"/>
      <c r="AKO76" s="18"/>
      <c r="AKP76" s="18"/>
      <c r="AKQ76" s="18"/>
      <c r="AKR76" s="18"/>
      <c r="AKS76" s="18"/>
      <c r="AKT76" s="18"/>
      <c r="AKU76" s="18"/>
      <c r="AKV76" s="18"/>
      <c r="AKW76" s="18"/>
      <c r="AKX76" s="18"/>
      <c r="AKY76" s="18"/>
      <c r="AKZ76" s="18"/>
      <c r="ALA76" s="18"/>
      <c r="ALB76" s="18"/>
      <c r="ALC76" s="18"/>
      <c r="ALD76" s="18"/>
      <c r="ALE76" s="18"/>
      <c r="ALF76" s="18"/>
      <c r="ALG76" s="18"/>
      <c r="ALH76" s="18"/>
      <c r="ALI76" s="18"/>
      <c r="ALJ76" s="18"/>
      <c r="ALK76" s="18"/>
      <c r="ALL76" s="18"/>
      <c r="ALM76" s="18"/>
      <c r="ALN76" s="18"/>
      <c r="ALO76" s="18"/>
      <c r="ALP76" s="18"/>
      <c r="ALQ76" s="18"/>
      <c r="ALR76" s="18"/>
      <c r="ALS76" s="18"/>
      <c r="ALT76" s="18"/>
    </row>
    <row r="77" spans="1:1008" ht="36">
      <c r="A77" s="251" t="s">
        <v>7</v>
      </c>
      <c r="B77" s="290">
        <v>87265</v>
      </c>
      <c r="C77" s="278" t="str">
        <f>(IF($A77="SINAPI",INDEX(SINAPI_NOV2020_NDES!$A$7:$H$6703,MATCH($B77,SINAPI_NOV2020_NDES!$A$7:$A$6703,0),2),IF($A77="GOINFRA",INDEX(#REF!,MATCH($B77,#REF!,0),2),(INDEX(COMPOS!$A$4:$G$390,MATCH($B77,COMPOS!$A$4:A$390,0),2)))))</f>
        <v>REVESTIMENTO CERÂMICO PARA PAREDES INTERNAS COM PLACAS TIPO ESMALTADA EXTRA DE DIMENSÕES 20X20 CM APLICADAS EM AMBIENTES DE ÁREA MAIOR QUE 5 M² NA ALTURA INTEIRA DAS PAREDES. AF_06/2014</v>
      </c>
      <c r="D77" s="274" t="str">
        <f>(IF($A77="SINAPI",INDEX(SINAPI_NOV2020_NDES!$A$7:$H$6790,MATCH($B77,SINAPI_NOV2020_NDES!$A$7:$A$6790,0),3),(INDEX(COMPOS!$A$4:$G$5000,MATCH($B77,COMPOS!$A$4:$A$5000,0),3))))</f>
        <v>M2</v>
      </c>
      <c r="E77" s="314">
        <v>156.82</v>
      </c>
      <c r="F77" s="279">
        <f>(IF($A77="SINAPI",INDEX(SINAPI_NOV2020_NDES!$A$7:$H$6703,MATCH($B77,SINAPI_NOV2020_NDES!$A$7:$A$6703,0),5),(INDEX(COMPOS!$A$4:$G$801,MATCH($B77,COMPOS!$A$4:A$801,0),4))))</f>
        <v>11.44</v>
      </c>
      <c r="G77" s="280">
        <f>(IF($A77="SINAPI",INDEX(SINAPI_NOV2020_NDES!$A$7:$H$6703,MATCH($B77,SINAPI_NOV2020_NDES!$A$7:$A$6703,0),6),(INDEX(COMPOS!$A$4:$G$801,MATCH($B77,COMPOS!$A$4:A$801,0),5))))</f>
        <v>25.98</v>
      </c>
      <c r="H77" s="280">
        <f>(IF($A77="SINAPI",INDEX(SINAPI_NOV2020_NDES!$A$7:$H$6703,MATCH($B77,SINAPI_NOV2020_NDES!$A$7:$A$6703,0),7),(INDEX(COMPOS!$A$4:$G$801,MATCH($B77,COMPOS!$A$4:A$801,0),6))))</f>
        <v>0</v>
      </c>
      <c r="I77" s="279">
        <f t="shared" si="24"/>
        <v>37.42</v>
      </c>
      <c r="J77" s="276">
        <f t="shared" si="25"/>
        <v>5868.2043999999996</v>
      </c>
      <c r="K77" s="191"/>
      <c r="L77" s="191"/>
      <c r="M77" s="191"/>
      <c r="N77" s="191"/>
      <c r="O77" s="262"/>
      <c r="P77" s="263"/>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c r="EF77" s="18"/>
      <c r="EG77" s="18"/>
      <c r="EH77" s="18"/>
      <c r="EI77" s="18"/>
      <c r="EJ77" s="18"/>
      <c r="EK77" s="18"/>
      <c r="EL77" s="18"/>
      <c r="EM77" s="18"/>
      <c r="EN77" s="18"/>
      <c r="EO77" s="18"/>
      <c r="EP77" s="18"/>
      <c r="EQ77" s="18"/>
      <c r="ER77" s="18"/>
      <c r="ES77" s="18"/>
      <c r="ET77" s="18"/>
      <c r="EU77" s="18"/>
      <c r="EV77" s="18"/>
      <c r="EW77" s="18"/>
      <c r="EX77" s="18"/>
      <c r="EY77" s="18"/>
      <c r="EZ77" s="18"/>
      <c r="FA77" s="18"/>
      <c r="FB77" s="18"/>
      <c r="FC77" s="18"/>
      <c r="FD77" s="18"/>
      <c r="FE77" s="18"/>
      <c r="FF77" s="18"/>
      <c r="FG77" s="18"/>
      <c r="FH77" s="18"/>
      <c r="FI77" s="18"/>
      <c r="FJ77" s="18"/>
      <c r="FK77" s="18"/>
      <c r="FL77" s="18"/>
      <c r="FM77" s="18"/>
      <c r="FN77" s="18"/>
      <c r="FO77" s="18"/>
      <c r="FP77" s="18"/>
      <c r="FQ77" s="18"/>
      <c r="FR77" s="18"/>
      <c r="FS77" s="18"/>
      <c r="FT77" s="18"/>
      <c r="FU77" s="18"/>
      <c r="FV77" s="18"/>
      <c r="FW77" s="18"/>
      <c r="FX77" s="18"/>
      <c r="FY77" s="18"/>
      <c r="FZ77" s="18"/>
      <c r="GA77" s="18"/>
      <c r="GB77" s="18"/>
      <c r="GC77" s="18"/>
      <c r="GD77" s="18"/>
      <c r="GE77" s="18"/>
      <c r="GF77" s="18"/>
      <c r="GG77" s="18"/>
      <c r="GH77" s="18"/>
      <c r="GI77" s="18"/>
      <c r="GJ77" s="18"/>
      <c r="GK77" s="18"/>
      <c r="GL77" s="18"/>
      <c r="GM77" s="18"/>
      <c r="GN77" s="18"/>
      <c r="GO77" s="18"/>
      <c r="GP77" s="18"/>
      <c r="GQ77" s="18"/>
      <c r="GR77" s="18"/>
      <c r="GS77" s="18"/>
      <c r="GT77" s="18"/>
      <c r="GU77" s="18"/>
      <c r="GV77" s="18"/>
      <c r="GW77" s="18"/>
      <c r="GX77" s="18"/>
      <c r="GY77" s="18"/>
      <c r="GZ77" s="18"/>
      <c r="HA77" s="18"/>
      <c r="HB77" s="18"/>
      <c r="HC77" s="18"/>
      <c r="HD77" s="18"/>
      <c r="HE77" s="18"/>
      <c r="HF77" s="18"/>
      <c r="HG77" s="18"/>
      <c r="HH77" s="18"/>
      <c r="HI77" s="18"/>
      <c r="HJ77" s="18"/>
      <c r="HK77" s="18"/>
      <c r="HL77" s="18"/>
      <c r="HM77" s="18"/>
      <c r="HN77" s="18"/>
      <c r="HO77" s="18"/>
      <c r="HP77" s="18"/>
      <c r="HQ77" s="18"/>
      <c r="HR77" s="18"/>
      <c r="HS77" s="18"/>
      <c r="HT77" s="18"/>
      <c r="HU77" s="18"/>
      <c r="HV77" s="18"/>
      <c r="HW77" s="18"/>
      <c r="HX77" s="18"/>
      <c r="HY77" s="18"/>
      <c r="HZ77" s="18"/>
      <c r="IA77" s="18"/>
      <c r="IB77" s="18"/>
      <c r="IC77" s="18"/>
      <c r="ID77" s="18"/>
      <c r="IE77" s="18"/>
      <c r="IF77" s="18"/>
      <c r="IG77" s="18"/>
      <c r="IH77" s="18"/>
      <c r="II77" s="18"/>
      <c r="IJ77" s="18"/>
      <c r="IK77" s="18"/>
      <c r="IL77" s="18"/>
      <c r="IM77" s="18"/>
      <c r="IN77" s="18"/>
      <c r="IO77" s="18"/>
      <c r="IP77" s="18"/>
      <c r="IQ77" s="18"/>
      <c r="IR77" s="18"/>
      <c r="IS77" s="18"/>
      <c r="IT77" s="18"/>
      <c r="IU77" s="18"/>
      <c r="IV77" s="18"/>
      <c r="IW77" s="18"/>
      <c r="IX77" s="18"/>
      <c r="IY77" s="18"/>
      <c r="IZ77" s="18"/>
      <c r="JA77" s="18"/>
      <c r="JB77" s="18"/>
      <c r="JC77" s="18"/>
      <c r="JD77" s="18"/>
      <c r="JE77" s="18"/>
      <c r="JF77" s="18"/>
      <c r="JG77" s="18"/>
      <c r="JH77" s="18"/>
      <c r="JI77" s="18"/>
      <c r="JJ77" s="18"/>
      <c r="JK77" s="18"/>
      <c r="JL77" s="18"/>
      <c r="JM77" s="18"/>
      <c r="JN77" s="18"/>
      <c r="JO77" s="18"/>
      <c r="JP77" s="18"/>
      <c r="JQ77" s="18"/>
      <c r="JR77" s="18"/>
      <c r="JS77" s="18"/>
      <c r="JT77" s="18"/>
      <c r="JU77" s="18"/>
      <c r="JV77" s="18"/>
      <c r="JW77" s="18"/>
      <c r="JX77" s="18"/>
      <c r="JY77" s="18"/>
      <c r="JZ77" s="18"/>
      <c r="KA77" s="18"/>
      <c r="KB77" s="18"/>
      <c r="KC77" s="18"/>
      <c r="KD77" s="18"/>
      <c r="KE77" s="18"/>
      <c r="KF77" s="18"/>
      <c r="KG77" s="18"/>
      <c r="KH77" s="18"/>
      <c r="KI77" s="18"/>
      <c r="KJ77" s="18"/>
      <c r="KK77" s="18"/>
      <c r="KL77" s="18"/>
      <c r="KM77" s="18"/>
      <c r="KN77" s="18"/>
      <c r="KO77" s="18"/>
      <c r="KP77" s="18"/>
      <c r="KQ77" s="18"/>
      <c r="KR77" s="18"/>
      <c r="KS77" s="18"/>
      <c r="KT77" s="18"/>
      <c r="KU77" s="18"/>
      <c r="KV77" s="18"/>
      <c r="KW77" s="18"/>
      <c r="KX77" s="18"/>
      <c r="KY77" s="18"/>
      <c r="KZ77" s="18"/>
      <c r="LA77" s="18"/>
      <c r="LB77" s="18"/>
      <c r="LC77" s="18"/>
      <c r="LD77" s="18"/>
      <c r="LE77" s="18"/>
      <c r="LF77" s="18"/>
      <c r="LG77" s="18"/>
      <c r="LH77" s="18"/>
      <c r="LI77" s="18"/>
      <c r="LJ77" s="18"/>
      <c r="LK77" s="18"/>
      <c r="LL77" s="18"/>
      <c r="LM77" s="18"/>
      <c r="LN77" s="18"/>
      <c r="LO77" s="18"/>
      <c r="LP77" s="18"/>
      <c r="LQ77" s="18"/>
      <c r="LR77" s="18"/>
      <c r="LS77" s="18"/>
      <c r="LT77" s="18"/>
      <c r="LU77" s="18"/>
      <c r="LV77" s="18"/>
      <c r="LW77" s="18"/>
      <c r="LX77" s="18"/>
      <c r="LY77" s="18"/>
      <c r="LZ77" s="18"/>
      <c r="MA77" s="18"/>
      <c r="MB77" s="18"/>
      <c r="MC77" s="18"/>
      <c r="MD77" s="18"/>
      <c r="ME77" s="18"/>
      <c r="MF77" s="18"/>
      <c r="MG77" s="18"/>
      <c r="MH77" s="18"/>
      <c r="MI77" s="18"/>
      <c r="MJ77" s="18"/>
      <c r="MK77" s="18"/>
      <c r="ML77" s="18"/>
      <c r="MM77" s="18"/>
      <c r="MN77" s="18"/>
      <c r="MO77" s="18"/>
      <c r="MP77" s="18"/>
      <c r="MQ77" s="18"/>
      <c r="MR77" s="18"/>
      <c r="MS77" s="18"/>
      <c r="MT77" s="18"/>
      <c r="MU77" s="18"/>
      <c r="MV77" s="18"/>
      <c r="MW77" s="18"/>
      <c r="MX77" s="18"/>
      <c r="MY77" s="18"/>
      <c r="MZ77" s="18"/>
      <c r="NA77" s="18"/>
      <c r="NB77" s="18"/>
      <c r="NC77" s="18"/>
      <c r="ND77" s="18"/>
      <c r="NE77" s="18"/>
      <c r="NF77" s="18"/>
      <c r="NG77" s="18"/>
      <c r="NH77" s="18"/>
      <c r="NI77" s="18"/>
      <c r="NJ77" s="18"/>
      <c r="NK77" s="18"/>
      <c r="NL77" s="18"/>
      <c r="NM77" s="18"/>
      <c r="NN77" s="18"/>
      <c r="NO77" s="18"/>
      <c r="NP77" s="18"/>
      <c r="NQ77" s="18"/>
      <c r="NR77" s="18"/>
      <c r="NS77" s="18"/>
      <c r="NT77" s="18"/>
      <c r="NU77" s="18"/>
      <c r="NV77" s="18"/>
      <c r="NW77" s="18"/>
      <c r="NX77" s="18"/>
      <c r="NY77" s="18"/>
      <c r="NZ77" s="18"/>
      <c r="OA77" s="18"/>
      <c r="OB77" s="18"/>
      <c r="OC77" s="18"/>
      <c r="OD77" s="18"/>
      <c r="OE77" s="18"/>
      <c r="OF77" s="18"/>
      <c r="OG77" s="18"/>
      <c r="OH77" s="18"/>
      <c r="OI77" s="18"/>
      <c r="OJ77" s="18"/>
      <c r="OK77" s="18"/>
      <c r="OL77" s="18"/>
      <c r="OM77" s="18"/>
      <c r="ON77" s="18"/>
      <c r="OO77" s="18"/>
      <c r="OP77" s="18"/>
      <c r="OQ77" s="18"/>
      <c r="OR77" s="18"/>
      <c r="OS77" s="18"/>
      <c r="OT77" s="18"/>
      <c r="OU77" s="18"/>
      <c r="OV77" s="18"/>
      <c r="OW77" s="18"/>
      <c r="OX77" s="18"/>
      <c r="OY77" s="18"/>
      <c r="OZ77" s="18"/>
      <c r="PA77" s="18"/>
      <c r="PB77" s="18"/>
      <c r="PC77" s="18"/>
      <c r="PD77" s="18"/>
      <c r="PE77" s="18"/>
      <c r="PF77" s="18"/>
      <c r="PG77" s="18"/>
      <c r="PH77" s="18"/>
      <c r="PI77" s="18"/>
      <c r="PJ77" s="18"/>
      <c r="PK77" s="18"/>
      <c r="PL77" s="18"/>
      <c r="PM77" s="18"/>
      <c r="PN77" s="18"/>
      <c r="PO77" s="18"/>
      <c r="PP77" s="18"/>
      <c r="PQ77" s="18"/>
      <c r="PR77" s="18"/>
      <c r="PS77" s="18"/>
      <c r="PT77" s="18"/>
      <c r="PU77" s="18"/>
      <c r="PV77" s="18"/>
      <c r="PW77" s="18"/>
      <c r="PX77" s="18"/>
      <c r="PY77" s="18"/>
      <c r="PZ77" s="18"/>
      <c r="QA77" s="18"/>
      <c r="QB77" s="18"/>
      <c r="QC77" s="18"/>
      <c r="QD77" s="18"/>
      <c r="QE77" s="18"/>
      <c r="QF77" s="18"/>
      <c r="QG77" s="18"/>
      <c r="QH77" s="18"/>
      <c r="QI77" s="18"/>
      <c r="QJ77" s="18"/>
      <c r="QK77" s="18"/>
      <c r="QL77" s="18"/>
      <c r="QM77" s="18"/>
      <c r="QN77" s="18"/>
      <c r="QO77" s="18"/>
      <c r="QP77" s="18"/>
      <c r="QQ77" s="18"/>
      <c r="QR77" s="18"/>
      <c r="QS77" s="18"/>
      <c r="QT77" s="18"/>
      <c r="QU77" s="18"/>
      <c r="QV77" s="18"/>
      <c r="QW77" s="18"/>
      <c r="QX77" s="18"/>
      <c r="QY77" s="18"/>
      <c r="QZ77" s="18"/>
      <c r="RA77" s="18"/>
      <c r="RB77" s="18"/>
      <c r="RC77" s="18"/>
      <c r="RD77" s="18"/>
      <c r="RE77" s="18"/>
      <c r="RF77" s="18"/>
      <c r="RG77" s="18"/>
      <c r="RH77" s="18"/>
      <c r="RI77" s="18"/>
      <c r="RJ77" s="18"/>
      <c r="RK77" s="18"/>
      <c r="RL77" s="18"/>
      <c r="RM77" s="18"/>
      <c r="RN77" s="18"/>
      <c r="RO77" s="18"/>
      <c r="RP77" s="18"/>
      <c r="RQ77" s="18"/>
      <c r="RR77" s="18"/>
      <c r="RS77" s="18"/>
      <c r="RT77" s="18"/>
      <c r="RU77" s="18"/>
      <c r="RV77" s="18"/>
      <c r="RW77" s="18"/>
      <c r="RX77" s="18"/>
      <c r="RY77" s="18"/>
      <c r="RZ77" s="18"/>
      <c r="SA77" s="18"/>
      <c r="SB77" s="18"/>
      <c r="SC77" s="18"/>
      <c r="SD77" s="18"/>
      <c r="SE77" s="18"/>
      <c r="SF77" s="18"/>
      <c r="SG77" s="18"/>
      <c r="SH77" s="18"/>
      <c r="SI77" s="18"/>
      <c r="SJ77" s="18"/>
      <c r="SK77" s="18"/>
      <c r="SL77" s="18"/>
      <c r="SM77" s="18"/>
      <c r="SN77" s="18"/>
      <c r="SO77" s="18"/>
      <c r="SP77" s="18"/>
      <c r="SQ77" s="18"/>
      <c r="SR77" s="18"/>
      <c r="SS77" s="18"/>
      <c r="ST77" s="18"/>
      <c r="SU77" s="18"/>
      <c r="SV77" s="18"/>
      <c r="SW77" s="18"/>
      <c r="SX77" s="18"/>
      <c r="SY77" s="18"/>
      <c r="SZ77" s="18"/>
      <c r="TA77" s="18"/>
      <c r="TB77" s="18"/>
      <c r="TC77" s="18"/>
      <c r="TD77" s="18"/>
      <c r="TE77" s="18"/>
      <c r="TF77" s="18"/>
      <c r="TG77" s="18"/>
      <c r="TH77" s="18"/>
      <c r="TI77" s="18"/>
      <c r="TJ77" s="18"/>
      <c r="TK77" s="18"/>
      <c r="TL77" s="18"/>
      <c r="TM77" s="18"/>
      <c r="TN77" s="18"/>
      <c r="TO77" s="18"/>
      <c r="TP77" s="18"/>
      <c r="TQ77" s="18"/>
      <c r="TR77" s="18"/>
      <c r="TS77" s="18"/>
      <c r="TT77" s="18"/>
      <c r="TU77" s="18"/>
      <c r="TV77" s="18"/>
      <c r="TW77" s="18"/>
      <c r="TX77" s="18"/>
      <c r="TY77" s="18"/>
      <c r="TZ77" s="18"/>
      <c r="UA77" s="18"/>
      <c r="UB77" s="18"/>
      <c r="UC77" s="18"/>
      <c r="UD77" s="18"/>
      <c r="UE77" s="18"/>
      <c r="UF77" s="18"/>
      <c r="UG77" s="18"/>
      <c r="UH77" s="18"/>
      <c r="UI77" s="18"/>
      <c r="UJ77" s="18"/>
      <c r="UK77" s="18"/>
      <c r="UL77" s="18"/>
      <c r="UM77" s="18"/>
      <c r="UN77" s="18"/>
      <c r="UO77" s="18"/>
      <c r="UP77" s="18"/>
      <c r="UQ77" s="18"/>
      <c r="UR77" s="18"/>
      <c r="US77" s="18"/>
      <c r="UT77" s="18"/>
      <c r="UU77" s="18"/>
      <c r="UV77" s="18"/>
      <c r="UW77" s="18"/>
      <c r="UX77" s="18"/>
      <c r="UY77" s="18"/>
      <c r="UZ77" s="18"/>
      <c r="VA77" s="18"/>
      <c r="VB77" s="18"/>
      <c r="VC77" s="18"/>
      <c r="VD77" s="18"/>
      <c r="VE77" s="18"/>
      <c r="VF77" s="18"/>
      <c r="VG77" s="18"/>
      <c r="VH77" s="18"/>
      <c r="VI77" s="18"/>
      <c r="VJ77" s="18"/>
      <c r="VK77" s="18"/>
      <c r="VL77" s="18"/>
      <c r="VM77" s="18"/>
      <c r="VN77" s="18"/>
      <c r="VO77" s="18"/>
      <c r="VP77" s="18"/>
      <c r="VQ77" s="18"/>
      <c r="VR77" s="18"/>
      <c r="VS77" s="18"/>
      <c r="VT77" s="18"/>
      <c r="VU77" s="18"/>
      <c r="VV77" s="18"/>
      <c r="VW77" s="18"/>
      <c r="VX77" s="18"/>
      <c r="VY77" s="18"/>
      <c r="VZ77" s="18"/>
      <c r="WA77" s="18"/>
      <c r="WB77" s="18"/>
      <c r="WC77" s="18"/>
      <c r="WD77" s="18"/>
      <c r="WE77" s="18"/>
      <c r="WF77" s="18"/>
      <c r="WG77" s="18"/>
      <c r="WH77" s="18"/>
      <c r="WI77" s="18"/>
      <c r="WJ77" s="18"/>
      <c r="WK77" s="18"/>
      <c r="WL77" s="18"/>
      <c r="WM77" s="18"/>
      <c r="WN77" s="18"/>
      <c r="WO77" s="18"/>
      <c r="WP77" s="18"/>
      <c r="WQ77" s="18"/>
      <c r="WR77" s="18"/>
      <c r="WS77" s="18"/>
      <c r="WT77" s="18"/>
      <c r="WU77" s="18"/>
      <c r="WV77" s="18"/>
      <c r="WW77" s="18"/>
      <c r="WX77" s="18"/>
      <c r="WY77" s="18"/>
      <c r="WZ77" s="18"/>
      <c r="XA77" s="18"/>
      <c r="XB77" s="18"/>
      <c r="XC77" s="18"/>
      <c r="XD77" s="18"/>
      <c r="XE77" s="18"/>
      <c r="XF77" s="18"/>
      <c r="XG77" s="18"/>
      <c r="XH77" s="18"/>
      <c r="XI77" s="18"/>
      <c r="XJ77" s="18"/>
      <c r="XK77" s="18"/>
      <c r="XL77" s="18"/>
      <c r="XM77" s="18"/>
      <c r="XN77" s="18"/>
      <c r="XO77" s="18"/>
      <c r="XP77" s="18"/>
      <c r="XQ77" s="18"/>
      <c r="XR77" s="18"/>
      <c r="XS77" s="18"/>
      <c r="XT77" s="18"/>
      <c r="XU77" s="18"/>
      <c r="XV77" s="18"/>
      <c r="XW77" s="18"/>
      <c r="XX77" s="18"/>
      <c r="XY77" s="18"/>
      <c r="XZ77" s="18"/>
      <c r="YA77" s="18"/>
      <c r="YB77" s="18"/>
      <c r="YC77" s="18"/>
      <c r="YD77" s="18"/>
      <c r="YE77" s="18"/>
      <c r="YF77" s="18"/>
      <c r="YG77" s="18"/>
      <c r="YH77" s="18"/>
      <c r="YI77" s="18"/>
      <c r="YJ77" s="18"/>
      <c r="YK77" s="18"/>
      <c r="YL77" s="18"/>
      <c r="YM77" s="18"/>
      <c r="YN77" s="18"/>
      <c r="YO77" s="18"/>
      <c r="YP77" s="18"/>
      <c r="YQ77" s="18"/>
      <c r="YR77" s="18"/>
      <c r="YS77" s="18"/>
      <c r="YT77" s="18"/>
      <c r="YU77" s="18"/>
      <c r="YV77" s="18"/>
      <c r="YW77" s="18"/>
      <c r="YX77" s="18"/>
      <c r="YY77" s="18"/>
      <c r="YZ77" s="18"/>
      <c r="ZA77" s="18"/>
      <c r="ZB77" s="18"/>
      <c r="ZC77" s="18"/>
      <c r="ZD77" s="18"/>
      <c r="ZE77" s="18"/>
      <c r="ZF77" s="18"/>
      <c r="ZG77" s="18"/>
      <c r="ZH77" s="18"/>
      <c r="ZI77" s="18"/>
      <c r="ZJ77" s="18"/>
      <c r="ZK77" s="18"/>
      <c r="ZL77" s="18"/>
      <c r="ZM77" s="18"/>
      <c r="ZN77" s="18"/>
      <c r="ZO77" s="18"/>
      <c r="ZP77" s="18"/>
      <c r="ZQ77" s="18"/>
      <c r="ZR77" s="18"/>
      <c r="ZS77" s="18"/>
      <c r="ZT77" s="18"/>
      <c r="ZU77" s="18"/>
      <c r="ZV77" s="18"/>
      <c r="ZW77" s="18"/>
      <c r="ZX77" s="18"/>
      <c r="ZY77" s="18"/>
      <c r="ZZ77" s="18"/>
      <c r="AAA77" s="18"/>
      <c r="AAB77" s="18"/>
      <c r="AAC77" s="18"/>
      <c r="AAD77" s="18"/>
      <c r="AAE77" s="18"/>
      <c r="AAF77" s="18"/>
      <c r="AAG77" s="18"/>
      <c r="AAH77" s="18"/>
      <c r="AAI77" s="18"/>
      <c r="AAJ77" s="18"/>
      <c r="AAK77" s="18"/>
      <c r="AAL77" s="18"/>
      <c r="AAM77" s="18"/>
      <c r="AAN77" s="18"/>
      <c r="AAO77" s="18"/>
      <c r="AAP77" s="18"/>
      <c r="AAQ77" s="18"/>
      <c r="AAR77" s="18"/>
      <c r="AAS77" s="18"/>
      <c r="AAT77" s="18"/>
      <c r="AAU77" s="18"/>
      <c r="AAV77" s="18"/>
      <c r="AAW77" s="18"/>
      <c r="AAX77" s="18"/>
      <c r="AAY77" s="18"/>
      <c r="AAZ77" s="18"/>
      <c r="ABA77" s="18"/>
      <c r="ABB77" s="18"/>
      <c r="ABC77" s="18"/>
      <c r="ABD77" s="18"/>
      <c r="ABE77" s="18"/>
      <c r="ABF77" s="18"/>
      <c r="ABG77" s="18"/>
      <c r="ABH77" s="18"/>
      <c r="ABI77" s="18"/>
      <c r="ABJ77" s="18"/>
      <c r="ABK77" s="18"/>
      <c r="ABL77" s="18"/>
      <c r="ABM77" s="18"/>
      <c r="ABN77" s="18"/>
      <c r="ABO77" s="18"/>
      <c r="ABP77" s="18"/>
      <c r="ABQ77" s="18"/>
      <c r="ABR77" s="18"/>
      <c r="ABS77" s="18"/>
      <c r="ABT77" s="18"/>
      <c r="ABU77" s="18"/>
      <c r="ABV77" s="18"/>
      <c r="ABW77" s="18"/>
      <c r="ABX77" s="18"/>
      <c r="ABY77" s="18"/>
      <c r="ABZ77" s="18"/>
      <c r="ACA77" s="18"/>
      <c r="ACB77" s="18"/>
      <c r="ACC77" s="18"/>
      <c r="ACD77" s="18"/>
      <c r="ACE77" s="18"/>
      <c r="ACF77" s="18"/>
      <c r="ACG77" s="18"/>
      <c r="ACH77" s="18"/>
      <c r="ACI77" s="18"/>
      <c r="ACJ77" s="18"/>
      <c r="ACK77" s="18"/>
      <c r="ACL77" s="18"/>
      <c r="ACM77" s="18"/>
      <c r="ACN77" s="18"/>
      <c r="ACO77" s="18"/>
      <c r="ACP77" s="18"/>
      <c r="ACQ77" s="18"/>
      <c r="ACR77" s="18"/>
      <c r="ACS77" s="18"/>
      <c r="ACT77" s="18"/>
      <c r="ACU77" s="18"/>
      <c r="ACV77" s="18"/>
      <c r="ACW77" s="18"/>
      <c r="ACX77" s="18"/>
      <c r="ACY77" s="18"/>
      <c r="ACZ77" s="18"/>
      <c r="ADA77" s="18"/>
      <c r="ADB77" s="18"/>
      <c r="ADC77" s="18"/>
      <c r="ADD77" s="18"/>
      <c r="ADE77" s="18"/>
      <c r="ADF77" s="18"/>
      <c r="ADG77" s="18"/>
      <c r="ADH77" s="18"/>
      <c r="ADI77" s="18"/>
      <c r="ADJ77" s="18"/>
      <c r="ADK77" s="18"/>
      <c r="ADL77" s="18"/>
      <c r="ADM77" s="18"/>
      <c r="ADN77" s="18"/>
      <c r="ADO77" s="18"/>
      <c r="ADP77" s="18"/>
      <c r="ADQ77" s="18"/>
      <c r="ADR77" s="18"/>
      <c r="ADS77" s="18"/>
      <c r="ADT77" s="18"/>
      <c r="ADU77" s="18"/>
      <c r="ADV77" s="18"/>
      <c r="ADW77" s="18"/>
      <c r="ADX77" s="18"/>
      <c r="ADY77" s="18"/>
      <c r="ADZ77" s="18"/>
      <c r="AEA77" s="18"/>
      <c r="AEB77" s="18"/>
      <c r="AEC77" s="18"/>
      <c r="AED77" s="18"/>
      <c r="AEE77" s="18"/>
      <c r="AEF77" s="18"/>
      <c r="AEG77" s="18"/>
      <c r="AEH77" s="18"/>
      <c r="AEI77" s="18"/>
      <c r="AEJ77" s="18"/>
      <c r="AEK77" s="18"/>
      <c r="AEL77" s="18"/>
      <c r="AEM77" s="18"/>
      <c r="AEN77" s="18"/>
      <c r="AEO77" s="18"/>
      <c r="AEP77" s="18"/>
      <c r="AEQ77" s="18"/>
      <c r="AER77" s="18"/>
      <c r="AES77" s="18"/>
      <c r="AET77" s="18"/>
      <c r="AEU77" s="18"/>
      <c r="AEV77" s="18"/>
      <c r="AEW77" s="18"/>
      <c r="AEX77" s="18"/>
      <c r="AEY77" s="18"/>
      <c r="AEZ77" s="18"/>
      <c r="AFA77" s="18"/>
      <c r="AFB77" s="18"/>
      <c r="AFC77" s="18"/>
      <c r="AFD77" s="18"/>
      <c r="AFE77" s="18"/>
      <c r="AFF77" s="18"/>
      <c r="AFG77" s="18"/>
      <c r="AFH77" s="18"/>
      <c r="AFI77" s="18"/>
      <c r="AFJ77" s="18"/>
      <c r="AFK77" s="18"/>
      <c r="AFL77" s="18"/>
      <c r="AFM77" s="18"/>
      <c r="AFN77" s="18"/>
      <c r="AFO77" s="18"/>
      <c r="AFP77" s="18"/>
      <c r="AFQ77" s="18"/>
      <c r="AFR77" s="18"/>
      <c r="AFS77" s="18"/>
      <c r="AFT77" s="18"/>
      <c r="AFU77" s="18"/>
      <c r="AFV77" s="18"/>
      <c r="AFW77" s="18"/>
      <c r="AFX77" s="18"/>
      <c r="AFY77" s="18"/>
      <c r="AFZ77" s="18"/>
      <c r="AGA77" s="18"/>
      <c r="AGB77" s="18"/>
      <c r="AGC77" s="18"/>
      <c r="AGD77" s="18"/>
      <c r="AGE77" s="18"/>
      <c r="AGF77" s="18"/>
      <c r="AGG77" s="18"/>
      <c r="AGH77" s="18"/>
      <c r="AGI77" s="18"/>
      <c r="AGJ77" s="18"/>
      <c r="AGK77" s="18"/>
      <c r="AGL77" s="18"/>
      <c r="AGM77" s="18"/>
      <c r="AGN77" s="18"/>
      <c r="AGO77" s="18"/>
      <c r="AGP77" s="18"/>
      <c r="AGQ77" s="18"/>
      <c r="AGR77" s="18"/>
      <c r="AGS77" s="18"/>
      <c r="AGT77" s="18"/>
      <c r="AGU77" s="18"/>
      <c r="AGV77" s="18"/>
      <c r="AGW77" s="18"/>
      <c r="AGX77" s="18"/>
      <c r="AGY77" s="18"/>
      <c r="AGZ77" s="18"/>
      <c r="AHA77" s="18"/>
      <c r="AHB77" s="18"/>
      <c r="AHC77" s="18"/>
      <c r="AHD77" s="18"/>
      <c r="AHE77" s="18"/>
      <c r="AHF77" s="18"/>
      <c r="AHG77" s="18"/>
      <c r="AHH77" s="18"/>
      <c r="AHI77" s="18"/>
      <c r="AHJ77" s="18"/>
      <c r="AHK77" s="18"/>
      <c r="AHL77" s="18"/>
      <c r="AHM77" s="18"/>
      <c r="AHN77" s="18"/>
      <c r="AHO77" s="18"/>
      <c r="AHP77" s="18"/>
      <c r="AHQ77" s="18"/>
      <c r="AHR77" s="18"/>
      <c r="AHS77" s="18"/>
      <c r="AHT77" s="18"/>
      <c r="AHU77" s="18"/>
      <c r="AHV77" s="18"/>
      <c r="AHW77" s="18"/>
      <c r="AHX77" s="18"/>
      <c r="AHY77" s="18"/>
      <c r="AHZ77" s="18"/>
      <c r="AIA77" s="18"/>
      <c r="AIB77" s="18"/>
      <c r="AIC77" s="18"/>
      <c r="AID77" s="18"/>
      <c r="AIE77" s="18"/>
      <c r="AIF77" s="18"/>
      <c r="AIG77" s="18"/>
      <c r="AIH77" s="18"/>
      <c r="AII77" s="18"/>
      <c r="AIJ77" s="18"/>
      <c r="AIK77" s="18"/>
      <c r="AIL77" s="18"/>
      <c r="AIM77" s="18"/>
      <c r="AIN77" s="18"/>
      <c r="AIO77" s="18"/>
      <c r="AIP77" s="18"/>
      <c r="AIQ77" s="18"/>
      <c r="AIR77" s="18"/>
      <c r="AIS77" s="18"/>
      <c r="AIT77" s="18"/>
      <c r="AIU77" s="18"/>
      <c r="AIV77" s="18"/>
      <c r="AIW77" s="18"/>
      <c r="AIX77" s="18"/>
      <c r="AIY77" s="18"/>
      <c r="AIZ77" s="18"/>
      <c r="AJA77" s="18"/>
      <c r="AJB77" s="18"/>
      <c r="AJC77" s="18"/>
      <c r="AJD77" s="18"/>
      <c r="AJE77" s="18"/>
      <c r="AJF77" s="18"/>
      <c r="AJG77" s="18"/>
      <c r="AJH77" s="18"/>
      <c r="AJI77" s="18"/>
      <c r="AJJ77" s="18"/>
      <c r="AJK77" s="18"/>
      <c r="AJL77" s="18"/>
      <c r="AJM77" s="18"/>
      <c r="AJN77" s="18"/>
      <c r="AJO77" s="18"/>
      <c r="AJP77" s="18"/>
      <c r="AJQ77" s="18"/>
      <c r="AJR77" s="18"/>
      <c r="AJS77" s="18"/>
      <c r="AJT77" s="18"/>
      <c r="AJU77" s="18"/>
      <c r="AJV77" s="18"/>
      <c r="AJW77" s="18"/>
      <c r="AJX77" s="18"/>
      <c r="AJY77" s="18"/>
      <c r="AJZ77" s="18"/>
      <c r="AKA77" s="18"/>
      <c r="AKB77" s="18"/>
      <c r="AKC77" s="18"/>
      <c r="AKD77" s="18"/>
      <c r="AKE77" s="18"/>
      <c r="AKF77" s="18"/>
      <c r="AKG77" s="18"/>
      <c r="AKH77" s="18"/>
      <c r="AKI77" s="18"/>
      <c r="AKJ77" s="18"/>
      <c r="AKK77" s="18"/>
      <c r="AKL77" s="18"/>
      <c r="AKM77" s="18"/>
      <c r="AKN77" s="18"/>
      <c r="AKO77" s="18"/>
      <c r="AKP77" s="18"/>
      <c r="AKQ77" s="18"/>
      <c r="AKR77" s="18"/>
      <c r="AKS77" s="18"/>
      <c r="AKT77" s="18"/>
      <c r="AKU77" s="18"/>
      <c r="AKV77" s="18"/>
      <c r="AKW77" s="18"/>
      <c r="AKX77" s="18"/>
      <c r="AKY77" s="18"/>
      <c r="AKZ77" s="18"/>
      <c r="ALA77" s="18"/>
      <c r="ALB77" s="18"/>
      <c r="ALC77" s="18"/>
      <c r="ALD77" s="18"/>
      <c r="ALE77" s="18"/>
      <c r="ALF77" s="18"/>
      <c r="ALG77" s="18"/>
      <c r="ALH77" s="18"/>
      <c r="ALI77" s="18"/>
      <c r="ALJ77" s="18"/>
      <c r="ALK77" s="18"/>
      <c r="ALL77" s="18"/>
      <c r="ALM77" s="18"/>
      <c r="ALN77" s="18"/>
      <c r="ALO77" s="18"/>
      <c r="ALP77" s="18"/>
      <c r="ALQ77" s="18"/>
      <c r="ALR77" s="18"/>
      <c r="ALS77" s="18"/>
      <c r="ALT77" s="18"/>
    </row>
    <row r="78" spans="1:1008" s="88" customFormat="1" ht="24" customHeight="1">
      <c r="A78" s="680" t="s">
        <v>6927</v>
      </c>
      <c r="B78" s="680"/>
      <c r="C78" s="680"/>
      <c r="D78" s="680"/>
      <c r="E78" s="680"/>
      <c r="F78" s="680"/>
      <c r="G78" s="680"/>
      <c r="H78" s="680"/>
      <c r="I78" s="680"/>
      <c r="J78" s="281">
        <f>SUM(J74:J77)</f>
        <v>6988.9624499999991</v>
      </c>
      <c r="K78" s="191"/>
      <c r="L78" s="191"/>
      <c r="M78" s="191"/>
      <c r="N78" s="191"/>
      <c r="O78" s="191"/>
      <c r="P78" s="263"/>
    </row>
    <row r="79" spans="1:1008">
      <c r="A79" s="337"/>
      <c r="B79" s="370">
        <v>183</v>
      </c>
      <c r="C79" s="340" t="s">
        <v>592</v>
      </c>
      <c r="D79" s="274"/>
      <c r="E79" s="276"/>
      <c r="F79" s="276"/>
      <c r="G79" s="276"/>
      <c r="H79" s="276"/>
      <c r="I79" s="276"/>
      <c r="J79" s="276"/>
      <c r="K79" s="191"/>
      <c r="L79" s="191"/>
      <c r="M79" s="191"/>
      <c r="N79" s="191"/>
      <c r="O79" s="191"/>
      <c r="P79" s="263"/>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c r="EF79" s="18"/>
      <c r="EG79" s="18"/>
      <c r="EH79" s="18"/>
      <c r="EI79" s="18"/>
      <c r="EJ79" s="18"/>
      <c r="EK79" s="18"/>
      <c r="EL79" s="18"/>
      <c r="EM79" s="18"/>
      <c r="EN79" s="18"/>
      <c r="EO79" s="18"/>
      <c r="EP79" s="18"/>
      <c r="EQ79" s="18"/>
      <c r="ER79" s="18"/>
      <c r="ES79" s="18"/>
      <c r="ET79" s="18"/>
      <c r="EU79" s="18"/>
      <c r="EV79" s="18"/>
      <c r="EW79" s="18"/>
      <c r="EX79" s="18"/>
      <c r="EY79" s="18"/>
      <c r="EZ79" s="18"/>
      <c r="FA79" s="18"/>
      <c r="FB79" s="18"/>
      <c r="FC79" s="18"/>
      <c r="FD79" s="18"/>
      <c r="FE79" s="18"/>
      <c r="FF79" s="18"/>
      <c r="FG79" s="18"/>
      <c r="FH79" s="18"/>
      <c r="FI79" s="18"/>
      <c r="FJ79" s="18"/>
      <c r="FK79" s="18"/>
      <c r="FL79" s="18"/>
      <c r="FM79" s="18"/>
      <c r="FN79" s="18"/>
      <c r="FO79" s="18"/>
      <c r="FP79" s="18"/>
      <c r="FQ79" s="18"/>
      <c r="FR79" s="18"/>
      <c r="FS79" s="18"/>
      <c r="FT79" s="18"/>
      <c r="FU79" s="18"/>
      <c r="FV79" s="18"/>
      <c r="FW79" s="18"/>
      <c r="FX79" s="18"/>
      <c r="FY79" s="18"/>
      <c r="FZ79" s="18"/>
      <c r="GA79" s="18"/>
      <c r="GB79" s="18"/>
      <c r="GC79" s="18"/>
      <c r="GD79" s="18"/>
      <c r="GE79" s="18"/>
      <c r="GF79" s="18"/>
      <c r="GG79" s="18"/>
      <c r="GH79" s="18"/>
      <c r="GI79" s="18"/>
      <c r="GJ79" s="18"/>
      <c r="GK79" s="18"/>
      <c r="GL79" s="18"/>
      <c r="GM79" s="18"/>
      <c r="GN79" s="18"/>
      <c r="GO79" s="18"/>
      <c r="GP79" s="18"/>
      <c r="GQ79" s="18"/>
      <c r="GR79" s="18"/>
      <c r="GS79" s="18"/>
      <c r="GT79" s="18"/>
      <c r="GU79" s="18"/>
      <c r="GV79" s="18"/>
      <c r="GW79" s="18"/>
      <c r="GX79" s="18"/>
      <c r="GY79" s="18"/>
      <c r="GZ79" s="18"/>
      <c r="HA79" s="18"/>
      <c r="HB79" s="18"/>
      <c r="HC79" s="18"/>
      <c r="HD79" s="18"/>
      <c r="HE79" s="18"/>
      <c r="HF79" s="18"/>
      <c r="HG79" s="18"/>
      <c r="HH79" s="18"/>
      <c r="HI79" s="18"/>
      <c r="HJ79" s="18"/>
      <c r="HK79" s="18"/>
      <c r="HL79" s="18"/>
      <c r="HM79" s="18"/>
      <c r="HN79" s="18"/>
      <c r="HO79" s="18"/>
      <c r="HP79" s="18"/>
      <c r="HQ79" s="18"/>
      <c r="HR79" s="18"/>
      <c r="HS79" s="18"/>
      <c r="HT79" s="18"/>
      <c r="HU79" s="18"/>
      <c r="HV79" s="18"/>
      <c r="HW79" s="18"/>
      <c r="HX79" s="18"/>
      <c r="HY79" s="18"/>
      <c r="HZ79" s="18"/>
      <c r="IA79" s="18"/>
      <c r="IB79" s="18"/>
      <c r="IC79" s="18"/>
      <c r="ID79" s="18"/>
      <c r="IE79" s="18"/>
      <c r="IF79" s="18"/>
      <c r="IG79" s="18"/>
      <c r="IH79" s="18"/>
      <c r="II79" s="18"/>
      <c r="IJ79" s="18"/>
      <c r="IK79" s="18"/>
      <c r="IL79" s="18"/>
      <c r="IM79" s="18"/>
      <c r="IN79" s="18"/>
      <c r="IO79" s="18"/>
      <c r="IP79" s="18"/>
      <c r="IQ79" s="18"/>
      <c r="IR79" s="18"/>
      <c r="IS79" s="18"/>
      <c r="IT79" s="18"/>
      <c r="IU79" s="18"/>
      <c r="IV79" s="18"/>
      <c r="IW79" s="18"/>
      <c r="IX79" s="18"/>
      <c r="IY79" s="18"/>
      <c r="IZ79" s="18"/>
      <c r="JA79" s="18"/>
      <c r="JB79" s="18"/>
      <c r="JC79" s="18"/>
      <c r="JD79" s="18"/>
      <c r="JE79" s="18"/>
      <c r="JF79" s="18"/>
      <c r="JG79" s="18"/>
      <c r="JH79" s="18"/>
      <c r="JI79" s="18"/>
      <c r="JJ79" s="18"/>
      <c r="JK79" s="18"/>
      <c r="JL79" s="18"/>
      <c r="JM79" s="18"/>
      <c r="JN79" s="18"/>
      <c r="JO79" s="18"/>
      <c r="JP79" s="18"/>
      <c r="JQ79" s="18"/>
      <c r="JR79" s="18"/>
      <c r="JS79" s="18"/>
      <c r="JT79" s="18"/>
      <c r="JU79" s="18"/>
      <c r="JV79" s="18"/>
      <c r="JW79" s="18"/>
      <c r="JX79" s="18"/>
      <c r="JY79" s="18"/>
      <c r="JZ79" s="18"/>
      <c r="KA79" s="18"/>
      <c r="KB79" s="18"/>
      <c r="KC79" s="18"/>
      <c r="KD79" s="18"/>
      <c r="KE79" s="18"/>
      <c r="KF79" s="18"/>
      <c r="KG79" s="18"/>
      <c r="KH79" s="18"/>
      <c r="KI79" s="18"/>
      <c r="KJ79" s="18"/>
      <c r="KK79" s="18"/>
      <c r="KL79" s="18"/>
      <c r="KM79" s="18"/>
      <c r="KN79" s="18"/>
      <c r="KO79" s="18"/>
      <c r="KP79" s="18"/>
      <c r="KQ79" s="18"/>
      <c r="KR79" s="18"/>
      <c r="KS79" s="18"/>
      <c r="KT79" s="18"/>
      <c r="KU79" s="18"/>
      <c r="KV79" s="18"/>
      <c r="KW79" s="18"/>
      <c r="KX79" s="18"/>
      <c r="KY79" s="18"/>
      <c r="KZ79" s="18"/>
      <c r="LA79" s="18"/>
      <c r="LB79" s="18"/>
      <c r="LC79" s="18"/>
      <c r="LD79" s="18"/>
      <c r="LE79" s="18"/>
      <c r="LF79" s="18"/>
      <c r="LG79" s="18"/>
      <c r="LH79" s="18"/>
      <c r="LI79" s="18"/>
      <c r="LJ79" s="18"/>
      <c r="LK79" s="18"/>
      <c r="LL79" s="18"/>
      <c r="LM79" s="18"/>
      <c r="LN79" s="18"/>
      <c r="LO79" s="18"/>
      <c r="LP79" s="18"/>
      <c r="LQ79" s="18"/>
      <c r="LR79" s="18"/>
      <c r="LS79" s="18"/>
      <c r="LT79" s="18"/>
      <c r="LU79" s="18"/>
      <c r="LV79" s="18"/>
      <c r="LW79" s="18"/>
      <c r="LX79" s="18"/>
      <c r="LY79" s="18"/>
      <c r="LZ79" s="18"/>
      <c r="MA79" s="18"/>
      <c r="MB79" s="18"/>
      <c r="MC79" s="18"/>
      <c r="MD79" s="18"/>
      <c r="ME79" s="18"/>
      <c r="MF79" s="18"/>
      <c r="MG79" s="18"/>
      <c r="MH79" s="18"/>
      <c r="MI79" s="18"/>
      <c r="MJ79" s="18"/>
      <c r="MK79" s="18"/>
      <c r="ML79" s="18"/>
      <c r="MM79" s="18"/>
      <c r="MN79" s="18"/>
      <c r="MO79" s="18"/>
      <c r="MP79" s="18"/>
      <c r="MQ79" s="18"/>
      <c r="MR79" s="18"/>
      <c r="MS79" s="18"/>
      <c r="MT79" s="18"/>
      <c r="MU79" s="18"/>
      <c r="MV79" s="18"/>
      <c r="MW79" s="18"/>
      <c r="MX79" s="18"/>
      <c r="MY79" s="18"/>
      <c r="MZ79" s="18"/>
      <c r="NA79" s="18"/>
      <c r="NB79" s="18"/>
      <c r="NC79" s="18"/>
      <c r="ND79" s="18"/>
      <c r="NE79" s="18"/>
      <c r="NF79" s="18"/>
      <c r="NG79" s="18"/>
      <c r="NH79" s="18"/>
      <c r="NI79" s="18"/>
      <c r="NJ79" s="18"/>
      <c r="NK79" s="18"/>
      <c r="NL79" s="18"/>
      <c r="NM79" s="18"/>
      <c r="NN79" s="18"/>
      <c r="NO79" s="18"/>
      <c r="NP79" s="18"/>
      <c r="NQ79" s="18"/>
      <c r="NR79" s="18"/>
      <c r="NS79" s="18"/>
      <c r="NT79" s="18"/>
      <c r="NU79" s="18"/>
      <c r="NV79" s="18"/>
      <c r="NW79" s="18"/>
      <c r="NX79" s="18"/>
      <c r="NY79" s="18"/>
      <c r="NZ79" s="18"/>
      <c r="OA79" s="18"/>
      <c r="OB79" s="18"/>
      <c r="OC79" s="18"/>
      <c r="OD79" s="18"/>
      <c r="OE79" s="18"/>
      <c r="OF79" s="18"/>
      <c r="OG79" s="18"/>
      <c r="OH79" s="18"/>
      <c r="OI79" s="18"/>
      <c r="OJ79" s="18"/>
      <c r="OK79" s="18"/>
      <c r="OL79" s="18"/>
      <c r="OM79" s="18"/>
      <c r="ON79" s="18"/>
      <c r="OO79" s="18"/>
      <c r="OP79" s="18"/>
      <c r="OQ79" s="18"/>
      <c r="OR79" s="18"/>
      <c r="OS79" s="18"/>
      <c r="OT79" s="18"/>
      <c r="OU79" s="18"/>
      <c r="OV79" s="18"/>
      <c r="OW79" s="18"/>
      <c r="OX79" s="18"/>
      <c r="OY79" s="18"/>
      <c r="OZ79" s="18"/>
      <c r="PA79" s="18"/>
      <c r="PB79" s="18"/>
      <c r="PC79" s="18"/>
      <c r="PD79" s="18"/>
      <c r="PE79" s="18"/>
      <c r="PF79" s="18"/>
      <c r="PG79" s="18"/>
      <c r="PH79" s="18"/>
      <c r="PI79" s="18"/>
      <c r="PJ79" s="18"/>
      <c r="PK79" s="18"/>
      <c r="PL79" s="18"/>
      <c r="PM79" s="18"/>
      <c r="PN79" s="18"/>
      <c r="PO79" s="18"/>
      <c r="PP79" s="18"/>
      <c r="PQ79" s="18"/>
      <c r="PR79" s="18"/>
      <c r="PS79" s="18"/>
      <c r="PT79" s="18"/>
      <c r="PU79" s="18"/>
      <c r="PV79" s="18"/>
      <c r="PW79" s="18"/>
      <c r="PX79" s="18"/>
      <c r="PY79" s="18"/>
      <c r="PZ79" s="18"/>
      <c r="QA79" s="18"/>
      <c r="QB79" s="18"/>
      <c r="QC79" s="18"/>
      <c r="QD79" s="18"/>
      <c r="QE79" s="18"/>
      <c r="QF79" s="18"/>
      <c r="QG79" s="18"/>
      <c r="QH79" s="18"/>
      <c r="QI79" s="18"/>
      <c r="QJ79" s="18"/>
      <c r="QK79" s="18"/>
      <c r="QL79" s="18"/>
      <c r="QM79" s="18"/>
      <c r="QN79" s="18"/>
      <c r="QO79" s="18"/>
      <c r="QP79" s="18"/>
      <c r="QQ79" s="18"/>
      <c r="QR79" s="18"/>
      <c r="QS79" s="18"/>
      <c r="QT79" s="18"/>
      <c r="QU79" s="18"/>
      <c r="QV79" s="18"/>
      <c r="QW79" s="18"/>
      <c r="QX79" s="18"/>
      <c r="QY79" s="18"/>
      <c r="QZ79" s="18"/>
      <c r="RA79" s="18"/>
      <c r="RB79" s="18"/>
      <c r="RC79" s="18"/>
      <c r="RD79" s="18"/>
      <c r="RE79" s="18"/>
      <c r="RF79" s="18"/>
      <c r="RG79" s="18"/>
      <c r="RH79" s="18"/>
      <c r="RI79" s="18"/>
      <c r="RJ79" s="18"/>
      <c r="RK79" s="18"/>
      <c r="RL79" s="18"/>
      <c r="RM79" s="18"/>
      <c r="RN79" s="18"/>
      <c r="RO79" s="18"/>
      <c r="RP79" s="18"/>
      <c r="RQ79" s="18"/>
      <c r="RR79" s="18"/>
      <c r="RS79" s="18"/>
      <c r="RT79" s="18"/>
      <c r="RU79" s="18"/>
      <c r="RV79" s="18"/>
      <c r="RW79" s="18"/>
      <c r="RX79" s="18"/>
      <c r="RY79" s="18"/>
      <c r="RZ79" s="18"/>
      <c r="SA79" s="18"/>
      <c r="SB79" s="18"/>
      <c r="SC79" s="18"/>
      <c r="SD79" s="18"/>
      <c r="SE79" s="18"/>
      <c r="SF79" s="18"/>
      <c r="SG79" s="18"/>
      <c r="SH79" s="18"/>
      <c r="SI79" s="18"/>
      <c r="SJ79" s="18"/>
      <c r="SK79" s="18"/>
      <c r="SL79" s="18"/>
      <c r="SM79" s="18"/>
      <c r="SN79" s="18"/>
      <c r="SO79" s="18"/>
      <c r="SP79" s="18"/>
      <c r="SQ79" s="18"/>
      <c r="SR79" s="18"/>
      <c r="SS79" s="18"/>
      <c r="ST79" s="18"/>
      <c r="SU79" s="18"/>
      <c r="SV79" s="18"/>
      <c r="SW79" s="18"/>
      <c r="SX79" s="18"/>
      <c r="SY79" s="18"/>
      <c r="SZ79" s="18"/>
      <c r="TA79" s="18"/>
      <c r="TB79" s="18"/>
      <c r="TC79" s="18"/>
      <c r="TD79" s="18"/>
      <c r="TE79" s="18"/>
      <c r="TF79" s="18"/>
      <c r="TG79" s="18"/>
      <c r="TH79" s="18"/>
      <c r="TI79" s="18"/>
      <c r="TJ79" s="18"/>
      <c r="TK79" s="18"/>
      <c r="TL79" s="18"/>
      <c r="TM79" s="18"/>
      <c r="TN79" s="18"/>
      <c r="TO79" s="18"/>
      <c r="TP79" s="18"/>
      <c r="TQ79" s="18"/>
      <c r="TR79" s="18"/>
      <c r="TS79" s="18"/>
      <c r="TT79" s="18"/>
      <c r="TU79" s="18"/>
      <c r="TV79" s="18"/>
      <c r="TW79" s="18"/>
      <c r="TX79" s="18"/>
      <c r="TY79" s="18"/>
      <c r="TZ79" s="18"/>
      <c r="UA79" s="18"/>
      <c r="UB79" s="18"/>
      <c r="UC79" s="18"/>
      <c r="UD79" s="18"/>
      <c r="UE79" s="18"/>
      <c r="UF79" s="18"/>
      <c r="UG79" s="18"/>
      <c r="UH79" s="18"/>
      <c r="UI79" s="18"/>
      <c r="UJ79" s="18"/>
      <c r="UK79" s="18"/>
      <c r="UL79" s="18"/>
      <c r="UM79" s="18"/>
      <c r="UN79" s="18"/>
      <c r="UO79" s="18"/>
      <c r="UP79" s="18"/>
      <c r="UQ79" s="18"/>
      <c r="UR79" s="18"/>
      <c r="US79" s="18"/>
      <c r="UT79" s="18"/>
      <c r="UU79" s="18"/>
      <c r="UV79" s="18"/>
      <c r="UW79" s="18"/>
      <c r="UX79" s="18"/>
      <c r="UY79" s="18"/>
      <c r="UZ79" s="18"/>
      <c r="VA79" s="18"/>
      <c r="VB79" s="18"/>
      <c r="VC79" s="18"/>
      <c r="VD79" s="18"/>
      <c r="VE79" s="18"/>
      <c r="VF79" s="18"/>
      <c r="VG79" s="18"/>
      <c r="VH79" s="18"/>
      <c r="VI79" s="18"/>
      <c r="VJ79" s="18"/>
      <c r="VK79" s="18"/>
      <c r="VL79" s="18"/>
      <c r="VM79" s="18"/>
      <c r="VN79" s="18"/>
      <c r="VO79" s="18"/>
      <c r="VP79" s="18"/>
      <c r="VQ79" s="18"/>
      <c r="VR79" s="18"/>
      <c r="VS79" s="18"/>
      <c r="VT79" s="18"/>
      <c r="VU79" s="18"/>
      <c r="VV79" s="18"/>
      <c r="VW79" s="18"/>
      <c r="VX79" s="18"/>
      <c r="VY79" s="18"/>
      <c r="VZ79" s="18"/>
      <c r="WA79" s="18"/>
      <c r="WB79" s="18"/>
      <c r="WC79" s="18"/>
      <c r="WD79" s="18"/>
      <c r="WE79" s="18"/>
      <c r="WF79" s="18"/>
      <c r="WG79" s="18"/>
      <c r="WH79" s="18"/>
      <c r="WI79" s="18"/>
      <c r="WJ79" s="18"/>
      <c r="WK79" s="18"/>
      <c r="WL79" s="18"/>
      <c r="WM79" s="18"/>
      <c r="WN79" s="18"/>
      <c r="WO79" s="18"/>
      <c r="WP79" s="18"/>
      <c r="WQ79" s="18"/>
      <c r="WR79" s="18"/>
      <c r="WS79" s="18"/>
      <c r="WT79" s="18"/>
      <c r="WU79" s="18"/>
      <c r="WV79" s="18"/>
      <c r="WW79" s="18"/>
      <c r="WX79" s="18"/>
      <c r="WY79" s="18"/>
      <c r="WZ79" s="18"/>
      <c r="XA79" s="18"/>
      <c r="XB79" s="18"/>
      <c r="XC79" s="18"/>
      <c r="XD79" s="18"/>
      <c r="XE79" s="18"/>
      <c r="XF79" s="18"/>
      <c r="XG79" s="18"/>
      <c r="XH79" s="18"/>
      <c r="XI79" s="18"/>
      <c r="XJ79" s="18"/>
      <c r="XK79" s="18"/>
      <c r="XL79" s="18"/>
      <c r="XM79" s="18"/>
      <c r="XN79" s="18"/>
      <c r="XO79" s="18"/>
      <c r="XP79" s="18"/>
      <c r="XQ79" s="18"/>
      <c r="XR79" s="18"/>
      <c r="XS79" s="18"/>
      <c r="XT79" s="18"/>
      <c r="XU79" s="18"/>
      <c r="XV79" s="18"/>
      <c r="XW79" s="18"/>
      <c r="XX79" s="18"/>
      <c r="XY79" s="18"/>
      <c r="XZ79" s="18"/>
      <c r="YA79" s="18"/>
      <c r="YB79" s="18"/>
      <c r="YC79" s="18"/>
      <c r="YD79" s="18"/>
      <c r="YE79" s="18"/>
      <c r="YF79" s="18"/>
      <c r="YG79" s="18"/>
      <c r="YH79" s="18"/>
      <c r="YI79" s="18"/>
      <c r="YJ79" s="18"/>
      <c r="YK79" s="18"/>
      <c r="YL79" s="18"/>
      <c r="YM79" s="18"/>
      <c r="YN79" s="18"/>
      <c r="YO79" s="18"/>
      <c r="YP79" s="18"/>
      <c r="YQ79" s="18"/>
      <c r="YR79" s="18"/>
      <c r="YS79" s="18"/>
      <c r="YT79" s="18"/>
      <c r="YU79" s="18"/>
      <c r="YV79" s="18"/>
      <c r="YW79" s="18"/>
      <c r="YX79" s="18"/>
      <c r="YY79" s="18"/>
      <c r="YZ79" s="18"/>
      <c r="ZA79" s="18"/>
      <c r="ZB79" s="18"/>
      <c r="ZC79" s="18"/>
      <c r="ZD79" s="18"/>
      <c r="ZE79" s="18"/>
      <c r="ZF79" s="18"/>
      <c r="ZG79" s="18"/>
      <c r="ZH79" s="18"/>
      <c r="ZI79" s="18"/>
      <c r="ZJ79" s="18"/>
      <c r="ZK79" s="18"/>
      <c r="ZL79" s="18"/>
      <c r="ZM79" s="18"/>
      <c r="ZN79" s="18"/>
      <c r="ZO79" s="18"/>
      <c r="ZP79" s="18"/>
      <c r="ZQ79" s="18"/>
      <c r="ZR79" s="18"/>
      <c r="ZS79" s="18"/>
      <c r="ZT79" s="18"/>
      <c r="ZU79" s="18"/>
      <c r="ZV79" s="18"/>
      <c r="ZW79" s="18"/>
      <c r="ZX79" s="18"/>
      <c r="ZY79" s="18"/>
      <c r="ZZ79" s="18"/>
      <c r="AAA79" s="18"/>
      <c r="AAB79" s="18"/>
      <c r="AAC79" s="18"/>
      <c r="AAD79" s="18"/>
      <c r="AAE79" s="18"/>
      <c r="AAF79" s="18"/>
      <c r="AAG79" s="18"/>
      <c r="AAH79" s="18"/>
      <c r="AAI79" s="18"/>
      <c r="AAJ79" s="18"/>
      <c r="AAK79" s="18"/>
      <c r="AAL79" s="18"/>
      <c r="AAM79" s="18"/>
      <c r="AAN79" s="18"/>
      <c r="AAO79" s="18"/>
      <c r="AAP79" s="18"/>
      <c r="AAQ79" s="18"/>
      <c r="AAR79" s="18"/>
      <c r="AAS79" s="18"/>
      <c r="AAT79" s="18"/>
      <c r="AAU79" s="18"/>
      <c r="AAV79" s="18"/>
      <c r="AAW79" s="18"/>
      <c r="AAX79" s="18"/>
      <c r="AAY79" s="18"/>
      <c r="AAZ79" s="18"/>
      <c r="ABA79" s="18"/>
      <c r="ABB79" s="18"/>
      <c r="ABC79" s="18"/>
      <c r="ABD79" s="18"/>
      <c r="ABE79" s="18"/>
      <c r="ABF79" s="18"/>
      <c r="ABG79" s="18"/>
      <c r="ABH79" s="18"/>
      <c r="ABI79" s="18"/>
      <c r="ABJ79" s="18"/>
      <c r="ABK79" s="18"/>
      <c r="ABL79" s="18"/>
      <c r="ABM79" s="18"/>
      <c r="ABN79" s="18"/>
      <c r="ABO79" s="18"/>
      <c r="ABP79" s="18"/>
      <c r="ABQ79" s="18"/>
      <c r="ABR79" s="18"/>
      <c r="ABS79" s="18"/>
      <c r="ABT79" s="18"/>
      <c r="ABU79" s="18"/>
      <c r="ABV79" s="18"/>
      <c r="ABW79" s="18"/>
      <c r="ABX79" s="18"/>
      <c r="ABY79" s="18"/>
      <c r="ABZ79" s="18"/>
      <c r="ACA79" s="18"/>
      <c r="ACB79" s="18"/>
      <c r="ACC79" s="18"/>
      <c r="ACD79" s="18"/>
      <c r="ACE79" s="18"/>
      <c r="ACF79" s="18"/>
      <c r="ACG79" s="18"/>
      <c r="ACH79" s="18"/>
      <c r="ACI79" s="18"/>
      <c r="ACJ79" s="18"/>
      <c r="ACK79" s="18"/>
      <c r="ACL79" s="18"/>
      <c r="ACM79" s="18"/>
      <c r="ACN79" s="18"/>
      <c r="ACO79" s="18"/>
      <c r="ACP79" s="18"/>
      <c r="ACQ79" s="18"/>
      <c r="ACR79" s="18"/>
      <c r="ACS79" s="18"/>
      <c r="ACT79" s="18"/>
      <c r="ACU79" s="18"/>
      <c r="ACV79" s="18"/>
      <c r="ACW79" s="18"/>
      <c r="ACX79" s="18"/>
      <c r="ACY79" s="18"/>
      <c r="ACZ79" s="18"/>
      <c r="ADA79" s="18"/>
      <c r="ADB79" s="18"/>
      <c r="ADC79" s="18"/>
      <c r="ADD79" s="18"/>
      <c r="ADE79" s="18"/>
      <c r="ADF79" s="18"/>
      <c r="ADG79" s="18"/>
      <c r="ADH79" s="18"/>
      <c r="ADI79" s="18"/>
      <c r="ADJ79" s="18"/>
      <c r="ADK79" s="18"/>
      <c r="ADL79" s="18"/>
      <c r="ADM79" s="18"/>
      <c r="ADN79" s="18"/>
      <c r="ADO79" s="18"/>
      <c r="ADP79" s="18"/>
      <c r="ADQ79" s="18"/>
      <c r="ADR79" s="18"/>
      <c r="ADS79" s="18"/>
      <c r="ADT79" s="18"/>
      <c r="ADU79" s="18"/>
      <c r="ADV79" s="18"/>
      <c r="ADW79" s="18"/>
      <c r="ADX79" s="18"/>
      <c r="ADY79" s="18"/>
      <c r="ADZ79" s="18"/>
      <c r="AEA79" s="18"/>
      <c r="AEB79" s="18"/>
      <c r="AEC79" s="18"/>
      <c r="AED79" s="18"/>
      <c r="AEE79" s="18"/>
      <c r="AEF79" s="18"/>
      <c r="AEG79" s="18"/>
      <c r="AEH79" s="18"/>
      <c r="AEI79" s="18"/>
      <c r="AEJ79" s="18"/>
      <c r="AEK79" s="18"/>
      <c r="AEL79" s="18"/>
      <c r="AEM79" s="18"/>
      <c r="AEN79" s="18"/>
      <c r="AEO79" s="18"/>
      <c r="AEP79" s="18"/>
      <c r="AEQ79" s="18"/>
      <c r="AER79" s="18"/>
      <c r="AES79" s="18"/>
      <c r="AET79" s="18"/>
      <c r="AEU79" s="18"/>
      <c r="AEV79" s="18"/>
      <c r="AEW79" s="18"/>
      <c r="AEX79" s="18"/>
      <c r="AEY79" s="18"/>
      <c r="AEZ79" s="18"/>
      <c r="AFA79" s="18"/>
      <c r="AFB79" s="18"/>
      <c r="AFC79" s="18"/>
      <c r="AFD79" s="18"/>
      <c r="AFE79" s="18"/>
      <c r="AFF79" s="18"/>
      <c r="AFG79" s="18"/>
      <c r="AFH79" s="18"/>
      <c r="AFI79" s="18"/>
      <c r="AFJ79" s="18"/>
      <c r="AFK79" s="18"/>
      <c r="AFL79" s="18"/>
      <c r="AFM79" s="18"/>
      <c r="AFN79" s="18"/>
      <c r="AFO79" s="18"/>
      <c r="AFP79" s="18"/>
      <c r="AFQ79" s="18"/>
      <c r="AFR79" s="18"/>
      <c r="AFS79" s="18"/>
      <c r="AFT79" s="18"/>
      <c r="AFU79" s="18"/>
      <c r="AFV79" s="18"/>
      <c r="AFW79" s="18"/>
      <c r="AFX79" s="18"/>
      <c r="AFY79" s="18"/>
      <c r="AFZ79" s="18"/>
      <c r="AGA79" s="18"/>
      <c r="AGB79" s="18"/>
      <c r="AGC79" s="18"/>
      <c r="AGD79" s="18"/>
      <c r="AGE79" s="18"/>
      <c r="AGF79" s="18"/>
      <c r="AGG79" s="18"/>
      <c r="AGH79" s="18"/>
      <c r="AGI79" s="18"/>
      <c r="AGJ79" s="18"/>
      <c r="AGK79" s="18"/>
      <c r="AGL79" s="18"/>
      <c r="AGM79" s="18"/>
      <c r="AGN79" s="18"/>
      <c r="AGO79" s="18"/>
      <c r="AGP79" s="18"/>
      <c r="AGQ79" s="18"/>
      <c r="AGR79" s="18"/>
      <c r="AGS79" s="18"/>
      <c r="AGT79" s="18"/>
      <c r="AGU79" s="18"/>
      <c r="AGV79" s="18"/>
      <c r="AGW79" s="18"/>
      <c r="AGX79" s="18"/>
      <c r="AGY79" s="18"/>
      <c r="AGZ79" s="18"/>
      <c r="AHA79" s="18"/>
      <c r="AHB79" s="18"/>
      <c r="AHC79" s="18"/>
      <c r="AHD79" s="18"/>
      <c r="AHE79" s="18"/>
      <c r="AHF79" s="18"/>
      <c r="AHG79" s="18"/>
      <c r="AHH79" s="18"/>
      <c r="AHI79" s="18"/>
      <c r="AHJ79" s="18"/>
      <c r="AHK79" s="18"/>
      <c r="AHL79" s="18"/>
      <c r="AHM79" s="18"/>
      <c r="AHN79" s="18"/>
      <c r="AHO79" s="18"/>
      <c r="AHP79" s="18"/>
      <c r="AHQ79" s="18"/>
      <c r="AHR79" s="18"/>
      <c r="AHS79" s="18"/>
      <c r="AHT79" s="18"/>
      <c r="AHU79" s="18"/>
      <c r="AHV79" s="18"/>
      <c r="AHW79" s="18"/>
      <c r="AHX79" s="18"/>
      <c r="AHY79" s="18"/>
      <c r="AHZ79" s="18"/>
      <c r="AIA79" s="18"/>
      <c r="AIB79" s="18"/>
      <c r="AIC79" s="18"/>
      <c r="AID79" s="18"/>
      <c r="AIE79" s="18"/>
      <c r="AIF79" s="18"/>
      <c r="AIG79" s="18"/>
      <c r="AIH79" s="18"/>
      <c r="AII79" s="18"/>
      <c r="AIJ79" s="18"/>
      <c r="AIK79" s="18"/>
      <c r="AIL79" s="18"/>
      <c r="AIM79" s="18"/>
      <c r="AIN79" s="18"/>
      <c r="AIO79" s="18"/>
      <c r="AIP79" s="18"/>
      <c r="AIQ79" s="18"/>
      <c r="AIR79" s="18"/>
      <c r="AIS79" s="18"/>
      <c r="AIT79" s="18"/>
      <c r="AIU79" s="18"/>
      <c r="AIV79" s="18"/>
      <c r="AIW79" s="18"/>
      <c r="AIX79" s="18"/>
      <c r="AIY79" s="18"/>
      <c r="AIZ79" s="18"/>
      <c r="AJA79" s="18"/>
      <c r="AJB79" s="18"/>
      <c r="AJC79" s="18"/>
      <c r="AJD79" s="18"/>
      <c r="AJE79" s="18"/>
      <c r="AJF79" s="18"/>
      <c r="AJG79" s="18"/>
      <c r="AJH79" s="18"/>
      <c r="AJI79" s="18"/>
      <c r="AJJ79" s="18"/>
      <c r="AJK79" s="18"/>
      <c r="AJL79" s="18"/>
      <c r="AJM79" s="18"/>
      <c r="AJN79" s="18"/>
      <c r="AJO79" s="18"/>
      <c r="AJP79" s="18"/>
      <c r="AJQ79" s="18"/>
      <c r="AJR79" s="18"/>
      <c r="AJS79" s="18"/>
      <c r="AJT79" s="18"/>
      <c r="AJU79" s="18"/>
      <c r="AJV79" s="18"/>
      <c r="AJW79" s="18"/>
      <c r="AJX79" s="18"/>
      <c r="AJY79" s="18"/>
      <c r="AJZ79" s="18"/>
      <c r="AKA79" s="18"/>
      <c r="AKB79" s="18"/>
      <c r="AKC79" s="18"/>
      <c r="AKD79" s="18"/>
      <c r="AKE79" s="18"/>
      <c r="AKF79" s="18"/>
      <c r="AKG79" s="18"/>
      <c r="AKH79" s="18"/>
      <c r="AKI79" s="18"/>
      <c r="AKJ79" s="18"/>
      <c r="AKK79" s="18"/>
      <c r="AKL79" s="18"/>
      <c r="AKM79" s="18"/>
      <c r="AKN79" s="18"/>
      <c r="AKO79" s="18"/>
      <c r="AKP79" s="18"/>
      <c r="AKQ79" s="18"/>
      <c r="AKR79" s="18"/>
      <c r="AKS79" s="18"/>
      <c r="AKT79" s="18"/>
      <c r="AKU79" s="18"/>
      <c r="AKV79" s="18"/>
      <c r="AKW79" s="18"/>
      <c r="AKX79" s="18"/>
      <c r="AKY79" s="18"/>
      <c r="AKZ79" s="18"/>
      <c r="ALA79" s="18"/>
      <c r="ALB79" s="18"/>
      <c r="ALC79" s="18"/>
      <c r="ALD79" s="18"/>
      <c r="ALE79" s="18"/>
      <c r="ALF79" s="18"/>
      <c r="ALG79" s="18"/>
      <c r="ALH79" s="18"/>
      <c r="ALI79" s="18"/>
      <c r="ALJ79" s="18"/>
      <c r="ALK79" s="18"/>
      <c r="ALL79" s="18"/>
      <c r="ALM79" s="18"/>
      <c r="ALN79" s="18"/>
      <c r="ALO79" s="18"/>
      <c r="ALP79" s="18"/>
      <c r="ALQ79" s="18"/>
      <c r="ALR79" s="18"/>
      <c r="ALS79" s="18"/>
      <c r="ALT79" s="18"/>
    </row>
    <row r="80" spans="1:1008" ht="36">
      <c r="A80" s="251" t="s">
        <v>7</v>
      </c>
      <c r="B80" s="290">
        <v>87882</v>
      </c>
      <c r="C80" s="278" t="str">
        <f>(IF($A80="SINAPI",INDEX(SINAPI_NOV2020_NDES!$A$7:$H$6703,MATCH($B80,SINAPI_NOV2020_NDES!$A$7:$A$6703,0),2),IF($A80="GOINFRA",INDEX(#REF!,MATCH($B80,#REF!,0),2),(INDEX(COMPOS!$A$4:$G$390,MATCH($B80,COMPOS!$A$4:A$390,0),2)))))</f>
        <v>CHAPISCO APLICADO NO TETO, COM ROLO PARA TEXTURA ACRÍLICA. ARGAMASSA TRAÇO 1:4 E EMULSÃO POLIMÉRICA (ADESIVO) COM PREPARO EM BETONEIRA 400L. AF_06/2014</v>
      </c>
      <c r="D80" s="274" t="str">
        <f>(IF($A80="SINAPI",INDEX(SINAPI_NOV2020_NDES!$A$7:$H$6790,MATCH($B80,SINAPI_NOV2020_NDES!$A$7:$A$6790,0),3),(INDEX(COMPOS!$A$4:$G$5000,MATCH($B80,COMPOS!$A$4:$A$5000,0),3))))</f>
        <v>M2</v>
      </c>
      <c r="E80" s="314">
        <v>50.46</v>
      </c>
      <c r="F80" s="279">
        <f>(IF($A80="SINAPI",INDEX(SINAPI_NOV2020_NDES!$A$7:$H$6703,MATCH($B80,SINAPI_NOV2020_NDES!$A$7:$A$6703,0),5),(INDEX(COMPOS!$A$4:$G$801,MATCH($B80,COMPOS!$A$4:A$801,0),4))))</f>
        <v>0.82</v>
      </c>
      <c r="G80" s="280">
        <f>(IF($A80="SINAPI",INDEX(SINAPI_NOV2020_NDES!$A$7:$H$6703,MATCH($B80,SINAPI_NOV2020_NDES!$A$7:$A$6703,0),6),(INDEX(COMPOS!$A$4:$G$801,MATCH($B80,COMPOS!$A$4:A$801,0),5))))</f>
        <v>3.11</v>
      </c>
      <c r="H80" s="280">
        <f>(IF($A80="SINAPI",INDEX(SINAPI_NOV2020_NDES!$A$7:$H$6703,MATCH($B80,SINAPI_NOV2020_NDES!$A$7:$A$6703,0),7),(INDEX(COMPOS!$A$4:$G$801,MATCH($B80,COMPOS!$A$4:A$801,0),6))))</f>
        <v>0</v>
      </c>
      <c r="I80" s="279">
        <f t="shared" ref="I80" si="26">SUM(F80:H80)</f>
        <v>3.9299999999999997</v>
      </c>
      <c r="J80" s="276">
        <f t="shared" ref="J80" si="27">+I80*E80</f>
        <v>198.30779999999999</v>
      </c>
      <c r="K80" s="191"/>
      <c r="L80" s="191"/>
      <c r="M80" s="191"/>
      <c r="N80" s="191"/>
      <c r="O80" s="262"/>
      <c r="P80" s="263"/>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c r="EF80" s="18"/>
      <c r="EG80" s="18"/>
      <c r="EH80" s="18"/>
      <c r="EI80" s="18"/>
      <c r="EJ80" s="18"/>
      <c r="EK80" s="18"/>
      <c r="EL80" s="18"/>
      <c r="EM80" s="18"/>
      <c r="EN80" s="18"/>
      <c r="EO80" s="18"/>
      <c r="EP80" s="18"/>
      <c r="EQ80" s="18"/>
      <c r="ER80" s="18"/>
      <c r="ES80" s="18"/>
      <c r="ET80" s="18"/>
      <c r="EU80" s="18"/>
      <c r="EV80" s="18"/>
      <c r="EW80" s="18"/>
      <c r="EX80" s="18"/>
      <c r="EY80" s="18"/>
      <c r="EZ80" s="18"/>
      <c r="FA80" s="18"/>
      <c r="FB80" s="18"/>
      <c r="FC80" s="18"/>
      <c r="FD80" s="18"/>
      <c r="FE80" s="18"/>
      <c r="FF80" s="18"/>
      <c r="FG80" s="18"/>
      <c r="FH80" s="18"/>
      <c r="FI80" s="18"/>
      <c r="FJ80" s="18"/>
      <c r="FK80" s="18"/>
      <c r="FL80" s="18"/>
      <c r="FM80" s="18"/>
      <c r="FN80" s="18"/>
      <c r="FO80" s="18"/>
      <c r="FP80" s="18"/>
      <c r="FQ80" s="18"/>
      <c r="FR80" s="18"/>
      <c r="FS80" s="18"/>
      <c r="FT80" s="18"/>
      <c r="FU80" s="18"/>
      <c r="FV80" s="18"/>
      <c r="FW80" s="18"/>
      <c r="FX80" s="18"/>
      <c r="FY80" s="18"/>
      <c r="FZ80" s="18"/>
      <c r="GA80" s="18"/>
      <c r="GB80" s="18"/>
      <c r="GC80" s="18"/>
      <c r="GD80" s="18"/>
      <c r="GE80" s="18"/>
      <c r="GF80" s="18"/>
      <c r="GG80" s="18"/>
      <c r="GH80" s="18"/>
      <c r="GI80" s="18"/>
      <c r="GJ80" s="18"/>
      <c r="GK80" s="18"/>
      <c r="GL80" s="18"/>
      <c r="GM80" s="18"/>
      <c r="GN80" s="18"/>
      <c r="GO80" s="18"/>
      <c r="GP80" s="18"/>
      <c r="GQ80" s="18"/>
      <c r="GR80" s="18"/>
      <c r="GS80" s="18"/>
      <c r="GT80" s="18"/>
      <c r="GU80" s="18"/>
      <c r="GV80" s="18"/>
      <c r="GW80" s="18"/>
      <c r="GX80" s="18"/>
      <c r="GY80" s="18"/>
      <c r="GZ80" s="18"/>
      <c r="HA80" s="18"/>
      <c r="HB80" s="18"/>
      <c r="HC80" s="18"/>
      <c r="HD80" s="18"/>
      <c r="HE80" s="18"/>
      <c r="HF80" s="18"/>
      <c r="HG80" s="18"/>
      <c r="HH80" s="18"/>
      <c r="HI80" s="18"/>
      <c r="HJ80" s="18"/>
      <c r="HK80" s="18"/>
      <c r="HL80" s="18"/>
      <c r="HM80" s="18"/>
      <c r="HN80" s="18"/>
      <c r="HO80" s="18"/>
      <c r="HP80" s="18"/>
      <c r="HQ80" s="18"/>
      <c r="HR80" s="18"/>
      <c r="HS80" s="18"/>
      <c r="HT80" s="18"/>
      <c r="HU80" s="18"/>
      <c r="HV80" s="18"/>
      <c r="HW80" s="18"/>
      <c r="HX80" s="18"/>
      <c r="HY80" s="18"/>
      <c r="HZ80" s="18"/>
      <c r="IA80" s="18"/>
      <c r="IB80" s="18"/>
      <c r="IC80" s="18"/>
      <c r="ID80" s="18"/>
      <c r="IE80" s="18"/>
      <c r="IF80" s="18"/>
      <c r="IG80" s="18"/>
      <c r="IH80" s="18"/>
      <c r="II80" s="18"/>
      <c r="IJ80" s="18"/>
      <c r="IK80" s="18"/>
      <c r="IL80" s="18"/>
      <c r="IM80" s="18"/>
      <c r="IN80" s="18"/>
      <c r="IO80" s="18"/>
      <c r="IP80" s="18"/>
      <c r="IQ80" s="18"/>
      <c r="IR80" s="18"/>
      <c r="IS80" s="18"/>
      <c r="IT80" s="18"/>
      <c r="IU80" s="18"/>
      <c r="IV80" s="18"/>
      <c r="IW80" s="18"/>
      <c r="IX80" s="18"/>
      <c r="IY80" s="18"/>
      <c r="IZ80" s="18"/>
      <c r="JA80" s="18"/>
      <c r="JB80" s="18"/>
      <c r="JC80" s="18"/>
      <c r="JD80" s="18"/>
      <c r="JE80" s="18"/>
      <c r="JF80" s="18"/>
      <c r="JG80" s="18"/>
      <c r="JH80" s="18"/>
      <c r="JI80" s="18"/>
      <c r="JJ80" s="18"/>
      <c r="JK80" s="18"/>
      <c r="JL80" s="18"/>
      <c r="JM80" s="18"/>
      <c r="JN80" s="18"/>
      <c r="JO80" s="18"/>
      <c r="JP80" s="18"/>
      <c r="JQ80" s="18"/>
      <c r="JR80" s="18"/>
      <c r="JS80" s="18"/>
      <c r="JT80" s="18"/>
      <c r="JU80" s="18"/>
      <c r="JV80" s="18"/>
      <c r="JW80" s="18"/>
      <c r="JX80" s="18"/>
      <c r="JY80" s="18"/>
      <c r="JZ80" s="18"/>
      <c r="KA80" s="18"/>
      <c r="KB80" s="18"/>
      <c r="KC80" s="18"/>
      <c r="KD80" s="18"/>
      <c r="KE80" s="18"/>
      <c r="KF80" s="18"/>
      <c r="KG80" s="18"/>
      <c r="KH80" s="18"/>
      <c r="KI80" s="18"/>
      <c r="KJ80" s="18"/>
      <c r="KK80" s="18"/>
      <c r="KL80" s="18"/>
      <c r="KM80" s="18"/>
      <c r="KN80" s="18"/>
      <c r="KO80" s="18"/>
      <c r="KP80" s="18"/>
      <c r="KQ80" s="18"/>
      <c r="KR80" s="18"/>
      <c r="KS80" s="18"/>
      <c r="KT80" s="18"/>
      <c r="KU80" s="18"/>
      <c r="KV80" s="18"/>
      <c r="KW80" s="18"/>
      <c r="KX80" s="18"/>
      <c r="KY80" s="18"/>
      <c r="KZ80" s="18"/>
      <c r="LA80" s="18"/>
      <c r="LB80" s="18"/>
      <c r="LC80" s="18"/>
      <c r="LD80" s="18"/>
      <c r="LE80" s="18"/>
      <c r="LF80" s="18"/>
      <c r="LG80" s="18"/>
      <c r="LH80" s="18"/>
      <c r="LI80" s="18"/>
      <c r="LJ80" s="18"/>
      <c r="LK80" s="18"/>
      <c r="LL80" s="18"/>
      <c r="LM80" s="18"/>
      <c r="LN80" s="18"/>
      <c r="LO80" s="18"/>
      <c r="LP80" s="18"/>
      <c r="LQ80" s="18"/>
      <c r="LR80" s="18"/>
      <c r="LS80" s="18"/>
      <c r="LT80" s="18"/>
      <c r="LU80" s="18"/>
      <c r="LV80" s="18"/>
      <c r="LW80" s="18"/>
      <c r="LX80" s="18"/>
      <c r="LY80" s="18"/>
      <c r="LZ80" s="18"/>
      <c r="MA80" s="18"/>
      <c r="MB80" s="18"/>
      <c r="MC80" s="18"/>
      <c r="MD80" s="18"/>
      <c r="ME80" s="18"/>
      <c r="MF80" s="18"/>
      <c r="MG80" s="18"/>
      <c r="MH80" s="18"/>
      <c r="MI80" s="18"/>
      <c r="MJ80" s="18"/>
      <c r="MK80" s="18"/>
      <c r="ML80" s="18"/>
      <c r="MM80" s="18"/>
      <c r="MN80" s="18"/>
      <c r="MO80" s="18"/>
      <c r="MP80" s="18"/>
      <c r="MQ80" s="18"/>
      <c r="MR80" s="18"/>
      <c r="MS80" s="18"/>
      <c r="MT80" s="18"/>
      <c r="MU80" s="18"/>
      <c r="MV80" s="18"/>
      <c r="MW80" s="18"/>
      <c r="MX80" s="18"/>
      <c r="MY80" s="18"/>
      <c r="MZ80" s="18"/>
      <c r="NA80" s="18"/>
      <c r="NB80" s="18"/>
      <c r="NC80" s="18"/>
      <c r="ND80" s="18"/>
      <c r="NE80" s="18"/>
      <c r="NF80" s="18"/>
      <c r="NG80" s="18"/>
      <c r="NH80" s="18"/>
      <c r="NI80" s="18"/>
      <c r="NJ80" s="18"/>
      <c r="NK80" s="18"/>
      <c r="NL80" s="18"/>
      <c r="NM80" s="18"/>
      <c r="NN80" s="18"/>
      <c r="NO80" s="18"/>
      <c r="NP80" s="18"/>
      <c r="NQ80" s="18"/>
      <c r="NR80" s="18"/>
      <c r="NS80" s="18"/>
      <c r="NT80" s="18"/>
      <c r="NU80" s="18"/>
      <c r="NV80" s="18"/>
      <c r="NW80" s="18"/>
      <c r="NX80" s="18"/>
      <c r="NY80" s="18"/>
      <c r="NZ80" s="18"/>
      <c r="OA80" s="18"/>
      <c r="OB80" s="18"/>
      <c r="OC80" s="18"/>
      <c r="OD80" s="18"/>
      <c r="OE80" s="18"/>
      <c r="OF80" s="18"/>
      <c r="OG80" s="18"/>
      <c r="OH80" s="18"/>
      <c r="OI80" s="18"/>
      <c r="OJ80" s="18"/>
      <c r="OK80" s="18"/>
      <c r="OL80" s="18"/>
      <c r="OM80" s="18"/>
      <c r="ON80" s="18"/>
      <c r="OO80" s="18"/>
      <c r="OP80" s="18"/>
      <c r="OQ80" s="18"/>
      <c r="OR80" s="18"/>
      <c r="OS80" s="18"/>
      <c r="OT80" s="18"/>
      <c r="OU80" s="18"/>
      <c r="OV80" s="18"/>
      <c r="OW80" s="18"/>
      <c r="OX80" s="18"/>
      <c r="OY80" s="18"/>
      <c r="OZ80" s="18"/>
      <c r="PA80" s="18"/>
      <c r="PB80" s="18"/>
      <c r="PC80" s="18"/>
      <c r="PD80" s="18"/>
      <c r="PE80" s="18"/>
      <c r="PF80" s="18"/>
      <c r="PG80" s="18"/>
      <c r="PH80" s="18"/>
      <c r="PI80" s="18"/>
      <c r="PJ80" s="18"/>
      <c r="PK80" s="18"/>
      <c r="PL80" s="18"/>
      <c r="PM80" s="18"/>
      <c r="PN80" s="18"/>
      <c r="PO80" s="18"/>
      <c r="PP80" s="18"/>
      <c r="PQ80" s="18"/>
      <c r="PR80" s="18"/>
      <c r="PS80" s="18"/>
      <c r="PT80" s="18"/>
      <c r="PU80" s="18"/>
      <c r="PV80" s="18"/>
      <c r="PW80" s="18"/>
      <c r="PX80" s="18"/>
      <c r="PY80" s="18"/>
      <c r="PZ80" s="18"/>
      <c r="QA80" s="18"/>
      <c r="QB80" s="18"/>
      <c r="QC80" s="18"/>
      <c r="QD80" s="18"/>
      <c r="QE80" s="18"/>
      <c r="QF80" s="18"/>
      <c r="QG80" s="18"/>
      <c r="QH80" s="18"/>
      <c r="QI80" s="18"/>
      <c r="QJ80" s="18"/>
      <c r="QK80" s="18"/>
      <c r="QL80" s="18"/>
      <c r="QM80" s="18"/>
      <c r="QN80" s="18"/>
      <c r="QO80" s="18"/>
      <c r="QP80" s="18"/>
      <c r="QQ80" s="18"/>
      <c r="QR80" s="18"/>
      <c r="QS80" s="18"/>
      <c r="QT80" s="18"/>
      <c r="QU80" s="18"/>
      <c r="QV80" s="18"/>
      <c r="QW80" s="18"/>
      <c r="QX80" s="18"/>
      <c r="QY80" s="18"/>
      <c r="QZ80" s="18"/>
      <c r="RA80" s="18"/>
      <c r="RB80" s="18"/>
      <c r="RC80" s="18"/>
      <c r="RD80" s="18"/>
      <c r="RE80" s="18"/>
      <c r="RF80" s="18"/>
      <c r="RG80" s="18"/>
      <c r="RH80" s="18"/>
      <c r="RI80" s="18"/>
      <c r="RJ80" s="18"/>
      <c r="RK80" s="18"/>
      <c r="RL80" s="18"/>
      <c r="RM80" s="18"/>
      <c r="RN80" s="18"/>
      <c r="RO80" s="18"/>
      <c r="RP80" s="18"/>
      <c r="RQ80" s="18"/>
      <c r="RR80" s="18"/>
      <c r="RS80" s="18"/>
      <c r="RT80" s="18"/>
      <c r="RU80" s="18"/>
      <c r="RV80" s="18"/>
      <c r="RW80" s="18"/>
      <c r="RX80" s="18"/>
      <c r="RY80" s="18"/>
      <c r="RZ80" s="18"/>
      <c r="SA80" s="18"/>
      <c r="SB80" s="18"/>
      <c r="SC80" s="18"/>
      <c r="SD80" s="18"/>
      <c r="SE80" s="18"/>
      <c r="SF80" s="18"/>
      <c r="SG80" s="18"/>
      <c r="SH80" s="18"/>
      <c r="SI80" s="18"/>
      <c r="SJ80" s="18"/>
      <c r="SK80" s="18"/>
      <c r="SL80" s="18"/>
      <c r="SM80" s="18"/>
      <c r="SN80" s="18"/>
      <c r="SO80" s="18"/>
      <c r="SP80" s="18"/>
      <c r="SQ80" s="18"/>
      <c r="SR80" s="18"/>
      <c r="SS80" s="18"/>
      <c r="ST80" s="18"/>
      <c r="SU80" s="18"/>
      <c r="SV80" s="18"/>
      <c r="SW80" s="18"/>
      <c r="SX80" s="18"/>
      <c r="SY80" s="18"/>
      <c r="SZ80" s="18"/>
      <c r="TA80" s="18"/>
      <c r="TB80" s="18"/>
      <c r="TC80" s="18"/>
      <c r="TD80" s="18"/>
      <c r="TE80" s="18"/>
      <c r="TF80" s="18"/>
      <c r="TG80" s="18"/>
      <c r="TH80" s="18"/>
      <c r="TI80" s="18"/>
      <c r="TJ80" s="18"/>
      <c r="TK80" s="18"/>
      <c r="TL80" s="18"/>
      <c r="TM80" s="18"/>
      <c r="TN80" s="18"/>
      <c r="TO80" s="18"/>
      <c r="TP80" s="18"/>
      <c r="TQ80" s="18"/>
      <c r="TR80" s="18"/>
      <c r="TS80" s="18"/>
      <c r="TT80" s="18"/>
      <c r="TU80" s="18"/>
      <c r="TV80" s="18"/>
      <c r="TW80" s="18"/>
      <c r="TX80" s="18"/>
      <c r="TY80" s="18"/>
      <c r="TZ80" s="18"/>
      <c r="UA80" s="18"/>
      <c r="UB80" s="18"/>
      <c r="UC80" s="18"/>
      <c r="UD80" s="18"/>
      <c r="UE80" s="18"/>
      <c r="UF80" s="18"/>
      <c r="UG80" s="18"/>
      <c r="UH80" s="18"/>
      <c r="UI80" s="18"/>
      <c r="UJ80" s="18"/>
      <c r="UK80" s="18"/>
      <c r="UL80" s="18"/>
      <c r="UM80" s="18"/>
      <c r="UN80" s="18"/>
      <c r="UO80" s="18"/>
      <c r="UP80" s="18"/>
      <c r="UQ80" s="18"/>
      <c r="UR80" s="18"/>
      <c r="US80" s="18"/>
      <c r="UT80" s="18"/>
      <c r="UU80" s="18"/>
      <c r="UV80" s="18"/>
      <c r="UW80" s="18"/>
      <c r="UX80" s="18"/>
      <c r="UY80" s="18"/>
      <c r="UZ80" s="18"/>
      <c r="VA80" s="18"/>
      <c r="VB80" s="18"/>
      <c r="VC80" s="18"/>
      <c r="VD80" s="18"/>
      <c r="VE80" s="18"/>
      <c r="VF80" s="18"/>
      <c r="VG80" s="18"/>
      <c r="VH80" s="18"/>
      <c r="VI80" s="18"/>
      <c r="VJ80" s="18"/>
      <c r="VK80" s="18"/>
      <c r="VL80" s="18"/>
      <c r="VM80" s="18"/>
      <c r="VN80" s="18"/>
      <c r="VO80" s="18"/>
      <c r="VP80" s="18"/>
      <c r="VQ80" s="18"/>
      <c r="VR80" s="18"/>
      <c r="VS80" s="18"/>
      <c r="VT80" s="18"/>
      <c r="VU80" s="18"/>
      <c r="VV80" s="18"/>
      <c r="VW80" s="18"/>
      <c r="VX80" s="18"/>
      <c r="VY80" s="18"/>
      <c r="VZ80" s="18"/>
      <c r="WA80" s="18"/>
      <c r="WB80" s="18"/>
      <c r="WC80" s="18"/>
      <c r="WD80" s="18"/>
      <c r="WE80" s="18"/>
      <c r="WF80" s="18"/>
      <c r="WG80" s="18"/>
      <c r="WH80" s="18"/>
      <c r="WI80" s="18"/>
      <c r="WJ80" s="18"/>
      <c r="WK80" s="18"/>
      <c r="WL80" s="18"/>
      <c r="WM80" s="18"/>
      <c r="WN80" s="18"/>
      <c r="WO80" s="18"/>
      <c r="WP80" s="18"/>
      <c r="WQ80" s="18"/>
      <c r="WR80" s="18"/>
      <c r="WS80" s="18"/>
      <c r="WT80" s="18"/>
      <c r="WU80" s="18"/>
      <c r="WV80" s="18"/>
      <c r="WW80" s="18"/>
      <c r="WX80" s="18"/>
      <c r="WY80" s="18"/>
      <c r="WZ80" s="18"/>
      <c r="XA80" s="18"/>
      <c r="XB80" s="18"/>
      <c r="XC80" s="18"/>
      <c r="XD80" s="18"/>
      <c r="XE80" s="18"/>
      <c r="XF80" s="18"/>
      <c r="XG80" s="18"/>
      <c r="XH80" s="18"/>
      <c r="XI80" s="18"/>
      <c r="XJ80" s="18"/>
      <c r="XK80" s="18"/>
      <c r="XL80" s="18"/>
      <c r="XM80" s="18"/>
      <c r="XN80" s="18"/>
      <c r="XO80" s="18"/>
      <c r="XP80" s="18"/>
      <c r="XQ80" s="18"/>
      <c r="XR80" s="18"/>
      <c r="XS80" s="18"/>
      <c r="XT80" s="18"/>
      <c r="XU80" s="18"/>
      <c r="XV80" s="18"/>
      <c r="XW80" s="18"/>
      <c r="XX80" s="18"/>
      <c r="XY80" s="18"/>
      <c r="XZ80" s="18"/>
      <c r="YA80" s="18"/>
      <c r="YB80" s="18"/>
      <c r="YC80" s="18"/>
      <c r="YD80" s="18"/>
      <c r="YE80" s="18"/>
      <c r="YF80" s="18"/>
      <c r="YG80" s="18"/>
      <c r="YH80" s="18"/>
      <c r="YI80" s="18"/>
      <c r="YJ80" s="18"/>
      <c r="YK80" s="18"/>
      <c r="YL80" s="18"/>
      <c r="YM80" s="18"/>
      <c r="YN80" s="18"/>
      <c r="YO80" s="18"/>
      <c r="YP80" s="18"/>
      <c r="YQ80" s="18"/>
      <c r="YR80" s="18"/>
      <c r="YS80" s="18"/>
      <c r="YT80" s="18"/>
      <c r="YU80" s="18"/>
      <c r="YV80" s="18"/>
      <c r="YW80" s="18"/>
      <c r="YX80" s="18"/>
      <c r="YY80" s="18"/>
      <c r="YZ80" s="18"/>
      <c r="ZA80" s="18"/>
      <c r="ZB80" s="18"/>
      <c r="ZC80" s="18"/>
      <c r="ZD80" s="18"/>
      <c r="ZE80" s="18"/>
      <c r="ZF80" s="18"/>
      <c r="ZG80" s="18"/>
      <c r="ZH80" s="18"/>
      <c r="ZI80" s="18"/>
      <c r="ZJ80" s="18"/>
      <c r="ZK80" s="18"/>
      <c r="ZL80" s="18"/>
      <c r="ZM80" s="18"/>
      <c r="ZN80" s="18"/>
      <c r="ZO80" s="18"/>
      <c r="ZP80" s="18"/>
      <c r="ZQ80" s="18"/>
      <c r="ZR80" s="18"/>
      <c r="ZS80" s="18"/>
      <c r="ZT80" s="18"/>
      <c r="ZU80" s="18"/>
      <c r="ZV80" s="18"/>
      <c r="ZW80" s="18"/>
      <c r="ZX80" s="18"/>
      <c r="ZY80" s="18"/>
      <c r="ZZ80" s="18"/>
      <c r="AAA80" s="18"/>
      <c r="AAB80" s="18"/>
      <c r="AAC80" s="18"/>
      <c r="AAD80" s="18"/>
      <c r="AAE80" s="18"/>
      <c r="AAF80" s="18"/>
      <c r="AAG80" s="18"/>
      <c r="AAH80" s="18"/>
      <c r="AAI80" s="18"/>
      <c r="AAJ80" s="18"/>
      <c r="AAK80" s="18"/>
      <c r="AAL80" s="18"/>
      <c r="AAM80" s="18"/>
      <c r="AAN80" s="18"/>
      <c r="AAO80" s="18"/>
      <c r="AAP80" s="18"/>
      <c r="AAQ80" s="18"/>
      <c r="AAR80" s="18"/>
      <c r="AAS80" s="18"/>
      <c r="AAT80" s="18"/>
      <c r="AAU80" s="18"/>
      <c r="AAV80" s="18"/>
      <c r="AAW80" s="18"/>
      <c r="AAX80" s="18"/>
      <c r="AAY80" s="18"/>
      <c r="AAZ80" s="18"/>
      <c r="ABA80" s="18"/>
      <c r="ABB80" s="18"/>
      <c r="ABC80" s="18"/>
      <c r="ABD80" s="18"/>
      <c r="ABE80" s="18"/>
      <c r="ABF80" s="18"/>
      <c r="ABG80" s="18"/>
      <c r="ABH80" s="18"/>
      <c r="ABI80" s="18"/>
      <c r="ABJ80" s="18"/>
      <c r="ABK80" s="18"/>
      <c r="ABL80" s="18"/>
      <c r="ABM80" s="18"/>
      <c r="ABN80" s="18"/>
      <c r="ABO80" s="18"/>
      <c r="ABP80" s="18"/>
      <c r="ABQ80" s="18"/>
      <c r="ABR80" s="18"/>
      <c r="ABS80" s="18"/>
      <c r="ABT80" s="18"/>
      <c r="ABU80" s="18"/>
      <c r="ABV80" s="18"/>
      <c r="ABW80" s="18"/>
      <c r="ABX80" s="18"/>
      <c r="ABY80" s="18"/>
      <c r="ABZ80" s="18"/>
      <c r="ACA80" s="18"/>
      <c r="ACB80" s="18"/>
      <c r="ACC80" s="18"/>
      <c r="ACD80" s="18"/>
      <c r="ACE80" s="18"/>
      <c r="ACF80" s="18"/>
      <c r="ACG80" s="18"/>
      <c r="ACH80" s="18"/>
      <c r="ACI80" s="18"/>
      <c r="ACJ80" s="18"/>
      <c r="ACK80" s="18"/>
      <c r="ACL80" s="18"/>
      <c r="ACM80" s="18"/>
      <c r="ACN80" s="18"/>
      <c r="ACO80" s="18"/>
      <c r="ACP80" s="18"/>
      <c r="ACQ80" s="18"/>
      <c r="ACR80" s="18"/>
      <c r="ACS80" s="18"/>
      <c r="ACT80" s="18"/>
      <c r="ACU80" s="18"/>
      <c r="ACV80" s="18"/>
      <c r="ACW80" s="18"/>
      <c r="ACX80" s="18"/>
      <c r="ACY80" s="18"/>
      <c r="ACZ80" s="18"/>
      <c r="ADA80" s="18"/>
      <c r="ADB80" s="18"/>
      <c r="ADC80" s="18"/>
      <c r="ADD80" s="18"/>
      <c r="ADE80" s="18"/>
      <c r="ADF80" s="18"/>
      <c r="ADG80" s="18"/>
      <c r="ADH80" s="18"/>
      <c r="ADI80" s="18"/>
      <c r="ADJ80" s="18"/>
      <c r="ADK80" s="18"/>
      <c r="ADL80" s="18"/>
      <c r="ADM80" s="18"/>
      <c r="ADN80" s="18"/>
      <c r="ADO80" s="18"/>
      <c r="ADP80" s="18"/>
      <c r="ADQ80" s="18"/>
      <c r="ADR80" s="18"/>
      <c r="ADS80" s="18"/>
      <c r="ADT80" s="18"/>
      <c r="ADU80" s="18"/>
      <c r="ADV80" s="18"/>
      <c r="ADW80" s="18"/>
      <c r="ADX80" s="18"/>
      <c r="ADY80" s="18"/>
      <c r="ADZ80" s="18"/>
      <c r="AEA80" s="18"/>
      <c r="AEB80" s="18"/>
      <c r="AEC80" s="18"/>
      <c r="AED80" s="18"/>
      <c r="AEE80" s="18"/>
      <c r="AEF80" s="18"/>
      <c r="AEG80" s="18"/>
      <c r="AEH80" s="18"/>
      <c r="AEI80" s="18"/>
      <c r="AEJ80" s="18"/>
      <c r="AEK80" s="18"/>
      <c r="AEL80" s="18"/>
      <c r="AEM80" s="18"/>
      <c r="AEN80" s="18"/>
      <c r="AEO80" s="18"/>
      <c r="AEP80" s="18"/>
      <c r="AEQ80" s="18"/>
      <c r="AER80" s="18"/>
      <c r="AES80" s="18"/>
      <c r="AET80" s="18"/>
      <c r="AEU80" s="18"/>
      <c r="AEV80" s="18"/>
      <c r="AEW80" s="18"/>
      <c r="AEX80" s="18"/>
      <c r="AEY80" s="18"/>
      <c r="AEZ80" s="18"/>
      <c r="AFA80" s="18"/>
      <c r="AFB80" s="18"/>
      <c r="AFC80" s="18"/>
      <c r="AFD80" s="18"/>
      <c r="AFE80" s="18"/>
      <c r="AFF80" s="18"/>
      <c r="AFG80" s="18"/>
      <c r="AFH80" s="18"/>
      <c r="AFI80" s="18"/>
      <c r="AFJ80" s="18"/>
      <c r="AFK80" s="18"/>
      <c r="AFL80" s="18"/>
      <c r="AFM80" s="18"/>
      <c r="AFN80" s="18"/>
      <c r="AFO80" s="18"/>
      <c r="AFP80" s="18"/>
      <c r="AFQ80" s="18"/>
      <c r="AFR80" s="18"/>
      <c r="AFS80" s="18"/>
      <c r="AFT80" s="18"/>
      <c r="AFU80" s="18"/>
      <c r="AFV80" s="18"/>
      <c r="AFW80" s="18"/>
      <c r="AFX80" s="18"/>
      <c r="AFY80" s="18"/>
      <c r="AFZ80" s="18"/>
      <c r="AGA80" s="18"/>
      <c r="AGB80" s="18"/>
      <c r="AGC80" s="18"/>
      <c r="AGD80" s="18"/>
      <c r="AGE80" s="18"/>
      <c r="AGF80" s="18"/>
      <c r="AGG80" s="18"/>
      <c r="AGH80" s="18"/>
      <c r="AGI80" s="18"/>
      <c r="AGJ80" s="18"/>
      <c r="AGK80" s="18"/>
      <c r="AGL80" s="18"/>
      <c r="AGM80" s="18"/>
      <c r="AGN80" s="18"/>
      <c r="AGO80" s="18"/>
      <c r="AGP80" s="18"/>
      <c r="AGQ80" s="18"/>
      <c r="AGR80" s="18"/>
      <c r="AGS80" s="18"/>
      <c r="AGT80" s="18"/>
      <c r="AGU80" s="18"/>
      <c r="AGV80" s="18"/>
      <c r="AGW80" s="18"/>
      <c r="AGX80" s="18"/>
      <c r="AGY80" s="18"/>
      <c r="AGZ80" s="18"/>
      <c r="AHA80" s="18"/>
      <c r="AHB80" s="18"/>
      <c r="AHC80" s="18"/>
      <c r="AHD80" s="18"/>
      <c r="AHE80" s="18"/>
      <c r="AHF80" s="18"/>
      <c r="AHG80" s="18"/>
      <c r="AHH80" s="18"/>
      <c r="AHI80" s="18"/>
      <c r="AHJ80" s="18"/>
      <c r="AHK80" s="18"/>
      <c r="AHL80" s="18"/>
      <c r="AHM80" s="18"/>
      <c r="AHN80" s="18"/>
      <c r="AHO80" s="18"/>
      <c r="AHP80" s="18"/>
      <c r="AHQ80" s="18"/>
      <c r="AHR80" s="18"/>
      <c r="AHS80" s="18"/>
      <c r="AHT80" s="18"/>
      <c r="AHU80" s="18"/>
      <c r="AHV80" s="18"/>
      <c r="AHW80" s="18"/>
      <c r="AHX80" s="18"/>
      <c r="AHY80" s="18"/>
      <c r="AHZ80" s="18"/>
      <c r="AIA80" s="18"/>
      <c r="AIB80" s="18"/>
      <c r="AIC80" s="18"/>
      <c r="AID80" s="18"/>
      <c r="AIE80" s="18"/>
      <c r="AIF80" s="18"/>
      <c r="AIG80" s="18"/>
      <c r="AIH80" s="18"/>
      <c r="AII80" s="18"/>
      <c r="AIJ80" s="18"/>
      <c r="AIK80" s="18"/>
      <c r="AIL80" s="18"/>
      <c r="AIM80" s="18"/>
      <c r="AIN80" s="18"/>
      <c r="AIO80" s="18"/>
      <c r="AIP80" s="18"/>
      <c r="AIQ80" s="18"/>
      <c r="AIR80" s="18"/>
      <c r="AIS80" s="18"/>
      <c r="AIT80" s="18"/>
      <c r="AIU80" s="18"/>
      <c r="AIV80" s="18"/>
      <c r="AIW80" s="18"/>
      <c r="AIX80" s="18"/>
      <c r="AIY80" s="18"/>
      <c r="AIZ80" s="18"/>
      <c r="AJA80" s="18"/>
      <c r="AJB80" s="18"/>
      <c r="AJC80" s="18"/>
      <c r="AJD80" s="18"/>
      <c r="AJE80" s="18"/>
      <c r="AJF80" s="18"/>
      <c r="AJG80" s="18"/>
      <c r="AJH80" s="18"/>
      <c r="AJI80" s="18"/>
      <c r="AJJ80" s="18"/>
      <c r="AJK80" s="18"/>
      <c r="AJL80" s="18"/>
      <c r="AJM80" s="18"/>
      <c r="AJN80" s="18"/>
      <c r="AJO80" s="18"/>
      <c r="AJP80" s="18"/>
      <c r="AJQ80" s="18"/>
      <c r="AJR80" s="18"/>
      <c r="AJS80" s="18"/>
      <c r="AJT80" s="18"/>
      <c r="AJU80" s="18"/>
      <c r="AJV80" s="18"/>
      <c r="AJW80" s="18"/>
      <c r="AJX80" s="18"/>
      <c r="AJY80" s="18"/>
      <c r="AJZ80" s="18"/>
      <c r="AKA80" s="18"/>
      <c r="AKB80" s="18"/>
      <c r="AKC80" s="18"/>
      <c r="AKD80" s="18"/>
      <c r="AKE80" s="18"/>
      <c r="AKF80" s="18"/>
      <c r="AKG80" s="18"/>
      <c r="AKH80" s="18"/>
      <c r="AKI80" s="18"/>
      <c r="AKJ80" s="18"/>
      <c r="AKK80" s="18"/>
      <c r="AKL80" s="18"/>
      <c r="AKM80" s="18"/>
      <c r="AKN80" s="18"/>
      <c r="AKO80" s="18"/>
      <c r="AKP80" s="18"/>
      <c r="AKQ80" s="18"/>
      <c r="AKR80" s="18"/>
      <c r="AKS80" s="18"/>
      <c r="AKT80" s="18"/>
      <c r="AKU80" s="18"/>
      <c r="AKV80" s="18"/>
      <c r="AKW80" s="18"/>
      <c r="AKX80" s="18"/>
      <c r="AKY80" s="18"/>
      <c r="AKZ80" s="18"/>
      <c r="ALA80" s="18"/>
      <c r="ALB80" s="18"/>
      <c r="ALC80" s="18"/>
      <c r="ALD80" s="18"/>
      <c r="ALE80" s="18"/>
      <c r="ALF80" s="18"/>
      <c r="ALG80" s="18"/>
      <c r="ALH80" s="18"/>
      <c r="ALI80" s="18"/>
      <c r="ALJ80" s="18"/>
      <c r="ALK80" s="18"/>
      <c r="ALL80" s="18"/>
      <c r="ALM80" s="18"/>
      <c r="ALN80" s="18"/>
      <c r="ALO80" s="18"/>
      <c r="ALP80" s="18"/>
      <c r="ALQ80" s="18"/>
      <c r="ALR80" s="18"/>
      <c r="ALS80" s="18"/>
      <c r="ALT80" s="18"/>
    </row>
    <row r="81" spans="1:1008" ht="36">
      <c r="A81" s="251" t="s">
        <v>7</v>
      </c>
      <c r="B81" s="290">
        <v>90406</v>
      </c>
      <c r="C81" s="278" t="str">
        <f>(IF($A81="SINAPI",INDEX(SINAPI_NOV2020_NDES!$A$7:$H$6703,MATCH($B81,SINAPI_NOV2020_NDES!$A$7:$A$6703,0),2),IF($A81="GOINFRA",INDEX(#REF!,MATCH($B81,#REF!,0),2),(INDEX(COMPOS!$A$4:$G$390,MATCH($B81,COMPOS!$A$4:A$390,0),2)))))</f>
        <v>MASSA ÚNICA, PARA RECEBIMENTO DE PINTURA, EM ARGAMASSA TRAÇO 1:2:8, PREPARO MECÂNICO COM BETONEIRA 400L, APLICADA MANUALMENTE EM TETO, ESPESSURA DE 20MM, COM EXECUÇÃO DE TALISCAS. AF_03/2015</v>
      </c>
      <c r="D81" s="274" t="str">
        <f>(IF($A81="SINAPI",INDEX(SINAPI_NOV2020_NDES!$A$7:$H$6790,MATCH($B81,SINAPI_NOV2020_NDES!$A$7:$A$6790,0),3),(INDEX(COMPOS!$A$4:$G$5000,MATCH($B81,COMPOS!$A$4:$A$5000,0),3))))</f>
        <v>M2</v>
      </c>
      <c r="E81" s="314">
        <v>50.46</v>
      </c>
      <c r="F81" s="279">
        <f>(IF($A81="SINAPI",INDEX(SINAPI_NOV2020_NDES!$A$7:$H$6703,MATCH($B81,SINAPI_NOV2020_NDES!$A$7:$A$6703,0),5),(INDEX(COMPOS!$A$4:$G$801,MATCH($B81,COMPOS!$A$4:A$801,0),4))))</f>
        <v>20.13</v>
      </c>
      <c r="G81" s="280">
        <f>(IF($A81="SINAPI",INDEX(SINAPI_NOV2020_NDES!$A$7:$H$6703,MATCH($B81,SINAPI_NOV2020_NDES!$A$7:$A$6703,0),6),(INDEX(COMPOS!$A$4:$G$801,MATCH($B81,COMPOS!$A$4:A$801,0),5))))</f>
        <v>19.45</v>
      </c>
      <c r="H81" s="280">
        <f>(IF($A81="SINAPI",INDEX(SINAPI_NOV2020_NDES!$A$7:$H$6703,MATCH($B81,SINAPI_NOV2020_NDES!$A$7:$A$6703,0),7),(INDEX(COMPOS!$A$4:$G$801,MATCH($B81,COMPOS!$A$4:A$801,0),6))))</f>
        <v>0.03</v>
      </c>
      <c r="I81" s="279">
        <f t="shared" ref="I81" si="28">SUM(F81:H81)</f>
        <v>39.61</v>
      </c>
      <c r="J81" s="276">
        <f t="shared" ref="J81" si="29">+I81*E81</f>
        <v>1998.7206000000001</v>
      </c>
      <c r="K81" s="191"/>
      <c r="L81" s="191"/>
      <c r="M81" s="191"/>
      <c r="N81" s="191"/>
      <c r="O81" s="262"/>
      <c r="P81" s="263"/>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c r="EF81" s="18"/>
      <c r="EG81" s="18"/>
      <c r="EH81" s="18"/>
      <c r="EI81" s="18"/>
      <c r="EJ81" s="18"/>
      <c r="EK81" s="18"/>
      <c r="EL81" s="18"/>
      <c r="EM81" s="18"/>
      <c r="EN81" s="18"/>
      <c r="EO81" s="18"/>
      <c r="EP81" s="18"/>
      <c r="EQ81" s="18"/>
      <c r="ER81" s="18"/>
      <c r="ES81" s="18"/>
      <c r="ET81" s="18"/>
      <c r="EU81" s="18"/>
      <c r="EV81" s="18"/>
      <c r="EW81" s="18"/>
      <c r="EX81" s="18"/>
      <c r="EY81" s="18"/>
      <c r="EZ81" s="18"/>
      <c r="FA81" s="18"/>
      <c r="FB81" s="18"/>
      <c r="FC81" s="18"/>
      <c r="FD81" s="18"/>
      <c r="FE81" s="18"/>
      <c r="FF81" s="18"/>
      <c r="FG81" s="18"/>
      <c r="FH81" s="18"/>
      <c r="FI81" s="18"/>
      <c r="FJ81" s="18"/>
      <c r="FK81" s="18"/>
      <c r="FL81" s="18"/>
      <c r="FM81" s="18"/>
      <c r="FN81" s="18"/>
      <c r="FO81" s="18"/>
      <c r="FP81" s="18"/>
      <c r="FQ81" s="18"/>
      <c r="FR81" s="18"/>
      <c r="FS81" s="18"/>
      <c r="FT81" s="18"/>
      <c r="FU81" s="18"/>
      <c r="FV81" s="18"/>
      <c r="FW81" s="18"/>
      <c r="FX81" s="18"/>
      <c r="FY81" s="18"/>
      <c r="FZ81" s="18"/>
      <c r="GA81" s="18"/>
      <c r="GB81" s="18"/>
      <c r="GC81" s="18"/>
      <c r="GD81" s="18"/>
      <c r="GE81" s="18"/>
      <c r="GF81" s="18"/>
      <c r="GG81" s="18"/>
      <c r="GH81" s="18"/>
      <c r="GI81" s="18"/>
      <c r="GJ81" s="18"/>
      <c r="GK81" s="18"/>
      <c r="GL81" s="18"/>
      <c r="GM81" s="18"/>
      <c r="GN81" s="18"/>
      <c r="GO81" s="18"/>
      <c r="GP81" s="18"/>
      <c r="GQ81" s="18"/>
      <c r="GR81" s="18"/>
      <c r="GS81" s="18"/>
      <c r="GT81" s="18"/>
      <c r="GU81" s="18"/>
      <c r="GV81" s="18"/>
      <c r="GW81" s="18"/>
      <c r="GX81" s="18"/>
      <c r="GY81" s="18"/>
      <c r="GZ81" s="18"/>
      <c r="HA81" s="18"/>
      <c r="HB81" s="18"/>
      <c r="HC81" s="18"/>
      <c r="HD81" s="18"/>
      <c r="HE81" s="18"/>
      <c r="HF81" s="18"/>
      <c r="HG81" s="18"/>
      <c r="HH81" s="18"/>
      <c r="HI81" s="18"/>
      <c r="HJ81" s="18"/>
      <c r="HK81" s="18"/>
      <c r="HL81" s="18"/>
      <c r="HM81" s="18"/>
      <c r="HN81" s="18"/>
      <c r="HO81" s="18"/>
      <c r="HP81" s="18"/>
      <c r="HQ81" s="18"/>
      <c r="HR81" s="18"/>
      <c r="HS81" s="18"/>
      <c r="HT81" s="18"/>
      <c r="HU81" s="18"/>
      <c r="HV81" s="18"/>
      <c r="HW81" s="18"/>
      <c r="HX81" s="18"/>
      <c r="HY81" s="18"/>
      <c r="HZ81" s="18"/>
      <c r="IA81" s="18"/>
      <c r="IB81" s="18"/>
      <c r="IC81" s="18"/>
      <c r="ID81" s="18"/>
      <c r="IE81" s="18"/>
      <c r="IF81" s="18"/>
      <c r="IG81" s="18"/>
      <c r="IH81" s="18"/>
      <c r="II81" s="18"/>
      <c r="IJ81" s="18"/>
      <c r="IK81" s="18"/>
      <c r="IL81" s="18"/>
      <c r="IM81" s="18"/>
      <c r="IN81" s="18"/>
      <c r="IO81" s="18"/>
      <c r="IP81" s="18"/>
      <c r="IQ81" s="18"/>
      <c r="IR81" s="18"/>
      <c r="IS81" s="18"/>
      <c r="IT81" s="18"/>
      <c r="IU81" s="18"/>
      <c r="IV81" s="18"/>
      <c r="IW81" s="18"/>
      <c r="IX81" s="18"/>
      <c r="IY81" s="18"/>
      <c r="IZ81" s="18"/>
      <c r="JA81" s="18"/>
      <c r="JB81" s="18"/>
      <c r="JC81" s="18"/>
      <c r="JD81" s="18"/>
      <c r="JE81" s="18"/>
      <c r="JF81" s="18"/>
      <c r="JG81" s="18"/>
      <c r="JH81" s="18"/>
      <c r="JI81" s="18"/>
      <c r="JJ81" s="18"/>
      <c r="JK81" s="18"/>
      <c r="JL81" s="18"/>
      <c r="JM81" s="18"/>
      <c r="JN81" s="18"/>
      <c r="JO81" s="18"/>
      <c r="JP81" s="18"/>
      <c r="JQ81" s="18"/>
      <c r="JR81" s="18"/>
      <c r="JS81" s="18"/>
      <c r="JT81" s="18"/>
      <c r="JU81" s="18"/>
      <c r="JV81" s="18"/>
      <c r="JW81" s="18"/>
      <c r="JX81" s="18"/>
      <c r="JY81" s="18"/>
      <c r="JZ81" s="18"/>
      <c r="KA81" s="18"/>
      <c r="KB81" s="18"/>
      <c r="KC81" s="18"/>
      <c r="KD81" s="18"/>
      <c r="KE81" s="18"/>
      <c r="KF81" s="18"/>
      <c r="KG81" s="18"/>
      <c r="KH81" s="18"/>
      <c r="KI81" s="18"/>
      <c r="KJ81" s="18"/>
      <c r="KK81" s="18"/>
      <c r="KL81" s="18"/>
      <c r="KM81" s="18"/>
      <c r="KN81" s="18"/>
      <c r="KO81" s="18"/>
      <c r="KP81" s="18"/>
      <c r="KQ81" s="18"/>
      <c r="KR81" s="18"/>
      <c r="KS81" s="18"/>
      <c r="KT81" s="18"/>
      <c r="KU81" s="18"/>
      <c r="KV81" s="18"/>
      <c r="KW81" s="18"/>
      <c r="KX81" s="18"/>
      <c r="KY81" s="18"/>
      <c r="KZ81" s="18"/>
      <c r="LA81" s="18"/>
      <c r="LB81" s="18"/>
      <c r="LC81" s="18"/>
      <c r="LD81" s="18"/>
      <c r="LE81" s="18"/>
      <c r="LF81" s="18"/>
      <c r="LG81" s="18"/>
      <c r="LH81" s="18"/>
      <c r="LI81" s="18"/>
      <c r="LJ81" s="18"/>
      <c r="LK81" s="18"/>
      <c r="LL81" s="18"/>
      <c r="LM81" s="18"/>
      <c r="LN81" s="18"/>
      <c r="LO81" s="18"/>
      <c r="LP81" s="18"/>
      <c r="LQ81" s="18"/>
      <c r="LR81" s="18"/>
      <c r="LS81" s="18"/>
      <c r="LT81" s="18"/>
      <c r="LU81" s="18"/>
      <c r="LV81" s="18"/>
      <c r="LW81" s="18"/>
      <c r="LX81" s="18"/>
      <c r="LY81" s="18"/>
      <c r="LZ81" s="18"/>
      <c r="MA81" s="18"/>
      <c r="MB81" s="18"/>
      <c r="MC81" s="18"/>
      <c r="MD81" s="18"/>
      <c r="ME81" s="18"/>
      <c r="MF81" s="18"/>
      <c r="MG81" s="18"/>
      <c r="MH81" s="18"/>
      <c r="MI81" s="18"/>
      <c r="MJ81" s="18"/>
      <c r="MK81" s="18"/>
      <c r="ML81" s="18"/>
      <c r="MM81" s="18"/>
      <c r="MN81" s="18"/>
      <c r="MO81" s="18"/>
      <c r="MP81" s="18"/>
      <c r="MQ81" s="18"/>
      <c r="MR81" s="18"/>
      <c r="MS81" s="18"/>
      <c r="MT81" s="18"/>
      <c r="MU81" s="18"/>
      <c r="MV81" s="18"/>
      <c r="MW81" s="18"/>
      <c r="MX81" s="18"/>
      <c r="MY81" s="18"/>
      <c r="MZ81" s="18"/>
      <c r="NA81" s="18"/>
      <c r="NB81" s="18"/>
      <c r="NC81" s="18"/>
      <c r="ND81" s="18"/>
      <c r="NE81" s="18"/>
      <c r="NF81" s="18"/>
      <c r="NG81" s="18"/>
      <c r="NH81" s="18"/>
      <c r="NI81" s="18"/>
      <c r="NJ81" s="18"/>
      <c r="NK81" s="18"/>
      <c r="NL81" s="18"/>
      <c r="NM81" s="18"/>
      <c r="NN81" s="18"/>
      <c r="NO81" s="18"/>
      <c r="NP81" s="18"/>
      <c r="NQ81" s="18"/>
      <c r="NR81" s="18"/>
      <c r="NS81" s="18"/>
      <c r="NT81" s="18"/>
      <c r="NU81" s="18"/>
      <c r="NV81" s="18"/>
      <c r="NW81" s="18"/>
      <c r="NX81" s="18"/>
      <c r="NY81" s="18"/>
      <c r="NZ81" s="18"/>
      <c r="OA81" s="18"/>
      <c r="OB81" s="18"/>
      <c r="OC81" s="18"/>
      <c r="OD81" s="18"/>
      <c r="OE81" s="18"/>
      <c r="OF81" s="18"/>
      <c r="OG81" s="18"/>
      <c r="OH81" s="18"/>
      <c r="OI81" s="18"/>
      <c r="OJ81" s="18"/>
      <c r="OK81" s="18"/>
      <c r="OL81" s="18"/>
      <c r="OM81" s="18"/>
      <c r="ON81" s="18"/>
      <c r="OO81" s="18"/>
      <c r="OP81" s="18"/>
      <c r="OQ81" s="18"/>
      <c r="OR81" s="18"/>
      <c r="OS81" s="18"/>
      <c r="OT81" s="18"/>
      <c r="OU81" s="18"/>
      <c r="OV81" s="18"/>
      <c r="OW81" s="18"/>
      <c r="OX81" s="18"/>
      <c r="OY81" s="18"/>
      <c r="OZ81" s="18"/>
      <c r="PA81" s="18"/>
      <c r="PB81" s="18"/>
      <c r="PC81" s="18"/>
      <c r="PD81" s="18"/>
      <c r="PE81" s="18"/>
      <c r="PF81" s="18"/>
      <c r="PG81" s="18"/>
      <c r="PH81" s="18"/>
      <c r="PI81" s="18"/>
      <c r="PJ81" s="18"/>
      <c r="PK81" s="18"/>
      <c r="PL81" s="18"/>
      <c r="PM81" s="18"/>
      <c r="PN81" s="18"/>
      <c r="PO81" s="18"/>
      <c r="PP81" s="18"/>
      <c r="PQ81" s="18"/>
      <c r="PR81" s="18"/>
      <c r="PS81" s="18"/>
      <c r="PT81" s="18"/>
      <c r="PU81" s="18"/>
      <c r="PV81" s="18"/>
      <c r="PW81" s="18"/>
      <c r="PX81" s="18"/>
      <c r="PY81" s="18"/>
      <c r="PZ81" s="18"/>
      <c r="QA81" s="18"/>
      <c r="QB81" s="18"/>
      <c r="QC81" s="18"/>
      <c r="QD81" s="18"/>
      <c r="QE81" s="18"/>
      <c r="QF81" s="18"/>
      <c r="QG81" s="18"/>
      <c r="QH81" s="18"/>
      <c r="QI81" s="18"/>
      <c r="QJ81" s="18"/>
      <c r="QK81" s="18"/>
      <c r="QL81" s="18"/>
      <c r="QM81" s="18"/>
      <c r="QN81" s="18"/>
      <c r="QO81" s="18"/>
      <c r="QP81" s="18"/>
      <c r="QQ81" s="18"/>
      <c r="QR81" s="18"/>
      <c r="QS81" s="18"/>
      <c r="QT81" s="18"/>
      <c r="QU81" s="18"/>
      <c r="QV81" s="18"/>
      <c r="QW81" s="18"/>
      <c r="QX81" s="18"/>
      <c r="QY81" s="18"/>
      <c r="QZ81" s="18"/>
      <c r="RA81" s="18"/>
      <c r="RB81" s="18"/>
      <c r="RC81" s="18"/>
      <c r="RD81" s="18"/>
      <c r="RE81" s="18"/>
      <c r="RF81" s="18"/>
      <c r="RG81" s="18"/>
      <c r="RH81" s="18"/>
      <c r="RI81" s="18"/>
      <c r="RJ81" s="18"/>
      <c r="RK81" s="18"/>
      <c r="RL81" s="18"/>
      <c r="RM81" s="18"/>
      <c r="RN81" s="18"/>
      <c r="RO81" s="18"/>
      <c r="RP81" s="18"/>
      <c r="RQ81" s="18"/>
      <c r="RR81" s="18"/>
      <c r="RS81" s="18"/>
      <c r="RT81" s="18"/>
      <c r="RU81" s="18"/>
      <c r="RV81" s="18"/>
      <c r="RW81" s="18"/>
      <c r="RX81" s="18"/>
      <c r="RY81" s="18"/>
      <c r="RZ81" s="18"/>
      <c r="SA81" s="18"/>
      <c r="SB81" s="18"/>
      <c r="SC81" s="18"/>
      <c r="SD81" s="18"/>
      <c r="SE81" s="18"/>
      <c r="SF81" s="18"/>
      <c r="SG81" s="18"/>
      <c r="SH81" s="18"/>
      <c r="SI81" s="18"/>
      <c r="SJ81" s="18"/>
      <c r="SK81" s="18"/>
      <c r="SL81" s="18"/>
      <c r="SM81" s="18"/>
      <c r="SN81" s="18"/>
      <c r="SO81" s="18"/>
      <c r="SP81" s="18"/>
      <c r="SQ81" s="18"/>
      <c r="SR81" s="18"/>
      <c r="SS81" s="18"/>
      <c r="ST81" s="18"/>
      <c r="SU81" s="18"/>
      <c r="SV81" s="18"/>
      <c r="SW81" s="18"/>
      <c r="SX81" s="18"/>
      <c r="SY81" s="18"/>
      <c r="SZ81" s="18"/>
      <c r="TA81" s="18"/>
      <c r="TB81" s="18"/>
      <c r="TC81" s="18"/>
      <c r="TD81" s="18"/>
      <c r="TE81" s="18"/>
      <c r="TF81" s="18"/>
      <c r="TG81" s="18"/>
      <c r="TH81" s="18"/>
      <c r="TI81" s="18"/>
      <c r="TJ81" s="18"/>
      <c r="TK81" s="18"/>
      <c r="TL81" s="18"/>
      <c r="TM81" s="18"/>
      <c r="TN81" s="18"/>
      <c r="TO81" s="18"/>
      <c r="TP81" s="18"/>
      <c r="TQ81" s="18"/>
      <c r="TR81" s="18"/>
      <c r="TS81" s="18"/>
      <c r="TT81" s="18"/>
      <c r="TU81" s="18"/>
      <c r="TV81" s="18"/>
      <c r="TW81" s="18"/>
      <c r="TX81" s="18"/>
      <c r="TY81" s="18"/>
      <c r="TZ81" s="18"/>
      <c r="UA81" s="18"/>
      <c r="UB81" s="18"/>
      <c r="UC81" s="18"/>
      <c r="UD81" s="18"/>
      <c r="UE81" s="18"/>
      <c r="UF81" s="18"/>
      <c r="UG81" s="18"/>
      <c r="UH81" s="18"/>
      <c r="UI81" s="18"/>
      <c r="UJ81" s="18"/>
      <c r="UK81" s="18"/>
      <c r="UL81" s="18"/>
      <c r="UM81" s="18"/>
      <c r="UN81" s="18"/>
      <c r="UO81" s="18"/>
      <c r="UP81" s="18"/>
      <c r="UQ81" s="18"/>
      <c r="UR81" s="18"/>
      <c r="US81" s="18"/>
      <c r="UT81" s="18"/>
      <c r="UU81" s="18"/>
      <c r="UV81" s="18"/>
      <c r="UW81" s="18"/>
      <c r="UX81" s="18"/>
      <c r="UY81" s="18"/>
      <c r="UZ81" s="18"/>
      <c r="VA81" s="18"/>
      <c r="VB81" s="18"/>
      <c r="VC81" s="18"/>
      <c r="VD81" s="18"/>
      <c r="VE81" s="18"/>
      <c r="VF81" s="18"/>
      <c r="VG81" s="18"/>
      <c r="VH81" s="18"/>
      <c r="VI81" s="18"/>
      <c r="VJ81" s="18"/>
      <c r="VK81" s="18"/>
      <c r="VL81" s="18"/>
      <c r="VM81" s="18"/>
      <c r="VN81" s="18"/>
      <c r="VO81" s="18"/>
      <c r="VP81" s="18"/>
      <c r="VQ81" s="18"/>
      <c r="VR81" s="18"/>
      <c r="VS81" s="18"/>
      <c r="VT81" s="18"/>
      <c r="VU81" s="18"/>
      <c r="VV81" s="18"/>
      <c r="VW81" s="18"/>
      <c r="VX81" s="18"/>
      <c r="VY81" s="18"/>
      <c r="VZ81" s="18"/>
      <c r="WA81" s="18"/>
      <c r="WB81" s="18"/>
      <c r="WC81" s="18"/>
      <c r="WD81" s="18"/>
      <c r="WE81" s="18"/>
      <c r="WF81" s="18"/>
      <c r="WG81" s="18"/>
      <c r="WH81" s="18"/>
      <c r="WI81" s="18"/>
      <c r="WJ81" s="18"/>
      <c r="WK81" s="18"/>
      <c r="WL81" s="18"/>
      <c r="WM81" s="18"/>
      <c r="WN81" s="18"/>
      <c r="WO81" s="18"/>
      <c r="WP81" s="18"/>
      <c r="WQ81" s="18"/>
      <c r="WR81" s="18"/>
      <c r="WS81" s="18"/>
      <c r="WT81" s="18"/>
      <c r="WU81" s="18"/>
      <c r="WV81" s="18"/>
      <c r="WW81" s="18"/>
      <c r="WX81" s="18"/>
      <c r="WY81" s="18"/>
      <c r="WZ81" s="18"/>
      <c r="XA81" s="18"/>
      <c r="XB81" s="18"/>
      <c r="XC81" s="18"/>
      <c r="XD81" s="18"/>
      <c r="XE81" s="18"/>
      <c r="XF81" s="18"/>
      <c r="XG81" s="18"/>
      <c r="XH81" s="18"/>
      <c r="XI81" s="18"/>
      <c r="XJ81" s="18"/>
      <c r="XK81" s="18"/>
      <c r="XL81" s="18"/>
      <c r="XM81" s="18"/>
      <c r="XN81" s="18"/>
      <c r="XO81" s="18"/>
      <c r="XP81" s="18"/>
      <c r="XQ81" s="18"/>
      <c r="XR81" s="18"/>
      <c r="XS81" s="18"/>
      <c r="XT81" s="18"/>
      <c r="XU81" s="18"/>
      <c r="XV81" s="18"/>
      <c r="XW81" s="18"/>
      <c r="XX81" s="18"/>
      <c r="XY81" s="18"/>
      <c r="XZ81" s="18"/>
      <c r="YA81" s="18"/>
      <c r="YB81" s="18"/>
      <c r="YC81" s="18"/>
      <c r="YD81" s="18"/>
      <c r="YE81" s="18"/>
      <c r="YF81" s="18"/>
      <c r="YG81" s="18"/>
      <c r="YH81" s="18"/>
      <c r="YI81" s="18"/>
      <c r="YJ81" s="18"/>
      <c r="YK81" s="18"/>
      <c r="YL81" s="18"/>
      <c r="YM81" s="18"/>
      <c r="YN81" s="18"/>
      <c r="YO81" s="18"/>
      <c r="YP81" s="18"/>
      <c r="YQ81" s="18"/>
      <c r="YR81" s="18"/>
      <c r="YS81" s="18"/>
      <c r="YT81" s="18"/>
      <c r="YU81" s="18"/>
      <c r="YV81" s="18"/>
      <c r="YW81" s="18"/>
      <c r="YX81" s="18"/>
      <c r="YY81" s="18"/>
      <c r="YZ81" s="18"/>
      <c r="ZA81" s="18"/>
      <c r="ZB81" s="18"/>
      <c r="ZC81" s="18"/>
      <c r="ZD81" s="18"/>
      <c r="ZE81" s="18"/>
      <c r="ZF81" s="18"/>
      <c r="ZG81" s="18"/>
      <c r="ZH81" s="18"/>
      <c r="ZI81" s="18"/>
      <c r="ZJ81" s="18"/>
      <c r="ZK81" s="18"/>
      <c r="ZL81" s="18"/>
      <c r="ZM81" s="18"/>
      <c r="ZN81" s="18"/>
      <c r="ZO81" s="18"/>
      <c r="ZP81" s="18"/>
      <c r="ZQ81" s="18"/>
      <c r="ZR81" s="18"/>
      <c r="ZS81" s="18"/>
      <c r="ZT81" s="18"/>
      <c r="ZU81" s="18"/>
      <c r="ZV81" s="18"/>
      <c r="ZW81" s="18"/>
      <c r="ZX81" s="18"/>
      <c r="ZY81" s="18"/>
      <c r="ZZ81" s="18"/>
      <c r="AAA81" s="18"/>
      <c r="AAB81" s="18"/>
      <c r="AAC81" s="18"/>
      <c r="AAD81" s="18"/>
      <c r="AAE81" s="18"/>
      <c r="AAF81" s="18"/>
      <c r="AAG81" s="18"/>
      <c r="AAH81" s="18"/>
      <c r="AAI81" s="18"/>
      <c r="AAJ81" s="18"/>
      <c r="AAK81" s="18"/>
      <c r="AAL81" s="18"/>
      <c r="AAM81" s="18"/>
      <c r="AAN81" s="18"/>
      <c r="AAO81" s="18"/>
      <c r="AAP81" s="18"/>
      <c r="AAQ81" s="18"/>
      <c r="AAR81" s="18"/>
      <c r="AAS81" s="18"/>
      <c r="AAT81" s="18"/>
      <c r="AAU81" s="18"/>
      <c r="AAV81" s="18"/>
      <c r="AAW81" s="18"/>
      <c r="AAX81" s="18"/>
      <c r="AAY81" s="18"/>
      <c r="AAZ81" s="18"/>
      <c r="ABA81" s="18"/>
      <c r="ABB81" s="18"/>
      <c r="ABC81" s="18"/>
      <c r="ABD81" s="18"/>
      <c r="ABE81" s="18"/>
      <c r="ABF81" s="18"/>
      <c r="ABG81" s="18"/>
      <c r="ABH81" s="18"/>
      <c r="ABI81" s="18"/>
      <c r="ABJ81" s="18"/>
      <c r="ABK81" s="18"/>
      <c r="ABL81" s="18"/>
      <c r="ABM81" s="18"/>
      <c r="ABN81" s="18"/>
      <c r="ABO81" s="18"/>
      <c r="ABP81" s="18"/>
      <c r="ABQ81" s="18"/>
      <c r="ABR81" s="18"/>
      <c r="ABS81" s="18"/>
      <c r="ABT81" s="18"/>
      <c r="ABU81" s="18"/>
      <c r="ABV81" s="18"/>
      <c r="ABW81" s="18"/>
      <c r="ABX81" s="18"/>
      <c r="ABY81" s="18"/>
      <c r="ABZ81" s="18"/>
      <c r="ACA81" s="18"/>
      <c r="ACB81" s="18"/>
      <c r="ACC81" s="18"/>
      <c r="ACD81" s="18"/>
      <c r="ACE81" s="18"/>
      <c r="ACF81" s="18"/>
      <c r="ACG81" s="18"/>
      <c r="ACH81" s="18"/>
      <c r="ACI81" s="18"/>
      <c r="ACJ81" s="18"/>
      <c r="ACK81" s="18"/>
      <c r="ACL81" s="18"/>
      <c r="ACM81" s="18"/>
      <c r="ACN81" s="18"/>
      <c r="ACO81" s="18"/>
      <c r="ACP81" s="18"/>
      <c r="ACQ81" s="18"/>
      <c r="ACR81" s="18"/>
      <c r="ACS81" s="18"/>
      <c r="ACT81" s="18"/>
      <c r="ACU81" s="18"/>
      <c r="ACV81" s="18"/>
      <c r="ACW81" s="18"/>
      <c r="ACX81" s="18"/>
      <c r="ACY81" s="18"/>
      <c r="ACZ81" s="18"/>
      <c r="ADA81" s="18"/>
      <c r="ADB81" s="18"/>
      <c r="ADC81" s="18"/>
      <c r="ADD81" s="18"/>
      <c r="ADE81" s="18"/>
      <c r="ADF81" s="18"/>
      <c r="ADG81" s="18"/>
      <c r="ADH81" s="18"/>
      <c r="ADI81" s="18"/>
      <c r="ADJ81" s="18"/>
      <c r="ADK81" s="18"/>
      <c r="ADL81" s="18"/>
      <c r="ADM81" s="18"/>
      <c r="ADN81" s="18"/>
      <c r="ADO81" s="18"/>
      <c r="ADP81" s="18"/>
      <c r="ADQ81" s="18"/>
      <c r="ADR81" s="18"/>
      <c r="ADS81" s="18"/>
      <c r="ADT81" s="18"/>
      <c r="ADU81" s="18"/>
      <c r="ADV81" s="18"/>
      <c r="ADW81" s="18"/>
      <c r="ADX81" s="18"/>
      <c r="ADY81" s="18"/>
      <c r="ADZ81" s="18"/>
      <c r="AEA81" s="18"/>
      <c r="AEB81" s="18"/>
      <c r="AEC81" s="18"/>
      <c r="AED81" s="18"/>
      <c r="AEE81" s="18"/>
      <c r="AEF81" s="18"/>
      <c r="AEG81" s="18"/>
      <c r="AEH81" s="18"/>
      <c r="AEI81" s="18"/>
      <c r="AEJ81" s="18"/>
      <c r="AEK81" s="18"/>
      <c r="AEL81" s="18"/>
      <c r="AEM81" s="18"/>
      <c r="AEN81" s="18"/>
      <c r="AEO81" s="18"/>
      <c r="AEP81" s="18"/>
      <c r="AEQ81" s="18"/>
      <c r="AER81" s="18"/>
      <c r="AES81" s="18"/>
      <c r="AET81" s="18"/>
      <c r="AEU81" s="18"/>
      <c r="AEV81" s="18"/>
      <c r="AEW81" s="18"/>
      <c r="AEX81" s="18"/>
      <c r="AEY81" s="18"/>
      <c r="AEZ81" s="18"/>
      <c r="AFA81" s="18"/>
      <c r="AFB81" s="18"/>
      <c r="AFC81" s="18"/>
      <c r="AFD81" s="18"/>
      <c r="AFE81" s="18"/>
      <c r="AFF81" s="18"/>
      <c r="AFG81" s="18"/>
      <c r="AFH81" s="18"/>
      <c r="AFI81" s="18"/>
      <c r="AFJ81" s="18"/>
      <c r="AFK81" s="18"/>
      <c r="AFL81" s="18"/>
      <c r="AFM81" s="18"/>
      <c r="AFN81" s="18"/>
      <c r="AFO81" s="18"/>
      <c r="AFP81" s="18"/>
      <c r="AFQ81" s="18"/>
      <c r="AFR81" s="18"/>
      <c r="AFS81" s="18"/>
      <c r="AFT81" s="18"/>
      <c r="AFU81" s="18"/>
      <c r="AFV81" s="18"/>
      <c r="AFW81" s="18"/>
      <c r="AFX81" s="18"/>
      <c r="AFY81" s="18"/>
      <c r="AFZ81" s="18"/>
      <c r="AGA81" s="18"/>
      <c r="AGB81" s="18"/>
      <c r="AGC81" s="18"/>
      <c r="AGD81" s="18"/>
      <c r="AGE81" s="18"/>
      <c r="AGF81" s="18"/>
      <c r="AGG81" s="18"/>
      <c r="AGH81" s="18"/>
      <c r="AGI81" s="18"/>
      <c r="AGJ81" s="18"/>
      <c r="AGK81" s="18"/>
      <c r="AGL81" s="18"/>
      <c r="AGM81" s="18"/>
      <c r="AGN81" s="18"/>
      <c r="AGO81" s="18"/>
      <c r="AGP81" s="18"/>
      <c r="AGQ81" s="18"/>
      <c r="AGR81" s="18"/>
      <c r="AGS81" s="18"/>
      <c r="AGT81" s="18"/>
      <c r="AGU81" s="18"/>
      <c r="AGV81" s="18"/>
      <c r="AGW81" s="18"/>
      <c r="AGX81" s="18"/>
      <c r="AGY81" s="18"/>
      <c r="AGZ81" s="18"/>
      <c r="AHA81" s="18"/>
      <c r="AHB81" s="18"/>
      <c r="AHC81" s="18"/>
      <c r="AHD81" s="18"/>
      <c r="AHE81" s="18"/>
      <c r="AHF81" s="18"/>
      <c r="AHG81" s="18"/>
      <c r="AHH81" s="18"/>
      <c r="AHI81" s="18"/>
      <c r="AHJ81" s="18"/>
      <c r="AHK81" s="18"/>
      <c r="AHL81" s="18"/>
      <c r="AHM81" s="18"/>
      <c r="AHN81" s="18"/>
      <c r="AHO81" s="18"/>
      <c r="AHP81" s="18"/>
      <c r="AHQ81" s="18"/>
      <c r="AHR81" s="18"/>
      <c r="AHS81" s="18"/>
      <c r="AHT81" s="18"/>
      <c r="AHU81" s="18"/>
      <c r="AHV81" s="18"/>
      <c r="AHW81" s="18"/>
      <c r="AHX81" s="18"/>
      <c r="AHY81" s="18"/>
      <c r="AHZ81" s="18"/>
      <c r="AIA81" s="18"/>
      <c r="AIB81" s="18"/>
      <c r="AIC81" s="18"/>
      <c r="AID81" s="18"/>
      <c r="AIE81" s="18"/>
      <c r="AIF81" s="18"/>
      <c r="AIG81" s="18"/>
      <c r="AIH81" s="18"/>
      <c r="AII81" s="18"/>
      <c r="AIJ81" s="18"/>
      <c r="AIK81" s="18"/>
      <c r="AIL81" s="18"/>
      <c r="AIM81" s="18"/>
      <c r="AIN81" s="18"/>
      <c r="AIO81" s="18"/>
      <c r="AIP81" s="18"/>
      <c r="AIQ81" s="18"/>
      <c r="AIR81" s="18"/>
      <c r="AIS81" s="18"/>
      <c r="AIT81" s="18"/>
      <c r="AIU81" s="18"/>
      <c r="AIV81" s="18"/>
      <c r="AIW81" s="18"/>
      <c r="AIX81" s="18"/>
      <c r="AIY81" s="18"/>
      <c r="AIZ81" s="18"/>
      <c r="AJA81" s="18"/>
      <c r="AJB81" s="18"/>
      <c r="AJC81" s="18"/>
      <c r="AJD81" s="18"/>
      <c r="AJE81" s="18"/>
      <c r="AJF81" s="18"/>
      <c r="AJG81" s="18"/>
      <c r="AJH81" s="18"/>
      <c r="AJI81" s="18"/>
      <c r="AJJ81" s="18"/>
      <c r="AJK81" s="18"/>
      <c r="AJL81" s="18"/>
      <c r="AJM81" s="18"/>
      <c r="AJN81" s="18"/>
      <c r="AJO81" s="18"/>
      <c r="AJP81" s="18"/>
      <c r="AJQ81" s="18"/>
      <c r="AJR81" s="18"/>
      <c r="AJS81" s="18"/>
      <c r="AJT81" s="18"/>
      <c r="AJU81" s="18"/>
      <c r="AJV81" s="18"/>
      <c r="AJW81" s="18"/>
      <c r="AJX81" s="18"/>
      <c r="AJY81" s="18"/>
      <c r="AJZ81" s="18"/>
      <c r="AKA81" s="18"/>
      <c r="AKB81" s="18"/>
      <c r="AKC81" s="18"/>
      <c r="AKD81" s="18"/>
      <c r="AKE81" s="18"/>
      <c r="AKF81" s="18"/>
      <c r="AKG81" s="18"/>
      <c r="AKH81" s="18"/>
      <c r="AKI81" s="18"/>
      <c r="AKJ81" s="18"/>
      <c r="AKK81" s="18"/>
      <c r="AKL81" s="18"/>
      <c r="AKM81" s="18"/>
      <c r="AKN81" s="18"/>
      <c r="AKO81" s="18"/>
      <c r="AKP81" s="18"/>
      <c r="AKQ81" s="18"/>
      <c r="AKR81" s="18"/>
      <c r="AKS81" s="18"/>
      <c r="AKT81" s="18"/>
      <c r="AKU81" s="18"/>
      <c r="AKV81" s="18"/>
      <c r="AKW81" s="18"/>
      <c r="AKX81" s="18"/>
      <c r="AKY81" s="18"/>
      <c r="AKZ81" s="18"/>
      <c r="ALA81" s="18"/>
      <c r="ALB81" s="18"/>
      <c r="ALC81" s="18"/>
      <c r="ALD81" s="18"/>
      <c r="ALE81" s="18"/>
      <c r="ALF81" s="18"/>
      <c r="ALG81" s="18"/>
      <c r="ALH81" s="18"/>
      <c r="ALI81" s="18"/>
      <c r="ALJ81" s="18"/>
      <c r="ALK81" s="18"/>
      <c r="ALL81" s="18"/>
      <c r="ALM81" s="18"/>
      <c r="ALN81" s="18"/>
      <c r="ALO81" s="18"/>
      <c r="ALP81" s="18"/>
      <c r="ALQ81" s="18"/>
      <c r="ALR81" s="18"/>
      <c r="ALS81" s="18"/>
      <c r="ALT81" s="18"/>
    </row>
    <row r="82" spans="1:1008" s="88" customFormat="1" ht="24" customHeight="1">
      <c r="A82" s="680" t="s">
        <v>6927</v>
      </c>
      <c r="B82" s="680"/>
      <c r="C82" s="680"/>
      <c r="D82" s="680"/>
      <c r="E82" s="680"/>
      <c r="F82" s="680"/>
      <c r="G82" s="680"/>
      <c r="H82" s="680"/>
      <c r="I82" s="680"/>
      <c r="J82" s="281">
        <f>SUM(J80:J81)</f>
        <v>2197.0284000000001</v>
      </c>
      <c r="K82" s="191"/>
      <c r="L82" s="191"/>
      <c r="M82" s="191"/>
      <c r="N82" s="191"/>
      <c r="O82" s="191"/>
      <c r="P82" s="263"/>
    </row>
    <row r="83" spans="1:1008">
      <c r="A83" s="337"/>
      <c r="B83" s="370">
        <v>184</v>
      </c>
      <c r="C83" s="340" t="s">
        <v>591</v>
      </c>
      <c r="D83" s="274"/>
      <c r="E83" s="276"/>
      <c r="F83" s="276"/>
      <c r="G83" s="276"/>
      <c r="H83" s="276"/>
      <c r="I83" s="276"/>
      <c r="J83" s="276"/>
      <c r="K83" s="191"/>
      <c r="L83" s="191"/>
      <c r="M83" s="191"/>
      <c r="N83" s="191"/>
      <c r="O83" s="191"/>
      <c r="P83" s="263"/>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c r="EF83" s="18"/>
      <c r="EG83" s="18"/>
      <c r="EH83" s="18"/>
      <c r="EI83" s="18"/>
      <c r="EJ83" s="18"/>
      <c r="EK83" s="18"/>
      <c r="EL83" s="18"/>
      <c r="EM83" s="18"/>
      <c r="EN83" s="18"/>
      <c r="EO83" s="18"/>
      <c r="EP83" s="18"/>
      <c r="EQ83" s="18"/>
      <c r="ER83" s="18"/>
      <c r="ES83" s="18"/>
      <c r="ET83" s="18"/>
      <c r="EU83" s="18"/>
      <c r="EV83" s="18"/>
      <c r="EW83" s="18"/>
      <c r="EX83" s="18"/>
      <c r="EY83" s="18"/>
      <c r="EZ83" s="18"/>
      <c r="FA83" s="18"/>
      <c r="FB83" s="18"/>
      <c r="FC83" s="18"/>
      <c r="FD83" s="18"/>
      <c r="FE83" s="18"/>
      <c r="FF83" s="18"/>
      <c r="FG83" s="18"/>
      <c r="FH83" s="18"/>
      <c r="FI83" s="18"/>
      <c r="FJ83" s="18"/>
      <c r="FK83" s="18"/>
      <c r="FL83" s="18"/>
      <c r="FM83" s="18"/>
      <c r="FN83" s="18"/>
      <c r="FO83" s="18"/>
      <c r="FP83" s="18"/>
      <c r="FQ83" s="18"/>
      <c r="FR83" s="18"/>
      <c r="FS83" s="18"/>
      <c r="FT83" s="18"/>
      <c r="FU83" s="18"/>
      <c r="FV83" s="18"/>
      <c r="FW83" s="18"/>
      <c r="FX83" s="18"/>
      <c r="FY83" s="18"/>
      <c r="FZ83" s="18"/>
      <c r="GA83" s="18"/>
      <c r="GB83" s="18"/>
      <c r="GC83" s="18"/>
      <c r="GD83" s="18"/>
      <c r="GE83" s="18"/>
      <c r="GF83" s="18"/>
      <c r="GG83" s="18"/>
      <c r="GH83" s="18"/>
      <c r="GI83" s="18"/>
      <c r="GJ83" s="18"/>
      <c r="GK83" s="18"/>
      <c r="GL83" s="18"/>
      <c r="GM83" s="18"/>
      <c r="GN83" s="18"/>
      <c r="GO83" s="18"/>
      <c r="GP83" s="18"/>
      <c r="GQ83" s="18"/>
      <c r="GR83" s="18"/>
      <c r="GS83" s="18"/>
      <c r="GT83" s="18"/>
      <c r="GU83" s="18"/>
      <c r="GV83" s="18"/>
      <c r="GW83" s="18"/>
      <c r="GX83" s="18"/>
      <c r="GY83" s="18"/>
      <c r="GZ83" s="18"/>
      <c r="HA83" s="18"/>
      <c r="HB83" s="18"/>
      <c r="HC83" s="18"/>
      <c r="HD83" s="18"/>
      <c r="HE83" s="18"/>
      <c r="HF83" s="18"/>
      <c r="HG83" s="18"/>
      <c r="HH83" s="18"/>
      <c r="HI83" s="18"/>
      <c r="HJ83" s="18"/>
      <c r="HK83" s="18"/>
      <c r="HL83" s="18"/>
      <c r="HM83" s="18"/>
      <c r="HN83" s="18"/>
      <c r="HO83" s="18"/>
      <c r="HP83" s="18"/>
      <c r="HQ83" s="18"/>
      <c r="HR83" s="18"/>
      <c r="HS83" s="18"/>
      <c r="HT83" s="18"/>
      <c r="HU83" s="18"/>
      <c r="HV83" s="18"/>
      <c r="HW83" s="18"/>
      <c r="HX83" s="18"/>
      <c r="HY83" s="18"/>
      <c r="HZ83" s="18"/>
      <c r="IA83" s="18"/>
      <c r="IB83" s="18"/>
      <c r="IC83" s="18"/>
      <c r="ID83" s="18"/>
      <c r="IE83" s="18"/>
      <c r="IF83" s="18"/>
      <c r="IG83" s="18"/>
      <c r="IH83" s="18"/>
      <c r="II83" s="18"/>
      <c r="IJ83" s="18"/>
      <c r="IK83" s="18"/>
      <c r="IL83" s="18"/>
      <c r="IM83" s="18"/>
      <c r="IN83" s="18"/>
      <c r="IO83" s="18"/>
      <c r="IP83" s="18"/>
      <c r="IQ83" s="18"/>
      <c r="IR83" s="18"/>
      <c r="IS83" s="18"/>
      <c r="IT83" s="18"/>
      <c r="IU83" s="18"/>
      <c r="IV83" s="18"/>
      <c r="IW83" s="18"/>
      <c r="IX83" s="18"/>
      <c r="IY83" s="18"/>
      <c r="IZ83" s="18"/>
      <c r="JA83" s="18"/>
      <c r="JB83" s="18"/>
      <c r="JC83" s="18"/>
      <c r="JD83" s="18"/>
      <c r="JE83" s="18"/>
      <c r="JF83" s="18"/>
      <c r="JG83" s="18"/>
      <c r="JH83" s="18"/>
      <c r="JI83" s="18"/>
      <c r="JJ83" s="18"/>
      <c r="JK83" s="18"/>
      <c r="JL83" s="18"/>
      <c r="JM83" s="18"/>
      <c r="JN83" s="18"/>
      <c r="JO83" s="18"/>
      <c r="JP83" s="18"/>
      <c r="JQ83" s="18"/>
      <c r="JR83" s="18"/>
      <c r="JS83" s="18"/>
      <c r="JT83" s="18"/>
      <c r="JU83" s="18"/>
      <c r="JV83" s="18"/>
      <c r="JW83" s="18"/>
      <c r="JX83" s="18"/>
      <c r="JY83" s="18"/>
      <c r="JZ83" s="18"/>
      <c r="KA83" s="18"/>
      <c r="KB83" s="18"/>
      <c r="KC83" s="18"/>
      <c r="KD83" s="18"/>
      <c r="KE83" s="18"/>
      <c r="KF83" s="18"/>
      <c r="KG83" s="18"/>
      <c r="KH83" s="18"/>
      <c r="KI83" s="18"/>
      <c r="KJ83" s="18"/>
      <c r="KK83" s="18"/>
      <c r="KL83" s="18"/>
      <c r="KM83" s="18"/>
      <c r="KN83" s="18"/>
      <c r="KO83" s="18"/>
      <c r="KP83" s="18"/>
      <c r="KQ83" s="18"/>
      <c r="KR83" s="18"/>
      <c r="KS83" s="18"/>
      <c r="KT83" s="18"/>
      <c r="KU83" s="18"/>
      <c r="KV83" s="18"/>
      <c r="KW83" s="18"/>
      <c r="KX83" s="18"/>
      <c r="KY83" s="18"/>
      <c r="KZ83" s="18"/>
      <c r="LA83" s="18"/>
      <c r="LB83" s="18"/>
      <c r="LC83" s="18"/>
      <c r="LD83" s="18"/>
      <c r="LE83" s="18"/>
      <c r="LF83" s="18"/>
      <c r="LG83" s="18"/>
      <c r="LH83" s="18"/>
      <c r="LI83" s="18"/>
      <c r="LJ83" s="18"/>
      <c r="LK83" s="18"/>
      <c r="LL83" s="18"/>
      <c r="LM83" s="18"/>
      <c r="LN83" s="18"/>
      <c r="LO83" s="18"/>
      <c r="LP83" s="18"/>
      <c r="LQ83" s="18"/>
      <c r="LR83" s="18"/>
      <c r="LS83" s="18"/>
      <c r="LT83" s="18"/>
      <c r="LU83" s="18"/>
      <c r="LV83" s="18"/>
      <c r="LW83" s="18"/>
      <c r="LX83" s="18"/>
      <c r="LY83" s="18"/>
      <c r="LZ83" s="18"/>
      <c r="MA83" s="18"/>
      <c r="MB83" s="18"/>
      <c r="MC83" s="18"/>
      <c r="MD83" s="18"/>
      <c r="ME83" s="18"/>
      <c r="MF83" s="18"/>
      <c r="MG83" s="18"/>
      <c r="MH83" s="18"/>
      <c r="MI83" s="18"/>
      <c r="MJ83" s="18"/>
      <c r="MK83" s="18"/>
      <c r="ML83" s="18"/>
      <c r="MM83" s="18"/>
      <c r="MN83" s="18"/>
      <c r="MO83" s="18"/>
      <c r="MP83" s="18"/>
      <c r="MQ83" s="18"/>
      <c r="MR83" s="18"/>
      <c r="MS83" s="18"/>
      <c r="MT83" s="18"/>
      <c r="MU83" s="18"/>
      <c r="MV83" s="18"/>
      <c r="MW83" s="18"/>
      <c r="MX83" s="18"/>
      <c r="MY83" s="18"/>
      <c r="MZ83" s="18"/>
      <c r="NA83" s="18"/>
      <c r="NB83" s="18"/>
      <c r="NC83" s="18"/>
      <c r="ND83" s="18"/>
      <c r="NE83" s="18"/>
      <c r="NF83" s="18"/>
      <c r="NG83" s="18"/>
      <c r="NH83" s="18"/>
      <c r="NI83" s="18"/>
      <c r="NJ83" s="18"/>
      <c r="NK83" s="18"/>
      <c r="NL83" s="18"/>
      <c r="NM83" s="18"/>
      <c r="NN83" s="18"/>
      <c r="NO83" s="18"/>
      <c r="NP83" s="18"/>
      <c r="NQ83" s="18"/>
      <c r="NR83" s="18"/>
      <c r="NS83" s="18"/>
      <c r="NT83" s="18"/>
      <c r="NU83" s="18"/>
      <c r="NV83" s="18"/>
      <c r="NW83" s="18"/>
      <c r="NX83" s="18"/>
      <c r="NY83" s="18"/>
      <c r="NZ83" s="18"/>
      <c r="OA83" s="18"/>
      <c r="OB83" s="18"/>
      <c r="OC83" s="18"/>
      <c r="OD83" s="18"/>
      <c r="OE83" s="18"/>
      <c r="OF83" s="18"/>
      <c r="OG83" s="18"/>
      <c r="OH83" s="18"/>
      <c r="OI83" s="18"/>
      <c r="OJ83" s="18"/>
      <c r="OK83" s="18"/>
      <c r="OL83" s="18"/>
      <c r="OM83" s="18"/>
      <c r="ON83" s="18"/>
      <c r="OO83" s="18"/>
      <c r="OP83" s="18"/>
      <c r="OQ83" s="18"/>
      <c r="OR83" s="18"/>
      <c r="OS83" s="18"/>
      <c r="OT83" s="18"/>
      <c r="OU83" s="18"/>
      <c r="OV83" s="18"/>
      <c r="OW83" s="18"/>
      <c r="OX83" s="18"/>
      <c r="OY83" s="18"/>
      <c r="OZ83" s="18"/>
      <c r="PA83" s="18"/>
      <c r="PB83" s="18"/>
      <c r="PC83" s="18"/>
      <c r="PD83" s="18"/>
      <c r="PE83" s="18"/>
      <c r="PF83" s="18"/>
      <c r="PG83" s="18"/>
      <c r="PH83" s="18"/>
      <c r="PI83" s="18"/>
      <c r="PJ83" s="18"/>
      <c r="PK83" s="18"/>
      <c r="PL83" s="18"/>
      <c r="PM83" s="18"/>
      <c r="PN83" s="18"/>
      <c r="PO83" s="18"/>
      <c r="PP83" s="18"/>
      <c r="PQ83" s="18"/>
      <c r="PR83" s="18"/>
      <c r="PS83" s="18"/>
      <c r="PT83" s="18"/>
      <c r="PU83" s="18"/>
      <c r="PV83" s="18"/>
      <c r="PW83" s="18"/>
      <c r="PX83" s="18"/>
      <c r="PY83" s="18"/>
      <c r="PZ83" s="18"/>
      <c r="QA83" s="18"/>
      <c r="QB83" s="18"/>
      <c r="QC83" s="18"/>
      <c r="QD83" s="18"/>
      <c r="QE83" s="18"/>
      <c r="QF83" s="18"/>
      <c r="QG83" s="18"/>
      <c r="QH83" s="18"/>
      <c r="QI83" s="18"/>
      <c r="QJ83" s="18"/>
      <c r="QK83" s="18"/>
      <c r="QL83" s="18"/>
      <c r="QM83" s="18"/>
      <c r="QN83" s="18"/>
      <c r="QO83" s="18"/>
      <c r="QP83" s="18"/>
      <c r="QQ83" s="18"/>
      <c r="QR83" s="18"/>
      <c r="QS83" s="18"/>
      <c r="QT83" s="18"/>
      <c r="QU83" s="18"/>
      <c r="QV83" s="18"/>
      <c r="QW83" s="18"/>
      <c r="QX83" s="18"/>
      <c r="QY83" s="18"/>
      <c r="QZ83" s="18"/>
      <c r="RA83" s="18"/>
      <c r="RB83" s="18"/>
      <c r="RC83" s="18"/>
      <c r="RD83" s="18"/>
      <c r="RE83" s="18"/>
      <c r="RF83" s="18"/>
      <c r="RG83" s="18"/>
      <c r="RH83" s="18"/>
      <c r="RI83" s="18"/>
      <c r="RJ83" s="18"/>
      <c r="RK83" s="18"/>
      <c r="RL83" s="18"/>
      <c r="RM83" s="18"/>
      <c r="RN83" s="18"/>
      <c r="RO83" s="18"/>
      <c r="RP83" s="18"/>
      <c r="RQ83" s="18"/>
      <c r="RR83" s="18"/>
      <c r="RS83" s="18"/>
      <c r="RT83" s="18"/>
      <c r="RU83" s="18"/>
      <c r="RV83" s="18"/>
      <c r="RW83" s="18"/>
      <c r="RX83" s="18"/>
      <c r="RY83" s="18"/>
      <c r="RZ83" s="18"/>
      <c r="SA83" s="18"/>
      <c r="SB83" s="18"/>
      <c r="SC83" s="18"/>
      <c r="SD83" s="18"/>
      <c r="SE83" s="18"/>
      <c r="SF83" s="18"/>
      <c r="SG83" s="18"/>
      <c r="SH83" s="18"/>
      <c r="SI83" s="18"/>
      <c r="SJ83" s="18"/>
      <c r="SK83" s="18"/>
      <c r="SL83" s="18"/>
      <c r="SM83" s="18"/>
      <c r="SN83" s="18"/>
      <c r="SO83" s="18"/>
      <c r="SP83" s="18"/>
      <c r="SQ83" s="18"/>
      <c r="SR83" s="18"/>
      <c r="SS83" s="18"/>
      <c r="ST83" s="18"/>
      <c r="SU83" s="18"/>
      <c r="SV83" s="18"/>
      <c r="SW83" s="18"/>
      <c r="SX83" s="18"/>
      <c r="SY83" s="18"/>
      <c r="SZ83" s="18"/>
      <c r="TA83" s="18"/>
      <c r="TB83" s="18"/>
      <c r="TC83" s="18"/>
      <c r="TD83" s="18"/>
      <c r="TE83" s="18"/>
      <c r="TF83" s="18"/>
      <c r="TG83" s="18"/>
      <c r="TH83" s="18"/>
      <c r="TI83" s="18"/>
      <c r="TJ83" s="18"/>
      <c r="TK83" s="18"/>
      <c r="TL83" s="18"/>
      <c r="TM83" s="18"/>
      <c r="TN83" s="18"/>
      <c r="TO83" s="18"/>
      <c r="TP83" s="18"/>
      <c r="TQ83" s="18"/>
      <c r="TR83" s="18"/>
      <c r="TS83" s="18"/>
      <c r="TT83" s="18"/>
      <c r="TU83" s="18"/>
      <c r="TV83" s="18"/>
      <c r="TW83" s="18"/>
      <c r="TX83" s="18"/>
      <c r="TY83" s="18"/>
      <c r="TZ83" s="18"/>
      <c r="UA83" s="18"/>
      <c r="UB83" s="18"/>
      <c r="UC83" s="18"/>
      <c r="UD83" s="18"/>
      <c r="UE83" s="18"/>
      <c r="UF83" s="18"/>
      <c r="UG83" s="18"/>
      <c r="UH83" s="18"/>
      <c r="UI83" s="18"/>
      <c r="UJ83" s="18"/>
      <c r="UK83" s="18"/>
      <c r="UL83" s="18"/>
      <c r="UM83" s="18"/>
      <c r="UN83" s="18"/>
      <c r="UO83" s="18"/>
      <c r="UP83" s="18"/>
      <c r="UQ83" s="18"/>
      <c r="UR83" s="18"/>
      <c r="US83" s="18"/>
      <c r="UT83" s="18"/>
      <c r="UU83" s="18"/>
      <c r="UV83" s="18"/>
      <c r="UW83" s="18"/>
      <c r="UX83" s="18"/>
      <c r="UY83" s="18"/>
      <c r="UZ83" s="18"/>
      <c r="VA83" s="18"/>
      <c r="VB83" s="18"/>
      <c r="VC83" s="18"/>
      <c r="VD83" s="18"/>
      <c r="VE83" s="18"/>
      <c r="VF83" s="18"/>
      <c r="VG83" s="18"/>
      <c r="VH83" s="18"/>
      <c r="VI83" s="18"/>
      <c r="VJ83" s="18"/>
      <c r="VK83" s="18"/>
      <c r="VL83" s="18"/>
      <c r="VM83" s="18"/>
      <c r="VN83" s="18"/>
      <c r="VO83" s="18"/>
      <c r="VP83" s="18"/>
      <c r="VQ83" s="18"/>
      <c r="VR83" s="18"/>
      <c r="VS83" s="18"/>
      <c r="VT83" s="18"/>
      <c r="VU83" s="18"/>
      <c r="VV83" s="18"/>
      <c r="VW83" s="18"/>
      <c r="VX83" s="18"/>
      <c r="VY83" s="18"/>
      <c r="VZ83" s="18"/>
      <c r="WA83" s="18"/>
      <c r="WB83" s="18"/>
      <c r="WC83" s="18"/>
      <c r="WD83" s="18"/>
      <c r="WE83" s="18"/>
      <c r="WF83" s="18"/>
      <c r="WG83" s="18"/>
      <c r="WH83" s="18"/>
      <c r="WI83" s="18"/>
      <c r="WJ83" s="18"/>
      <c r="WK83" s="18"/>
      <c r="WL83" s="18"/>
      <c r="WM83" s="18"/>
      <c r="WN83" s="18"/>
      <c r="WO83" s="18"/>
      <c r="WP83" s="18"/>
      <c r="WQ83" s="18"/>
      <c r="WR83" s="18"/>
      <c r="WS83" s="18"/>
      <c r="WT83" s="18"/>
      <c r="WU83" s="18"/>
      <c r="WV83" s="18"/>
      <c r="WW83" s="18"/>
      <c r="WX83" s="18"/>
      <c r="WY83" s="18"/>
      <c r="WZ83" s="18"/>
      <c r="XA83" s="18"/>
      <c r="XB83" s="18"/>
      <c r="XC83" s="18"/>
      <c r="XD83" s="18"/>
      <c r="XE83" s="18"/>
      <c r="XF83" s="18"/>
      <c r="XG83" s="18"/>
      <c r="XH83" s="18"/>
      <c r="XI83" s="18"/>
      <c r="XJ83" s="18"/>
      <c r="XK83" s="18"/>
      <c r="XL83" s="18"/>
      <c r="XM83" s="18"/>
      <c r="XN83" s="18"/>
      <c r="XO83" s="18"/>
      <c r="XP83" s="18"/>
      <c r="XQ83" s="18"/>
      <c r="XR83" s="18"/>
      <c r="XS83" s="18"/>
      <c r="XT83" s="18"/>
      <c r="XU83" s="18"/>
      <c r="XV83" s="18"/>
      <c r="XW83" s="18"/>
      <c r="XX83" s="18"/>
      <c r="XY83" s="18"/>
      <c r="XZ83" s="18"/>
      <c r="YA83" s="18"/>
      <c r="YB83" s="18"/>
      <c r="YC83" s="18"/>
      <c r="YD83" s="18"/>
      <c r="YE83" s="18"/>
      <c r="YF83" s="18"/>
      <c r="YG83" s="18"/>
      <c r="YH83" s="18"/>
      <c r="YI83" s="18"/>
      <c r="YJ83" s="18"/>
      <c r="YK83" s="18"/>
      <c r="YL83" s="18"/>
      <c r="YM83" s="18"/>
      <c r="YN83" s="18"/>
      <c r="YO83" s="18"/>
      <c r="YP83" s="18"/>
      <c r="YQ83" s="18"/>
      <c r="YR83" s="18"/>
      <c r="YS83" s="18"/>
      <c r="YT83" s="18"/>
      <c r="YU83" s="18"/>
      <c r="YV83" s="18"/>
      <c r="YW83" s="18"/>
      <c r="YX83" s="18"/>
      <c r="YY83" s="18"/>
      <c r="YZ83" s="18"/>
      <c r="ZA83" s="18"/>
      <c r="ZB83" s="18"/>
      <c r="ZC83" s="18"/>
      <c r="ZD83" s="18"/>
      <c r="ZE83" s="18"/>
      <c r="ZF83" s="18"/>
      <c r="ZG83" s="18"/>
      <c r="ZH83" s="18"/>
      <c r="ZI83" s="18"/>
      <c r="ZJ83" s="18"/>
      <c r="ZK83" s="18"/>
      <c r="ZL83" s="18"/>
      <c r="ZM83" s="18"/>
      <c r="ZN83" s="18"/>
      <c r="ZO83" s="18"/>
      <c r="ZP83" s="18"/>
      <c r="ZQ83" s="18"/>
      <c r="ZR83" s="18"/>
      <c r="ZS83" s="18"/>
      <c r="ZT83" s="18"/>
      <c r="ZU83" s="18"/>
      <c r="ZV83" s="18"/>
      <c r="ZW83" s="18"/>
      <c r="ZX83" s="18"/>
      <c r="ZY83" s="18"/>
      <c r="ZZ83" s="18"/>
      <c r="AAA83" s="18"/>
      <c r="AAB83" s="18"/>
      <c r="AAC83" s="18"/>
      <c r="AAD83" s="18"/>
      <c r="AAE83" s="18"/>
      <c r="AAF83" s="18"/>
      <c r="AAG83" s="18"/>
      <c r="AAH83" s="18"/>
      <c r="AAI83" s="18"/>
      <c r="AAJ83" s="18"/>
      <c r="AAK83" s="18"/>
      <c r="AAL83" s="18"/>
      <c r="AAM83" s="18"/>
      <c r="AAN83" s="18"/>
      <c r="AAO83" s="18"/>
      <c r="AAP83" s="18"/>
      <c r="AAQ83" s="18"/>
      <c r="AAR83" s="18"/>
      <c r="AAS83" s="18"/>
      <c r="AAT83" s="18"/>
      <c r="AAU83" s="18"/>
      <c r="AAV83" s="18"/>
      <c r="AAW83" s="18"/>
      <c r="AAX83" s="18"/>
      <c r="AAY83" s="18"/>
      <c r="AAZ83" s="18"/>
      <c r="ABA83" s="18"/>
      <c r="ABB83" s="18"/>
      <c r="ABC83" s="18"/>
      <c r="ABD83" s="18"/>
      <c r="ABE83" s="18"/>
      <c r="ABF83" s="18"/>
      <c r="ABG83" s="18"/>
      <c r="ABH83" s="18"/>
      <c r="ABI83" s="18"/>
      <c r="ABJ83" s="18"/>
      <c r="ABK83" s="18"/>
      <c r="ABL83" s="18"/>
      <c r="ABM83" s="18"/>
      <c r="ABN83" s="18"/>
      <c r="ABO83" s="18"/>
      <c r="ABP83" s="18"/>
      <c r="ABQ83" s="18"/>
      <c r="ABR83" s="18"/>
      <c r="ABS83" s="18"/>
      <c r="ABT83" s="18"/>
      <c r="ABU83" s="18"/>
      <c r="ABV83" s="18"/>
      <c r="ABW83" s="18"/>
      <c r="ABX83" s="18"/>
      <c r="ABY83" s="18"/>
      <c r="ABZ83" s="18"/>
      <c r="ACA83" s="18"/>
      <c r="ACB83" s="18"/>
      <c r="ACC83" s="18"/>
      <c r="ACD83" s="18"/>
      <c r="ACE83" s="18"/>
      <c r="ACF83" s="18"/>
      <c r="ACG83" s="18"/>
      <c r="ACH83" s="18"/>
      <c r="ACI83" s="18"/>
      <c r="ACJ83" s="18"/>
      <c r="ACK83" s="18"/>
      <c r="ACL83" s="18"/>
      <c r="ACM83" s="18"/>
      <c r="ACN83" s="18"/>
      <c r="ACO83" s="18"/>
      <c r="ACP83" s="18"/>
      <c r="ACQ83" s="18"/>
      <c r="ACR83" s="18"/>
      <c r="ACS83" s="18"/>
      <c r="ACT83" s="18"/>
      <c r="ACU83" s="18"/>
      <c r="ACV83" s="18"/>
      <c r="ACW83" s="18"/>
      <c r="ACX83" s="18"/>
      <c r="ACY83" s="18"/>
      <c r="ACZ83" s="18"/>
      <c r="ADA83" s="18"/>
      <c r="ADB83" s="18"/>
      <c r="ADC83" s="18"/>
      <c r="ADD83" s="18"/>
      <c r="ADE83" s="18"/>
      <c r="ADF83" s="18"/>
      <c r="ADG83" s="18"/>
      <c r="ADH83" s="18"/>
      <c r="ADI83" s="18"/>
      <c r="ADJ83" s="18"/>
      <c r="ADK83" s="18"/>
      <c r="ADL83" s="18"/>
      <c r="ADM83" s="18"/>
      <c r="ADN83" s="18"/>
      <c r="ADO83" s="18"/>
      <c r="ADP83" s="18"/>
      <c r="ADQ83" s="18"/>
      <c r="ADR83" s="18"/>
      <c r="ADS83" s="18"/>
      <c r="ADT83" s="18"/>
      <c r="ADU83" s="18"/>
      <c r="ADV83" s="18"/>
      <c r="ADW83" s="18"/>
      <c r="ADX83" s="18"/>
      <c r="ADY83" s="18"/>
      <c r="ADZ83" s="18"/>
      <c r="AEA83" s="18"/>
      <c r="AEB83" s="18"/>
      <c r="AEC83" s="18"/>
      <c r="AED83" s="18"/>
      <c r="AEE83" s="18"/>
      <c r="AEF83" s="18"/>
      <c r="AEG83" s="18"/>
      <c r="AEH83" s="18"/>
      <c r="AEI83" s="18"/>
      <c r="AEJ83" s="18"/>
      <c r="AEK83" s="18"/>
      <c r="AEL83" s="18"/>
      <c r="AEM83" s="18"/>
      <c r="AEN83" s="18"/>
      <c r="AEO83" s="18"/>
      <c r="AEP83" s="18"/>
      <c r="AEQ83" s="18"/>
      <c r="AER83" s="18"/>
      <c r="AES83" s="18"/>
      <c r="AET83" s="18"/>
      <c r="AEU83" s="18"/>
      <c r="AEV83" s="18"/>
      <c r="AEW83" s="18"/>
      <c r="AEX83" s="18"/>
      <c r="AEY83" s="18"/>
      <c r="AEZ83" s="18"/>
      <c r="AFA83" s="18"/>
      <c r="AFB83" s="18"/>
      <c r="AFC83" s="18"/>
      <c r="AFD83" s="18"/>
      <c r="AFE83" s="18"/>
      <c r="AFF83" s="18"/>
      <c r="AFG83" s="18"/>
      <c r="AFH83" s="18"/>
      <c r="AFI83" s="18"/>
      <c r="AFJ83" s="18"/>
      <c r="AFK83" s="18"/>
      <c r="AFL83" s="18"/>
      <c r="AFM83" s="18"/>
      <c r="AFN83" s="18"/>
      <c r="AFO83" s="18"/>
      <c r="AFP83" s="18"/>
      <c r="AFQ83" s="18"/>
      <c r="AFR83" s="18"/>
      <c r="AFS83" s="18"/>
      <c r="AFT83" s="18"/>
      <c r="AFU83" s="18"/>
      <c r="AFV83" s="18"/>
      <c r="AFW83" s="18"/>
      <c r="AFX83" s="18"/>
      <c r="AFY83" s="18"/>
      <c r="AFZ83" s="18"/>
      <c r="AGA83" s="18"/>
      <c r="AGB83" s="18"/>
      <c r="AGC83" s="18"/>
      <c r="AGD83" s="18"/>
      <c r="AGE83" s="18"/>
      <c r="AGF83" s="18"/>
      <c r="AGG83" s="18"/>
      <c r="AGH83" s="18"/>
      <c r="AGI83" s="18"/>
      <c r="AGJ83" s="18"/>
      <c r="AGK83" s="18"/>
      <c r="AGL83" s="18"/>
      <c r="AGM83" s="18"/>
      <c r="AGN83" s="18"/>
      <c r="AGO83" s="18"/>
      <c r="AGP83" s="18"/>
      <c r="AGQ83" s="18"/>
      <c r="AGR83" s="18"/>
      <c r="AGS83" s="18"/>
      <c r="AGT83" s="18"/>
      <c r="AGU83" s="18"/>
      <c r="AGV83" s="18"/>
      <c r="AGW83" s="18"/>
      <c r="AGX83" s="18"/>
      <c r="AGY83" s="18"/>
      <c r="AGZ83" s="18"/>
      <c r="AHA83" s="18"/>
      <c r="AHB83" s="18"/>
      <c r="AHC83" s="18"/>
      <c r="AHD83" s="18"/>
      <c r="AHE83" s="18"/>
      <c r="AHF83" s="18"/>
      <c r="AHG83" s="18"/>
      <c r="AHH83" s="18"/>
      <c r="AHI83" s="18"/>
      <c r="AHJ83" s="18"/>
      <c r="AHK83" s="18"/>
      <c r="AHL83" s="18"/>
      <c r="AHM83" s="18"/>
      <c r="AHN83" s="18"/>
      <c r="AHO83" s="18"/>
      <c r="AHP83" s="18"/>
      <c r="AHQ83" s="18"/>
      <c r="AHR83" s="18"/>
      <c r="AHS83" s="18"/>
      <c r="AHT83" s="18"/>
      <c r="AHU83" s="18"/>
      <c r="AHV83" s="18"/>
      <c r="AHW83" s="18"/>
      <c r="AHX83" s="18"/>
      <c r="AHY83" s="18"/>
      <c r="AHZ83" s="18"/>
      <c r="AIA83" s="18"/>
      <c r="AIB83" s="18"/>
      <c r="AIC83" s="18"/>
      <c r="AID83" s="18"/>
      <c r="AIE83" s="18"/>
      <c r="AIF83" s="18"/>
      <c r="AIG83" s="18"/>
      <c r="AIH83" s="18"/>
      <c r="AII83" s="18"/>
      <c r="AIJ83" s="18"/>
      <c r="AIK83" s="18"/>
      <c r="AIL83" s="18"/>
      <c r="AIM83" s="18"/>
      <c r="AIN83" s="18"/>
      <c r="AIO83" s="18"/>
      <c r="AIP83" s="18"/>
      <c r="AIQ83" s="18"/>
      <c r="AIR83" s="18"/>
      <c r="AIS83" s="18"/>
      <c r="AIT83" s="18"/>
      <c r="AIU83" s="18"/>
      <c r="AIV83" s="18"/>
      <c r="AIW83" s="18"/>
      <c r="AIX83" s="18"/>
      <c r="AIY83" s="18"/>
      <c r="AIZ83" s="18"/>
      <c r="AJA83" s="18"/>
      <c r="AJB83" s="18"/>
      <c r="AJC83" s="18"/>
      <c r="AJD83" s="18"/>
      <c r="AJE83" s="18"/>
      <c r="AJF83" s="18"/>
      <c r="AJG83" s="18"/>
      <c r="AJH83" s="18"/>
      <c r="AJI83" s="18"/>
      <c r="AJJ83" s="18"/>
      <c r="AJK83" s="18"/>
      <c r="AJL83" s="18"/>
      <c r="AJM83" s="18"/>
      <c r="AJN83" s="18"/>
      <c r="AJO83" s="18"/>
      <c r="AJP83" s="18"/>
      <c r="AJQ83" s="18"/>
      <c r="AJR83" s="18"/>
      <c r="AJS83" s="18"/>
      <c r="AJT83" s="18"/>
      <c r="AJU83" s="18"/>
      <c r="AJV83" s="18"/>
      <c r="AJW83" s="18"/>
      <c r="AJX83" s="18"/>
      <c r="AJY83" s="18"/>
      <c r="AJZ83" s="18"/>
      <c r="AKA83" s="18"/>
      <c r="AKB83" s="18"/>
      <c r="AKC83" s="18"/>
      <c r="AKD83" s="18"/>
      <c r="AKE83" s="18"/>
      <c r="AKF83" s="18"/>
      <c r="AKG83" s="18"/>
      <c r="AKH83" s="18"/>
      <c r="AKI83" s="18"/>
      <c r="AKJ83" s="18"/>
      <c r="AKK83" s="18"/>
      <c r="AKL83" s="18"/>
      <c r="AKM83" s="18"/>
      <c r="AKN83" s="18"/>
      <c r="AKO83" s="18"/>
      <c r="AKP83" s="18"/>
      <c r="AKQ83" s="18"/>
      <c r="AKR83" s="18"/>
      <c r="AKS83" s="18"/>
      <c r="AKT83" s="18"/>
      <c r="AKU83" s="18"/>
      <c r="AKV83" s="18"/>
      <c r="AKW83" s="18"/>
      <c r="AKX83" s="18"/>
      <c r="AKY83" s="18"/>
      <c r="AKZ83" s="18"/>
      <c r="ALA83" s="18"/>
      <c r="ALB83" s="18"/>
      <c r="ALC83" s="18"/>
      <c r="ALD83" s="18"/>
      <c r="ALE83" s="18"/>
      <c r="ALF83" s="18"/>
      <c r="ALG83" s="18"/>
      <c r="ALH83" s="18"/>
      <c r="ALI83" s="18"/>
      <c r="ALJ83" s="18"/>
      <c r="ALK83" s="18"/>
      <c r="ALL83" s="18"/>
      <c r="ALM83" s="18"/>
      <c r="ALN83" s="18"/>
      <c r="ALO83" s="18"/>
      <c r="ALP83" s="18"/>
      <c r="ALQ83" s="18"/>
      <c r="ALR83" s="18"/>
      <c r="ALS83" s="18"/>
      <c r="ALT83" s="18"/>
    </row>
    <row r="84" spans="1:1008" ht="24">
      <c r="A84" s="251" t="s">
        <v>7</v>
      </c>
      <c r="B84" s="290">
        <v>95241</v>
      </c>
      <c r="C84" s="278" t="str">
        <f>(IF($A84="SINAPI",INDEX(SINAPI_NOV2020_NDES!$A$7:$H$6703,MATCH($B84,SINAPI_NOV2020_NDES!$A$7:$A$6703,0),2),IF($A84="GOINFRA",INDEX(#REF!,MATCH($B84,#REF!,0),2),(INDEX(COMPOS!$A$4:$G$390,MATCH($B84,COMPOS!$A$4:A$390,0),2)))))</f>
        <v>LASTRO DE CONCRETO MAGRO, APLICADO EM PISOS OU RADIERS, ESPESSURA DE 5 CM. AF_07/2016</v>
      </c>
      <c r="D84" s="274" t="str">
        <f>(IF($A84="SINAPI",INDEX(SINAPI_NOV2020_NDES!$A$7:$H$6790,MATCH($B84,SINAPI_NOV2020_NDES!$A$7:$A$6790,0),3),(INDEX(COMPOS!$A$4:$G$5000,MATCH($B84,COMPOS!$A$4:$A$5000,0),3))))</f>
        <v>M2</v>
      </c>
      <c r="E84" s="314">
        <f>E86</f>
        <v>43.847999999999999</v>
      </c>
      <c r="F84" s="279">
        <f>(IF($A84="SINAPI",INDEX(SINAPI_NOV2020_NDES!$A$7:$H$6703,MATCH($B84,SINAPI_NOV2020_NDES!$A$7:$A$6703,0),5),(INDEX(COMPOS!$A$4:$G$801,MATCH($B84,COMPOS!$A$4:A$801,0),4))))</f>
        <v>8.26</v>
      </c>
      <c r="G84" s="280">
        <f>(IF($A84="SINAPI",INDEX(SINAPI_NOV2020_NDES!$A$7:$H$6703,MATCH($B84,SINAPI_NOV2020_NDES!$A$7:$A$6703,0),6),(INDEX(COMPOS!$A$4:$G$801,MATCH($B84,COMPOS!$A$4:A$801,0),5))))</f>
        <v>16.48</v>
      </c>
      <c r="H84" s="280">
        <f>(IF($A84="SINAPI",INDEX(SINAPI_NOV2020_NDES!$A$7:$H$6703,MATCH($B84,SINAPI_NOV2020_NDES!$A$7:$A$6703,0),7),(INDEX(COMPOS!$A$4:$G$801,MATCH($B84,COMPOS!$A$4:A$801,0),6))))</f>
        <v>0.09</v>
      </c>
      <c r="I84" s="279">
        <f t="shared" ref="I84" si="30">SUM(F84:H84)</f>
        <v>24.830000000000002</v>
      </c>
      <c r="J84" s="276">
        <f t="shared" ref="J84" si="31">+I84*E84</f>
        <v>1088.74584</v>
      </c>
      <c r="K84" s="191"/>
      <c r="L84" s="191"/>
      <c r="M84" s="191"/>
      <c r="N84" s="191"/>
      <c r="O84" s="262"/>
      <c r="P84" s="263"/>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c r="EF84" s="18"/>
      <c r="EG84" s="18"/>
      <c r="EH84" s="18"/>
      <c r="EI84" s="18"/>
      <c r="EJ84" s="18"/>
      <c r="EK84" s="18"/>
      <c r="EL84" s="18"/>
      <c r="EM84" s="18"/>
      <c r="EN84" s="18"/>
      <c r="EO84" s="18"/>
      <c r="EP84" s="18"/>
      <c r="EQ84" s="18"/>
      <c r="ER84" s="18"/>
      <c r="ES84" s="18"/>
      <c r="ET84" s="18"/>
      <c r="EU84" s="18"/>
      <c r="EV84" s="18"/>
      <c r="EW84" s="18"/>
      <c r="EX84" s="18"/>
      <c r="EY84" s="18"/>
      <c r="EZ84" s="18"/>
      <c r="FA84" s="18"/>
      <c r="FB84" s="18"/>
      <c r="FC84" s="18"/>
      <c r="FD84" s="18"/>
      <c r="FE84" s="18"/>
      <c r="FF84" s="18"/>
      <c r="FG84" s="18"/>
      <c r="FH84" s="18"/>
      <c r="FI84" s="18"/>
      <c r="FJ84" s="18"/>
      <c r="FK84" s="18"/>
      <c r="FL84" s="18"/>
      <c r="FM84" s="18"/>
      <c r="FN84" s="18"/>
      <c r="FO84" s="18"/>
      <c r="FP84" s="18"/>
      <c r="FQ84" s="18"/>
      <c r="FR84" s="18"/>
      <c r="FS84" s="18"/>
      <c r="FT84" s="18"/>
      <c r="FU84" s="18"/>
      <c r="FV84" s="18"/>
      <c r="FW84" s="18"/>
      <c r="FX84" s="18"/>
      <c r="FY84" s="18"/>
      <c r="FZ84" s="18"/>
      <c r="GA84" s="18"/>
      <c r="GB84" s="18"/>
      <c r="GC84" s="18"/>
      <c r="GD84" s="18"/>
      <c r="GE84" s="18"/>
      <c r="GF84" s="18"/>
      <c r="GG84" s="18"/>
      <c r="GH84" s="18"/>
      <c r="GI84" s="18"/>
      <c r="GJ84" s="18"/>
      <c r="GK84" s="18"/>
      <c r="GL84" s="18"/>
      <c r="GM84" s="18"/>
      <c r="GN84" s="18"/>
      <c r="GO84" s="18"/>
      <c r="GP84" s="18"/>
      <c r="GQ84" s="18"/>
      <c r="GR84" s="18"/>
      <c r="GS84" s="18"/>
      <c r="GT84" s="18"/>
      <c r="GU84" s="18"/>
      <c r="GV84" s="18"/>
      <c r="GW84" s="18"/>
      <c r="GX84" s="18"/>
      <c r="GY84" s="18"/>
      <c r="GZ84" s="18"/>
      <c r="HA84" s="18"/>
      <c r="HB84" s="18"/>
      <c r="HC84" s="18"/>
      <c r="HD84" s="18"/>
      <c r="HE84" s="18"/>
      <c r="HF84" s="18"/>
      <c r="HG84" s="18"/>
      <c r="HH84" s="18"/>
      <c r="HI84" s="18"/>
      <c r="HJ84" s="18"/>
      <c r="HK84" s="18"/>
      <c r="HL84" s="18"/>
      <c r="HM84" s="18"/>
      <c r="HN84" s="18"/>
      <c r="HO84" s="18"/>
      <c r="HP84" s="18"/>
      <c r="HQ84" s="18"/>
      <c r="HR84" s="18"/>
      <c r="HS84" s="18"/>
      <c r="HT84" s="18"/>
      <c r="HU84" s="18"/>
      <c r="HV84" s="18"/>
      <c r="HW84" s="18"/>
      <c r="HX84" s="18"/>
      <c r="HY84" s="18"/>
      <c r="HZ84" s="18"/>
      <c r="IA84" s="18"/>
      <c r="IB84" s="18"/>
      <c r="IC84" s="18"/>
      <c r="ID84" s="18"/>
      <c r="IE84" s="18"/>
      <c r="IF84" s="18"/>
      <c r="IG84" s="18"/>
      <c r="IH84" s="18"/>
      <c r="II84" s="18"/>
      <c r="IJ84" s="18"/>
      <c r="IK84" s="18"/>
      <c r="IL84" s="18"/>
      <c r="IM84" s="18"/>
      <c r="IN84" s="18"/>
      <c r="IO84" s="18"/>
      <c r="IP84" s="18"/>
      <c r="IQ84" s="18"/>
      <c r="IR84" s="18"/>
      <c r="IS84" s="18"/>
      <c r="IT84" s="18"/>
      <c r="IU84" s="18"/>
      <c r="IV84" s="18"/>
      <c r="IW84" s="18"/>
      <c r="IX84" s="18"/>
      <c r="IY84" s="18"/>
      <c r="IZ84" s="18"/>
      <c r="JA84" s="18"/>
      <c r="JB84" s="18"/>
      <c r="JC84" s="18"/>
      <c r="JD84" s="18"/>
      <c r="JE84" s="18"/>
      <c r="JF84" s="18"/>
      <c r="JG84" s="18"/>
      <c r="JH84" s="18"/>
      <c r="JI84" s="18"/>
      <c r="JJ84" s="18"/>
      <c r="JK84" s="18"/>
      <c r="JL84" s="18"/>
      <c r="JM84" s="18"/>
      <c r="JN84" s="18"/>
      <c r="JO84" s="18"/>
      <c r="JP84" s="18"/>
      <c r="JQ84" s="18"/>
      <c r="JR84" s="18"/>
      <c r="JS84" s="18"/>
      <c r="JT84" s="18"/>
      <c r="JU84" s="18"/>
      <c r="JV84" s="18"/>
      <c r="JW84" s="18"/>
      <c r="JX84" s="18"/>
      <c r="JY84" s="18"/>
      <c r="JZ84" s="18"/>
      <c r="KA84" s="18"/>
      <c r="KB84" s="18"/>
      <c r="KC84" s="18"/>
      <c r="KD84" s="18"/>
      <c r="KE84" s="18"/>
      <c r="KF84" s="18"/>
      <c r="KG84" s="18"/>
      <c r="KH84" s="18"/>
      <c r="KI84" s="18"/>
      <c r="KJ84" s="18"/>
      <c r="KK84" s="18"/>
      <c r="KL84" s="18"/>
      <c r="KM84" s="18"/>
      <c r="KN84" s="18"/>
      <c r="KO84" s="18"/>
      <c r="KP84" s="18"/>
      <c r="KQ84" s="18"/>
      <c r="KR84" s="18"/>
      <c r="KS84" s="18"/>
      <c r="KT84" s="18"/>
      <c r="KU84" s="18"/>
      <c r="KV84" s="18"/>
      <c r="KW84" s="18"/>
      <c r="KX84" s="18"/>
      <c r="KY84" s="18"/>
      <c r="KZ84" s="18"/>
      <c r="LA84" s="18"/>
      <c r="LB84" s="18"/>
      <c r="LC84" s="18"/>
      <c r="LD84" s="18"/>
      <c r="LE84" s="18"/>
      <c r="LF84" s="18"/>
      <c r="LG84" s="18"/>
      <c r="LH84" s="18"/>
      <c r="LI84" s="18"/>
      <c r="LJ84" s="18"/>
      <c r="LK84" s="18"/>
      <c r="LL84" s="18"/>
      <c r="LM84" s="18"/>
      <c r="LN84" s="18"/>
      <c r="LO84" s="18"/>
      <c r="LP84" s="18"/>
      <c r="LQ84" s="18"/>
      <c r="LR84" s="18"/>
      <c r="LS84" s="18"/>
      <c r="LT84" s="18"/>
      <c r="LU84" s="18"/>
      <c r="LV84" s="18"/>
      <c r="LW84" s="18"/>
      <c r="LX84" s="18"/>
      <c r="LY84" s="18"/>
      <c r="LZ84" s="18"/>
      <c r="MA84" s="18"/>
      <c r="MB84" s="18"/>
      <c r="MC84" s="18"/>
      <c r="MD84" s="18"/>
      <c r="ME84" s="18"/>
      <c r="MF84" s="18"/>
      <c r="MG84" s="18"/>
      <c r="MH84" s="18"/>
      <c r="MI84" s="18"/>
      <c r="MJ84" s="18"/>
      <c r="MK84" s="18"/>
      <c r="ML84" s="18"/>
      <c r="MM84" s="18"/>
      <c r="MN84" s="18"/>
      <c r="MO84" s="18"/>
      <c r="MP84" s="18"/>
      <c r="MQ84" s="18"/>
      <c r="MR84" s="18"/>
      <c r="MS84" s="18"/>
      <c r="MT84" s="18"/>
      <c r="MU84" s="18"/>
      <c r="MV84" s="18"/>
      <c r="MW84" s="18"/>
      <c r="MX84" s="18"/>
      <c r="MY84" s="18"/>
      <c r="MZ84" s="18"/>
      <c r="NA84" s="18"/>
      <c r="NB84" s="18"/>
      <c r="NC84" s="18"/>
      <c r="ND84" s="18"/>
      <c r="NE84" s="18"/>
      <c r="NF84" s="18"/>
      <c r="NG84" s="18"/>
      <c r="NH84" s="18"/>
      <c r="NI84" s="18"/>
      <c r="NJ84" s="18"/>
      <c r="NK84" s="18"/>
      <c r="NL84" s="18"/>
      <c r="NM84" s="18"/>
      <c r="NN84" s="18"/>
      <c r="NO84" s="18"/>
      <c r="NP84" s="18"/>
      <c r="NQ84" s="18"/>
      <c r="NR84" s="18"/>
      <c r="NS84" s="18"/>
      <c r="NT84" s="18"/>
      <c r="NU84" s="18"/>
      <c r="NV84" s="18"/>
      <c r="NW84" s="18"/>
      <c r="NX84" s="18"/>
      <c r="NY84" s="18"/>
      <c r="NZ84" s="18"/>
      <c r="OA84" s="18"/>
      <c r="OB84" s="18"/>
      <c r="OC84" s="18"/>
      <c r="OD84" s="18"/>
      <c r="OE84" s="18"/>
      <c r="OF84" s="18"/>
      <c r="OG84" s="18"/>
      <c r="OH84" s="18"/>
      <c r="OI84" s="18"/>
      <c r="OJ84" s="18"/>
      <c r="OK84" s="18"/>
      <c r="OL84" s="18"/>
      <c r="OM84" s="18"/>
      <c r="ON84" s="18"/>
      <c r="OO84" s="18"/>
      <c r="OP84" s="18"/>
      <c r="OQ84" s="18"/>
      <c r="OR84" s="18"/>
      <c r="OS84" s="18"/>
      <c r="OT84" s="18"/>
      <c r="OU84" s="18"/>
      <c r="OV84" s="18"/>
      <c r="OW84" s="18"/>
      <c r="OX84" s="18"/>
      <c r="OY84" s="18"/>
      <c r="OZ84" s="18"/>
      <c r="PA84" s="18"/>
      <c r="PB84" s="18"/>
      <c r="PC84" s="18"/>
      <c r="PD84" s="18"/>
      <c r="PE84" s="18"/>
      <c r="PF84" s="18"/>
      <c r="PG84" s="18"/>
      <c r="PH84" s="18"/>
      <c r="PI84" s="18"/>
      <c r="PJ84" s="18"/>
      <c r="PK84" s="18"/>
      <c r="PL84" s="18"/>
      <c r="PM84" s="18"/>
      <c r="PN84" s="18"/>
      <c r="PO84" s="18"/>
      <c r="PP84" s="18"/>
      <c r="PQ84" s="18"/>
      <c r="PR84" s="18"/>
      <c r="PS84" s="18"/>
      <c r="PT84" s="18"/>
      <c r="PU84" s="18"/>
      <c r="PV84" s="18"/>
      <c r="PW84" s="18"/>
      <c r="PX84" s="18"/>
      <c r="PY84" s="18"/>
      <c r="PZ84" s="18"/>
      <c r="QA84" s="18"/>
      <c r="QB84" s="18"/>
      <c r="QC84" s="18"/>
      <c r="QD84" s="18"/>
      <c r="QE84" s="18"/>
      <c r="QF84" s="18"/>
      <c r="QG84" s="18"/>
      <c r="QH84" s="18"/>
      <c r="QI84" s="18"/>
      <c r="QJ84" s="18"/>
      <c r="QK84" s="18"/>
      <c r="QL84" s="18"/>
      <c r="QM84" s="18"/>
      <c r="QN84" s="18"/>
      <c r="QO84" s="18"/>
      <c r="QP84" s="18"/>
      <c r="QQ84" s="18"/>
      <c r="QR84" s="18"/>
      <c r="QS84" s="18"/>
      <c r="QT84" s="18"/>
      <c r="QU84" s="18"/>
      <c r="QV84" s="18"/>
      <c r="QW84" s="18"/>
      <c r="QX84" s="18"/>
      <c r="QY84" s="18"/>
      <c r="QZ84" s="18"/>
      <c r="RA84" s="18"/>
      <c r="RB84" s="18"/>
      <c r="RC84" s="18"/>
      <c r="RD84" s="18"/>
      <c r="RE84" s="18"/>
      <c r="RF84" s="18"/>
      <c r="RG84" s="18"/>
      <c r="RH84" s="18"/>
      <c r="RI84" s="18"/>
      <c r="RJ84" s="18"/>
      <c r="RK84" s="18"/>
      <c r="RL84" s="18"/>
      <c r="RM84" s="18"/>
      <c r="RN84" s="18"/>
      <c r="RO84" s="18"/>
      <c r="RP84" s="18"/>
      <c r="RQ84" s="18"/>
      <c r="RR84" s="18"/>
      <c r="RS84" s="18"/>
      <c r="RT84" s="18"/>
      <c r="RU84" s="18"/>
      <c r="RV84" s="18"/>
      <c r="RW84" s="18"/>
      <c r="RX84" s="18"/>
      <c r="RY84" s="18"/>
      <c r="RZ84" s="18"/>
      <c r="SA84" s="18"/>
      <c r="SB84" s="18"/>
      <c r="SC84" s="18"/>
      <c r="SD84" s="18"/>
      <c r="SE84" s="18"/>
      <c r="SF84" s="18"/>
      <c r="SG84" s="18"/>
      <c r="SH84" s="18"/>
      <c r="SI84" s="18"/>
      <c r="SJ84" s="18"/>
      <c r="SK84" s="18"/>
      <c r="SL84" s="18"/>
      <c r="SM84" s="18"/>
      <c r="SN84" s="18"/>
      <c r="SO84" s="18"/>
      <c r="SP84" s="18"/>
      <c r="SQ84" s="18"/>
      <c r="SR84" s="18"/>
      <c r="SS84" s="18"/>
      <c r="ST84" s="18"/>
      <c r="SU84" s="18"/>
      <c r="SV84" s="18"/>
      <c r="SW84" s="18"/>
      <c r="SX84" s="18"/>
      <c r="SY84" s="18"/>
      <c r="SZ84" s="18"/>
      <c r="TA84" s="18"/>
      <c r="TB84" s="18"/>
      <c r="TC84" s="18"/>
      <c r="TD84" s="18"/>
      <c r="TE84" s="18"/>
      <c r="TF84" s="18"/>
      <c r="TG84" s="18"/>
      <c r="TH84" s="18"/>
      <c r="TI84" s="18"/>
      <c r="TJ84" s="18"/>
      <c r="TK84" s="18"/>
      <c r="TL84" s="18"/>
      <c r="TM84" s="18"/>
      <c r="TN84" s="18"/>
      <c r="TO84" s="18"/>
      <c r="TP84" s="18"/>
      <c r="TQ84" s="18"/>
      <c r="TR84" s="18"/>
      <c r="TS84" s="18"/>
      <c r="TT84" s="18"/>
      <c r="TU84" s="18"/>
      <c r="TV84" s="18"/>
      <c r="TW84" s="18"/>
      <c r="TX84" s="18"/>
      <c r="TY84" s="18"/>
      <c r="TZ84" s="18"/>
      <c r="UA84" s="18"/>
      <c r="UB84" s="18"/>
      <c r="UC84" s="18"/>
      <c r="UD84" s="18"/>
      <c r="UE84" s="18"/>
      <c r="UF84" s="18"/>
      <c r="UG84" s="18"/>
      <c r="UH84" s="18"/>
      <c r="UI84" s="18"/>
      <c r="UJ84" s="18"/>
      <c r="UK84" s="18"/>
      <c r="UL84" s="18"/>
      <c r="UM84" s="18"/>
      <c r="UN84" s="18"/>
      <c r="UO84" s="18"/>
      <c r="UP84" s="18"/>
      <c r="UQ84" s="18"/>
      <c r="UR84" s="18"/>
      <c r="US84" s="18"/>
      <c r="UT84" s="18"/>
      <c r="UU84" s="18"/>
      <c r="UV84" s="18"/>
      <c r="UW84" s="18"/>
      <c r="UX84" s="18"/>
      <c r="UY84" s="18"/>
      <c r="UZ84" s="18"/>
      <c r="VA84" s="18"/>
      <c r="VB84" s="18"/>
      <c r="VC84" s="18"/>
      <c r="VD84" s="18"/>
      <c r="VE84" s="18"/>
      <c r="VF84" s="18"/>
      <c r="VG84" s="18"/>
      <c r="VH84" s="18"/>
      <c r="VI84" s="18"/>
      <c r="VJ84" s="18"/>
      <c r="VK84" s="18"/>
      <c r="VL84" s="18"/>
      <c r="VM84" s="18"/>
      <c r="VN84" s="18"/>
      <c r="VO84" s="18"/>
      <c r="VP84" s="18"/>
      <c r="VQ84" s="18"/>
      <c r="VR84" s="18"/>
      <c r="VS84" s="18"/>
      <c r="VT84" s="18"/>
      <c r="VU84" s="18"/>
      <c r="VV84" s="18"/>
      <c r="VW84" s="18"/>
      <c r="VX84" s="18"/>
      <c r="VY84" s="18"/>
      <c r="VZ84" s="18"/>
      <c r="WA84" s="18"/>
      <c r="WB84" s="18"/>
      <c r="WC84" s="18"/>
      <c r="WD84" s="18"/>
      <c r="WE84" s="18"/>
      <c r="WF84" s="18"/>
      <c r="WG84" s="18"/>
      <c r="WH84" s="18"/>
      <c r="WI84" s="18"/>
      <c r="WJ84" s="18"/>
      <c r="WK84" s="18"/>
      <c r="WL84" s="18"/>
      <c r="WM84" s="18"/>
      <c r="WN84" s="18"/>
      <c r="WO84" s="18"/>
      <c r="WP84" s="18"/>
      <c r="WQ84" s="18"/>
      <c r="WR84" s="18"/>
      <c r="WS84" s="18"/>
      <c r="WT84" s="18"/>
      <c r="WU84" s="18"/>
      <c r="WV84" s="18"/>
      <c r="WW84" s="18"/>
      <c r="WX84" s="18"/>
      <c r="WY84" s="18"/>
      <c r="WZ84" s="18"/>
      <c r="XA84" s="18"/>
      <c r="XB84" s="18"/>
      <c r="XC84" s="18"/>
      <c r="XD84" s="18"/>
      <c r="XE84" s="18"/>
      <c r="XF84" s="18"/>
      <c r="XG84" s="18"/>
      <c r="XH84" s="18"/>
      <c r="XI84" s="18"/>
      <c r="XJ84" s="18"/>
      <c r="XK84" s="18"/>
      <c r="XL84" s="18"/>
      <c r="XM84" s="18"/>
      <c r="XN84" s="18"/>
      <c r="XO84" s="18"/>
      <c r="XP84" s="18"/>
      <c r="XQ84" s="18"/>
      <c r="XR84" s="18"/>
      <c r="XS84" s="18"/>
      <c r="XT84" s="18"/>
      <c r="XU84" s="18"/>
      <c r="XV84" s="18"/>
      <c r="XW84" s="18"/>
      <c r="XX84" s="18"/>
      <c r="XY84" s="18"/>
      <c r="XZ84" s="18"/>
      <c r="YA84" s="18"/>
      <c r="YB84" s="18"/>
      <c r="YC84" s="18"/>
      <c r="YD84" s="18"/>
      <c r="YE84" s="18"/>
      <c r="YF84" s="18"/>
      <c r="YG84" s="18"/>
      <c r="YH84" s="18"/>
      <c r="YI84" s="18"/>
      <c r="YJ84" s="18"/>
      <c r="YK84" s="18"/>
      <c r="YL84" s="18"/>
      <c r="YM84" s="18"/>
      <c r="YN84" s="18"/>
      <c r="YO84" s="18"/>
      <c r="YP84" s="18"/>
      <c r="YQ84" s="18"/>
      <c r="YR84" s="18"/>
      <c r="YS84" s="18"/>
      <c r="YT84" s="18"/>
      <c r="YU84" s="18"/>
      <c r="YV84" s="18"/>
      <c r="YW84" s="18"/>
      <c r="YX84" s="18"/>
      <c r="YY84" s="18"/>
      <c r="YZ84" s="18"/>
      <c r="ZA84" s="18"/>
      <c r="ZB84" s="18"/>
      <c r="ZC84" s="18"/>
      <c r="ZD84" s="18"/>
      <c r="ZE84" s="18"/>
      <c r="ZF84" s="18"/>
      <c r="ZG84" s="18"/>
      <c r="ZH84" s="18"/>
      <c r="ZI84" s="18"/>
      <c r="ZJ84" s="18"/>
      <c r="ZK84" s="18"/>
      <c r="ZL84" s="18"/>
      <c r="ZM84" s="18"/>
      <c r="ZN84" s="18"/>
      <c r="ZO84" s="18"/>
      <c r="ZP84" s="18"/>
      <c r="ZQ84" s="18"/>
      <c r="ZR84" s="18"/>
      <c r="ZS84" s="18"/>
      <c r="ZT84" s="18"/>
      <c r="ZU84" s="18"/>
      <c r="ZV84" s="18"/>
      <c r="ZW84" s="18"/>
      <c r="ZX84" s="18"/>
      <c r="ZY84" s="18"/>
      <c r="ZZ84" s="18"/>
      <c r="AAA84" s="18"/>
      <c r="AAB84" s="18"/>
      <c r="AAC84" s="18"/>
      <c r="AAD84" s="18"/>
      <c r="AAE84" s="18"/>
      <c r="AAF84" s="18"/>
      <c r="AAG84" s="18"/>
      <c r="AAH84" s="18"/>
      <c r="AAI84" s="18"/>
      <c r="AAJ84" s="18"/>
      <c r="AAK84" s="18"/>
      <c r="AAL84" s="18"/>
      <c r="AAM84" s="18"/>
      <c r="AAN84" s="18"/>
      <c r="AAO84" s="18"/>
      <c r="AAP84" s="18"/>
      <c r="AAQ84" s="18"/>
      <c r="AAR84" s="18"/>
      <c r="AAS84" s="18"/>
      <c r="AAT84" s="18"/>
      <c r="AAU84" s="18"/>
      <c r="AAV84" s="18"/>
      <c r="AAW84" s="18"/>
      <c r="AAX84" s="18"/>
      <c r="AAY84" s="18"/>
      <c r="AAZ84" s="18"/>
      <c r="ABA84" s="18"/>
      <c r="ABB84" s="18"/>
      <c r="ABC84" s="18"/>
      <c r="ABD84" s="18"/>
      <c r="ABE84" s="18"/>
      <c r="ABF84" s="18"/>
      <c r="ABG84" s="18"/>
      <c r="ABH84" s="18"/>
      <c r="ABI84" s="18"/>
      <c r="ABJ84" s="18"/>
      <c r="ABK84" s="18"/>
      <c r="ABL84" s="18"/>
      <c r="ABM84" s="18"/>
      <c r="ABN84" s="18"/>
      <c r="ABO84" s="18"/>
      <c r="ABP84" s="18"/>
      <c r="ABQ84" s="18"/>
      <c r="ABR84" s="18"/>
      <c r="ABS84" s="18"/>
      <c r="ABT84" s="18"/>
      <c r="ABU84" s="18"/>
      <c r="ABV84" s="18"/>
      <c r="ABW84" s="18"/>
      <c r="ABX84" s="18"/>
      <c r="ABY84" s="18"/>
      <c r="ABZ84" s="18"/>
      <c r="ACA84" s="18"/>
      <c r="ACB84" s="18"/>
      <c r="ACC84" s="18"/>
      <c r="ACD84" s="18"/>
      <c r="ACE84" s="18"/>
      <c r="ACF84" s="18"/>
      <c r="ACG84" s="18"/>
      <c r="ACH84" s="18"/>
      <c r="ACI84" s="18"/>
      <c r="ACJ84" s="18"/>
      <c r="ACK84" s="18"/>
      <c r="ACL84" s="18"/>
      <c r="ACM84" s="18"/>
      <c r="ACN84" s="18"/>
      <c r="ACO84" s="18"/>
      <c r="ACP84" s="18"/>
      <c r="ACQ84" s="18"/>
      <c r="ACR84" s="18"/>
      <c r="ACS84" s="18"/>
      <c r="ACT84" s="18"/>
      <c r="ACU84" s="18"/>
      <c r="ACV84" s="18"/>
      <c r="ACW84" s="18"/>
      <c r="ACX84" s="18"/>
      <c r="ACY84" s="18"/>
      <c r="ACZ84" s="18"/>
      <c r="ADA84" s="18"/>
      <c r="ADB84" s="18"/>
      <c r="ADC84" s="18"/>
      <c r="ADD84" s="18"/>
      <c r="ADE84" s="18"/>
      <c r="ADF84" s="18"/>
      <c r="ADG84" s="18"/>
      <c r="ADH84" s="18"/>
      <c r="ADI84" s="18"/>
      <c r="ADJ84" s="18"/>
      <c r="ADK84" s="18"/>
      <c r="ADL84" s="18"/>
      <c r="ADM84" s="18"/>
      <c r="ADN84" s="18"/>
      <c r="ADO84" s="18"/>
      <c r="ADP84" s="18"/>
      <c r="ADQ84" s="18"/>
      <c r="ADR84" s="18"/>
      <c r="ADS84" s="18"/>
      <c r="ADT84" s="18"/>
      <c r="ADU84" s="18"/>
      <c r="ADV84" s="18"/>
      <c r="ADW84" s="18"/>
      <c r="ADX84" s="18"/>
      <c r="ADY84" s="18"/>
      <c r="ADZ84" s="18"/>
      <c r="AEA84" s="18"/>
      <c r="AEB84" s="18"/>
      <c r="AEC84" s="18"/>
      <c r="AED84" s="18"/>
      <c r="AEE84" s="18"/>
      <c r="AEF84" s="18"/>
      <c r="AEG84" s="18"/>
      <c r="AEH84" s="18"/>
      <c r="AEI84" s="18"/>
      <c r="AEJ84" s="18"/>
      <c r="AEK84" s="18"/>
      <c r="AEL84" s="18"/>
      <c r="AEM84" s="18"/>
      <c r="AEN84" s="18"/>
      <c r="AEO84" s="18"/>
      <c r="AEP84" s="18"/>
      <c r="AEQ84" s="18"/>
      <c r="AER84" s="18"/>
      <c r="AES84" s="18"/>
      <c r="AET84" s="18"/>
      <c r="AEU84" s="18"/>
      <c r="AEV84" s="18"/>
      <c r="AEW84" s="18"/>
      <c r="AEX84" s="18"/>
      <c r="AEY84" s="18"/>
      <c r="AEZ84" s="18"/>
      <c r="AFA84" s="18"/>
      <c r="AFB84" s="18"/>
      <c r="AFC84" s="18"/>
      <c r="AFD84" s="18"/>
      <c r="AFE84" s="18"/>
      <c r="AFF84" s="18"/>
      <c r="AFG84" s="18"/>
      <c r="AFH84" s="18"/>
      <c r="AFI84" s="18"/>
      <c r="AFJ84" s="18"/>
      <c r="AFK84" s="18"/>
      <c r="AFL84" s="18"/>
      <c r="AFM84" s="18"/>
      <c r="AFN84" s="18"/>
      <c r="AFO84" s="18"/>
      <c r="AFP84" s="18"/>
      <c r="AFQ84" s="18"/>
      <c r="AFR84" s="18"/>
      <c r="AFS84" s="18"/>
      <c r="AFT84" s="18"/>
      <c r="AFU84" s="18"/>
      <c r="AFV84" s="18"/>
      <c r="AFW84" s="18"/>
      <c r="AFX84" s="18"/>
      <c r="AFY84" s="18"/>
      <c r="AFZ84" s="18"/>
      <c r="AGA84" s="18"/>
      <c r="AGB84" s="18"/>
      <c r="AGC84" s="18"/>
      <c r="AGD84" s="18"/>
      <c r="AGE84" s="18"/>
      <c r="AGF84" s="18"/>
      <c r="AGG84" s="18"/>
      <c r="AGH84" s="18"/>
      <c r="AGI84" s="18"/>
      <c r="AGJ84" s="18"/>
      <c r="AGK84" s="18"/>
      <c r="AGL84" s="18"/>
      <c r="AGM84" s="18"/>
      <c r="AGN84" s="18"/>
      <c r="AGO84" s="18"/>
      <c r="AGP84" s="18"/>
      <c r="AGQ84" s="18"/>
      <c r="AGR84" s="18"/>
      <c r="AGS84" s="18"/>
      <c r="AGT84" s="18"/>
      <c r="AGU84" s="18"/>
      <c r="AGV84" s="18"/>
      <c r="AGW84" s="18"/>
      <c r="AGX84" s="18"/>
      <c r="AGY84" s="18"/>
      <c r="AGZ84" s="18"/>
      <c r="AHA84" s="18"/>
      <c r="AHB84" s="18"/>
      <c r="AHC84" s="18"/>
      <c r="AHD84" s="18"/>
      <c r="AHE84" s="18"/>
      <c r="AHF84" s="18"/>
      <c r="AHG84" s="18"/>
      <c r="AHH84" s="18"/>
      <c r="AHI84" s="18"/>
      <c r="AHJ84" s="18"/>
      <c r="AHK84" s="18"/>
      <c r="AHL84" s="18"/>
      <c r="AHM84" s="18"/>
      <c r="AHN84" s="18"/>
      <c r="AHO84" s="18"/>
      <c r="AHP84" s="18"/>
      <c r="AHQ84" s="18"/>
      <c r="AHR84" s="18"/>
      <c r="AHS84" s="18"/>
      <c r="AHT84" s="18"/>
      <c r="AHU84" s="18"/>
      <c r="AHV84" s="18"/>
      <c r="AHW84" s="18"/>
      <c r="AHX84" s="18"/>
      <c r="AHY84" s="18"/>
      <c r="AHZ84" s="18"/>
      <c r="AIA84" s="18"/>
      <c r="AIB84" s="18"/>
      <c r="AIC84" s="18"/>
      <c r="AID84" s="18"/>
      <c r="AIE84" s="18"/>
      <c r="AIF84" s="18"/>
      <c r="AIG84" s="18"/>
      <c r="AIH84" s="18"/>
      <c r="AII84" s="18"/>
      <c r="AIJ84" s="18"/>
      <c r="AIK84" s="18"/>
      <c r="AIL84" s="18"/>
      <c r="AIM84" s="18"/>
      <c r="AIN84" s="18"/>
      <c r="AIO84" s="18"/>
      <c r="AIP84" s="18"/>
      <c r="AIQ84" s="18"/>
      <c r="AIR84" s="18"/>
      <c r="AIS84" s="18"/>
      <c r="AIT84" s="18"/>
      <c r="AIU84" s="18"/>
      <c r="AIV84" s="18"/>
      <c r="AIW84" s="18"/>
      <c r="AIX84" s="18"/>
      <c r="AIY84" s="18"/>
      <c r="AIZ84" s="18"/>
      <c r="AJA84" s="18"/>
      <c r="AJB84" s="18"/>
      <c r="AJC84" s="18"/>
      <c r="AJD84" s="18"/>
      <c r="AJE84" s="18"/>
      <c r="AJF84" s="18"/>
      <c r="AJG84" s="18"/>
      <c r="AJH84" s="18"/>
      <c r="AJI84" s="18"/>
      <c r="AJJ84" s="18"/>
      <c r="AJK84" s="18"/>
      <c r="AJL84" s="18"/>
      <c r="AJM84" s="18"/>
      <c r="AJN84" s="18"/>
      <c r="AJO84" s="18"/>
      <c r="AJP84" s="18"/>
      <c r="AJQ84" s="18"/>
      <c r="AJR84" s="18"/>
      <c r="AJS84" s="18"/>
      <c r="AJT84" s="18"/>
      <c r="AJU84" s="18"/>
      <c r="AJV84" s="18"/>
      <c r="AJW84" s="18"/>
      <c r="AJX84" s="18"/>
      <c r="AJY84" s="18"/>
      <c r="AJZ84" s="18"/>
      <c r="AKA84" s="18"/>
      <c r="AKB84" s="18"/>
      <c r="AKC84" s="18"/>
      <c r="AKD84" s="18"/>
      <c r="AKE84" s="18"/>
      <c r="AKF84" s="18"/>
      <c r="AKG84" s="18"/>
      <c r="AKH84" s="18"/>
      <c r="AKI84" s="18"/>
      <c r="AKJ84" s="18"/>
      <c r="AKK84" s="18"/>
      <c r="AKL84" s="18"/>
      <c r="AKM84" s="18"/>
      <c r="AKN84" s="18"/>
      <c r="AKO84" s="18"/>
      <c r="AKP84" s="18"/>
      <c r="AKQ84" s="18"/>
      <c r="AKR84" s="18"/>
      <c r="AKS84" s="18"/>
      <c r="AKT84" s="18"/>
      <c r="AKU84" s="18"/>
      <c r="AKV84" s="18"/>
      <c r="AKW84" s="18"/>
      <c r="AKX84" s="18"/>
      <c r="AKY84" s="18"/>
      <c r="AKZ84" s="18"/>
      <c r="ALA84" s="18"/>
      <c r="ALB84" s="18"/>
      <c r="ALC84" s="18"/>
      <c r="ALD84" s="18"/>
      <c r="ALE84" s="18"/>
      <c r="ALF84" s="18"/>
      <c r="ALG84" s="18"/>
      <c r="ALH84" s="18"/>
      <c r="ALI84" s="18"/>
      <c r="ALJ84" s="18"/>
      <c r="ALK84" s="18"/>
      <c r="ALL84" s="18"/>
      <c r="ALM84" s="18"/>
      <c r="ALN84" s="18"/>
      <c r="ALO84" s="18"/>
      <c r="ALP84" s="18"/>
      <c r="ALQ84" s="18"/>
      <c r="ALR84" s="18"/>
      <c r="ALS84" s="18"/>
      <c r="ALT84" s="18"/>
    </row>
    <row r="85" spans="1:1008" ht="37.15" customHeight="1">
      <c r="A85" s="251" t="s">
        <v>6307</v>
      </c>
      <c r="B85" s="290">
        <v>348</v>
      </c>
      <c r="C85" s="278" t="str">
        <f>(IF($A85="SINAPI",INDEX(SINAPI_NOV2020_NDES!$A$7:$H$6703,MATCH($B85,SINAPI_NOV2020_NDES!$A$7:$A$6703,0),2),IF($A85="GOINFRA",INDEX(#REF!,MATCH($B85,#REF!,0),2),(INDEX(COMPOS!$A$4:$G$390,MATCH($B85,COMPOS!$A$4:A$390,0),2)))))</f>
        <v>PASSEIO DE PROTEÇÃO EM CONCRETO DESEMPENADO 5CM (1:2,5:3,5) (INCLUSO ESPELHO DE 30CM/ESCAVAÇÃO/REATERRO/APILOAMENTO/ATERRO INTERNO)</v>
      </c>
      <c r="D85" s="274" t="str">
        <f>(IF($A85="SINAPI",INDEX(SINAPI_NOV2020_NDES!$A$7:$H$6790,MATCH($B85,SINAPI_NOV2020_NDES!$A$7:$A$6790,0),3),(INDEX(COMPOS!$A$4:$G$5000,MATCH($B85,COMPOS!$A$4:$A$5000,0),3))))</f>
        <v>M2</v>
      </c>
      <c r="E85" s="314">
        <v>17.68</v>
      </c>
      <c r="F85" s="279">
        <f>(IF($A85="SINAPI",INDEX(SINAPI_NOV2020_NDES!$A$7:$H$6703,MATCH($B85,SINAPI_NOV2020_NDES!$A$7:$A$6703,0),5),(INDEX(COMPOS!$A$4:$G$801,MATCH($B85,COMPOS!$A$4:A$801,0),4))))</f>
        <v>43.421984000000002</v>
      </c>
      <c r="G85" s="280">
        <f>(IF($A85="SINAPI",INDEX(SINAPI_NOV2020_NDES!$A$7:$H$6703,MATCH($B85,SINAPI_NOV2020_NDES!$A$7:$A$6703,0),6),(INDEX(COMPOS!$A$4:$G$801,MATCH($B85,COMPOS!$A$4:A$801,0),5))))</f>
        <v>31.570292999999999</v>
      </c>
      <c r="H85" s="280">
        <f>(IF($A85="SINAPI",INDEX(SINAPI_NOV2020_NDES!$A$7:$H$6703,MATCH($B85,SINAPI_NOV2020_NDES!$A$7:$A$6703,0),7),(INDEX(COMPOS!$A$4:$G$801,MATCH($B85,COMPOS!$A$4:A$801,0),6))))</f>
        <v>0</v>
      </c>
      <c r="I85" s="279">
        <f t="shared" ref="I85:I86" si="32">SUM(F85:H85)</f>
        <v>74.992277000000001</v>
      </c>
      <c r="J85" s="276">
        <f t="shared" ref="J85:J86" si="33">+I85*E85</f>
        <v>1325.86345736</v>
      </c>
      <c r="K85" s="191"/>
      <c r="L85" s="191"/>
      <c r="M85" s="191"/>
      <c r="N85" s="191"/>
      <c r="O85" s="262"/>
      <c r="P85" s="263"/>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c r="EF85" s="18"/>
      <c r="EG85" s="18"/>
      <c r="EH85" s="18"/>
      <c r="EI85" s="18"/>
      <c r="EJ85" s="18"/>
      <c r="EK85" s="18"/>
      <c r="EL85" s="18"/>
      <c r="EM85" s="18"/>
      <c r="EN85" s="18"/>
      <c r="EO85" s="18"/>
      <c r="EP85" s="18"/>
      <c r="EQ85" s="18"/>
      <c r="ER85" s="18"/>
      <c r="ES85" s="18"/>
      <c r="ET85" s="18"/>
      <c r="EU85" s="18"/>
      <c r="EV85" s="18"/>
      <c r="EW85" s="18"/>
      <c r="EX85" s="18"/>
      <c r="EY85" s="18"/>
      <c r="EZ85" s="18"/>
      <c r="FA85" s="18"/>
      <c r="FB85" s="18"/>
      <c r="FC85" s="18"/>
      <c r="FD85" s="18"/>
      <c r="FE85" s="18"/>
      <c r="FF85" s="18"/>
      <c r="FG85" s="18"/>
      <c r="FH85" s="18"/>
      <c r="FI85" s="18"/>
      <c r="FJ85" s="18"/>
      <c r="FK85" s="18"/>
      <c r="FL85" s="18"/>
      <c r="FM85" s="18"/>
      <c r="FN85" s="18"/>
      <c r="FO85" s="18"/>
      <c r="FP85" s="18"/>
      <c r="FQ85" s="18"/>
      <c r="FR85" s="18"/>
      <c r="FS85" s="18"/>
      <c r="FT85" s="18"/>
      <c r="FU85" s="18"/>
      <c r="FV85" s="18"/>
      <c r="FW85" s="18"/>
      <c r="FX85" s="18"/>
      <c r="FY85" s="18"/>
      <c r="FZ85" s="18"/>
      <c r="GA85" s="18"/>
      <c r="GB85" s="18"/>
      <c r="GC85" s="18"/>
      <c r="GD85" s="18"/>
      <c r="GE85" s="18"/>
      <c r="GF85" s="18"/>
      <c r="GG85" s="18"/>
      <c r="GH85" s="18"/>
      <c r="GI85" s="18"/>
      <c r="GJ85" s="18"/>
      <c r="GK85" s="18"/>
      <c r="GL85" s="18"/>
      <c r="GM85" s="18"/>
      <c r="GN85" s="18"/>
      <c r="GO85" s="18"/>
      <c r="GP85" s="18"/>
      <c r="GQ85" s="18"/>
      <c r="GR85" s="18"/>
      <c r="GS85" s="18"/>
      <c r="GT85" s="18"/>
      <c r="GU85" s="18"/>
      <c r="GV85" s="18"/>
      <c r="GW85" s="18"/>
      <c r="GX85" s="18"/>
      <c r="GY85" s="18"/>
      <c r="GZ85" s="18"/>
      <c r="HA85" s="18"/>
      <c r="HB85" s="18"/>
      <c r="HC85" s="18"/>
      <c r="HD85" s="18"/>
      <c r="HE85" s="18"/>
      <c r="HF85" s="18"/>
      <c r="HG85" s="18"/>
      <c r="HH85" s="18"/>
      <c r="HI85" s="18"/>
      <c r="HJ85" s="18"/>
      <c r="HK85" s="18"/>
      <c r="HL85" s="18"/>
      <c r="HM85" s="18"/>
      <c r="HN85" s="18"/>
      <c r="HO85" s="18"/>
      <c r="HP85" s="18"/>
      <c r="HQ85" s="18"/>
      <c r="HR85" s="18"/>
      <c r="HS85" s="18"/>
      <c r="HT85" s="18"/>
      <c r="HU85" s="18"/>
      <c r="HV85" s="18"/>
      <c r="HW85" s="18"/>
      <c r="HX85" s="18"/>
      <c r="HY85" s="18"/>
      <c r="HZ85" s="18"/>
      <c r="IA85" s="18"/>
      <c r="IB85" s="18"/>
      <c r="IC85" s="18"/>
      <c r="ID85" s="18"/>
      <c r="IE85" s="18"/>
      <c r="IF85" s="18"/>
      <c r="IG85" s="18"/>
      <c r="IH85" s="18"/>
      <c r="II85" s="18"/>
      <c r="IJ85" s="18"/>
      <c r="IK85" s="18"/>
      <c r="IL85" s="18"/>
      <c r="IM85" s="18"/>
      <c r="IN85" s="18"/>
      <c r="IO85" s="18"/>
      <c r="IP85" s="18"/>
      <c r="IQ85" s="18"/>
      <c r="IR85" s="18"/>
      <c r="IS85" s="18"/>
      <c r="IT85" s="18"/>
      <c r="IU85" s="18"/>
      <c r="IV85" s="18"/>
      <c r="IW85" s="18"/>
      <c r="IX85" s="18"/>
      <c r="IY85" s="18"/>
      <c r="IZ85" s="18"/>
      <c r="JA85" s="18"/>
      <c r="JB85" s="18"/>
      <c r="JC85" s="18"/>
      <c r="JD85" s="18"/>
      <c r="JE85" s="18"/>
      <c r="JF85" s="18"/>
      <c r="JG85" s="18"/>
      <c r="JH85" s="18"/>
      <c r="JI85" s="18"/>
      <c r="JJ85" s="18"/>
      <c r="JK85" s="18"/>
      <c r="JL85" s="18"/>
      <c r="JM85" s="18"/>
      <c r="JN85" s="18"/>
      <c r="JO85" s="18"/>
      <c r="JP85" s="18"/>
      <c r="JQ85" s="18"/>
      <c r="JR85" s="18"/>
      <c r="JS85" s="18"/>
      <c r="JT85" s="18"/>
      <c r="JU85" s="18"/>
      <c r="JV85" s="18"/>
      <c r="JW85" s="18"/>
      <c r="JX85" s="18"/>
      <c r="JY85" s="18"/>
      <c r="JZ85" s="18"/>
      <c r="KA85" s="18"/>
      <c r="KB85" s="18"/>
      <c r="KC85" s="18"/>
      <c r="KD85" s="18"/>
      <c r="KE85" s="18"/>
      <c r="KF85" s="18"/>
      <c r="KG85" s="18"/>
      <c r="KH85" s="18"/>
      <c r="KI85" s="18"/>
      <c r="KJ85" s="18"/>
      <c r="KK85" s="18"/>
      <c r="KL85" s="18"/>
      <c r="KM85" s="18"/>
      <c r="KN85" s="18"/>
      <c r="KO85" s="18"/>
      <c r="KP85" s="18"/>
      <c r="KQ85" s="18"/>
      <c r="KR85" s="18"/>
      <c r="KS85" s="18"/>
      <c r="KT85" s="18"/>
      <c r="KU85" s="18"/>
      <c r="KV85" s="18"/>
      <c r="KW85" s="18"/>
      <c r="KX85" s="18"/>
      <c r="KY85" s="18"/>
      <c r="KZ85" s="18"/>
      <c r="LA85" s="18"/>
      <c r="LB85" s="18"/>
      <c r="LC85" s="18"/>
      <c r="LD85" s="18"/>
      <c r="LE85" s="18"/>
      <c r="LF85" s="18"/>
      <c r="LG85" s="18"/>
      <c r="LH85" s="18"/>
      <c r="LI85" s="18"/>
      <c r="LJ85" s="18"/>
      <c r="LK85" s="18"/>
      <c r="LL85" s="18"/>
      <c r="LM85" s="18"/>
      <c r="LN85" s="18"/>
      <c r="LO85" s="18"/>
      <c r="LP85" s="18"/>
      <c r="LQ85" s="18"/>
      <c r="LR85" s="18"/>
      <c r="LS85" s="18"/>
      <c r="LT85" s="18"/>
      <c r="LU85" s="18"/>
      <c r="LV85" s="18"/>
      <c r="LW85" s="18"/>
      <c r="LX85" s="18"/>
      <c r="LY85" s="18"/>
      <c r="LZ85" s="18"/>
      <c r="MA85" s="18"/>
      <c r="MB85" s="18"/>
      <c r="MC85" s="18"/>
      <c r="MD85" s="18"/>
      <c r="ME85" s="18"/>
      <c r="MF85" s="18"/>
      <c r="MG85" s="18"/>
      <c r="MH85" s="18"/>
      <c r="MI85" s="18"/>
      <c r="MJ85" s="18"/>
      <c r="MK85" s="18"/>
      <c r="ML85" s="18"/>
      <c r="MM85" s="18"/>
      <c r="MN85" s="18"/>
      <c r="MO85" s="18"/>
      <c r="MP85" s="18"/>
      <c r="MQ85" s="18"/>
      <c r="MR85" s="18"/>
      <c r="MS85" s="18"/>
      <c r="MT85" s="18"/>
      <c r="MU85" s="18"/>
      <c r="MV85" s="18"/>
      <c r="MW85" s="18"/>
      <c r="MX85" s="18"/>
      <c r="MY85" s="18"/>
      <c r="MZ85" s="18"/>
      <c r="NA85" s="18"/>
      <c r="NB85" s="18"/>
      <c r="NC85" s="18"/>
      <c r="ND85" s="18"/>
      <c r="NE85" s="18"/>
      <c r="NF85" s="18"/>
      <c r="NG85" s="18"/>
      <c r="NH85" s="18"/>
      <c r="NI85" s="18"/>
      <c r="NJ85" s="18"/>
      <c r="NK85" s="18"/>
      <c r="NL85" s="18"/>
      <c r="NM85" s="18"/>
      <c r="NN85" s="18"/>
      <c r="NO85" s="18"/>
      <c r="NP85" s="18"/>
      <c r="NQ85" s="18"/>
      <c r="NR85" s="18"/>
      <c r="NS85" s="18"/>
      <c r="NT85" s="18"/>
      <c r="NU85" s="18"/>
      <c r="NV85" s="18"/>
      <c r="NW85" s="18"/>
      <c r="NX85" s="18"/>
      <c r="NY85" s="18"/>
      <c r="NZ85" s="18"/>
      <c r="OA85" s="18"/>
      <c r="OB85" s="18"/>
      <c r="OC85" s="18"/>
      <c r="OD85" s="18"/>
      <c r="OE85" s="18"/>
      <c r="OF85" s="18"/>
      <c r="OG85" s="18"/>
      <c r="OH85" s="18"/>
      <c r="OI85" s="18"/>
      <c r="OJ85" s="18"/>
      <c r="OK85" s="18"/>
      <c r="OL85" s="18"/>
      <c r="OM85" s="18"/>
      <c r="ON85" s="18"/>
      <c r="OO85" s="18"/>
      <c r="OP85" s="18"/>
      <c r="OQ85" s="18"/>
      <c r="OR85" s="18"/>
      <c r="OS85" s="18"/>
      <c r="OT85" s="18"/>
      <c r="OU85" s="18"/>
      <c r="OV85" s="18"/>
      <c r="OW85" s="18"/>
      <c r="OX85" s="18"/>
      <c r="OY85" s="18"/>
      <c r="OZ85" s="18"/>
      <c r="PA85" s="18"/>
      <c r="PB85" s="18"/>
      <c r="PC85" s="18"/>
      <c r="PD85" s="18"/>
      <c r="PE85" s="18"/>
      <c r="PF85" s="18"/>
      <c r="PG85" s="18"/>
      <c r="PH85" s="18"/>
      <c r="PI85" s="18"/>
      <c r="PJ85" s="18"/>
      <c r="PK85" s="18"/>
      <c r="PL85" s="18"/>
      <c r="PM85" s="18"/>
      <c r="PN85" s="18"/>
      <c r="PO85" s="18"/>
      <c r="PP85" s="18"/>
      <c r="PQ85" s="18"/>
      <c r="PR85" s="18"/>
      <c r="PS85" s="18"/>
      <c r="PT85" s="18"/>
      <c r="PU85" s="18"/>
      <c r="PV85" s="18"/>
      <c r="PW85" s="18"/>
      <c r="PX85" s="18"/>
      <c r="PY85" s="18"/>
      <c r="PZ85" s="18"/>
      <c r="QA85" s="18"/>
      <c r="QB85" s="18"/>
      <c r="QC85" s="18"/>
      <c r="QD85" s="18"/>
      <c r="QE85" s="18"/>
      <c r="QF85" s="18"/>
      <c r="QG85" s="18"/>
      <c r="QH85" s="18"/>
      <c r="QI85" s="18"/>
      <c r="QJ85" s="18"/>
      <c r="QK85" s="18"/>
      <c r="QL85" s="18"/>
      <c r="QM85" s="18"/>
      <c r="QN85" s="18"/>
      <c r="QO85" s="18"/>
      <c r="QP85" s="18"/>
      <c r="QQ85" s="18"/>
      <c r="QR85" s="18"/>
      <c r="QS85" s="18"/>
      <c r="QT85" s="18"/>
      <c r="QU85" s="18"/>
      <c r="QV85" s="18"/>
      <c r="QW85" s="18"/>
      <c r="QX85" s="18"/>
      <c r="QY85" s="18"/>
      <c r="QZ85" s="18"/>
      <c r="RA85" s="18"/>
      <c r="RB85" s="18"/>
      <c r="RC85" s="18"/>
      <c r="RD85" s="18"/>
      <c r="RE85" s="18"/>
      <c r="RF85" s="18"/>
      <c r="RG85" s="18"/>
      <c r="RH85" s="18"/>
      <c r="RI85" s="18"/>
      <c r="RJ85" s="18"/>
      <c r="RK85" s="18"/>
      <c r="RL85" s="18"/>
      <c r="RM85" s="18"/>
      <c r="RN85" s="18"/>
      <c r="RO85" s="18"/>
      <c r="RP85" s="18"/>
      <c r="RQ85" s="18"/>
      <c r="RR85" s="18"/>
      <c r="RS85" s="18"/>
      <c r="RT85" s="18"/>
      <c r="RU85" s="18"/>
      <c r="RV85" s="18"/>
      <c r="RW85" s="18"/>
      <c r="RX85" s="18"/>
      <c r="RY85" s="18"/>
      <c r="RZ85" s="18"/>
      <c r="SA85" s="18"/>
      <c r="SB85" s="18"/>
      <c r="SC85" s="18"/>
      <c r="SD85" s="18"/>
      <c r="SE85" s="18"/>
      <c r="SF85" s="18"/>
      <c r="SG85" s="18"/>
      <c r="SH85" s="18"/>
      <c r="SI85" s="18"/>
      <c r="SJ85" s="18"/>
      <c r="SK85" s="18"/>
      <c r="SL85" s="18"/>
      <c r="SM85" s="18"/>
      <c r="SN85" s="18"/>
      <c r="SO85" s="18"/>
      <c r="SP85" s="18"/>
      <c r="SQ85" s="18"/>
      <c r="SR85" s="18"/>
      <c r="SS85" s="18"/>
      <c r="ST85" s="18"/>
      <c r="SU85" s="18"/>
      <c r="SV85" s="18"/>
      <c r="SW85" s="18"/>
      <c r="SX85" s="18"/>
      <c r="SY85" s="18"/>
      <c r="SZ85" s="18"/>
      <c r="TA85" s="18"/>
      <c r="TB85" s="18"/>
      <c r="TC85" s="18"/>
      <c r="TD85" s="18"/>
      <c r="TE85" s="18"/>
      <c r="TF85" s="18"/>
      <c r="TG85" s="18"/>
      <c r="TH85" s="18"/>
      <c r="TI85" s="18"/>
      <c r="TJ85" s="18"/>
      <c r="TK85" s="18"/>
      <c r="TL85" s="18"/>
      <c r="TM85" s="18"/>
      <c r="TN85" s="18"/>
      <c r="TO85" s="18"/>
      <c r="TP85" s="18"/>
      <c r="TQ85" s="18"/>
      <c r="TR85" s="18"/>
      <c r="TS85" s="18"/>
      <c r="TT85" s="18"/>
      <c r="TU85" s="18"/>
      <c r="TV85" s="18"/>
      <c r="TW85" s="18"/>
      <c r="TX85" s="18"/>
      <c r="TY85" s="18"/>
      <c r="TZ85" s="18"/>
      <c r="UA85" s="18"/>
      <c r="UB85" s="18"/>
      <c r="UC85" s="18"/>
      <c r="UD85" s="18"/>
      <c r="UE85" s="18"/>
      <c r="UF85" s="18"/>
      <c r="UG85" s="18"/>
      <c r="UH85" s="18"/>
      <c r="UI85" s="18"/>
      <c r="UJ85" s="18"/>
      <c r="UK85" s="18"/>
      <c r="UL85" s="18"/>
      <c r="UM85" s="18"/>
      <c r="UN85" s="18"/>
      <c r="UO85" s="18"/>
      <c r="UP85" s="18"/>
      <c r="UQ85" s="18"/>
      <c r="UR85" s="18"/>
      <c r="US85" s="18"/>
      <c r="UT85" s="18"/>
      <c r="UU85" s="18"/>
      <c r="UV85" s="18"/>
      <c r="UW85" s="18"/>
      <c r="UX85" s="18"/>
      <c r="UY85" s="18"/>
      <c r="UZ85" s="18"/>
      <c r="VA85" s="18"/>
      <c r="VB85" s="18"/>
      <c r="VC85" s="18"/>
      <c r="VD85" s="18"/>
      <c r="VE85" s="18"/>
      <c r="VF85" s="18"/>
      <c r="VG85" s="18"/>
      <c r="VH85" s="18"/>
      <c r="VI85" s="18"/>
      <c r="VJ85" s="18"/>
      <c r="VK85" s="18"/>
      <c r="VL85" s="18"/>
      <c r="VM85" s="18"/>
      <c r="VN85" s="18"/>
      <c r="VO85" s="18"/>
      <c r="VP85" s="18"/>
      <c r="VQ85" s="18"/>
      <c r="VR85" s="18"/>
      <c r="VS85" s="18"/>
      <c r="VT85" s="18"/>
      <c r="VU85" s="18"/>
      <c r="VV85" s="18"/>
      <c r="VW85" s="18"/>
      <c r="VX85" s="18"/>
      <c r="VY85" s="18"/>
      <c r="VZ85" s="18"/>
      <c r="WA85" s="18"/>
      <c r="WB85" s="18"/>
      <c r="WC85" s="18"/>
      <c r="WD85" s="18"/>
      <c r="WE85" s="18"/>
      <c r="WF85" s="18"/>
      <c r="WG85" s="18"/>
      <c r="WH85" s="18"/>
      <c r="WI85" s="18"/>
      <c r="WJ85" s="18"/>
      <c r="WK85" s="18"/>
      <c r="WL85" s="18"/>
      <c r="WM85" s="18"/>
      <c r="WN85" s="18"/>
      <c r="WO85" s="18"/>
      <c r="WP85" s="18"/>
      <c r="WQ85" s="18"/>
      <c r="WR85" s="18"/>
      <c r="WS85" s="18"/>
      <c r="WT85" s="18"/>
      <c r="WU85" s="18"/>
      <c r="WV85" s="18"/>
      <c r="WW85" s="18"/>
      <c r="WX85" s="18"/>
      <c r="WY85" s="18"/>
      <c r="WZ85" s="18"/>
      <c r="XA85" s="18"/>
      <c r="XB85" s="18"/>
      <c r="XC85" s="18"/>
      <c r="XD85" s="18"/>
      <c r="XE85" s="18"/>
      <c r="XF85" s="18"/>
      <c r="XG85" s="18"/>
      <c r="XH85" s="18"/>
      <c r="XI85" s="18"/>
      <c r="XJ85" s="18"/>
      <c r="XK85" s="18"/>
      <c r="XL85" s="18"/>
      <c r="XM85" s="18"/>
      <c r="XN85" s="18"/>
      <c r="XO85" s="18"/>
      <c r="XP85" s="18"/>
      <c r="XQ85" s="18"/>
      <c r="XR85" s="18"/>
      <c r="XS85" s="18"/>
      <c r="XT85" s="18"/>
      <c r="XU85" s="18"/>
      <c r="XV85" s="18"/>
      <c r="XW85" s="18"/>
      <c r="XX85" s="18"/>
      <c r="XY85" s="18"/>
      <c r="XZ85" s="18"/>
      <c r="YA85" s="18"/>
      <c r="YB85" s="18"/>
      <c r="YC85" s="18"/>
      <c r="YD85" s="18"/>
      <c r="YE85" s="18"/>
      <c r="YF85" s="18"/>
      <c r="YG85" s="18"/>
      <c r="YH85" s="18"/>
      <c r="YI85" s="18"/>
      <c r="YJ85" s="18"/>
      <c r="YK85" s="18"/>
      <c r="YL85" s="18"/>
      <c r="YM85" s="18"/>
      <c r="YN85" s="18"/>
      <c r="YO85" s="18"/>
      <c r="YP85" s="18"/>
      <c r="YQ85" s="18"/>
      <c r="YR85" s="18"/>
      <c r="YS85" s="18"/>
      <c r="YT85" s="18"/>
      <c r="YU85" s="18"/>
      <c r="YV85" s="18"/>
      <c r="YW85" s="18"/>
      <c r="YX85" s="18"/>
      <c r="YY85" s="18"/>
      <c r="YZ85" s="18"/>
      <c r="ZA85" s="18"/>
      <c r="ZB85" s="18"/>
      <c r="ZC85" s="18"/>
      <c r="ZD85" s="18"/>
      <c r="ZE85" s="18"/>
      <c r="ZF85" s="18"/>
      <c r="ZG85" s="18"/>
      <c r="ZH85" s="18"/>
      <c r="ZI85" s="18"/>
      <c r="ZJ85" s="18"/>
      <c r="ZK85" s="18"/>
      <c r="ZL85" s="18"/>
      <c r="ZM85" s="18"/>
      <c r="ZN85" s="18"/>
      <c r="ZO85" s="18"/>
      <c r="ZP85" s="18"/>
      <c r="ZQ85" s="18"/>
      <c r="ZR85" s="18"/>
      <c r="ZS85" s="18"/>
      <c r="ZT85" s="18"/>
      <c r="ZU85" s="18"/>
      <c r="ZV85" s="18"/>
      <c r="ZW85" s="18"/>
      <c r="ZX85" s="18"/>
      <c r="ZY85" s="18"/>
      <c r="ZZ85" s="18"/>
      <c r="AAA85" s="18"/>
      <c r="AAB85" s="18"/>
      <c r="AAC85" s="18"/>
      <c r="AAD85" s="18"/>
      <c r="AAE85" s="18"/>
      <c r="AAF85" s="18"/>
      <c r="AAG85" s="18"/>
      <c r="AAH85" s="18"/>
      <c r="AAI85" s="18"/>
      <c r="AAJ85" s="18"/>
      <c r="AAK85" s="18"/>
      <c r="AAL85" s="18"/>
      <c r="AAM85" s="18"/>
      <c r="AAN85" s="18"/>
      <c r="AAO85" s="18"/>
      <c r="AAP85" s="18"/>
      <c r="AAQ85" s="18"/>
      <c r="AAR85" s="18"/>
      <c r="AAS85" s="18"/>
      <c r="AAT85" s="18"/>
      <c r="AAU85" s="18"/>
      <c r="AAV85" s="18"/>
      <c r="AAW85" s="18"/>
      <c r="AAX85" s="18"/>
      <c r="AAY85" s="18"/>
      <c r="AAZ85" s="18"/>
      <c r="ABA85" s="18"/>
      <c r="ABB85" s="18"/>
      <c r="ABC85" s="18"/>
      <c r="ABD85" s="18"/>
      <c r="ABE85" s="18"/>
      <c r="ABF85" s="18"/>
      <c r="ABG85" s="18"/>
      <c r="ABH85" s="18"/>
      <c r="ABI85" s="18"/>
      <c r="ABJ85" s="18"/>
      <c r="ABK85" s="18"/>
      <c r="ABL85" s="18"/>
      <c r="ABM85" s="18"/>
      <c r="ABN85" s="18"/>
      <c r="ABO85" s="18"/>
      <c r="ABP85" s="18"/>
      <c r="ABQ85" s="18"/>
      <c r="ABR85" s="18"/>
      <c r="ABS85" s="18"/>
      <c r="ABT85" s="18"/>
      <c r="ABU85" s="18"/>
      <c r="ABV85" s="18"/>
      <c r="ABW85" s="18"/>
      <c r="ABX85" s="18"/>
      <c r="ABY85" s="18"/>
      <c r="ABZ85" s="18"/>
      <c r="ACA85" s="18"/>
      <c r="ACB85" s="18"/>
      <c r="ACC85" s="18"/>
      <c r="ACD85" s="18"/>
      <c r="ACE85" s="18"/>
      <c r="ACF85" s="18"/>
      <c r="ACG85" s="18"/>
      <c r="ACH85" s="18"/>
      <c r="ACI85" s="18"/>
      <c r="ACJ85" s="18"/>
      <c r="ACK85" s="18"/>
      <c r="ACL85" s="18"/>
      <c r="ACM85" s="18"/>
      <c r="ACN85" s="18"/>
      <c r="ACO85" s="18"/>
      <c r="ACP85" s="18"/>
      <c r="ACQ85" s="18"/>
      <c r="ACR85" s="18"/>
      <c r="ACS85" s="18"/>
      <c r="ACT85" s="18"/>
      <c r="ACU85" s="18"/>
      <c r="ACV85" s="18"/>
      <c r="ACW85" s="18"/>
      <c r="ACX85" s="18"/>
      <c r="ACY85" s="18"/>
      <c r="ACZ85" s="18"/>
      <c r="ADA85" s="18"/>
      <c r="ADB85" s="18"/>
      <c r="ADC85" s="18"/>
      <c r="ADD85" s="18"/>
      <c r="ADE85" s="18"/>
      <c r="ADF85" s="18"/>
      <c r="ADG85" s="18"/>
      <c r="ADH85" s="18"/>
      <c r="ADI85" s="18"/>
      <c r="ADJ85" s="18"/>
      <c r="ADK85" s="18"/>
      <c r="ADL85" s="18"/>
      <c r="ADM85" s="18"/>
      <c r="ADN85" s="18"/>
      <c r="ADO85" s="18"/>
      <c r="ADP85" s="18"/>
      <c r="ADQ85" s="18"/>
      <c r="ADR85" s="18"/>
      <c r="ADS85" s="18"/>
      <c r="ADT85" s="18"/>
      <c r="ADU85" s="18"/>
      <c r="ADV85" s="18"/>
      <c r="ADW85" s="18"/>
      <c r="ADX85" s="18"/>
      <c r="ADY85" s="18"/>
      <c r="ADZ85" s="18"/>
      <c r="AEA85" s="18"/>
      <c r="AEB85" s="18"/>
      <c r="AEC85" s="18"/>
      <c r="AED85" s="18"/>
      <c r="AEE85" s="18"/>
      <c r="AEF85" s="18"/>
      <c r="AEG85" s="18"/>
      <c r="AEH85" s="18"/>
      <c r="AEI85" s="18"/>
      <c r="AEJ85" s="18"/>
      <c r="AEK85" s="18"/>
      <c r="AEL85" s="18"/>
      <c r="AEM85" s="18"/>
      <c r="AEN85" s="18"/>
      <c r="AEO85" s="18"/>
      <c r="AEP85" s="18"/>
      <c r="AEQ85" s="18"/>
      <c r="AER85" s="18"/>
      <c r="AES85" s="18"/>
      <c r="AET85" s="18"/>
      <c r="AEU85" s="18"/>
      <c r="AEV85" s="18"/>
      <c r="AEW85" s="18"/>
      <c r="AEX85" s="18"/>
      <c r="AEY85" s="18"/>
      <c r="AEZ85" s="18"/>
      <c r="AFA85" s="18"/>
      <c r="AFB85" s="18"/>
      <c r="AFC85" s="18"/>
      <c r="AFD85" s="18"/>
      <c r="AFE85" s="18"/>
      <c r="AFF85" s="18"/>
      <c r="AFG85" s="18"/>
      <c r="AFH85" s="18"/>
      <c r="AFI85" s="18"/>
      <c r="AFJ85" s="18"/>
      <c r="AFK85" s="18"/>
      <c r="AFL85" s="18"/>
      <c r="AFM85" s="18"/>
      <c r="AFN85" s="18"/>
      <c r="AFO85" s="18"/>
      <c r="AFP85" s="18"/>
      <c r="AFQ85" s="18"/>
      <c r="AFR85" s="18"/>
      <c r="AFS85" s="18"/>
      <c r="AFT85" s="18"/>
      <c r="AFU85" s="18"/>
      <c r="AFV85" s="18"/>
      <c r="AFW85" s="18"/>
      <c r="AFX85" s="18"/>
      <c r="AFY85" s="18"/>
      <c r="AFZ85" s="18"/>
      <c r="AGA85" s="18"/>
      <c r="AGB85" s="18"/>
      <c r="AGC85" s="18"/>
      <c r="AGD85" s="18"/>
      <c r="AGE85" s="18"/>
      <c r="AGF85" s="18"/>
      <c r="AGG85" s="18"/>
      <c r="AGH85" s="18"/>
      <c r="AGI85" s="18"/>
      <c r="AGJ85" s="18"/>
      <c r="AGK85" s="18"/>
      <c r="AGL85" s="18"/>
      <c r="AGM85" s="18"/>
      <c r="AGN85" s="18"/>
      <c r="AGO85" s="18"/>
      <c r="AGP85" s="18"/>
      <c r="AGQ85" s="18"/>
      <c r="AGR85" s="18"/>
      <c r="AGS85" s="18"/>
      <c r="AGT85" s="18"/>
      <c r="AGU85" s="18"/>
      <c r="AGV85" s="18"/>
      <c r="AGW85" s="18"/>
      <c r="AGX85" s="18"/>
      <c r="AGY85" s="18"/>
      <c r="AGZ85" s="18"/>
      <c r="AHA85" s="18"/>
      <c r="AHB85" s="18"/>
      <c r="AHC85" s="18"/>
      <c r="AHD85" s="18"/>
      <c r="AHE85" s="18"/>
      <c r="AHF85" s="18"/>
      <c r="AHG85" s="18"/>
      <c r="AHH85" s="18"/>
      <c r="AHI85" s="18"/>
      <c r="AHJ85" s="18"/>
      <c r="AHK85" s="18"/>
      <c r="AHL85" s="18"/>
      <c r="AHM85" s="18"/>
      <c r="AHN85" s="18"/>
      <c r="AHO85" s="18"/>
      <c r="AHP85" s="18"/>
      <c r="AHQ85" s="18"/>
      <c r="AHR85" s="18"/>
      <c r="AHS85" s="18"/>
      <c r="AHT85" s="18"/>
      <c r="AHU85" s="18"/>
      <c r="AHV85" s="18"/>
      <c r="AHW85" s="18"/>
      <c r="AHX85" s="18"/>
      <c r="AHY85" s="18"/>
      <c r="AHZ85" s="18"/>
      <c r="AIA85" s="18"/>
      <c r="AIB85" s="18"/>
      <c r="AIC85" s="18"/>
      <c r="AID85" s="18"/>
      <c r="AIE85" s="18"/>
      <c r="AIF85" s="18"/>
      <c r="AIG85" s="18"/>
      <c r="AIH85" s="18"/>
      <c r="AII85" s="18"/>
      <c r="AIJ85" s="18"/>
      <c r="AIK85" s="18"/>
      <c r="AIL85" s="18"/>
      <c r="AIM85" s="18"/>
      <c r="AIN85" s="18"/>
      <c r="AIO85" s="18"/>
      <c r="AIP85" s="18"/>
      <c r="AIQ85" s="18"/>
      <c r="AIR85" s="18"/>
      <c r="AIS85" s="18"/>
      <c r="AIT85" s="18"/>
      <c r="AIU85" s="18"/>
      <c r="AIV85" s="18"/>
      <c r="AIW85" s="18"/>
      <c r="AIX85" s="18"/>
      <c r="AIY85" s="18"/>
      <c r="AIZ85" s="18"/>
      <c r="AJA85" s="18"/>
      <c r="AJB85" s="18"/>
      <c r="AJC85" s="18"/>
      <c r="AJD85" s="18"/>
      <c r="AJE85" s="18"/>
      <c r="AJF85" s="18"/>
      <c r="AJG85" s="18"/>
      <c r="AJH85" s="18"/>
      <c r="AJI85" s="18"/>
      <c r="AJJ85" s="18"/>
      <c r="AJK85" s="18"/>
      <c r="AJL85" s="18"/>
      <c r="AJM85" s="18"/>
      <c r="AJN85" s="18"/>
      <c r="AJO85" s="18"/>
      <c r="AJP85" s="18"/>
      <c r="AJQ85" s="18"/>
      <c r="AJR85" s="18"/>
      <c r="AJS85" s="18"/>
      <c r="AJT85" s="18"/>
      <c r="AJU85" s="18"/>
      <c r="AJV85" s="18"/>
      <c r="AJW85" s="18"/>
      <c r="AJX85" s="18"/>
      <c r="AJY85" s="18"/>
      <c r="AJZ85" s="18"/>
      <c r="AKA85" s="18"/>
      <c r="AKB85" s="18"/>
      <c r="AKC85" s="18"/>
      <c r="AKD85" s="18"/>
      <c r="AKE85" s="18"/>
      <c r="AKF85" s="18"/>
      <c r="AKG85" s="18"/>
      <c r="AKH85" s="18"/>
      <c r="AKI85" s="18"/>
      <c r="AKJ85" s="18"/>
      <c r="AKK85" s="18"/>
      <c r="AKL85" s="18"/>
      <c r="AKM85" s="18"/>
      <c r="AKN85" s="18"/>
      <c r="AKO85" s="18"/>
      <c r="AKP85" s="18"/>
      <c r="AKQ85" s="18"/>
      <c r="AKR85" s="18"/>
      <c r="AKS85" s="18"/>
      <c r="AKT85" s="18"/>
      <c r="AKU85" s="18"/>
      <c r="AKV85" s="18"/>
      <c r="AKW85" s="18"/>
      <c r="AKX85" s="18"/>
      <c r="AKY85" s="18"/>
      <c r="AKZ85" s="18"/>
      <c r="ALA85" s="18"/>
      <c r="ALB85" s="18"/>
      <c r="ALC85" s="18"/>
      <c r="ALD85" s="18"/>
      <c r="ALE85" s="18"/>
      <c r="ALF85" s="18"/>
      <c r="ALG85" s="18"/>
      <c r="ALH85" s="18"/>
      <c r="ALI85" s="18"/>
      <c r="ALJ85" s="18"/>
      <c r="ALK85" s="18"/>
      <c r="ALL85" s="18"/>
      <c r="ALM85" s="18"/>
      <c r="ALN85" s="18"/>
      <c r="ALO85" s="18"/>
      <c r="ALP85" s="18"/>
      <c r="ALQ85" s="18"/>
      <c r="ALR85" s="18"/>
      <c r="ALS85" s="18"/>
      <c r="ALT85" s="18"/>
    </row>
    <row r="86" spans="1:1008" ht="36">
      <c r="A86" s="251" t="s">
        <v>7</v>
      </c>
      <c r="B86" s="290">
        <v>87248</v>
      </c>
      <c r="C86" s="278" t="str">
        <f>(IF($A86="SINAPI",INDEX(SINAPI_NOV2020_NDES!$A$7:$H$6703,MATCH($B86,SINAPI_NOV2020_NDES!$A$7:$A$6703,0),2),IF($A86="GOINFRA",INDEX(#REF!,MATCH($B86,#REF!,0),2),(INDEX(COMPOS!$A$4:$G$390,MATCH($B86,COMPOS!$A$4:A$390,0),2)))))</f>
        <v>REVESTIMENTO CERÂMICO PARA PISO COM PLACAS TIPO ESMALTADA EXTRA DE DIMENSÕES 35X35 CM APLICADA EM AMBIENTES DE ÁREA MAIOR QUE 10 M2. AF_06/2014</v>
      </c>
      <c r="D86" s="274" t="str">
        <f>(IF($A86="SINAPI",INDEX(SINAPI_NOV2020_NDES!$A$7:$H$6790,MATCH($B86,SINAPI_NOV2020_NDES!$A$7:$A$6790,0),3),(INDEX(COMPOS!$A$4:$G$5000,MATCH($B86,COMPOS!$A$4:$A$5000,0),3))))</f>
        <v>M2</v>
      </c>
      <c r="E86" s="314">
        <f>21.924*2</f>
        <v>43.847999999999999</v>
      </c>
      <c r="F86" s="279">
        <f>(IF($A86="SINAPI",INDEX(SINAPI_NOV2020_NDES!$A$7:$H$6703,MATCH($B86,SINAPI_NOV2020_NDES!$A$7:$A$6703,0),5),(INDEX(COMPOS!$A$4:$G$801,MATCH($B86,COMPOS!$A$4:A$801,0),4))))</f>
        <v>5.68</v>
      </c>
      <c r="G86" s="280">
        <f>(IF($A86="SINAPI",INDEX(SINAPI_NOV2020_NDES!$A$7:$H$6703,MATCH($B86,SINAPI_NOV2020_NDES!$A$7:$A$6703,0),6),(INDEX(COMPOS!$A$4:$G$801,MATCH($B86,COMPOS!$A$4:A$801,0),5))))</f>
        <v>23.42</v>
      </c>
      <c r="H86" s="280">
        <f>(IF($A86="SINAPI",INDEX(SINAPI_NOV2020_NDES!$A$7:$H$6703,MATCH($B86,SINAPI_NOV2020_NDES!$A$7:$A$6703,0),7),(INDEX(COMPOS!$A$4:$G$801,MATCH($B86,COMPOS!$A$4:A$801,0),6))))</f>
        <v>0</v>
      </c>
      <c r="I86" s="279">
        <f t="shared" si="32"/>
        <v>29.1</v>
      </c>
      <c r="J86" s="276">
        <f t="shared" si="33"/>
        <v>1275.9768000000001</v>
      </c>
      <c r="K86" s="191"/>
      <c r="L86" s="191"/>
      <c r="M86" s="191"/>
      <c r="N86" s="191"/>
      <c r="O86" s="262"/>
      <c r="P86" s="263"/>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c r="EF86" s="18"/>
      <c r="EG86" s="18"/>
      <c r="EH86" s="18"/>
      <c r="EI86" s="18"/>
      <c r="EJ86" s="18"/>
      <c r="EK86" s="18"/>
      <c r="EL86" s="18"/>
      <c r="EM86" s="18"/>
      <c r="EN86" s="18"/>
      <c r="EO86" s="18"/>
      <c r="EP86" s="18"/>
      <c r="EQ86" s="18"/>
      <c r="ER86" s="18"/>
      <c r="ES86" s="18"/>
      <c r="ET86" s="18"/>
      <c r="EU86" s="18"/>
      <c r="EV86" s="18"/>
      <c r="EW86" s="18"/>
      <c r="EX86" s="18"/>
      <c r="EY86" s="18"/>
      <c r="EZ86" s="18"/>
      <c r="FA86" s="18"/>
      <c r="FB86" s="18"/>
      <c r="FC86" s="18"/>
      <c r="FD86" s="18"/>
      <c r="FE86" s="18"/>
      <c r="FF86" s="18"/>
      <c r="FG86" s="18"/>
      <c r="FH86" s="18"/>
      <c r="FI86" s="18"/>
      <c r="FJ86" s="18"/>
      <c r="FK86" s="18"/>
      <c r="FL86" s="18"/>
      <c r="FM86" s="18"/>
      <c r="FN86" s="18"/>
      <c r="FO86" s="18"/>
      <c r="FP86" s="18"/>
      <c r="FQ86" s="18"/>
      <c r="FR86" s="18"/>
      <c r="FS86" s="18"/>
      <c r="FT86" s="18"/>
      <c r="FU86" s="18"/>
      <c r="FV86" s="18"/>
      <c r="FW86" s="18"/>
      <c r="FX86" s="18"/>
      <c r="FY86" s="18"/>
      <c r="FZ86" s="18"/>
      <c r="GA86" s="18"/>
      <c r="GB86" s="18"/>
      <c r="GC86" s="18"/>
      <c r="GD86" s="18"/>
      <c r="GE86" s="18"/>
      <c r="GF86" s="18"/>
      <c r="GG86" s="18"/>
      <c r="GH86" s="18"/>
      <c r="GI86" s="18"/>
      <c r="GJ86" s="18"/>
      <c r="GK86" s="18"/>
      <c r="GL86" s="18"/>
      <c r="GM86" s="18"/>
      <c r="GN86" s="18"/>
      <c r="GO86" s="18"/>
      <c r="GP86" s="18"/>
      <c r="GQ86" s="18"/>
      <c r="GR86" s="18"/>
      <c r="GS86" s="18"/>
      <c r="GT86" s="18"/>
      <c r="GU86" s="18"/>
      <c r="GV86" s="18"/>
      <c r="GW86" s="18"/>
      <c r="GX86" s="18"/>
      <c r="GY86" s="18"/>
      <c r="GZ86" s="18"/>
      <c r="HA86" s="18"/>
      <c r="HB86" s="18"/>
      <c r="HC86" s="18"/>
      <c r="HD86" s="18"/>
      <c r="HE86" s="18"/>
      <c r="HF86" s="18"/>
      <c r="HG86" s="18"/>
      <c r="HH86" s="18"/>
      <c r="HI86" s="18"/>
      <c r="HJ86" s="18"/>
      <c r="HK86" s="18"/>
      <c r="HL86" s="18"/>
      <c r="HM86" s="18"/>
      <c r="HN86" s="18"/>
      <c r="HO86" s="18"/>
      <c r="HP86" s="18"/>
      <c r="HQ86" s="18"/>
      <c r="HR86" s="18"/>
      <c r="HS86" s="18"/>
      <c r="HT86" s="18"/>
      <c r="HU86" s="18"/>
      <c r="HV86" s="18"/>
      <c r="HW86" s="18"/>
      <c r="HX86" s="18"/>
      <c r="HY86" s="18"/>
      <c r="HZ86" s="18"/>
      <c r="IA86" s="18"/>
      <c r="IB86" s="18"/>
      <c r="IC86" s="18"/>
      <c r="ID86" s="18"/>
      <c r="IE86" s="18"/>
      <c r="IF86" s="18"/>
      <c r="IG86" s="18"/>
      <c r="IH86" s="18"/>
      <c r="II86" s="18"/>
      <c r="IJ86" s="18"/>
      <c r="IK86" s="18"/>
      <c r="IL86" s="18"/>
      <c r="IM86" s="18"/>
      <c r="IN86" s="18"/>
      <c r="IO86" s="18"/>
      <c r="IP86" s="18"/>
      <c r="IQ86" s="18"/>
      <c r="IR86" s="18"/>
      <c r="IS86" s="18"/>
      <c r="IT86" s="18"/>
      <c r="IU86" s="18"/>
      <c r="IV86" s="18"/>
      <c r="IW86" s="18"/>
      <c r="IX86" s="18"/>
      <c r="IY86" s="18"/>
      <c r="IZ86" s="18"/>
      <c r="JA86" s="18"/>
      <c r="JB86" s="18"/>
      <c r="JC86" s="18"/>
      <c r="JD86" s="18"/>
      <c r="JE86" s="18"/>
      <c r="JF86" s="18"/>
      <c r="JG86" s="18"/>
      <c r="JH86" s="18"/>
      <c r="JI86" s="18"/>
      <c r="JJ86" s="18"/>
      <c r="JK86" s="18"/>
      <c r="JL86" s="18"/>
      <c r="JM86" s="18"/>
      <c r="JN86" s="18"/>
      <c r="JO86" s="18"/>
      <c r="JP86" s="18"/>
      <c r="JQ86" s="18"/>
      <c r="JR86" s="18"/>
      <c r="JS86" s="18"/>
      <c r="JT86" s="18"/>
      <c r="JU86" s="18"/>
      <c r="JV86" s="18"/>
      <c r="JW86" s="18"/>
      <c r="JX86" s="18"/>
      <c r="JY86" s="18"/>
      <c r="JZ86" s="18"/>
      <c r="KA86" s="18"/>
      <c r="KB86" s="18"/>
      <c r="KC86" s="18"/>
      <c r="KD86" s="18"/>
      <c r="KE86" s="18"/>
      <c r="KF86" s="18"/>
      <c r="KG86" s="18"/>
      <c r="KH86" s="18"/>
      <c r="KI86" s="18"/>
      <c r="KJ86" s="18"/>
      <c r="KK86" s="18"/>
      <c r="KL86" s="18"/>
      <c r="KM86" s="18"/>
      <c r="KN86" s="18"/>
      <c r="KO86" s="18"/>
      <c r="KP86" s="18"/>
      <c r="KQ86" s="18"/>
      <c r="KR86" s="18"/>
      <c r="KS86" s="18"/>
      <c r="KT86" s="18"/>
      <c r="KU86" s="18"/>
      <c r="KV86" s="18"/>
      <c r="KW86" s="18"/>
      <c r="KX86" s="18"/>
      <c r="KY86" s="18"/>
      <c r="KZ86" s="18"/>
      <c r="LA86" s="18"/>
      <c r="LB86" s="18"/>
      <c r="LC86" s="18"/>
      <c r="LD86" s="18"/>
      <c r="LE86" s="18"/>
      <c r="LF86" s="18"/>
      <c r="LG86" s="18"/>
      <c r="LH86" s="18"/>
      <c r="LI86" s="18"/>
      <c r="LJ86" s="18"/>
      <c r="LK86" s="18"/>
      <c r="LL86" s="18"/>
      <c r="LM86" s="18"/>
      <c r="LN86" s="18"/>
      <c r="LO86" s="18"/>
      <c r="LP86" s="18"/>
      <c r="LQ86" s="18"/>
      <c r="LR86" s="18"/>
      <c r="LS86" s="18"/>
      <c r="LT86" s="18"/>
      <c r="LU86" s="18"/>
      <c r="LV86" s="18"/>
      <c r="LW86" s="18"/>
      <c r="LX86" s="18"/>
      <c r="LY86" s="18"/>
      <c r="LZ86" s="18"/>
      <c r="MA86" s="18"/>
      <c r="MB86" s="18"/>
      <c r="MC86" s="18"/>
      <c r="MD86" s="18"/>
      <c r="ME86" s="18"/>
      <c r="MF86" s="18"/>
      <c r="MG86" s="18"/>
      <c r="MH86" s="18"/>
      <c r="MI86" s="18"/>
      <c r="MJ86" s="18"/>
      <c r="MK86" s="18"/>
      <c r="ML86" s="18"/>
      <c r="MM86" s="18"/>
      <c r="MN86" s="18"/>
      <c r="MO86" s="18"/>
      <c r="MP86" s="18"/>
      <c r="MQ86" s="18"/>
      <c r="MR86" s="18"/>
      <c r="MS86" s="18"/>
      <c r="MT86" s="18"/>
      <c r="MU86" s="18"/>
      <c r="MV86" s="18"/>
      <c r="MW86" s="18"/>
      <c r="MX86" s="18"/>
      <c r="MY86" s="18"/>
      <c r="MZ86" s="18"/>
      <c r="NA86" s="18"/>
      <c r="NB86" s="18"/>
      <c r="NC86" s="18"/>
      <c r="ND86" s="18"/>
      <c r="NE86" s="18"/>
      <c r="NF86" s="18"/>
      <c r="NG86" s="18"/>
      <c r="NH86" s="18"/>
      <c r="NI86" s="18"/>
      <c r="NJ86" s="18"/>
      <c r="NK86" s="18"/>
      <c r="NL86" s="18"/>
      <c r="NM86" s="18"/>
      <c r="NN86" s="18"/>
      <c r="NO86" s="18"/>
      <c r="NP86" s="18"/>
      <c r="NQ86" s="18"/>
      <c r="NR86" s="18"/>
      <c r="NS86" s="18"/>
      <c r="NT86" s="18"/>
      <c r="NU86" s="18"/>
      <c r="NV86" s="18"/>
      <c r="NW86" s="18"/>
      <c r="NX86" s="18"/>
      <c r="NY86" s="18"/>
      <c r="NZ86" s="18"/>
      <c r="OA86" s="18"/>
      <c r="OB86" s="18"/>
      <c r="OC86" s="18"/>
      <c r="OD86" s="18"/>
      <c r="OE86" s="18"/>
      <c r="OF86" s="18"/>
      <c r="OG86" s="18"/>
      <c r="OH86" s="18"/>
      <c r="OI86" s="18"/>
      <c r="OJ86" s="18"/>
      <c r="OK86" s="18"/>
      <c r="OL86" s="18"/>
      <c r="OM86" s="18"/>
      <c r="ON86" s="18"/>
      <c r="OO86" s="18"/>
      <c r="OP86" s="18"/>
      <c r="OQ86" s="18"/>
      <c r="OR86" s="18"/>
      <c r="OS86" s="18"/>
      <c r="OT86" s="18"/>
      <c r="OU86" s="18"/>
      <c r="OV86" s="18"/>
      <c r="OW86" s="18"/>
      <c r="OX86" s="18"/>
      <c r="OY86" s="18"/>
      <c r="OZ86" s="18"/>
      <c r="PA86" s="18"/>
      <c r="PB86" s="18"/>
      <c r="PC86" s="18"/>
      <c r="PD86" s="18"/>
      <c r="PE86" s="18"/>
      <c r="PF86" s="18"/>
      <c r="PG86" s="18"/>
      <c r="PH86" s="18"/>
      <c r="PI86" s="18"/>
      <c r="PJ86" s="18"/>
      <c r="PK86" s="18"/>
      <c r="PL86" s="18"/>
      <c r="PM86" s="18"/>
      <c r="PN86" s="18"/>
      <c r="PO86" s="18"/>
      <c r="PP86" s="18"/>
      <c r="PQ86" s="18"/>
      <c r="PR86" s="18"/>
      <c r="PS86" s="18"/>
      <c r="PT86" s="18"/>
      <c r="PU86" s="18"/>
      <c r="PV86" s="18"/>
      <c r="PW86" s="18"/>
      <c r="PX86" s="18"/>
      <c r="PY86" s="18"/>
      <c r="PZ86" s="18"/>
      <c r="QA86" s="18"/>
      <c r="QB86" s="18"/>
      <c r="QC86" s="18"/>
      <c r="QD86" s="18"/>
      <c r="QE86" s="18"/>
      <c r="QF86" s="18"/>
      <c r="QG86" s="18"/>
      <c r="QH86" s="18"/>
      <c r="QI86" s="18"/>
      <c r="QJ86" s="18"/>
      <c r="QK86" s="18"/>
      <c r="QL86" s="18"/>
      <c r="QM86" s="18"/>
      <c r="QN86" s="18"/>
      <c r="QO86" s="18"/>
      <c r="QP86" s="18"/>
      <c r="QQ86" s="18"/>
      <c r="QR86" s="18"/>
      <c r="QS86" s="18"/>
      <c r="QT86" s="18"/>
      <c r="QU86" s="18"/>
      <c r="QV86" s="18"/>
      <c r="QW86" s="18"/>
      <c r="QX86" s="18"/>
      <c r="QY86" s="18"/>
      <c r="QZ86" s="18"/>
      <c r="RA86" s="18"/>
      <c r="RB86" s="18"/>
      <c r="RC86" s="18"/>
      <c r="RD86" s="18"/>
      <c r="RE86" s="18"/>
      <c r="RF86" s="18"/>
      <c r="RG86" s="18"/>
      <c r="RH86" s="18"/>
      <c r="RI86" s="18"/>
      <c r="RJ86" s="18"/>
      <c r="RK86" s="18"/>
      <c r="RL86" s="18"/>
      <c r="RM86" s="18"/>
      <c r="RN86" s="18"/>
      <c r="RO86" s="18"/>
      <c r="RP86" s="18"/>
      <c r="RQ86" s="18"/>
      <c r="RR86" s="18"/>
      <c r="RS86" s="18"/>
      <c r="RT86" s="18"/>
      <c r="RU86" s="18"/>
      <c r="RV86" s="18"/>
      <c r="RW86" s="18"/>
      <c r="RX86" s="18"/>
      <c r="RY86" s="18"/>
      <c r="RZ86" s="18"/>
      <c r="SA86" s="18"/>
      <c r="SB86" s="18"/>
      <c r="SC86" s="18"/>
      <c r="SD86" s="18"/>
      <c r="SE86" s="18"/>
      <c r="SF86" s="18"/>
      <c r="SG86" s="18"/>
      <c r="SH86" s="18"/>
      <c r="SI86" s="18"/>
      <c r="SJ86" s="18"/>
      <c r="SK86" s="18"/>
      <c r="SL86" s="18"/>
      <c r="SM86" s="18"/>
      <c r="SN86" s="18"/>
      <c r="SO86" s="18"/>
      <c r="SP86" s="18"/>
      <c r="SQ86" s="18"/>
      <c r="SR86" s="18"/>
      <c r="SS86" s="18"/>
      <c r="ST86" s="18"/>
      <c r="SU86" s="18"/>
      <c r="SV86" s="18"/>
      <c r="SW86" s="18"/>
      <c r="SX86" s="18"/>
      <c r="SY86" s="18"/>
      <c r="SZ86" s="18"/>
      <c r="TA86" s="18"/>
      <c r="TB86" s="18"/>
      <c r="TC86" s="18"/>
      <c r="TD86" s="18"/>
      <c r="TE86" s="18"/>
      <c r="TF86" s="18"/>
      <c r="TG86" s="18"/>
      <c r="TH86" s="18"/>
      <c r="TI86" s="18"/>
      <c r="TJ86" s="18"/>
      <c r="TK86" s="18"/>
      <c r="TL86" s="18"/>
      <c r="TM86" s="18"/>
      <c r="TN86" s="18"/>
      <c r="TO86" s="18"/>
      <c r="TP86" s="18"/>
      <c r="TQ86" s="18"/>
      <c r="TR86" s="18"/>
      <c r="TS86" s="18"/>
      <c r="TT86" s="18"/>
      <c r="TU86" s="18"/>
      <c r="TV86" s="18"/>
      <c r="TW86" s="18"/>
      <c r="TX86" s="18"/>
      <c r="TY86" s="18"/>
      <c r="TZ86" s="18"/>
      <c r="UA86" s="18"/>
      <c r="UB86" s="18"/>
      <c r="UC86" s="18"/>
      <c r="UD86" s="18"/>
      <c r="UE86" s="18"/>
      <c r="UF86" s="18"/>
      <c r="UG86" s="18"/>
      <c r="UH86" s="18"/>
      <c r="UI86" s="18"/>
      <c r="UJ86" s="18"/>
      <c r="UK86" s="18"/>
      <c r="UL86" s="18"/>
      <c r="UM86" s="18"/>
      <c r="UN86" s="18"/>
      <c r="UO86" s="18"/>
      <c r="UP86" s="18"/>
      <c r="UQ86" s="18"/>
      <c r="UR86" s="18"/>
      <c r="US86" s="18"/>
      <c r="UT86" s="18"/>
      <c r="UU86" s="18"/>
      <c r="UV86" s="18"/>
      <c r="UW86" s="18"/>
      <c r="UX86" s="18"/>
      <c r="UY86" s="18"/>
      <c r="UZ86" s="18"/>
      <c r="VA86" s="18"/>
      <c r="VB86" s="18"/>
      <c r="VC86" s="18"/>
      <c r="VD86" s="18"/>
      <c r="VE86" s="18"/>
      <c r="VF86" s="18"/>
      <c r="VG86" s="18"/>
      <c r="VH86" s="18"/>
      <c r="VI86" s="18"/>
      <c r="VJ86" s="18"/>
      <c r="VK86" s="18"/>
      <c r="VL86" s="18"/>
      <c r="VM86" s="18"/>
      <c r="VN86" s="18"/>
      <c r="VO86" s="18"/>
      <c r="VP86" s="18"/>
      <c r="VQ86" s="18"/>
      <c r="VR86" s="18"/>
      <c r="VS86" s="18"/>
      <c r="VT86" s="18"/>
      <c r="VU86" s="18"/>
      <c r="VV86" s="18"/>
      <c r="VW86" s="18"/>
      <c r="VX86" s="18"/>
      <c r="VY86" s="18"/>
      <c r="VZ86" s="18"/>
      <c r="WA86" s="18"/>
      <c r="WB86" s="18"/>
      <c r="WC86" s="18"/>
      <c r="WD86" s="18"/>
      <c r="WE86" s="18"/>
      <c r="WF86" s="18"/>
      <c r="WG86" s="18"/>
      <c r="WH86" s="18"/>
      <c r="WI86" s="18"/>
      <c r="WJ86" s="18"/>
      <c r="WK86" s="18"/>
      <c r="WL86" s="18"/>
      <c r="WM86" s="18"/>
      <c r="WN86" s="18"/>
      <c r="WO86" s="18"/>
      <c r="WP86" s="18"/>
      <c r="WQ86" s="18"/>
      <c r="WR86" s="18"/>
      <c r="WS86" s="18"/>
      <c r="WT86" s="18"/>
      <c r="WU86" s="18"/>
      <c r="WV86" s="18"/>
      <c r="WW86" s="18"/>
      <c r="WX86" s="18"/>
      <c r="WY86" s="18"/>
      <c r="WZ86" s="18"/>
      <c r="XA86" s="18"/>
      <c r="XB86" s="18"/>
      <c r="XC86" s="18"/>
      <c r="XD86" s="18"/>
      <c r="XE86" s="18"/>
      <c r="XF86" s="18"/>
      <c r="XG86" s="18"/>
      <c r="XH86" s="18"/>
      <c r="XI86" s="18"/>
      <c r="XJ86" s="18"/>
      <c r="XK86" s="18"/>
      <c r="XL86" s="18"/>
      <c r="XM86" s="18"/>
      <c r="XN86" s="18"/>
      <c r="XO86" s="18"/>
      <c r="XP86" s="18"/>
      <c r="XQ86" s="18"/>
      <c r="XR86" s="18"/>
      <c r="XS86" s="18"/>
      <c r="XT86" s="18"/>
      <c r="XU86" s="18"/>
      <c r="XV86" s="18"/>
      <c r="XW86" s="18"/>
      <c r="XX86" s="18"/>
      <c r="XY86" s="18"/>
      <c r="XZ86" s="18"/>
      <c r="YA86" s="18"/>
      <c r="YB86" s="18"/>
      <c r="YC86" s="18"/>
      <c r="YD86" s="18"/>
      <c r="YE86" s="18"/>
      <c r="YF86" s="18"/>
      <c r="YG86" s="18"/>
      <c r="YH86" s="18"/>
      <c r="YI86" s="18"/>
      <c r="YJ86" s="18"/>
      <c r="YK86" s="18"/>
      <c r="YL86" s="18"/>
      <c r="YM86" s="18"/>
      <c r="YN86" s="18"/>
      <c r="YO86" s="18"/>
      <c r="YP86" s="18"/>
      <c r="YQ86" s="18"/>
      <c r="YR86" s="18"/>
      <c r="YS86" s="18"/>
      <c r="YT86" s="18"/>
      <c r="YU86" s="18"/>
      <c r="YV86" s="18"/>
      <c r="YW86" s="18"/>
      <c r="YX86" s="18"/>
      <c r="YY86" s="18"/>
      <c r="YZ86" s="18"/>
      <c r="ZA86" s="18"/>
      <c r="ZB86" s="18"/>
      <c r="ZC86" s="18"/>
      <c r="ZD86" s="18"/>
      <c r="ZE86" s="18"/>
      <c r="ZF86" s="18"/>
      <c r="ZG86" s="18"/>
      <c r="ZH86" s="18"/>
      <c r="ZI86" s="18"/>
      <c r="ZJ86" s="18"/>
      <c r="ZK86" s="18"/>
      <c r="ZL86" s="18"/>
      <c r="ZM86" s="18"/>
      <c r="ZN86" s="18"/>
      <c r="ZO86" s="18"/>
      <c r="ZP86" s="18"/>
      <c r="ZQ86" s="18"/>
      <c r="ZR86" s="18"/>
      <c r="ZS86" s="18"/>
      <c r="ZT86" s="18"/>
      <c r="ZU86" s="18"/>
      <c r="ZV86" s="18"/>
      <c r="ZW86" s="18"/>
      <c r="ZX86" s="18"/>
      <c r="ZY86" s="18"/>
      <c r="ZZ86" s="18"/>
      <c r="AAA86" s="18"/>
      <c r="AAB86" s="18"/>
      <c r="AAC86" s="18"/>
      <c r="AAD86" s="18"/>
      <c r="AAE86" s="18"/>
      <c r="AAF86" s="18"/>
      <c r="AAG86" s="18"/>
      <c r="AAH86" s="18"/>
      <c r="AAI86" s="18"/>
      <c r="AAJ86" s="18"/>
      <c r="AAK86" s="18"/>
      <c r="AAL86" s="18"/>
      <c r="AAM86" s="18"/>
      <c r="AAN86" s="18"/>
      <c r="AAO86" s="18"/>
      <c r="AAP86" s="18"/>
      <c r="AAQ86" s="18"/>
      <c r="AAR86" s="18"/>
      <c r="AAS86" s="18"/>
      <c r="AAT86" s="18"/>
      <c r="AAU86" s="18"/>
      <c r="AAV86" s="18"/>
      <c r="AAW86" s="18"/>
      <c r="AAX86" s="18"/>
      <c r="AAY86" s="18"/>
      <c r="AAZ86" s="18"/>
      <c r="ABA86" s="18"/>
      <c r="ABB86" s="18"/>
      <c r="ABC86" s="18"/>
      <c r="ABD86" s="18"/>
      <c r="ABE86" s="18"/>
      <c r="ABF86" s="18"/>
      <c r="ABG86" s="18"/>
      <c r="ABH86" s="18"/>
      <c r="ABI86" s="18"/>
      <c r="ABJ86" s="18"/>
      <c r="ABK86" s="18"/>
      <c r="ABL86" s="18"/>
      <c r="ABM86" s="18"/>
      <c r="ABN86" s="18"/>
      <c r="ABO86" s="18"/>
      <c r="ABP86" s="18"/>
      <c r="ABQ86" s="18"/>
      <c r="ABR86" s="18"/>
      <c r="ABS86" s="18"/>
      <c r="ABT86" s="18"/>
      <c r="ABU86" s="18"/>
      <c r="ABV86" s="18"/>
      <c r="ABW86" s="18"/>
      <c r="ABX86" s="18"/>
      <c r="ABY86" s="18"/>
      <c r="ABZ86" s="18"/>
      <c r="ACA86" s="18"/>
      <c r="ACB86" s="18"/>
      <c r="ACC86" s="18"/>
      <c r="ACD86" s="18"/>
      <c r="ACE86" s="18"/>
      <c r="ACF86" s="18"/>
      <c r="ACG86" s="18"/>
      <c r="ACH86" s="18"/>
      <c r="ACI86" s="18"/>
      <c r="ACJ86" s="18"/>
      <c r="ACK86" s="18"/>
      <c r="ACL86" s="18"/>
      <c r="ACM86" s="18"/>
      <c r="ACN86" s="18"/>
      <c r="ACO86" s="18"/>
      <c r="ACP86" s="18"/>
      <c r="ACQ86" s="18"/>
      <c r="ACR86" s="18"/>
      <c r="ACS86" s="18"/>
      <c r="ACT86" s="18"/>
      <c r="ACU86" s="18"/>
      <c r="ACV86" s="18"/>
      <c r="ACW86" s="18"/>
      <c r="ACX86" s="18"/>
      <c r="ACY86" s="18"/>
      <c r="ACZ86" s="18"/>
      <c r="ADA86" s="18"/>
      <c r="ADB86" s="18"/>
      <c r="ADC86" s="18"/>
      <c r="ADD86" s="18"/>
      <c r="ADE86" s="18"/>
      <c r="ADF86" s="18"/>
      <c r="ADG86" s="18"/>
      <c r="ADH86" s="18"/>
      <c r="ADI86" s="18"/>
      <c r="ADJ86" s="18"/>
      <c r="ADK86" s="18"/>
      <c r="ADL86" s="18"/>
      <c r="ADM86" s="18"/>
      <c r="ADN86" s="18"/>
      <c r="ADO86" s="18"/>
      <c r="ADP86" s="18"/>
      <c r="ADQ86" s="18"/>
      <c r="ADR86" s="18"/>
      <c r="ADS86" s="18"/>
      <c r="ADT86" s="18"/>
      <c r="ADU86" s="18"/>
      <c r="ADV86" s="18"/>
      <c r="ADW86" s="18"/>
      <c r="ADX86" s="18"/>
      <c r="ADY86" s="18"/>
      <c r="ADZ86" s="18"/>
      <c r="AEA86" s="18"/>
      <c r="AEB86" s="18"/>
      <c r="AEC86" s="18"/>
      <c r="AED86" s="18"/>
      <c r="AEE86" s="18"/>
      <c r="AEF86" s="18"/>
      <c r="AEG86" s="18"/>
      <c r="AEH86" s="18"/>
      <c r="AEI86" s="18"/>
      <c r="AEJ86" s="18"/>
      <c r="AEK86" s="18"/>
      <c r="AEL86" s="18"/>
      <c r="AEM86" s="18"/>
      <c r="AEN86" s="18"/>
      <c r="AEO86" s="18"/>
      <c r="AEP86" s="18"/>
      <c r="AEQ86" s="18"/>
      <c r="AER86" s="18"/>
      <c r="AES86" s="18"/>
      <c r="AET86" s="18"/>
      <c r="AEU86" s="18"/>
      <c r="AEV86" s="18"/>
      <c r="AEW86" s="18"/>
      <c r="AEX86" s="18"/>
      <c r="AEY86" s="18"/>
      <c r="AEZ86" s="18"/>
      <c r="AFA86" s="18"/>
      <c r="AFB86" s="18"/>
      <c r="AFC86" s="18"/>
      <c r="AFD86" s="18"/>
      <c r="AFE86" s="18"/>
      <c r="AFF86" s="18"/>
      <c r="AFG86" s="18"/>
      <c r="AFH86" s="18"/>
      <c r="AFI86" s="18"/>
      <c r="AFJ86" s="18"/>
      <c r="AFK86" s="18"/>
      <c r="AFL86" s="18"/>
      <c r="AFM86" s="18"/>
      <c r="AFN86" s="18"/>
      <c r="AFO86" s="18"/>
      <c r="AFP86" s="18"/>
      <c r="AFQ86" s="18"/>
      <c r="AFR86" s="18"/>
      <c r="AFS86" s="18"/>
      <c r="AFT86" s="18"/>
      <c r="AFU86" s="18"/>
      <c r="AFV86" s="18"/>
      <c r="AFW86" s="18"/>
      <c r="AFX86" s="18"/>
      <c r="AFY86" s="18"/>
      <c r="AFZ86" s="18"/>
      <c r="AGA86" s="18"/>
      <c r="AGB86" s="18"/>
      <c r="AGC86" s="18"/>
      <c r="AGD86" s="18"/>
      <c r="AGE86" s="18"/>
      <c r="AGF86" s="18"/>
      <c r="AGG86" s="18"/>
      <c r="AGH86" s="18"/>
      <c r="AGI86" s="18"/>
      <c r="AGJ86" s="18"/>
      <c r="AGK86" s="18"/>
      <c r="AGL86" s="18"/>
      <c r="AGM86" s="18"/>
      <c r="AGN86" s="18"/>
      <c r="AGO86" s="18"/>
      <c r="AGP86" s="18"/>
      <c r="AGQ86" s="18"/>
      <c r="AGR86" s="18"/>
      <c r="AGS86" s="18"/>
      <c r="AGT86" s="18"/>
      <c r="AGU86" s="18"/>
      <c r="AGV86" s="18"/>
      <c r="AGW86" s="18"/>
      <c r="AGX86" s="18"/>
      <c r="AGY86" s="18"/>
      <c r="AGZ86" s="18"/>
      <c r="AHA86" s="18"/>
      <c r="AHB86" s="18"/>
      <c r="AHC86" s="18"/>
      <c r="AHD86" s="18"/>
      <c r="AHE86" s="18"/>
      <c r="AHF86" s="18"/>
      <c r="AHG86" s="18"/>
      <c r="AHH86" s="18"/>
      <c r="AHI86" s="18"/>
      <c r="AHJ86" s="18"/>
      <c r="AHK86" s="18"/>
      <c r="AHL86" s="18"/>
      <c r="AHM86" s="18"/>
      <c r="AHN86" s="18"/>
      <c r="AHO86" s="18"/>
      <c r="AHP86" s="18"/>
      <c r="AHQ86" s="18"/>
      <c r="AHR86" s="18"/>
      <c r="AHS86" s="18"/>
      <c r="AHT86" s="18"/>
      <c r="AHU86" s="18"/>
      <c r="AHV86" s="18"/>
      <c r="AHW86" s="18"/>
      <c r="AHX86" s="18"/>
      <c r="AHY86" s="18"/>
      <c r="AHZ86" s="18"/>
      <c r="AIA86" s="18"/>
      <c r="AIB86" s="18"/>
      <c r="AIC86" s="18"/>
      <c r="AID86" s="18"/>
      <c r="AIE86" s="18"/>
      <c r="AIF86" s="18"/>
      <c r="AIG86" s="18"/>
      <c r="AIH86" s="18"/>
      <c r="AII86" s="18"/>
      <c r="AIJ86" s="18"/>
      <c r="AIK86" s="18"/>
      <c r="AIL86" s="18"/>
      <c r="AIM86" s="18"/>
      <c r="AIN86" s="18"/>
      <c r="AIO86" s="18"/>
      <c r="AIP86" s="18"/>
      <c r="AIQ86" s="18"/>
      <c r="AIR86" s="18"/>
      <c r="AIS86" s="18"/>
      <c r="AIT86" s="18"/>
      <c r="AIU86" s="18"/>
      <c r="AIV86" s="18"/>
      <c r="AIW86" s="18"/>
      <c r="AIX86" s="18"/>
      <c r="AIY86" s="18"/>
      <c r="AIZ86" s="18"/>
      <c r="AJA86" s="18"/>
      <c r="AJB86" s="18"/>
      <c r="AJC86" s="18"/>
      <c r="AJD86" s="18"/>
      <c r="AJE86" s="18"/>
      <c r="AJF86" s="18"/>
      <c r="AJG86" s="18"/>
      <c r="AJH86" s="18"/>
      <c r="AJI86" s="18"/>
      <c r="AJJ86" s="18"/>
      <c r="AJK86" s="18"/>
      <c r="AJL86" s="18"/>
      <c r="AJM86" s="18"/>
      <c r="AJN86" s="18"/>
      <c r="AJO86" s="18"/>
      <c r="AJP86" s="18"/>
      <c r="AJQ86" s="18"/>
      <c r="AJR86" s="18"/>
      <c r="AJS86" s="18"/>
      <c r="AJT86" s="18"/>
      <c r="AJU86" s="18"/>
      <c r="AJV86" s="18"/>
      <c r="AJW86" s="18"/>
      <c r="AJX86" s="18"/>
      <c r="AJY86" s="18"/>
      <c r="AJZ86" s="18"/>
      <c r="AKA86" s="18"/>
      <c r="AKB86" s="18"/>
      <c r="AKC86" s="18"/>
      <c r="AKD86" s="18"/>
      <c r="AKE86" s="18"/>
      <c r="AKF86" s="18"/>
      <c r="AKG86" s="18"/>
      <c r="AKH86" s="18"/>
      <c r="AKI86" s="18"/>
      <c r="AKJ86" s="18"/>
      <c r="AKK86" s="18"/>
      <c r="AKL86" s="18"/>
      <c r="AKM86" s="18"/>
      <c r="AKN86" s="18"/>
      <c r="AKO86" s="18"/>
      <c r="AKP86" s="18"/>
      <c r="AKQ86" s="18"/>
      <c r="AKR86" s="18"/>
      <c r="AKS86" s="18"/>
      <c r="AKT86" s="18"/>
      <c r="AKU86" s="18"/>
      <c r="AKV86" s="18"/>
      <c r="AKW86" s="18"/>
      <c r="AKX86" s="18"/>
      <c r="AKY86" s="18"/>
      <c r="AKZ86" s="18"/>
      <c r="ALA86" s="18"/>
      <c r="ALB86" s="18"/>
      <c r="ALC86" s="18"/>
      <c r="ALD86" s="18"/>
      <c r="ALE86" s="18"/>
      <c r="ALF86" s="18"/>
      <c r="ALG86" s="18"/>
      <c r="ALH86" s="18"/>
      <c r="ALI86" s="18"/>
      <c r="ALJ86" s="18"/>
      <c r="ALK86" s="18"/>
      <c r="ALL86" s="18"/>
      <c r="ALM86" s="18"/>
      <c r="ALN86" s="18"/>
      <c r="ALO86" s="18"/>
      <c r="ALP86" s="18"/>
      <c r="ALQ86" s="18"/>
      <c r="ALR86" s="18"/>
      <c r="ALS86" s="18"/>
      <c r="ALT86" s="18"/>
    </row>
    <row r="87" spans="1:1008" s="88" customFormat="1" ht="24" customHeight="1">
      <c r="A87" s="680" t="s">
        <v>6927</v>
      </c>
      <c r="B87" s="680"/>
      <c r="C87" s="680"/>
      <c r="D87" s="680"/>
      <c r="E87" s="680"/>
      <c r="F87" s="680"/>
      <c r="G87" s="680"/>
      <c r="H87" s="680"/>
      <c r="I87" s="680"/>
      <c r="J87" s="281">
        <f>SUM(J84:J86)</f>
        <v>3690.5860973600002</v>
      </c>
      <c r="K87" s="191"/>
      <c r="L87" s="191"/>
      <c r="M87" s="191"/>
      <c r="N87" s="191"/>
      <c r="O87" s="191"/>
      <c r="P87" s="263"/>
    </row>
    <row r="88" spans="1:1008">
      <c r="A88" s="337"/>
      <c r="B88" s="370">
        <v>185</v>
      </c>
      <c r="C88" s="340" t="s">
        <v>590</v>
      </c>
      <c r="D88" s="274"/>
      <c r="E88" s="276"/>
      <c r="F88" s="276"/>
      <c r="G88" s="276"/>
      <c r="H88" s="276"/>
      <c r="I88" s="276"/>
      <c r="J88" s="276"/>
      <c r="K88" s="191"/>
      <c r="L88" s="191"/>
      <c r="M88" s="191"/>
      <c r="N88" s="191"/>
      <c r="O88" s="191"/>
      <c r="P88" s="263"/>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c r="EF88" s="18"/>
      <c r="EG88" s="18"/>
      <c r="EH88" s="18"/>
      <c r="EI88" s="18"/>
      <c r="EJ88" s="18"/>
      <c r="EK88" s="18"/>
      <c r="EL88" s="18"/>
      <c r="EM88" s="18"/>
      <c r="EN88" s="18"/>
      <c r="EO88" s="18"/>
      <c r="EP88" s="18"/>
      <c r="EQ88" s="18"/>
      <c r="ER88" s="18"/>
      <c r="ES88" s="18"/>
      <c r="ET88" s="18"/>
      <c r="EU88" s="18"/>
      <c r="EV88" s="18"/>
      <c r="EW88" s="18"/>
      <c r="EX88" s="18"/>
      <c r="EY88" s="18"/>
      <c r="EZ88" s="18"/>
      <c r="FA88" s="18"/>
      <c r="FB88" s="18"/>
      <c r="FC88" s="18"/>
      <c r="FD88" s="18"/>
      <c r="FE88" s="18"/>
      <c r="FF88" s="18"/>
      <c r="FG88" s="18"/>
      <c r="FH88" s="18"/>
      <c r="FI88" s="18"/>
      <c r="FJ88" s="18"/>
      <c r="FK88" s="18"/>
      <c r="FL88" s="18"/>
      <c r="FM88" s="18"/>
      <c r="FN88" s="18"/>
      <c r="FO88" s="18"/>
      <c r="FP88" s="18"/>
      <c r="FQ88" s="18"/>
      <c r="FR88" s="18"/>
      <c r="FS88" s="18"/>
      <c r="FT88" s="18"/>
      <c r="FU88" s="18"/>
      <c r="FV88" s="18"/>
      <c r="FW88" s="18"/>
      <c r="FX88" s="18"/>
      <c r="FY88" s="18"/>
      <c r="FZ88" s="18"/>
      <c r="GA88" s="18"/>
      <c r="GB88" s="18"/>
      <c r="GC88" s="18"/>
      <c r="GD88" s="18"/>
      <c r="GE88" s="18"/>
      <c r="GF88" s="18"/>
      <c r="GG88" s="18"/>
      <c r="GH88" s="18"/>
      <c r="GI88" s="18"/>
      <c r="GJ88" s="18"/>
      <c r="GK88" s="18"/>
      <c r="GL88" s="18"/>
      <c r="GM88" s="18"/>
      <c r="GN88" s="18"/>
      <c r="GO88" s="18"/>
      <c r="GP88" s="18"/>
      <c r="GQ88" s="18"/>
      <c r="GR88" s="18"/>
      <c r="GS88" s="18"/>
      <c r="GT88" s="18"/>
      <c r="GU88" s="18"/>
      <c r="GV88" s="18"/>
      <c r="GW88" s="18"/>
      <c r="GX88" s="18"/>
      <c r="GY88" s="18"/>
      <c r="GZ88" s="18"/>
      <c r="HA88" s="18"/>
      <c r="HB88" s="18"/>
      <c r="HC88" s="18"/>
      <c r="HD88" s="18"/>
      <c r="HE88" s="18"/>
      <c r="HF88" s="18"/>
      <c r="HG88" s="18"/>
      <c r="HH88" s="18"/>
      <c r="HI88" s="18"/>
      <c r="HJ88" s="18"/>
      <c r="HK88" s="18"/>
      <c r="HL88" s="18"/>
      <c r="HM88" s="18"/>
      <c r="HN88" s="18"/>
      <c r="HO88" s="18"/>
      <c r="HP88" s="18"/>
      <c r="HQ88" s="18"/>
      <c r="HR88" s="18"/>
      <c r="HS88" s="18"/>
      <c r="HT88" s="18"/>
      <c r="HU88" s="18"/>
      <c r="HV88" s="18"/>
      <c r="HW88" s="18"/>
      <c r="HX88" s="18"/>
      <c r="HY88" s="18"/>
      <c r="HZ88" s="18"/>
      <c r="IA88" s="18"/>
      <c r="IB88" s="18"/>
      <c r="IC88" s="18"/>
      <c r="ID88" s="18"/>
      <c r="IE88" s="18"/>
      <c r="IF88" s="18"/>
      <c r="IG88" s="18"/>
      <c r="IH88" s="18"/>
      <c r="II88" s="18"/>
      <c r="IJ88" s="18"/>
      <c r="IK88" s="18"/>
      <c r="IL88" s="18"/>
      <c r="IM88" s="18"/>
      <c r="IN88" s="18"/>
      <c r="IO88" s="18"/>
      <c r="IP88" s="18"/>
      <c r="IQ88" s="18"/>
      <c r="IR88" s="18"/>
      <c r="IS88" s="18"/>
      <c r="IT88" s="18"/>
      <c r="IU88" s="18"/>
      <c r="IV88" s="18"/>
      <c r="IW88" s="18"/>
      <c r="IX88" s="18"/>
      <c r="IY88" s="18"/>
      <c r="IZ88" s="18"/>
      <c r="JA88" s="18"/>
      <c r="JB88" s="18"/>
      <c r="JC88" s="18"/>
      <c r="JD88" s="18"/>
      <c r="JE88" s="18"/>
      <c r="JF88" s="18"/>
      <c r="JG88" s="18"/>
      <c r="JH88" s="18"/>
      <c r="JI88" s="18"/>
      <c r="JJ88" s="18"/>
      <c r="JK88" s="18"/>
      <c r="JL88" s="18"/>
      <c r="JM88" s="18"/>
      <c r="JN88" s="18"/>
      <c r="JO88" s="18"/>
      <c r="JP88" s="18"/>
      <c r="JQ88" s="18"/>
      <c r="JR88" s="18"/>
      <c r="JS88" s="18"/>
      <c r="JT88" s="18"/>
      <c r="JU88" s="18"/>
      <c r="JV88" s="18"/>
      <c r="JW88" s="18"/>
      <c r="JX88" s="18"/>
      <c r="JY88" s="18"/>
      <c r="JZ88" s="18"/>
      <c r="KA88" s="18"/>
      <c r="KB88" s="18"/>
      <c r="KC88" s="18"/>
      <c r="KD88" s="18"/>
      <c r="KE88" s="18"/>
      <c r="KF88" s="18"/>
      <c r="KG88" s="18"/>
      <c r="KH88" s="18"/>
      <c r="KI88" s="18"/>
      <c r="KJ88" s="18"/>
      <c r="KK88" s="18"/>
      <c r="KL88" s="18"/>
      <c r="KM88" s="18"/>
      <c r="KN88" s="18"/>
      <c r="KO88" s="18"/>
      <c r="KP88" s="18"/>
      <c r="KQ88" s="18"/>
      <c r="KR88" s="18"/>
      <c r="KS88" s="18"/>
      <c r="KT88" s="18"/>
      <c r="KU88" s="18"/>
      <c r="KV88" s="18"/>
      <c r="KW88" s="18"/>
      <c r="KX88" s="18"/>
      <c r="KY88" s="18"/>
      <c r="KZ88" s="18"/>
      <c r="LA88" s="18"/>
      <c r="LB88" s="18"/>
      <c r="LC88" s="18"/>
      <c r="LD88" s="18"/>
      <c r="LE88" s="18"/>
      <c r="LF88" s="18"/>
      <c r="LG88" s="18"/>
      <c r="LH88" s="18"/>
      <c r="LI88" s="18"/>
      <c r="LJ88" s="18"/>
      <c r="LK88" s="18"/>
      <c r="LL88" s="18"/>
      <c r="LM88" s="18"/>
      <c r="LN88" s="18"/>
      <c r="LO88" s="18"/>
      <c r="LP88" s="18"/>
      <c r="LQ88" s="18"/>
      <c r="LR88" s="18"/>
      <c r="LS88" s="18"/>
      <c r="LT88" s="18"/>
      <c r="LU88" s="18"/>
      <c r="LV88" s="18"/>
      <c r="LW88" s="18"/>
      <c r="LX88" s="18"/>
      <c r="LY88" s="18"/>
      <c r="LZ88" s="18"/>
      <c r="MA88" s="18"/>
      <c r="MB88" s="18"/>
      <c r="MC88" s="18"/>
      <c r="MD88" s="18"/>
      <c r="ME88" s="18"/>
      <c r="MF88" s="18"/>
      <c r="MG88" s="18"/>
      <c r="MH88" s="18"/>
      <c r="MI88" s="18"/>
      <c r="MJ88" s="18"/>
      <c r="MK88" s="18"/>
      <c r="ML88" s="18"/>
      <c r="MM88" s="18"/>
      <c r="MN88" s="18"/>
      <c r="MO88" s="18"/>
      <c r="MP88" s="18"/>
      <c r="MQ88" s="18"/>
      <c r="MR88" s="18"/>
      <c r="MS88" s="18"/>
      <c r="MT88" s="18"/>
      <c r="MU88" s="18"/>
      <c r="MV88" s="18"/>
      <c r="MW88" s="18"/>
      <c r="MX88" s="18"/>
      <c r="MY88" s="18"/>
      <c r="MZ88" s="18"/>
      <c r="NA88" s="18"/>
      <c r="NB88" s="18"/>
      <c r="NC88" s="18"/>
      <c r="ND88" s="18"/>
      <c r="NE88" s="18"/>
      <c r="NF88" s="18"/>
      <c r="NG88" s="18"/>
      <c r="NH88" s="18"/>
      <c r="NI88" s="18"/>
      <c r="NJ88" s="18"/>
      <c r="NK88" s="18"/>
      <c r="NL88" s="18"/>
      <c r="NM88" s="18"/>
      <c r="NN88" s="18"/>
      <c r="NO88" s="18"/>
      <c r="NP88" s="18"/>
      <c r="NQ88" s="18"/>
      <c r="NR88" s="18"/>
      <c r="NS88" s="18"/>
      <c r="NT88" s="18"/>
      <c r="NU88" s="18"/>
      <c r="NV88" s="18"/>
      <c r="NW88" s="18"/>
      <c r="NX88" s="18"/>
      <c r="NY88" s="18"/>
      <c r="NZ88" s="18"/>
      <c r="OA88" s="18"/>
      <c r="OB88" s="18"/>
      <c r="OC88" s="18"/>
      <c r="OD88" s="18"/>
      <c r="OE88" s="18"/>
      <c r="OF88" s="18"/>
      <c r="OG88" s="18"/>
      <c r="OH88" s="18"/>
      <c r="OI88" s="18"/>
      <c r="OJ88" s="18"/>
      <c r="OK88" s="18"/>
      <c r="OL88" s="18"/>
      <c r="OM88" s="18"/>
      <c r="ON88" s="18"/>
      <c r="OO88" s="18"/>
      <c r="OP88" s="18"/>
      <c r="OQ88" s="18"/>
      <c r="OR88" s="18"/>
      <c r="OS88" s="18"/>
      <c r="OT88" s="18"/>
      <c r="OU88" s="18"/>
      <c r="OV88" s="18"/>
      <c r="OW88" s="18"/>
      <c r="OX88" s="18"/>
      <c r="OY88" s="18"/>
      <c r="OZ88" s="18"/>
      <c r="PA88" s="18"/>
      <c r="PB88" s="18"/>
      <c r="PC88" s="18"/>
      <c r="PD88" s="18"/>
      <c r="PE88" s="18"/>
      <c r="PF88" s="18"/>
      <c r="PG88" s="18"/>
      <c r="PH88" s="18"/>
      <c r="PI88" s="18"/>
      <c r="PJ88" s="18"/>
      <c r="PK88" s="18"/>
      <c r="PL88" s="18"/>
      <c r="PM88" s="18"/>
      <c r="PN88" s="18"/>
      <c r="PO88" s="18"/>
      <c r="PP88" s="18"/>
      <c r="PQ88" s="18"/>
      <c r="PR88" s="18"/>
      <c r="PS88" s="18"/>
      <c r="PT88" s="18"/>
      <c r="PU88" s="18"/>
      <c r="PV88" s="18"/>
      <c r="PW88" s="18"/>
      <c r="PX88" s="18"/>
      <c r="PY88" s="18"/>
      <c r="PZ88" s="18"/>
      <c r="QA88" s="18"/>
      <c r="QB88" s="18"/>
      <c r="QC88" s="18"/>
      <c r="QD88" s="18"/>
      <c r="QE88" s="18"/>
      <c r="QF88" s="18"/>
      <c r="QG88" s="18"/>
      <c r="QH88" s="18"/>
      <c r="QI88" s="18"/>
      <c r="QJ88" s="18"/>
      <c r="QK88" s="18"/>
      <c r="QL88" s="18"/>
      <c r="QM88" s="18"/>
      <c r="QN88" s="18"/>
      <c r="QO88" s="18"/>
      <c r="QP88" s="18"/>
      <c r="QQ88" s="18"/>
      <c r="QR88" s="18"/>
      <c r="QS88" s="18"/>
      <c r="QT88" s="18"/>
      <c r="QU88" s="18"/>
      <c r="QV88" s="18"/>
      <c r="QW88" s="18"/>
      <c r="QX88" s="18"/>
      <c r="QY88" s="18"/>
      <c r="QZ88" s="18"/>
      <c r="RA88" s="18"/>
      <c r="RB88" s="18"/>
      <c r="RC88" s="18"/>
      <c r="RD88" s="18"/>
      <c r="RE88" s="18"/>
      <c r="RF88" s="18"/>
      <c r="RG88" s="18"/>
      <c r="RH88" s="18"/>
      <c r="RI88" s="18"/>
      <c r="RJ88" s="18"/>
      <c r="RK88" s="18"/>
      <c r="RL88" s="18"/>
      <c r="RM88" s="18"/>
      <c r="RN88" s="18"/>
      <c r="RO88" s="18"/>
      <c r="RP88" s="18"/>
      <c r="RQ88" s="18"/>
      <c r="RR88" s="18"/>
      <c r="RS88" s="18"/>
      <c r="RT88" s="18"/>
      <c r="RU88" s="18"/>
      <c r="RV88" s="18"/>
      <c r="RW88" s="18"/>
      <c r="RX88" s="18"/>
      <c r="RY88" s="18"/>
      <c r="RZ88" s="18"/>
      <c r="SA88" s="18"/>
      <c r="SB88" s="18"/>
      <c r="SC88" s="18"/>
      <c r="SD88" s="18"/>
      <c r="SE88" s="18"/>
      <c r="SF88" s="18"/>
      <c r="SG88" s="18"/>
      <c r="SH88" s="18"/>
      <c r="SI88" s="18"/>
      <c r="SJ88" s="18"/>
      <c r="SK88" s="18"/>
      <c r="SL88" s="18"/>
      <c r="SM88" s="18"/>
      <c r="SN88" s="18"/>
      <c r="SO88" s="18"/>
      <c r="SP88" s="18"/>
      <c r="SQ88" s="18"/>
      <c r="SR88" s="18"/>
      <c r="SS88" s="18"/>
      <c r="ST88" s="18"/>
      <c r="SU88" s="18"/>
      <c r="SV88" s="18"/>
      <c r="SW88" s="18"/>
      <c r="SX88" s="18"/>
      <c r="SY88" s="18"/>
      <c r="SZ88" s="18"/>
      <c r="TA88" s="18"/>
      <c r="TB88" s="18"/>
      <c r="TC88" s="18"/>
      <c r="TD88" s="18"/>
      <c r="TE88" s="18"/>
      <c r="TF88" s="18"/>
      <c r="TG88" s="18"/>
      <c r="TH88" s="18"/>
      <c r="TI88" s="18"/>
      <c r="TJ88" s="18"/>
      <c r="TK88" s="18"/>
      <c r="TL88" s="18"/>
      <c r="TM88" s="18"/>
      <c r="TN88" s="18"/>
      <c r="TO88" s="18"/>
      <c r="TP88" s="18"/>
      <c r="TQ88" s="18"/>
      <c r="TR88" s="18"/>
      <c r="TS88" s="18"/>
      <c r="TT88" s="18"/>
      <c r="TU88" s="18"/>
      <c r="TV88" s="18"/>
      <c r="TW88" s="18"/>
      <c r="TX88" s="18"/>
      <c r="TY88" s="18"/>
      <c r="TZ88" s="18"/>
      <c r="UA88" s="18"/>
      <c r="UB88" s="18"/>
      <c r="UC88" s="18"/>
      <c r="UD88" s="18"/>
      <c r="UE88" s="18"/>
      <c r="UF88" s="18"/>
      <c r="UG88" s="18"/>
      <c r="UH88" s="18"/>
      <c r="UI88" s="18"/>
      <c r="UJ88" s="18"/>
      <c r="UK88" s="18"/>
      <c r="UL88" s="18"/>
      <c r="UM88" s="18"/>
      <c r="UN88" s="18"/>
      <c r="UO88" s="18"/>
      <c r="UP88" s="18"/>
      <c r="UQ88" s="18"/>
      <c r="UR88" s="18"/>
      <c r="US88" s="18"/>
      <c r="UT88" s="18"/>
      <c r="UU88" s="18"/>
      <c r="UV88" s="18"/>
      <c r="UW88" s="18"/>
      <c r="UX88" s="18"/>
      <c r="UY88" s="18"/>
      <c r="UZ88" s="18"/>
      <c r="VA88" s="18"/>
      <c r="VB88" s="18"/>
      <c r="VC88" s="18"/>
      <c r="VD88" s="18"/>
      <c r="VE88" s="18"/>
      <c r="VF88" s="18"/>
      <c r="VG88" s="18"/>
      <c r="VH88" s="18"/>
      <c r="VI88" s="18"/>
      <c r="VJ88" s="18"/>
      <c r="VK88" s="18"/>
      <c r="VL88" s="18"/>
      <c r="VM88" s="18"/>
      <c r="VN88" s="18"/>
      <c r="VO88" s="18"/>
      <c r="VP88" s="18"/>
      <c r="VQ88" s="18"/>
      <c r="VR88" s="18"/>
      <c r="VS88" s="18"/>
      <c r="VT88" s="18"/>
      <c r="VU88" s="18"/>
      <c r="VV88" s="18"/>
      <c r="VW88" s="18"/>
      <c r="VX88" s="18"/>
      <c r="VY88" s="18"/>
      <c r="VZ88" s="18"/>
      <c r="WA88" s="18"/>
      <c r="WB88" s="18"/>
      <c r="WC88" s="18"/>
      <c r="WD88" s="18"/>
      <c r="WE88" s="18"/>
      <c r="WF88" s="18"/>
      <c r="WG88" s="18"/>
      <c r="WH88" s="18"/>
      <c r="WI88" s="18"/>
      <c r="WJ88" s="18"/>
      <c r="WK88" s="18"/>
      <c r="WL88" s="18"/>
      <c r="WM88" s="18"/>
      <c r="WN88" s="18"/>
      <c r="WO88" s="18"/>
      <c r="WP88" s="18"/>
      <c r="WQ88" s="18"/>
      <c r="WR88" s="18"/>
      <c r="WS88" s="18"/>
      <c r="WT88" s="18"/>
      <c r="WU88" s="18"/>
      <c r="WV88" s="18"/>
      <c r="WW88" s="18"/>
      <c r="WX88" s="18"/>
      <c r="WY88" s="18"/>
      <c r="WZ88" s="18"/>
      <c r="XA88" s="18"/>
      <c r="XB88" s="18"/>
      <c r="XC88" s="18"/>
      <c r="XD88" s="18"/>
      <c r="XE88" s="18"/>
      <c r="XF88" s="18"/>
      <c r="XG88" s="18"/>
      <c r="XH88" s="18"/>
      <c r="XI88" s="18"/>
      <c r="XJ88" s="18"/>
      <c r="XK88" s="18"/>
      <c r="XL88" s="18"/>
      <c r="XM88" s="18"/>
      <c r="XN88" s="18"/>
      <c r="XO88" s="18"/>
      <c r="XP88" s="18"/>
      <c r="XQ88" s="18"/>
      <c r="XR88" s="18"/>
      <c r="XS88" s="18"/>
      <c r="XT88" s="18"/>
      <c r="XU88" s="18"/>
      <c r="XV88" s="18"/>
      <c r="XW88" s="18"/>
      <c r="XX88" s="18"/>
      <c r="XY88" s="18"/>
      <c r="XZ88" s="18"/>
      <c r="YA88" s="18"/>
      <c r="YB88" s="18"/>
      <c r="YC88" s="18"/>
      <c r="YD88" s="18"/>
      <c r="YE88" s="18"/>
      <c r="YF88" s="18"/>
      <c r="YG88" s="18"/>
      <c r="YH88" s="18"/>
      <c r="YI88" s="18"/>
      <c r="YJ88" s="18"/>
      <c r="YK88" s="18"/>
      <c r="YL88" s="18"/>
      <c r="YM88" s="18"/>
      <c r="YN88" s="18"/>
      <c r="YO88" s="18"/>
      <c r="YP88" s="18"/>
      <c r="YQ88" s="18"/>
      <c r="YR88" s="18"/>
      <c r="YS88" s="18"/>
      <c r="YT88" s="18"/>
      <c r="YU88" s="18"/>
      <c r="YV88" s="18"/>
      <c r="YW88" s="18"/>
      <c r="YX88" s="18"/>
      <c r="YY88" s="18"/>
      <c r="YZ88" s="18"/>
      <c r="ZA88" s="18"/>
      <c r="ZB88" s="18"/>
      <c r="ZC88" s="18"/>
      <c r="ZD88" s="18"/>
      <c r="ZE88" s="18"/>
      <c r="ZF88" s="18"/>
      <c r="ZG88" s="18"/>
      <c r="ZH88" s="18"/>
      <c r="ZI88" s="18"/>
      <c r="ZJ88" s="18"/>
      <c r="ZK88" s="18"/>
      <c r="ZL88" s="18"/>
      <c r="ZM88" s="18"/>
      <c r="ZN88" s="18"/>
      <c r="ZO88" s="18"/>
      <c r="ZP88" s="18"/>
      <c r="ZQ88" s="18"/>
      <c r="ZR88" s="18"/>
      <c r="ZS88" s="18"/>
      <c r="ZT88" s="18"/>
      <c r="ZU88" s="18"/>
      <c r="ZV88" s="18"/>
      <c r="ZW88" s="18"/>
      <c r="ZX88" s="18"/>
      <c r="ZY88" s="18"/>
      <c r="ZZ88" s="18"/>
      <c r="AAA88" s="18"/>
      <c r="AAB88" s="18"/>
      <c r="AAC88" s="18"/>
      <c r="AAD88" s="18"/>
      <c r="AAE88" s="18"/>
      <c r="AAF88" s="18"/>
      <c r="AAG88" s="18"/>
      <c r="AAH88" s="18"/>
      <c r="AAI88" s="18"/>
      <c r="AAJ88" s="18"/>
      <c r="AAK88" s="18"/>
      <c r="AAL88" s="18"/>
      <c r="AAM88" s="18"/>
      <c r="AAN88" s="18"/>
      <c r="AAO88" s="18"/>
      <c r="AAP88" s="18"/>
      <c r="AAQ88" s="18"/>
      <c r="AAR88" s="18"/>
      <c r="AAS88" s="18"/>
      <c r="AAT88" s="18"/>
      <c r="AAU88" s="18"/>
      <c r="AAV88" s="18"/>
      <c r="AAW88" s="18"/>
      <c r="AAX88" s="18"/>
      <c r="AAY88" s="18"/>
      <c r="AAZ88" s="18"/>
      <c r="ABA88" s="18"/>
      <c r="ABB88" s="18"/>
      <c r="ABC88" s="18"/>
      <c r="ABD88" s="18"/>
      <c r="ABE88" s="18"/>
      <c r="ABF88" s="18"/>
      <c r="ABG88" s="18"/>
      <c r="ABH88" s="18"/>
      <c r="ABI88" s="18"/>
      <c r="ABJ88" s="18"/>
      <c r="ABK88" s="18"/>
      <c r="ABL88" s="18"/>
      <c r="ABM88" s="18"/>
      <c r="ABN88" s="18"/>
      <c r="ABO88" s="18"/>
      <c r="ABP88" s="18"/>
      <c r="ABQ88" s="18"/>
      <c r="ABR88" s="18"/>
      <c r="ABS88" s="18"/>
      <c r="ABT88" s="18"/>
      <c r="ABU88" s="18"/>
      <c r="ABV88" s="18"/>
      <c r="ABW88" s="18"/>
      <c r="ABX88" s="18"/>
      <c r="ABY88" s="18"/>
      <c r="ABZ88" s="18"/>
      <c r="ACA88" s="18"/>
      <c r="ACB88" s="18"/>
      <c r="ACC88" s="18"/>
      <c r="ACD88" s="18"/>
      <c r="ACE88" s="18"/>
      <c r="ACF88" s="18"/>
      <c r="ACG88" s="18"/>
      <c r="ACH88" s="18"/>
      <c r="ACI88" s="18"/>
      <c r="ACJ88" s="18"/>
      <c r="ACK88" s="18"/>
      <c r="ACL88" s="18"/>
      <c r="ACM88" s="18"/>
      <c r="ACN88" s="18"/>
      <c r="ACO88" s="18"/>
      <c r="ACP88" s="18"/>
      <c r="ACQ88" s="18"/>
      <c r="ACR88" s="18"/>
      <c r="ACS88" s="18"/>
      <c r="ACT88" s="18"/>
      <c r="ACU88" s="18"/>
      <c r="ACV88" s="18"/>
      <c r="ACW88" s="18"/>
      <c r="ACX88" s="18"/>
      <c r="ACY88" s="18"/>
      <c r="ACZ88" s="18"/>
      <c r="ADA88" s="18"/>
      <c r="ADB88" s="18"/>
      <c r="ADC88" s="18"/>
      <c r="ADD88" s="18"/>
      <c r="ADE88" s="18"/>
      <c r="ADF88" s="18"/>
      <c r="ADG88" s="18"/>
      <c r="ADH88" s="18"/>
      <c r="ADI88" s="18"/>
      <c r="ADJ88" s="18"/>
      <c r="ADK88" s="18"/>
      <c r="ADL88" s="18"/>
      <c r="ADM88" s="18"/>
      <c r="ADN88" s="18"/>
      <c r="ADO88" s="18"/>
      <c r="ADP88" s="18"/>
      <c r="ADQ88" s="18"/>
      <c r="ADR88" s="18"/>
      <c r="ADS88" s="18"/>
      <c r="ADT88" s="18"/>
      <c r="ADU88" s="18"/>
      <c r="ADV88" s="18"/>
      <c r="ADW88" s="18"/>
      <c r="ADX88" s="18"/>
      <c r="ADY88" s="18"/>
      <c r="ADZ88" s="18"/>
      <c r="AEA88" s="18"/>
      <c r="AEB88" s="18"/>
      <c r="AEC88" s="18"/>
      <c r="AED88" s="18"/>
      <c r="AEE88" s="18"/>
      <c r="AEF88" s="18"/>
      <c r="AEG88" s="18"/>
      <c r="AEH88" s="18"/>
      <c r="AEI88" s="18"/>
      <c r="AEJ88" s="18"/>
      <c r="AEK88" s="18"/>
      <c r="AEL88" s="18"/>
      <c r="AEM88" s="18"/>
      <c r="AEN88" s="18"/>
      <c r="AEO88" s="18"/>
      <c r="AEP88" s="18"/>
      <c r="AEQ88" s="18"/>
      <c r="AER88" s="18"/>
      <c r="AES88" s="18"/>
      <c r="AET88" s="18"/>
      <c r="AEU88" s="18"/>
      <c r="AEV88" s="18"/>
      <c r="AEW88" s="18"/>
      <c r="AEX88" s="18"/>
      <c r="AEY88" s="18"/>
      <c r="AEZ88" s="18"/>
      <c r="AFA88" s="18"/>
      <c r="AFB88" s="18"/>
      <c r="AFC88" s="18"/>
      <c r="AFD88" s="18"/>
      <c r="AFE88" s="18"/>
      <c r="AFF88" s="18"/>
      <c r="AFG88" s="18"/>
      <c r="AFH88" s="18"/>
      <c r="AFI88" s="18"/>
      <c r="AFJ88" s="18"/>
      <c r="AFK88" s="18"/>
      <c r="AFL88" s="18"/>
      <c r="AFM88" s="18"/>
      <c r="AFN88" s="18"/>
      <c r="AFO88" s="18"/>
      <c r="AFP88" s="18"/>
      <c r="AFQ88" s="18"/>
      <c r="AFR88" s="18"/>
      <c r="AFS88" s="18"/>
      <c r="AFT88" s="18"/>
      <c r="AFU88" s="18"/>
      <c r="AFV88" s="18"/>
      <c r="AFW88" s="18"/>
      <c r="AFX88" s="18"/>
      <c r="AFY88" s="18"/>
      <c r="AFZ88" s="18"/>
      <c r="AGA88" s="18"/>
      <c r="AGB88" s="18"/>
      <c r="AGC88" s="18"/>
      <c r="AGD88" s="18"/>
      <c r="AGE88" s="18"/>
      <c r="AGF88" s="18"/>
      <c r="AGG88" s="18"/>
      <c r="AGH88" s="18"/>
      <c r="AGI88" s="18"/>
      <c r="AGJ88" s="18"/>
      <c r="AGK88" s="18"/>
      <c r="AGL88" s="18"/>
      <c r="AGM88" s="18"/>
      <c r="AGN88" s="18"/>
      <c r="AGO88" s="18"/>
      <c r="AGP88" s="18"/>
      <c r="AGQ88" s="18"/>
      <c r="AGR88" s="18"/>
      <c r="AGS88" s="18"/>
      <c r="AGT88" s="18"/>
      <c r="AGU88" s="18"/>
      <c r="AGV88" s="18"/>
      <c r="AGW88" s="18"/>
      <c r="AGX88" s="18"/>
      <c r="AGY88" s="18"/>
      <c r="AGZ88" s="18"/>
      <c r="AHA88" s="18"/>
      <c r="AHB88" s="18"/>
      <c r="AHC88" s="18"/>
      <c r="AHD88" s="18"/>
      <c r="AHE88" s="18"/>
      <c r="AHF88" s="18"/>
      <c r="AHG88" s="18"/>
      <c r="AHH88" s="18"/>
      <c r="AHI88" s="18"/>
      <c r="AHJ88" s="18"/>
      <c r="AHK88" s="18"/>
      <c r="AHL88" s="18"/>
      <c r="AHM88" s="18"/>
      <c r="AHN88" s="18"/>
      <c r="AHO88" s="18"/>
      <c r="AHP88" s="18"/>
      <c r="AHQ88" s="18"/>
      <c r="AHR88" s="18"/>
      <c r="AHS88" s="18"/>
      <c r="AHT88" s="18"/>
      <c r="AHU88" s="18"/>
      <c r="AHV88" s="18"/>
      <c r="AHW88" s="18"/>
      <c r="AHX88" s="18"/>
      <c r="AHY88" s="18"/>
      <c r="AHZ88" s="18"/>
      <c r="AIA88" s="18"/>
      <c r="AIB88" s="18"/>
      <c r="AIC88" s="18"/>
      <c r="AID88" s="18"/>
      <c r="AIE88" s="18"/>
      <c r="AIF88" s="18"/>
      <c r="AIG88" s="18"/>
      <c r="AIH88" s="18"/>
      <c r="AII88" s="18"/>
      <c r="AIJ88" s="18"/>
      <c r="AIK88" s="18"/>
      <c r="AIL88" s="18"/>
      <c r="AIM88" s="18"/>
      <c r="AIN88" s="18"/>
      <c r="AIO88" s="18"/>
      <c r="AIP88" s="18"/>
      <c r="AIQ88" s="18"/>
      <c r="AIR88" s="18"/>
      <c r="AIS88" s="18"/>
      <c r="AIT88" s="18"/>
      <c r="AIU88" s="18"/>
      <c r="AIV88" s="18"/>
      <c r="AIW88" s="18"/>
      <c r="AIX88" s="18"/>
      <c r="AIY88" s="18"/>
      <c r="AIZ88" s="18"/>
      <c r="AJA88" s="18"/>
      <c r="AJB88" s="18"/>
      <c r="AJC88" s="18"/>
      <c r="AJD88" s="18"/>
      <c r="AJE88" s="18"/>
      <c r="AJF88" s="18"/>
      <c r="AJG88" s="18"/>
      <c r="AJH88" s="18"/>
      <c r="AJI88" s="18"/>
      <c r="AJJ88" s="18"/>
      <c r="AJK88" s="18"/>
      <c r="AJL88" s="18"/>
      <c r="AJM88" s="18"/>
      <c r="AJN88" s="18"/>
      <c r="AJO88" s="18"/>
      <c r="AJP88" s="18"/>
      <c r="AJQ88" s="18"/>
      <c r="AJR88" s="18"/>
      <c r="AJS88" s="18"/>
      <c r="AJT88" s="18"/>
      <c r="AJU88" s="18"/>
      <c r="AJV88" s="18"/>
      <c r="AJW88" s="18"/>
      <c r="AJX88" s="18"/>
      <c r="AJY88" s="18"/>
      <c r="AJZ88" s="18"/>
      <c r="AKA88" s="18"/>
      <c r="AKB88" s="18"/>
      <c r="AKC88" s="18"/>
      <c r="AKD88" s="18"/>
      <c r="AKE88" s="18"/>
      <c r="AKF88" s="18"/>
      <c r="AKG88" s="18"/>
      <c r="AKH88" s="18"/>
      <c r="AKI88" s="18"/>
      <c r="AKJ88" s="18"/>
      <c r="AKK88" s="18"/>
      <c r="AKL88" s="18"/>
      <c r="AKM88" s="18"/>
      <c r="AKN88" s="18"/>
      <c r="AKO88" s="18"/>
      <c r="AKP88" s="18"/>
      <c r="AKQ88" s="18"/>
      <c r="AKR88" s="18"/>
      <c r="AKS88" s="18"/>
      <c r="AKT88" s="18"/>
      <c r="AKU88" s="18"/>
      <c r="AKV88" s="18"/>
      <c r="AKW88" s="18"/>
      <c r="AKX88" s="18"/>
      <c r="AKY88" s="18"/>
      <c r="AKZ88" s="18"/>
      <c r="ALA88" s="18"/>
      <c r="ALB88" s="18"/>
      <c r="ALC88" s="18"/>
      <c r="ALD88" s="18"/>
      <c r="ALE88" s="18"/>
      <c r="ALF88" s="18"/>
      <c r="ALG88" s="18"/>
      <c r="ALH88" s="18"/>
      <c r="ALI88" s="18"/>
      <c r="ALJ88" s="18"/>
      <c r="ALK88" s="18"/>
      <c r="ALL88" s="18"/>
      <c r="ALM88" s="18"/>
      <c r="ALN88" s="18"/>
      <c r="ALO88" s="18"/>
      <c r="ALP88" s="18"/>
      <c r="ALQ88" s="18"/>
      <c r="ALR88" s="18"/>
      <c r="ALS88" s="18"/>
      <c r="ALT88" s="18"/>
    </row>
    <row r="89" spans="1:1008" ht="24">
      <c r="A89" s="251" t="s">
        <v>7</v>
      </c>
      <c r="B89" s="290">
        <v>100867</v>
      </c>
      <c r="C89" s="278" t="str">
        <f>(IF($A89="SINAPI",INDEX(SINAPI_NOV2020_NDES!$A$7:$H$6703,MATCH($B89,SINAPI_NOV2020_NDES!$A$7:$A$6703,0),2),IF($A89="GOINFRA",INDEX(#REF!,MATCH($B89,#REF!,0),2),(INDEX(COMPOS!$A$4:$G$390,MATCH($B89,COMPOS!$A$4:A$390,0),2)))))</f>
        <v>BARRA DE APOIO RETA, EM ACO INOX POLIDO, COMPRIMENTO 70 CM,  FIXADA NA PAREDE - FORNECIMENTO E INSTALAÇÃO. AF_01/2020</v>
      </c>
      <c r="D89" s="274" t="str">
        <f>(IF($A89="SINAPI",INDEX(SINAPI_NOV2020_NDES!$A$7:$H$6790,MATCH($B89,SINAPI_NOV2020_NDES!$A$7:$A$6790,0),3),(INDEX(COMPOS!$A$4:$G$5000,MATCH($B89,COMPOS!$A$4:$A$5000,0),3))))</f>
        <v>UN</v>
      </c>
      <c r="E89" s="314">
        <v>4</v>
      </c>
      <c r="F89" s="279">
        <f>(IF($A89="SINAPI",INDEX(SINAPI_NOV2020_NDES!$A$7:$H$6703,MATCH($B89,SINAPI_NOV2020_NDES!$A$7:$A$6703,0),5),(INDEX(COMPOS!$A$4:$G$801,MATCH($B89,COMPOS!$A$4:A$801,0),4))))</f>
        <v>19.36</v>
      </c>
      <c r="G89" s="280">
        <f>(IF($A89="SINAPI",INDEX(SINAPI_NOV2020_NDES!$A$7:$H$6703,MATCH($B89,SINAPI_NOV2020_NDES!$A$7:$A$6703,0),6),(INDEX(COMPOS!$A$4:$G$801,MATCH($B89,COMPOS!$A$4:A$801,0),5))))</f>
        <v>208.56</v>
      </c>
      <c r="H89" s="280">
        <f>(IF($A89="SINAPI",INDEX(SINAPI_NOV2020_NDES!$A$7:$H$6703,MATCH($B89,SINAPI_NOV2020_NDES!$A$7:$A$6703,0),7),(INDEX(COMPOS!$A$4:$G$801,MATCH($B89,COMPOS!$A$4:A$801,0),6))))</f>
        <v>0</v>
      </c>
      <c r="I89" s="279">
        <f t="shared" ref="I89" si="34">SUM(F89:H89)</f>
        <v>227.92000000000002</v>
      </c>
      <c r="J89" s="276">
        <f t="shared" ref="J89" si="35">+I89*E89</f>
        <v>911.68000000000006</v>
      </c>
      <c r="K89" s="191"/>
      <c r="L89" s="191"/>
      <c r="M89" s="191"/>
      <c r="N89" s="191"/>
      <c r="O89" s="262"/>
      <c r="P89" s="263"/>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c r="EF89" s="18"/>
      <c r="EG89" s="18"/>
      <c r="EH89" s="18"/>
      <c r="EI89" s="18"/>
      <c r="EJ89" s="18"/>
      <c r="EK89" s="18"/>
      <c r="EL89" s="18"/>
      <c r="EM89" s="18"/>
      <c r="EN89" s="18"/>
      <c r="EO89" s="18"/>
      <c r="EP89" s="18"/>
      <c r="EQ89" s="18"/>
      <c r="ER89" s="18"/>
      <c r="ES89" s="18"/>
      <c r="ET89" s="18"/>
      <c r="EU89" s="18"/>
      <c r="EV89" s="18"/>
      <c r="EW89" s="18"/>
      <c r="EX89" s="18"/>
      <c r="EY89" s="18"/>
      <c r="EZ89" s="18"/>
      <c r="FA89" s="18"/>
      <c r="FB89" s="18"/>
      <c r="FC89" s="18"/>
      <c r="FD89" s="18"/>
      <c r="FE89" s="18"/>
      <c r="FF89" s="18"/>
      <c r="FG89" s="18"/>
      <c r="FH89" s="18"/>
      <c r="FI89" s="18"/>
      <c r="FJ89" s="18"/>
      <c r="FK89" s="18"/>
      <c r="FL89" s="18"/>
      <c r="FM89" s="18"/>
      <c r="FN89" s="18"/>
      <c r="FO89" s="18"/>
      <c r="FP89" s="18"/>
      <c r="FQ89" s="18"/>
      <c r="FR89" s="18"/>
      <c r="FS89" s="18"/>
      <c r="FT89" s="18"/>
      <c r="FU89" s="18"/>
      <c r="FV89" s="18"/>
      <c r="FW89" s="18"/>
      <c r="FX89" s="18"/>
      <c r="FY89" s="18"/>
      <c r="FZ89" s="18"/>
      <c r="GA89" s="18"/>
      <c r="GB89" s="18"/>
      <c r="GC89" s="18"/>
      <c r="GD89" s="18"/>
      <c r="GE89" s="18"/>
      <c r="GF89" s="18"/>
      <c r="GG89" s="18"/>
      <c r="GH89" s="18"/>
      <c r="GI89" s="18"/>
      <c r="GJ89" s="18"/>
      <c r="GK89" s="18"/>
      <c r="GL89" s="18"/>
      <c r="GM89" s="18"/>
      <c r="GN89" s="18"/>
      <c r="GO89" s="18"/>
      <c r="GP89" s="18"/>
      <c r="GQ89" s="18"/>
      <c r="GR89" s="18"/>
      <c r="GS89" s="18"/>
      <c r="GT89" s="18"/>
      <c r="GU89" s="18"/>
      <c r="GV89" s="18"/>
      <c r="GW89" s="18"/>
      <c r="GX89" s="18"/>
      <c r="GY89" s="18"/>
      <c r="GZ89" s="18"/>
      <c r="HA89" s="18"/>
      <c r="HB89" s="18"/>
      <c r="HC89" s="18"/>
      <c r="HD89" s="18"/>
      <c r="HE89" s="18"/>
      <c r="HF89" s="18"/>
      <c r="HG89" s="18"/>
      <c r="HH89" s="18"/>
      <c r="HI89" s="18"/>
      <c r="HJ89" s="18"/>
      <c r="HK89" s="18"/>
      <c r="HL89" s="18"/>
      <c r="HM89" s="18"/>
      <c r="HN89" s="18"/>
      <c r="HO89" s="18"/>
      <c r="HP89" s="18"/>
      <c r="HQ89" s="18"/>
      <c r="HR89" s="18"/>
      <c r="HS89" s="18"/>
      <c r="HT89" s="18"/>
      <c r="HU89" s="18"/>
      <c r="HV89" s="18"/>
      <c r="HW89" s="18"/>
      <c r="HX89" s="18"/>
      <c r="HY89" s="18"/>
      <c r="HZ89" s="18"/>
      <c r="IA89" s="18"/>
      <c r="IB89" s="18"/>
      <c r="IC89" s="18"/>
      <c r="ID89" s="18"/>
      <c r="IE89" s="18"/>
      <c r="IF89" s="18"/>
      <c r="IG89" s="18"/>
      <c r="IH89" s="18"/>
      <c r="II89" s="18"/>
      <c r="IJ89" s="18"/>
      <c r="IK89" s="18"/>
      <c r="IL89" s="18"/>
      <c r="IM89" s="18"/>
      <c r="IN89" s="18"/>
      <c r="IO89" s="18"/>
      <c r="IP89" s="18"/>
      <c r="IQ89" s="18"/>
      <c r="IR89" s="18"/>
      <c r="IS89" s="18"/>
      <c r="IT89" s="18"/>
      <c r="IU89" s="18"/>
      <c r="IV89" s="18"/>
      <c r="IW89" s="18"/>
      <c r="IX89" s="18"/>
      <c r="IY89" s="18"/>
      <c r="IZ89" s="18"/>
      <c r="JA89" s="18"/>
      <c r="JB89" s="18"/>
      <c r="JC89" s="18"/>
      <c r="JD89" s="18"/>
      <c r="JE89" s="18"/>
      <c r="JF89" s="18"/>
      <c r="JG89" s="18"/>
      <c r="JH89" s="18"/>
      <c r="JI89" s="18"/>
      <c r="JJ89" s="18"/>
      <c r="JK89" s="18"/>
      <c r="JL89" s="18"/>
      <c r="JM89" s="18"/>
      <c r="JN89" s="18"/>
      <c r="JO89" s="18"/>
      <c r="JP89" s="18"/>
      <c r="JQ89" s="18"/>
      <c r="JR89" s="18"/>
      <c r="JS89" s="18"/>
      <c r="JT89" s="18"/>
      <c r="JU89" s="18"/>
      <c r="JV89" s="18"/>
      <c r="JW89" s="18"/>
      <c r="JX89" s="18"/>
      <c r="JY89" s="18"/>
      <c r="JZ89" s="18"/>
      <c r="KA89" s="18"/>
      <c r="KB89" s="18"/>
      <c r="KC89" s="18"/>
      <c r="KD89" s="18"/>
      <c r="KE89" s="18"/>
      <c r="KF89" s="18"/>
      <c r="KG89" s="18"/>
      <c r="KH89" s="18"/>
      <c r="KI89" s="18"/>
      <c r="KJ89" s="18"/>
      <c r="KK89" s="18"/>
      <c r="KL89" s="18"/>
      <c r="KM89" s="18"/>
      <c r="KN89" s="18"/>
      <c r="KO89" s="18"/>
      <c r="KP89" s="18"/>
      <c r="KQ89" s="18"/>
      <c r="KR89" s="18"/>
      <c r="KS89" s="18"/>
      <c r="KT89" s="18"/>
      <c r="KU89" s="18"/>
      <c r="KV89" s="18"/>
      <c r="KW89" s="18"/>
      <c r="KX89" s="18"/>
      <c r="KY89" s="18"/>
      <c r="KZ89" s="18"/>
      <c r="LA89" s="18"/>
      <c r="LB89" s="18"/>
      <c r="LC89" s="18"/>
      <c r="LD89" s="18"/>
      <c r="LE89" s="18"/>
      <c r="LF89" s="18"/>
      <c r="LG89" s="18"/>
      <c r="LH89" s="18"/>
      <c r="LI89" s="18"/>
      <c r="LJ89" s="18"/>
      <c r="LK89" s="18"/>
      <c r="LL89" s="18"/>
      <c r="LM89" s="18"/>
      <c r="LN89" s="18"/>
      <c r="LO89" s="18"/>
      <c r="LP89" s="18"/>
      <c r="LQ89" s="18"/>
      <c r="LR89" s="18"/>
      <c r="LS89" s="18"/>
      <c r="LT89" s="18"/>
      <c r="LU89" s="18"/>
      <c r="LV89" s="18"/>
      <c r="LW89" s="18"/>
      <c r="LX89" s="18"/>
      <c r="LY89" s="18"/>
      <c r="LZ89" s="18"/>
      <c r="MA89" s="18"/>
      <c r="MB89" s="18"/>
      <c r="MC89" s="18"/>
      <c r="MD89" s="18"/>
      <c r="ME89" s="18"/>
      <c r="MF89" s="18"/>
      <c r="MG89" s="18"/>
      <c r="MH89" s="18"/>
      <c r="MI89" s="18"/>
      <c r="MJ89" s="18"/>
      <c r="MK89" s="18"/>
      <c r="ML89" s="18"/>
      <c r="MM89" s="18"/>
      <c r="MN89" s="18"/>
      <c r="MO89" s="18"/>
      <c r="MP89" s="18"/>
      <c r="MQ89" s="18"/>
      <c r="MR89" s="18"/>
      <c r="MS89" s="18"/>
      <c r="MT89" s="18"/>
      <c r="MU89" s="18"/>
      <c r="MV89" s="18"/>
      <c r="MW89" s="18"/>
      <c r="MX89" s="18"/>
      <c r="MY89" s="18"/>
      <c r="MZ89" s="18"/>
      <c r="NA89" s="18"/>
      <c r="NB89" s="18"/>
      <c r="NC89" s="18"/>
      <c r="ND89" s="18"/>
      <c r="NE89" s="18"/>
      <c r="NF89" s="18"/>
      <c r="NG89" s="18"/>
      <c r="NH89" s="18"/>
      <c r="NI89" s="18"/>
      <c r="NJ89" s="18"/>
      <c r="NK89" s="18"/>
      <c r="NL89" s="18"/>
      <c r="NM89" s="18"/>
      <c r="NN89" s="18"/>
      <c r="NO89" s="18"/>
      <c r="NP89" s="18"/>
      <c r="NQ89" s="18"/>
      <c r="NR89" s="18"/>
      <c r="NS89" s="18"/>
      <c r="NT89" s="18"/>
      <c r="NU89" s="18"/>
      <c r="NV89" s="18"/>
      <c r="NW89" s="18"/>
      <c r="NX89" s="18"/>
      <c r="NY89" s="18"/>
      <c r="NZ89" s="18"/>
      <c r="OA89" s="18"/>
      <c r="OB89" s="18"/>
      <c r="OC89" s="18"/>
      <c r="OD89" s="18"/>
      <c r="OE89" s="18"/>
      <c r="OF89" s="18"/>
      <c r="OG89" s="18"/>
      <c r="OH89" s="18"/>
      <c r="OI89" s="18"/>
      <c r="OJ89" s="18"/>
      <c r="OK89" s="18"/>
      <c r="OL89" s="18"/>
      <c r="OM89" s="18"/>
      <c r="ON89" s="18"/>
      <c r="OO89" s="18"/>
      <c r="OP89" s="18"/>
      <c r="OQ89" s="18"/>
      <c r="OR89" s="18"/>
      <c r="OS89" s="18"/>
      <c r="OT89" s="18"/>
      <c r="OU89" s="18"/>
      <c r="OV89" s="18"/>
      <c r="OW89" s="18"/>
      <c r="OX89" s="18"/>
      <c r="OY89" s="18"/>
      <c r="OZ89" s="18"/>
      <c r="PA89" s="18"/>
      <c r="PB89" s="18"/>
      <c r="PC89" s="18"/>
      <c r="PD89" s="18"/>
      <c r="PE89" s="18"/>
      <c r="PF89" s="18"/>
      <c r="PG89" s="18"/>
      <c r="PH89" s="18"/>
      <c r="PI89" s="18"/>
      <c r="PJ89" s="18"/>
      <c r="PK89" s="18"/>
      <c r="PL89" s="18"/>
      <c r="PM89" s="18"/>
      <c r="PN89" s="18"/>
      <c r="PO89" s="18"/>
      <c r="PP89" s="18"/>
      <c r="PQ89" s="18"/>
      <c r="PR89" s="18"/>
      <c r="PS89" s="18"/>
      <c r="PT89" s="18"/>
      <c r="PU89" s="18"/>
      <c r="PV89" s="18"/>
      <c r="PW89" s="18"/>
      <c r="PX89" s="18"/>
      <c r="PY89" s="18"/>
      <c r="PZ89" s="18"/>
      <c r="QA89" s="18"/>
      <c r="QB89" s="18"/>
      <c r="QC89" s="18"/>
      <c r="QD89" s="18"/>
      <c r="QE89" s="18"/>
      <c r="QF89" s="18"/>
      <c r="QG89" s="18"/>
      <c r="QH89" s="18"/>
      <c r="QI89" s="18"/>
      <c r="QJ89" s="18"/>
      <c r="QK89" s="18"/>
      <c r="QL89" s="18"/>
      <c r="QM89" s="18"/>
      <c r="QN89" s="18"/>
      <c r="QO89" s="18"/>
      <c r="QP89" s="18"/>
      <c r="QQ89" s="18"/>
      <c r="QR89" s="18"/>
      <c r="QS89" s="18"/>
      <c r="QT89" s="18"/>
      <c r="QU89" s="18"/>
      <c r="QV89" s="18"/>
      <c r="QW89" s="18"/>
      <c r="QX89" s="18"/>
      <c r="QY89" s="18"/>
      <c r="QZ89" s="18"/>
      <c r="RA89" s="18"/>
      <c r="RB89" s="18"/>
      <c r="RC89" s="18"/>
      <c r="RD89" s="18"/>
      <c r="RE89" s="18"/>
      <c r="RF89" s="18"/>
      <c r="RG89" s="18"/>
      <c r="RH89" s="18"/>
      <c r="RI89" s="18"/>
      <c r="RJ89" s="18"/>
      <c r="RK89" s="18"/>
      <c r="RL89" s="18"/>
      <c r="RM89" s="18"/>
      <c r="RN89" s="18"/>
      <c r="RO89" s="18"/>
      <c r="RP89" s="18"/>
      <c r="RQ89" s="18"/>
      <c r="RR89" s="18"/>
      <c r="RS89" s="18"/>
      <c r="RT89" s="18"/>
      <c r="RU89" s="18"/>
      <c r="RV89" s="18"/>
      <c r="RW89" s="18"/>
      <c r="RX89" s="18"/>
      <c r="RY89" s="18"/>
      <c r="RZ89" s="18"/>
      <c r="SA89" s="18"/>
      <c r="SB89" s="18"/>
      <c r="SC89" s="18"/>
      <c r="SD89" s="18"/>
      <c r="SE89" s="18"/>
      <c r="SF89" s="18"/>
      <c r="SG89" s="18"/>
      <c r="SH89" s="18"/>
      <c r="SI89" s="18"/>
      <c r="SJ89" s="18"/>
      <c r="SK89" s="18"/>
      <c r="SL89" s="18"/>
      <c r="SM89" s="18"/>
      <c r="SN89" s="18"/>
      <c r="SO89" s="18"/>
      <c r="SP89" s="18"/>
      <c r="SQ89" s="18"/>
      <c r="SR89" s="18"/>
      <c r="SS89" s="18"/>
      <c r="ST89" s="18"/>
      <c r="SU89" s="18"/>
      <c r="SV89" s="18"/>
      <c r="SW89" s="18"/>
      <c r="SX89" s="18"/>
      <c r="SY89" s="18"/>
      <c r="SZ89" s="18"/>
      <c r="TA89" s="18"/>
      <c r="TB89" s="18"/>
      <c r="TC89" s="18"/>
      <c r="TD89" s="18"/>
      <c r="TE89" s="18"/>
      <c r="TF89" s="18"/>
      <c r="TG89" s="18"/>
      <c r="TH89" s="18"/>
      <c r="TI89" s="18"/>
      <c r="TJ89" s="18"/>
      <c r="TK89" s="18"/>
      <c r="TL89" s="18"/>
      <c r="TM89" s="18"/>
      <c r="TN89" s="18"/>
      <c r="TO89" s="18"/>
      <c r="TP89" s="18"/>
      <c r="TQ89" s="18"/>
      <c r="TR89" s="18"/>
      <c r="TS89" s="18"/>
      <c r="TT89" s="18"/>
      <c r="TU89" s="18"/>
      <c r="TV89" s="18"/>
      <c r="TW89" s="18"/>
      <c r="TX89" s="18"/>
      <c r="TY89" s="18"/>
      <c r="TZ89" s="18"/>
      <c r="UA89" s="18"/>
      <c r="UB89" s="18"/>
      <c r="UC89" s="18"/>
      <c r="UD89" s="18"/>
      <c r="UE89" s="18"/>
      <c r="UF89" s="18"/>
      <c r="UG89" s="18"/>
      <c r="UH89" s="18"/>
      <c r="UI89" s="18"/>
      <c r="UJ89" s="18"/>
      <c r="UK89" s="18"/>
      <c r="UL89" s="18"/>
      <c r="UM89" s="18"/>
      <c r="UN89" s="18"/>
      <c r="UO89" s="18"/>
      <c r="UP89" s="18"/>
      <c r="UQ89" s="18"/>
      <c r="UR89" s="18"/>
      <c r="US89" s="18"/>
      <c r="UT89" s="18"/>
      <c r="UU89" s="18"/>
      <c r="UV89" s="18"/>
      <c r="UW89" s="18"/>
      <c r="UX89" s="18"/>
      <c r="UY89" s="18"/>
      <c r="UZ89" s="18"/>
      <c r="VA89" s="18"/>
      <c r="VB89" s="18"/>
      <c r="VC89" s="18"/>
      <c r="VD89" s="18"/>
      <c r="VE89" s="18"/>
      <c r="VF89" s="18"/>
      <c r="VG89" s="18"/>
      <c r="VH89" s="18"/>
      <c r="VI89" s="18"/>
      <c r="VJ89" s="18"/>
      <c r="VK89" s="18"/>
      <c r="VL89" s="18"/>
      <c r="VM89" s="18"/>
      <c r="VN89" s="18"/>
      <c r="VO89" s="18"/>
      <c r="VP89" s="18"/>
      <c r="VQ89" s="18"/>
      <c r="VR89" s="18"/>
      <c r="VS89" s="18"/>
      <c r="VT89" s="18"/>
      <c r="VU89" s="18"/>
      <c r="VV89" s="18"/>
      <c r="VW89" s="18"/>
      <c r="VX89" s="18"/>
      <c r="VY89" s="18"/>
      <c r="VZ89" s="18"/>
      <c r="WA89" s="18"/>
      <c r="WB89" s="18"/>
      <c r="WC89" s="18"/>
      <c r="WD89" s="18"/>
      <c r="WE89" s="18"/>
      <c r="WF89" s="18"/>
      <c r="WG89" s="18"/>
      <c r="WH89" s="18"/>
      <c r="WI89" s="18"/>
      <c r="WJ89" s="18"/>
      <c r="WK89" s="18"/>
      <c r="WL89" s="18"/>
      <c r="WM89" s="18"/>
      <c r="WN89" s="18"/>
      <c r="WO89" s="18"/>
      <c r="WP89" s="18"/>
      <c r="WQ89" s="18"/>
      <c r="WR89" s="18"/>
      <c r="WS89" s="18"/>
      <c r="WT89" s="18"/>
      <c r="WU89" s="18"/>
      <c r="WV89" s="18"/>
      <c r="WW89" s="18"/>
      <c r="WX89" s="18"/>
      <c r="WY89" s="18"/>
      <c r="WZ89" s="18"/>
      <c r="XA89" s="18"/>
      <c r="XB89" s="18"/>
      <c r="XC89" s="18"/>
      <c r="XD89" s="18"/>
      <c r="XE89" s="18"/>
      <c r="XF89" s="18"/>
      <c r="XG89" s="18"/>
      <c r="XH89" s="18"/>
      <c r="XI89" s="18"/>
      <c r="XJ89" s="18"/>
      <c r="XK89" s="18"/>
      <c r="XL89" s="18"/>
      <c r="XM89" s="18"/>
      <c r="XN89" s="18"/>
      <c r="XO89" s="18"/>
      <c r="XP89" s="18"/>
      <c r="XQ89" s="18"/>
      <c r="XR89" s="18"/>
      <c r="XS89" s="18"/>
      <c r="XT89" s="18"/>
      <c r="XU89" s="18"/>
      <c r="XV89" s="18"/>
      <c r="XW89" s="18"/>
      <c r="XX89" s="18"/>
      <c r="XY89" s="18"/>
      <c r="XZ89" s="18"/>
      <c r="YA89" s="18"/>
      <c r="YB89" s="18"/>
      <c r="YC89" s="18"/>
      <c r="YD89" s="18"/>
      <c r="YE89" s="18"/>
      <c r="YF89" s="18"/>
      <c r="YG89" s="18"/>
      <c r="YH89" s="18"/>
      <c r="YI89" s="18"/>
      <c r="YJ89" s="18"/>
      <c r="YK89" s="18"/>
      <c r="YL89" s="18"/>
      <c r="YM89" s="18"/>
      <c r="YN89" s="18"/>
      <c r="YO89" s="18"/>
      <c r="YP89" s="18"/>
      <c r="YQ89" s="18"/>
      <c r="YR89" s="18"/>
      <c r="YS89" s="18"/>
      <c r="YT89" s="18"/>
      <c r="YU89" s="18"/>
      <c r="YV89" s="18"/>
      <c r="YW89" s="18"/>
      <c r="YX89" s="18"/>
      <c r="YY89" s="18"/>
      <c r="YZ89" s="18"/>
      <c r="ZA89" s="18"/>
      <c r="ZB89" s="18"/>
      <c r="ZC89" s="18"/>
      <c r="ZD89" s="18"/>
      <c r="ZE89" s="18"/>
      <c r="ZF89" s="18"/>
      <c r="ZG89" s="18"/>
      <c r="ZH89" s="18"/>
      <c r="ZI89" s="18"/>
      <c r="ZJ89" s="18"/>
      <c r="ZK89" s="18"/>
      <c r="ZL89" s="18"/>
      <c r="ZM89" s="18"/>
      <c r="ZN89" s="18"/>
      <c r="ZO89" s="18"/>
      <c r="ZP89" s="18"/>
      <c r="ZQ89" s="18"/>
      <c r="ZR89" s="18"/>
      <c r="ZS89" s="18"/>
      <c r="ZT89" s="18"/>
      <c r="ZU89" s="18"/>
      <c r="ZV89" s="18"/>
      <c r="ZW89" s="18"/>
      <c r="ZX89" s="18"/>
      <c r="ZY89" s="18"/>
      <c r="ZZ89" s="18"/>
      <c r="AAA89" s="18"/>
      <c r="AAB89" s="18"/>
      <c r="AAC89" s="18"/>
      <c r="AAD89" s="18"/>
      <c r="AAE89" s="18"/>
      <c r="AAF89" s="18"/>
      <c r="AAG89" s="18"/>
      <c r="AAH89" s="18"/>
      <c r="AAI89" s="18"/>
      <c r="AAJ89" s="18"/>
      <c r="AAK89" s="18"/>
      <c r="AAL89" s="18"/>
      <c r="AAM89" s="18"/>
      <c r="AAN89" s="18"/>
      <c r="AAO89" s="18"/>
      <c r="AAP89" s="18"/>
      <c r="AAQ89" s="18"/>
      <c r="AAR89" s="18"/>
      <c r="AAS89" s="18"/>
      <c r="AAT89" s="18"/>
      <c r="AAU89" s="18"/>
      <c r="AAV89" s="18"/>
      <c r="AAW89" s="18"/>
      <c r="AAX89" s="18"/>
      <c r="AAY89" s="18"/>
      <c r="AAZ89" s="18"/>
      <c r="ABA89" s="18"/>
      <c r="ABB89" s="18"/>
      <c r="ABC89" s="18"/>
      <c r="ABD89" s="18"/>
      <c r="ABE89" s="18"/>
      <c r="ABF89" s="18"/>
      <c r="ABG89" s="18"/>
      <c r="ABH89" s="18"/>
      <c r="ABI89" s="18"/>
      <c r="ABJ89" s="18"/>
      <c r="ABK89" s="18"/>
      <c r="ABL89" s="18"/>
      <c r="ABM89" s="18"/>
      <c r="ABN89" s="18"/>
      <c r="ABO89" s="18"/>
      <c r="ABP89" s="18"/>
      <c r="ABQ89" s="18"/>
      <c r="ABR89" s="18"/>
      <c r="ABS89" s="18"/>
      <c r="ABT89" s="18"/>
      <c r="ABU89" s="18"/>
      <c r="ABV89" s="18"/>
      <c r="ABW89" s="18"/>
      <c r="ABX89" s="18"/>
      <c r="ABY89" s="18"/>
      <c r="ABZ89" s="18"/>
      <c r="ACA89" s="18"/>
      <c r="ACB89" s="18"/>
      <c r="ACC89" s="18"/>
      <c r="ACD89" s="18"/>
      <c r="ACE89" s="18"/>
      <c r="ACF89" s="18"/>
      <c r="ACG89" s="18"/>
      <c r="ACH89" s="18"/>
      <c r="ACI89" s="18"/>
      <c r="ACJ89" s="18"/>
      <c r="ACK89" s="18"/>
      <c r="ACL89" s="18"/>
      <c r="ACM89" s="18"/>
      <c r="ACN89" s="18"/>
      <c r="ACO89" s="18"/>
      <c r="ACP89" s="18"/>
      <c r="ACQ89" s="18"/>
      <c r="ACR89" s="18"/>
      <c r="ACS89" s="18"/>
      <c r="ACT89" s="18"/>
      <c r="ACU89" s="18"/>
      <c r="ACV89" s="18"/>
      <c r="ACW89" s="18"/>
      <c r="ACX89" s="18"/>
      <c r="ACY89" s="18"/>
      <c r="ACZ89" s="18"/>
      <c r="ADA89" s="18"/>
      <c r="ADB89" s="18"/>
      <c r="ADC89" s="18"/>
      <c r="ADD89" s="18"/>
      <c r="ADE89" s="18"/>
      <c r="ADF89" s="18"/>
      <c r="ADG89" s="18"/>
      <c r="ADH89" s="18"/>
      <c r="ADI89" s="18"/>
      <c r="ADJ89" s="18"/>
      <c r="ADK89" s="18"/>
      <c r="ADL89" s="18"/>
      <c r="ADM89" s="18"/>
      <c r="ADN89" s="18"/>
      <c r="ADO89" s="18"/>
      <c r="ADP89" s="18"/>
      <c r="ADQ89" s="18"/>
      <c r="ADR89" s="18"/>
      <c r="ADS89" s="18"/>
      <c r="ADT89" s="18"/>
      <c r="ADU89" s="18"/>
      <c r="ADV89" s="18"/>
      <c r="ADW89" s="18"/>
      <c r="ADX89" s="18"/>
      <c r="ADY89" s="18"/>
      <c r="ADZ89" s="18"/>
      <c r="AEA89" s="18"/>
      <c r="AEB89" s="18"/>
      <c r="AEC89" s="18"/>
      <c r="AED89" s="18"/>
      <c r="AEE89" s="18"/>
      <c r="AEF89" s="18"/>
      <c r="AEG89" s="18"/>
      <c r="AEH89" s="18"/>
      <c r="AEI89" s="18"/>
      <c r="AEJ89" s="18"/>
      <c r="AEK89" s="18"/>
      <c r="AEL89" s="18"/>
      <c r="AEM89" s="18"/>
      <c r="AEN89" s="18"/>
      <c r="AEO89" s="18"/>
      <c r="AEP89" s="18"/>
      <c r="AEQ89" s="18"/>
      <c r="AER89" s="18"/>
      <c r="AES89" s="18"/>
      <c r="AET89" s="18"/>
      <c r="AEU89" s="18"/>
      <c r="AEV89" s="18"/>
      <c r="AEW89" s="18"/>
      <c r="AEX89" s="18"/>
      <c r="AEY89" s="18"/>
      <c r="AEZ89" s="18"/>
      <c r="AFA89" s="18"/>
      <c r="AFB89" s="18"/>
      <c r="AFC89" s="18"/>
      <c r="AFD89" s="18"/>
      <c r="AFE89" s="18"/>
      <c r="AFF89" s="18"/>
      <c r="AFG89" s="18"/>
      <c r="AFH89" s="18"/>
      <c r="AFI89" s="18"/>
      <c r="AFJ89" s="18"/>
      <c r="AFK89" s="18"/>
      <c r="AFL89" s="18"/>
      <c r="AFM89" s="18"/>
      <c r="AFN89" s="18"/>
      <c r="AFO89" s="18"/>
      <c r="AFP89" s="18"/>
      <c r="AFQ89" s="18"/>
      <c r="AFR89" s="18"/>
      <c r="AFS89" s="18"/>
      <c r="AFT89" s="18"/>
      <c r="AFU89" s="18"/>
      <c r="AFV89" s="18"/>
      <c r="AFW89" s="18"/>
      <c r="AFX89" s="18"/>
      <c r="AFY89" s="18"/>
      <c r="AFZ89" s="18"/>
      <c r="AGA89" s="18"/>
      <c r="AGB89" s="18"/>
      <c r="AGC89" s="18"/>
      <c r="AGD89" s="18"/>
      <c r="AGE89" s="18"/>
      <c r="AGF89" s="18"/>
      <c r="AGG89" s="18"/>
      <c r="AGH89" s="18"/>
      <c r="AGI89" s="18"/>
      <c r="AGJ89" s="18"/>
      <c r="AGK89" s="18"/>
      <c r="AGL89" s="18"/>
      <c r="AGM89" s="18"/>
      <c r="AGN89" s="18"/>
      <c r="AGO89" s="18"/>
      <c r="AGP89" s="18"/>
      <c r="AGQ89" s="18"/>
      <c r="AGR89" s="18"/>
      <c r="AGS89" s="18"/>
      <c r="AGT89" s="18"/>
      <c r="AGU89" s="18"/>
      <c r="AGV89" s="18"/>
      <c r="AGW89" s="18"/>
      <c r="AGX89" s="18"/>
      <c r="AGY89" s="18"/>
      <c r="AGZ89" s="18"/>
      <c r="AHA89" s="18"/>
      <c r="AHB89" s="18"/>
      <c r="AHC89" s="18"/>
      <c r="AHD89" s="18"/>
      <c r="AHE89" s="18"/>
      <c r="AHF89" s="18"/>
      <c r="AHG89" s="18"/>
      <c r="AHH89" s="18"/>
      <c r="AHI89" s="18"/>
      <c r="AHJ89" s="18"/>
      <c r="AHK89" s="18"/>
      <c r="AHL89" s="18"/>
      <c r="AHM89" s="18"/>
      <c r="AHN89" s="18"/>
      <c r="AHO89" s="18"/>
      <c r="AHP89" s="18"/>
      <c r="AHQ89" s="18"/>
      <c r="AHR89" s="18"/>
      <c r="AHS89" s="18"/>
      <c r="AHT89" s="18"/>
      <c r="AHU89" s="18"/>
      <c r="AHV89" s="18"/>
      <c r="AHW89" s="18"/>
      <c r="AHX89" s="18"/>
      <c r="AHY89" s="18"/>
      <c r="AHZ89" s="18"/>
      <c r="AIA89" s="18"/>
      <c r="AIB89" s="18"/>
      <c r="AIC89" s="18"/>
      <c r="AID89" s="18"/>
      <c r="AIE89" s="18"/>
      <c r="AIF89" s="18"/>
      <c r="AIG89" s="18"/>
      <c r="AIH89" s="18"/>
      <c r="AII89" s="18"/>
      <c r="AIJ89" s="18"/>
      <c r="AIK89" s="18"/>
      <c r="AIL89" s="18"/>
      <c r="AIM89" s="18"/>
      <c r="AIN89" s="18"/>
      <c r="AIO89" s="18"/>
      <c r="AIP89" s="18"/>
      <c r="AIQ89" s="18"/>
      <c r="AIR89" s="18"/>
      <c r="AIS89" s="18"/>
      <c r="AIT89" s="18"/>
      <c r="AIU89" s="18"/>
      <c r="AIV89" s="18"/>
      <c r="AIW89" s="18"/>
      <c r="AIX89" s="18"/>
      <c r="AIY89" s="18"/>
      <c r="AIZ89" s="18"/>
      <c r="AJA89" s="18"/>
      <c r="AJB89" s="18"/>
      <c r="AJC89" s="18"/>
      <c r="AJD89" s="18"/>
      <c r="AJE89" s="18"/>
      <c r="AJF89" s="18"/>
      <c r="AJG89" s="18"/>
      <c r="AJH89" s="18"/>
      <c r="AJI89" s="18"/>
      <c r="AJJ89" s="18"/>
      <c r="AJK89" s="18"/>
      <c r="AJL89" s="18"/>
      <c r="AJM89" s="18"/>
      <c r="AJN89" s="18"/>
      <c r="AJO89" s="18"/>
      <c r="AJP89" s="18"/>
      <c r="AJQ89" s="18"/>
      <c r="AJR89" s="18"/>
      <c r="AJS89" s="18"/>
      <c r="AJT89" s="18"/>
      <c r="AJU89" s="18"/>
      <c r="AJV89" s="18"/>
      <c r="AJW89" s="18"/>
      <c r="AJX89" s="18"/>
      <c r="AJY89" s="18"/>
      <c r="AJZ89" s="18"/>
      <c r="AKA89" s="18"/>
      <c r="AKB89" s="18"/>
      <c r="AKC89" s="18"/>
      <c r="AKD89" s="18"/>
      <c r="AKE89" s="18"/>
      <c r="AKF89" s="18"/>
      <c r="AKG89" s="18"/>
      <c r="AKH89" s="18"/>
      <c r="AKI89" s="18"/>
      <c r="AKJ89" s="18"/>
      <c r="AKK89" s="18"/>
      <c r="AKL89" s="18"/>
      <c r="AKM89" s="18"/>
      <c r="AKN89" s="18"/>
      <c r="AKO89" s="18"/>
      <c r="AKP89" s="18"/>
      <c r="AKQ89" s="18"/>
      <c r="AKR89" s="18"/>
      <c r="AKS89" s="18"/>
      <c r="AKT89" s="18"/>
      <c r="AKU89" s="18"/>
      <c r="AKV89" s="18"/>
      <c r="AKW89" s="18"/>
      <c r="AKX89" s="18"/>
      <c r="AKY89" s="18"/>
      <c r="AKZ89" s="18"/>
      <c r="ALA89" s="18"/>
      <c r="ALB89" s="18"/>
      <c r="ALC89" s="18"/>
      <c r="ALD89" s="18"/>
      <c r="ALE89" s="18"/>
      <c r="ALF89" s="18"/>
      <c r="ALG89" s="18"/>
      <c r="ALH89" s="18"/>
      <c r="ALI89" s="18"/>
      <c r="ALJ89" s="18"/>
      <c r="ALK89" s="18"/>
      <c r="ALL89" s="18"/>
      <c r="ALM89" s="18"/>
      <c r="ALN89" s="18"/>
      <c r="ALO89" s="18"/>
      <c r="ALP89" s="18"/>
      <c r="ALQ89" s="18"/>
      <c r="ALR89" s="18"/>
      <c r="ALS89" s="18"/>
      <c r="ALT89" s="18"/>
    </row>
    <row r="90" spans="1:1008" ht="24">
      <c r="A90" s="251" t="s">
        <v>7</v>
      </c>
      <c r="B90" s="290">
        <v>100869</v>
      </c>
      <c r="C90" s="278" t="str">
        <f>(IF($A90="SINAPI",INDEX(SINAPI_NOV2020_NDES!$A$7:$H$6703,MATCH($B90,SINAPI_NOV2020_NDES!$A$7:$A$6703,0),2),IF($A90="GOINFRA",INDEX(#REF!,MATCH($B90,#REF!,0),2),(INDEX(COMPOS!$A$4:$G$390,MATCH($B90,COMPOS!$A$4:A$390,0),2)))))</f>
        <v>BARRA DE APOIO RETA, EM ACO INOX POLIDO, COMPRIMENTO 90 CM,  FIXADA NA PAREDE - FORNECIMENTO E INSTALAÇÃO. AF_01/2020</v>
      </c>
      <c r="D90" s="274" t="str">
        <f>(IF($A90="SINAPI",INDEX(SINAPI_NOV2020_NDES!$A$7:$H$6790,MATCH($B90,SINAPI_NOV2020_NDES!$A$7:$A$6790,0),3),(INDEX(COMPOS!$A$4:$G$5000,MATCH($B90,COMPOS!$A$4:$A$5000,0),3))))</f>
        <v>UN</v>
      </c>
      <c r="E90" s="314">
        <v>4</v>
      </c>
      <c r="F90" s="279">
        <f>(IF($A90="SINAPI",INDEX(SINAPI_NOV2020_NDES!$A$7:$H$6703,MATCH($B90,SINAPI_NOV2020_NDES!$A$7:$A$6703,0),5),(INDEX(COMPOS!$A$4:$G$801,MATCH($B90,COMPOS!$A$4:A$801,0),4))))</f>
        <v>19.36</v>
      </c>
      <c r="G90" s="280">
        <f>(IF($A90="SINAPI",INDEX(SINAPI_NOV2020_NDES!$A$7:$H$6703,MATCH($B90,SINAPI_NOV2020_NDES!$A$7:$A$6703,0),6),(INDEX(COMPOS!$A$4:$G$801,MATCH($B90,COMPOS!$A$4:A$801,0),5))))</f>
        <v>225.87</v>
      </c>
      <c r="H90" s="280">
        <f>(IF($A90="SINAPI",INDEX(SINAPI_NOV2020_NDES!$A$7:$H$6703,MATCH($B90,SINAPI_NOV2020_NDES!$A$7:$A$6703,0),7),(INDEX(COMPOS!$A$4:$G$801,MATCH($B90,COMPOS!$A$4:A$801,0),6))))</f>
        <v>0</v>
      </c>
      <c r="I90" s="279">
        <f t="shared" ref="I90:I92" si="36">SUM(F90:H90)</f>
        <v>245.23000000000002</v>
      </c>
      <c r="J90" s="276">
        <f t="shared" ref="J90:J92" si="37">+I90*E90</f>
        <v>980.92000000000007</v>
      </c>
      <c r="K90" s="191"/>
      <c r="L90" s="191"/>
      <c r="M90" s="191"/>
      <c r="N90" s="191"/>
      <c r="O90" s="262"/>
      <c r="P90" s="263"/>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c r="EF90" s="18"/>
      <c r="EG90" s="18"/>
      <c r="EH90" s="18"/>
      <c r="EI90" s="18"/>
      <c r="EJ90" s="18"/>
      <c r="EK90" s="18"/>
      <c r="EL90" s="18"/>
      <c r="EM90" s="18"/>
      <c r="EN90" s="18"/>
      <c r="EO90" s="18"/>
      <c r="EP90" s="18"/>
      <c r="EQ90" s="18"/>
      <c r="ER90" s="18"/>
      <c r="ES90" s="18"/>
      <c r="ET90" s="18"/>
      <c r="EU90" s="18"/>
      <c r="EV90" s="18"/>
      <c r="EW90" s="18"/>
      <c r="EX90" s="18"/>
      <c r="EY90" s="18"/>
      <c r="EZ90" s="18"/>
      <c r="FA90" s="18"/>
      <c r="FB90" s="18"/>
      <c r="FC90" s="18"/>
      <c r="FD90" s="18"/>
      <c r="FE90" s="18"/>
      <c r="FF90" s="18"/>
      <c r="FG90" s="18"/>
      <c r="FH90" s="18"/>
      <c r="FI90" s="18"/>
      <c r="FJ90" s="18"/>
      <c r="FK90" s="18"/>
      <c r="FL90" s="18"/>
      <c r="FM90" s="18"/>
      <c r="FN90" s="18"/>
      <c r="FO90" s="18"/>
      <c r="FP90" s="18"/>
      <c r="FQ90" s="18"/>
      <c r="FR90" s="18"/>
      <c r="FS90" s="18"/>
      <c r="FT90" s="18"/>
      <c r="FU90" s="18"/>
      <c r="FV90" s="18"/>
      <c r="FW90" s="18"/>
      <c r="FX90" s="18"/>
      <c r="FY90" s="18"/>
      <c r="FZ90" s="18"/>
      <c r="GA90" s="18"/>
      <c r="GB90" s="18"/>
      <c r="GC90" s="18"/>
      <c r="GD90" s="18"/>
      <c r="GE90" s="18"/>
      <c r="GF90" s="18"/>
      <c r="GG90" s="18"/>
      <c r="GH90" s="18"/>
      <c r="GI90" s="18"/>
      <c r="GJ90" s="18"/>
      <c r="GK90" s="18"/>
      <c r="GL90" s="18"/>
      <c r="GM90" s="18"/>
      <c r="GN90" s="18"/>
      <c r="GO90" s="18"/>
      <c r="GP90" s="18"/>
      <c r="GQ90" s="18"/>
      <c r="GR90" s="18"/>
      <c r="GS90" s="18"/>
      <c r="GT90" s="18"/>
      <c r="GU90" s="18"/>
      <c r="GV90" s="18"/>
      <c r="GW90" s="18"/>
      <c r="GX90" s="18"/>
      <c r="GY90" s="18"/>
      <c r="GZ90" s="18"/>
      <c r="HA90" s="18"/>
      <c r="HB90" s="18"/>
      <c r="HC90" s="18"/>
      <c r="HD90" s="18"/>
      <c r="HE90" s="18"/>
      <c r="HF90" s="18"/>
      <c r="HG90" s="18"/>
      <c r="HH90" s="18"/>
      <c r="HI90" s="18"/>
      <c r="HJ90" s="18"/>
      <c r="HK90" s="18"/>
      <c r="HL90" s="18"/>
      <c r="HM90" s="18"/>
      <c r="HN90" s="18"/>
      <c r="HO90" s="18"/>
      <c r="HP90" s="18"/>
      <c r="HQ90" s="18"/>
      <c r="HR90" s="18"/>
      <c r="HS90" s="18"/>
      <c r="HT90" s="18"/>
      <c r="HU90" s="18"/>
      <c r="HV90" s="18"/>
      <c r="HW90" s="18"/>
      <c r="HX90" s="18"/>
      <c r="HY90" s="18"/>
      <c r="HZ90" s="18"/>
      <c r="IA90" s="18"/>
      <c r="IB90" s="18"/>
      <c r="IC90" s="18"/>
      <c r="ID90" s="18"/>
      <c r="IE90" s="18"/>
      <c r="IF90" s="18"/>
      <c r="IG90" s="18"/>
      <c r="IH90" s="18"/>
      <c r="II90" s="18"/>
      <c r="IJ90" s="18"/>
      <c r="IK90" s="18"/>
      <c r="IL90" s="18"/>
      <c r="IM90" s="18"/>
      <c r="IN90" s="18"/>
      <c r="IO90" s="18"/>
      <c r="IP90" s="18"/>
      <c r="IQ90" s="18"/>
      <c r="IR90" s="18"/>
      <c r="IS90" s="18"/>
      <c r="IT90" s="18"/>
      <c r="IU90" s="18"/>
      <c r="IV90" s="18"/>
      <c r="IW90" s="18"/>
      <c r="IX90" s="18"/>
      <c r="IY90" s="18"/>
      <c r="IZ90" s="18"/>
      <c r="JA90" s="18"/>
      <c r="JB90" s="18"/>
      <c r="JC90" s="18"/>
      <c r="JD90" s="18"/>
      <c r="JE90" s="18"/>
      <c r="JF90" s="18"/>
      <c r="JG90" s="18"/>
      <c r="JH90" s="18"/>
      <c r="JI90" s="18"/>
      <c r="JJ90" s="18"/>
      <c r="JK90" s="18"/>
      <c r="JL90" s="18"/>
      <c r="JM90" s="18"/>
      <c r="JN90" s="18"/>
      <c r="JO90" s="18"/>
      <c r="JP90" s="18"/>
      <c r="JQ90" s="18"/>
      <c r="JR90" s="18"/>
      <c r="JS90" s="18"/>
      <c r="JT90" s="18"/>
      <c r="JU90" s="18"/>
      <c r="JV90" s="18"/>
      <c r="JW90" s="18"/>
      <c r="JX90" s="18"/>
      <c r="JY90" s="18"/>
      <c r="JZ90" s="18"/>
      <c r="KA90" s="18"/>
      <c r="KB90" s="18"/>
      <c r="KC90" s="18"/>
      <c r="KD90" s="18"/>
      <c r="KE90" s="18"/>
      <c r="KF90" s="18"/>
      <c r="KG90" s="18"/>
      <c r="KH90" s="18"/>
      <c r="KI90" s="18"/>
      <c r="KJ90" s="18"/>
      <c r="KK90" s="18"/>
      <c r="KL90" s="18"/>
      <c r="KM90" s="18"/>
      <c r="KN90" s="18"/>
      <c r="KO90" s="18"/>
      <c r="KP90" s="18"/>
      <c r="KQ90" s="18"/>
      <c r="KR90" s="18"/>
      <c r="KS90" s="18"/>
      <c r="KT90" s="18"/>
      <c r="KU90" s="18"/>
      <c r="KV90" s="18"/>
      <c r="KW90" s="18"/>
      <c r="KX90" s="18"/>
      <c r="KY90" s="18"/>
      <c r="KZ90" s="18"/>
      <c r="LA90" s="18"/>
      <c r="LB90" s="18"/>
      <c r="LC90" s="18"/>
      <c r="LD90" s="18"/>
      <c r="LE90" s="18"/>
      <c r="LF90" s="18"/>
      <c r="LG90" s="18"/>
      <c r="LH90" s="18"/>
      <c r="LI90" s="18"/>
      <c r="LJ90" s="18"/>
      <c r="LK90" s="18"/>
      <c r="LL90" s="18"/>
      <c r="LM90" s="18"/>
      <c r="LN90" s="18"/>
      <c r="LO90" s="18"/>
      <c r="LP90" s="18"/>
      <c r="LQ90" s="18"/>
      <c r="LR90" s="18"/>
      <c r="LS90" s="18"/>
      <c r="LT90" s="18"/>
      <c r="LU90" s="18"/>
      <c r="LV90" s="18"/>
      <c r="LW90" s="18"/>
      <c r="LX90" s="18"/>
      <c r="LY90" s="18"/>
      <c r="LZ90" s="18"/>
      <c r="MA90" s="18"/>
      <c r="MB90" s="18"/>
      <c r="MC90" s="18"/>
      <c r="MD90" s="18"/>
      <c r="ME90" s="18"/>
      <c r="MF90" s="18"/>
      <c r="MG90" s="18"/>
      <c r="MH90" s="18"/>
      <c r="MI90" s="18"/>
      <c r="MJ90" s="18"/>
      <c r="MK90" s="18"/>
      <c r="ML90" s="18"/>
      <c r="MM90" s="18"/>
      <c r="MN90" s="18"/>
      <c r="MO90" s="18"/>
      <c r="MP90" s="18"/>
      <c r="MQ90" s="18"/>
      <c r="MR90" s="18"/>
      <c r="MS90" s="18"/>
      <c r="MT90" s="18"/>
      <c r="MU90" s="18"/>
      <c r="MV90" s="18"/>
      <c r="MW90" s="18"/>
      <c r="MX90" s="18"/>
      <c r="MY90" s="18"/>
      <c r="MZ90" s="18"/>
      <c r="NA90" s="18"/>
      <c r="NB90" s="18"/>
      <c r="NC90" s="18"/>
      <c r="ND90" s="18"/>
      <c r="NE90" s="18"/>
      <c r="NF90" s="18"/>
      <c r="NG90" s="18"/>
      <c r="NH90" s="18"/>
      <c r="NI90" s="18"/>
      <c r="NJ90" s="18"/>
      <c r="NK90" s="18"/>
      <c r="NL90" s="18"/>
      <c r="NM90" s="18"/>
      <c r="NN90" s="18"/>
      <c r="NO90" s="18"/>
      <c r="NP90" s="18"/>
      <c r="NQ90" s="18"/>
      <c r="NR90" s="18"/>
      <c r="NS90" s="18"/>
      <c r="NT90" s="18"/>
      <c r="NU90" s="18"/>
      <c r="NV90" s="18"/>
      <c r="NW90" s="18"/>
      <c r="NX90" s="18"/>
      <c r="NY90" s="18"/>
      <c r="NZ90" s="18"/>
      <c r="OA90" s="18"/>
      <c r="OB90" s="18"/>
      <c r="OC90" s="18"/>
      <c r="OD90" s="18"/>
      <c r="OE90" s="18"/>
      <c r="OF90" s="18"/>
      <c r="OG90" s="18"/>
      <c r="OH90" s="18"/>
      <c r="OI90" s="18"/>
      <c r="OJ90" s="18"/>
      <c r="OK90" s="18"/>
      <c r="OL90" s="18"/>
      <c r="OM90" s="18"/>
      <c r="ON90" s="18"/>
      <c r="OO90" s="18"/>
      <c r="OP90" s="18"/>
      <c r="OQ90" s="18"/>
      <c r="OR90" s="18"/>
      <c r="OS90" s="18"/>
      <c r="OT90" s="18"/>
      <c r="OU90" s="18"/>
      <c r="OV90" s="18"/>
      <c r="OW90" s="18"/>
      <c r="OX90" s="18"/>
      <c r="OY90" s="18"/>
      <c r="OZ90" s="18"/>
      <c r="PA90" s="18"/>
      <c r="PB90" s="18"/>
      <c r="PC90" s="18"/>
      <c r="PD90" s="18"/>
      <c r="PE90" s="18"/>
      <c r="PF90" s="18"/>
      <c r="PG90" s="18"/>
      <c r="PH90" s="18"/>
      <c r="PI90" s="18"/>
      <c r="PJ90" s="18"/>
      <c r="PK90" s="18"/>
      <c r="PL90" s="18"/>
      <c r="PM90" s="18"/>
      <c r="PN90" s="18"/>
      <c r="PO90" s="18"/>
      <c r="PP90" s="18"/>
      <c r="PQ90" s="18"/>
      <c r="PR90" s="18"/>
      <c r="PS90" s="18"/>
      <c r="PT90" s="18"/>
      <c r="PU90" s="18"/>
      <c r="PV90" s="18"/>
      <c r="PW90" s="18"/>
      <c r="PX90" s="18"/>
      <c r="PY90" s="18"/>
      <c r="PZ90" s="18"/>
      <c r="QA90" s="18"/>
      <c r="QB90" s="18"/>
      <c r="QC90" s="18"/>
      <c r="QD90" s="18"/>
      <c r="QE90" s="18"/>
      <c r="QF90" s="18"/>
      <c r="QG90" s="18"/>
      <c r="QH90" s="18"/>
      <c r="QI90" s="18"/>
      <c r="QJ90" s="18"/>
      <c r="QK90" s="18"/>
      <c r="QL90" s="18"/>
      <c r="QM90" s="18"/>
      <c r="QN90" s="18"/>
      <c r="QO90" s="18"/>
      <c r="QP90" s="18"/>
      <c r="QQ90" s="18"/>
      <c r="QR90" s="18"/>
      <c r="QS90" s="18"/>
      <c r="QT90" s="18"/>
      <c r="QU90" s="18"/>
      <c r="QV90" s="18"/>
      <c r="QW90" s="18"/>
      <c r="QX90" s="18"/>
      <c r="QY90" s="18"/>
      <c r="QZ90" s="18"/>
      <c r="RA90" s="18"/>
      <c r="RB90" s="18"/>
      <c r="RC90" s="18"/>
      <c r="RD90" s="18"/>
      <c r="RE90" s="18"/>
      <c r="RF90" s="18"/>
      <c r="RG90" s="18"/>
      <c r="RH90" s="18"/>
      <c r="RI90" s="18"/>
      <c r="RJ90" s="18"/>
      <c r="RK90" s="18"/>
      <c r="RL90" s="18"/>
      <c r="RM90" s="18"/>
      <c r="RN90" s="18"/>
      <c r="RO90" s="18"/>
      <c r="RP90" s="18"/>
      <c r="RQ90" s="18"/>
      <c r="RR90" s="18"/>
      <c r="RS90" s="18"/>
      <c r="RT90" s="18"/>
      <c r="RU90" s="18"/>
      <c r="RV90" s="18"/>
      <c r="RW90" s="18"/>
      <c r="RX90" s="18"/>
      <c r="RY90" s="18"/>
      <c r="RZ90" s="18"/>
      <c r="SA90" s="18"/>
      <c r="SB90" s="18"/>
      <c r="SC90" s="18"/>
      <c r="SD90" s="18"/>
      <c r="SE90" s="18"/>
      <c r="SF90" s="18"/>
      <c r="SG90" s="18"/>
      <c r="SH90" s="18"/>
      <c r="SI90" s="18"/>
      <c r="SJ90" s="18"/>
      <c r="SK90" s="18"/>
      <c r="SL90" s="18"/>
      <c r="SM90" s="18"/>
      <c r="SN90" s="18"/>
      <c r="SO90" s="18"/>
      <c r="SP90" s="18"/>
      <c r="SQ90" s="18"/>
      <c r="SR90" s="18"/>
      <c r="SS90" s="18"/>
      <c r="ST90" s="18"/>
      <c r="SU90" s="18"/>
      <c r="SV90" s="18"/>
      <c r="SW90" s="18"/>
      <c r="SX90" s="18"/>
      <c r="SY90" s="18"/>
      <c r="SZ90" s="18"/>
      <c r="TA90" s="18"/>
      <c r="TB90" s="18"/>
      <c r="TC90" s="18"/>
      <c r="TD90" s="18"/>
      <c r="TE90" s="18"/>
      <c r="TF90" s="18"/>
      <c r="TG90" s="18"/>
      <c r="TH90" s="18"/>
      <c r="TI90" s="18"/>
      <c r="TJ90" s="18"/>
      <c r="TK90" s="18"/>
      <c r="TL90" s="18"/>
      <c r="TM90" s="18"/>
      <c r="TN90" s="18"/>
      <c r="TO90" s="18"/>
      <c r="TP90" s="18"/>
      <c r="TQ90" s="18"/>
      <c r="TR90" s="18"/>
      <c r="TS90" s="18"/>
      <c r="TT90" s="18"/>
      <c r="TU90" s="18"/>
      <c r="TV90" s="18"/>
      <c r="TW90" s="18"/>
      <c r="TX90" s="18"/>
      <c r="TY90" s="18"/>
      <c r="TZ90" s="18"/>
      <c r="UA90" s="18"/>
      <c r="UB90" s="18"/>
      <c r="UC90" s="18"/>
      <c r="UD90" s="18"/>
      <c r="UE90" s="18"/>
      <c r="UF90" s="18"/>
      <c r="UG90" s="18"/>
      <c r="UH90" s="18"/>
      <c r="UI90" s="18"/>
      <c r="UJ90" s="18"/>
      <c r="UK90" s="18"/>
      <c r="UL90" s="18"/>
      <c r="UM90" s="18"/>
      <c r="UN90" s="18"/>
      <c r="UO90" s="18"/>
      <c r="UP90" s="18"/>
      <c r="UQ90" s="18"/>
      <c r="UR90" s="18"/>
      <c r="US90" s="18"/>
      <c r="UT90" s="18"/>
      <c r="UU90" s="18"/>
      <c r="UV90" s="18"/>
      <c r="UW90" s="18"/>
      <c r="UX90" s="18"/>
      <c r="UY90" s="18"/>
      <c r="UZ90" s="18"/>
      <c r="VA90" s="18"/>
      <c r="VB90" s="18"/>
      <c r="VC90" s="18"/>
      <c r="VD90" s="18"/>
      <c r="VE90" s="18"/>
      <c r="VF90" s="18"/>
      <c r="VG90" s="18"/>
      <c r="VH90" s="18"/>
      <c r="VI90" s="18"/>
      <c r="VJ90" s="18"/>
      <c r="VK90" s="18"/>
      <c r="VL90" s="18"/>
      <c r="VM90" s="18"/>
      <c r="VN90" s="18"/>
      <c r="VO90" s="18"/>
      <c r="VP90" s="18"/>
      <c r="VQ90" s="18"/>
      <c r="VR90" s="18"/>
      <c r="VS90" s="18"/>
      <c r="VT90" s="18"/>
      <c r="VU90" s="18"/>
      <c r="VV90" s="18"/>
      <c r="VW90" s="18"/>
      <c r="VX90" s="18"/>
      <c r="VY90" s="18"/>
      <c r="VZ90" s="18"/>
      <c r="WA90" s="18"/>
      <c r="WB90" s="18"/>
      <c r="WC90" s="18"/>
      <c r="WD90" s="18"/>
      <c r="WE90" s="18"/>
      <c r="WF90" s="18"/>
      <c r="WG90" s="18"/>
      <c r="WH90" s="18"/>
      <c r="WI90" s="18"/>
      <c r="WJ90" s="18"/>
      <c r="WK90" s="18"/>
      <c r="WL90" s="18"/>
      <c r="WM90" s="18"/>
      <c r="WN90" s="18"/>
      <c r="WO90" s="18"/>
      <c r="WP90" s="18"/>
      <c r="WQ90" s="18"/>
      <c r="WR90" s="18"/>
      <c r="WS90" s="18"/>
      <c r="WT90" s="18"/>
      <c r="WU90" s="18"/>
      <c r="WV90" s="18"/>
      <c r="WW90" s="18"/>
      <c r="WX90" s="18"/>
      <c r="WY90" s="18"/>
      <c r="WZ90" s="18"/>
      <c r="XA90" s="18"/>
      <c r="XB90" s="18"/>
      <c r="XC90" s="18"/>
      <c r="XD90" s="18"/>
      <c r="XE90" s="18"/>
      <c r="XF90" s="18"/>
      <c r="XG90" s="18"/>
      <c r="XH90" s="18"/>
      <c r="XI90" s="18"/>
      <c r="XJ90" s="18"/>
      <c r="XK90" s="18"/>
      <c r="XL90" s="18"/>
      <c r="XM90" s="18"/>
      <c r="XN90" s="18"/>
      <c r="XO90" s="18"/>
      <c r="XP90" s="18"/>
      <c r="XQ90" s="18"/>
      <c r="XR90" s="18"/>
      <c r="XS90" s="18"/>
      <c r="XT90" s="18"/>
      <c r="XU90" s="18"/>
      <c r="XV90" s="18"/>
      <c r="XW90" s="18"/>
      <c r="XX90" s="18"/>
      <c r="XY90" s="18"/>
      <c r="XZ90" s="18"/>
      <c r="YA90" s="18"/>
      <c r="YB90" s="18"/>
      <c r="YC90" s="18"/>
      <c r="YD90" s="18"/>
      <c r="YE90" s="18"/>
      <c r="YF90" s="18"/>
      <c r="YG90" s="18"/>
      <c r="YH90" s="18"/>
      <c r="YI90" s="18"/>
      <c r="YJ90" s="18"/>
      <c r="YK90" s="18"/>
      <c r="YL90" s="18"/>
      <c r="YM90" s="18"/>
      <c r="YN90" s="18"/>
      <c r="YO90" s="18"/>
      <c r="YP90" s="18"/>
      <c r="YQ90" s="18"/>
      <c r="YR90" s="18"/>
      <c r="YS90" s="18"/>
      <c r="YT90" s="18"/>
      <c r="YU90" s="18"/>
      <c r="YV90" s="18"/>
      <c r="YW90" s="18"/>
      <c r="YX90" s="18"/>
      <c r="YY90" s="18"/>
      <c r="YZ90" s="18"/>
      <c r="ZA90" s="18"/>
      <c r="ZB90" s="18"/>
      <c r="ZC90" s="18"/>
      <c r="ZD90" s="18"/>
      <c r="ZE90" s="18"/>
      <c r="ZF90" s="18"/>
      <c r="ZG90" s="18"/>
      <c r="ZH90" s="18"/>
      <c r="ZI90" s="18"/>
      <c r="ZJ90" s="18"/>
      <c r="ZK90" s="18"/>
      <c r="ZL90" s="18"/>
      <c r="ZM90" s="18"/>
      <c r="ZN90" s="18"/>
      <c r="ZO90" s="18"/>
      <c r="ZP90" s="18"/>
      <c r="ZQ90" s="18"/>
      <c r="ZR90" s="18"/>
      <c r="ZS90" s="18"/>
      <c r="ZT90" s="18"/>
      <c r="ZU90" s="18"/>
      <c r="ZV90" s="18"/>
      <c r="ZW90" s="18"/>
      <c r="ZX90" s="18"/>
      <c r="ZY90" s="18"/>
      <c r="ZZ90" s="18"/>
      <c r="AAA90" s="18"/>
      <c r="AAB90" s="18"/>
      <c r="AAC90" s="18"/>
      <c r="AAD90" s="18"/>
      <c r="AAE90" s="18"/>
      <c r="AAF90" s="18"/>
      <c r="AAG90" s="18"/>
      <c r="AAH90" s="18"/>
      <c r="AAI90" s="18"/>
      <c r="AAJ90" s="18"/>
      <c r="AAK90" s="18"/>
      <c r="AAL90" s="18"/>
      <c r="AAM90" s="18"/>
      <c r="AAN90" s="18"/>
      <c r="AAO90" s="18"/>
      <c r="AAP90" s="18"/>
      <c r="AAQ90" s="18"/>
      <c r="AAR90" s="18"/>
      <c r="AAS90" s="18"/>
      <c r="AAT90" s="18"/>
      <c r="AAU90" s="18"/>
      <c r="AAV90" s="18"/>
      <c r="AAW90" s="18"/>
      <c r="AAX90" s="18"/>
      <c r="AAY90" s="18"/>
      <c r="AAZ90" s="18"/>
      <c r="ABA90" s="18"/>
      <c r="ABB90" s="18"/>
      <c r="ABC90" s="18"/>
      <c r="ABD90" s="18"/>
      <c r="ABE90" s="18"/>
      <c r="ABF90" s="18"/>
      <c r="ABG90" s="18"/>
      <c r="ABH90" s="18"/>
      <c r="ABI90" s="18"/>
      <c r="ABJ90" s="18"/>
      <c r="ABK90" s="18"/>
      <c r="ABL90" s="18"/>
      <c r="ABM90" s="18"/>
      <c r="ABN90" s="18"/>
      <c r="ABO90" s="18"/>
      <c r="ABP90" s="18"/>
      <c r="ABQ90" s="18"/>
      <c r="ABR90" s="18"/>
      <c r="ABS90" s="18"/>
      <c r="ABT90" s="18"/>
      <c r="ABU90" s="18"/>
      <c r="ABV90" s="18"/>
      <c r="ABW90" s="18"/>
      <c r="ABX90" s="18"/>
      <c r="ABY90" s="18"/>
      <c r="ABZ90" s="18"/>
      <c r="ACA90" s="18"/>
      <c r="ACB90" s="18"/>
      <c r="ACC90" s="18"/>
      <c r="ACD90" s="18"/>
      <c r="ACE90" s="18"/>
      <c r="ACF90" s="18"/>
      <c r="ACG90" s="18"/>
      <c r="ACH90" s="18"/>
      <c r="ACI90" s="18"/>
      <c r="ACJ90" s="18"/>
      <c r="ACK90" s="18"/>
      <c r="ACL90" s="18"/>
      <c r="ACM90" s="18"/>
      <c r="ACN90" s="18"/>
      <c r="ACO90" s="18"/>
      <c r="ACP90" s="18"/>
      <c r="ACQ90" s="18"/>
      <c r="ACR90" s="18"/>
      <c r="ACS90" s="18"/>
      <c r="ACT90" s="18"/>
      <c r="ACU90" s="18"/>
      <c r="ACV90" s="18"/>
      <c r="ACW90" s="18"/>
      <c r="ACX90" s="18"/>
      <c r="ACY90" s="18"/>
      <c r="ACZ90" s="18"/>
      <c r="ADA90" s="18"/>
      <c r="ADB90" s="18"/>
      <c r="ADC90" s="18"/>
      <c r="ADD90" s="18"/>
      <c r="ADE90" s="18"/>
      <c r="ADF90" s="18"/>
      <c r="ADG90" s="18"/>
      <c r="ADH90" s="18"/>
      <c r="ADI90" s="18"/>
      <c r="ADJ90" s="18"/>
      <c r="ADK90" s="18"/>
      <c r="ADL90" s="18"/>
      <c r="ADM90" s="18"/>
      <c r="ADN90" s="18"/>
      <c r="ADO90" s="18"/>
      <c r="ADP90" s="18"/>
      <c r="ADQ90" s="18"/>
      <c r="ADR90" s="18"/>
      <c r="ADS90" s="18"/>
      <c r="ADT90" s="18"/>
      <c r="ADU90" s="18"/>
      <c r="ADV90" s="18"/>
      <c r="ADW90" s="18"/>
      <c r="ADX90" s="18"/>
      <c r="ADY90" s="18"/>
      <c r="ADZ90" s="18"/>
      <c r="AEA90" s="18"/>
      <c r="AEB90" s="18"/>
      <c r="AEC90" s="18"/>
      <c r="AED90" s="18"/>
      <c r="AEE90" s="18"/>
      <c r="AEF90" s="18"/>
      <c r="AEG90" s="18"/>
      <c r="AEH90" s="18"/>
      <c r="AEI90" s="18"/>
      <c r="AEJ90" s="18"/>
      <c r="AEK90" s="18"/>
      <c r="AEL90" s="18"/>
      <c r="AEM90" s="18"/>
      <c r="AEN90" s="18"/>
      <c r="AEO90" s="18"/>
      <c r="AEP90" s="18"/>
      <c r="AEQ90" s="18"/>
      <c r="AER90" s="18"/>
      <c r="AES90" s="18"/>
      <c r="AET90" s="18"/>
      <c r="AEU90" s="18"/>
      <c r="AEV90" s="18"/>
      <c r="AEW90" s="18"/>
      <c r="AEX90" s="18"/>
      <c r="AEY90" s="18"/>
      <c r="AEZ90" s="18"/>
      <c r="AFA90" s="18"/>
      <c r="AFB90" s="18"/>
      <c r="AFC90" s="18"/>
      <c r="AFD90" s="18"/>
      <c r="AFE90" s="18"/>
      <c r="AFF90" s="18"/>
      <c r="AFG90" s="18"/>
      <c r="AFH90" s="18"/>
      <c r="AFI90" s="18"/>
      <c r="AFJ90" s="18"/>
      <c r="AFK90" s="18"/>
      <c r="AFL90" s="18"/>
      <c r="AFM90" s="18"/>
      <c r="AFN90" s="18"/>
      <c r="AFO90" s="18"/>
      <c r="AFP90" s="18"/>
      <c r="AFQ90" s="18"/>
      <c r="AFR90" s="18"/>
      <c r="AFS90" s="18"/>
      <c r="AFT90" s="18"/>
      <c r="AFU90" s="18"/>
      <c r="AFV90" s="18"/>
      <c r="AFW90" s="18"/>
      <c r="AFX90" s="18"/>
      <c r="AFY90" s="18"/>
      <c r="AFZ90" s="18"/>
      <c r="AGA90" s="18"/>
      <c r="AGB90" s="18"/>
      <c r="AGC90" s="18"/>
      <c r="AGD90" s="18"/>
      <c r="AGE90" s="18"/>
      <c r="AGF90" s="18"/>
      <c r="AGG90" s="18"/>
      <c r="AGH90" s="18"/>
      <c r="AGI90" s="18"/>
      <c r="AGJ90" s="18"/>
      <c r="AGK90" s="18"/>
      <c r="AGL90" s="18"/>
      <c r="AGM90" s="18"/>
      <c r="AGN90" s="18"/>
      <c r="AGO90" s="18"/>
      <c r="AGP90" s="18"/>
      <c r="AGQ90" s="18"/>
      <c r="AGR90" s="18"/>
      <c r="AGS90" s="18"/>
      <c r="AGT90" s="18"/>
      <c r="AGU90" s="18"/>
      <c r="AGV90" s="18"/>
      <c r="AGW90" s="18"/>
      <c r="AGX90" s="18"/>
      <c r="AGY90" s="18"/>
      <c r="AGZ90" s="18"/>
      <c r="AHA90" s="18"/>
      <c r="AHB90" s="18"/>
      <c r="AHC90" s="18"/>
      <c r="AHD90" s="18"/>
      <c r="AHE90" s="18"/>
      <c r="AHF90" s="18"/>
      <c r="AHG90" s="18"/>
      <c r="AHH90" s="18"/>
      <c r="AHI90" s="18"/>
      <c r="AHJ90" s="18"/>
      <c r="AHK90" s="18"/>
      <c r="AHL90" s="18"/>
      <c r="AHM90" s="18"/>
      <c r="AHN90" s="18"/>
      <c r="AHO90" s="18"/>
      <c r="AHP90" s="18"/>
      <c r="AHQ90" s="18"/>
      <c r="AHR90" s="18"/>
      <c r="AHS90" s="18"/>
      <c r="AHT90" s="18"/>
      <c r="AHU90" s="18"/>
      <c r="AHV90" s="18"/>
      <c r="AHW90" s="18"/>
      <c r="AHX90" s="18"/>
      <c r="AHY90" s="18"/>
      <c r="AHZ90" s="18"/>
      <c r="AIA90" s="18"/>
      <c r="AIB90" s="18"/>
      <c r="AIC90" s="18"/>
      <c r="AID90" s="18"/>
      <c r="AIE90" s="18"/>
      <c r="AIF90" s="18"/>
      <c r="AIG90" s="18"/>
      <c r="AIH90" s="18"/>
      <c r="AII90" s="18"/>
      <c r="AIJ90" s="18"/>
      <c r="AIK90" s="18"/>
      <c r="AIL90" s="18"/>
      <c r="AIM90" s="18"/>
      <c r="AIN90" s="18"/>
      <c r="AIO90" s="18"/>
      <c r="AIP90" s="18"/>
      <c r="AIQ90" s="18"/>
      <c r="AIR90" s="18"/>
      <c r="AIS90" s="18"/>
      <c r="AIT90" s="18"/>
      <c r="AIU90" s="18"/>
      <c r="AIV90" s="18"/>
      <c r="AIW90" s="18"/>
      <c r="AIX90" s="18"/>
      <c r="AIY90" s="18"/>
      <c r="AIZ90" s="18"/>
      <c r="AJA90" s="18"/>
      <c r="AJB90" s="18"/>
      <c r="AJC90" s="18"/>
      <c r="AJD90" s="18"/>
      <c r="AJE90" s="18"/>
      <c r="AJF90" s="18"/>
      <c r="AJG90" s="18"/>
      <c r="AJH90" s="18"/>
      <c r="AJI90" s="18"/>
      <c r="AJJ90" s="18"/>
      <c r="AJK90" s="18"/>
      <c r="AJL90" s="18"/>
      <c r="AJM90" s="18"/>
      <c r="AJN90" s="18"/>
      <c r="AJO90" s="18"/>
      <c r="AJP90" s="18"/>
      <c r="AJQ90" s="18"/>
      <c r="AJR90" s="18"/>
      <c r="AJS90" s="18"/>
      <c r="AJT90" s="18"/>
      <c r="AJU90" s="18"/>
      <c r="AJV90" s="18"/>
      <c r="AJW90" s="18"/>
      <c r="AJX90" s="18"/>
      <c r="AJY90" s="18"/>
      <c r="AJZ90" s="18"/>
      <c r="AKA90" s="18"/>
      <c r="AKB90" s="18"/>
      <c r="AKC90" s="18"/>
      <c r="AKD90" s="18"/>
      <c r="AKE90" s="18"/>
      <c r="AKF90" s="18"/>
      <c r="AKG90" s="18"/>
      <c r="AKH90" s="18"/>
      <c r="AKI90" s="18"/>
      <c r="AKJ90" s="18"/>
      <c r="AKK90" s="18"/>
      <c r="AKL90" s="18"/>
      <c r="AKM90" s="18"/>
      <c r="AKN90" s="18"/>
      <c r="AKO90" s="18"/>
      <c r="AKP90" s="18"/>
      <c r="AKQ90" s="18"/>
      <c r="AKR90" s="18"/>
      <c r="AKS90" s="18"/>
      <c r="AKT90" s="18"/>
      <c r="AKU90" s="18"/>
      <c r="AKV90" s="18"/>
      <c r="AKW90" s="18"/>
      <c r="AKX90" s="18"/>
      <c r="AKY90" s="18"/>
      <c r="AKZ90" s="18"/>
      <c r="ALA90" s="18"/>
      <c r="ALB90" s="18"/>
      <c r="ALC90" s="18"/>
      <c r="ALD90" s="18"/>
      <c r="ALE90" s="18"/>
      <c r="ALF90" s="18"/>
      <c r="ALG90" s="18"/>
      <c r="ALH90" s="18"/>
      <c r="ALI90" s="18"/>
      <c r="ALJ90" s="18"/>
      <c r="ALK90" s="18"/>
      <c r="ALL90" s="18"/>
      <c r="ALM90" s="18"/>
      <c r="ALN90" s="18"/>
      <c r="ALO90" s="18"/>
      <c r="ALP90" s="18"/>
      <c r="ALQ90" s="18"/>
      <c r="ALR90" s="18"/>
      <c r="ALS90" s="18"/>
      <c r="ALT90" s="18"/>
    </row>
    <row r="91" spans="1:1008">
      <c r="A91" s="251" t="s">
        <v>6307</v>
      </c>
      <c r="B91" s="290">
        <v>24</v>
      </c>
      <c r="C91" s="278" t="str">
        <f>(IF($A91="SINAPI",INDEX(SINAPI_NOV2020_NDES!$A$7:$H$6703,MATCH($B91,SINAPI_NOV2020_NDES!$A$7:$A$6703,0),2),IF($A91="GOINFRA",INDEX(#REF!,MATCH($B91,#REF!,0),2),(INDEX(COMPOS!$A$4:$G$390,MATCH($B91,COMPOS!$A$4:A$390,0),2)))))</f>
        <v>BARRA DE FERRO GALVANIZADO 3/4" - PARA CORTINA</v>
      </c>
      <c r="D91" s="274" t="str">
        <f>(IF($A91="SINAPI",INDEX(SINAPI_NOV2020_NDES!$A$7:$H$6790,MATCH($B91,SINAPI_NOV2020_NDES!$A$7:$A$6790,0),3),(INDEX(COMPOS!$A$4:$G$5000,MATCH($B91,COMPOS!$A$4:$A$5000,0),3))))</f>
        <v xml:space="preserve"> M</v>
      </c>
      <c r="E91" s="314">
        <v>2.66</v>
      </c>
      <c r="F91" s="279">
        <f>(IF($A91="SINAPI",INDEX(SINAPI_NOV2020_NDES!$A$7:$H$6703,MATCH($B91,SINAPI_NOV2020_NDES!$A$7:$A$6703,0),5),(INDEX(COMPOS!$A$4:$G$801,MATCH($B91,COMPOS!$A$4:A$801,0),4))))</f>
        <v>16.102499999999999</v>
      </c>
      <c r="G91" s="280">
        <f>(IF($A91="SINAPI",INDEX(SINAPI_NOV2020_NDES!$A$7:$H$6703,MATCH($B91,SINAPI_NOV2020_NDES!$A$7:$A$6703,0),6),(INDEX(COMPOS!$A$4:$G$801,MATCH($B91,COMPOS!$A$4:A$801,0),5))))</f>
        <v>14.746</v>
      </c>
      <c r="H91" s="280">
        <f>(IF($A91="SINAPI",INDEX(SINAPI_NOV2020_NDES!$A$7:$H$6703,MATCH($B91,SINAPI_NOV2020_NDES!$A$7:$A$6703,0),7),(INDEX(COMPOS!$A$4:$G$801,MATCH($B91,COMPOS!$A$4:A$801,0),6))))</f>
        <v>0</v>
      </c>
      <c r="I91" s="279">
        <f t="shared" si="36"/>
        <v>30.848500000000001</v>
      </c>
      <c r="J91" s="276">
        <f t="shared" si="37"/>
        <v>82.057010000000005</v>
      </c>
      <c r="K91" s="191"/>
      <c r="L91" s="191"/>
      <c r="M91" s="191"/>
      <c r="N91" s="191"/>
      <c r="O91" s="262"/>
      <c r="P91" s="263"/>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c r="EF91" s="18"/>
      <c r="EG91" s="18"/>
      <c r="EH91" s="18"/>
      <c r="EI91" s="18"/>
      <c r="EJ91" s="18"/>
      <c r="EK91" s="18"/>
      <c r="EL91" s="18"/>
      <c r="EM91" s="18"/>
      <c r="EN91" s="18"/>
      <c r="EO91" s="18"/>
      <c r="EP91" s="18"/>
      <c r="EQ91" s="18"/>
      <c r="ER91" s="18"/>
      <c r="ES91" s="18"/>
      <c r="ET91" s="18"/>
      <c r="EU91" s="18"/>
      <c r="EV91" s="18"/>
      <c r="EW91" s="18"/>
      <c r="EX91" s="18"/>
      <c r="EY91" s="18"/>
      <c r="EZ91" s="18"/>
      <c r="FA91" s="18"/>
      <c r="FB91" s="18"/>
      <c r="FC91" s="18"/>
      <c r="FD91" s="18"/>
      <c r="FE91" s="18"/>
      <c r="FF91" s="18"/>
      <c r="FG91" s="18"/>
      <c r="FH91" s="18"/>
      <c r="FI91" s="18"/>
      <c r="FJ91" s="18"/>
      <c r="FK91" s="18"/>
      <c r="FL91" s="18"/>
      <c r="FM91" s="18"/>
      <c r="FN91" s="18"/>
      <c r="FO91" s="18"/>
      <c r="FP91" s="18"/>
      <c r="FQ91" s="18"/>
      <c r="FR91" s="18"/>
      <c r="FS91" s="18"/>
      <c r="FT91" s="18"/>
      <c r="FU91" s="18"/>
      <c r="FV91" s="18"/>
      <c r="FW91" s="18"/>
      <c r="FX91" s="18"/>
      <c r="FY91" s="18"/>
      <c r="FZ91" s="18"/>
      <c r="GA91" s="18"/>
      <c r="GB91" s="18"/>
      <c r="GC91" s="18"/>
      <c r="GD91" s="18"/>
      <c r="GE91" s="18"/>
      <c r="GF91" s="18"/>
      <c r="GG91" s="18"/>
      <c r="GH91" s="18"/>
      <c r="GI91" s="18"/>
      <c r="GJ91" s="18"/>
      <c r="GK91" s="18"/>
      <c r="GL91" s="18"/>
      <c r="GM91" s="18"/>
      <c r="GN91" s="18"/>
      <c r="GO91" s="18"/>
      <c r="GP91" s="18"/>
      <c r="GQ91" s="18"/>
      <c r="GR91" s="18"/>
      <c r="GS91" s="18"/>
      <c r="GT91" s="18"/>
      <c r="GU91" s="18"/>
      <c r="GV91" s="18"/>
      <c r="GW91" s="18"/>
      <c r="GX91" s="18"/>
      <c r="GY91" s="18"/>
      <c r="GZ91" s="18"/>
      <c r="HA91" s="18"/>
      <c r="HB91" s="18"/>
      <c r="HC91" s="18"/>
      <c r="HD91" s="18"/>
      <c r="HE91" s="18"/>
      <c r="HF91" s="18"/>
      <c r="HG91" s="18"/>
      <c r="HH91" s="18"/>
      <c r="HI91" s="18"/>
      <c r="HJ91" s="18"/>
      <c r="HK91" s="18"/>
      <c r="HL91" s="18"/>
      <c r="HM91" s="18"/>
      <c r="HN91" s="18"/>
      <c r="HO91" s="18"/>
      <c r="HP91" s="18"/>
      <c r="HQ91" s="18"/>
      <c r="HR91" s="18"/>
      <c r="HS91" s="18"/>
      <c r="HT91" s="18"/>
      <c r="HU91" s="18"/>
      <c r="HV91" s="18"/>
      <c r="HW91" s="18"/>
      <c r="HX91" s="18"/>
      <c r="HY91" s="18"/>
      <c r="HZ91" s="18"/>
      <c r="IA91" s="18"/>
      <c r="IB91" s="18"/>
      <c r="IC91" s="18"/>
      <c r="ID91" s="18"/>
      <c r="IE91" s="18"/>
      <c r="IF91" s="18"/>
      <c r="IG91" s="18"/>
      <c r="IH91" s="18"/>
      <c r="II91" s="18"/>
      <c r="IJ91" s="18"/>
      <c r="IK91" s="18"/>
      <c r="IL91" s="18"/>
      <c r="IM91" s="18"/>
      <c r="IN91" s="18"/>
      <c r="IO91" s="18"/>
      <c r="IP91" s="18"/>
      <c r="IQ91" s="18"/>
      <c r="IR91" s="18"/>
      <c r="IS91" s="18"/>
      <c r="IT91" s="18"/>
      <c r="IU91" s="18"/>
      <c r="IV91" s="18"/>
      <c r="IW91" s="18"/>
      <c r="IX91" s="18"/>
      <c r="IY91" s="18"/>
      <c r="IZ91" s="18"/>
      <c r="JA91" s="18"/>
      <c r="JB91" s="18"/>
      <c r="JC91" s="18"/>
      <c r="JD91" s="18"/>
      <c r="JE91" s="18"/>
      <c r="JF91" s="18"/>
      <c r="JG91" s="18"/>
      <c r="JH91" s="18"/>
      <c r="JI91" s="18"/>
      <c r="JJ91" s="18"/>
      <c r="JK91" s="18"/>
      <c r="JL91" s="18"/>
      <c r="JM91" s="18"/>
      <c r="JN91" s="18"/>
      <c r="JO91" s="18"/>
      <c r="JP91" s="18"/>
      <c r="JQ91" s="18"/>
      <c r="JR91" s="18"/>
      <c r="JS91" s="18"/>
      <c r="JT91" s="18"/>
      <c r="JU91" s="18"/>
      <c r="JV91" s="18"/>
      <c r="JW91" s="18"/>
      <c r="JX91" s="18"/>
      <c r="JY91" s="18"/>
      <c r="JZ91" s="18"/>
      <c r="KA91" s="18"/>
      <c r="KB91" s="18"/>
      <c r="KC91" s="18"/>
      <c r="KD91" s="18"/>
      <c r="KE91" s="18"/>
      <c r="KF91" s="18"/>
      <c r="KG91" s="18"/>
      <c r="KH91" s="18"/>
      <c r="KI91" s="18"/>
      <c r="KJ91" s="18"/>
      <c r="KK91" s="18"/>
      <c r="KL91" s="18"/>
      <c r="KM91" s="18"/>
      <c r="KN91" s="18"/>
      <c r="KO91" s="18"/>
      <c r="KP91" s="18"/>
      <c r="KQ91" s="18"/>
      <c r="KR91" s="18"/>
      <c r="KS91" s="18"/>
      <c r="KT91" s="18"/>
      <c r="KU91" s="18"/>
      <c r="KV91" s="18"/>
      <c r="KW91" s="18"/>
      <c r="KX91" s="18"/>
      <c r="KY91" s="18"/>
      <c r="KZ91" s="18"/>
      <c r="LA91" s="18"/>
      <c r="LB91" s="18"/>
      <c r="LC91" s="18"/>
      <c r="LD91" s="18"/>
      <c r="LE91" s="18"/>
      <c r="LF91" s="18"/>
      <c r="LG91" s="18"/>
      <c r="LH91" s="18"/>
      <c r="LI91" s="18"/>
      <c r="LJ91" s="18"/>
      <c r="LK91" s="18"/>
      <c r="LL91" s="18"/>
      <c r="LM91" s="18"/>
      <c r="LN91" s="18"/>
      <c r="LO91" s="18"/>
      <c r="LP91" s="18"/>
      <c r="LQ91" s="18"/>
      <c r="LR91" s="18"/>
      <c r="LS91" s="18"/>
      <c r="LT91" s="18"/>
      <c r="LU91" s="18"/>
      <c r="LV91" s="18"/>
      <c r="LW91" s="18"/>
      <c r="LX91" s="18"/>
      <c r="LY91" s="18"/>
      <c r="LZ91" s="18"/>
      <c r="MA91" s="18"/>
      <c r="MB91" s="18"/>
      <c r="MC91" s="18"/>
      <c r="MD91" s="18"/>
      <c r="ME91" s="18"/>
      <c r="MF91" s="18"/>
      <c r="MG91" s="18"/>
      <c r="MH91" s="18"/>
      <c r="MI91" s="18"/>
      <c r="MJ91" s="18"/>
      <c r="MK91" s="18"/>
      <c r="ML91" s="18"/>
      <c r="MM91" s="18"/>
      <c r="MN91" s="18"/>
      <c r="MO91" s="18"/>
      <c r="MP91" s="18"/>
      <c r="MQ91" s="18"/>
      <c r="MR91" s="18"/>
      <c r="MS91" s="18"/>
      <c r="MT91" s="18"/>
      <c r="MU91" s="18"/>
      <c r="MV91" s="18"/>
      <c r="MW91" s="18"/>
      <c r="MX91" s="18"/>
      <c r="MY91" s="18"/>
      <c r="MZ91" s="18"/>
      <c r="NA91" s="18"/>
      <c r="NB91" s="18"/>
      <c r="NC91" s="18"/>
      <c r="ND91" s="18"/>
      <c r="NE91" s="18"/>
      <c r="NF91" s="18"/>
      <c r="NG91" s="18"/>
      <c r="NH91" s="18"/>
      <c r="NI91" s="18"/>
      <c r="NJ91" s="18"/>
      <c r="NK91" s="18"/>
      <c r="NL91" s="18"/>
      <c r="NM91" s="18"/>
      <c r="NN91" s="18"/>
      <c r="NO91" s="18"/>
      <c r="NP91" s="18"/>
      <c r="NQ91" s="18"/>
      <c r="NR91" s="18"/>
      <c r="NS91" s="18"/>
      <c r="NT91" s="18"/>
      <c r="NU91" s="18"/>
      <c r="NV91" s="18"/>
      <c r="NW91" s="18"/>
      <c r="NX91" s="18"/>
      <c r="NY91" s="18"/>
      <c r="NZ91" s="18"/>
      <c r="OA91" s="18"/>
      <c r="OB91" s="18"/>
      <c r="OC91" s="18"/>
      <c r="OD91" s="18"/>
      <c r="OE91" s="18"/>
      <c r="OF91" s="18"/>
      <c r="OG91" s="18"/>
      <c r="OH91" s="18"/>
      <c r="OI91" s="18"/>
      <c r="OJ91" s="18"/>
      <c r="OK91" s="18"/>
      <c r="OL91" s="18"/>
      <c r="OM91" s="18"/>
      <c r="ON91" s="18"/>
      <c r="OO91" s="18"/>
      <c r="OP91" s="18"/>
      <c r="OQ91" s="18"/>
      <c r="OR91" s="18"/>
      <c r="OS91" s="18"/>
      <c r="OT91" s="18"/>
      <c r="OU91" s="18"/>
      <c r="OV91" s="18"/>
      <c r="OW91" s="18"/>
      <c r="OX91" s="18"/>
      <c r="OY91" s="18"/>
      <c r="OZ91" s="18"/>
      <c r="PA91" s="18"/>
      <c r="PB91" s="18"/>
      <c r="PC91" s="18"/>
      <c r="PD91" s="18"/>
      <c r="PE91" s="18"/>
      <c r="PF91" s="18"/>
      <c r="PG91" s="18"/>
      <c r="PH91" s="18"/>
      <c r="PI91" s="18"/>
      <c r="PJ91" s="18"/>
      <c r="PK91" s="18"/>
      <c r="PL91" s="18"/>
      <c r="PM91" s="18"/>
      <c r="PN91" s="18"/>
      <c r="PO91" s="18"/>
      <c r="PP91" s="18"/>
      <c r="PQ91" s="18"/>
      <c r="PR91" s="18"/>
      <c r="PS91" s="18"/>
      <c r="PT91" s="18"/>
      <c r="PU91" s="18"/>
      <c r="PV91" s="18"/>
      <c r="PW91" s="18"/>
      <c r="PX91" s="18"/>
      <c r="PY91" s="18"/>
      <c r="PZ91" s="18"/>
      <c r="QA91" s="18"/>
      <c r="QB91" s="18"/>
      <c r="QC91" s="18"/>
      <c r="QD91" s="18"/>
      <c r="QE91" s="18"/>
      <c r="QF91" s="18"/>
      <c r="QG91" s="18"/>
      <c r="QH91" s="18"/>
      <c r="QI91" s="18"/>
      <c r="QJ91" s="18"/>
      <c r="QK91" s="18"/>
      <c r="QL91" s="18"/>
      <c r="QM91" s="18"/>
      <c r="QN91" s="18"/>
      <c r="QO91" s="18"/>
      <c r="QP91" s="18"/>
      <c r="QQ91" s="18"/>
      <c r="QR91" s="18"/>
      <c r="QS91" s="18"/>
      <c r="QT91" s="18"/>
      <c r="QU91" s="18"/>
      <c r="QV91" s="18"/>
      <c r="QW91" s="18"/>
      <c r="QX91" s="18"/>
      <c r="QY91" s="18"/>
      <c r="QZ91" s="18"/>
      <c r="RA91" s="18"/>
      <c r="RB91" s="18"/>
      <c r="RC91" s="18"/>
      <c r="RD91" s="18"/>
      <c r="RE91" s="18"/>
      <c r="RF91" s="18"/>
      <c r="RG91" s="18"/>
      <c r="RH91" s="18"/>
      <c r="RI91" s="18"/>
      <c r="RJ91" s="18"/>
      <c r="RK91" s="18"/>
      <c r="RL91" s="18"/>
      <c r="RM91" s="18"/>
      <c r="RN91" s="18"/>
      <c r="RO91" s="18"/>
      <c r="RP91" s="18"/>
      <c r="RQ91" s="18"/>
      <c r="RR91" s="18"/>
      <c r="RS91" s="18"/>
      <c r="RT91" s="18"/>
      <c r="RU91" s="18"/>
      <c r="RV91" s="18"/>
      <c r="RW91" s="18"/>
      <c r="RX91" s="18"/>
      <c r="RY91" s="18"/>
      <c r="RZ91" s="18"/>
      <c r="SA91" s="18"/>
      <c r="SB91" s="18"/>
      <c r="SC91" s="18"/>
      <c r="SD91" s="18"/>
      <c r="SE91" s="18"/>
      <c r="SF91" s="18"/>
      <c r="SG91" s="18"/>
      <c r="SH91" s="18"/>
      <c r="SI91" s="18"/>
      <c r="SJ91" s="18"/>
      <c r="SK91" s="18"/>
      <c r="SL91" s="18"/>
      <c r="SM91" s="18"/>
      <c r="SN91" s="18"/>
      <c r="SO91" s="18"/>
      <c r="SP91" s="18"/>
      <c r="SQ91" s="18"/>
      <c r="SR91" s="18"/>
      <c r="SS91" s="18"/>
      <c r="ST91" s="18"/>
      <c r="SU91" s="18"/>
      <c r="SV91" s="18"/>
      <c r="SW91" s="18"/>
      <c r="SX91" s="18"/>
      <c r="SY91" s="18"/>
      <c r="SZ91" s="18"/>
      <c r="TA91" s="18"/>
      <c r="TB91" s="18"/>
      <c r="TC91" s="18"/>
      <c r="TD91" s="18"/>
      <c r="TE91" s="18"/>
      <c r="TF91" s="18"/>
      <c r="TG91" s="18"/>
      <c r="TH91" s="18"/>
      <c r="TI91" s="18"/>
      <c r="TJ91" s="18"/>
      <c r="TK91" s="18"/>
      <c r="TL91" s="18"/>
      <c r="TM91" s="18"/>
      <c r="TN91" s="18"/>
      <c r="TO91" s="18"/>
      <c r="TP91" s="18"/>
      <c r="TQ91" s="18"/>
      <c r="TR91" s="18"/>
      <c r="TS91" s="18"/>
      <c r="TT91" s="18"/>
      <c r="TU91" s="18"/>
      <c r="TV91" s="18"/>
      <c r="TW91" s="18"/>
      <c r="TX91" s="18"/>
      <c r="TY91" s="18"/>
      <c r="TZ91" s="18"/>
      <c r="UA91" s="18"/>
      <c r="UB91" s="18"/>
      <c r="UC91" s="18"/>
      <c r="UD91" s="18"/>
      <c r="UE91" s="18"/>
      <c r="UF91" s="18"/>
      <c r="UG91" s="18"/>
      <c r="UH91" s="18"/>
      <c r="UI91" s="18"/>
      <c r="UJ91" s="18"/>
      <c r="UK91" s="18"/>
      <c r="UL91" s="18"/>
      <c r="UM91" s="18"/>
      <c r="UN91" s="18"/>
      <c r="UO91" s="18"/>
      <c r="UP91" s="18"/>
      <c r="UQ91" s="18"/>
      <c r="UR91" s="18"/>
      <c r="US91" s="18"/>
      <c r="UT91" s="18"/>
      <c r="UU91" s="18"/>
      <c r="UV91" s="18"/>
      <c r="UW91" s="18"/>
      <c r="UX91" s="18"/>
      <c r="UY91" s="18"/>
      <c r="UZ91" s="18"/>
      <c r="VA91" s="18"/>
      <c r="VB91" s="18"/>
      <c r="VC91" s="18"/>
      <c r="VD91" s="18"/>
      <c r="VE91" s="18"/>
      <c r="VF91" s="18"/>
      <c r="VG91" s="18"/>
      <c r="VH91" s="18"/>
      <c r="VI91" s="18"/>
      <c r="VJ91" s="18"/>
      <c r="VK91" s="18"/>
      <c r="VL91" s="18"/>
      <c r="VM91" s="18"/>
      <c r="VN91" s="18"/>
      <c r="VO91" s="18"/>
      <c r="VP91" s="18"/>
      <c r="VQ91" s="18"/>
      <c r="VR91" s="18"/>
      <c r="VS91" s="18"/>
      <c r="VT91" s="18"/>
      <c r="VU91" s="18"/>
      <c r="VV91" s="18"/>
      <c r="VW91" s="18"/>
      <c r="VX91" s="18"/>
      <c r="VY91" s="18"/>
      <c r="VZ91" s="18"/>
      <c r="WA91" s="18"/>
      <c r="WB91" s="18"/>
      <c r="WC91" s="18"/>
      <c r="WD91" s="18"/>
      <c r="WE91" s="18"/>
      <c r="WF91" s="18"/>
      <c r="WG91" s="18"/>
      <c r="WH91" s="18"/>
      <c r="WI91" s="18"/>
      <c r="WJ91" s="18"/>
      <c r="WK91" s="18"/>
      <c r="WL91" s="18"/>
      <c r="WM91" s="18"/>
      <c r="WN91" s="18"/>
      <c r="WO91" s="18"/>
      <c r="WP91" s="18"/>
      <c r="WQ91" s="18"/>
      <c r="WR91" s="18"/>
      <c r="WS91" s="18"/>
      <c r="WT91" s="18"/>
      <c r="WU91" s="18"/>
      <c r="WV91" s="18"/>
      <c r="WW91" s="18"/>
      <c r="WX91" s="18"/>
      <c r="WY91" s="18"/>
      <c r="WZ91" s="18"/>
      <c r="XA91" s="18"/>
      <c r="XB91" s="18"/>
      <c r="XC91" s="18"/>
      <c r="XD91" s="18"/>
      <c r="XE91" s="18"/>
      <c r="XF91" s="18"/>
      <c r="XG91" s="18"/>
      <c r="XH91" s="18"/>
      <c r="XI91" s="18"/>
      <c r="XJ91" s="18"/>
      <c r="XK91" s="18"/>
      <c r="XL91" s="18"/>
      <c r="XM91" s="18"/>
      <c r="XN91" s="18"/>
      <c r="XO91" s="18"/>
      <c r="XP91" s="18"/>
      <c r="XQ91" s="18"/>
      <c r="XR91" s="18"/>
      <c r="XS91" s="18"/>
      <c r="XT91" s="18"/>
      <c r="XU91" s="18"/>
      <c r="XV91" s="18"/>
      <c r="XW91" s="18"/>
      <c r="XX91" s="18"/>
      <c r="XY91" s="18"/>
      <c r="XZ91" s="18"/>
      <c r="YA91" s="18"/>
      <c r="YB91" s="18"/>
      <c r="YC91" s="18"/>
      <c r="YD91" s="18"/>
      <c r="YE91" s="18"/>
      <c r="YF91" s="18"/>
      <c r="YG91" s="18"/>
      <c r="YH91" s="18"/>
      <c r="YI91" s="18"/>
      <c r="YJ91" s="18"/>
      <c r="YK91" s="18"/>
      <c r="YL91" s="18"/>
      <c r="YM91" s="18"/>
      <c r="YN91" s="18"/>
      <c r="YO91" s="18"/>
      <c r="YP91" s="18"/>
      <c r="YQ91" s="18"/>
      <c r="YR91" s="18"/>
      <c r="YS91" s="18"/>
      <c r="YT91" s="18"/>
      <c r="YU91" s="18"/>
      <c r="YV91" s="18"/>
      <c r="YW91" s="18"/>
      <c r="YX91" s="18"/>
      <c r="YY91" s="18"/>
      <c r="YZ91" s="18"/>
      <c r="ZA91" s="18"/>
      <c r="ZB91" s="18"/>
      <c r="ZC91" s="18"/>
      <c r="ZD91" s="18"/>
      <c r="ZE91" s="18"/>
      <c r="ZF91" s="18"/>
      <c r="ZG91" s="18"/>
      <c r="ZH91" s="18"/>
      <c r="ZI91" s="18"/>
      <c r="ZJ91" s="18"/>
      <c r="ZK91" s="18"/>
      <c r="ZL91" s="18"/>
      <c r="ZM91" s="18"/>
      <c r="ZN91" s="18"/>
      <c r="ZO91" s="18"/>
      <c r="ZP91" s="18"/>
      <c r="ZQ91" s="18"/>
      <c r="ZR91" s="18"/>
      <c r="ZS91" s="18"/>
      <c r="ZT91" s="18"/>
      <c r="ZU91" s="18"/>
      <c r="ZV91" s="18"/>
      <c r="ZW91" s="18"/>
      <c r="ZX91" s="18"/>
      <c r="ZY91" s="18"/>
      <c r="ZZ91" s="18"/>
      <c r="AAA91" s="18"/>
      <c r="AAB91" s="18"/>
      <c r="AAC91" s="18"/>
      <c r="AAD91" s="18"/>
      <c r="AAE91" s="18"/>
      <c r="AAF91" s="18"/>
      <c r="AAG91" s="18"/>
      <c r="AAH91" s="18"/>
      <c r="AAI91" s="18"/>
      <c r="AAJ91" s="18"/>
      <c r="AAK91" s="18"/>
      <c r="AAL91" s="18"/>
      <c r="AAM91" s="18"/>
      <c r="AAN91" s="18"/>
      <c r="AAO91" s="18"/>
      <c r="AAP91" s="18"/>
      <c r="AAQ91" s="18"/>
      <c r="AAR91" s="18"/>
      <c r="AAS91" s="18"/>
      <c r="AAT91" s="18"/>
      <c r="AAU91" s="18"/>
      <c r="AAV91" s="18"/>
      <c r="AAW91" s="18"/>
      <c r="AAX91" s="18"/>
      <c r="AAY91" s="18"/>
      <c r="AAZ91" s="18"/>
      <c r="ABA91" s="18"/>
      <c r="ABB91" s="18"/>
      <c r="ABC91" s="18"/>
      <c r="ABD91" s="18"/>
      <c r="ABE91" s="18"/>
      <c r="ABF91" s="18"/>
      <c r="ABG91" s="18"/>
      <c r="ABH91" s="18"/>
      <c r="ABI91" s="18"/>
      <c r="ABJ91" s="18"/>
      <c r="ABK91" s="18"/>
      <c r="ABL91" s="18"/>
      <c r="ABM91" s="18"/>
      <c r="ABN91" s="18"/>
      <c r="ABO91" s="18"/>
      <c r="ABP91" s="18"/>
      <c r="ABQ91" s="18"/>
      <c r="ABR91" s="18"/>
      <c r="ABS91" s="18"/>
      <c r="ABT91" s="18"/>
      <c r="ABU91" s="18"/>
      <c r="ABV91" s="18"/>
      <c r="ABW91" s="18"/>
      <c r="ABX91" s="18"/>
      <c r="ABY91" s="18"/>
      <c r="ABZ91" s="18"/>
      <c r="ACA91" s="18"/>
      <c r="ACB91" s="18"/>
      <c r="ACC91" s="18"/>
      <c r="ACD91" s="18"/>
      <c r="ACE91" s="18"/>
      <c r="ACF91" s="18"/>
      <c r="ACG91" s="18"/>
      <c r="ACH91" s="18"/>
      <c r="ACI91" s="18"/>
      <c r="ACJ91" s="18"/>
      <c r="ACK91" s="18"/>
      <c r="ACL91" s="18"/>
      <c r="ACM91" s="18"/>
      <c r="ACN91" s="18"/>
      <c r="ACO91" s="18"/>
      <c r="ACP91" s="18"/>
      <c r="ACQ91" s="18"/>
      <c r="ACR91" s="18"/>
      <c r="ACS91" s="18"/>
      <c r="ACT91" s="18"/>
      <c r="ACU91" s="18"/>
      <c r="ACV91" s="18"/>
      <c r="ACW91" s="18"/>
      <c r="ACX91" s="18"/>
      <c r="ACY91" s="18"/>
      <c r="ACZ91" s="18"/>
      <c r="ADA91" s="18"/>
      <c r="ADB91" s="18"/>
      <c r="ADC91" s="18"/>
      <c r="ADD91" s="18"/>
      <c r="ADE91" s="18"/>
      <c r="ADF91" s="18"/>
      <c r="ADG91" s="18"/>
      <c r="ADH91" s="18"/>
      <c r="ADI91" s="18"/>
      <c r="ADJ91" s="18"/>
      <c r="ADK91" s="18"/>
      <c r="ADL91" s="18"/>
      <c r="ADM91" s="18"/>
      <c r="ADN91" s="18"/>
      <c r="ADO91" s="18"/>
      <c r="ADP91" s="18"/>
      <c r="ADQ91" s="18"/>
      <c r="ADR91" s="18"/>
      <c r="ADS91" s="18"/>
      <c r="ADT91" s="18"/>
      <c r="ADU91" s="18"/>
      <c r="ADV91" s="18"/>
      <c r="ADW91" s="18"/>
      <c r="ADX91" s="18"/>
      <c r="ADY91" s="18"/>
      <c r="ADZ91" s="18"/>
      <c r="AEA91" s="18"/>
      <c r="AEB91" s="18"/>
      <c r="AEC91" s="18"/>
      <c r="AED91" s="18"/>
      <c r="AEE91" s="18"/>
      <c r="AEF91" s="18"/>
      <c r="AEG91" s="18"/>
      <c r="AEH91" s="18"/>
      <c r="AEI91" s="18"/>
      <c r="AEJ91" s="18"/>
      <c r="AEK91" s="18"/>
      <c r="AEL91" s="18"/>
      <c r="AEM91" s="18"/>
      <c r="AEN91" s="18"/>
      <c r="AEO91" s="18"/>
      <c r="AEP91" s="18"/>
      <c r="AEQ91" s="18"/>
      <c r="AER91" s="18"/>
      <c r="AES91" s="18"/>
      <c r="AET91" s="18"/>
      <c r="AEU91" s="18"/>
      <c r="AEV91" s="18"/>
      <c r="AEW91" s="18"/>
      <c r="AEX91" s="18"/>
      <c r="AEY91" s="18"/>
      <c r="AEZ91" s="18"/>
      <c r="AFA91" s="18"/>
      <c r="AFB91" s="18"/>
      <c r="AFC91" s="18"/>
      <c r="AFD91" s="18"/>
      <c r="AFE91" s="18"/>
      <c r="AFF91" s="18"/>
      <c r="AFG91" s="18"/>
      <c r="AFH91" s="18"/>
      <c r="AFI91" s="18"/>
      <c r="AFJ91" s="18"/>
      <c r="AFK91" s="18"/>
      <c r="AFL91" s="18"/>
      <c r="AFM91" s="18"/>
      <c r="AFN91" s="18"/>
      <c r="AFO91" s="18"/>
      <c r="AFP91" s="18"/>
      <c r="AFQ91" s="18"/>
      <c r="AFR91" s="18"/>
      <c r="AFS91" s="18"/>
      <c r="AFT91" s="18"/>
      <c r="AFU91" s="18"/>
      <c r="AFV91" s="18"/>
      <c r="AFW91" s="18"/>
      <c r="AFX91" s="18"/>
      <c r="AFY91" s="18"/>
      <c r="AFZ91" s="18"/>
      <c r="AGA91" s="18"/>
      <c r="AGB91" s="18"/>
      <c r="AGC91" s="18"/>
      <c r="AGD91" s="18"/>
      <c r="AGE91" s="18"/>
      <c r="AGF91" s="18"/>
      <c r="AGG91" s="18"/>
      <c r="AGH91" s="18"/>
      <c r="AGI91" s="18"/>
      <c r="AGJ91" s="18"/>
      <c r="AGK91" s="18"/>
      <c r="AGL91" s="18"/>
      <c r="AGM91" s="18"/>
      <c r="AGN91" s="18"/>
      <c r="AGO91" s="18"/>
      <c r="AGP91" s="18"/>
      <c r="AGQ91" s="18"/>
      <c r="AGR91" s="18"/>
      <c r="AGS91" s="18"/>
      <c r="AGT91" s="18"/>
      <c r="AGU91" s="18"/>
      <c r="AGV91" s="18"/>
      <c r="AGW91" s="18"/>
      <c r="AGX91" s="18"/>
      <c r="AGY91" s="18"/>
      <c r="AGZ91" s="18"/>
      <c r="AHA91" s="18"/>
      <c r="AHB91" s="18"/>
      <c r="AHC91" s="18"/>
      <c r="AHD91" s="18"/>
      <c r="AHE91" s="18"/>
      <c r="AHF91" s="18"/>
      <c r="AHG91" s="18"/>
      <c r="AHH91" s="18"/>
      <c r="AHI91" s="18"/>
      <c r="AHJ91" s="18"/>
      <c r="AHK91" s="18"/>
      <c r="AHL91" s="18"/>
      <c r="AHM91" s="18"/>
      <c r="AHN91" s="18"/>
      <c r="AHO91" s="18"/>
      <c r="AHP91" s="18"/>
      <c r="AHQ91" s="18"/>
      <c r="AHR91" s="18"/>
      <c r="AHS91" s="18"/>
      <c r="AHT91" s="18"/>
      <c r="AHU91" s="18"/>
      <c r="AHV91" s="18"/>
      <c r="AHW91" s="18"/>
      <c r="AHX91" s="18"/>
      <c r="AHY91" s="18"/>
      <c r="AHZ91" s="18"/>
      <c r="AIA91" s="18"/>
      <c r="AIB91" s="18"/>
      <c r="AIC91" s="18"/>
      <c r="AID91" s="18"/>
      <c r="AIE91" s="18"/>
      <c r="AIF91" s="18"/>
      <c r="AIG91" s="18"/>
      <c r="AIH91" s="18"/>
      <c r="AII91" s="18"/>
      <c r="AIJ91" s="18"/>
      <c r="AIK91" s="18"/>
      <c r="AIL91" s="18"/>
      <c r="AIM91" s="18"/>
      <c r="AIN91" s="18"/>
      <c r="AIO91" s="18"/>
      <c r="AIP91" s="18"/>
      <c r="AIQ91" s="18"/>
      <c r="AIR91" s="18"/>
      <c r="AIS91" s="18"/>
      <c r="AIT91" s="18"/>
      <c r="AIU91" s="18"/>
      <c r="AIV91" s="18"/>
      <c r="AIW91" s="18"/>
      <c r="AIX91" s="18"/>
      <c r="AIY91" s="18"/>
      <c r="AIZ91" s="18"/>
      <c r="AJA91" s="18"/>
      <c r="AJB91" s="18"/>
      <c r="AJC91" s="18"/>
      <c r="AJD91" s="18"/>
      <c r="AJE91" s="18"/>
      <c r="AJF91" s="18"/>
      <c r="AJG91" s="18"/>
      <c r="AJH91" s="18"/>
      <c r="AJI91" s="18"/>
      <c r="AJJ91" s="18"/>
      <c r="AJK91" s="18"/>
      <c r="AJL91" s="18"/>
      <c r="AJM91" s="18"/>
      <c r="AJN91" s="18"/>
      <c r="AJO91" s="18"/>
      <c r="AJP91" s="18"/>
      <c r="AJQ91" s="18"/>
      <c r="AJR91" s="18"/>
      <c r="AJS91" s="18"/>
      <c r="AJT91" s="18"/>
      <c r="AJU91" s="18"/>
      <c r="AJV91" s="18"/>
      <c r="AJW91" s="18"/>
      <c r="AJX91" s="18"/>
      <c r="AJY91" s="18"/>
      <c r="AJZ91" s="18"/>
      <c r="AKA91" s="18"/>
      <c r="AKB91" s="18"/>
      <c r="AKC91" s="18"/>
      <c r="AKD91" s="18"/>
      <c r="AKE91" s="18"/>
      <c r="AKF91" s="18"/>
      <c r="AKG91" s="18"/>
      <c r="AKH91" s="18"/>
      <c r="AKI91" s="18"/>
      <c r="AKJ91" s="18"/>
      <c r="AKK91" s="18"/>
      <c r="AKL91" s="18"/>
      <c r="AKM91" s="18"/>
      <c r="AKN91" s="18"/>
      <c r="AKO91" s="18"/>
      <c r="AKP91" s="18"/>
      <c r="AKQ91" s="18"/>
      <c r="AKR91" s="18"/>
      <c r="AKS91" s="18"/>
      <c r="AKT91" s="18"/>
      <c r="AKU91" s="18"/>
      <c r="AKV91" s="18"/>
      <c r="AKW91" s="18"/>
      <c r="AKX91" s="18"/>
      <c r="AKY91" s="18"/>
      <c r="AKZ91" s="18"/>
      <c r="ALA91" s="18"/>
      <c r="ALB91" s="18"/>
      <c r="ALC91" s="18"/>
      <c r="ALD91" s="18"/>
      <c r="ALE91" s="18"/>
      <c r="ALF91" s="18"/>
      <c r="ALG91" s="18"/>
      <c r="ALH91" s="18"/>
      <c r="ALI91" s="18"/>
      <c r="ALJ91" s="18"/>
      <c r="ALK91" s="18"/>
      <c r="ALL91" s="18"/>
      <c r="ALM91" s="18"/>
      <c r="ALN91" s="18"/>
      <c r="ALO91" s="18"/>
      <c r="ALP91" s="18"/>
      <c r="ALQ91" s="18"/>
      <c r="ALR91" s="18"/>
      <c r="ALS91" s="18"/>
      <c r="ALT91" s="18"/>
    </row>
    <row r="92" spans="1:1008" ht="24">
      <c r="A92" s="251" t="s">
        <v>7</v>
      </c>
      <c r="B92" s="290">
        <v>100865</v>
      </c>
      <c r="C92" s="278" t="str">
        <f>(IF($A92="SINAPI",INDEX(SINAPI_NOV2020_NDES!$A$7:$H$6703,MATCH($B92,SINAPI_NOV2020_NDES!$A$7:$A$6703,0),2),IF($A92="GOINFRA",INDEX(#REF!,MATCH($B92,#REF!,0),2),(INDEX(COMPOS!$A$4:$G$390,MATCH($B92,COMPOS!$A$4:A$390,0),2)))))</f>
        <v>BARRA DE APOIO LATERAL ARTICULADA, COM TRAVA, EM ACO INOX POLIDO, FIXADA NA PAREDE - FORNECIMENTO E INSTALAÇÃO. AF_01/2020</v>
      </c>
      <c r="D92" s="274" t="str">
        <f>(IF($A92="SINAPI",INDEX(SINAPI_NOV2020_NDES!$A$7:$H$6790,MATCH($B92,SINAPI_NOV2020_NDES!$A$7:$A$6790,0),3),(INDEX(COMPOS!$A$4:$G$5000,MATCH($B92,COMPOS!$A$4:$A$5000,0),3))))</f>
        <v>UN</v>
      </c>
      <c r="E92" s="314">
        <v>2</v>
      </c>
      <c r="F92" s="279">
        <f>(IF($A92="SINAPI",INDEX(SINAPI_NOV2020_NDES!$A$7:$H$6703,MATCH($B92,SINAPI_NOV2020_NDES!$A$7:$A$6703,0),5),(INDEX(COMPOS!$A$4:$G$801,MATCH($B92,COMPOS!$A$4:A$801,0),4))))</f>
        <v>12.89</v>
      </c>
      <c r="G92" s="280">
        <f>(IF($A92="SINAPI",INDEX(SINAPI_NOV2020_NDES!$A$7:$H$6703,MATCH($B92,SINAPI_NOV2020_NDES!$A$7:$A$6703,0),6),(INDEX(COMPOS!$A$4:$G$801,MATCH($B92,COMPOS!$A$4:A$801,0),5))))</f>
        <v>415.98</v>
      </c>
      <c r="H92" s="280">
        <f>(IF($A92="SINAPI",INDEX(SINAPI_NOV2020_NDES!$A$7:$H$6703,MATCH($B92,SINAPI_NOV2020_NDES!$A$7:$A$6703,0),7),(INDEX(COMPOS!$A$4:$G$801,MATCH($B92,COMPOS!$A$4:A$801,0),6))))</f>
        <v>0</v>
      </c>
      <c r="I92" s="279">
        <f t="shared" si="36"/>
        <v>428.87</v>
      </c>
      <c r="J92" s="276">
        <f t="shared" si="37"/>
        <v>857.74</v>
      </c>
      <c r="K92" s="191"/>
      <c r="L92" s="191"/>
      <c r="M92" s="191"/>
      <c r="N92" s="191"/>
      <c r="O92" s="262"/>
      <c r="P92" s="263"/>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c r="EF92" s="18"/>
      <c r="EG92" s="18"/>
      <c r="EH92" s="18"/>
      <c r="EI92" s="18"/>
      <c r="EJ92" s="18"/>
      <c r="EK92" s="18"/>
      <c r="EL92" s="18"/>
      <c r="EM92" s="18"/>
      <c r="EN92" s="18"/>
      <c r="EO92" s="18"/>
      <c r="EP92" s="18"/>
      <c r="EQ92" s="18"/>
      <c r="ER92" s="18"/>
      <c r="ES92" s="18"/>
      <c r="ET92" s="18"/>
      <c r="EU92" s="18"/>
      <c r="EV92" s="18"/>
      <c r="EW92" s="18"/>
      <c r="EX92" s="18"/>
      <c r="EY92" s="18"/>
      <c r="EZ92" s="18"/>
      <c r="FA92" s="18"/>
      <c r="FB92" s="18"/>
      <c r="FC92" s="18"/>
      <c r="FD92" s="18"/>
      <c r="FE92" s="18"/>
      <c r="FF92" s="18"/>
      <c r="FG92" s="18"/>
      <c r="FH92" s="18"/>
      <c r="FI92" s="18"/>
      <c r="FJ92" s="18"/>
      <c r="FK92" s="18"/>
      <c r="FL92" s="18"/>
      <c r="FM92" s="18"/>
      <c r="FN92" s="18"/>
      <c r="FO92" s="18"/>
      <c r="FP92" s="18"/>
      <c r="FQ92" s="18"/>
      <c r="FR92" s="18"/>
      <c r="FS92" s="18"/>
      <c r="FT92" s="18"/>
      <c r="FU92" s="18"/>
      <c r="FV92" s="18"/>
      <c r="FW92" s="18"/>
      <c r="FX92" s="18"/>
      <c r="FY92" s="18"/>
      <c r="FZ92" s="18"/>
      <c r="GA92" s="18"/>
      <c r="GB92" s="18"/>
      <c r="GC92" s="18"/>
      <c r="GD92" s="18"/>
      <c r="GE92" s="18"/>
      <c r="GF92" s="18"/>
      <c r="GG92" s="18"/>
      <c r="GH92" s="18"/>
      <c r="GI92" s="18"/>
      <c r="GJ92" s="18"/>
      <c r="GK92" s="18"/>
      <c r="GL92" s="18"/>
      <c r="GM92" s="18"/>
      <c r="GN92" s="18"/>
      <c r="GO92" s="18"/>
      <c r="GP92" s="18"/>
      <c r="GQ92" s="18"/>
      <c r="GR92" s="18"/>
      <c r="GS92" s="18"/>
      <c r="GT92" s="18"/>
      <c r="GU92" s="18"/>
      <c r="GV92" s="18"/>
      <c r="GW92" s="18"/>
      <c r="GX92" s="18"/>
      <c r="GY92" s="18"/>
      <c r="GZ92" s="18"/>
      <c r="HA92" s="18"/>
      <c r="HB92" s="18"/>
      <c r="HC92" s="18"/>
      <c r="HD92" s="18"/>
      <c r="HE92" s="18"/>
      <c r="HF92" s="18"/>
      <c r="HG92" s="18"/>
      <c r="HH92" s="18"/>
      <c r="HI92" s="18"/>
      <c r="HJ92" s="18"/>
      <c r="HK92" s="18"/>
      <c r="HL92" s="18"/>
      <c r="HM92" s="18"/>
      <c r="HN92" s="18"/>
      <c r="HO92" s="18"/>
      <c r="HP92" s="18"/>
      <c r="HQ92" s="18"/>
      <c r="HR92" s="18"/>
      <c r="HS92" s="18"/>
      <c r="HT92" s="18"/>
      <c r="HU92" s="18"/>
      <c r="HV92" s="18"/>
      <c r="HW92" s="18"/>
      <c r="HX92" s="18"/>
      <c r="HY92" s="18"/>
      <c r="HZ92" s="18"/>
      <c r="IA92" s="18"/>
      <c r="IB92" s="18"/>
      <c r="IC92" s="18"/>
      <c r="ID92" s="18"/>
      <c r="IE92" s="18"/>
      <c r="IF92" s="18"/>
      <c r="IG92" s="18"/>
      <c r="IH92" s="18"/>
      <c r="II92" s="18"/>
      <c r="IJ92" s="18"/>
      <c r="IK92" s="18"/>
      <c r="IL92" s="18"/>
      <c r="IM92" s="18"/>
      <c r="IN92" s="18"/>
      <c r="IO92" s="18"/>
      <c r="IP92" s="18"/>
      <c r="IQ92" s="18"/>
      <c r="IR92" s="18"/>
      <c r="IS92" s="18"/>
      <c r="IT92" s="18"/>
      <c r="IU92" s="18"/>
      <c r="IV92" s="18"/>
      <c r="IW92" s="18"/>
      <c r="IX92" s="18"/>
      <c r="IY92" s="18"/>
      <c r="IZ92" s="18"/>
      <c r="JA92" s="18"/>
      <c r="JB92" s="18"/>
      <c r="JC92" s="18"/>
      <c r="JD92" s="18"/>
      <c r="JE92" s="18"/>
      <c r="JF92" s="18"/>
      <c r="JG92" s="18"/>
      <c r="JH92" s="18"/>
      <c r="JI92" s="18"/>
      <c r="JJ92" s="18"/>
      <c r="JK92" s="18"/>
      <c r="JL92" s="18"/>
      <c r="JM92" s="18"/>
      <c r="JN92" s="18"/>
      <c r="JO92" s="18"/>
      <c r="JP92" s="18"/>
      <c r="JQ92" s="18"/>
      <c r="JR92" s="18"/>
      <c r="JS92" s="18"/>
      <c r="JT92" s="18"/>
      <c r="JU92" s="18"/>
      <c r="JV92" s="18"/>
      <c r="JW92" s="18"/>
      <c r="JX92" s="18"/>
      <c r="JY92" s="18"/>
      <c r="JZ92" s="18"/>
      <c r="KA92" s="18"/>
      <c r="KB92" s="18"/>
      <c r="KC92" s="18"/>
      <c r="KD92" s="18"/>
      <c r="KE92" s="18"/>
      <c r="KF92" s="18"/>
      <c r="KG92" s="18"/>
      <c r="KH92" s="18"/>
      <c r="KI92" s="18"/>
      <c r="KJ92" s="18"/>
      <c r="KK92" s="18"/>
      <c r="KL92" s="18"/>
      <c r="KM92" s="18"/>
      <c r="KN92" s="18"/>
      <c r="KO92" s="18"/>
      <c r="KP92" s="18"/>
      <c r="KQ92" s="18"/>
      <c r="KR92" s="18"/>
      <c r="KS92" s="18"/>
      <c r="KT92" s="18"/>
      <c r="KU92" s="18"/>
      <c r="KV92" s="18"/>
      <c r="KW92" s="18"/>
      <c r="KX92" s="18"/>
      <c r="KY92" s="18"/>
      <c r="KZ92" s="18"/>
      <c r="LA92" s="18"/>
      <c r="LB92" s="18"/>
      <c r="LC92" s="18"/>
      <c r="LD92" s="18"/>
      <c r="LE92" s="18"/>
      <c r="LF92" s="18"/>
      <c r="LG92" s="18"/>
      <c r="LH92" s="18"/>
      <c r="LI92" s="18"/>
      <c r="LJ92" s="18"/>
      <c r="LK92" s="18"/>
      <c r="LL92" s="18"/>
      <c r="LM92" s="18"/>
      <c r="LN92" s="18"/>
      <c r="LO92" s="18"/>
      <c r="LP92" s="18"/>
      <c r="LQ92" s="18"/>
      <c r="LR92" s="18"/>
      <c r="LS92" s="18"/>
      <c r="LT92" s="18"/>
      <c r="LU92" s="18"/>
      <c r="LV92" s="18"/>
      <c r="LW92" s="18"/>
      <c r="LX92" s="18"/>
      <c r="LY92" s="18"/>
      <c r="LZ92" s="18"/>
      <c r="MA92" s="18"/>
      <c r="MB92" s="18"/>
      <c r="MC92" s="18"/>
      <c r="MD92" s="18"/>
      <c r="ME92" s="18"/>
      <c r="MF92" s="18"/>
      <c r="MG92" s="18"/>
      <c r="MH92" s="18"/>
      <c r="MI92" s="18"/>
      <c r="MJ92" s="18"/>
      <c r="MK92" s="18"/>
      <c r="ML92" s="18"/>
      <c r="MM92" s="18"/>
      <c r="MN92" s="18"/>
      <c r="MO92" s="18"/>
      <c r="MP92" s="18"/>
      <c r="MQ92" s="18"/>
      <c r="MR92" s="18"/>
      <c r="MS92" s="18"/>
      <c r="MT92" s="18"/>
      <c r="MU92" s="18"/>
      <c r="MV92" s="18"/>
      <c r="MW92" s="18"/>
      <c r="MX92" s="18"/>
      <c r="MY92" s="18"/>
      <c r="MZ92" s="18"/>
      <c r="NA92" s="18"/>
      <c r="NB92" s="18"/>
      <c r="NC92" s="18"/>
      <c r="ND92" s="18"/>
      <c r="NE92" s="18"/>
      <c r="NF92" s="18"/>
      <c r="NG92" s="18"/>
      <c r="NH92" s="18"/>
      <c r="NI92" s="18"/>
      <c r="NJ92" s="18"/>
      <c r="NK92" s="18"/>
      <c r="NL92" s="18"/>
      <c r="NM92" s="18"/>
      <c r="NN92" s="18"/>
      <c r="NO92" s="18"/>
      <c r="NP92" s="18"/>
      <c r="NQ92" s="18"/>
      <c r="NR92" s="18"/>
      <c r="NS92" s="18"/>
      <c r="NT92" s="18"/>
      <c r="NU92" s="18"/>
      <c r="NV92" s="18"/>
      <c r="NW92" s="18"/>
      <c r="NX92" s="18"/>
      <c r="NY92" s="18"/>
      <c r="NZ92" s="18"/>
      <c r="OA92" s="18"/>
      <c r="OB92" s="18"/>
      <c r="OC92" s="18"/>
      <c r="OD92" s="18"/>
      <c r="OE92" s="18"/>
      <c r="OF92" s="18"/>
      <c r="OG92" s="18"/>
      <c r="OH92" s="18"/>
      <c r="OI92" s="18"/>
      <c r="OJ92" s="18"/>
      <c r="OK92" s="18"/>
      <c r="OL92" s="18"/>
      <c r="OM92" s="18"/>
      <c r="ON92" s="18"/>
      <c r="OO92" s="18"/>
      <c r="OP92" s="18"/>
      <c r="OQ92" s="18"/>
      <c r="OR92" s="18"/>
      <c r="OS92" s="18"/>
      <c r="OT92" s="18"/>
      <c r="OU92" s="18"/>
      <c r="OV92" s="18"/>
      <c r="OW92" s="18"/>
      <c r="OX92" s="18"/>
      <c r="OY92" s="18"/>
      <c r="OZ92" s="18"/>
      <c r="PA92" s="18"/>
      <c r="PB92" s="18"/>
      <c r="PC92" s="18"/>
      <c r="PD92" s="18"/>
      <c r="PE92" s="18"/>
      <c r="PF92" s="18"/>
      <c r="PG92" s="18"/>
      <c r="PH92" s="18"/>
      <c r="PI92" s="18"/>
      <c r="PJ92" s="18"/>
      <c r="PK92" s="18"/>
      <c r="PL92" s="18"/>
      <c r="PM92" s="18"/>
      <c r="PN92" s="18"/>
      <c r="PO92" s="18"/>
      <c r="PP92" s="18"/>
      <c r="PQ92" s="18"/>
      <c r="PR92" s="18"/>
      <c r="PS92" s="18"/>
      <c r="PT92" s="18"/>
      <c r="PU92" s="18"/>
      <c r="PV92" s="18"/>
      <c r="PW92" s="18"/>
      <c r="PX92" s="18"/>
      <c r="PY92" s="18"/>
      <c r="PZ92" s="18"/>
      <c r="QA92" s="18"/>
      <c r="QB92" s="18"/>
      <c r="QC92" s="18"/>
      <c r="QD92" s="18"/>
      <c r="QE92" s="18"/>
      <c r="QF92" s="18"/>
      <c r="QG92" s="18"/>
      <c r="QH92" s="18"/>
      <c r="QI92" s="18"/>
      <c r="QJ92" s="18"/>
      <c r="QK92" s="18"/>
      <c r="QL92" s="18"/>
      <c r="QM92" s="18"/>
      <c r="QN92" s="18"/>
      <c r="QO92" s="18"/>
      <c r="QP92" s="18"/>
      <c r="QQ92" s="18"/>
      <c r="QR92" s="18"/>
      <c r="QS92" s="18"/>
      <c r="QT92" s="18"/>
      <c r="QU92" s="18"/>
      <c r="QV92" s="18"/>
      <c r="QW92" s="18"/>
      <c r="QX92" s="18"/>
      <c r="QY92" s="18"/>
      <c r="QZ92" s="18"/>
      <c r="RA92" s="18"/>
      <c r="RB92" s="18"/>
      <c r="RC92" s="18"/>
      <c r="RD92" s="18"/>
      <c r="RE92" s="18"/>
      <c r="RF92" s="18"/>
      <c r="RG92" s="18"/>
      <c r="RH92" s="18"/>
      <c r="RI92" s="18"/>
      <c r="RJ92" s="18"/>
      <c r="RK92" s="18"/>
      <c r="RL92" s="18"/>
      <c r="RM92" s="18"/>
      <c r="RN92" s="18"/>
      <c r="RO92" s="18"/>
      <c r="RP92" s="18"/>
      <c r="RQ92" s="18"/>
      <c r="RR92" s="18"/>
      <c r="RS92" s="18"/>
      <c r="RT92" s="18"/>
      <c r="RU92" s="18"/>
      <c r="RV92" s="18"/>
      <c r="RW92" s="18"/>
      <c r="RX92" s="18"/>
      <c r="RY92" s="18"/>
      <c r="RZ92" s="18"/>
      <c r="SA92" s="18"/>
      <c r="SB92" s="18"/>
      <c r="SC92" s="18"/>
      <c r="SD92" s="18"/>
      <c r="SE92" s="18"/>
      <c r="SF92" s="18"/>
      <c r="SG92" s="18"/>
      <c r="SH92" s="18"/>
      <c r="SI92" s="18"/>
      <c r="SJ92" s="18"/>
      <c r="SK92" s="18"/>
      <c r="SL92" s="18"/>
      <c r="SM92" s="18"/>
      <c r="SN92" s="18"/>
      <c r="SO92" s="18"/>
      <c r="SP92" s="18"/>
      <c r="SQ92" s="18"/>
      <c r="SR92" s="18"/>
      <c r="SS92" s="18"/>
      <c r="ST92" s="18"/>
      <c r="SU92" s="18"/>
      <c r="SV92" s="18"/>
      <c r="SW92" s="18"/>
      <c r="SX92" s="18"/>
      <c r="SY92" s="18"/>
      <c r="SZ92" s="18"/>
      <c r="TA92" s="18"/>
      <c r="TB92" s="18"/>
      <c r="TC92" s="18"/>
      <c r="TD92" s="18"/>
      <c r="TE92" s="18"/>
      <c r="TF92" s="18"/>
      <c r="TG92" s="18"/>
      <c r="TH92" s="18"/>
      <c r="TI92" s="18"/>
      <c r="TJ92" s="18"/>
      <c r="TK92" s="18"/>
      <c r="TL92" s="18"/>
      <c r="TM92" s="18"/>
      <c r="TN92" s="18"/>
      <c r="TO92" s="18"/>
      <c r="TP92" s="18"/>
      <c r="TQ92" s="18"/>
      <c r="TR92" s="18"/>
      <c r="TS92" s="18"/>
      <c r="TT92" s="18"/>
      <c r="TU92" s="18"/>
      <c r="TV92" s="18"/>
      <c r="TW92" s="18"/>
      <c r="TX92" s="18"/>
      <c r="TY92" s="18"/>
      <c r="TZ92" s="18"/>
      <c r="UA92" s="18"/>
      <c r="UB92" s="18"/>
      <c r="UC92" s="18"/>
      <c r="UD92" s="18"/>
      <c r="UE92" s="18"/>
      <c r="UF92" s="18"/>
      <c r="UG92" s="18"/>
      <c r="UH92" s="18"/>
      <c r="UI92" s="18"/>
      <c r="UJ92" s="18"/>
      <c r="UK92" s="18"/>
      <c r="UL92" s="18"/>
      <c r="UM92" s="18"/>
      <c r="UN92" s="18"/>
      <c r="UO92" s="18"/>
      <c r="UP92" s="18"/>
      <c r="UQ92" s="18"/>
      <c r="UR92" s="18"/>
      <c r="US92" s="18"/>
      <c r="UT92" s="18"/>
      <c r="UU92" s="18"/>
      <c r="UV92" s="18"/>
      <c r="UW92" s="18"/>
      <c r="UX92" s="18"/>
      <c r="UY92" s="18"/>
      <c r="UZ92" s="18"/>
      <c r="VA92" s="18"/>
      <c r="VB92" s="18"/>
      <c r="VC92" s="18"/>
      <c r="VD92" s="18"/>
      <c r="VE92" s="18"/>
      <c r="VF92" s="18"/>
      <c r="VG92" s="18"/>
      <c r="VH92" s="18"/>
      <c r="VI92" s="18"/>
      <c r="VJ92" s="18"/>
      <c r="VK92" s="18"/>
      <c r="VL92" s="18"/>
      <c r="VM92" s="18"/>
      <c r="VN92" s="18"/>
      <c r="VO92" s="18"/>
      <c r="VP92" s="18"/>
      <c r="VQ92" s="18"/>
      <c r="VR92" s="18"/>
      <c r="VS92" s="18"/>
      <c r="VT92" s="18"/>
      <c r="VU92" s="18"/>
      <c r="VV92" s="18"/>
      <c r="VW92" s="18"/>
      <c r="VX92" s="18"/>
      <c r="VY92" s="18"/>
      <c r="VZ92" s="18"/>
      <c r="WA92" s="18"/>
      <c r="WB92" s="18"/>
      <c r="WC92" s="18"/>
      <c r="WD92" s="18"/>
      <c r="WE92" s="18"/>
      <c r="WF92" s="18"/>
      <c r="WG92" s="18"/>
      <c r="WH92" s="18"/>
      <c r="WI92" s="18"/>
      <c r="WJ92" s="18"/>
      <c r="WK92" s="18"/>
      <c r="WL92" s="18"/>
      <c r="WM92" s="18"/>
      <c r="WN92" s="18"/>
      <c r="WO92" s="18"/>
      <c r="WP92" s="18"/>
      <c r="WQ92" s="18"/>
      <c r="WR92" s="18"/>
      <c r="WS92" s="18"/>
      <c r="WT92" s="18"/>
      <c r="WU92" s="18"/>
      <c r="WV92" s="18"/>
      <c r="WW92" s="18"/>
      <c r="WX92" s="18"/>
      <c r="WY92" s="18"/>
      <c r="WZ92" s="18"/>
      <c r="XA92" s="18"/>
      <c r="XB92" s="18"/>
      <c r="XC92" s="18"/>
      <c r="XD92" s="18"/>
      <c r="XE92" s="18"/>
      <c r="XF92" s="18"/>
      <c r="XG92" s="18"/>
      <c r="XH92" s="18"/>
      <c r="XI92" s="18"/>
      <c r="XJ92" s="18"/>
      <c r="XK92" s="18"/>
      <c r="XL92" s="18"/>
      <c r="XM92" s="18"/>
      <c r="XN92" s="18"/>
      <c r="XO92" s="18"/>
      <c r="XP92" s="18"/>
      <c r="XQ92" s="18"/>
      <c r="XR92" s="18"/>
      <c r="XS92" s="18"/>
      <c r="XT92" s="18"/>
      <c r="XU92" s="18"/>
      <c r="XV92" s="18"/>
      <c r="XW92" s="18"/>
      <c r="XX92" s="18"/>
      <c r="XY92" s="18"/>
      <c r="XZ92" s="18"/>
      <c r="YA92" s="18"/>
      <c r="YB92" s="18"/>
      <c r="YC92" s="18"/>
      <c r="YD92" s="18"/>
      <c r="YE92" s="18"/>
      <c r="YF92" s="18"/>
      <c r="YG92" s="18"/>
      <c r="YH92" s="18"/>
      <c r="YI92" s="18"/>
      <c r="YJ92" s="18"/>
      <c r="YK92" s="18"/>
      <c r="YL92" s="18"/>
      <c r="YM92" s="18"/>
      <c r="YN92" s="18"/>
      <c r="YO92" s="18"/>
      <c r="YP92" s="18"/>
      <c r="YQ92" s="18"/>
      <c r="YR92" s="18"/>
      <c r="YS92" s="18"/>
      <c r="YT92" s="18"/>
      <c r="YU92" s="18"/>
      <c r="YV92" s="18"/>
      <c r="YW92" s="18"/>
      <c r="YX92" s="18"/>
      <c r="YY92" s="18"/>
      <c r="YZ92" s="18"/>
      <c r="ZA92" s="18"/>
      <c r="ZB92" s="18"/>
      <c r="ZC92" s="18"/>
      <c r="ZD92" s="18"/>
      <c r="ZE92" s="18"/>
      <c r="ZF92" s="18"/>
      <c r="ZG92" s="18"/>
      <c r="ZH92" s="18"/>
      <c r="ZI92" s="18"/>
      <c r="ZJ92" s="18"/>
      <c r="ZK92" s="18"/>
      <c r="ZL92" s="18"/>
      <c r="ZM92" s="18"/>
      <c r="ZN92" s="18"/>
      <c r="ZO92" s="18"/>
      <c r="ZP92" s="18"/>
      <c r="ZQ92" s="18"/>
      <c r="ZR92" s="18"/>
      <c r="ZS92" s="18"/>
      <c r="ZT92" s="18"/>
      <c r="ZU92" s="18"/>
      <c r="ZV92" s="18"/>
      <c r="ZW92" s="18"/>
      <c r="ZX92" s="18"/>
      <c r="ZY92" s="18"/>
      <c r="ZZ92" s="18"/>
      <c r="AAA92" s="18"/>
      <c r="AAB92" s="18"/>
      <c r="AAC92" s="18"/>
      <c r="AAD92" s="18"/>
      <c r="AAE92" s="18"/>
      <c r="AAF92" s="18"/>
      <c r="AAG92" s="18"/>
      <c r="AAH92" s="18"/>
      <c r="AAI92" s="18"/>
      <c r="AAJ92" s="18"/>
      <c r="AAK92" s="18"/>
      <c r="AAL92" s="18"/>
      <c r="AAM92" s="18"/>
      <c r="AAN92" s="18"/>
      <c r="AAO92" s="18"/>
      <c r="AAP92" s="18"/>
      <c r="AAQ92" s="18"/>
      <c r="AAR92" s="18"/>
      <c r="AAS92" s="18"/>
      <c r="AAT92" s="18"/>
      <c r="AAU92" s="18"/>
      <c r="AAV92" s="18"/>
      <c r="AAW92" s="18"/>
      <c r="AAX92" s="18"/>
      <c r="AAY92" s="18"/>
      <c r="AAZ92" s="18"/>
      <c r="ABA92" s="18"/>
      <c r="ABB92" s="18"/>
      <c r="ABC92" s="18"/>
      <c r="ABD92" s="18"/>
      <c r="ABE92" s="18"/>
      <c r="ABF92" s="18"/>
      <c r="ABG92" s="18"/>
      <c r="ABH92" s="18"/>
      <c r="ABI92" s="18"/>
      <c r="ABJ92" s="18"/>
      <c r="ABK92" s="18"/>
      <c r="ABL92" s="18"/>
      <c r="ABM92" s="18"/>
      <c r="ABN92" s="18"/>
      <c r="ABO92" s="18"/>
      <c r="ABP92" s="18"/>
      <c r="ABQ92" s="18"/>
      <c r="ABR92" s="18"/>
      <c r="ABS92" s="18"/>
      <c r="ABT92" s="18"/>
      <c r="ABU92" s="18"/>
      <c r="ABV92" s="18"/>
      <c r="ABW92" s="18"/>
      <c r="ABX92" s="18"/>
      <c r="ABY92" s="18"/>
      <c r="ABZ92" s="18"/>
      <c r="ACA92" s="18"/>
      <c r="ACB92" s="18"/>
      <c r="ACC92" s="18"/>
      <c r="ACD92" s="18"/>
      <c r="ACE92" s="18"/>
      <c r="ACF92" s="18"/>
      <c r="ACG92" s="18"/>
      <c r="ACH92" s="18"/>
      <c r="ACI92" s="18"/>
      <c r="ACJ92" s="18"/>
      <c r="ACK92" s="18"/>
      <c r="ACL92" s="18"/>
      <c r="ACM92" s="18"/>
      <c r="ACN92" s="18"/>
      <c r="ACO92" s="18"/>
      <c r="ACP92" s="18"/>
      <c r="ACQ92" s="18"/>
      <c r="ACR92" s="18"/>
      <c r="ACS92" s="18"/>
      <c r="ACT92" s="18"/>
      <c r="ACU92" s="18"/>
      <c r="ACV92" s="18"/>
      <c r="ACW92" s="18"/>
      <c r="ACX92" s="18"/>
      <c r="ACY92" s="18"/>
      <c r="ACZ92" s="18"/>
      <c r="ADA92" s="18"/>
      <c r="ADB92" s="18"/>
      <c r="ADC92" s="18"/>
      <c r="ADD92" s="18"/>
      <c r="ADE92" s="18"/>
      <c r="ADF92" s="18"/>
      <c r="ADG92" s="18"/>
      <c r="ADH92" s="18"/>
      <c r="ADI92" s="18"/>
      <c r="ADJ92" s="18"/>
      <c r="ADK92" s="18"/>
      <c r="ADL92" s="18"/>
      <c r="ADM92" s="18"/>
      <c r="ADN92" s="18"/>
      <c r="ADO92" s="18"/>
      <c r="ADP92" s="18"/>
      <c r="ADQ92" s="18"/>
      <c r="ADR92" s="18"/>
      <c r="ADS92" s="18"/>
      <c r="ADT92" s="18"/>
      <c r="ADU92" s="18"/>
      <c r="ADV92" s="18"/>
      <c r="ADW92" s="18"/>
      <c r="ADX92" s="18"/>
      <c r="ADY92" s="18"/>
      <c r="ADZ92" s="18"/>
      <c r="AEA92" s="18"/>
      <c r="AEB92" s="18"/>
      <c r="AEC92" s="18"/>
      <c r="AED92" s="18"/>
      <c r="AEE92" s="18"/>
      <c r="AEF92" s="18"/>
      <c r="AEG92" s="18"/>
      <c r="AEH92" s="18"/>
      <c r="AEI92" s="18"/>
      <c r="AEJ92" s="18"/>
      <c r="AEK92" s="18"/>
      <c r="AEL92" s="18"/>
      <c r="AEM92" s="18"/>
      <c r="AEN92" s="18"/>
      <c r="AEO92" s="18"/>
      <c r="AEP92" s="18"/>
      <c r="AEQ92" s="18"/>
      <c r="AER92" s="18"/>
      <c r="AES92" s="18"/>
      <c r="AET92" s="18"/>
      <c r="AEU92" s="18"/>
      <c r="AEV92" s="18"/>
      <c r="AEW92" s="18"/>
      <c r="AEX92" s="18"/>
      <c r="AEY92" s="18"/>
      <c r="AEZ92" s="18"/>
      <c r="AFA92" s="18"/>
      <c r="AFB92" s="18"/>
      <c r="AFC92" s="18"/>
      <c r="AFD92" s="18"/>
      <c r="AFE92" s="18"/>
      <c r="AFF92" s="18"/>
      <c r="AFG92" s="18"/>
      <c r="AFH92" s="18"/>
      <c r="AFI92" s="18"/>
      <c r="AFJ92" s="18"/>
      <c r="AFK92" s="18"/>
      <c r="AFL92" s="18"/>
      <c r="AFM92" s="18"/>
      <c r="AFN92" s="18"/>
      <c r="AFO92" s="18"/>
      <c r="AFP92" s="18"/>
      <c r="AFQ92" s="18"/>
      <c r="AFR92" s="18"/>
      <c r="AFS92" s="18"/>
      <c r="AFT92" s="18"/>
      <c r="AFU92" s="18"/>
      <c r="AFV92" s="18"/>
      <c r="AFW92" s="18"/>
      <c r="AFX92" s="18"/>
      <c r="AFY92" s="18"/>
      <c r="AFZ92" s="18"/>
      <c r="AGA92" s="18"/>
      <c r="AGB92" s="18"/>
      <c r="AGC92" s="18"/>
      <c r="AGD92" s="18"/>
      <c r="AGE92" s="18"/>
      <c r="AGF92" s="18"/>
      <c r="AGG92" s="18"/>
      <c r="AGH92" s="18"/>
      <c r="AGI92" s="18"/>
      <c r="AGJ92" s="18"/>
      <c r="AGK92" s="18"/>
      <c r="AGL92" s="18"/>
      <c r="AGM92" s="18"/>
      <c r="AGN92" s="18"/>
      <c r="AGO92" s="18"/>
      <c r="AGP92" s="18"/>
      <c r="AGQ92" s="18"/>
      <c r="AGR92" s="18"/>
      <c r="AGS92" s="18"/>
      <c r="AGT92" s="18"/>
      <c r="AGU92" s="18"/>
      <c r="AGV92" s="18"/>
      <c r="AGW92" s="18"/>
      <c r="AGX92" s="18"/>
      <c r="AGY92" s="18"/>
      <c r="AGZ92" s="18"/>
      <c r="AHA92" s="18"/>
      <c r="AHB92" s="18"/>
      <c r="AHC92" s="18"/>
      <c r="AHD92" s="18"/>
      <c r="AHE92" s="18"/>
      <c r="AHF92" s="18"/>
      <c r="AHG92" s="18"/>
      <c r="AHH92" s="18"/>
      <c r="AHI92" s="18"/>
      <c r="AHJ92" s="18"/>
      <c r="AHK92" s="18"/>
      <c r="AHL92" s="18"/>
      <c r="AHM92" s="18"/>
      <c r="AHN92" s="18"/>
      <c r="AHO92" s="18"/>
      <c r="AHP92" s="18"/>
      <c r="AHQ92" s="18"/>
      <c r="AHR92" s="18"/>
      <c r="AHS92" s="18"/>
      <c r="AHT92" s="18"/>
      <c r="AHU92" s="18"/>
      <c r="AHV92" s="18"/>
      <c r="AHW92" s="18"/>
      <c r="AHX92" s="18"/>
      <c r="AHY92" s="18"/>
      <c r="AHZ92" s="18"/>
      <c r="AIA92" s="18"/>
      <c r="AIB92" s="18"/>
      <c r="AIC92" s="18"/>
      <c r="AID92" s="18"/>
      <c r="AIE92" s="18"/>
      <c r="AIF92" s="18"/>
      <c r="AIG92" s="18"/>
      <c r="AIH92" s="18"/>
      <c r="AII92" s="18"/>
      <c r="AIJ92" s="18"/>
      <c r="AIK92" s="18"/>
      <c r="AIL92" s="18"/>
      <c r="AIM92" s="18"/>
      <c r="AIN92" s="18"/>
      <c r="AIO92" s="18"/>
      <c r="AIP92" s="18"/>
      <c r="AIQ92" s="18"/>
      <c r="AIR92" s="18"/>
      <c r="AIS92" s="18"/>
      <c r="AIT92" s="18"/>
      <c r="AIU92" s="18"/>
      <c r="AIV92" s="18"/>
      <c r="AIW92" s="18"/>
      <c r="AIX92" s="18"/>
      <c r="AIY92" s="18"/>
      <c r="AIZ92" s="18"/>
      <c r="AJA92" s="18"/>
      <c r="AJB92" s="18"/>
      <c r="AJC92" s="18"/>
      <c r="AJD92" s="18"/>
      <c r="AJE92" s="18"/>
      <c r="AJF92" s="18"/>
      <c r="AJG92" s="18"/>
      <c r="AJH92" s="18"/>
      <c r="AJI92" s="18"/>
      <c r="AJJ92" s="18"/>
      <c r="AJK92" s="18"/>
      <c r="AJL92" s="18"/>
      <c r="AJM92" s="18"/>
      <c r="AJN92" s="18"/>
      <c r="AJO92" s="18"/>
      <c r="AJP92" s="18"/>
      <c r="AJQ92" s="18"/>
      <c r="AJR92" s="18"/>
      <c r="AJS92" s="18"/>
      <c r="AJT92" s="18"/>
      <c r="AJU92" s="18"/>
      <c r="AJV92" s="18"/>
      <c r="AJW92" s="18"/>
      <c r="AJX92" s="18"/>
      <c r="AJY92" s="18"/>
      <c r="AJZ92" s="18"/>
      <c r="AKA92" s="18"/>
      <c r="AKB92" s="18"/>
      <c r="AKC92" s="18"/>
      <c r="AKD92" s="18"/>
      <c r="AKE92" s="18"/>
      <c r="AKF92" s="18"/>
      <c r="AKG92" s="18"/>
      <c r="AKH92" s="18"/>
      <c r="AKI92" s="18"/>
      <c r="AKJ92" s="18"/>
      <c r="AKK92" s="18"/>
      <c r="AKL92" s="18"/>
      <c r="AKM92" s="18"/>
      <c r="AKN92" s="18"/>
      <c r="AKO92" s="18"/>
      <c r="AKP92" s="18"/>
      <c r="AKQ92" s="18"/>
      <c r="AKR92" s="18"/>
      <c r="AKS92" s="18"/>
      <c r="AKT92" s="18"/>
      <c r="AKU92" s="18"/>
      <c r="AKV92" s="18"/>
      <c r="AKW92" s="18"/>
      <c r="AKX92" s="18"/>
      <c r="AKY92" s="18"/>
      <c r="AKZ92" s="18"/>
      <c r="ALA92" s="18"/>
      <c r="ALB92" s="18"/>
      <c r="ALC92" s="18"/>
      <c r="ALD92" s="18"/>
      <c r="ALE92" s="18"/>
      <c r="ALF92" s="18"/>
      <c r="ALG92" s="18"/>
      <c r="ALH92" s="18"/>
      <c r="ALI92" s="18"/>
      <c r="ALJ92" s="18"/>
      <c r="ALK92" s="18"/>
      <c r="ALL92" s="18"/>
      <c r="ALM92" s="18"/>
      <c r="ALN92" s="18"/>
      <c r="ALO92" s="18"/>
      <c r="ALP92" s="18"/>
      <c r="ALQ92" s="18"/>
      <c r="ALR92" s="18"/>
      <c r="ALS92" s="18"/>
      <c r="ALT92" s="18"/>
    </row>
    <row r="93" spans="1:1008" s="88" customFormat="1" ht="24" customHeight="1">
      <c r="A93" s="680" t="s">
        <v>6927</v>
      </c>
      <c r="B93" s="680"/>
      <c r="C93" s="680"/>
      <c r="D93" s="680"/>
      <c r="E93" s="680"/>
      <c r="F93" s="680"/>
      <c r="G93" s="680"/>
      <c r="H93" s="680"/>
      <c r="I93" s="680"/>
      <c r="J93" s="281">
        <f>SUM(J89:J92)</f>
        <v>2832.3970100000001</v>
      </c>
      <c r="K93" s="191"/>
      <c r="L93" s="191"/>
      <c r="M93" s="191"/>
      <c r="N93" s="191"/>
      <c r="O93" s="191"/>
      <c r="P93" s="263"/>
    </row>
    <row r="94" spans="1:1008">
      <c r="A94" s="251"/>
      <c r="B94" s="370">
        <v>188</v>
      </c>
      <c r="C94" s="340" t="s">
        <v>587</v>
      </c>
      <c r="D94" s="274"/>
      <c r="E94" s="276"/>
      <c r="F94" s="276"/>
      <c r="G94" s="276"/>
      <c r="H94" s="276"/>
      <c r="I94" s="276"/>
      <c r="J94" s="276"/>
      <c r="K94" s="191"/>
      <c r="L94" s="191"/>
      <c r="M94" s="191"/>
      <c r="N94" s="191"/>
      <c r="O94" s="191"/>
      <c r="P94" s="263"/>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c r="EF94" s="18"/>
      <c r="EG94" s="18"/>
      <c r="EH94" s="18"/>
      <c r="EI94" s="18"/>
      <c r="EJ94" s="18"/>
      <c r="EK94" s="18"/>
      <c r="EL94" s="18"/>
      <c r="EM94" s="18"/>
      <c r="EN94" s="18"/>
      <c r="EO94" s="18"/>
      <c r="EP94" s="18"/>
      <c r="EQ94" s="18"/>
      <c r="ER94" s="18"/>
      <c r="ES94" s="18"/>
      <c r="ET94" s="18"/>
      <c r="EU94" s="18"/>
      <c r="EV94" s="18"/>
      <c r="EW94" s="18"/>
      <c r="EX94" s="18"/>
      <c r="EY94" s="18"/>
      <c r="EZ94" s="18"/>
      <c r="FA94" s="18"/>
      <c r="FB94" s="18"/>
      <c r="FC94" s="18"/>
      <c r="FD94" s="18"/>
      <c r="FE94" s="18"/>
      <c r="FF94" s="18"/>
      <c r="FG94" s="18"/>
      <c r="FH94" s="18"/>
      <c r="FI94" s="18"/>
      <c r="FJ94" s="18"/>
      <c r="FK94" s="18"/>
      <c r="FL94" s="18"/>
      <c r="FM94" s="18"/>
      <c r="FN94" s="18"/>
      <c r="FO94" s="18"/>
      <c r="FP94" s="18"/>
      <c r="FQ94" s="18"/>
      <c r="FR94" s="18"/>
      <c r="FS94" s="18"/>
      <c r="FT94" s="18"/>
      <c r="FU94" s="18"/>
      <c r="FV94" s="18"/>
      <c r="FW94" s="18"/>
      <c r="FX94" s="18"/>
      <c r="FY94" s="18"/>
      <c r="FZ94" s="18"/>
      <c r="GA94" s="18"/>
      <c r="GB94" s="18"/>
      <c r="GC94" s="18"/>
      <c r="GD94" s="18"/>
      <c r="GE94" s="18"/>
      <c r="GF94" s="18"/>
      <c r="GG94" s="18"/>
      <c r="GH94" s="18"/>
      <c r="GI94" s="18"/>
      <c r="GJ94" s="18"/>
      <c r="GK94" s="18"/>
      <c r="GL94" s="18"/>
      <c r="GM94" s="18"/>
      <c r="GN94" s="18"/>
      <c r="GO94" s="18"/>
      <c r="GP94" s="18"/>
      <c r="GQ94" s="18"/>
      <c r="GR94" s="18"/>
      <c r="GS94" s="18"/>
      <c r="GT94" s="18"/>
      <c r="GU94" s="18"/>
      <c r="GV94" s="18"/>
      <c r="GW94" s="18"/>
      <c r="GX94" s="18"/>
      <c r="GY94" s="18"/>
      <c r="GZ94" s="18"/>
      <c r="HA94" s="18"/>
      <c r="HB94" s="18"/>
      <c r="HC94" s="18"/>
      <c r="HD94" s="18"/>
      <c r="HE94" s="18"/>
      <c r="HF94" s="18"/>
      <c r="HG94" s="18"/>
      <c r="HH94" s="18"/>
      <c r="HI94" s="18"/>
      <c r="HJ94" s="18"/>
      <c r="HK94" s="18"/>
      <c r="HL94" s="18"/>
      <c r="HM94" s="18"/>
      <c r="HN94" s="18"/>
      <c r="HO94" s="18"/>
      <c r="HP94" s="18"/>
      <c r="HQ94" s="18"/>
      <c r="HR94" s="18"/>
      <c r="HS94" s="18"/>
      <c r="HT94" s="18"/>
      <c r="HU94" s="18"/>
      <c r="HV94" s="18"/>
      <c r="HW94" s="18"/>
      <c r="HX94" s="18"/>
      <c r="HY94" s="18"/>
      <c r="HZ94" s="18"/>
      <c r="IA94" s="18"/>
      <c r="IB94" s="18"/>
      <c r="IC94" s="18"/>
      <c r="ID94" s="18"/>
      <c r="IE94" s="18"/>
      <c r="IF94" s="18"/>
      <c r="IG94" s="18"/>
      <c r="IH94" s="18"/>
      <c r="II94" s="18"/>
      <c r="IJ94" s="18"/>
      <c r="IK94" s="18"/>
      <c r="IL94" s="18"/>
      <c r="IM94" s="18"/>
      <c r="IN94" s="18"/>
      <c r="IO94" s="18"/>
      <c r="IP94" s="18"/>
      <c r="IQ94" s="18"/>
      <c r="IR94" s="18"/>
      <c r="IS94" s="18"/>
      <c r="IT94" s="18"/>
      <c r="IU94" s="18"/>
      <c r="IV94" s="18"/>
      <c r="IW94" s="18"/>
      <c r="IX94" s="18"/>
      <c r="IY94" s="18"/>
      <c r="IZ94" s="18"/>
      <c r="JA94" s="18"/>
      <c r="JB94" s="18"/>
      <c r="JC94" s="18"/>
      <c r="JD94" s="18"/>
      <c r="JE94" s="18"/>
      <c r="JF94" s="18"/>
      <c r="JG94" s="18"/>
      <c r="JH94" s="18"/>
      <c r="JI94" s="18"/>
      <c r="JJ94" s="18"/>
      <c r="JK94" s="18"/>
      <c r="JL94" s="18"/>
      <c r="JM94" s="18"/>
      <c r="JN94" s="18"/>
      <c r="JO94" s="18"/>
      <c r="JP94" s="18"/>
      <c r="JQ94" s="18"/>
      <c r="JR94" s="18"/>
      <c r="JS94" s="18"/>
      <c r="JT94" s="18"/>
      <c r="JU94" s="18"/>
      <c r="JV94" s="18"/>
      <c r="JW94" s="18"/>
      <c r="JX94" s="18"/>
      <c r="JY94" s="18"/>
      <c r="JZ94" s="18"/>
      <c r="KA94" s="18"/>
      <c r="KB94" s="18"/>
      <c r="KC94" s="18"/>
      <c r="KD94" s="18"/>
      <c r="KE94" s="18"/>
      <c r="KF94" s="18"/>
      <c r="KG94" s="18"/>
      <c r="KH94" s="18"/>
      <c r="KI94" s="18"/>
      <c r="KJ94" s="18"/>
      <c r="KK94" s="18"/>
      <c r="KL94" s="18"/>
      <c r="KM94" s="18"/>
      <c r="KN94" s="18"/>
      <c r="KO94" s="18"/>
      <c r="KP94" s="18"/>
      <c r="KQ94" s="18"/>
      <c r="KR94" s="18"/>
      <c r="KS94" s="18"/>
      <c r="KT94" s="18"/>
      <c r="KU94" s="18"/>
      <c r="KV94" s="18"/>
      <c r="KW94" s="18"/>
      <c r="KX94" s="18"/>
      <c r="KY94" s="18"/>
      <c r="KZ94" s="18"/>
      <c r="LA94" s="18"/>
      <c r="LB94" s="18"/>
      <c r="LC94" s="18"/>
      <c r="LD94" s="18"/>
      <c r="LE94" s="18"/>
      <c r="LF94" s="18"/>
      <c r="LG94" s="18"/>
      <c r="LH94" s="18"/>
      <c r="LI94" s="18"/>
      <c r="LJ94" s="18"/>
      <c r="LK94" s="18"/>
      <c r="LL94" s="18"/>
      <c r="LM94" s="18"/>
      <c r="LN94" s="18"/>
      <c r="LO94" s="18"/>
      <c r="LP94" s="18"/>
      <c r="LQ94" s="18"/>
      <c r="LR94" s="18"/>
      <c r="LS94" s="18"/>
      <c r="LT94" s="18"/>
      <c r="LU94" s="18"/>
      <c r="LV94" s="18"/>
      <c r="LW94" s="18"/>
      <c r="LX94" s="18"/>
      <c r="LY94" s="18"/>
      <c r="LZ94" s="18"/>
      <c r="MA94" s="18"/>
      <c r="MB94" s="18"/>
      <c r="MC94" s="18"/>
      <c r="MD94" s="18"/>
      <c r="ME94" s="18"/>
      <c r="MF94" s="18"/>
      <c r="MG94" s="18"/>
      <c r="MH94" s="18"/>
      <c r="MI94" s="18"/>
      <c r="MJ94" s="18"/>
      <c r="MK94" s="18"/>
      <c r="ML94" s="18"/>
      <c r="MM94" s="18"/>
      <c r="MN94" s="18"/>
      <c r="MO94" s="18"/>
      <c r="MP94" s="18"/>
      <c r="MQ94" s="18"/>
      <c r="MR94" s="18"/>
      <c r="MS94" s="18"/>
      <c r="MT94" s="18"/>
      <c r="MU94" s="18"/>
      <c r="MV94" s="18"/>
      <c r="MW94" s="18"/>
      <c r="MX94" s="18"/>
      <c r="MY94" s="18"/>
      <c r="MZ94" s="18"/>
      <c r="NA94" s="18"/>
      <c r="NB94" s="18"/>
      <c r="NC94" s="18"/>
      <c r="ND94" s="18"/>
      <c r="NE94" s="18"/>
      <c r="NF94" s="18"/>
      <c r="NG94" s="18"/>
      <c r="NH94" s="18"/>
      <c r="NI94" s="18"/>
      <c r="NJ94" s="18"/>
      <c r="NK94" s="18"/>
      <c r="NL94" s="18"/>
      <c r="NM94" s="18"/>
      <c r="NN94" s="18"/>
      <c r="NO94" s="18"/>
      <c r="NP94" s="18"/>
      <c r="NQ94" s="18"/>
      <c r="NR94" s="18"/>
      <c r="NS94" s="18"/>
      <c r="NT94" s="18"/>
      <c r="NU94" s="18"/>
      <c r="NV94" s="18"/>
      <c r="NW94" s="18"/>
      <c r="NX94" s="18"/>
      <c r="NY94" s="18"/>
      <c r="NZ94" s="18"/>
      <c r="OA94" s="18"/>
      <c r="OB94" s="18"/>
      <c r="OC94" s="18"/>
      <c r="OD94" s="18"/>
      <c r="OE94" s="18"/>
      <c r="OF94" s="18"/>
      <c r="OG94" s="18"/>
      <c r="OH94" s="18"/>
      <c r="OI94" s="18"/>
      <c r="OJ94" s="18"/>
      <c r="OK94" s="18"/>
      <c r="OL94" s="18"/>
      <c r="OM94" s="18"/>
      <c r="ON94" s="18"/>
      <c r="OO94" s="18"/>
      <c r="OP94" s="18"/>
      <c r="OQ94" s="18"/>
      <c r="OR94" s="18"/>
      <c r="OS94" s="18"/>
      <c r="OT94" s="18"/>
      <c r="OU94" s="18"/>
      <c r="OV94" s="18"/>
      <c r="OW94" s="18"/>
      <c r="OX94" s="18"/>
      <c r="OY94" s="18"/>
      <c r="OZ94" s="18"/>
      <c r="PA94" s="18"/>
      <c r="PB94" s="18"/>
      <c r="PC94" s="18"/>
      <c r="PD94" s="18"/>
      <c r="PE94" s="18"/>
      <c r="PF94" s="18"/>
      <c r="PG94" s="18"/>
      <c r="PH94" s="18"/>
      <c r="PI94" s="18"/>
      <c r="PJ94" s="18"/>
      <c r="PK94" s="18"/>
      <c r="PL94" s="18"/>
      <c r="PM94" s="18"/>
      <c r="PN94" s="18"/>
      <c r="PO94" s="18"/>
      <c r="PP94" s="18"/>
      <c r="PQ94" s="18"/>
      <c r="PR94" s="18"/>
      <c r="PS94" s="18"/>
      <c r="PT94" s="18"/>
      <c r="PU94" s="18"/>
      <c r="PV94" s="18"/>
      <c r="PW94" s="18"/>
      <c r="PX94" s="18"/>
      <c r="PY94" s="18"/>
      <c r="PZ94" s="18"/>
      <c r="QA94" s="18"/>
      <c r="QB94" s="18"/>
      <c r="QC94" s="18"/>
      <c r="QD94" s="18"/>
      <c r="QE94" s="18"/>
      <c r="QF94" s="18"/>
      <c r="QG94" s="18"/>
      <c r="QH94" s="18"/>
      <c r="QI94" s="18"/>
      <c r="QJ94" s="18"/>
      <c r="QK94" s="18"/>
      <c r="QL94" s="18"/>
      <c r="QM94" s="18"/>
      <c r="QN94" s="18"/>
      <c r="QO94" s="18"/>
      <c r="QP94" s="18"/>
      <c r="QQ94" s="18"/>
      <c r="QR94" s="18"/>
      <c r="QS94" s="18"/>
      <c r="QT94" s="18"/>
      <c r="QU94" s="18"/>
      <c r="QV94" s="18"/>
      <c r="QW94" s="18"/>
      <c r="QX94" s="18"/>
      <c r="QY94" s="18"/>
      <c r="QZ94" s="18"/>
      <c r="RA94" s="18"/>
      <c r="RB94" s="18"/>
      <c r="RC94" s="18"/>
      <c r="RD94" s="18"/>
      <c r="RE94" s="18"/>
      <c r="RF94" s="18"/>
      <c r="RG94" s="18"/>
      <c r="RH94" s="18"/>
      <c r="RI94" s="18"/>
      <c r="RJ94" s="18"/>
      <c r="RK94" s="18"/>
      <c r="RL94" s="18"/>
      <c r="RM94" s="18"/>
      <c r="RN94" s="18"/>
      <c r="RO94" s="18"/>
      <c r="RP94" s="18"/>
      <c r="RQ94" s="18"/>
      <c r="RR94" s="18"/>
      <c r="RS94" s="18"/>
      <c r="RT94" s="18"/>
      <c r="RU94" s="18"/>
      <c r="RV94" s="18"/>
      <c r="RW94" s="18"/>
      <c r="RX94" s="18"/>
      <c r="RY94" s="18"/>
      <c r="RZ94" s="18"/>
      <c r="SA94" s="18"/>
      <c r="SB94" s="18"/>
      <c r="SC94" s="18"/>
      <c r="SD94" s="18"/>
      <c r="SE94" s="18"/>
      <c r="SF94" s="18"/>
      <c r="SG94" s="18"/>
      <c r="SH94" s="18"/>
      <c r="SI94" s="18"/>
      <c r="SJ94" s="18"/>
      <c r="SK94" s="18"/>
      <c r="SL94" s="18"/>
      <c r="SM94" s="18"/>
      <c r="SN94" s="18"/>
      <c r="SO94" s="18"/>
      <c r="SP94" s="18"/>
      <c r="SQ94" s="18"/>
      <c r="SR94" s="18"/>
      <c r="SS94" s="18"/>
      <c r="ST94" s="18"/>
      <c r="SU94" s="18"/>
      <c r="SV94" s="18"/>
      <c r="SW94" s="18"/>
      <c r="SX94" s="18"/>
      <c r="SY94" s="18"/>
      <c r="SZ94" s="18"/>
      <c r="TA94" s="18"/>
      <c r="TB94" s="18"/>
      <c r="TC94" s="18"/>
      <c r="TD94" s="18"/>
      <c r="TE94" s="18"/>
      <c r="TF94" s="18"/>
      <c r="TG94" s="18"/>
      <c r="TH94" s="18"/>
      <c r="TI94" s="18"/>
      <c r="TJ94" s="18"/>
      <c r="TK94" s="18"/>
      <c r="TL94" s="18"/>
      <c r="TM94" s="18"/>
      <c r="TN94" s="18"/>
      <c r="TO94" s="18"/>
      <c r="TP94" s="18"/>
      <c r="TQ94" s="18"/>
      <c r="TR94" s="18"/>
      <c r="TS94" s="18"/>
      <c r="TT94" s="18"/>
      <c r="TU94" s="18"/>
      <c r="TV94" s="18"/>
      <c r="TW94" s="18"/>
      <c r="TX94" s="18"/>
      <c r="TY94" s="18"/>
      <c r="TZ94" s="18"/>
      <c r="UA94" s="18"/>
      <c r="UB94" s="18"/>
      <c r="UC94" s="18"/>
      <c r="UD94" s="18"/>
      <c r="UE94" s="18"/>
      <c r="UF94" s="18"/>
      <c r="UG94" s="18"/>
      <c r="UH94" s="18"/>
      <c r="UI94" s="18"/>
      <c r="UJ94" s="18"/>
      <c r="UK94" s="18"/>
      <c r="UL94" s="18"/>
      <c r="UM94" s="18"/>
      <c r="UN94" s="18"/>
      <c r="UO94" s="18"/>
      <c r="UP94" s="18"/>
      <c r="UQ94" s="18"/>
      <c r="UR94" s="18"/>
      <c r="US94" s="18"/>
      <c r="UT94" s="18"/>
      <c r="UU94" s="18"/>
      <c r="UV94" s="18"/>
      <c r="UW94" s="18"/>
      <c r="UX94" s="18"/>
      <c r="UY94" s="18"/>
      <c r="UZ94" s="18"/>
      <c r="VA94" s="18"/>
      <c r="VB94" s="18"/>
      <c r="VC94" s="18"/>
      <c r="VD94" s="18"/>
      <c r="VE94" s="18"/>
      <c r="VF94" s="18"/>
      <c r="VG94" s="18"/>
      <c r="VH94" s="18"/>
      <c r="VI94" s="18"/>
      <c r="VJ94" s="18"/>
      <c r="VK94" s="18"/>
      <c r="VL94" s="18"/>
      <c r="VM94" s="18"/>
      <c r="VN94" s="18"/>
      <c r="VO94" s="18"/>
      <c r="VP94" s="18"/>
      <c r="VQ94" s="18"/>
      <c r="VR94" s="18"/>
      <c r="VS94" s="18"/>
      <c r="VT94" s="18"/>
      <c r="VU94" s="18"/>
      <c r="VV94" s="18"/>
      <c r="VW94" s="18"/>
      <c r="VX94" s="18"/>
      <c r="VY94" s="18"/>
      <c r="VZ94" s="18"/>
      <c r="WA94" s="18"/>
      <c r="WB94" s="18"/>
      <c r="WC94" s="18"/>
      <c r="WD94" s="18"/>
      <c r="WE94" s="18"/>
      <c r="WF94" s="18"/>
      <c r="WG94" s="18"/>
      <c r="WH94" s="18"/>
      <c r="WI94" s="18"/>
      <c r="WJ94" s="18"/>
      <c r="WK94" s="18"/>
      <c r="WL94" s="18"/>
      <c r="WM94" s="18"/>
      <c r="WN94" s="18"/>
      <c r="WO94" s="18"/>
      <c r="WP94" s="18"/>
      <c r="WQ94" s="18"/>
      <c r="WR94" s="18"/>
      <c r="WS94" s="18"/>
      <c r="WT94" s="18"/>
      <c r="WU94" s="18"/>
      <c r="WV94" s="18"/>
      <c r="WW94" s="18"/>
      <c r="WX94" s="18"/>
      <c r="WY94" s="18"/>
      <c r="WZ94" s="18"/>
      <c r="XA94" s="18"/>
      <c r="XB94" s="18"/>
      <c r="XC94" s="18"/>
      <c r="XD94" s="18"/>
      <c r="XE94" s="18"/>
      <c r="XF94" s="18"/>
      <c r="XG94" s="18"/>
      <c r="XH94" s="18"/>
      <c r="XI94" s="18"/>
      <c r="XJ94" s="18"/>
      <c r="XK94" s="18"/>
      <c r="XL94" s="18"/>
      <c r="XM94" s="18"/>
      <c r="XN94" s="18"/>
      <c r="XO94" s="18"/>
      <c r="XP94" s="18"/>
      <c r="XQ94" s="18"/>
      <c r="XR94" s="18"/>
      <c r="XS94" s="18"/>
      <c r="XT94" s="18"/>
      <c r="XU94" s="18"/>
      <c r="XV94" s="18"/>
      <c r="XW94" s="18"/>
      <c r="XX94" s="18"/>
      <c r="XY94" s="18"/>
      <c r="XZ94" s="18"/>
      <c r="YA94" s="18"/>
      <c r="YB94" s="18"/>
      <c r="YC94" s="18"/>
      <c r="YD94" s="18"/>
      <c r="YE94" s="18"/>
      <c r="YF94" s="18"/>
      <c r="YG94" s="18"/>
      <c r="YH94" s="18"/>
      <c r="YI94" s="18"/>
      <c r="YJ94" s="18"/>
      <c r="YK94" s="18"/>
      <c r="YL94" s="18"/>
      <c r="YM94" s="18"/>
      <c r="YN94" s="18"/>
      <c r="YO94" s="18"/>
      <c r="YP94" s="18"/>
      <c r="YQ94" s="18"/>
      <c r="YR94" s="18"/>
      <c r="YS94" s="18"/>
      <c r="YT94" s="18"/>
      <c r="YU94" s="18"/>
      <c r="YV94" s="18"/>
      <c r="YW94" s="18"/>
      <c r="YX94" s="18"/>
      <c r="YY94" s="18"/>
      <c r="YZ94" s="18"/>
      <c r="ZA94" s="18"/>
      <c r="ZB94" s="18"/>
      <c r="ZC94" s="18"/>
      <c r="ZD94" s="18"/>
      <c r="ZE94" s="18"/>
      <c r="ZF94" s="18"/>
      <c r="ZG94" s="18"/>
      <c r="ZH94" s="18"/>
      <c r="ZI94" s="18"/>
      <c r="ZJ94" s="18"/>
      <c r="ZK94" s="18"/>
      <c r="ZL94" s="18"/>
      <c r="ZM94" s="18"/>
      <c r="ZN94" s="18"/>
      <c r="ZO94" s="18"/>
      <c r="ZP94" s="18"/>
      <c r="ZQ94" s="18"/>
      <c r="ZR94" s="18"/>
      <c r="ZS94" s="18"/>
      <c r="ZT94" s="18"/>
      <c r="ZU94" s="18"/>
      <c r="ZV94" s="18"/>
      <c r="ZW94" s="18"/>
      <c r="ZX94" s="18"/>
      <c r="ZY94" s="18"/>
      <c r="ZZ94" s="18"/>
      <c r="AAA94" s="18"/>
      <c r="AAB94" s="18"/>
      <c r="AAC94" s="18"/>
      <c r="AAD94" s="18"/>
      <c r="AAE94" s="18"/>
      <c r="AAF94" s="18"/>
      <c r="AAG94" s="18"/>
      <c r="AAH94" s="18"/>
      <c r="AAI94" s="18"/>
      <c r="AAJ94" s="18"/>
      <c r="AAK94" s="18"/>
      <c r="AAL94" s="18"/>
      <c r="AAM94" s="18"/>
      <c r="AAN94" s="18"/>
      <c r="AAO94" s="18"/>
      <c r="AAP94" s="18"/>
      <c r="AAQ94" s="18"/>
      <c r="AAR94" s="18"/>
      <c r="AAS94" s="18"/>
      <c r="AAT94" s="18"/>
      <c r="AAU94" s="18"/>
      <c r="AAV94" s="18"/>
      <c r="AAW94" s="18"/>
      <c r="AAX94" s="18"/>
      <c r="AAY94" s="18"/>
      <c r="AAZ94" s="18"/>
      <c r="ABA94" s="18"/>
      <c r="ABB94" s="18"/>
      <c r="ABC94" s="18"/>
      <c r="ABD94" s="18"/>
      <c r="ABE94" s="18"/>
      <c r="ABF94" s="18"/>
      <c r="ABG94" s="18"/>
      <c r="ABH94" s="18"/>
      <c r="ABI94" s="18"/>
      <c r="ABJ94" s="18"/>
      <c r="ABK94" s="18"/>
      <c r="ABL94" s="18"/>
      <c r="ABM94" s="18"/>
      <c r="ABN94" s="18"/>
      <c r="ABO94" s="18"/>
      <c r="ABP94" s="18"/>
      <c r="ABQ94" s="18"/>
      <c r="ABR94" s="18"/>
      <c r="ABS94" s="18"/>
      <c r="ABT94" s="18"/>
      <c r="ABU94" s="18"/>
      <c r="ABV94" s="18"/>
      <c r="ABW94" s="18"/>
      <c r="ABX94" s="18"/>
      <c r="ABY94" s="18"/>
      <c r="ABZ94" s="18"/>
      <c r="ACA94" s="18"/>
      <c r="ACB94" s="18"/>
      <c r="ACC94" s="18"/>
      <c r="ACD94" s="18"/>
      <c r="ACE94" s="18"/>
      <c r="ACF94" s="18"/>
      <c r="ACG94" s="18"/>
      <c r="ACH94" s="18"/>
      <c r="ACI94" s="18"/>
      <c r="ACJ94" s="18"/>
      <c r="ACK94" s="18"/>
      <c r="ACL94" s="18"/>
      <c r="ACM94" s="18"/>
      <c r="ACN94" s="18"/>
      <c r="ACO94" s="18"/>
      <c r="ACP94" s="18"/>
      <c r="ACQ94" s="18"/>
      <c r="ACR94" s="18"/>
      <c r="ACS94" s="18"/>
      <c r="ACT94" s="18"/>
      <c r="ACU94" s="18"/>
      <c r="ACV94" s="18"/>
      <c r="ACW94" s="18"/>
      <c r="ACX94" s="18"/>
      <c r="ACY94" s="18"/>
      <c r="ACZ94" s="18"/>
      <c r="ADA94" s="18"/>
      <c r="ADB94" s="18"/>
      <c r="ADC94" s="18"/>
      <c r="ADD94" s="18"/>
      <c r="ADE94" s="18"/>
      <c r="ADF94" s="18"/>
      <c r="ADG94" s="18"/>
      <c r="ADH94" s="18"/>
      <c r="ADI94" s="18"/>
      <c r="ADJ94" s="18"/>
      <c r="ADK94" s="18"/>
      <c r="ADL94" s="18"/>
      <c r="ADM94" s="18"/>
      <c r="ADN94" s="18"/>
      <c r="ADO94" s="18"/>
      <c r="ADP94" s="18"/>
      <c r="ADQ94" s="18"/>
      <c r="ADR94" s="18"/>
      <c r="ADS94" s="18"/>
      <c r="ADT94" s="18"/>
      <c r="ADU94" s="18"/>
      <c r="ADV94" s="18"/>
      <c r="ADW94" s="18"/>
      <c r="ADX94" s="18"/>
      <c r="ADY94" s="18"/>
      <c r="ADZ94" s="18"/>
      <c r="AEA94" s="18"/>
      <c r="AEB94" s="18"/>
      <c r="AEC94" s="18"/>
      <c r="AED94" s="18"/>
      <c r="AEE94" s="18"/>
      <c r="AEF94" s="18"/>
      <c r="AEG94" s="18"/>
      <c r="AEH94" s="18"/>
      <c r="AEI94" s="18"/>
      <c r="AEJ94" s="18"/>
      <c r="AEK94" s="18"/>
      <c r="AEL94" s="18"/>
      <c r="AEM94" s="18"/>
      <c r="AEN94" s="18"/>
      <c r="AEO94" s="18"/>
      <c r="AEP94" s="18"/>
      <c r="AEQ94" s="18"/>
      <c r="AER94" s="18"/>
      <c r="AES94" s="18"/>
      <c r="AET94" s="18"/>
      <c r="AEU94" s="18"/>
      <c r="AEV94" s="18"/>
      <c r="AEW94" s="18"/>
      <c r="AEX94" s="18"/>
      <c r="AEY94" s="18"/>
      <c r="AEZ94" s="18"/>
      <c r="AFA94" s="18"/>
      <c r="AFB94" s="18"/>
      <c r="AFC94" s="18"/>
      <c r="AFD94" s="18"/>
      <c r="AFE94" s="18"/>
      <c r="AFF94" s="18"/>
      <c r="AFG94" s="18"/>
      <c r="AFH94" s="18"/>
      <c r="AFI94" s="18"/>
      <c r="AFJ94" s="18"/>
      <c r="AFK94" s="18"/>
      <c r="AFL94" s="18"/>
      <c r="AFM94" s="18"/>
      <c r="AFN94" s="18"/>
      <c r="AFO94" s="18"/>
      <c r="AFP94" s="18"/>
      <c r="AFQ94" s="18"/>
      <c r="AFR94" s="18"/>
      <c r="AFS94" s="18"/>
      <c r="AFT94" s="18"/>
      <c r="AFU94" s="18"/>
      <c r="AFV94" s="18"/>
      <c r="AFW94" s="18"/>
      <c r="AFX94" s="18"/>
      <c r="AFY94" s="18"/>
      <c r="AFZ94" s="18"/>
      <c r="AGA94" s="18"/>
      <c r="AGB94" s="18"/>
      <c r="AGC94" s="18"/>
      <c r="AGD94" s="18"/>
      <c r="AGE94" s="18"/>
      <c r="AGF94" s="18"/>
      <c r="AGG94" s="18"/>
      <c r="AGH94" s="18"/>
      <c r="AGI94" s="18"/>
      <c r="AGJ94" s="18"/>
      <c r="AGK94" s="18"/>
      <c r="AGL94" s="18"/>
      <c r="AGM94" s="18"/>
      <c r="AGN94" s="18"/>
      <c r="AGO94" s="18"/>
      <c r="AGP94" s="18"/>
      <c r="AGQ94" s="18"/>
      <c r="AGR94" s="18"/>
      <c r="AGS94" s="18"/>
      <c r="AGT94" s="18"/>
      <c r="AGU94" s="18"/>
      <c r="AGV94" s="18"/>
      <c r="AGW94" s="18"/>
      <c r="AGX94" s="18"/>
      <c r="AGY94" s="18"/>
      <c r="AGZ94" s="18"/>
      <c r="AHA94" s="18"/>
      <c r="AHB94" s="18"/>
      <c r="AHC94" s="18"/>
      <c r="AHD94" s="18"/>
      <c r="AHE94" s="18"/>
      <c r="AHF94" s="18"/>
      <c r="AHG94" s="18"/>
      <c r="AHH94" s="18"/>
      <c r="AHI94" s="18"/>
      <c r="AHJ94" s="18"/>
      <c r="AHK94" s="18"/>
      <c r="AHL94" s="18"/>
      <c r="AHM94" s="18"/>
      <c r="AHN94" s="18"/>
      <c r="AHO94" s="18"/>
      <c r="AHP94" s="18"/>
      <c r="AHQ94" s="18"/>
      <c r="AHR94" s="18"/>
      <c r="AHS94" s="18"/>
      <c r="AHT94" s="18"/>
      <c r="AHU94" s="18"/>
      <c r="AHV94" s="18"/>
      <c r="AHW94" s="18"/>
      <c r="AHX94" s="18"/>
      <c r="AHY94" s="18"/>
      <c r="AHZ94" s="18"/>
      <c r="AIA94" s="18"/>
      <c r="AIB94" s="18"/>
      <c r="AIC94" s="18"/>
      <c r="AID94" s="18"/>
      <c r="AIE94" s="18"/>
      <c r="AIF94" s="18"/>
      <c r="AIG94" s="18"/>
      <c r="AIH94" s="18"/>
      <c r="AII94" s="18"/>
      <c r="AIJ94" s="18"/>
      <c r="AIK94" s="18"/>
      <c r="AIL94" s="18"/>
      <c r="AIM94" s="18"/>
      <c r="AIN94" s="18"/>
      <c r="AIO94" s="18"/>
      <c r="AIP94" s="18"/>
      <c r="AIQ94" s="18"/>
      <c r="AIR94" s="18"/>
      <c r="AIS94" s="18"/>
      <c r="AIT94" s="18"/>
      <c r="AIU94" s="18"/>
      <c r="AIV94" s="18"/>
      <c r="AIW94" s="18"/>
      <c r="AIX94" s="18"/>
      <c r="AIY94" s="18"/>
      <c r="AIZ94" s="18"/>
      <c r="AJA94" s="18"/>
      <c r="AJB94" s="18"/>
      <c r="AJC94" s="18"/>
      <c r="AJD94" s="18"/>
      <c r="AJE94" s="18"/>
      <c r="AJF94" s="18"/>
      <c r="AJG94" s="18"/>
      <c r="AJH94" s="18"/>
      <c r="AJI94" s="18"/>
      <c r="AJJ94" s="18"/>
      <c r="AJK94" s="18"/>
      <c r="AJL94" s="18"/>
      <c r="AJM94" s="18"/>
      <c r="AJN94" s="18"/>
      <c r="AJO94" s="18"/>
      <c r="AJP94" s="18"/>
      <c r="AJQ94" s="18"/>
      <c r="AJR94" s="18"/>
      <c r="AJS94" s="18"/>
      <c r="AJT94" s="18"/>
      <c r="AJU94" s="18"/>
      <c r="AJV94" s="18"/>
      <c r="AJW94" s="18"/>
      <c r="AJX94" s="18"/>
      <c r="AJY94" s="18"/>
      <c r="AJZ94" s="18"/>
      <c r="AKA94" s="18"/>
      <c r="AKB94" s="18"/>
      <c r="AKC94" s="18"/>
      <c r="AKD94" s="18"/>
      <c r="AKE94" s="18"/>
      <c r="AKF94" s="18"/>
      <c r="AKG94" s="18"/>
      <c r="AKH94" s="18"/>
      <c r="AKI94" s="18"/>
      <c r="AKJ94" s="18"/>
      <c r="AKK94" s="18"/>
      <c r="AKL94" s="18"/>
      <c r="AKM94" s="18"/>
      <c r="AKN94" s="18"/>
      <c r="AKO94" s="18"/>
      <c r="AKP94" s="18"/>
      <c r="AKQ94" s="18"/>
      <c r="AKR94" s="18"/>
      <c r="AKS94" s="18"/>
      <c r="AKT94" s="18"/>
      <c r="AKU94" s="18"/>
      <c r="AKV94" s="18"/>
      <c r="AKW94" s="18"/>
      <c r="AKX94" s="18"/>
      <c r="AKY94" s="18"/>
      <c r="AKZ94" s="18"/>
      <c r="ALA94" s="18"/>
      <c r="ALB94" s="18"/>
      <c r="ALC94" s="18"/>
      <c r="ALD94" s="18"/>
      <c r="ALE94" s="18"/>
      <c r="ALF94" s="18"/>
      <c r="ALG94" s="18"/>
      <c r="ALH94" s="18"/>
      <c r="ALI94" s="18"/>
      <c r="ALJ94" s="18"/>
      <c r="ALK94" s="18"/>
      <c r="ALL94" s="18"/>
      <c r="ALM94" s="18"/>
      <c r="ALN94" s="18"/>
      <c r="ALO94" s="18"/>
      <c r="ALP94" s="18"/>
      <c r="ALQ94" s="18"/>
      <c r="ALR94" s="18"/>
      <c r="ALS94" s="18"/>
      <c r="ALT94" s="18"/>
    </row>
    <row r="95" spans="1:1008">
      <c r="A95" s="251" t="s">
        <v>6307</v>
      </c>
      <c r="B95" s="290">
        <v>357</v>
      </c>
      <c r="C95" s="278" t="str">
        <f>(IF($A95="SINAPI",INDEX(SINAPI_NOV2020_NDES!$A$7:$H$6703,MATCH($B95,SINAPI_NOV2020_NDES!$A$7:$A$6703,0),2),IF($A95="GOINFRA",INDEX(#REF!,MATCH($B95,#REF!,0),2),(INDEX(COMPOS!$A$4:$G$390,MATCH($B95,COMPOS!$A$4:A$390,0),2)))))</f>
        <v>PINTURA LATÉX ACRÍLICA, TRÊS DEMÃOS COM SELADOR</v>
      </c>
      <c r="D95" s="274" t="str">
        <f>(IF($A95="SINAPI",INDEX(SINAPI_NOV2020_NDES!$A$7:$H$6790,MATCH($B95,SINAPI_NOV2020_NDES!$A$7:$A$6790,0),3),(INDEX(COMPOS!$A$4:$G$5000,MATCH($B95,COMPOS!$A$4:$A$5000,0),3))))</f>
        <v>M2</v>
      </c>
      <c r="E95" s="314">
        <v>9.81</v>
      </c>
      <c r="F95" s="279">
        <f>(IF($A95="SINAPI",INDEX(SINAPI_NOV2020_NDES!$A$7:$H$6703,MATCH($B95,SINAPI_NOV2020_NDES!$A$7:$A$6703,0),5),(INDEX(COMPOS!$A$4:$G$801,MATCH($B95,COMPOS!$A$4:A$801,0),4))))</f>
        <v>9.3322149999999997</v>
      </c>
      <c r="G95" s="280">
        <f>(IF($A95="SINAPI",INDEX(SINAPI_NOV2020_NDES!$A$7:$H$6703,MATCH($B95,SINAPI_NOV2020_NDES!$A$7:$A$6703,0),6),(INDEX(COMPOS!$A$4:$G$801,MATCH($B95,COMPOS!$A$4:A$801,0),5))))</f>
        <v>4.28932</v>
      </c>
      <c r="H95" s="280">
        <f>(IF($A95="SINAPI",INDEX(SINAPI_NOV2020_NDES!$A$7:$H$6703,MATCH($B95,SINAPI_NOV2020_NDES!$A$7:$A$6703,0),7),(INDEX(COMPOS!$A$4:$G$801,MATCH($B95,COMPOS!$A$4:A$801,0),6))))</f>
        <v>0</v>
      </c>
      <c r="I95" s="279">
        <f t="shared" ref="I95" si="38">SUM(F95:H95)</f>
        <v>13.621535</v>
      </c>
      <c r="J95" s="276">
        <f t="shared" ref="J95" si="39">+I95*E95</f>
        <v>133.62725835000001</v>
      </c>
      <c r="K95" s="191"/>
      <c r="L95" s="191"/>
      <c r="M95" s="191"/>
      <c r="N95" s="191"/>
      <c r="O95" s="262"/>
      <c r="P95" s="263"/>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c r="EF95" s="18"/>
      <c r="EG95" s="18"/>
      <c r="EH95" s="18"/>
      <c r="EI95" s="18"/>
      <c r="EJ95" s="18"/>
      <c r="EK95" s="18"/>
      <c r="EL95" s="18"/>
      <c r="EM95" s="18"/>
      <c r="EN95" s="18"/>
      <c r="EO95" s="18"/>
      <c r="EP95" s="18"/>
      <c r="EQ95" s="18"/>
      <c r="ER95" s="18"/>
      <c r="ES95" s="18"/>
      <c r="ET95" s="18"/>
      <c r="EU95" s="18"/>
      <c r="EV95" s="18"/>
      <c r="EW95" s="18"/>
      <c r="EX95" s="18"/>
      <c r="EY95" s="18"/>
      <c r="EZ95" s="18"/>
      <c r="FA95" s="18"/>
      <c r="FB95" s="18"/>
      <c r="FC95" s="18"/>
      <c r="FD95" s="18"/>
      <c r="FE95" s="18"/>
      <c r="FF95" s="18"/>
      <c r="FG95" s="18"/>
      <c r="FH95" s="18"/>
      <c r="FI95" s="18"/>
      <c r="FJ95" s="18"/>
      <c r="FK95" s="18"/>
      <c r="FL95" s="18"/>
      <c r="FM95" s="18"/>
      <c r="FN95" s="18"/>
      <c r="FO95" s="18"/>
      <c r="FP95" s="18"/>
      <c r="FQ95" s="18"/>
      <c r="FR95" s="18"/>
      <c r="FS95" s="18"/>
      <c r="FT95" s="18"/>
      <c r="FU95" s="18"/>
      <c r="FV95" s="18"/>
      <c r="FW95" s="18"/>
      <c r="FX95" s="18"/>
      <c r="FY95" s="18"/>
      <c r="FZ95" s="18"/>
      <c r="GA95" s="18"/>
      <c r="GB95" s="18"/>
      <c r="GC95" s="18"/>
      <c r="GD95" s="18"/>
      <c r="GE95" s="18"/>
      <c r="GF95" s="18"/>
      <c r="GG95" s="18"/>
      <c r="GH95" s="18"/>
      <c r="GI95" s="18"/>
      <c r="GJ95" s="18"/>
      <c r="GK95" s="18"/>
      <c r="GL95" s="18"/>
      <c r="GM95" s="18"/>
      <c r="GN95" s="18"/>
      <c r="GO95" s="18"/>
      <c r="GP95" s="18"/>
      <c r="GQ95" s="18"/>
      <c r="GR95" s="18"/>
      <c r="GS95" s="18"/>
      <c r="GT95" s="18"/>
      <c r="GU95" s="18"/>
      <c r="GV95" s="18"/>
      <c r="GW95" s="18"/>
      <c r="GX95" s="18"/>
      <c r="GY95" s="18"/>
      <c r="GZ95" s="18"/>
      <c r="HA95" s="18"/>
      <c r="HB95" s="18"/>
      <c r="HC95" s="18"/>
      <c r="HD95" s="18"/>
      <c r="HE95" s="18"/>
      <c r="HF95" s="18"/>
      <c r="HG95" s="18"/>
      <c r="HH95" s="18"/>
      <c r="HI95" s="18"/>
      <c r="HJ95" s="18"/>
      <c r="HK95" s="18"/>
      <c r="HL95" s="18"/>
      <c r="HM95" s="18"/>
      <c r="HN95" s="18"/>
      <c r="HO95" s="18"/>
      <c r="HP95" s="18"/>
      <c r="HQ95" s="18"/>
      <c r="HR95" s="18"/>
      <c r="HS95" s="18"/>
      <c r="HT95" s="18"/>
      <c r="HU95" s="18"/>
      <c r="HV95" s="18"/>
      <c r="HW95" s="18"/>
      <c r="HX95" s="18"/>
      <c r="HY95" s="18"/>
      <c r="HZ95" s="18"/>
      <c r="IA95" s="18"/>
      <c r="IB95" s="18"/>
      <c r="IC95" s="18"/>
      <c r="ID95" s="18"/>
      <c r="IE95" s="18"/>
      <c r="IF95" s="18"/>
      <c r="IG95" s="18"/>
      <c r="IH95" s="18"/>
      <c r="II95" s="18"/>
      <c r="IJ95" s="18"/>
      <c r="IK95" s="18"/>
      <c r="IL95" s="18"/>
      <c r="IM95" s="18"/>
      <c r="IN95" s="18"/>
      <c r="IO95" s="18"/>
      <c r="IP95" s="18"/>
      <c r="IQ95" s="18"/>
      <c r="IR95" s="18"/>
      <c r="IS95" s="18"/>
      <c r="IT95" s="18"/>
      <c r="IU95" s="18"/>
      <c r="IV95" s="18"/>
      <c r="IW95" s="18"/>
      <c r="IX95" s="18"/>
      <c r="IY95" s="18"/>
      <c r="IZ95" s="18"/>
      <c r="JA95" s="18"/>
      <c r="JB95" s="18"/>
      <c r="JC95" s="18"/>
      <c r="JD95" s="18"/>
      <c r="JE95" s="18"/>
      <c r="JF95" s="18"/>
      <c r="JG95" s="18"/>
      <c r="JH95" s="18"/>
      <c r="JI95" s="18"/>
      <c r="JJ95" s="18"/>
      <c r="JK95" s="18"/>
      <c r="JL95" s="18"/>
      <c r="JM95" s="18"/>
      <c r="JN95" s="18"/>
      <c r="JO95" s="18"/>
      <c r="JP95" s="18"/>
      <c r="JQ95" s="18"/>
      <c r="JR95" s="18"/>
      <c r="JS95" s="18"/>
      <c r="JT95" s="18"/>
      <c r="JU95" s="18"/>
      <c r="JV95" s="18"/>
      <c r="JW95" s="18"/>
      <c r="JX95" s="18"/>
      <c r="JY95" s="18"/>
      <c r="JZ95" s="18"/>
      <c r="KA95" s="18"/>
      <c r="KB95" s="18"/>
      <c r="KC95" s="18"/>
      <c r="KD95" s="18"/>
      <c r="KE95" s="18"/>
      <c r="KF95" s="18"/>
      <c r="KG95" s="18"/>
      <c r="KH95" s="18"/>
      <c r="KI95" s="18"/>
      <c r="KJ95" s="18"/>
      <c r="KK95" s="18"/>
      <c r="KL95" s="18"/>
      <c r="KM95" s="18"/>
      <c r="KN95" s="18"/>
      <c r="KO95" s="18"/>
      <c r="KP95" s="18"/>
      <c r="KQ95" s="18"/>
      <c r="KR95" s="18"/>
      <c r="KS95" s="18"/>
      <c r="KT95" s="18"/>
      <c r="KU95" s="18"/>
      <c r="KV95" s="18"/>
      <c r="KW95" s="18"/>
      <c r="KX95" s="18"/>
      <c r="KY95" s="18"/>
      <c r="KZ95" s="18"/>
      <c r="LA95" s="18"/>
      <c r="LB95" s="18"/>
      <c r="LC95" s="18"/>
      <c r="LD95" s="18"/>
      <c r="LE95" s="18"/>
      <c r="LF95" s="18"/>
      <c r="LG95" s="18"/>
      <c r="LH95" s="18"/>
      <c r="LI95" s="18"/>
      <c r="LJ95" s="18"/>
      <c r="LK95" s="18"/>
      <c r="LL95" s="18"/>
      <c r="LM95" s="18"/>
      <c r="LN95" s="18"/>
      <c r="LO95" s="18"/>
      <c r="LP95" s="18"/>
      <c r="LQ95" s="18"/>
      <c r="LR95" s="18"/>
      <c r="LS95" s="18"/>
      <c r="LT95" s="18"/>
      <c r="LU95" s="18"/>
      <c r="LV95" s="18"/>
      <c r="LW95" s="18"/>
      <c r="LX95" s="18"/>
      <c r="LY95" s="18"/>
      <c r="LZ95" s="18"/>
      <c r="MA95" s="18"/>
      <c r="MB95" s="18"/>
      <c r="MC95" s="18"/>
      <c r="MD95" s="18"/>
      <c r="ME95" s="18"/>
      <c r="MF95" s="18"/>
      <c r="MG95" s="18"/>
      <c r="MH95" s="18"/>
      <c r="MI95" s="18"/>
      <c r="MJ95" s="18"/>
      <c r="MK95" s="18"/>
      <c r="ML95" s="18"/>
      <c r="MM95" s="18"/>
      <c r="MN95" s="18"/>
      <c r="MO95" s="18"/>
      <c r="MP95" s="18"/>
      <c r="MQ95" s="18"/>
      <c r="MR95" s="18"/>
      <c r="MS95" s="18"/>
      <c r="MT95" s="18"/>
      <c r="MU95" s="18"/>
      <c r="MV95" s="18"/>
      <c r="MW95" s="18"/>
      <c r="MX95" s="18"/>
      <c r="MY95" s="18"/>
      <c r="MZ95" s="18"/>
      <c r="NA95" s="18"/>
      <c r="NB95" s="18"/>
      <c r="NC95" s="18"/>
      <c r="ND95" s="18"/>
      <c r="NE95" s="18"/>
      <c r="NF95" s="18"/>
      <c r="NG95" s="18"/>
      <c r="NH95" s="18"/>
      <c r="NI95" s="18"/>
      <c r="NJ95" s="18"/>
      <c r="NK95" s="18"/>
      <c r="NL95" s="18"/>
      <c r="NM95" s="18"/>
      <c r="NN95" s="18"/>
      <c r="NO95" s="18"/>
      <c r="NP95" s="18"/>
      <c r="NQ95" s="18"/>
      <c r="NR95" s="18"/>
      <c r="NS95" s="18"/>
      <c r="NT95" s="18"/>
      <c r="NU95" s="18"/>
      <c r="NV95" s="18"/>
      <c r="NW95" s="18"/>
      <c r="NX95" s="18"/>
      <c r="NY95" s="18"/>
      <c r="NZ95" s="18"/>
      <c r="OA95" s="18"/>
      <c r="OB95" s="18"/>
      <c r="OC95" s="18"/>
      <c r="OD95" s="18"/>
      <c r="OE95" s="18"/>
      <c r="OF95" s="18"/>
      <c r="OG95" s="18"/>
      <c r="OH95" s="18"/>
      <c r="OI95" s="18"/>
      <c r="OJ95" s="18"/>
      <c r="OK95" s="18"/>
      <c r="OL95" s="18"/>
      <c r="OM95" s="18"/>
      <c r="ON95" s="18"/>
      <c r="OO95" s="18"/>
      <c r="OP95" s="18"/>
      <c r="OQ95" s="18"/>
      <c r="OR95" s="18"/>
      <c r="OS95" s="18"/>
      <c r="OT95" s="18"/>
      <c r="OU95" s="18"/>
      <c r="OV95" s="18"/>
      <c r="OW95" s="18"/>
      <c r="OX95" s="18"/>
      <c r="OY95" s="18"/>
      <c r="OZ95" s="18"/>
      <c r="PA95" s="18"/>
      <c r="PB95" s="18"/>
      <c r="PC95" s="18"/>
      <c r="PD95" s="18"/>
      <c r="PE95" s="18"/>
      <c r="PF95" s="18"/>
      <c r="PG95" s="18"/>
      <c r="PH95" s="18"/>
      <c r="PI95" s="18"/>
      <c r="PJ95" s="18"/>
      <c r="PK95" s="18"/>
      <c r="PL95" s="18"/>
      <c r="PM95" s="18"/>
      <c r="PN95" s="18"/>
      <c r="PO95" s="18"/>
      <c r="PP95" s="18"/>
      <c r="PQ95" s="18"/>
      <c r="PR95" s="18"/>
      <c r="PS95" s="18"/>
      <c r="PT95" s="18"/>
      <c r="PU95" s="18"/>
      <c r="PV95" s="18"/>
      <c r="PW95" s="18"/>
      <c r="PX95" s="18"/>
      <c r="PY95" s="18"/>
      <c r="PZ95" s="18"/>
      <c r="QA95" s="18"/>
      <c r="QB95" s="18"/>
      <c r="QC95" s="18"/>
      <c r="QD95" s="18"/>
      <c r="QE95" s="18"/>
      <c r="QF95" s="18"/>
      <c r="QG95" s="18"/>
      <c r="QH95" s="18"/>
      <c r="QI95" s="18"/>
      <c r="QJ95" s="18"/>
      <c r="QK95" s="18"/>
      <c r="QL95" s="18"/>
      <c r="QM95" s="18"/>
      <c r="QN95" s="18"/>
      <c r="QO95" s="18"/>
      <c r="QP95" s="18"/>
      <c r="QQ95" s="18"/>
      <c r="QR95" s="18"/>
      <c r="QS95" s="18"/>
      <c r="QT95" s="18"/>
      <c r="QU95" s="18"/>
      <c r="QV95" s="18"/>
      <c r="QW95" s="18"/>
      <c r="QX95" s="18"/>
      <c r="QY95" s="18"/>
      <c r="QZ95" s="18"/>
      <c r="RA95" s="18"/>
      <c r="RB95" s="18"/>
      <c r="RC95" s="18"/>
      <c r="RD95" s="18"/>
      <c r="RE95" s="18"/>
      <c r="RF95" s="18"/>
      <c r="RG95" s="18"/>
      <c r="RH95" s="18"/>
      <c r="RI95" s="18"/>
      <c r="RJ95" s="18"/>
      <c r="RK95" s="18"/>
      <c r="RL95" s="18"/>
      <c r="RM95" s="18"/>
      <c r="RN95" s="18"/>
      <c r="RO95" s="18"/>
      <c r="RP95" s="18"/>
      <c r="RQ95" s="18"/>
      <c r="RR95" s="18"/>
      <c r="RS95" s="18"/>
      <c r="RT95" s="18"/>
      <c r="RU95" s="18"/>
      <c r="RV95" s="18"/>
      <c r="RW95" s="18"/>
      <c r="RX95" s="18"/>
      <c r="RY95" s="18"/>
      <c r="RZ95" s="18"/>
      <c r="SA95" s="18"/>
      <c r="SB95" s="18"/>
      <c r="SC95" s="18"/>
      <c r="SD95" s="18"/>
      <c r="SE95" s="18"/>
      <c r="SF95" s="18"/>
      <c r="SG95" s="18"/>
      <c r="SH95" s="18"/>
      <c r="SI95" s="18"/>
      <c r="SJ95" s="18"/>
      <c r="SK95" s="18"/>
      <c r="SL95" s="18"/>
      <c r="SM95" s="18"/>
      <c r="SN95" s="18"/>
      <c r="SO95" s="18"/>
      <c r="SP95" s="18"/>
      <c r="SQ95" s="18"/>
      <c r="SR95" s="18"/>
      <c r="SS95" s="18"/>
      <c r="ST95" s="18"/>
      <c r="SU95" s="18"/>
      <c r="SV95" s="18"/>
      <c r="SW95" s="18"/>
      <c r="SX95" s="18"/>
      <c r="SY95" s="18"/>
      <c r="SZ95" s="18"/>
      <c r="TA95" s="18"/>
      <c r="TB95" s="18"/>
      <c r="TC95" s="18"/>
      <c r="TD95" s="18"/>
      <c r="TE95" s="18"/>
      <c r="TF95" s="18"/>
      <c r="TG95" s="18"/>
      <c r="TH95" s="18"/>
      <c r="TI95" s="18"/>
      <c r="TJ95" s="18"/>
      <c r="TK95" s="18"/>
      <c r="TL95" s="18"/>
      <c r="TM95" s="18"/>
      <c r="TN95" s="18"/>
      <c r="TO95" s="18"/>
      <c r="TP95" s="18"/>
      <c r="TQ95" s="18"/>
      <c r="TR95" s="18"/>
      <c r="TS95" s="18"/>
      <c r="TT95" s="18"/>
      <c r="TU95" s="18"/>
      <c r="TV95" s="18"/>
      <c r="TW95" s="18"/>
      <c r="TX95" s="18"/>
      <c r="TY95" s="18"/>
      <c r="TZ95" s="18"/>
      <c r="UA95" s="18"/>
      <c r="UB95" s="18"/>
      <c r="UC95" s="18"/>
      <c r="UD95" s="18"/>
      <c r="UE95" s="18"/>
      <c r="UF95" s="18"/>
      <c r="UG95" s="18"/>
      <c r="UH95" s="18"/>
      <c r="UI95" s="18"/>
      <c r="UJ95" s="18"/>
      <c r="UK95" s="18"/>
      <c r="UL95" s="18"/>
      <c r="UM95" s="18"/>
      <c r="UN95" s="18"/>
      <c r="UO95" s="18"/>
      <c r="UP95" s="18"/>
      <c r="UQ95" s="18"/>
      <c r="UR95" s="18"/>
      <c r="US95" s="18"/>
      <c r="UT95" s="18"/>
      <c r="UU95" s="18"/>
      <c r="UV95" s="18"/>
      <c r="UW95" s="18"/>
      <c r="UX95" s="18"/>
      <c r="UY95" s="18"/>
      <c r="UZ95" s="18"/>
      <c r="VA95" s="18"/>
      <c r="VB95" s="18"/>
      <c r="VC95" s="18"/>
      <c r="VD95" s="18"/>
      <c r="VE95" s="18"/>
      <c r="VF95" s="18"/>
      <c r="VG95" s="18"/>
      <c r="VH95" s="18"/>
      <c r="VI95" s="18"/>
      <c r="VJ95" s="18"/>
      <c r="VK95" s="18"/>
      <c r="VL95" s="18"/>
      <c r="VM95" s="18"/>
      <c r="VN95" s="18"/>
      <c r="VO95" s="18"/>
      <c r="VP95" s="18"/>
      <c r="VQ95" s="18"/>
      <c r="VR95" s="18"/>
      <c r="VS95" s="18"/>
      <c r="VT95" s="18"/>
      <c r="VU95" s="18"/>
      <c r="VV95" s="18"/>
      <c r="VW95" s="18"/>
      <c r="VX95" s="18"/>
      <c r="VY95" s="18"/>
      <c r="VZ95" s="18"/>
      <c r="WA95" s="18"/>
      <c r="WB95" s="18"/>
      <c r="WC95" s="18"/>
      <c r="WD95" s="18"/>
      <c r="WE95" s="18"/>
      <c r="WF95" s="18"/>
      <c r="WG95" s="18"/>
      <c r="WH95" s="18"/>
      <c r="WI95" s="18"/>
      <c r="WJ95" s="18"/>
      <c r="WK95" s="18"/>
      <c r="WL95" s="18"/>
      <c r="WM95" s="18"/>
      <c r="WN95" s="18"/>
      <c r="WO95" s="18"/>
      <c r="WP95" s="18"/>
      <c r="WQ95" s="18"/>
      <c r="WR95" s="18"/>
      <c r="WS95" s="18"/>
      <c r="WT95" s="18"/>
      <c r="WU95" s="18"/>
      <c r="WV95" s="18"/>
      <c r="WW95" s="18"/>
      <c r="WX95" s="18"/>
      <c r="WY95" s="18"/>
      <c r="WZ95" s="18"/>
      <c r="XA95" s="18"/>
      <c r="XB95" s="18"/>
      <c r="XC95" s="18"/>
      <c r="XD95" s="18"/>
      <c r="XE95" s="18"/>
      <c r="XF95" s="18"/>
      <c r="XG95" s="18"/>
      <c r="XH95" s="18"/>
      <c r="XI95" s="18"/>
      <c r="XJ95" s="18"/>
      <c r="XK95" s="18"/>
      <c r="XL95" s="18"/>
      <c r="XM95" s="18"/>
      <c r="XN95" s="18"/>
      <c r="XO95" s="18"/>
      <c r="XP95" s="18"/>
      <c r="XQ95" s="18"/>
      <c r="XR95" s="18"/>
      <c r="XS95" s="18"/>
      <c r="XT95" s="18"/>
      <c r="XU95" s="18"/>
      <c r="XV95" s="18"/>
      <c r="XW95" s="18"/>
      <c r="XX95" s="18"/>
      <c r="XY95" s="18"/>
      <c r="XZ95" s="18"/>
      <c r="YA95" s="18"/>
      <c r="YB95" s="18"/>
      <c r="YC95" s="18"/>
      <c r="YD95" s="18"/>
      <c r="YE95" s="18"/>
      <c r="YF95" s="18"/>
      <c r="YG95" s="18"/>
      <c r="YH95" s="18"/>
      <c r="YI95" s="18"/>
      <c r="YJ95" s="18"/>
      <c r="YK95" s="18"/>
      <c r="YL95" s="18"/>
      <c r="YM95" s="18"/>
      <c r="YN95" s="18"/>
      <c r="YO95" s="18"/>
      <c r="YP95" s="18"/>
      <c r="YQ95" s="18"/>
      <c r="YR95" s="18"/>
      <c r="YS95" s="18"/>
      <c r="YT95" s="18"/>
      <c r="YU95" s="18"/>
      <c r="YV95" s="18"/>
      <c r="YW95" s="18"/>
      <c r="YX95" s="18"/>
      <c r="YY95" s="18"/>
      <c r="YZ95" s="18"/>
      <c r="ZA95" s="18"/>
      <c r="ZB95" s="18"/>
      <c r="ZC95" s="18"/>
      <c r="ZD95" s="18"/>
      <c r="ZE95" s="18"/>
      <c r="ZF95" s="18"/>
      <c r="ZG95" s="18"/>
      <c r="ZH95" s="18"/>
      <c r="ZI95" s="18"/>
      <c r="ZJ95" s="18"/>
      <c r="ZK95" s="18"/>
      <c r="ZL95" s="18"/>
      <c r="ZM95" s="18"/>
      <c r="ZN95" s="18"/>
      <c r="ZO95" s="18"/>
      <c r="ZP95" s="18"/>
      <c r="ZQ95" s="18"/>
      <c r="ZR95" s="18"/>
      <c r="ZS95" s="18"/>
      <c r="ZT95" s="18"/>
      <c r="ZU95" s="18"/>
      <c r="ZV95" s="18"/>
      <c r="ZW95" s="18"/>
      <c r="ZX95" s="18"/>
      <c r="ZY95" s="18"/>
      <c r="ZZ95" s="18"/>
      <c r="AAA95" s="18"/>
      <c r="AAB95" s="18"/>
      <c r="AAC95" s="18"/>
      <c r="AAD95" s="18"/>
      <c r="AAE95" s="18"/>
      <c r="AAF95" s="18"/>
      <c r="AAG95" s="18"/>
      <c r="AAH95" s="18"/>
      <c r="AAI95" s="18"/>
      <c r="AAJ95" s="18"/>
      <c r="AAK95" s="18"/>
      <c r="AAL95" s="18"/>
      <c r="AAM95" s="18"/>
      <c r="AAN95" s="18"/>
      <c r="AAO95" s="18"/>
      <c r="AAP95" s="18"/>
      <c r="AAQ95" s="18"/>
      <c r="AAR95" s="18"/>
      <c r="AAS95" s="18"/>
      <c r="AAT95" s="18"/>
      <c r="AAU95" s="18"/>
      <c r="AAV95" s="18"/>
      <c r="AAW95" s="18"/>
      <c r="AAX95" s="18"/>
      <c r="AAY95" s="18"/>
      <c r="AAZ95" s="18"/>
      <c r="ABA95" s="18"/>
      <c r="ABB95" s="18"/>
      <c r="ABC95" s="18"/>
      <c r="ABD95" s="18"/>
      <c r="ABE95" s="18"/>
      <c r="ABF95" s="18"/>
      <c r="ABG95" s="18"/>
      <c r="ABH95" s="18"/>
      <c r="ABI95" s="18"/>
      <c r="ABJ95" s="18"/>
      <c r="ABK95" s="18"/>
      <c r="ABL95" s="18"/>
      <c r="ABM95" s="18"/>
      <c r="ABN95" s="18"/>
      <c r="ABO95" s="18"/>
      <c r="ABP95" s="18"/>
      <c r="ABQ95" s="18"/>
      <c r="ABR95" s="18"/>
      <c r="ABS95" s="18"/>
      <c r="ABT95" s="18"/>
      <c r="ABU95" s="18"/>
      <c r="ABV95" s="18"/>
      <c r="ABW95" s="18"/>
      <c r="ABX95" s="18"/>
      <c r="ABY95" s="18"/>
      <c r="ABZ95" s="18"/>
      <c r="ACA95" s="18"/>
      <c r="ACB95" s="18"/>
      <c r="ACC95" s="18"/>
      <c r="ACD95" s="18"/>
      <c r="ACE95" s="18"/>
      <c r="ACF95" s="18"/>
      <c r="ACG95" s="18"/>
      <c r="ACH95" s="18"/>
      <c r="ACI95" s="18"/>
      <c r="ACJ95" s="18"/>
      <c r="ACK95" s="18"/>
      <c r="ACL95" s="18"/>
      <c r="ACM95" s="18"/>
      <c r="ACN95" s="18"/>
      <c r="ACO95" s="18"/>
      <c r="ACP95" s="18"/>
      <c r="ACQ95" s="18"/>
      <c r="ACR95" s="18"/>
      <c r="ACS95" s="18"/>
      <c r="ACT95" s="18"/>
      <c r="ACU95" s="18"/>
      <c r="ACV95" s="18"/>
      <c r="ACW95" s="18"/>
      <c r="ACX95" s="18"/>
      <c r="ACY95" s="18"/>
      <c r="ACZ95" s="18"/>
      <c r="ADA95" s="18"/>
      <c r="ADB95" s="18"/>
      <c r="ADC95" s="18"/>
      <c r="ADD95" s="18"/>
      <c r="ADE95" s="18"/>
      <c r="ADF95" s="18"/>
      <c r="ADG95" s="18"/>
      <c r="ADH95" s="18"/>
      <c r="ADI95" s="18"/>
      <c r="ADJ95" s="18"/>
      <c r="ADK95" s="18"/>
      <c r="ADL95" s="18"/>
      <c r="ADM95" s="18"/>
      <c r="ADN95" s="18"/>
      <c r="ADO95" s="18"/>
      <c r="ADP95" s="18"/>
      <c r="ADQ95" s="18"/>
      <c r="ADR95" s="18"/>
      <c r="ADS95" s="18"/>
      <c r="ADT95" s="18"/>
      <c r="ADU95" s="18"/>
      <c r="ADV95" s="18"/>
      <c r="ADW95" s="18"/>
      <c r="ADX95" s="18"/>
      <c r="ADY95" s="18"/>
      <c r="ADZ95" s="18"/>
      <c r="AEA95" s="18"/>
      <c r="AEB95" s="18"/>
      <c r="AEC95" s="18"/>
      <c r="AED95" s="18"/>
      <c r="AEE95" s="18"/>
      <c r="AEF95" s="18"/>
      <c r="AEG95" s="18"/>
      <c r="AEH95" s="18"/>
      <c r="AEI95" s="18"/>
      <c r="AEJ95" s="18"/>
      <c r="AEK95" s="18"/>
      <c r="AEL95" s="18"/>
      <c r="AEM95" s="18"/>
      <c r="AEN95" s="18"/>
      <c r="AEO95" s="18"/>
      <c r="AEP95" s="18"/>
      <c r="AEQ95" s="18"/>
      <c r="AER95" s="18"/>
      <c r="AES95" s="18"/>
      <c r="AET95" s="18"/>
      <c r="AEU95" s="18"/>
      <c r="AEV95" s="18"/>
      <c r="AEW95" s="18"/>
      <c r="AEX95" s="18"/>
      <c r="AEY95" s="18"/>
      <c r="AEZ95" s="18"/>
      <c r="AFA95" s="18"/>
      <c r="AFB95" s="18"/>
      <c r="AFC95" s="18"/>
      <c r="AFD95" s="18"/>
      <c r="AFE95" s="18"/>
      <c r="AFF95" s="18"/>
      <c r="AFG95" s="18"/>
      <c r="AFH95" s="18"/>
      <c r="AFI95" s="18"/>
      <c r="AFJ95" s="18"/>
      <c r="AFK95" s="18"/>
      <c r="AFL95" s="18"/>
      <c r="AFM95" s="18"/>
      <c r="AFN95" s="18"/>
      <c r="AFO95" s="18"/>
      <c r="AFP95" s="18"/>
      <c r="AFQ95" s="18"/>
      <c r="AFR95" s="18"/>
      <c r="AFS95" s="18"/>
      <c r="AFT95" s="18"/>
      <c r="AFU95" s="18"/>
      <c r="AFV95" s="18"/>
      <c r="AFW95" s="18"/>
      <c r="AFX95" s="18"/>
      <c r="AFY95" s="18"/>
      <c r="AFZ95" s="18"/>
      <c r="AGA95" s="18"/>
      <c r="AGB95" s="18"/>
      <c r="AGC95" s="18"/>
      <c r="AGD95" s="18"/>
      <c r="AGE95" s="18"/>
      <c r="AGF95" s="18"/>
      <c r="AGG95" s="18"/>
      <c r="AGH95" s="18"/>
      <c r="AGI95" s="18"/>
      <c r="AGJ95" s="18"/>
      <c r="AGK95" s="18"/>
      <c r="AGL95" s="18"/>
      <c r="AGM95" s="18"/>
      <c r="AGN95" s="18"/>
      <c r="AGO95" s="18"/>
      <c r="AGP95" s="18"/>
      <c r="AGQ95" s="18"/>
      <c r="AGR95" s="18"/>
      <c r="AGS95" s="18"/>
      <c r="AGT95" s="18"/>
      <c r="AGU95" s="18"/>
      <c r="AGV95" s="18"/>
      <c r="AGW95" s="18"/>
      <c r="AGX95" s="18"/>
      <c r="AGY95" s="18"/>
      <c r="AGZ95" s="18"/>
      <c r="AHA95" s="18"/>
      <c r="AHB95" s="18"/>
      <c r="AHC95" s="18"/>
      <c r="AHD95" s="18"/>
      <c r="AHE95" s="18"/>
      <c r="AHF95" s="18"/>
      <c r="AHG95" s="18"/>
      <c r="AHH95" s="18"/>
      <c r="AHI95" s="18"/>
      <c r="AHJ95" s="18"/>
      <c r="AHK95" s="18"/>
      <c r="AHL95" s="18"/>
      <c r="AHM95" s="18"/>
      <c r="AHN95" s="18"/>
      <c r="AHO95" s="18"/>
      <c r="AHP95" s="18"/>
      <c r="AHQ95" s="18"/>
      <c r="AHR95" s="18"/>
      <c r="AHS95" s="18"/>
      <c r="AHT95" s="18"/>
      <c r="AHU95" s="18"/>
      <c r="AHV95" s="18"/>
      <c r="AHW95" s="18"/>
      <c r="AHX95" s="18"/>
      <c r="AHY95" s="18"/>
      <c r="AHZ95" s="18"/>
      <c r="AIA95" s="18"/>
      <c r="AIB95" s="18"/>
      <c r="AIC95" s="18"/>
      <c r="AID95" s="18"/>
      <c r="AIE95" s="18"/>
      <c r="AIF95" s="18"/>
      <c r="AIG95" s="18"/>
      <c r="AIH95" s="18"/>
      <c r="AII95" s="18"/>
      <c r="AIJ95" s="18"/>
      <c r="AIK95" s="18"/>
      <c r="AIL95" s="18"/>
      <c r="AIM95" s="18"/>
      <c r="AIN95" s="18"/>
      <c r="AIO95" s="18"/>
      <c r="AIP95" s="18"/>
      <c r="AIQ95" s="18"/>
      <c r="AIR95" s="18"/>
      <c r="AIS95" s="18"/>
      <c r="AIT95" s="18"/>
      <c r="AIU95" s="18"/>
      <c r="AIV95" s="18"/>
      <c r="AIW95" s="18"/>
      <c r="AIX95" s="18"/>
      <c r="AIY95" s="18"/>
      <c r="AIZ95" s="18"/>
      <c r="AJA95" s="18"/>
      <c r="AJB95" s="18"/>
      <c r="AJC95" s="18"/>
      <c r="AJD95" s="18"/>
      <c r="AJE95" s="18"/>
      <c r="AJF95" s="18"/>
      <c r="AJG95" s="18"/>
      <c r="AJH95" s="18"/>
      <c r="AJI95" s="18"/>
      <c r="AJJ95" s="18"/>
      <c r="AJK95" s="18"/>
      <c r="AJL95" s="18"/>
      <c r="AJM95" s="18"/>
      <c r="AJN95" s="18"/>
      <c r="AJO95" s="18"/>
      <c r="AJP95" s="18"/>
      <c r="AJQ95" s="18"/>
      <c r="AJR95" s="18"/>
      <c r="AJS95" s="18"/>
      <c r="AJT95" s="18"/>
      <c r="AJU95" s="18"/>
      <c r="AJV95" s="18"/>
      <c r="AJW95" s="18"/>
      <c r="AJX95" s="18"/>
      <c r="AJY95" s="18"/>
      <c r="AJZ95" s="18"/>
      <c r="AKA95" s="18"/>
      <c r="AKB95" s="18"/>
      <c r="AKC95" s="18"/>
      <c r="AKD95" s="18"/>
      <c r="AKE95" s="18"/>
      <c r="AKF95" s="18"/>
      <c r="AKG95" s="18"/>
      <c r="AKH95" s="18"/>
      <c r="AKI95" s="18"/>
      <c r="AKJ95" s="18"/>
      <c r="AKK95" s="18"/>
      <c r="AKL95" s="18"/>
      <c r="AKM95" s="18"/>
      <c r="AKN95" s="18"/>
      <c r="AKO95" s="18"/>
      <c r="AKP95" s="18"/>
      <c r="AKQ95" s="18"/>
      <c r="AKR95" s="18"/>
      <c r="AKS95" s="18"/>
      <c r="AKT95" s="18"/>
      <c r="AKU95" s="18"/>
      <c r="AKV95" s="18"/>
      <c r="AKW95" s="18"/>
      <c r="AKX95" s="18"/>
      <c r="AKY95" s="18"/>
      <c r="AKZ95" s="18"/>
      <c r="ALA95" s="18"/>
      <c r="ALB95" s="18"/>
      <c r="ALC95" s="18"/>
      <c r="ALD95" s="18"/>
      <c r="ALE95" s="18"/>
      <c r="ALF95" s="18"/>
      <c r="ALG95" s="18"/>
      <c r="ALH95" s="18"/>
      <c r="ALI95" s="18"/>
      <c r="ALJ95" s="18"/>
      <c r="ALK95" s="18"/>
      <c r="ALL95" s="18"/>
      <c r="ALM95" s="18"/>
      <c r="ALN95" s="18"/>
      <c r="ALO95" s="18"/>
      <c r="ALP95" s="18"/>
      <c r="ALQ95" s="18"/>
      <c r="ALR95" s="18"/>
      <c r="ALS95" s="18"/>
      <c r="ALT95" s="18"/>
    </row>
    <row r="96" spans="1:1008" ht="24">
      <c r="A96" s="251" t="s">
        <v>7</v>
      </c>
      <c r="B96" s="290">
        <v>96135</v>
      </c>
      <c r="C96" s="278" t="str">
        <f>(IF($A96="SINAPI",INDEX(SINAPI_NOV2020_NDES!$A$7:$H$6703,MATCH($B96,SINAPI_NOV2020_NDES!$A$7:$A$6703,0),2),IF($A96="GOINFRA",INDEX(#REF!,MATCH($B96,#REF!,0),2),(INDEX(COMPOS!$A$4:$G$390,MATCH($B96,COMPOS!$A$4:A$390,0),2)))))</f>
        <v>APLICAÇÃO MANUAL DE MASSA ACRÍLICA EM PAREDES EXTERNAS DE CASAS, DUAS DEMÃOS. AF_05/2017</v>
      </c>
      <c r="D96" s="274" t="str">
        <f>(IF($A96="SINAPI",INDEX(SINAPI_NOV2020_NDES!$A$7:$H$6790,MATCH($B96,SINAPI_NOV2020_NDES!$A$7:$A$6790,0),3),(INDEX(COMPOS!$A$4:$G$5000,MATCH($B96,COMPOS!$A$4:$A$5000,0),3))))</f>
        <v>M2</v>
      </c>
      <c r="E96" s="314">
        <v>9.81</v>
      </c>
      <c r="F96" s="279">
        <f>(IF($A96="SINAPI",INDEX(SINAPI_NOV2020_NDES!$A$7:$H$6703,MATCH($B96,SINAPI_NOV2020_NDES!$A$7:$A$6703,0),5),(INDEX(COMPOS!$A$4:$G$801,MATCH($B96,COMPOS!$A$4:A$801,0),4))))</f>
        <v>11.29</v>
      </c>
      <c r="G96" s="280">
        <f>(IF($A96="SINAPI",INDEX(SINAPI_NOV2020_NDES!$A$7:$H$6703,MATCH($B96,SINAPI_NOV2020_NDES!$A$7:$A$6703,0),6),(INDEX(COMPOS!$A$4:$G$801,MATCH($B96,COMPOS!$A$4:A$801,0),5))))</f>
        <v>8.84</v>
      </c>
      <c r="H96" s="280">
        <f>(IF($A96="SINAPI",INDEX(SINAPI_NOV2020_NDES!$A$7:$H$6703,MATCH($B96,SINAPI_NOV2020_NDES!$A$7:$A$6703,0),7),(INDEX(COMPOS!$A$4:$G$801,MATCH($B96,COMPOS!$A$4:A$801,0),6))))</f>
        <v>0</v>
      </c>
      <c r="I96" s="279">
        <f t="shared" ref="I96:I101" si="40">SUM(F96:H96)</f>
        <v>20.13</v>
      </c>
      <c r="J96" s="276">
        <f t="shared" ref="J96:J101" si="41">+I96*E96</f>
        <v>197.4753</v>
      </c>
      <c r="K96" s="191"/>
      <c r="L96" s="191"/>
      <c r="M96" s="191"/>
      <c r="N96" s="191"/>
      <c r="O96" s="262"/>
      <c r="P96" s="263"/>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c r="IP96" s="18"/>
      <c r="IQ96" s="18"/>
      <c r="IR96" s="18"/>
      <c r="IS96" s="18"/>
      <c r="IT96" s="18"/>
      <c r="IU96" s="18"/>
      <c r="IV96" s="18"/>
      <c r="IW96" s="18"/>
      <c r="IX96" s="18"/>
      <c r="IY96" s="18"/>
      <c r="IZ96" s="18"/>
      <c r="JA96" s="18"/>
      <c r="JB96" s="18"/>
      <c r="JC96" s="18"/>
      <c r="JD96" s="18"/>
      <c r="JE96" s="18"/>
      <c r="JF96" s="18"/>
      <c r="JG96" s="18"/>
      <c r="JH96" s="18"/>
      <c r="JI96" s="18"/>
      <c r="JJ96" s="18"/>
      <c r="JK96" s="18"/>
      <c r="JL96" s="18"/>
      <c r="JM96" s="18"/>
      <c r="JN96" s="18"/>
      <c r="JO96" s="18"/>
      <c r="JP96" s="18"/>
      <c r="JQ96" s="18"/>
      <c r="JR96" s="18"/>
      <c r="JS96" s="18"/>
      <c r="JT96" s="18"/>
      <c r="JU96" s="18"/>
      <c r="JV96" s="18"/>
      <c r="JW96" s="18"/>
      <c r="JX96" s="18"/>
      <c r="JY96" s="18"/>
      <c r="JZ96" s="18"/>
      <c r="KA96" s="18"/>
      <c r="KB96" s="18"/>
      <c r="KC96" s="18"/>
      <c r="KD96" s="18"/>
      <c r="KE96" s="18"/>
      <c r="KF96" s="18"/>
      <c r="KG96" s="18"/>
      <c r="KH96" s="18"/>
      <c r="KI96" s="18"/>
      <c r="KJ96" s="18"/>
      <c r="KK96" s="18"/>
      <c r="KL96" s="18"/>
      <c r="KM96" s="18"/>
      <c r="KN96" s="18"/>
      <c r="KO96" s="18"/>
      <c r="KP96" s="18"/>
      <c r="KQ96" s="18"/>
      <c r="KR96" s="18"/>
      <c r="KS96" s="18"/>
      <c r="KT96" s="18"/>
      <c r="KU96" s="18"/>
      <c r="KV96" s="18"/>
      <c r="KW96" s="18"/>
      <c r="KX96" s="18"/>
      <c r="KY96" s="18"/>
      <c r="KZ96" s="18"/>
      <c r="LA96" s="18"/>
      <c r="LB96" s="18"/>
      <c r="LC96" s="18"/>
      <c r="LD96" s="18"/>
      <c r="LE96" s="18"/>
      <c r="LF96" s="18"/>
      <c r="LG96" s="18"/>
      <c r="LH96" s="18"/>
      <c r="LI96" s="18"/>
      <c r="LJ96" s="18"/>
      <c r="LK96" s="18"/>
      <c r="LL96" s="18"/>
      <c r="LM96" s="18"/>
      <c r="LN96" s="18"/>
      <c r="LO96" s="18"/>
      <c r="LP96" s="18"/>
      <c r="LQ96" s="18"/>
      <c r="LR96" s="18"/>
      <c r="LS96" s="18"/>
      <c r="LT96" s="18"/>
      <c r="LU96" s="18"/>
      <c r="LV96" s="18"/>
      <c r="LW96" s="18"/>
      <c r="LX96" s="18"/>
      <c r="LY96" s="18"/>
      <c r="LZ96" s="18"/>
      <c r="MA96" s="18"/>
      <c r="MB96" s="18"/>
      <c r="MC96" s="18"/>
      <c r="MD96" s="18"/>
      <c r="ME96" s="18"/>
      <c r="MF96" s="18"/>
      <c r="MG96" s="18"/>
      <c r="MH96" s="18"/>
      <c r="MI96" s="18"/>
      <c r="MJ96" s="18"/>
      <c r="MK96" s="18"/>
      <c r="ML96" s="18"/>
      <c r="MM96" s="18"/>
      <c r="MN96" s="18"/>
      <c r="MO96" s="18"/>
      <c r="MP96" s="18"/>
      <c r="MQ96" s="18"/>
      <c r="MR96" s="18"/>
      <c r="MS96" s="18"/>
      <c r="MT96" s="18"/>
      <c r="MU96" s="18"/>
      <c r="MV96" s="18"/>
      <c r="MW96" s="18"/>
      <c r="MX96" s="18"/>
      <c r="MY96" s="18"/>
      <c r="MZ96" s="18"/>
      <c r="NA96" s="18"/>
      <c r="NB96" s="18"/>
      <c r="NC96" s="18"/>
      <c r="ND96" s="18"/>
      <c r="NE96" s="18"/>
      <c r="NF96" s="18"/>
      <c r="NG96" s="18"/>
      <c r="NH96" s="18"/>
      <c r="NI96" s="18"/>
      <c r="NJ96" s="18"/>
      <c r="NK96" s="18"/>
      <c r="NL96" s="18"/>
      <c r="NM96" s="18"/>
      <c r="NN96" s="18"/>
      <c r="NO96" s="18"/>
      <c r="NP96" s="18"/>
      <c r="NQ96" s="18"/>
      <c r="NR96" s="18"/>
      <c r="NS96" s="18"/>
      <c r="NT96" s="18"/>
      <c r="NU96" s="18"/>
      <c r="NV96" s="18"/>
      <c r="NW96" s="18"/>
      <c r="NX96" s="18"/>
      <c r="NY96" s="18"/>
      <c r="NZ96" s="18"/>
      <c r="OA96" s="18"/>
      <c r="OB96" s="18"/>
      <c r="OC96" s="18"/>
      <c r="OD96" s="18"/>
      <c r="OE96" s="18"/>
      <c r="OF96" s="18"/>
      <c r="OG96" s="18"/>
      <c r="OH96" s="18"/>
      <c r="OI96" s="18"/>
      <c r="OJ96" s="18"/>
      <c r="OK96" s="18"/>
      <c r="OL96" s="18"/>
      <c r="OM96" s="18"/>
      <c r="ON96" s="18"/>
      <c r="OO96" s="18"/>
      <c r="OP96" s="18"/>
      <c r="OQ96" s="18"/>
      <c r="OR96" s="18"/>
      <c r="OS96" s="18"/>
      <c r="OT96" s="18"/>
      <c r="OU96" s="18"/>
      <c r="OV96" s="18"/>
      <c r="OW96" s="18"/>
      <c r="OX96" s="18"/>
      <c r="OY96" s="18"/>
      <c r="OZ96" s="18"/>
      <c r="PA96" s="18"/>
      <c r="PB96" s="18"/>
      <c r="PC96" s="18"/>
      <c r="PD96" s="18"/>
      <c r="PE96" s="18"/>
      <c r="PF96" s="18"/>
      <c r="PG96" s="18"/>
      <c r="PH96" s="18"/>
      <c r="PI96" s="18"/>
      <c r="PJ96" s="18"/>
      <c r="PK96" s="18"/>
      <c r="PL96" s="18"/>
      <c r="PM96" s="18"/>
      <c r="PN96" s="18"/>
      <c r="PO96" s="18"/>
      <c r="PP96" s="18"/>
      <c r="PQ96" s="18"/>
      <c r="PR96" s="18"/>
      <c r="PS96" s="18"/>
      <c r="PT96" s="18"/>
      <c r="PU96" s="18"/>
      <c r="PV96" s="18"/>
      <c r="PW96" s="18"/>
      <c r="PX96" s="18"/>
      <c r="PY96" s="18"/>
      <c r="PZ96" s="18"/>
      <c r="QA96" s="18"/>
      <c r="QB96" s="18"/>
      <c r="QC96" s="18"/>
      <c r="QD96" s="18"/>
      <c r="QE96" s="18"/>
      <c r="QF96" s="18"/>
      <c r="QG96" s="18"/>
      <c r="QH96" s="18"/>
      <c r="QI96" s="18"/>
      <c r="QJ96" s="18"/>
      <c r="QK96" s="18"/>
      <c r="QL96" s="18"/>
      <c r="QM96" s="18"/>
      <c r="QN96" s="18"/>
      <c r="QO96" s="18"/>
      <c r="QP96" s="18"/>
      <c r="QQ96" s="18"/>
      <c r="QR96" s="18"/>
      <c r="QS96" s="18"/>
      <c r="QT96" s="18"/>
      <c r="QU96" s="18"/>
      <c r="QV96" s="18"/>
      <c r="QW96" s="18"/>
      <c r="QX96" s="18"/>
      <c r="QY96" s="18"/>
      <c r="QZ96" s="18"/>
      <c r="RA96" s="18"/>
      <c r="RB96" s="18"/>
      <c r="RC96" s="18"/>
      <c r="RD96" s="18"/>
      <c r="RE96" s="18"/>
      <c r="RF96" s="18"/>
      <c r="RG96" s="18"/>
      <c r="RH96" s="18"/>
      <c r="RI96" s="18"/>
      <c r="RJ96" s="18"/>
      <c r="RK96" s="18"/>
      <c r="RL96" s="18"/>
      <c r="RM96" s="18"/>
      <c r="RN96" s="18"/>
      <c r="RO96" s="18"/>
      <c r="RP96" s="18"/>
      <c r="RQ96" s="18"/>
      <c r="RR96" s="18"/>
      <c r="RS96" s="18"/>
      <c r="RT96" s="18"/>
      <c r="RU96" s="18"/>
      <c r="RV96" s="18"/>
      <c r="RW96" s="18"/>
      <c r="RX96" s="18"/>
      <c r="RY96" s="18"/>
      <c r="RZ96" s="18"/>
      <c r="SA96" s="18"/>
      <c r="SB96" s="18"/>
      <c r="SC96" s="18"/>
      <c r="SD96" s="18"/>
      <c r="SE96" s="18"/>
      <c r="SF96" s="18"/>
      <c r="SG96" s="18"/>
      <c r="SH96" s="18"/>
      <c r="SI96" s="18"/>
      <c r="SJ96" s="18"/>
      <c r="SK96" s="18"/>
      <c r="SL96" s="18"/>
      <c r="SM96" s="18"/>
      <c r="SN96" s="18"/>
      <c r="SO96" s="18"/>
      <c r="SP96" s="18"/>
      <c r="SQ96" s="18"/>
      <c r="SR96" s="18"/>
      <c r="SS96" s="18"/>
      <c r="ST96" s="18"/>
      <c r="SU96" s="18"/>
      <c r="SV96" s="18"/>
      <c r="SW96" s="18"/>
      <c r="SX96" s="18"/>
      <c r="SY96" s="18"/>
      <c r="SZ96" s="18"/>
      <c r="TA96" s="18"/>
      <c r="TB96" s="18"/>
      <c r="TC96" s="18"/>
      <c r="TD96" s="18"/>
      <c r="TE96" s="18"/>
      <c r="TF96" s="18"/>
      <c r="TG96" s="18"/>
      <c r="TH96" s="18"/>
      <c r="TI96" s="18"/>
      <c r="TJ96" s="18"/>
      <c r="TK96" s="18"/>
      <c r="TL96" s="18"/>
      <c r="TM96" s="18"/>
      <c r="TN96" s="18"/>
      <c r="TO96" s="18"/>
      <c r="TP96" s="18"/>
      <c r="TQ96" s="18"/>
      <c r="TR96" s="18"/>
      <c r="TS96" s="18"/>
      <c r="TT96" s="18"/>
      <c r="TU96" s="18"/>
      <c r="TV96" s="18"/>
      <c r="TW96" s="18"/>
      <c r="TX96" s="18"/>
      <c r="TY96" s="18"/>
      <c r="TZ96" s="18"/>
      <c r="UA96" s="18"/>
      <c r="UB96" s="18"/>
      <c r="UC96" s="18"/>
      <c r="UD96" s="18"/>
      <c r="UE96" s="18"/>
      <c r="UF96" s="18"/>
      <c r="UG96" s="18"/>
      <c r="UH96" s="18"/>
      <c r="UI96" s="18"/>
      <c r="UJ96" s="18"/>
      <c r="UK96" s="18"/>
      <c r="UL96" s="18"/>
      <c r="UM96" s="18"/>
      <c r="UN96" s="18"/>
      <c r="UO96" s="18"/>
      <c r="UP96" s="18"/>
      <c r="UQ96" s="18"/>
      <c r="UR96" s="18"/>
      <c r="US96" s="18"/>
      <c r="UT96" s="18"/>
      <c r="UU96" s="18"/>
      <c r="UV96" s="18"/>
      <c r="UW96" s="18"/>
      <c r="UX96" s="18"/>
      <c r="UY96" s="18"/>
      <c r="UZ96" s="18"/>
      <c r="VA96" s="18"/>
      <c r="VB96" s="18"/>
      <c r="VC96" s="18"/>
      <c r="VD96" s="18"/>
      <c r="VE96" s="18"/>
      <c r="VF96" s="18"/>
      <c r="VG96" s="18"/>
      <c r="VH96" s="18"/>
      <c r="VI96" s="18"/>
      <c r="VJ96" s="18"/>
      <c r="VK96" s="18"/>
      <c r="VL96" s="18"/>
      <c r="VM96" s="18"/>
      <c r="VN96" s="18"/>
      <c r="VO96" s="18"/>
      <c r="VP96" s="18"/>
      <c r="VQ96" s="18"/>
      <c r="VR96" s="18"/>
      <c r="VS96" s="18"/>
      <c r="VT96" s="18"/>
      <c r="VU96" s="18"/>
      <c r="VV96" s="18"/>
      <c r="VW96" s="18"/>
      <c r="VX96" s="18"/>
      <c r="VY96" s="18"/>
      <c r="VZ96" s="18"/>
      <c r="WA96" s="18"/>
      <c r="WB96" s="18"/>
      <c r="WC96" s="18"/>
      <c r="WD96" s="18"/>
      <c r="WE96" s="18"/>
      <c r="WF96" s="18"/>
      <c r="WG96" s="18"/>
      <c r="WH96" s="18"/>
      <c r="WI96" s="18"/>
      <c r="WJ96" s="18"/>
      <c r="WK96" s="18"/>
      <c r="WL96" s="18"/>
      <c r="WM96" s="18"/>
      <c r="WN96" s="18"/>
      <c r="WO96" s="18"/>
      <c r="WP96" s="18"/>
      <c r="WQ96" s="18"/>
      <c r="WR96" s="18"/>
      <c r="WS96" s="18"/>
      <c r="WT96" s="18"/>
      <c r="WU96" s="18"/>
      <c r="WV96" s="18"/>
      <c r="WW96" s="18"/>
      <c r="WX96" s="18"/>
      <c r="WY96" s="18"/>
      <c r="WZ96" s="18"/>
      <c r="XA96" s="18"/>
      <c r="XB96" s="18"/>
      <c r="XC96" s="18"/>
      <c r="XD96" s="18"/>
      <c r="XE96" s="18"/>
      <c r="XF96" s="18"/>
      <c r="XG96" s="18"/>
      <c r="XH96" s="18"/>
      <c r="XI96" s="18"/>
      <c r="XJ96" s="18"/>
      <c r="XK96" s="18"/>
      <c r="XL96" s="18"/>
      <c r="XM96" s="18"/>
      <c r="XN96" s="18"/>
      <c r="XO96" s="18"/>
      <c r="XP96" s="18"/>
      <c r="XQ96" s="18"/>
      <c r="XR96" s="18"/>
      <c r="XS96" s="18"/>
      <c r="XT96" s="18"/>
      <c r="XU96" s="18"/>
      <c r="XV96" s="18"/>
      <c r="XW96" s="18"/>
      <c r="XX96" s="18"/>
      <c r="XY96" s="18"/>
      <c r="XZ96" s="18"/>
      <c r="YA96" s="18"/>
      <c r="YB96" s="18"/>
      <c r="YC96" s="18"/>
      <c r="YD96" s="18"/>
      <c r="YE96" s="18"/>
      <c r="YF96" s="18"/>
      <c r="YG96" s="18"/>
      <c r="YH96" s="18"/>
      <c r="YI96" s="18"/>
      <c r="YJ96" s="18"/>
      <c r="YK96" s="18"/>
      <c r="YL96" s="18"/>
      <c r="YM96" s="18"/>
      <c r="YN96" s="18"/>
      <c r="YO96" s="18"/>
      <c r="YP96" s="18"/>
      <c r="YQ96" s="18"/>
      <c r="YR96" s="18"/>
      <c r="YS96" s="18"/>
      <c r="YT96" s="18"/>
      <c r="YU96" s="18"/>
      <c r="YV96" s="18"/>
      <c r="YW96" s="18"/>
      <c r="YX96" s="18"/>
      <c r="YY96" s="18"/>
      <c r="YZ96" s="18"/>
      <c r="ZA96" s="18"/>
      <c r="ZB96" s="18"/>
      <c r="ZC96" s="18"/>
      <c r="ZD96" s="18"/>
      <c r="ZE96" s="18"/>
      <c r="ZF96" s="18"/>
      <c r="ZG96" s="18"/>
      <c r="ZH96" s="18"/>
      <c r="ZI96" s="18"/>
      <c r="ZJ96" s="18"/>
      <c r="ZK96" s="18"/>
      <c r="ZL96" s="18"/>
      <c r="ZM96" s="18"/>
      <c r="ZN96" s="18"/>
      <c r="ZO96" s="18"/>
      <c r="ZP96" s="18"/>
      <c r="ZQ96" s="18"/>
      <c r="ZR96" s="18"/>
      <c r="ZS96" s="18"/>
      <c r="ZT96" s="18"/>
      <c r="ZU96" s="18"/>
      <c r="ZV96" s="18"/>
      <c r="ZW96" s="18"/>
      <c r="ZX96" s="18"/>
      <c r="ZY96" s="18"/>
      <c r="ZZ96" s="18"/>
      <c r="AAA96" s="18"/>
      <c r="AAB96" s="18"/>
      <c r="AAC96" s="18"/>
      <c r="AAD96" s="18"/>
      <c r="AAE96" s="18"/>
      <c r="AAF96" s="18"/>
      <c r="AAG96" s="18"/>
      <c r="AAH96" s="18"/>
      <c r="AAI96" s="18"/>
      <c r="AAJ96" s="18"/>
      <c r="AAK96" s="18"/>
      <c r="AAL96" s="18"/>
      <c r="AAM96" s="18"/>
      <c r="AAN96" s="18"/>
      <c r="AAO96" s="18"/>
      <c r="AAP96" s="18"/>
      <c r="AAQ96" s="18"/>
      <c r="AAR96" s="18"/>
      <c r="AAS96" s="18"/>
      <c r="AAT96" s="18"/>
      <c r="AAU96" s="18"/>
      <c r="AAV96" s="18"/>
      <c r="AAW96" s="18"/>
      <c r="AAX96" s="18"/>
      <c r="AAY96" s="18"/>
      <c r="AAZ96" s="18"/>
      <c r="ABA96" s="18"/>
      <c r="ABB96" s="18"/>
      <c r="ABC96" s="18"/>
      <c r="ABD96" s="18"/>
      <c r="ABE96" s="18"/>
      <c r="ABF96" s="18"/>
      <c r="ABG96" s="18"/>
      <c r="ABH96" s="18"/>
      <c r="ABI96" s="18"/>
      <c r="ABJ96" s="18"/>
      <c r="ABK96" s="18"/>
      <c r="ABL96" s="18"/>
      <c r="ABM96" s="18"/>
      <c r="ABN96" s="18"/>
      <c r="ABO96" s="18"/>
      <c r="ABP96" s="18"/>
      <c r="ABQ96" s="18"/>
      <c r="ABR96" s="18"/>
      <c r="ABS96" s="18"/>
      <c r="ABT96" s="18"/>
      <c r="ABU96" s="18"/>
      <c r="ABV96" s="18"/>
      <c r="ABW96" s="18"/>
      <c r="ABX96" s="18"/>
      <c r="ABY96" s="18"/>
      <c r="ABZ96" s="18"/>
      <c r="ACA96" s="18"/>
      <c r="ACB96" s="18"/>
      <c r="ACC96" s="18"/>
      <c r="ACD96" s="18"/>
      <c r="ACE96" s="18"/>
      <c r="ACF96" s="18"/>
      <c r="ACG96" s="18"/>
      <c r="ACH96" s="18"/>
      <c r="ACI96" s="18"/>
      <c r="ACJ96" s="18"/>
      <c r="ACK96" s="18"/>
      <c r="ACL96" s="18"/>
      <c r="ACM96" s="18"/>
      <c r="ACN96" s="18"/>
      <c r="ACO96" s="18"/>
      <c r="ACP96" s="18"/>
      <c r="ACQ96" s="18"/>
      <c r="ACR96" s="18"/>
      <c r="ACS96" s="18"/>
      <c r="ACT96" s="18"/>
      <c r="ACU96" s="18"/>
      <c r="ACV96" s="18"/>
      <c r="ACW96" s="18"/>
      <c r="ACX96" s="18"/>
      <c r="ACY96" s="18"/>
      <c r="ACZ96" s="18"/>
      <c r="ADA96" s="18"/>
      <c r="ADB96" s="18"/>
      <c r="ADC96" s="18"/>
      <c r="ADD96" s="18"/>
      <c r="ADE96" s="18"/>
      <c r="ADF96" s="18"/>
      <c r="ADG96" s="18"/>
      <c r="ADH96" s="18"/>
      <c r="ADI96" s="18"/>
      <c r="ADJ96" s="18"/>
      <c r="ADK96" s="18"/>
      <c r="ADL96" s="18"/>
      <c r="ADM96" s="18"/>
      <c r="ADN96" s="18"/>
      <c r="ADO96" s="18"/>
      <c r="ADP96" s="18"/>
      <c r="ADQ96" s="18"/>
      <c r="ADR96" s="18"/>
      <c r="ADS96" s="18"/>
      <c r="ADT96" s="18"/>
      <c r="ADU96" s="18"/>
      <c r="ADV96" s="18"/>
      <c r="ADW96" s="18"/>
      <c r="ADX96" s="18"/>
      <c r="ADY96" s="18"/>
      <c r="ADZ96" s="18"/>
      <c r="AEA96" s="18"/>
      <c r="AEB96" s="18"/>
      <c r="AEC96" s="18"/>
      <c r="AED96" s="18"/>
      <c r="AEE96" s="18"/>
      <c r="AEF96" s="18"/>
      <c r="AEG96" s="18"/>
      <c r="AEH96" s="18"/>
      <c r="AEI96" s="18"/>
      <c r="AEJ96" s="18"/>
      <c r="AEK96" s="18"/>
      <c r="AEL96" s="18"/>
      <c r="AEM96" s="18"/>
      <c r="AEN96" s="18"/>
      <c r="AEO96" s="18"/>
      <c r="AEP96" s="18"/>
      <c r="AEQ96" s="18"/>
      <c r="AER96" s="18"/>
      <c r="AES96" s="18"/>
      <c r="AET96" s="18"/>
      <c r="AEU96" s="18"/>
      <c r="AEV96" s="18"/>
      <c r="AEW96" s="18"/>
      <c r="AEX96" s="18"/>
      <c r="AEY96" s="18"/>
      <c r="AEZ96" s="18"/>
      <c r="AFA96" s="18"/>
      <c r="AFB96" s="18"/>
      <c r="AFC96" s="18"/>
      <c r="AFD96" s="18"/>
      <c r="AFE96" s="18"/>
      <c r="AFF96" s="18"/>
      <c r="AFG96" s="18"/>
      <c r="AFH96" s="18"/>
      <c r="AFI96" s="18"/>
      <c r="AFJ96" s="18"/>
      <c r="AFK96" s="18"/>
      <c r="AFL96" s="18"/>
      <c r="AFM96" s="18"/>
      <c r="AFN96" s="18"/>
      <c r="AFO96" s="18"/>
      <c r="AFP96" s="18"/>
      <c r="AFQ96" s="18"/>
      <c r="AFR96" s="18"/>
      <c r="AFS96" s="18"/>
      <c r="AFT96" s="18"/>
      <c r="AFU96" s="18"/>
      <c r="AFV96" s="18"/>
      <c r="AFW96" s="18"/>
      <c r="AFX96" s="18"/>
      <c r="AFY96" s="18"/>
      <c r="AFZ96" s="18"/>
      <c r="AGA96" s="18"/>
      <c r="AGB96" s="18"/>
      <c r="AGC96" s="18"/>
      <c r="AGD96" s="18"/>
      <c r="AGE96" s="18"/>
      <c r="AGF96" s="18"/>
      <c r="AGG96" s="18"/>
      <c r="AGH96" s="18"/>
      <c r="AGI96" s="18"/>
      <c r="AGJ96" s="18"/>
      <c r="AGK96" s="18"/>
      <c r="AGL96" s="18"/>
      <c r="AGM96" s="18"/>
      <c r="AGN96" s="18"/>
      <c r="AGO96" s="18"/>
      <c r="AGP96" s="18"/>
      <c r="AGQ96" s="18"/>
      <c r="AGR96" s="18"/>
      <c r="AGS96" s="18"/>
      <c r="AGT96" s="18"/>
      <c r="AGU96" s="18"/>
      <c r="AGV96" s="18"/>
      <c r="AGW96" s="18"/>
      <c r="AGX96" s="18"/>
      <c r="AGY96" s="18"/>
      <c r="AGZ96" s="18"/>
      <c r="AHA96" s="18"/>
      <c r="AHB96" s="18"/>
      <c r="AHC96" s="18"/>
      <c r="AHD96" s="18"/>
      <c r="AHE96" s="18"/>
      <c r="AHF96" s="18"/>
      <c r="AHG96" s="18"/>
      <c r="AHH96" s="18"/>
      <c r="AHI96" s="18"/>
      <c r="AHJ96" s="18"/>
      <c r="AHK96" s="18"/>
      <c r="AHL96" s="18"/>
      <c r="AHM96" s="18"/>
      <c r="AHN96" s="18"/>
      <c r="AHO96" s="18"/>
      <c r="AHP96" s="18"/>
      <c r="AHQ96" s="18"/>
      <c r="AHR96" s="18"/>
      <c r="AHS96" s="18"/>
      <c r="AHT96" s="18"/>
      <c r="AHU96" s="18"/>
      <c r="AHV96" s="18"/>
      <c r="AHW96" s="18"/>
      <c r="AHX96" s="18"/>
      <c r="AHY96" s="18"/>
      <c r="AHZ96" s="18"/>
      <c r="AIA96" s="18"/>
      <c r="AIB96" s="18"/>
      <c r="AIC96" s="18"/>
      <c r="AID96" s="18"/>
      <c r="AIE96" s="18"/>
      <c r="AIF96" s="18"/>
      <c r="AIG96" s="18"/>
      <c r="AIH96" s="18"/>
      <c r="AII96" s="18"/>
      <c r="AIJ96" s="18"/>
      <c r="AIK96" s="18"/>
      <c r="AIL96" s="18"/>
      <c r="AIM96" s="18"/>
      <c r="AIN96" s="18"/>
      <c r="AIO96" s="18"/>
      <c r="AIP96" s="18"/>
      <c r="AIQ96" s="18"/>
      <c r="AIR96" s="18"/>
      <c r="AIS96" s="18"/>
      <c r="AIT96" s="18"/>
      <c r="AIU96" s="18"/>
      <c r="AIV96" s="18"/>
      <c r="AIW96" s="18"/>
      <c r="AIX96" s="18"/>
      <c r="AIY96" s="18"/>
      <c r="AIZ96" s="18"/>
      <c r="AJA96" s="18"/>
      <c r="AJB96" s="18"/>
      <c r="AJC96" s="18"/>
      <c r="AJD96" s="18"/>
      <c r="AJE96" s="18"/>
      <c r="AJF96" s="18"/>
      <c r="AJG96" s="18"/>
      <c r="AJH96" s="18"/>
      <c r="AJI96" s="18"/>
      <c r="AJJ96" s="18"/>
      <c r="AJK96" s="18"/>
      <c r="AJL96" s="18"/>
      <c r="AJM96" s="18"/>
      <c r="AJN96" s="18"/>
      <c r="AJO96" s="18"/>
      <c r="AJP96" s="18"/>
      <c r="AJQ96" s="18"/>
      <c r="AJR96" s="18"/>
      <c r="AJS96" s="18"/>
      <c r="AJT96" s="18"/>
      <c r="AJU96" s="18"/>
      <c r="AJV96" s="18"/>
      <c r="AJW96" s="18"/>
      <c r="AJX96" s="18"/>
      <c r="AJY96" s="18"/>
      <c r="AJZ96" s="18"/>
      <c r="AKA96" s="18"/>
      <c r="AKB96" s="18"/>
      <c r="AKC96" s="18"/>
      <c r="AKD96" s="18"/>
      <c r="AKE96" s="18"/>
      <c r="AKF96" s="18"/>
      <c r="AKG96" s="18"/>
      <c r="AKH96" s="18"/>
      <c r="AKI96" s="18"/>
      <c r="AKJ96" s="18"/>
      <c r="AKK96" s="18"/>
      <c r="AKL96" s="18"/>
      <c r="AKM96" s="18"/>
      <c r="AKN96" s="18"/>
      <c r="AKO96" s="18"/>
      <c r="AKP96" s="18"/>
      <c r="AKQ96" s="18"/>
      <c r="AKR96" s="18"/>
      <c r="AKS96" s="18"/>
      <c r="AKT96" s="18"/>
      <c r="AKU96" s="18"/>
      <c r="AKV96" s="18"/>
      <c r="AKW96" s="18"/>
      <c r="AKX96" s="18"/>
      <c r="AKY96" s="18"/>
      <c r="AKZ96" s="18"/>
      <c r="ALA96" s="18"/>
      <c r="ALB96" s="18"/>
      <c r="ALC96" s="18"/>
      <c r="ALD96" s="18"/>
      <c r="ALE96" s="18"/>
      <c r="ALF96" s="18"/>
      <c r="ALG96" s="18"/>
      <c r="ALH96" s="18"/>
      <c r="ALI96" s="18"/>
      <c r="ALJ96" s="18"/>
      <c r="ALK96" s="18"/>
      <c r="ALL96" s="18"/>
      <c r="ALM96" s="18"/>
      <c r="ALN96" s="18"/>
      <c r="ALO96" s="18"/>
      <c r="ALP96" s="18"/>
      <c r="ALQ96" s="18"/>
      <c r="ALR96" s="18"/>
      <c r="ALS96" s="18"/>
      <c r="ALT96" s="18"/>
    </row>
    <row r="97" spans="1:1008" ht="24">
      <c r="A97" s="251" t="s">
        <v>7</v>
      </c>
      <c r="B97" s="290">
        <v>88415</v>
      </c>
      <c r="C97" s="278" t="str">
        <f>(IF($A97="SINAPI",INDEX(SINAPI_NOV2020_NDES!$A$7:$H$6703,MATCH($B97,SINAPI_NOV2020_NDES!$A$7:$A$6703,0),2),IF($A97="GOINFRA",INDEX(#REF!,MATCH($B97,#REF!,0),2),(INDEX(COMPOS!$A$4:$G$390,MATCH($B97,COMPOS!$A$4:A$390,0),2)))))</f>
        <v>APLICAÇÃO MANUAL DE FUNDO SELADOR ACRÍLICO EM PAREDES EXTERNAS DE CASAS. AF_06/2014</v>
      </c>
      <c r="D97" s="274" t="str">
        <f>(IF($A97="SINAPI",INDEX(SINAPI_NOV2020_NDES!$A$7:$H$6790,MATCH($B97,SINAPI_NOV2020_NDES!$A$7:$A$6790,0),3),(INDEX(COMPOS!$A$4:$G$5000,MATCH($B97,COMPOS!$A$4:$A$5000,0),3))))</f>
        <v>M2</v>
      </c>
      <c r="E97" s="314">
        <f>(2.7*5.5*10.04)-(0.94*6)-(0.326*2)-(1.89*2)</f>
        <v>139.02200000000002</v>
      </c>
      <c r="F97" s="279">
        <f>(IF($A97="SINAPI",INDEX(SINAPI_NOV2020_NDES!$A$7:$H$6703,MATCH($B97,SINAPI_NOV2020_NDES!$A$7:$A$6703,0),5),(INDEX(COMPOS!$A$4:$G$801,MATCH($B97,COMPOS!$A$4:A$801,0),4))))</f>
        <v>1.07</v>
      </c>
      <c r="G97" s="280">
        <f>(IF($A97="SINAPI",INDEX(SINAPI_NOV2020_NDES!$A$7:$H$6703,MATCH($B97,SINAPI_NOV2020_NDES!$A$7:$A$6703,0),6),(INDEX(COMPOS!$A$4:$G$801,MATCH($B97,COMPOS!$A$4:A$801,0),5))))</f>
        <v>1.51</v>
      </c>
      <c r="H97" s="280">
        <f>(IF($A97="SINAPI",INDEX(SINAPI_NOV2020_NDES!$A$7:$H$6703,MATCH($B97,SINAPI_NOV2020_NDES!$A$7:$A$6703,0),7),(INDEX(COMPOS!$A$4:$G$801,MATCH($B97,COMPOS!$A$4:A$801,0),6))))</f>
        <v>0</v>
      </c>
      <c r="I97" s="279">
        <f t="shared" si="40"/>
        <v>2.58</v>
      </c>
      <c r="J97" s="276">
        <f t="shared" si="41"/>
        <v>358.67676000000006</v>
      </c>
      <c r="K97" s="191"/>
      <c r="L97" s="191"/>
      <c r="M97" s="191"/>
      <c r="N97" s="191"/>
      <c r="O97" s="262"/>
      <c r="P97" s="263"/>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c r="IP97" s="18"/>
      <c r="IQ97" s="18"/>
      <c r="IR97" s="18"/>
      <c r="IS97" s="18"/>
      <c r="IT97" s="18"/>
      <c r="IU97" s="18"/>
      <c r="IV97" s="18"/>
      <c r="IW97" s="18"/>
      <c r="IX97" s="18"/>
      <c r="IY97" s="18"/>
      <c r="IZ97" s="18"/>
      <c r="JA97" s="18"/>
      <c r="JB97" s="18"/>
      <c r="JC97" s="18"/>
      <c r="JD97" s="18"/>
      <c r="JE97" s="18"/>
      <c r="JF97" s="18"/>
      <c r="JG97" s="18"/>
      <c r="JH97" s="18"/>
      <c r="JI97" s="18"/>
      <c r="JJ97" s="18"/>
      <c r="JK97" s="18"/>
      <c r="JL97" s="18"/>
      <c r="JM97" s="18"/>
      <c r="JN97" s="18"/>
      <c r="JO97" s="18"/>
      <c r="JP97" s="18"/>
      <c r="JQ97" s="18"/>
      <c r="JR97" s="18"/>
      <c r="JS97" s="18"/>
      <c r="JT97" s="18"/>
      <c r="JU97" s="18"/>
      <c r="JV97" s="18"/>
      <c r="JW97" s="18"/>
      <c r="JX97" s="18"/>
      <c r="JY97" s="18"/>
      <c r="JZ97" s="18"/>
      <c r="KA97" s="18"/>
      <c r="KB97" s="18"/>
      <c r="KC97" s="18"/>
      <c r="KD97" s="18"/>
      <c r="KE97" s="18"/>
      <c r="KF97" s="18"/>
      <c r="KG97" s="18"/>
      <c r="KH97" s="18"/>
      <c r="KI97" s="18"/>
      <c r="KJ97" s="18"/>
      <c r="KK97" s="18"/>
      <c r="KL97" s="18"/>
      <c r="KM97" s="18"/>
      <c r="KN97" s="18"/>
      <c r="KO97" s="18"/>
      <c r="KP97" s="18"/>
      <c r="KQ97" s="18"/>
      <c r="KR97" s="18"/>
      <c r="KS97" s="18"/>
      <c r="KT97" s="18"/>
      <c r="KU97" s="18"/>
      <c r="KV97" s="18"/>
      <c r="KW97" s="18"/>
      <c r="KX97" s="18"/>
      <c r="KY97" s="18"/>
      <c r="KZ97" s="18"/>
      <c r="LA97" s="18"/>
      <c r="LB97" s="18"/>
      <c r="LC97" s="18"/>
      <c r="LD97" s="18"/>
      <c r="LE97" s="18"/>
      <c r="LF97" s="18"/>
      <c r="LG97" s="18"/>
      <c r="LH97" s="18"/>
      <c r="LI97" s="18"/>
      <c r="LJ97" s="18"/>
      <c r="LK97" s="18"/>
      <c r="LL97" s="18"/>
      <c r="LM97" s="18"/>
      <c r="LN97" s="18"/>
      <c r="LO97" s="18"/>
      <c r="LP97" s="18"/>
      <c r="LQ97" s="18"/>
      <c r="LR97" s="18"/>
      <c r="LS97" s="18"/>
      <c r="LT97" s="18"/>
      <c r="LU97" s="18"/>
      <c r="LV97" s="18"/>
      <c r="LW97" s="18"/>
      <c r="LX97" s="18"/>
      <c r="LY97" s="18"/>
      <c r="LZ97" s="18"/>
      <c r="MA97" s="18"/>
      <c r="MB97" s="18"/>
      <c r="MC97" s="18"/>
      <c r="MD97" s="18"/>
      <c r="ME97" s="18"/>
      <c r="MF97" s="18"/>
      <c r="MG97" s="18"/>
      <c r="MH97" s="18"/>
      <c r="MI97" s="18"/>
      <c r="MJ97" s="18"/>
      <c r="MK97" s="18"/>
      <c r="ML97" s="18"/>
      <c r="MM97" s="18"/>
      <c r="MN97" s="18"/>
      <c r="MO97" s="18"/>
      <c r="MP97" s="18"/>
      <c r="MQ97" s="18"/>
      <c r="MR97" s="18"/>
      <c r="MS97" s="18"/>
      <c r="MT97" s="18"/>
      <c r="MU97" s="18"/>
      <c r="MV97" s="18"/>
      <c r="MW97" s="18"/>
      <c r="MX97" s="18"/>
      <c r="MY97" s="18"/>
      <c r="MZ97" s="18"/>
      <c r="NA97" s="18"/>
      <c r="NB97" s="18"/>
      <c r="NC97" s="18"/>
      <c r="ND97" s="18"/>
      <c r="NE97" s="18"/>
      <c r="NF97" s="18"/>
      <c r="NG97" s="18"/>
      <c r="NH97" s="18"/>
      <c r="NI97" s="18"/>
      <c r="NJ97" s="18"/>
      <c r="NK97" s="18"/>
      <c r="NL97" s="18"/>
      <c r="NM97" s="18"/>
      <c r="NN97" s="18"/>
      <c r="NO97" s="18"/>
      <c r="NP97" s="18"/>
      <c r="NQ97" s="18"/>
      <c r="NR97" s="18"/>
      <c r="NS97" s="18"/>
      <c r="NT97" s="18"/>
      <c r="NU97" s="18"/>
      <c r="NV97" s="18"/>
      <c r="NW97" s="18"/>
      <c r="NX97" s="18"/>
      <c r="NY97" s="18"/>
      <c r="NZ97" s="18"/>
      <c r="OA97" s="18"/>
      <c r="OB97" s="18"/>
      <c r="OC97" s="18"/>
      <c r="OD97" s="18"/>
      <c r="OE97" s="18"/>
      <c r="OF97" s="18"/>
      <c r="OG97" s="18"/>
      <c r="OH97" s="18"/>
      <c r="OI97" s="18"/>
      <c r="OJ97" s="18"/>
      <c r="OK97" s="18"/>
      <c r="OL97" s="18"/>
      <c r="OM97" s="18"/>
      <c r="ON97" s="18"/>
      <c r="OO97" s="18"/>
      <c r="OP97" s="18"/>
      <c r="OQ97" s="18"/>
      <c r="OR97" s="18"/>
      <c r="OS97" s="18"/>
      <c r="OT97" s="18"/>
      <c r="OU97" s="18"/>
      <c r="OV97" s="18"/>
      <c r="OW97" s="18"/>
      <c r="OX97" s="18"/>
      <c r="OY97" s="18"/>
      <c r="OZ97" s="18"/>
      <c r="PA97" s="18"/>
      <c r="PB97" s="18"/>
      <c r="PC97" s="18"/>
      <c r="PD97" s="18"/>
      <c r="PE97" s="18"/>
      <c r="PF97" s="18"/>
      <c r="PG97" s="18"/>
      <c r="PH97" s="18"/>
      <c r="PI97" s="18"/>
      <c r="PJ97" s="18"/>
      <c r="PK97" s="18"/>
      <c r="PL97" s="18"/>
      <c r="PM97" s="18"/>
      <c r="PN97" s="18"/>
      <c r="PO97" s="18"/>
      <c r="PP97" s="18"/>
      <c r="PQ97" s="18"/>
      <c r="PR97" s="18"/>
      <c r="PS97" s="18"/>
      <c r="PT97" s="18"/>
      <c r="PU97" s="18"/>
      <c r="PV97" s="18"/>
      <c r="PW97" s="18"/>
      <c r="PX97" s="18"/>
      <c r="PY97" s="18"/>
      <c r="PZ97" s="18"/>
      <c r="QA97" s="18"/>
      <c r="QB97" s="18"/>
      <c r="QC97" s="18"/>
      <c r="QD97" s="18"/>
      <c r="QE97" s="18"/>
      <c r="QF97" s="18"/>
      <c r="QG97" s="18"/>
      <c r="QH97" s="18"/>
      <c r="QI97" s="18"/>
      <c r="QJ97" s="18"/>
      <c r="QK97" s="18"/>
      <c r="QL97" s="18"/>
      <c r="QM97" s="18"/>
      <c r="QN97" s="18"/>
      <c r="QO97" s="18"/>
      <c r="QP97" s="18"/>
      <c r="QQ97" s="18"/>
      <c r="QR97" s="18"/>
      <c r="QS97" s="18"/>
      <c r="QT97" s="18"/>
      <c r="QU97" s="18"/>
      <c r="QV97" s="18"/>
      <c r="QW97" s="18"/>
      <c r="QX97" s="18"/>
      <c r="QY97" s="18"/>
      <c r="QZ97" s="18"/>
      <c r="RA97" s="18"/>
      <c r="RB97" s="18"/>
      <c r="RC97" s="18"/>
      <c r="RD97" s="18"/>
      <c r="RE97" s="18"/>
      <c r="RF97" s="18"/>
      <c r="RG97" s="18"/>
      <c r="RH97" s="18"/>
      <c r="RI97" s="18"/>
      <c r="RJ97" s="18"/>
      <c r="RK97" s="18"/>
      <c r="RL97" s="18"/>
      <c r="RM97" s="18"/>
      <c r="RN97" s="18"/>
      <c r="RO97" s="18"/>
      <c r="RP97" s="18"/>
      <c r="RQ97" s="18"/>
      <c r="RR97" s="18"/>
      <c r="RS97" s="18"/>
      <c r="RT97" s="18"/>
      <c r="RU97" s="18"/>
      <c r="RV97" s="18"/>
      <c r="RW97" s="18"/>
      <c r="RX97" s="18"/>
      <c r="RY97" s="18"/>
      <c r="RZ97" s="18"/>
      <c r="SA97" s="18"/>
      <c r="SB97" s="18"/>
      <c r="SC97" s="18"/>
      <c r="SD97" s="18"/>
      <c r="SE97" s="18"/>
      <c r="SF97" s="18"/>
      <c r="SG97" s="18"/>
      <c r="SH97" s="18"/>
      <c r="SI97" s="18"/>
      <c r="SJ97" s="18"/>
      <c r="SK97" s="18"/>
      <c r="SL97" s="18"/>
      <c r="SM97" s="18"/>
      <c r="SN97" s="18"/>
      <c r="SO97" s="18"/>
      <c r="SP97" s="18"/>
      <c r="SQ97" s="18"/>
      <c r="SR97" s="18"/>
      <c r="SS97" s="18"/>
      <c r="ST97" s="18"/>
      <c r="SU97" s="18"/>
      <c r="SV97" s="18"/>
      <c r="SW97" s="18"/>
      <c r="SX97" s="18"/>
      <c r="SY97" s="18"/>
      <c r="SZ97" s="18"/>
      <c r="TA97" s="18"/>
      <c r="TB97" s="18"/>
      <c r="TC97" s="18"/>
      <c r="TD97" s="18"/>
      <c r="TE97" s="18"/>
      <c r="TF97" s="18"/>
      <c r="TG97" s="18"/>
      <c r="TH97" s="18"/>
      <c r="TI97" s="18"/>
      <c r="TJ97" s="18"/>
      <c r="TK97" s="18"/>
      <c r="TL97" s="18"/>
      <c r="TM97" s="18"/>
      <c r="TN97" s="18"/>
      <c r="TO97" s="18"/>
      <c r="TP97" s="18"/>
      <c r="TQ97" s="18"/>
      <c r="TR97" s="18"/>
      <c r="TS97" s="18"/>
      <c r="TT97" s="18"/>
      <c r="TU97" s="18"/>
      <c r="TV97" s="18"/>
      <c r="TW97" s="18"/>
      <c r="TX97" s="18"/>
      <c r="TY97" s="18"/>
      <c r="TZ97" s="18"/>
      <c r="UA97" s="18"/>
      <c r="UB97" s="18"/>
      <c r="UC97" s="18"/>
      <c r="UD97" s="18"/>
      <c r="UE97" s="18"/>
      <c r="UF97" s="18"/>
      <c r="UG97" s="18"/>
      <c r="UH97" s="18"/>
      <c r="UI97" s="18"/>
      <c r="UJ97" s="18"/>
      <c r="UK97" s="18"/>
      <c r="UL97" s="18"/>
      <c r="UM97" s="18"/>
      <c r="UN97" s="18"/>
      <c r="UO97" s="18"/>
      <c r="UP97" s="18"/>
      <c r="UQ97" s="18"/>
      <c r="UR97" s="18"/>
      <c r="US97" s="18"/>
      <c r="UT97" s="18"/>
      <c r="UU97" s="18"/>
      <c r="UV97" s="18"/>
      <c r="UW97" s="18"/>
      <c r="UX97" s="18"/>
      <c r="UY97" s="18"/>
      <c r="UZ97" s="18"/>
      <c r="VA97" s="18"/>
      <c r="VB97" s="18"/>
      <c r="VC97" s="18"/>
      <c r="VD97" s="18"/>
      <c r="VE97" s="18"/>
      <c r="VF97" s="18"/>
      <c r="VG97" s="18"/>
      <c r="VH97" s="18"/>
      <c r="VI97" s="18"/>
      <c r="VJ97" s="18"/>
      <c r="VK97" s="18"/>
      <c r="VL97" s="18"/>
      <c r="VM97" s="18"/>
      <c r="VN97" s="18"/>
      <c r="VO97" s="18"/>
      <c r="VP97" s="18"/>
      <c r="VQ97" s="18"/>
      <c r="VR97" s="18"/>
      <c r="VS97" s="18"/>
      <c r="VT97" s="18"/>
      <c r="VU97" s="18"/>
      <c r="VV97" s="18"/>
      <c r="VW97" s="18"/>
      <c r="VX97" s="18"/>
      <c r="VY97" s="18"/>
      <c r="VZ97" s="18"/>
      <c r="WA97" s="18"/>
      <c r="WB97" s="18"/>
      <c r="WC97" s="18"/>
      <c r="WD97" s="18"/>
      <c r="WE97" s="18"/>
      <c r="WF97" s="18"/>
      <c r="WG97" s="18"/>
      <c r="WH97" s="18"/>
      <c r="WI97" s="18"/>
      <c r="WJ97" s="18"/>
      <c r="WK97" s="18"/>
      <c r="WL97" s="18"/>
      <c r="WM97" s="18"/>
      <c r="WN97" s="18"/>
      <c r="WO97" s="18"/>
      <c r="WP97" s="18"/>
      <c r="WQ97" s="18"/>
      <c r="WR97" s="18"/>
      <c r="WS97" s="18"/>
      <c r="WT97" s="18"/>
      <c r="WU97" s="18"/>
      <c r="WV97" s="18"/>
      <c r="WW97" s="18"/>
      <c r="WX97" s="18"/>
      <c r="WY97" s="18"/>
      <c r="WZ97" s="18"/>
      <c r="XA97" s="18"/>
      <c r="XB97" s="18"/>
      <c r="XC97" s="18"/>
      <c r="XD97" s="18"/>
      <c r="XE97" s="18"/>
      <c r="XF97" s="18"/>
      <c r="XG97" s="18"/>
      <c r="XH97" s="18"/>
      <c r="XI97" s="18"/>
      <c r="XJ97" s="18"/>
      <c r="XK97" s="18"/>
      <c r="XL97" s="18"/>
      <c r="XM97" s="18"/>
      <c r="XN97" s="18"/>
      <c r="XO97" s="18"/>
      <c r="XP97" s="18"/>
      <c r="XQ97" s="18"/>
      <c r="XR97" s="18"/>
      <c r="XS97" s="18"/>
      <c r="XT97" s="18"/>
      <c r="XU97" s="18"/>
      <c r="XV97" s="18"/>
      <c r="XW97" s="18"/>
      <c r="XX97" s="18"/>
      <c r="XY97" s="18"/>
      <c r="XZ97" s="18"/>
      <c r="YA97" s="18"/>
      <c r="YB97" s="18"/>
      <c r="YC97" s="18"/>
      <c r="YD97" s="18"/>
      <c r="YE97" s="18"/>
      <c r="YF97" s="18"/>
      <c r="YG97" s="18"/>
      <c r="YH97" s="18"/>
      <c r="YI97" s="18"/>
      <c r="YJ97" s="18"/>
      <c r="YK97" s="18"/>
      <c r="YL97" s="18"/>
      <c r="YM97" s="18"/>
      <c r="YN97" s="18"/>
      <c r="YO97" s="18"/>
      <c r="YP97" s="18"/>
      <c r="YQ97" s="18"/>
      <c r="YR97" s="18"/>
      <c r="YS97" s="18"/>
      <c r="YT97" s="18"/>
      <c r="YU97" s="18"/>
      <c r="YV97" s="18"/>
      <c r="YW97" s="18"/>
      <c r="YX97" s="18"/>
      <c r="YY97" s="18"/>
      <c r="YZ97" s="18"/>
      <c r="ZA97" s="18"/>
      <c r="ZB97" s="18"/>
      <c r="ZC97" s="18"/>
      <c r="ZD97" s="18"/>
      <c r="ZE97" s="18"/>
      <c r="ZF97" s="18"/>
      <c r="ZG97" s="18"/>
      <c r="ZH97" s="18"/>
      <c r="ZI97" s="18"/>
      <c r="ZJ97" s="18"/>
      <c r="ZK97" s="18"/>
      <c r="ZL97" s="18"/>
      <c r="ZM97" s="18"/>
      <c r="ZN97" s="18"/>
      <c r="ZO97" s="18"/>
      <c r="ZP97" s="18"/>
      <c r="ZQ97" s="18"/>
      <c r="ZR97" s="18"/>
      <c r="ZS97" s="18"/>
      <c r="ZT97" s="18"/>
      <c r="ZU97" s="18"/>
      <c r="ZV97" s="18"/>
      <c r="ZW97" s="18"/>
      <c r="ZX97" s="18"/>
      <c r="ZY97" s="18"/>
      <c r="ZZ97" s="18"/>
      <c r="AAA97" s="18"/>
      <c r="AAB97" s="18"/>
      <c r="AAC97" s="18"/>
      <c r="AAD97" s="18"/>
      <c r="AAE97" s="18"/>
      <c r="AAF97" s="18"/>
      <c r="AAG97" s="18"/>
      <c r="AAH97" s="18"/>
      <c r="AAI97" s="18"/>
      <c r="AAJ97" s="18"/>
      <c r="AAK97" s="18"/>
      <c r="AAL97" s="18"/>
      <c r="AAM97" s="18"/>
      <c r="AAN97" s="18"/>
      <c r="AAO97" s="18"/>
      <c r="AAP97" s="18"/>
      <c r="AAQ97" s="18"/>
      <c r="AAR97" s="18"/>
      <c r="AAS97" s="18"/>
      <c r="AAT97" s="18"/>
      <c r="AAU97" s="18"/>
      <c r="AAV97" s="18"/>
      <c r="AAW97" s="18"/>
      <c r="AAX97" s="18"/>
      <c r="AAY97" s="18"/>
      <c r="AAZ97" s="18"/>
      <c r="ABA97" s="18"/>
      <c r="ABB97" s="18"/>
      <c r="ABC97" s="18"/>
      <c r="ABD97" s="18"/>
      <c r="ABE97" s="18"/>
      <c r="ABF97" s="18"/>
      <c r="ABG97" s="18"/>
      <c r="ABH97" s="18"/>
      <c r="ABI97" s="18"/>
      <c r="ABJ97" s="18"/>
      <c r="ABK97" s="18"/>
      <c r="ABL97" s="18"/>
      <c r="ABM97" s="18"/>
      <c r="ABN97" s="18"/>
      <c r="ABO97" s="18"/>
      <c r="ABP97" s="18"/>
      <c r="ABQ97" s="18"/>
      <c r="ABR97" s="18"/>
      <c r="ABS97" s="18"/>
      <c r="ABT97" s="18"/>
      <c r="ABU97" s="18"/>
      <c r="ABV97" s="18"/>
      <c r="ABW97" s="18"/>
      <c r="ABX97" s="18"/>
      <c r="ABY97" s="18"/>
      <c r="ABZ97" s="18"/>
      <c r="ACA97" s="18"/>
      <c r="ACB97" s="18"/>
      <c r="ACC97" s="18"/>
      <c r="ACD97" s="18"/>
      <c r="ACE97" s="18"/>
      <c r="ACF97" s="18"/>
      <c r="ACG97" s="18"/>
      <c r="ACH97" s="18"/>
      <c r="ACI97" s="18"/>
      <c r="ACJ97" s="18"/>
      <c r="ACK97" s="18"/>
      <c r="ACL97" s="18"/>
      <c r="ACM97" s="18"/>
      <c r="ACN97" s="18"/>
      <c r="ACO97" s="18"/>
      <c r="ACP97" s="18"/>
      <c r="ACQ97" s="18"/>
      <c r="ACR97" s="18"/>
      <c r="ACS97" s="18"/>
      <c r="ACT97" s="18"/>
      <c r="ACU97" s="18"/>
      <c r="ACV97" s="18"/>
      <c r="ACW97" s="18"/>
      <c r="ACX97" s="18"/>
      <c r="ACY97" s="18"/>
      <c r="ACZ97" s="18"/>
      <c r="ADA97" s="18"/>
      <c r="ADB97" s="18"/>
      <c r="ADC97" s="18"/>
      <c r="ADD97" s="18"/>
      <c r="ADE97" s="18"/>
      <c r="ADF97" s="18"/>
      <c r="ADG97" s="18"/>
      <c r="ADH97" s="18"/>
      <c r="ADI97" s="18"/>
      <c r="ADJ97" s="18"/>
      <c r="ADK97" s="18"/>
      <c r="ADL97" s="18"/>
      <c r="ADM97" s="18"/>
      <c r="ADN97" s="18"/>
      <c r="ADO97" s="18"/>
      <c r="ADP97" s="18"/>
      <c r="ADQ97" s="18"/>
      <c r="ADR97" s="18"/>
      <c r="ADS97" s="18"/>
      <c r="ADT97" s="18"/>
      <c r="ADU97" s="18"/>
      <c r="ADV97" s="18"/>
      <c r="ADW97" s="18"/>
      <c r="ADX97" s="18"/>
      <c r="ADY97" s="18"/>
      <c r="ADZ97" s="18"/>
      <c r="AEA97" s="18"/>
      <c r="AEB97" s="18"/>
      <c r="AEC97" s="18"/>
      <c r="AED97" s="18"/>
      <c r="AEE97" s="18"/>
      <c r="AEF97" s="18"/>
      <c r="AEG97" s="18"/>
      <c r="AEH97" s="18"/>
      <c r="AEI97" s="18"/>
      <c r="AEJ97" s="18"/>
      <c r="AEK97" s="18"/>
      <c r="AEL97" s="18"/>
      <c r="AEM97" s="18"/>
      <c r="AEN97" s="18"/>
      <c r="AEO97" s="18"/>
      <c r="AEP97" s="18"/>
      <c r="AEQ97" s="18"/>
      <c r="AER97" s="18"/>
      <c r="AES97" s="18"/>
      <c r="AET97" s="18"/>
      <c r="AEU97" s="18"/>
      <c r="AEV97" s="18"/>
      <c r="AEW97" s="18"/>
      <c r="AEX97" s="18"/>
      <c r="AEY97" s="18"/>
      <c r="AEZ97" s="18"/>
      <c r="AFA97" s="18"/>
      <c r="AFB97" s="18"/>
      <c r="AFC97" s="18"/>
      <c r="AFD97" s="18"/>
      <c r="AFE97" s="18"/>
      <c r="AFF97" s="18"/>
      <c r="AFG97" s="18"/>
      <c r="AFH97" s="18"/>
      <c r="AFI97" s="18"/>
      <c r="AFJ97" s="18"/>
      <c r="AFK97" s="18"/>
      <c r="AFL97" s="18"/>
      <c r="AFM97" s="18"/>
      <c r="AFN97" s="18"/>
      <c r="AFO97" s="18"/>
      <c r="AFP97" s="18"/>
      <c r="AFQ97" s="18"/>
      <c r="AFR97" s="18"/>
      <c r="AFS97" s="18"/>
      <c r="AFT97" s="18"/>
      <c r="AFU97" s="18"/>
      <c r="AFV97" s="18"/>
      <c r="AFW97" s="18"/>
      <c r="AFX97" s="18"/>
      <c r="AFY97" s="18"/>
      <c r="AFZ97" s="18"/>
      <c r="AGA97" s="18"/>
      <c r="AGB97" s="18"/>
      <c r="AGC97" s="18"/>
      <c r="AGD97" s="18"/>
      <c r="AGE97" s="18"/>
      <c r="AGF97" s="18"/>
      <c r="AGG97" s="18"/>
      <c r="AGH97" s="18"/>
      <c r="AGI97" s="18"/>
      <c r="AGJ97" s="18"/>
      <c r="AGK97" s="18"/>
      <c r="AGL97" s="18"/>
      <c r="AGM97" s="18"/>
      <c r="AGN97" s="18"/>
      <c r="AGO97" s="18"/>
      <c r="AGP97" s="18"/>
      <c r="AGQ97" s="18"/>
      <c r="AGR97" s="18"/>
      <c r="AGS97" s="18"/>
      <c r="AGT97" s="18"/>
      <c r="AGU97" s="18"/>
      <c r="AGV97" s="18"/>
      <c r="AGW97" s="18"/>
      <c r="AGX97" s="18"/>
      <c r="AGY97" s="18"/>
      <c r="AGZ97" s="18"/>
      <c r="AHA97" s="18"/>
      <c r="AHB97" s="18"/>
      <c r="AHC97" s="18"/>
      <c r="AHD97" s="18"/>
      <c r="AHE97" s="18"/>
      <c r="AHF97" s="18"/>
      <c r="AHG97" s="18"/>
      <c r="AHH97" s="18"/>
      <c r="AHI97" s="18"/>
      <c r="AHJ97" s="18"/>
      <c r="AHK97" s="18"/>
      <c r="AHL97" s="18"/>
      <c r="AHM97" s="18"/>
      <c r="AHN97" s="18"/>
      <c r="AHO97" s="18"/>
      <c r="AHP97" s="18"/>
      <c r="AHQ97" s="18"/>
      <c r="AHR97" s="18"/>
      <c r="AHS97" s="18"/>
      <c r="AHT97" s="18"/>
      <c r="AHU97" s="18"/>
      <c r="AHV97" s="18"/>
      <c r="AHW97" s="18"/>
      <c r="AHX97" s="18"/>
      <c r="AHY97" s="18"/>
      <c r="AHZ97" s="18"/>
      <c r="AIA97" s="18"/>
      <c r="AIB97" s="18"/>
      <c r="AIC97" s="18"/>
      <c r="AID97" s="18"/>
      <c r="AIE97" s="18"/>
      <c r="AIF97" s="18"/>
      <c r="AIG97" s="18"/>
      <c r="AIH97" s="18"/>
      <c r="AII97" s="18"/>
      <c r="AIJ97" s="18"/>
      <c r="AIK97" s="18"/>
      <c r="AIL97" s="18"/>
      <c r="AIM97" s="18"/>
      <c r="AIN97" s="18"/>
      <c r="AIO97" s="18"/>
      <c r="AIP97" s="18"/>
      <c r="AIQ97" s="18"/>
      <c r="AIR97" s="18"/>
      <c r="AIS97" s="18"/>
      <c r="AIT97" s="18"/>
      <c r="AIU97" s="18"/>
      <c r="AIV97" s="18"/>
      <c r="AIW97" s="18"/>
      <c r="AIX97" s="18"/>
      <c r="AIY97" s="18"/>
      <c r="AIZ97" s="18"/>
      <c r="AJA97" s="18"/>
      <c r="AJB97" s="18"/>
      <c r="AJC97" s="18"/>
      <c r="AJD97" s="18"/>
      <c r="AJE97" s="18"/>
      <c r="AJF97" s="18"/>
      <c r="AJG97" s="18"/>
      <c r="AJH97" s="18"/>
      <c r="AJI97" s="18"/>
      <c r="AJJ97" s="18"/>
      <c r="AJK97" s="18"/>
      <c r="AJL97" s="18"/>
      <c r="AJM97" s="18"/>
      <c r="AJN97" s="18"/>
      <c r="AJO97" s="18"/>
      <c r="AJP97" s="18"/>
      <c r="AJQ97" s="18"/>
      <c r="AJR97" s="18"/>
      <c r="AJS97" s="18"/>
      <c r="AJT97" s="18"/>
      <c r="AJU97" s="18"/>
      <c r="AJV97" s="18"/>
      <c r="AJW97" s="18"/>
      <c r="AJX97" s="18"/>
      <c r="AJY97" s="18"/>
      <c r="AJZ97" s="18"/>
      <c r="AKA97" s="18"/>
      <c r="AKB97" s="18"/>
      <c r="AKC97" s="18"/>
      <c r="AKD97" s="18"/>
      <c r="AKE97" s="18"/>
      <c r="AKF97" s="18"/>
      <c r="AKG97" s="18"/>
      <c r="AKH97" s="18"/>
      <c r="AKI97" s="18"/>
      <c r="AKJ97" s="18"/>
      <c r="AKK97" s="18"/>
      <c r="AKL97" s="18"/>
      <c r="AKM97" s="18"/>
      <c r="AKN97" s="18"/>
      <c r="AKO97" s="18"/>
      <c r="AKP97" s="18"/>
      <c r="AKQ97" s="18"/>
      <c r="AKR97" s="18"/>
      <c r="AKS97" s="18"/>
      <c r="AKT97" s="18"/>
      <c r="AKU97" s="18"/>
      <c r="AKV97" s="18"/>
      <c r="AKW97" s="18"/>
      <c r="AKX97" s="18"/>
      <c r="AKY97" s="18"/>
      <c r="AKZ97" s="18"/>
      <c r="ALA97" s="18"/>
      <c r="ALB97" s="18"/>
      <c r="ALC97" s="18"/>
      <c r="ALD97" s="18"/>
      <c r="ALE97" s="18"/>
      <c r="ALF97" s="18"/>
      <c r="ALG97" s="18"/>
      <c r="ALH97" s="18"/>
      <c r="ALI97" s="18"/>
      <c r="ALJ97" s="18"/>
      <c r="ALK97" s="18"/>
      <c r="ALL97" s="18"/>
      <c r="ALM97" s="18"/>
      <c r="ALN97" s="18"/>
      <c r="ALO97" s="18"/>
      <c r="ALP97" s="18"/>
      <c r="ALQ97" s="18"/>
      <c r="ALR97" s="18"/>
      <c r="ALS97" s="18"/>
      <c r="ALT97" s="18"/>
    </row>
    <row r="98" spans="1:1008" ht="24">
      <c r="A98" s="251" t="s">
        <v>7</v>
      </c>
      <c r="B98" s="290">
        <v>88423</v>
      </c>
      <c r="C98" s="278" t="str">
        <f>(IF($A98="SINAPI",INDEX(SINAPI_NOV2020_NDES!$A$7:$H$6703,MATCH($B98,SINAPI_NOV2020_NDES!$A$7:$A$6703,0),2),IF($A98="GOINFRA",INDEX(#REF!,MATCH($B98,#REF!,0),2),(INDEX(COMPOS!$A$4:$G$390,MATCH($B98,COMPOS!$A$4:A$390,0),2)))))</f>
        <v>APLICAÇÃO MANUAL DE PINTURA COM TINTA TEXTURIZADA ACRÍLICA EM PAREDES EXTERNAS DE CASAS, UMA COR. AF_06/2014</v>
      </c>
      <c r="D98" s="274" t="str">
        <f>(IF($A98="SINAPI",INDEX(SINAPI_NOV2020_NDES!$A$7:$H$6790,MATCH($B98,SINAPI_NOV2020_NDES!$A$7:$A$6790,0),3),(INDEX(COMPOS!$A$4:$G$5000,MATCH($B98,COMPOS!$A$4:$A$5000,0),3))))</f>
        <v>M2</v>
      </c>
      <c r="E98" s="314">
        <f>(2.7*5.5*10.04)-(0.94*6)-(0.326*2)-(1.89*2)</f>
        <v>139.02200000000002</v>
      </c>
      <c r="F98" s="279">
        <f>(IF($A98="SINAPI",INDEX(SINAPI_NOV2020_NDES!$A$7:$H$6703,MATCH($B98,SINAPI_NOV2020_NDES!$A$7:$A$6703,0),5),(INDEX(COMPOS!$A$4:$G$801,MATCH($B98,COMPOS!$A$4:A$801,0),4))))</f>
        <v>3.45</v>
      </c>
      <c r="G98" s="280">
        <f>(IF($A98="SINAPI",INDEX(SINAPI_NOV2020_NDES!$A$7:$H$6703,MATCH($B98,SINAPI_NOV2020_NDES!$A$7:$A$6703,0),6),(INDEX(COMPOS!$A$4:$G$801,MATCH($B98,COMPOS!$A$4:A$801,0),5))))</f>
        <v>14.24</v>
      </c>
      <c r="H98" s="280">
        <f>(IF($A98="SINAPI",INDEX(SINAPI_NOV2020_NDES!$A$7:$H$6703,MATCH($B98,SINAPI_NOV2020_NDES!$A$7:$A$6703,0),7),(INDEX(COMPOS!$A$4:$G$801,MATCH($B98,COMPOS!$A$4:A$801,0),6))))</f>
        <v>0</v>
      </c>
      <c r="I98" s="279">
        <f t="shared" si="40"/>
        <v>17.690000000000001</v>
      </c>
      <c r="J98" s="276">
        <f t="shared" si="41"/>
        <v>2459.2991800000004</v>
      </c>
      <c r="K98" s="191"/>
      <c r="L98" s="191"/>
      <c r="M98" s="191"/>
      <c r="N98" s="191"/>
      <c r="O98" s="262"/>
      <c r="P98" s="263"/>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c r="IP98" s="18"/>
      <c r="IQ98" s="18"/>
      <c r="IR98" s="18"/>
      <c r="IS98" s="18"/>
      <c r="IT98" s="18"/>
      <c r="IU98" s="18"/>
      <c r="IV98" s="18"/>
      <c r="IW98" s="18"/>
      <c r="IX98" s="18"/>
      <c r="IY98" s="18"/>
      <c r="IZ98" s="18"/>
      <c r="JA98" s="18"/>
      <c r="JB98" s="18"/>
      <c r="JC98" s="18"/>
      <c r="JD98" s="18"/>
      <c r="JE98" s="18"/>
      <c r="JF98" s="18"/>
      <c r="JG98" s="18"/>
      <c r="JH98" s="18"/>
      <c r="JI98" s="18"/>
      <c r="JJ98" s="18"/>
      <c r="JK98" s="18"/>
      <c r="JL98" s="18"/>
      <c r="JM98" s="18"/>
      <c r="JN98" s="18"/>
      <c r="JO98" s="18"/>
      <c r="JP98" s="18"/>
      <c r="JQ98" s="18"/>
      <c r="JR98" s="18"/>
      <c r="JS98" s="18"/>
      <c r="JT98" s="18"/>
      <c r="JU98" s="18"/>
      <c r="JV98" s="18"/>
      <c r="JW98" s="18"/>
      <c r="JX98" s="18"/>
      <c r="JY98" s="18"/>
      <c r="JZ98" s="18"/>
      <c r="KA98" s="18"/>
      <c r="KB98" s="18"/>
      <c r="KC98" s="18"/>
      <c r="KD98" s="18"/>
      <c r="KE98" s="18"/>
      <c r="KF98" s="18"/>
      <c r="KG98" s="18"/>
      <c r="KH98" s="18"/>
      <c r="KI98" s="18"/>
      <c r="KJ98" s="18"/>
      <c r="KK98" s="18"/>
      <c r="KL98" s="18"/>
      <c r="KM98" s="18"/>
      <c r="KN98" s="18"/>
      <c r="KO98" s="18"/>
      <c r="KP98" s="18"/>
      <c r="KQ98" s="18"/>
      <c r="KR98" s="18"/>
      <c r="KS98" s="18"/>
      <c r="KT98" s="18"/>
      <c r="KU98" s="18"/>
      <c r="KV98" s="18"/>
      <c r="KW98" s="18"/>
      <c r="KX98" s="18"/>
      <c r="KY98" s="18"/>
      <c r="KZ98" s="18"/>
      <c r="LA98" s="18"/>
      <c r="LB98" s="18"/>
      <c r="LC98" s="18"/>
      <c r="LD98" s="18"/>
      <c r="LE98" s="18"/>
      <c r="LF98" s="18"/>
      <c r="LG98" s="18"/>
      <c r="LH98" s="18"/>
      <c r="LI98" s="18"/>
      <c r="LJ98" s="18"/>
      <c r="LK98" s="18"/>
      <c r="LL98" s="18"/>
      <c r="LM98" s="18"/>
      <c r="LN98" s="18"/>
      <c r="LO98" s="18"/>
      <c r="LP98" s="18"/>
      <c r="LQ98" s="18"/>
      <c r="LR98" s="18"/>
      <c r="LS98" s="18"/>
      <c r="LT98" s="18"/>
      <c r="LU98" s="18"/>
      <c r="LV98" s="18"/>
      <c r="LW98" s="18"/>
      <c r="LX98" s="18"/>
      <c r="LY98" s="18"/>
      <c r="LZ98" s="18"/>
      <c r="MA98" s="18"/>
      <c r="MB98" s="18"/>
      <c r="MC98" s="18"/>
      <c r="MD98" s="18"/>
      <c r="ME98" s="18"/>
      <c r="MF98" s="18"/>
      <c r="MG98" s="18"/>
      <c r="MH98" s="18"/>
      <c r="MI98" s="18"/>
      <c r="MJ98" s="18"/>
      <c r="MK98" s="18"/>
      <c r="ML98" s="18"/>
      <c r="MM98" s="18"/>
      <c r="MN98" s="18"/>
      <c r="MO98" s="18"/>
      <c r="MP98" s="18"/>
      <c r="MQ98" s="18"/>
      <c r="MR98" s="18"/>
      <c r="MS98" s="18"/>
      <c r="MT98" s="18"/>
      <c r="MU98" s="18"/>
      <c r="MV98" s="18"/>
      <c r="MW98" s="18"/>
      <c r="MX98" s="18"/>
      <c r="MY98" s="18"/>
      <c r="MZ98" s="18"/>
      <c r="NA98" s="18"/>
      <c r="NB98" s="18"/>
      <c r="NC98" s="18"/>
      <c r="ND98" s="18"/>
      <c r="NE98" s="18"/>
      <c r="NF98" s="18"/>
      <c r="NG98" s="18"/>
      <c r="NH98" s="18"/>
      <c r="NI98" s="18"/>
      <c r="NJ98" s="18"/>
      <c r="NK98" s="18"/>
      <c r="NL98" s="18"/>
      <c r="NM98" s="18"/>
      <c r="NN98" s="18"/>
      <c r="NO98" s="18"/>
      <c r="NP98" s="18"/>
      <c r="NQ98" s="18"/>
      <c r="NR98" s="18"/>
      <c r="NS98" s="18"/>
      <c r="NT98" s="18"/>
      <c r="NU98" s="18"/>
      <c r="NV98" s="18"/>
      <c r="NW98" s="18"/>
      <c r="NX98" s="18"/>
      <c r="NY98" s="18"/>
      <c r="NZ98" s="18"/>
      <c r="OA98" s="18"/>
      <c r="OB98" s="18"/>
      <c r="OC98" s="18"/>
      <c r="OD98" s="18"/>
      <c r="OE98" s="18"/>
      <c r="OF98" s="18"/>
      <c r="OG98" s="18"/>
      <c r="OH98" s="18"/>
      <c r="OI98" s="18"/>
      <c r="OJ98" s="18"/>
      <c r="OK98" s="18"/>
      <c r="OL98" s="18"/>
      <c r="OM98" s="18"/>
      <c r="ON98" s="18"/>
      <c r="OO98" s="18"/>
      <c r="OP98" s="18"/>
      <c r="OQ98" s="18"/>
      <c r="OR98" s="18"/>
      <c r="OS98" s="18"/>
      <c r="OT98" s="18"/>
      <c r="OU98" s="18"/>
      <c r="OV98" s="18"/>
      <c r="OW98" s="18"/>
      <c r="OX98" s="18"/>
      <c r="OY98" s="18"/>
      <c r="OZ98" s="18"/>
      <c r="PA98" s="18"/>
      <c r="PB98" s="18"/>
      <c r="PC98" s="18"/>
      <c r="PD98" s="18"/>
      <c r="PE98" s="18"/>
      <c r="PF98" s="18"/>
      <c r="PG98" s="18"/>
      <c r="PH98" s="18"/>
      <c r="PI98" s="18"/>
      <c r="PJ98" s="18"/>
      <c r="PK98" s="18"/>
      <c r="PL98" s="18"/>
      <c r="PM98" s="18"/>
      <c r="PN98" s="18"/>
      <c r="PO98" s="18"/>
      <c r="PP98" s="18"/>
      <c r="PQ98" s="18"/>
      <c r="PR98" s="18"/>
      <c r="PS98" s="18"/>
      <c r="PT98" s="18"/>
      <c r="PU98" s="18"/>
      <c r="PV98" s="18"/>
      <c r="PW98" s="18"/>
      <c r="PX98" s="18"/>
      <c r="PY98" s="18"/>
      <c r="PZ98" s="18"/>
      <c r="QA98" s="18"/>
      <c r="QB98" s="18"/>
      <c r="QC98" s="18"/>
      <c r="QD98" s="18"/>
      <c r="QE98" s="18"/>
      <c r="QF98" s="18"/>
      <c r="QG98" s="18"/>
      <c r="QH98" s="18"/>
      <c r="QI98" s="18"/>
      <c r="QJ98" s="18"/>
      <c r="QK98" s="18"/>
      <c r="QL98" s="18"/>
      <c r="QM98" s="18"/>
      <c r="QN98" s="18"/>
      <c r="QO98" s="18"/>
      <c r="QP98" s="18"/>
      <c r="QQ98" s="18"/>
      <c r="QR98" s="18"/>
      <c r="QS98" s="18"/>
      <c r="QT98" s="18"/>
      <c r="QU98" s="18"/>
      <c r="QV98" s="18"/>
      <c r="QW98" s="18"/>
      <c r="QX98" s="18"/>
      <c r="QY98" s="18"/>
      <c r="QZ98" s="18"/>
      <c r="RA98" s="18"/>
      <c r="RB98" s="18"/>
      <c r="RC98" s="18"/>
      <c r="RD98" s="18"/>
      <c r="RE98" s="18"/>
      <c r="RF98" s="18"/>
      <c r="RG98" s="18"/>
      <c r="RH98" s="18"/>
      <c r="RI98" s="18"/>
      <c r="RJ98" s="18"/>
      <c r="RK98" s="18"/>
      <c r="RL98" s="18"/>
      <c r="RM98" s="18"/>
      <c r="RN98" s="18"/>
      <c r="RO98" s="18"/>
      <c r="RP98" s="18"/>
      <c r="RQ98" s="18"/>
      <c r="RR98" s="18"/>
      <c r="RS98" s="18"/>
      <c r="RT98" s="18"/>
      <c r="RU98" s="18"/>
      <c r="RV98" s="18"/>
      <c r="RW98" s="18"/>
      <c r="RX98" s="18"/>
      <c r="RY98" s="18"/>
      <c r="RZ98" s="18"/>
      <c r="SA98" s="18"/>
      <c r="SB98" s="18"/>
      <c r="SC98" s="18"/>
      <c r="SD98" s="18"/>
      <c r="SE98" s="18"/>
      <c r="SF98" s="18"/>
      <c r="SG98" s="18"/>
      <c r="SH98" s="18"/>
      <c r="SI98" s="18"/>
      <c r="SJ98" s="18"/>
      <c r="SK98" s="18"/>
      <c r="SL98" s="18"/>
      <c r="SM98" s="18"/>
      <c r="SN98" s="18"/>
      <c r="SO98" s="18"/>
      <c r="SP98" s="18"/>
      <c r="SQ98" s="18"/>
      <c r="SR98" s="18"/>
      <c r="SS98" s="18"/>
      <c r="ST98" s="18"/>
      <c r="SU98" s="18"/>
      <c r="SV98" s="18"/>
      <c r="SW98" s="18"/>
      <c r="SX98" s="18"/>
      <c r="SY98" s="18"/>
      <c r="SZ98" s="18"/>
      <c r="TA98" s="18"/>
      <c r="TB98" s="18"/>
      <c r="TC98" s="18"/>
      <c r="TD98" s="18"/>
      <c r="TE98" s="18"/>
      <c r="TF98" s="18"/>
      <c r="TG98" s="18"/>
      <c r="TH98" s="18"/>
      <c r="TI98" s="18"/>
      <c r="TJ98" s="18"/>
      <c r="TK98" s="18"/>
      <c r="TL98" s="18"/>
      <c r="TM98" s="18"/>
      <c r="TN98" s="18"/>
      <c r="TO98" s="18"/>
      <c r="TP98" s="18"/>
      <c r="TQ98" s="18"/>
      <c r="TR98" s="18"/>
      <c r="TS98" s="18"/>
      <c r="TT98" s="18"/>
      <c r="TU98" s="18"/>
      <c r="TV98" s="18"/>
      <c r="TW98" s="18"/>
      <c r="TX98" s="18"/>
      <c r="TY98" s="18"/>
      <c r="TZ98" s="18"/>
      <c r="UA98" s="18"/>
      <c r="UB98" s="18"/>
      <c r="UC98" s="18"/>
      <c r="UD98" s="18"/>
      <c r="UE98" s="18"/>
      <c r="UF98" s="18"/>
      <c r="UG98" s="18"/>
      <c r="UH98" s="18"/>
      <c r="UI98" s="18"/>
      <c r="UJ98" s="18"/>
      <c r="UK98" s="18"/>
      <c r="UL98" s="18"/>
      <c r="UM98" s="18"/>
      <c r="UN98" s="18"/>
      <c r="UO98" s="18"/>
      <c r="UP98" s="18"/>
      <c r="UQ98" s="18"/>
      <c r="UR98" s="18"/>
      <c r="US98" s="18"/>
      <c r="UT98" s="18"/>
      <c r="UU98" s="18"/>
      <c r="UV98" s="18"/>
      <c r="UW98" s="18"/>
      <c r="UX98" s="18"/>
      <c r="UY98" s="18"/>
      <c r="UZ98" s="18"/>
      <c r="VA98" s="18"/>
      <c r="VB98" s="18"/>
      <c r="VC98" s="18"/>
      <c r="VD98" s="18"/>
      <c r="VE98" s="18"/>
      <c r="VF98" s="18"/>
      <c r="VG98" s="18"/>
      <c r="VH98" s="18"/>
      <c r="VI98" s="18"/>
      <c r="VJ98" s="18"/>
      <c r="VK98" s="18"/>
      <c r="VL98" s="18"/>
      <c r="VM98" s="18"/>
      <c r="VN98" s="18"/>
      <c r="VO98" s="18"/>
      <c r="VP98" s="18"/>
      <c r="VQ98" s="18"/>
      <c r="VR98" s="18"/>
      <c r="VS98" s="18"/>
      <c r="VT98" s="18"/>
      <c r="VU98" s="18"/>
      <c r="VV98" s="18"/>
      <c r="VW98" s="18"/>
      <c r="VX98" s="18"/>
      <c r="VY98" s="18"/>
      <c r="VZ98" s="18"/>
      <c r="WA98" s="18"/>
      <c r="WB98" s="18"/>
      <c r="WC98" s="18"/>
      <c r="WD98" s="18"/>
      <c r="WE98" s="18"/>
      <c r="WF98" s="18"/>
      <c r="WG98" s="18"/>
      <c r="WH98" s="18"/>
      <c r="WI98" s="18"/>
      <c r="WJ98" s="18"/>
      <c r="WK98" s="18"/>
      <c r="WL98" s="18"/>
      <c r="WM98" s="18"/>
      <c r="WN98" s="18"/>
      <c r="WO98" s="18"/>
      <c r="WP98" s="18"/>
      <c r="WQ98" s="18"/>
      <c r="WR98" s="18"/>
      <c r="WS98" s="18"/>
      <c r="WT98" s="18"/>
      <c r="WU98" s="18"/>
      <c r="WV98" s="18"/>
      <c r="WW98" s="18"/>
      <c r="WX98" s="18"/>
      <c r="WY98" s="18"/>
      <c r="WZ98" s="18"/>
      <c r="XA98" s="18"/>
      <c r="XB98" s="18"/>
      <c r="XC98" s="18"/>
      <c r="XD98" s="18"/>
      <c r="XE98" s="18"/>
      <c r="XF98" s="18"/>
      <c r="XG98" s="18"/>
      <c r="XH98" s="18"/>
      <c r="XI98" s="18"/>
      <c r="XJ98" s="18"/>
      <c r="XK98" s="18"/>
      <c r="XL98" s="18"/>
      <c r="XM98" s="18"/>
      <c r="XN98" s="18"/>
      <c r="XO98" s="18"/>
      <c r="XP98" s="18"/>
      <c r="XQ98" s="18"/>
      <c r="XR98" s="18"/>
      <c r="XS98" s="18"/>
      <c r="XT98" s="18"/>
      <c r="XU98" s="18"/>
      <c r="XV98" s="18"/>
      <c r="XW98" s="18"/>
      <c r="XX98" s="18"/>
      <c r="XY98" s="18"/>
      <c r="XZ98" s="18"/>
      <c r="YA98" s="18"/>
      <c r="YB98" s="18"/>
      <c r="YC98" s="18"/>
      <c r="YD98" s="18"/>
      <c r="YE98" s="18"/>
      <c r="YF98" s="18"/>
      <c r="YG98" s="18"/>
      <c r="YH98" s="18"/>
      <c r="YI98" s="18"/>
      <c r="YJ98" s="18"/>
      <c r="YK98" s="18"/>
      <c r="YL98" s="18"/>
      <c r="YM98" s="18"/>
      <c r="YN98" s="18"/>
      <c r="YO98" s="18"/>
      <c r="YP98" s="18"/>
      <c r="YQ98" s="18"/>
      <c r="YR98" s="18"/>
      <c r="YS98" s="18"/>
      <c r="YT98" s="18"/>
      <c r="YU98" s="18"/>
      <c r="YV98" s="18"/>
      <c r="YW98" s="18"/>
      <c r="YX98" s="18"/>
      <c r="YY98" s="18"/>
      <c r="YZ98" s="18"/>
      <c r="ZA98" s="18"/>
      <c r="ZB98" s="18"/>
      <c r="ZC98" s="18"/>
      <c r="ZD98" s="18"/>
      <c r="ZE98" s="18"/>
      <c r="ZF98" s="18"/>
      <c r="ZG98" s="18"/>
      <c r="ZH98" s="18"/>
      <c r="ZI98" s="18"/>
      <c r="ZJ98" s="18"/>
      <c r="ZK98" s="18"/>
      <c r="ZL98" s="18"/>
      <c r="ZM98" s="18"/>
      <c r="ZN98" s="18"/>
      <c r="ZO98" s="18"/>
      <c r="ZP98" s="18"/>
      <c r="ZQ98" s="18"/>
      <c r="ZR98" s="18"/>
      <c r="ZS98" s="18"/>
      <c r="ZT98" s="18"/>
      <c r="ZU98" s="18"/>
      <c r="ZV98" s="18"/>
      <c r="ZW98" s="18"/>
      <c r="ZX98" s="18"/>
      <c r="ZY98" s="18"/>
      <c r="ZZ98" s="18"/>
      <c r="AAA98" s="18"/>
      <c r="AAB98" s="18"/>
      <c r="AAC98" s="18"/>
      <c r="AAD98" s="18"/>
      <c r="AAE98" s="18"/>
      <c r="AAF98" s="18"/>
      <c r="AAG98" s="18"/>
      <c r="AAH98" s="18"/>
      <c r="AAI98" s="18"/>
      <c r="AAJ98" s="18"/>
      <c r="AAK98" s="18"/>
      <c r="AAL98" s="18"/>
      <c r="AAM98" s="18"/>
      <c r="AAN98" s="18"/>
      <c r="AAO98" s="18"/>
      <c r="AAP98" s="18"/>
      <c r="AAQ98" s="18"/>
      <c r="AAR98" s="18"/>
      <c r="AAS98" s="18"/>
      <c r="AAT98" s="18"/>
      <c r="AAU98" s="18"/>
      <c r="AAV98" s="18"/>
      <c r="AAW98" s="18"/>
      <c r="AAX98" s="18"/>
      <c r="AAY98" s="18"/>
      <c r="AAZ98" s="18"/>
      <c r="ABA98" s="18"/>
      <c r="ABB98" s="18"/>
      <c r="ABC98" s="18"/>
      <c r="ABD98" s="18"/>
      <c r="ABE98" s="18"/>
      <c r="ABF98" s="18"/>
      <c r="ABG98" s="18"/>
      <c r="ABH98" s="18"/>
      <c r="ABI98" s="18"/>
      <c r="ABJ98" s="18"/>
      <c r="ABK98" s="18"/>
      <c r="ABL98" s="18"/>
      <c r="ABM98" s="18"/>
      <c r="ABN98" s="18"/>
      <c r="ABO98" s="18"/>
      <c r="ABP98" s="18"/>
      <c r="ABQ98" s="18"/>
      <c r="ABR98" s="18"/>
      <c r="ABS98" s="18"/>
      <c r="ABT98" s="18"/>
      <c r="ABU98" s="18"/>
      <c r="ABV98" s="18"/>
      <c r="ABW98" s="18"/>
      <c r="ABX98" s="18"/>
      <c r="ABY98" s="18"/>
      <c r="ABZ98" s="18"/>
      <c r="ACA98" s="18"/>
      <c r="ACB98" s="18"/>
      <c r="ACC98" s="18"/>
      <c r="ACD98" s="18"/>
      <c r="ACE98" s="18"/>
      <c r="ACF98" s="18"/>
      <c r="ACG98" s="18"/>
      <c r="ACH98" s="18"/>
      <c r="ACI98" s="18"/>
      <c r="ACJ98" s="18"/>
      <c r="ACK98" s="18"/>
      <c r="ACL98" s="18"/>
      <c r="ACM98" s="18"/>
      <c r="ACN98" s="18"/>
      <c r="ACO98" s="18"/>
      <c r="ACP98" s="18"/>
      <c r="ACQ98" s="18"/>
      <c r="ACR98" s="18"/>
      <c r="ACS98" s="18"/>
      <c r="ACT98" s="18"/>
      <c r="ACU98" s="18"/>
      <c r="ACV98" s="18"/>
      <c r="ACW98" s="18"/>
      <c r="ACX98" s="18"/>
      <c r="ACY98" s="18"/>
      <c r="ACZ98" s="18"/>
      <c r="ADA98" s="18"/>
      <c r="ADB98" s="18"/>
      <c r="ADC98" s="18"/>
      <c r="ADD98" s="18"/>
      <c r="ADE98" s="18"/>
      <c r="ADF98" s="18"/>
      <c r="ADG98" s="18"/>
      <c r="ADH98" s="18"/>
      <c r="ADI98" s="18"/>
      <c r="ADJ98" s="18"/>
      <c r="ADK98" s="18"/>
      <c r="ADL98" s="18"/>
      <c r="ADM98" s="18"/>
      <c r="ADN98" s="18"/>
      <c r="ADO98" s="18"/>
      <c r="ADP98" s="18"/>
      <c r="ADQ98" s="18"/>
      <c r="ADR98" s="18"/>
      <c r="ADS98" s="18"/>
      <c r="ADT98" s="18"/>
      <c r="ADU98" s="18"/>
      <c r="ADV98" s="18"/>
      <c r="ADW98" s="18"/>
      <c r="ADX98" s="18"/>
      <c r="ADY98" s="18"/>
      <c r="ADZ98" s="18"/>
      <c r="AEA98" s="18"/>
      <c r="AEB98" s="18"/>
      <c r="AEC98" s="18"/>
      <c r="AED98" s="18"/>
      <c r="AEE98" s="18"/>
      <c r="AEF98" s="18"/>
      <c r="AEG98" s="18"/>
      <c r="AEH98" s="18"/>
      <c r="AEI98" s="18"/>
      <c r="AEJ98" s="18"/>
      <c r="AEK98" s="18"/>
      <c r="AEL98" s="18"/>
      <c r="AEM98" s="18"/>
      <c r="AEN98" s="18"/>
      <c r="AEO98" s="18"/>
      <c r="AEP98" s="18"/>
      <c r="AEQ98" s="18"/>
      <c r="AER98" s="18"/>
      <c r="AES98" s="18"/>
      <c r="AET98" s="18"/>
      <c r="AEU98" s="18"/>
      <c r="AEV98" s="18"/>
      <c r="AEW98" s="18"/>
      <c r="AEX98" s="18"/>
      <c r="AEY98" s="18"/>
      <c r="AEZ98" s="18"/>
      <c r="AFA98" s="18"/>
      <c r="AFB98" s="18"/>
      <c r="AFC98" s="18"/>
      <c r="AFD98" s="18"/>
      <c r="AFE98" s="18"/>
      <c r="AFF98" s="18"/>
      <c r="AFG98" s="18"/>
      <c r="AFH98" s="18"/>
      <c r="AFI98" s="18"/>
      <c r="AFJ98" s="18"/>
      <c r="AFK98" s="18"/>
      <c r="AFL98" s="18"/>
      <c r="AFM98" s="18"/>
      <c r="AFN98" s="18"/>
      <c r="AFO98" s="18"/>
      <c r="AFP98" s="18"/>
      <c r="AFQ98" s="18"/>
      <c r="AFR98" s="18"/>
      <c r="AFS98" s="18"/>
      <c r="AFT98" s="18"/>
      <c r="AFU98" s="18"/>
      <c r="AFV98" s="18"/>
      <c r="AFW98" s="18"/>
      <c r="AFX98" s="18"/>
      <c r="AFY98" s="18"/>
      <c r="AFZ98" s="18"/>
      <c r="AGA98" s="18"/>
      <c r="AGB98" s="18"/>
      <c r="AGC98" s="18"/>
      <c r="AGD98" s="18"/>
      <c r="AGE98" s="18"/>
      <c r="AGF98" s="18"/>
      <c r="AGG98" s="18"/>
      <c r="AGH98" s="18"/>
      <c r="AGI98" s="18"/>
      <c r="AGJ98" s="18"/>
      <c r="AGK98" s="18"/>
      <c r="AGL98" s="18"/>
      <c r="AGM98" s="18"/>
      <c r="AGN98" s="18"/>
      <c r="AGO98" s="18"/>
      <c r="AGP98" s="18"/>
      <c r="AGQ98" s="18"/>
      <c r="AGR98" s="18"/>
      <c r="AGS98" s="18"/>
      <c r="AGT98" s="18"/>
      <c r="AGU98" s="18"/>
      <c r="AGV98" s="18"/>
      <c r="AGW98" s="18"/>
      <c r="AGX98" s="18"/>
      <c r="AGY98" s="18"/>
      <c r="AGZ98" s="18"/>
      <c r="AHA98" s="18"/>
      <c r="AHB98" s="18"/>
      <c r="AHC98" s="18"/>
      <c r="AHD98" s="18"/>
      <c r="AHE98" s="18"/>
      <c r="AHF98" s="18"/>
      <c r="AHG98" s="18"/>
      <c r="AHH98" s="18"/>
      <c r="AHI98" s="18"/>
      <c r="AHJ98" s="18"/>
      <c r="AHK98" s="18"/>
      <c r="AHL98" s="18"/>
      <c r="AHM98" s="18"/>
      <c r="AHN98" s="18"/>
      <c r="AHO98" s="18"/>
      <c r="AHP98" s="18"/>
      <c r="AHQ98" s="18"/>
      <c r="AHR98" s="18"/>
      <c r="AHS98" s="18"/>
      <c r="AHT98" s="18"/>
      <c r="AHU98" s="18"/>
      <c r="AHV98" s="18"/>
      <c r="AHW98" s="18"/>
      <c r="AHX98" s="18"/>
      <c r="AHY98" s="18"/>
      <c r="AHZ98" s="18"/>
      <c r="AIA98" s="18"/>
      <c r="AIB98" s="18"/>
      <c r="AIC98" s="18"/>
      <c r="AID98" s="18"/>
      <c r="AIE98" s="18"/>
      <c r="AIF98" s="18"/>
      <c r="AIG98" s="18"/>
      <c r="AIH98" s="18"/>
      <c r="AII98" s="18"/>
      <c r="AIJ98" s="18"/>
      <c r="AIK98" s="18"/>
      <c r="AIL98" s="18"/>
      <c r="AIM98" s="18"/>
      <c r="AIN98" s="18"/>
      <c r="AIO98" s="18"/>
      <c r="AIP98" s="18"/>
      <c r="AIQ98" s="18"/>
      <c r="AIR98" s="18"/>
      <c r="AIS98" s="18"/>
      <c r="AIT98" s="18"/>
      <c r="AIU98" s="18"/>
      <c r="AIV98" s="18"/>
      <c r="AIW98" s="18"/>
      <c r="AIX98" s="18"/>
      <c r="AIY98" s="18"/>
      <c r="AIZ98" s="18"/>
      <c r="AJA98" s="18"/>
      <c r="AJB98" s="18"/>
      <c r="AJC98" s="18"/>
      <c r="AJD98" s="18"/>
      <c r="AJE98" s="18"/>
      <c r="AJF98" s="18"/>
      <c r="AJG98" s="18"/>
      <c r="AJH98" s="18"/>
      <c r="AJI98" s="18"/>
      <c r="AJJ98" s="18"/>
      <c r="AJK98" s="18"/>
      <c r="AJL98" s="18"/>
      <c r="AJM98" s="18"/>
      <c r="AJN98" s="18"/>
      <c r="AJO98" s="18"/>
      <c r="AJP98" s="18"/>
      <c r="AJQ98" s="18"/>
      <c r="AJR98" s="18"/>
      <c r="AJS98" s="18"/>
      <c r="AJT98" s="18"/>
      <c r="AJU98" s="18"/>
      <c r="AJV98" s="18"/>
      <c r="AJW98" s="18"/>
      <c r="AJX98" s="18"/>
      <c r="AJY98" s="18"/>
      <c r="AJZ98" s="18"/>
      <c r="AKA98" s="18"/>
      <c r="AKB98" s="18"/>
      <c r="AKC98" s="18"/>
      <c r="AKD98" s="18"/>
      <c r="AKE98" s="18"/>
      <c r="AKF98" s="18"/>
      <c r="AKG98" s="18"/>
      <c r="AKH98" s="18"/>
      <c r="AKI98" s="18"/>
      <c r="AKJ98" s="18"/>
      <c r="AKK98" s="18"/>
      <c r="AKL98" s="18"/>
      <c r="AKM98" s="18"/>
      <c r="AKN98" s="18"/>
      <c r="AKO98" s="18"/>
      <c r="AKP98" s="18"/>
      <c r="AKQ98" s="18"/>
      <c r="AKR98" s="18"/>
      <c r="AKS98" s="18"/>
      <c r="AKT98" s="18"/>
      <c r="AKU98" s="18"/>
      <c r="AKV98" s="18"/>
      <c r="AKW98" s="18"/>
      <c r="AKX98" s="18"/>
      <c r="AKY98" s="18"/>
      <c r="AKZ98" s="18"/>
      <c r="ALA98" s="18"/>
      <c r="ALB98" s="18"/>
      <c r="ALC98" s="18"/>
      <c r="ALD98" s="18"/>
      <c r="ALE98" s="18"/>
      <c r="ALF98" s="18"/>
      <c r="ALG98" s="18"/>
      <c r="ALH98" s="18"/>
      <c r="ALI98" s="18"/>
      <c r="ALJ98" s="18"/>
      <c r="ALK98" s="18"/>
      <c r="ALL98" s="18"/>
      <c r="ALM98" s="18"/>
      <c r="ALN98" s="18"/>
      <c r="ALO98" s="18"/>
      <c r="ALP98" s="18"/>
      <c r="ALQ98" s="18"/>
      <c r="ALR98" s="18"/>
      <c r="ALS98" s="18"/>
      <c r="ALT98" s="18"/>
    </row>
    <row r="99" spans="1:1008" ht="24">
      <c r="A99" s="251" t="s">
        <v>7</v>
      </c>
      <c r="B99" s="290">
        <v>88486</v>
      </c>
      <c r="C99" s="278" t="str">
        <f>(IF($A99="SINAPI",INDEX(SINAPI_NOV2020_NDES!$A$7:$H$6703,MATCH($B99,SINAPI_NOV2020_NDES!$A$7:$A$6703,0),2),IF($A99="GOINFRA",INDEX(#REF!,MATCH($B99,#REF!,0),2),(INDEX(COMPOS!$A$4:$G$390,MATCH($B99,COMPOS!$A$4:A$390,0),2)))))</f>
        <v>APLICAÇÃO MANUAL DE PINTURA COM TINTA LÁTEX PVA EM TETO, DUAS DEMÃOS. AF_06/2014</v>
      </c>
      <c r="D99" s="274" t="str">
        <f>(IF($A99="SINAPI",INDEX(SINAPI_NOV2020_NDES!$A$7:$H$6790,MATCH($B99,SINAPI_NOV2020_NDES!$A$7:$A$6790,0),3),(INDEX(COMPOS!$A$4:$G$5000,MATCH($B99,COMPOS!$A$4:$A$5000,0),3))))</f>
        <v>M2</v>
      </c>
      <c r="E99" s="314">
        <v>50.46</v>
      </c>
      <c r="F99" s="279">
        <f>(IF($A99="SINAPI",INDEX(SINAPI_NOV2020_NDES!$A$7:$H$6703,MATCH($B99,SINAPI_NOV2020_NDES!$A$7:$A$6703,0),5),(INDEX(COMPOS!$A$4:$G$801,MATCH($B99,COMPOS!$A$4:A$801,0),4))))</f>
        <v>3.54</v>
      </c>
      <c r="G99" s="280">
        <f>(IF($A99="SINAPI",INDEX(SINAPI_NOV2020_NDES!$A$7:$H$6703,MATCH($B99,SINAPI_NOV2020_NDES!$A$7:$A$6703,0),6),(INDEX(COMPOS!$A$4:$G$801,MATCH($B99,COMPOS!$A$4:A$801,0),5))))</f>
        <v>7.47</v>
      </c>
      <c r="H99" s="280">
        <f>(IF($A99="SINAPI",INDEX(SINAPI_NOV2020_NDES!$A$7:$H$6703,MATCH($B99,SINAPI_NOV2020_NDES!$A$7:$A$6703,0),7),(INDEX(COMPOS!$A$4:$G$801,MATCH($B99,COMPOS!$A$4:A$801,0),6))))</f>
        <v>0</v>
      </c>
      <c r="I99" s="279">
        <f t="shared" si="40"/>
        <v>11.01</v>
      </c>
      <c r="J99" s="276">
        <f t="shared" si="41"/>
        <v>555.56460000000004</v>
      </c>
      <c r="K99" s="191"/>
      <c r="L99" s="191"/>
      <c r="M99" s="191"/>
      <c r="N99" s="191"/>
      <c r="O99" s="262"/>
      <c r="P99" s="263"/>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c r="IP99" s="18"/>
      <c r="IQ99" s="18"/>
      <c r="IR99" s="18"/>
      <c r="IS99" s="18"/>
      <c r="IT99" s="18"/>
      <c r="IU99" s="18"/>
      <c r="IV99" s="18"/>
      <c r="IW99" s="18"/>
      <c r="IX99" s="18"/>
      <c r="IY99" s="18"/>
      <c r="IZ99" s="18"/>
      <c r="JA99" s="18"/>
      <c r="JB99" s="18"/>
      <c r="JC99" s="18"/>
      <c r="JD99" s="18"/>
      <c r="JE99" s="18"/>
      <c r="JF99" s="18"/>
      <c r="JG99" s="18"/>
      <c r="JH99" s="18"/>
      <c r="JI99" s="18"/>
      <c r="JJ99" s="18"/>
      <c r="JK99" s="18"/>
      <c r="JL99" s="18"/>
      <c r="JM99" s="18"/>
      <c r="JN99" s="18"/>
      <c r="JO99" s="18"/>
      <c r="JP99" s="18"/>
      <c r="JQ99" s="18"/>
      <c r="JR99" s="18"/>
      <c r="JS99" s="18"/>
      <c r="JT99" s="18"/>
      <c r="JU99" s="18"/>
      <c r="JV99" s="18"/>
      <c r="JW99" s="18"/>
      <c r="JX99" s="18"/>
      <c r="JY99" s="18"/>
      <c r="JZ99" s="18"/>
      <c r="KA99" s="18"/>
      <c r="KB99" s="18"/>
      <c r="KC99" s="18"/>
      <c r="KD99" s="18"/>
      <c r="KE99" s="18"/>
      <c r="KF99" s="18"/>
      <c r="KG99" s="18"/>
      <c r="KH99" s="18"/>
      <c r="KI99" s="18"/>
      <c r="KJ99" s="18"/>
      <c r="KK99" s="18"/>
      <c r="KL99" s="18"/>
      <c r="KM99" s="18"/>
      <c r="KN99" s="18"/>
      <c r="KO99" s="18"/>
      <c r="KP99" s="18"/>
      <c r="KQ99" s="18"/>
      <c r="KR99" s="18"/>
      <c r="KS99" s="18"/>
      <c r="KT99" s="18"/>
      <c r="KU99" s="18"/>
      <c r="KV99" s="18"/>
      <c r="KW99" s="18"/>
      <c r="KX99" s="18"/>
      <c r="KY99" s="18"/>
      <c r="KZ99" s="18"/>
      <c r="LA99" s="18"/>
      <c r="LB99" s="18"/>
      <c r="LC99" s="18"/>
      <c r="LD99" s="18"/>
      <c r="LE99" s="18"/>
      <c r="LF99" s="18"/>
      <c r="LG99" s="18"/>
      <c r="LH99" s="18"/>
      <c r="LI99" s="18"/>
      <c r="LJ99" s="18"/>
      <c r="LK99" s="18"/>
      <c r="LL99" s="18"/>
      <c r="LM99" s="18"/>
      <c r="LN99" s="18"/>
      <c r="LO99" s="18"/>
      <c r="LP99" s="18"/>
      <c r="LQ99" s="18"/>
      <c r="LR99" s="18"/>
      <c r="LS99" s="18"/>
      <c r="LT99" s="18"/>
      <c r="LU99" s="18"/>
      <c r="LV99" s="18"/>
      <c r="LW99" s="18"/>
      <c r="LX99" s="18"/>
      <c r="LY99" s="18"/>
      <c r="LZ99" s="18"/>
      <c r="MA99" s="18"/>
      <c r="MB99" s="18"/>
      <c r="MC99" s="18"/>
      <c r="MD99" s="18"/>
      <c r="ME99" s="18"/>
      <c r="MF99" s="18"/>
      <c r="MG99" s="18"/>
      <c r="MH99" s="18"/>
      <c r="MI99" s="18"/>
      <c r="MJ99" s="18"/>
      <c r="MK99" s="18"/>
      <c r="ML99" s="18"/>
      <c r="MM99" s="18"/>
      <c r="MN99" s="18"/>
      <c r="MO99" s="18"/>
      <c r="MP99" s="18"/>
      <c r="MQ99" s="18"/>
      <c r="MR99" s="18"/>
      <c r="MS99" s="18"/>
      <c r="MT99" s="18"/>
      <c r="MU99" s="18"/>
      <c r="MV99" s="18"/>
      <c r="MW99" s="18"/>
      <c r="MX99" s="18"/>
      <c r="MY99" s="18"/>
      <c r="MZ99" s="18"/>
      <c r="NA99" s="18"/>
      <c r="NB99" s="18"/>
      <c r="NC99" s="18"/>
      <c r="ND99" s="18"/>
      <c r="NE99" s="18"/>
      <c r="NF99" s="18"/>
      <c r="NG99" s="18"/>
      <c r="NH99" s="18"/>
      <c r="NI99" s="18"/>
      <c r="NJ99" s="18"/>
      <c r="NK99" s="18"/>
      <c r="NL99" s="18"/>
      <c r="NM99" s="18"/>
      <c r="NN99" s="18"/>
      <c r="NO99" s="18"/>
      <c r="NP99" s="18"/>
      <c r="NQ99" s="18"/>
      <c r="NR99" s="18"/>
      <c r="NS99" s="18"/>
      <c r="NT99" s="18"/>
      <c r="NU99" s="18"/>
      <c r="NV99" s="18"/>
      <c r="NW99" s="18"/>
      <c r="NX99" s="18"/>
      <c r="NY99" s="18"/>
      <c r="NZ99" s="18"/>
      <c r="OA99" s="18"/>
      <c r="OB99" s="18"/>
      <c r="OC99" s="18"/>
      <c r="OD99" s="18"/>
      <c r="OE99" s="18"/>
      <c r="OF99" s="18"/>
      <c r="OG99" s="18"/>
      <c r="OH99" s="18"/>
      <c r="OI99" s="18"/>
      <c r="OJ99" s="18"/>
      <c r="OK99" s="18"/>
      <c r="OL99" s="18"/>
      <c r="OM99" s="18"/>
      <c r="ON99" s="18"/>
      <c r="OO99" s="18"/>
      <c r="OP99" s="18"/>
      <c r="OQ99" s="18"/>
      <c r="OR99" s="18"/>
      <c r="OS99" s="18"/>
      <c r="OT99" s="18"/>
      <c r="OU99" s="18"/>
      <c r="OV99" s="18"/>
      <c r="OW99" s="18"/>
      <c r="OX99" s="18"/>
      <c r="OY99" s="18"/>
      <c r="OZ99" s="18"/>
      <c r="PA99" s="18"/>
      <c r="PB99" s="18"/>
      <c r="PC99" s="18"/>
      <c r="PD99" s="18"/>
      <c r="PE99" s="18"/>
      <c r="PF99" s="18"/>
      <c r="PG99" s="18"/>
      <c r="PH99" s="18"/>
      <c r="PI99" s="18"/>
      <c r="PJ99" s="18"/>
      <c r="PK99" s="18"/>
      <c r="PL99" s="18"/>
      <c r="PM99" s="18"/>
      <c r="PN99" s="18"/>
      <c r="PO99" s="18"/>
      <c r="PP99" s="18"/>
      <c r="PQ99" s="18"/>
      <c r="PR99" s="18"/>
      <c r="PS99" s="18"/>
      <c r="PT99" s="18"/>
      <c r="PU99" s="18"/>
      <c r="PV99" s="18"/>
      <c r="PW99" s="18"/>
      <c r="PX99" s="18"/>
      <c r="PY99" s="18"/>
      <c r="PZ99" s="18"/>
      <c r="QA99" s="18"/>
      <c r="QB99" s="18"/>
      <c r="QC99" s="18"/>
      <c r="QD99" s="18"/>
      <c r="QE99" s="18"/>
      <c r="QF99" s="18"/>
      <c r="QG99" s="18"/>
      <c r="QH99" s="18"/>
      <c r="QI99" s="18"/>
      <c r="QJ99" s="18"/>
      <c r="QK99" s="18"/>
      <c r="QL99" s="18"/>
      <c r="QM99" s="18"/>
      <c r="QN99" s="18"/>
      <c r="QO99" s="18"/>
      <c r="QP99" s="18"/>
      <c r="QQ99" s="18"/>
      <c r="QR99" s="18"/>
      <c r="QS99" s="18"/>
      <c r="QT99" s="18"/>
      <c r="QU99" s="18"/>
      <c r="QV99" s="18"/>
      <c r="QW99" s="18"/>
      <c r="QX99" s="18"/>
      <c r="QY99" s="18"/>
      <c r="QZ99" s="18"/>
      <c r="RA99" s="18"/>
      <c r="RB99" s="18"/>
      <c r="RC99" s="18"/>
      <c r="RD99" s="18"/>
      <c r="RE99" s="18"/>
      <c r="RF99" s="18"/>
      <c r="RG99" s="18"/>
      <c r="RH99" s="18"/>
      <c r="RI99" s="18"/>
      <c r="RJ99" s="18"/>
      <c r="RK99" s="18"/>
      <c r="RL99" s="18"/>
      <c r="RM99" s="18"/>
      <c r="RN99" s="18"/>
      <c r="RO99" s="18"/>
      <c r="RP99" s="18"/>
      <c r="RQ99" s="18"/>
      <c r="RR99" s="18"/>
      <c r="RS99" s="18"/>
      <c r="RT99" s="18"/>
      <c r="RU99" s="18"/>
      <c r="RV99" s="18"/>
      <c r="RW99" s="18"/>
      <c r="RX99" s="18"/>
      <c r="RY99" s="18"/>
      <c r="RZ99" s="18"/>
      <c r="SA99" s="18"/>
      <c r="SB99" s="18"/>
      <c r="SC99" s="18"/>
      <c r="SD99" s="18"/>
      <c r="SE99" s="18"/>
      <c r="SF99" s="18"/>
      <c r="SG99" s="18"/>
      <c r="SH99" s="18"/>
      <c r="SI99" s="18"/>
      <c r="SJ99" s="18"/>
      <c r="SK99" s="18"/>
      <c r="SL99" s="18"/>
      <c r="SM99" s="18"/>
      <c r="SN99" s="18"/>
      <c r="SO99" s="18"/>
      <c r="SP99" s="18"/>
      <c r="SQ99" s="18"/>
      <c r="SR99" s="18"/>
      <c r="SS99" s="18"/>
      <c r="ST99" s="18"/>
      <c r="SU99" s="18"/>
      <c r="SV99" s="18"/>
      <c r="SW99" s="18"/>
      <c r="SX99" s="18"/>
      <c r="SY99" s="18"/>
      <c r="SZ99" s="18"/>
      <c r="TA99" s="18"/>
      <c r="TB99" s="18"/>
      <c r="TC99" s="18"/>
      <c r="TD99" s="18"/>
      <c r="TE99" s="18"/>
      <c r="TF99" s="18"/>
      <c r="TG99" s="18"/>
      <c r="TH99" s="18"/>
      <c r="TI99" s="18"/>
      <c r="TJ99" s="18"/>
      <c r="TK99" s="18"/>
      <c r="TL99" s="18"/>
      <c r="TM99" s="18"/>
      <c r="TN99" s="18"/>
      <c r="TO99" s="18"/>
      <c r="TP99" s="18"/>
      <c r="TQ99" s="18"/>
      <c r="TR99" s="18"/>
      <c r="TS99" s="18"/>
      <c r="TT99" s="18"/>
      <c r="TU99" s="18"/>
      <c r="TV99" s="18"/>
      <c r="TW99" s="18"/>
      <c r="TX99" s="18"/>
      <c r="TY99" s="18"/>
      <c r="TZ99" s="18"/>
      <c r="UA99" s="18"/>
      <c r="UB99" s="18"/>
      <c r="UC99" s="18"/>
      <c r="UD99" s="18"/>
      <c r="UE99" s="18"/>
      <c r="UF99" s="18"/>
      <c r="UG99" s="18"/>
      <c r="UH99" s="18"/>
      <c r="UI99" s="18"/>
      <c r="UJ99" s="18"/>
      <c r="UK99" s="18"/>
      <c r="UL99" s="18"/>
      <c r="UM99" s="18"/>
      <c r="UN99" s="18"/>
      <c r="UO99" s="18"/>
      <c r="UP99" s="18"/>
      <c r="UQ99" s="18"/>
      <c r="UR99" s="18"/>
      <c r="US99" s="18"/>
      <c r="UT99" s="18"/>
      <c r="UU99" s="18"/>
      <c r="UV99" s="18"/>
      <c r="UW99" s="18"/>
      <c r="UX99" s="18"/>
      <c r="UY99" s="18"/>
      <c r="UZ99" s="18"/>
      <c r="VA99" s="18"/>
      <c r="VB99" s="18"/>
      <c r="VC99" s="18"/>
      <c r="VD99" s="18"/>
      <c r="VE99" s="18"/>
      <c r="VF99" s="18"/>
      <c r="VG99" s="18"/>
      <c r="VH99" s="18"/>
      <c r="VI99" s="18"/>
      <c r="VJ99" s="18"/>
      <c r="VK99" s="18"/>
      <c r="VL99" s="18"/>
      <c r="VM99" s="18"/>
      <c r="VN99" s="18"/>
      <c r="VO99" s="18"/>
      <c r="VP99" s="18"/>
      <c r="VQ99" s="18"/>
      <c r="VR99" s="18"/>
      <c r="VS99" s="18"/>
      <c r="VT99" s="18"/>
      <c r="VU99" s="18"/>
      <c r="VV99" s="18"/>
      <c r="VW99" s="18"/>
      <c r="VX99" s="18"/>
      <c r="VY99" s="18"/>
      <c r="VZ99" s="18"/>
      <c r="WA99" s="18"/>
      <c r="WB99" s="18"/>
      <c r="WC99" s="18"/>
      <c r="WD99" s="18"/>
      <c r="WE99" s="18"/>
      <c r="WF99" s="18"/>
      <c r="WG99" s="18"/>
      <c r="WH99" s="18"/>
      <c r="WI99" s="18"/>
      <c r="WJ99" s="18"/>
      <c r="WK99" s="18"/>
      <c r="WL99" s="18"/>
      <c r="WM99" s="18"/>
      <c r="WN99" s="18"/>
      <c r="WO99" s="18"/>
      <c r="WP99" s="18"/>
      <c r="WQ99" s="18"/>
      <c r="WR99" s="18"/>
      <c r="WS99" s="18"/>
      <c r="WT99" s="18"/>
      <c r="WU99" s="18"/>
      <c r="WV99" s="18"/>
      <c r="WW99" s="18"/>
      <c r="WX99" s="18"/>
      <c r="WY99" s="18"/>
      <c r="WZ99" s="18"/>
      <c r="XA99" s="18"/>
      <c r="XB99" s="18"/>
      <c r="XC99" s="18"/>
      <c r="XD99" s="18"/>
      <c r="XE99" s="18"/>
      <c r="XF99" s="18"/>
      <c r="XG99" s="18"/>
      <c r="XH99" s="18"/>
      <c r="XI99" s="18"/>
      <c r="XJ99" s="18"/>
      <c r="XK99" s="18"/>
      <c r="XL99" s="18"/>
      <c r="XM99" s="18"/>
      <c r="XN99" s="18"/>
      <c r="XO99" s="18"/>
      <c r="XP99" s="18"/>
      <c r="XQ99" s="18"/>
      <c r="XR99" s="18"/>
      <c r="XS99" s="18"/>
      <c r="XT99" s="18"/>
      <c r="XU99" s="18"/>
      <c r="XV99" s="18"/>
      <c r="XW99" s="18"/>
      <c r="XX99" s="18"/>
      <c r="XY99" s="18"/>
      <c r="XZ99" s="18"/>
      <c r="YA99" s="18"/>
      <c r="YB99" s="18"/>
      <c r="YC99" s="18"/>
      <c r="YD99" s="18"/>
      <c r="YE99" s="18"/>
      <c r="YF99" s="18"/>
      <c r="YG99" s="18"/>
      <c r="YH99" s="18"/>
      <c r="YI99" s="18"/>
      <c r="YJ99" s="18"/>
      <c r="YK99" s="18"/>
      <c r="YL99" s="18"/>
      <c r="YM99" s="18"/>
      <c r="YN99" s="18"/>
      <c r="YO99" s="18"/>
      <c r="YP99" s="18"/>
      <c r="YQ99" s="18"/>
      <c r="YR99" s="18"/>
      <c r="YS99" s="18"/>
      <c r="YT99" s="18"/>
      <c r="YU99" s="18"/>
      <c r="YV99" s="18"/>
      <c r="YW99" s="18"/>
      <c r="YX99" s="18"/>
      <c r="YY99" s="18"/>
      <c r="YZ99" s="18"/>
      <c r="ZA99" s="18"/>
      <c r="ZB99" s="18"/>
      <c r="ZC99" s="18"/>
      <c r="ZD99" s="18"/>
      <c r="ZE99" s="18"/>
      <c r="ZF99" s="18"/>
      <c r="ZG99" s="18"/>
      <c r="ZH99" s="18"/>
      <c r="ZI99" s="18"/>
      <c r="ZJ99" s="18"/>
      <c r="ZK99" s="18"/>
      <c r="ZL99" s="18"/>
      <c r="ZM99" s="18"/>
      <c r="ZN99" s="18"/>
      <c r="ZO99" s="18"/>
      <c r="ZP99" s="18"/>
      <c r="ZQ99" s="18"/>
      <c r="ZR99" s="18"/>
      <c r="ZS99" s="18"/>
      <c r="ZT99" s="18"/>
      <c r="ZU99" s="18"/>
      <c r="ZV99" s="18"/>
      <c r="ZW99" s="18"/>
      <c r="ZX99" s="18"/>
      <c r="ZY99" s="18"/>
      <c r="ZZ99" s="18"/>
      <c r="AAA99" s="18"/>
      <c r="AAB99" s="18"/>
      <c r="AAC99" s="18"/>
      <c r="AAD99" s="18"/>
      <c r="AAE99" s="18"/>
      <c r="AAF99" s="18"/>
      <c r="AAG99" s="18"/>
      <c r="AAH99" s="18"/>
      <c r="AAI99" s="18"/>
      <c r="AAJ99" s="18"/>
      <c r="AAK99" s="18"/>
      <c r="AAL99" s="18"/>
      <c r="AAM99" s="18"/>
      <c r="AAN99" s="18"/>
      <c r="AAO99" s="18"/>
      <c r="AAP99" s="18"/>
      <c r="AAQ99" s="18"/>
      <c r="AAR99" s="18"/>
      <c r="AAS99" s="18"/>
      <c r="AAT99" s="18"/>
      <c r="AAU99" s="18"/>
      <c r="AAV99" s="18"/>
      <c r="AAW99" s="18"/>
      <c r="AAX99" s="18"/>
      <c r="AAY99" s="18"/>
      <c r="AAZ99" s="18"/>
      <c r="ABA99" s="18"/>
      <c r="ABB99" s="18"/>
      <c r="ABC99" s="18"/>
      <c r="ABD99" s="18"/>
      <c r="ABE99" s="18"/>
      <c r="ABF99" s="18"/>
      <c r="ABG99" s="18"/>
      <c r="ABH99" s="18"/>
      <c r="ABI99" s="18"/>
      <c r="ABJ99" s="18"/>
      <c r="ABK99" s="18"/>
      <c r="ABL99" s="18"/>
      <c r="ABM99" s="18"/>
      <c r="ABN99" s="18"/>
      <c r="ABO99" s="18"/>
      <c r="ABP99" s="18"/>
      <c r="ABQ99" s="18"/>
      <c r="ABR99" s="18"/>
      <c r="ABS99" s="18"/>
      <c r="ABT99" s="18"/>
      <c r="ABU99" s="18"/>
      <c r="ABV99" s="18"/>
      <c r="ABW99" s="18"/>
      <c r="ABX99" s="18"/>
      <c r="ABY99" s="18"/>
      <c r="ABZ99" s="18"/>
      <c r="ACA99" s="18"/>
      <c r="ACB99" s="18"/>
      <c r="ACC99" s="18"/>
      <c r="ACD99" s="18"/>
      <c r="ACE99" s="18"/>
      <c r="ACF99" s="18"/>
      <c r="ACG99" s="18"/>
      <c r="ACH99" s="18"/>
      <c r="ACI99" s="18"/>
      <c r="ACJ99" s="18"/>
      <c r="ACK99" s="18"/>
      <c r="ACL99" s="18"/>
      <c r="ACM99" s="18"/>
      <c r="ACN99" s="18"/>
      <c r="ACO99" s="18"/>
      <c r="ACP99" s="18"/>
      <c r="ACQ99" s="18"/>
      <c r="ACR99" s="18"/>
      <c r="ACS99" s="18"/>
      <c r="ACT99" s="18"/>
      <c r="ACU99" s="18"/>
      <c r="ACV99" s="18"/>
      <c r="ACW99" s="18"/>
      <c r="ACX99" s="18"/>
      <c r="ACY99" s="18"/>
      <c r="ACZ99" s="18"/>
      <c r="ADA99" s="18"/>
      <c r="ADB99" s="18"/>
      <c r="ADC99" s="18"/>
      <c r="ADD99" s="18"/>
      <c r="ADE99" s="18"/>
      <c r="ADF99" s="18"/>
      <c r="ADG99" s="18"/>
      <c r="ADH99" s="18"/>
      <c r="ADI99" s="18"/>
      <c r="ADJ99" s="18"/>
      <c r="ADK99" s="18"/>
      <c r="ADL99" s="18"/>
      <c r="ADM99" s="18"/>
      <c r="ADN99" s="18"/>
      <c r="ADO99" s="18"/>
      <c r="ADP99" s="18"/>
      <c r="ADQ99" s="18"/>
      <c r="ADR99" s="18"/>
      <c r="ADS99" s="18"/>
      <c r="ADT99" s="18"/>
      <c r="ADU99" s="18"/>
      <c r="ADV99" s="18"/>
      <c r="ADW99" s="18"/>
      <c r="ADX99" s="18"/>
      <c r="ADY99" s="18"/>
      <c r="ADZ99" s="18"/>
      <c r="AEA99" s="18"/>
      <c r="AEB99" s="18"/>
      <c r="AEC99" s="18"/>
      <c r="AED99" s="18"/>
      <c r="AEE99" s="18"/>
      <c r="AEF99" s="18"/>
      <c r="AEG99" s="18"/>
      <c r="AEH99" s="18"/>
      <c r="AEI99" s="18"/>
      <c r="AEJ99" s="18"/>
      <c r="AEK99" s="18"/>
      <c r="AEL99" s="18"/>
      <c r="AEM99" s="18"/>
      <c r="AEN99" s="18"/>
      <c r="AEO99" s="18"/>
      <c r="AEP99" s="18"/>
      <c r="AEQ99" s="18"/>
      <c r="AER99" s="18"/>
      <c r="AES99" s="18"/>
      <c r="AET99" s="18"/>
      <c r="AEU99" s="18"/>
      <c r="AEV99" s="18"/>
      <c r="AEW99" s="18"/>
      <c r="AEX99" s="18"/>
      <c r="AEY99" s="18"/>
      <c r="AEZ99" s="18"/>
      <c r="AFA99" s="18"/>
      <c r="AFB99" s="18"/>
      <c r="AFC99" s="18"/>
      <c r="AFD99" s="18"/>
      <c r="AFE99" s="18"/>
      <c r="AFF99" s="18"/>
      <c r="AFG99" s="18"/>
      <c r="AFH99" s="18"/>
      <c r="AFI99" s="18"/>
      <c r="AFJ99" s="18"/>
      <c r="AFK99" s="18"/>
      <c r="AFL99" s="18"/>
      <c r="AFM99" s="18"/>
      <c r="AFN99" s="18"/>
      <c r="AFO99" s="18"/>
      <c r="AFP99" s="18"/>
      <c r="AFQ99" s="18"/>
      <c r="AFR99" s="18"/>
      <c r="AFS99" s="18"/>
      <c r="AFT99" s="18"/>
      <c r="AFU99" s="18"/>
      <c r="AFV99" s="18"/>
      <c r="AFW99" s="18"/>
      <c r="AFX99" s="18"/>
      <c r="AFY99" s="18"/>
      <c r="AFZ99" s="18"/>
      <c r="AGA99" s="18"/>
      <c r="AGB99" s="18"/>
      <c r="AGC99" s="18"/>
      <c r="AGD99" s="18"/>
      <c r="AGE99" s="18"/>
      <c r="AGF99" s="18"/>
      <c r="AGG99" s="18"/>
      <c r="AGH99" s="18"/>
      <c r="AGI99" s="18"/>
      <c r="AGJ99" s="18"/>
      <c r="AGK99" s="18"/>
      <c r="AGL99" s="18"/>
      <c r="AGM99" s="18"/>
      <c r="AGN99" s="18"/>
      <c r="AGO99" s="18"/>
      <c r="AGP99" s="18"/>
      <c r="AGQ99" s="18"/>
      <c r="AGR99" s="18"/>
      <c r="AGS99" s="18"/>
      <c r="AGT99" s="18"/>
      <c r="AGU99" s="18"/>
      <c r="AGV99" s="18"/>
      <c r="AGW99" s="18"/>
      <c r="AGX99" s="18"/>
      <c r="AGY99" s="18"/>
      <c r="AGZ99" s="18"/>
      <c r="AHA99" s="18"/>
      <c r="AHB99" s="18"/>
      <c r="AHC99" s="18"/>
      <c r="AHD99" s="18"/>
      <c r="AHE99" s="18"/>
      <c r="AHF99" s="18"/>
      <c r="AHG99" s="18"/>
      <c r="AHH99" s="18"/>
      <c r="AHI99" s="18"/>
      <c r="AHJ99" s="18"/>
      <c r="AHK99" s="18"/>
      <c r="AHL99" s="18"/>
      <c r="AHM99" s="18"/>
      <c r="AHN99" s="18"/>
      <c r="AHO99" s="18"/>
      <c r="AHP99" s="18"/>
      <c r="AHQ99" s="18"/>
      <c r="AHR99" s="18"/>
      <c r="AHS99" s="18"/>
      <c r="AHT99" s="18"/>
      <c r="AHU99" s="18"/>
      <c r="AHV99" s="18"/>
      <c r="AHW99" s="18"/>
      <c r="AHX99" s="18"/>
      <c r="AHY99" s="18"/>
      <c r="AHZ99" s="18"/>
      <c r="AIA99" s="18"/>
      <c r="AIB99" s="18"/>
      <c r="AIC99" s="18"/>
      <c r="AID99" s="18"/>
      <c r="AIE99" s="18"/>
      <c r="AIF99" s="18"/>
      <c r="AIG99" s="18"/>
      <c r="AIH99" s="18"/>
      <c r="AII99" s="18"/>
      <c r="AIJ99" s="18"/>
      <c r="AIK99" s="18"/>
      <c r="AIL99" s="18"/>
      <c r="AIM99" s="18"/>
      <c r="AIN99" s="18"/>
      <c r="AIO99" s="18"/>
      <c r="AIP99" s="18"/>
      <c r="AIQ99" s="18"/>
      <c r="AIR99" s="18"/>
      <c r="AIS99" s="18"/>
      <c r="AIT99" s="18"/>
      <c r="AIU99" s="18"/>
      <c r="AIV99" s="18"/>
      <c r="AIW99" s="18"/>
      <c r="AIX99" s="18"/>
      <c r="AIY99" s="18"/>
      <c r="AIZ99" s="18"/>
      <c r="AJA99" s="18"/>
      <c r="AJB99" s="18"/>
      <c r="AJC99" s="18"/>
      <c r="AJD99" s="18"/>
      <c r="AJE99" s="18"/>
      <c r="AJF99" s="18"/>
      <c r="AJG99" s="18"/>
      <c r="AJH99" s="18"/>
      <c r="AJI99" s="18"/>
      <c r="AJJ99" s="18"/>
      <c r="AJK99" s="18"/>
      <c r="AJL99" s="18"/>
      <c r="AJM99" s="18"/>
      <c r="AJN99" s="18"/>
      <c r="AJO99" s="18"/>
      <c r="AJP99" s="18"/>
      <c r="AJQ99" s="18"/>
      <c r="AJR99" s="18"/>
      <c r="AJS99" s="18"/>
      <c r="AJT99" s="18"/>
      <c r="AJU99" s="18"/>
      <c r="AJV99" s="18"/>
      <c r="AJW99" s="18"/>
      <c r="AJX99" s="18"/>
      <c r="AJY99" s="18"/>
      <c r="AJZ99" s="18"/>
      <c r="AKA99" s="18"/>
      <c r="AKB99" s="18"/>
      <c r="AKC99" s="18"/>
      <c r="AKD99" s="18"/>
      <c r="AKE99" s="18"/>
      <c r="AKF99" s="18"/>
      <c r="AKG99" s="18"/>
      <c r="AKH99" s="18"/>
      <c r="AKI99" s="18"/>
      <c r="AKJ99" s="18"/>
      <c r="AKK99" s="18"/>
      <c r="AKL99" s="18"/>
      <c r="AKM99" s="18"/>
      <c r="AKN99" s="18"/>
      <c r="AKO99" s="18"/>
      <c r="AKP99" s="18"/>
      <c r="AKQ99" s="18"/>
      <c r="AKR99" s="18"/>
      <c r="AKS99" s="18"/>
      <c r="AKT99" s="18"/>
      <c r="AKU99" s="18"/>
      <c r="AKV99" s="18"/>
      <c r="AKW99" s="18"/>
      <c r="AKX99" s="18"/>
      <c r="AKY99" s="18"/>
      <c r="AKZ99" s="18"/>
      <c r="ALA99" s="18"/>
      <c r="ALB99" s="18"/>
      <c r="ALC99" s="18"/>
      <c r="ALD99" s="18"/>
      <c r="ALE99" s="18"/>
      <c r="ALF99" s="18"/>
      <c r="ALG99" s="18"/>
      <c r="ALH99" s="18"/>
      <c r="ALI99" s="18"/>
      <c r="ALJ99" s="18"/>
      <c r="ALK99" s="18"/>
      <c r="ALL99" s="18"/>
      <c r="ALM99" s="18"/>
      <c r="ALN99" s="18"/>
      <c r="ALO99" s="18"/>
      <c r="ALP99" s="18"/>
      <c r="ALQ99" s="18"/>
      <c r="ALR99" s="18"/>
      <c r="ALS99" s="18"/>
      <c r="ALT99" s="18"/>
    </row>
    <row r="100" spans="1:1008" ht="24">
      <c r="A100" s="251" t="s">
        <v>7</v>
      </c>
      <c r="B100" s="290">
        <v>88495</v>
      </c>
      <c r="C100" s="278" t="str">
        <f>(IF($A100="SINAPI",INDEX(SINAPI_NOV2020_NDES!$A$7:$H$6703,MATCH($B100,SINAPI_NOV2020_NDES!$A$7:$A$6703,0),2),IF($A100="GOINFRA",INDEX(#REF!,MATCH($B100,#REF!,0),2),(INDEX(COMPOS!$A$4:$G$390,MATCH($B100,COMPOS!$A$4:A$390,0),2)))))</f>
        <v>APLICAÇÃO E LIXAMENTO DE MASSA LÁTEX EM PAREDES, UMA DEMÃO. AF_06/2014</v>
      </c>
      <c r="D100" s="274" t="str">
        <f>(IF($A100="SINAPI",INDEX(SINAPI_NOV2020_NDES!$A$7:$H$6790,MATCH($B100,SINAPI_NOV2020_NDES!$A$7:$A$6790,0),3),(INDEX(COMPOS!$A$4:$G$5000,MATCH($B100,COMPOS!$A$4:$A$5000,0),3))))</f>
        <v>M2</v>
      </c>
      <c r="E100" s="314">
        <v>50.46</v>
      </c>
      <c r="F100" s="279">
        <f>(IF($A100="SINAPI",INDEX(SINAPI_NOV2020_NDES!$A$7:$H$6703,MATCH($B100,SINAPI_NOV2020_NDES!$A$7:$A$6703,0),5),(INDEX(COMPOS!$A$4:$G$801,MATCH($B100,COMPOS!$A$4:A$801,0),4))))</f>
        <v>4.93</v>
      </c>
      <c r="G100" s="280">
        <f>(IF($A100="SINAPI",INDEX(SINAPI_NOV2020_NDES!$A$7:$H$6703,MATCH($B100,SINAPI_NOV2020_NDES!$A$7:$A$6703,0),6),(INDEX(COMPOS!$A$4:$G$801,MATCH($B100,COMPOS!$A$4:A$801,0),5))))</f>
        <v>3.35</v>
      </c>
      <c r="H100" s="280">
        <f>(IF($A100="SINAPI",INDEX(SINAPI_NOV2020_NDES!$A$7:$H$6703,MATCH($B100,SINAPI_NOV2020_NDES!$A$7:$A$6703,0),7),(INDEX(COMPOS!$A$4:$G$801,MATCH($B100,COMPOS!$A$4:A$801,0),6))))</f>
        <v>0</v>
      </c>
      <c r="I100" s="279">
        <f t="shared" si="40"/>
        <v>8.2799999999999994</v>
      </c>
      <c r="J100" s="276">
        <f t="shared" si="41"/>
        <v>417.80879999999996</v>
      </c>
      <c r="K100" s="191"/>
      <c r="L100" s="191"/>
      <c r="M100" s="191"/>
      <c r="N100" s="191"/>
      <c r="O100" s="262"/>
      <c r="P100" s="263"/>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c r="IP100" s="18"/>
      <c r="IQ100" s="18"/>
      <c r="IR100" s="18"/>
      <c r="IS100" s="18"/>
      <c r="IT100" s="18"/>
      <c r="IU100" s="18"/>
      <c r="IV100" s="18"/>
      <c r="IW100" s="18"/>
      <c r="IX100" s="18"/>
      <c r="IY100" s="18"/>
      <c r="IZ100" s="18"/>
      <c r="JA100" s="18"/>
      <c r="JB100" s="18"/>
      <c r="JC100" s="18"/>
      <c r="JD100" s="18"/>
      <c r="JE100" s="18"/>
      <c r="JF100" s="18"/>
      <c r="JG100" s="18"/>
      <c r="JH100" s="18"/>
      <c r="JI100" s="18"/>
      <c r="JJ100" s="18"/>
      <c r="JK100" s="18"/>
      <c r="JL100" s="18"/>
      <c r="JM100" s="18"/>
      <c r="JN100" s="18"/>
      <c r="JO100" s="18"/>
      <c r="JP100" s="18"/>
      <c r="JQ100" s="18"/>
      <c r="JR100" s="18"/>
      <c r="JS100" s="18"/>
      <c r="JT100" s="18"/>
      <c r="JU100" s="18"/>
      <c r="JV100" s="18"/>
      <c r="JW100" s="18"/>
      <c r="JX100" s="18"/>
      <c r="JY100" s="18"/>
      <c r="JZ100" s="18"/>
      <c r="KA100" s="18"/>
      <c r="KB100" s="18"/>
      <c r="KC100" s="18"/>
      <c r="KD100" s="18"/>
      <c r="KE100" s="18"/>
      <c r="KF100" s="18"/>
      <c r="KG100" s="18"/>
      <c r="KH100" s="18"/>
      <c r="KI100" s="18"/>
      <c r="KJ100" s="18"/>
      <c r="KK100" s="18"/>
      <c r="KL100" s="18"/>
      <c r="KM100" s="18"/>
      <c r="KN100" s="18"/>
      <c r="KO100" s="18"/>
      <c r="KP100" s="18"/>
      <c r="KQ100" s="18"/>
      <c r="KR100" s="18"/>
      <c r="KS100" s="18"/>
      <c r="KT100" s="18"/>
      <c r="KU100" s="18"/>
      <c r="KV100" s="18"/>
      <c r="KW100" s="18"/>
      <c r="KX100" s="18"/>
      <c r="KY100" s="18"/>
      <c r="KZ100" s="18"/>
      <c r="LA100" s="18"/>
      <c r="LB100" s="18"/>
      <c r="LC100" s="18"/>
      <c r="LD100" s="18"/>
      <c r="LE100" s="18"/>
      <c r="LF100" s="18"/>
      <c r="LG100" s="18"/>
      <c r="LH100" s="18"/>
      <c r="LI100" s="18"/>
      <c r="LJ100" s="18"/>
      <c r="LK100" s="18"/>
      <c r="LL100" s="18"/>
      <c r="LM100" s="18"/>
      <c r="LN100" s="18"/>
      <c r="LO100" s="18"/>
      <c r="LP100" s="18"/>
      <c r="LQ100" s="18"/>
      <c r="LR100" s="18"/>
      <c r="LS100" s="18"/>
      <c r="LT100" s="18"/>
      <c r="LU100" s="18"/>
      <c r="LV100" s="18"/>
      <c r="LW100" s="18"/>
      <c r="LX100" s="18"/>
      <c r="LY100" s="18"/>
      <c r="LZ100" s="18"/>
      <c r="MA100" s="18"/>
      <c r="MB100" s="18"/>
      <c r="MC100" s="18"/>
      <c r="MD100" s="18"/>
      <c r="ME100" s="18"/>
      <c r="MF100" s="18"/>
      <c r="MG100" s="18"/>
      <c r="MH100" s="18"/>
      <c r="MI100" s="18"/>
      <c r="MJ100" s="18"/>
      <c r="MK100" s="18"/>
      <c r="ML100" s="18"/>
      <c r="MM100" s="18"/>
      <c r="MN100" s="18"/>
      <c r="MO100" s="18"/>
      <c r="MP100" s="18"/>
      <c r="MQ100" s="18"/>
      <c r="MR100" s="18"/>
      <c r="MS100" s="18"/>
      <c r="MT100" s="18"/>
      <c r="MU100" s="18"/>
      <c r="MV100" s="18"/>
      <c r="MW100" s="18"/>
      <c r="MX100" s="18"/>
      <c r="MY100" s="18"/>
      <c r="MZ100" s="18"/>
      <c r="NA100" s="18"/>
      <c r="NB100" s="18"/>
      <c r="NC100" s="18"/>
      <c r="ND100" s="18"/>
      <c r="NE100" s="18"/>
      <c r="NF100" s="18"/>
      <c r="NG100" s="18"/>
      <c r="NH100" s="18"/>
      <c r="NI100" s="18"/>
      <c r="NJ100" s="18"/>
      <c r="NK100" s="18"/>
      <c r="NL100" s="18"/>
      <c r="NM100" s="18"/>
      <c r="NN100" s="18"/>
      <c r="NO100" s="18"/>
      <c r="NP100" s="18"/>
      <c r="NQ100" s="18"/>
      <c r="NR100" s="18"/>
      <c r="NS100" s="18"/>
      <c r="NT100" s="18"/>
      <c r="NU100" s="18"/>
      <c r="NV100" s="18"/>
      <c r="NW100" s="18"/>
      <c r="NX100" s="18"/>
      <c r="NY100" s="18"/>
      <c r="NZ100" s="18"/>
      <c r="OA100" s="18"/>
      <c r="OB100" s="18"/>
      <c r="OC100" s="18"/>
      <c r="OD100" s="18"/>
      <c r="OE100" s="18"/>
      <c r="OF100" s="18"/>
      <c r="OG100" s="18"/>
      <c r="OH100" s="18"/>
      <c r="OI100" s="18"/>
      <c r="OJ100" s="18"/>
      <c r="OK100" s="18"/>
      <c r="OL100" s="18"/>
      <c r="OM100" s="18"/>
      <c r="ON100" s="18"/>
      <c r="OO100" s="18"/>
      <c r="OP100" s="18"/>
      <c r="OQ100" s="18"/>
      <c r="OR100" s="18"/>
      <c r="OS100" s="18"/>
      <c r="OT100" s="18"/>
      <c r="OU100" s="18"/>
      <c r="OV100" s="18"/>
      <c r="OW100" s="18"/>
      <c r="OX100" s="18"/>
      <c r="OY100" s="18"/>
      <c r="OZ100" s="18"/>
      <c r="PA100" s="18"/>
      <c r="PB100" s="18"/>
      <c r="PC100" s="18"/>
      <c r="PD100" s="18"/>
      <c r="PE100" s="18"/>
      <c r="PF100" s="18"/>
      <c r="PG100" s="18"/>
      <c r="PH100" s="18"/>
      <c r="PI100" s="18"/>
      <c r="PJ100" s="18"/>
      <c r="PK100" s="18"/>
      <c r="PL100" s="18"/>
      <c r="PM100" s="18"/>
      <c r="PN100" s="18"/>
      <c r="PO100" s="18"/>
      <c r="PP100" s="18"/>
      <c r="PQ100" s="18"/>
      <c r="PR100" s="18"/>
      <c r="PS100" s="18"/>
      <c r="PT100" s="18"/>
      <c r="PU100" s="18"/>
      <c r="PV100" s="18"/>
      <c r="PW100" s="18"/>
      <c r="PX100" s="18"/>
      <c r="PY100" s="18"/>
      <c r="PZ100" s="18"/>
      <c r="QA100" s="18"/>
      <c r="QB100" s="18"/>
      <c r="QC100" s="18"/>
      <c r="QD100" s="18"/>
      <c r="QE100" s="18"/>
      <c r="QF100" s="18"/>
      <c r="QG100" s="18"/>
      <c r="QH100" s="18"/>
      <c r="QI100" s="18"/>
      <c r="QJ100" s="18"/>
      <c r="QK100" s="18"/>
      <c r="QL100" s="18"/>
      <c r="QM100" s="18"/>
      <c r="QN100" s="18"/>
      <c r="QO100" s="18"/>
      <c r="QP100" s="18"/>
      <c r="QQ100" s="18"/>
      <c r="QR100" s="18"/>
      <c r="QS100" s="18"/>
      <c r="QT100" s="18"/>
      <c r="QU100" s="18"/>
      <c r="QV100" s="18"/>
      <c r="QW100" s="18"/>
      <c r="QX100" s="18"/>
      <c r="QY100" s="18"/>
      <c r="QZ100" s="18"/>
      <c r="RA100" s="18"/>
      <c r="RB100" s="18"/>
      <c r="RC100" s="18"/>
      <c r="RD100" s="18"/>
      <c r="RE100" s="18"/>
      <c r="RF100" s="18"/>
      <c r="RG100" s="18"/>
      <c r="RH100" s="18"/>
      <c r="RI100" s="18"/>
      <c r="RJ100" s="18"/>
      <c r="RK100" s="18"/>
      <c r="RL100" s="18"/>
      <c r="RM100" s="18"/>
      <c r="RN100" s="18"/>
      <c r="RO100" s="18"/>
      <c r="RP100" s="18"/>
      <c r="RQ100" s="18"/>
      <c r="RR100" s="18"/>
      <c r="RS100" s="18"/>
      <c r="RT100" s="18"/>
      <c r="RU100" s="18"/>
      <c r="RV100" s="18"/>
      <c r="RW100" s="18"/>
      <c r="RX100" s="18"/>
      <c r="RY100" s="18"/>
      <c r="RZ100" s="18"/>
      <c r="SA100" s="18"/>
      <c r="SB100" s="18"/>
      <c r="SC100" s="18"/>
      <c r="SD100" s="18"/>
      <c r="SE100" s="18"/>
      <c r="SF100" s="18"/>
      <c r="SG100" s="18"/>
      <c r="SH100" s="18"/>
      <c r="SI100" s="18"/>
      <c r="SJ100" s="18"/>
      <c r="SK100" s="18"/>
      <c r="SL100" s="18"/>
      <c r="SM100" s="18"/>
      <c r="SN100" s="18"/>
      <c r="SO100" s="18"/>
      <c r="SP100" s="18"/>
      <c r="SQ100" s="18"/>
      <c r="SR100" s="18"/>
      <c r="SS100" s="18"/>
      <c r="ST100" s="18"/>
      <c r="SU100" s="18"/>
      <c r="SV100" s="18"/>
      <c r="SW100" s="18"/>
      <c r="SX100" s="18"/>
      <c r="SY100" s="18"/>
      <c r="SZ100" s="18"/>
      <c r="TA100" s="18"/>
      <c r="TB100" s="18"/>
      <c r="TC100" s="18"/>
      <c r="TD100" s="18"/>
      <c r="TE100" s="18"/>
      <c r="TF100" s="18"/>
      <c r="TG100" s="18"/>
      <c r="TH100" s="18"/>
      <c r="TI100" s="18"/>
      <c r="TJ100" s="18"/>
      <c r="TK100" s="18"/>
      <c r="TL100" s="18"/>
      <c r="TM100" s="18"/>
      <c r="TN100" s="18"/>
      <c r="TO100" s="18"/>
      <c r="TP100" s="18"/>
      <c r="TQ100" s="18"/>
      <c r="TR100" s="18"/>
      <c r="TS100" s="18"/>
      <c r="TT100" s="18"/>
      <c r="TU100" s="18"/>
      <c r="TV100" s="18"/>
      <c r="TW100" s="18"/>
      <c r="TX100" s="18"/>
      <c r="TY100" s="18"/>
      <c r="TZ100" s="18"/>
      <c r="UA100" s="18"/>
      <c r="UB100" s="18"/>
      <c r="UC100" s="18"/>
      <c r="UD100" s="18"/>
      <c r="UE100" s="18"/>
      <c r="UF100" s="18"/>
      <c r="UG100" s="18"/>
      <c r="UH100" s="18"/>
      <c r="UI100" s="18"/>
      <c r="UJ100" s="18"/>
      <c r="UK100" s="18"/>
      <c r="UL100" s="18"/>
      <c r="UM100" s="18"/>
      <c r="UN100" s="18"/>
      <c r="UO100" s="18"/>
      <c r="UP100" s="18"/>
      <c r="UQ100" s="18"/>
      <c r="UR100" s="18"/>
      <c r="US100" s="18"/>
      <c r="UT100" s="18"/>
      <c r="UU100" s="18"/>
      <c r="UV100" s="18"/>
      <c r="UW100" s="18"/>
      <c r="UX100" s="18"/>
      <c r="UY100" s="18"/>
      <c r="UZ100" s="18"/>
      <c r="VA100" s="18"/>
      <c r="VB100" s="18"/>
      <c r="VC100" s="18"/>
      <c r="VD100" s="18"/>
      <c r="VE100" s="18"/>
      <c r="VF100" s="18"/>
      <c r="VG100" s="18"/>
      <c r="VH100" s="18"/>
      <c r="VI100" s="18"/>
      <c r="VJ100" s="18"/>
      <c r="VK100" s="18"/>
      <c r="VL100" s="18"/>
      <c r="VM100" s="18"/>
      <c r="VN100" s="18"/>
      <c r="VO100" s="18"/>
      <c r="VP100" s="18"/>
      <c r="VQ100" s="18"/>
      <c r="VR100" s="18"/>
      <c r="VS100" s="18"/>
      <c r="VT100" s="18"/>
      <c r="VU100" s="18"/>
      <c r="VV100" s="18"/>
      <c r="VW100" s="18"/>
      <c r="VX100" s="18"/>
      <c r="VY100" s="18"/>
      <c r="VZ100" s="18"/>
      <c r="WA100" s="18"/>
      <c r="WB100" s="18"/>
      <c r="WC100" s="18"/>
      <c r="WD100" s="18"/>
      <c r="WE100" s="18"/>
      <c r="WF100" s="18"/>
      <c r="WG100" s="18"/>
      <c r="WH100" s="18"/>
      <c r="WI100" s="18"/>
      <c r="WJ100" s="18"/>
      <c r="WK100" s="18"/>
      <c r="WL100" s="18"/>
      <c r="WM100" s="18"/>
      <c r="WN100" s="18"/>
      <c r="WO100" s="18"/>
      <c r="WP100" s="18"/>
      <c r="WQ100" s="18"/>
      <c r="WR100" s="18"/>
      <c r="WS100" s="18"/>
      <c r="WT100" s="18"/>
      <c r="WU100" s="18"/>
      <c r="WV100" s="18"/>
      <c r="WW100" s="18"/>
      <c r="WX100" s="18"/>
      <c r="WY100" s="18"/>
      <c r="WZ100" s="18"/>
      <c r="XA100" s="18"/>
      <c r="XB100" s="18"/>
      <c r="XC100" s="18"/>
      <c r="XD100" s="18"/>
      <c r="XE100" s="18"/>
      <c r="XF100" s="18"/>
      <c r="XG100" s="18"/>
      <c r="XH100" s="18"/>
      <c r="XI100" s="18"/>
      <c r="XJ100" s="18"/>
      <c r="XK100" s="18"/>
      <c r="XL100" s="18"/>
      <c r="XM100" s="18"/>
      <c r="XN100" s="18"/>
      <c r="XO100" s="18"/>
      <c r="XP100" s="18"/>
      <c r="XQ100" s="18"/>
      <c r="XR100" s="18"/>
      <c r="XS100" s="18"/>
      <c r="XT100" s="18"/>
      <c r="XU100" s="18"/>
      <c r="XV100" s="18"/>
      <c r="XW100" s="18"/>
      <c r="XX100" s="18"/>
      <c r="XY100" s="18"/>
      <c r="XZ100" s="18"/>
      <c r="YA100" s="18"/>
      <c r="YB100" s="18"/>
      <c r="YC100" s="18"/>
      <c r="YD100" s="18"/>
      <c r="YE100" s="18"/>
      <c r="YF100" s="18"/>
      <c r="YG100" s="18"/>
      <c r="YH100" s="18"/>
      <c r="YI100" s="18"/>
      <c r="YJ100" s="18"/>
      <c r="YK100" s="18"/>
      <c r="YL100" s="18"/>
      <c r="YM100" s="18"/>
      <c r="YN100" s="18"/>
      <c r="YO100" s="18"/>
      <c r="YP100" s="18"/>
      <c r="YQ100" s="18"/>
      <c r="YR100" s="18"/>
      <c r="YS100" s="18"/>
      <c r="YT100" s="18"/>
      <c r="YU100" s="18"/>
      <c r="YV100" s="18"/>
      <c r="YW100" s="18"/>
      <c r="YX100" s="18"/>
      <c r="YY100" s="18"/>
      <c r="YZ100" s="18"/>
      <c r="ZA100" s="18"/>
      <c r="ZB100" s="18"/>
      <c r="ZC100" s="18"/>
      <c r="ZD100" s="18"/>
      <c r="ZE100" s="18"/>
      <c r="ZF100" s="18"/>
      <c r="ZG100" s="18"/>
      <c r="ZH100" s="18"/>
      <c r="ZI100" s="18"/>
      <c r="ZJ100" s="18"/>
      <c r="ZK100" s="18"/>
      <c r="ZL100" s="18"/>
      <c r="ZM100" s="18"/>
      <c r="ZN100" s="18"/>
      <c r="ZO100" s="18"/>
      <c r="ZP100" s="18"/>
      <c r="ZQ100" s="18"/>
      <c r="ZR100" s="18"/>
      <c r="ZS100" s="18"/>
      <c r="ZT100" s="18"/>
      <c r="ZU100" s="18"/>
      <c r="ZV100" s="18"/>
      <c r="ZW100" s="18"/>
      <c r="ZX100" s="18"/>
      <c r="ZY100" s="18"/>
      <c r="ZZ100" s="18"/>
      <c r="AAA100" s="18"/>
      <c r="AAB100" s="18"/>
      <c r="AAC100" s="18"/>
      <c r="AAD100" s="18"/>
      <c r="AAE100" s="18"/>
      <c r="AAF100" s="18"/>
      <c r="AAG100" s="18"/>
      <c r="AAH100" s="18"/>
      <c r="AAI100" s="18"/>
      <c r="AAJ100" s="18"/>
      <c r="AAK100" s="18"/>
      <c r="AAL100" s="18"/>
      <c r="AAM100" s="18"/>
      <c r="AAN100" s="18"/>
      <c r="AAO100" s="18"/>
      <c r="AAP100" s="18"/>
      <c r="AAQ100" s="18"/>
      <c r="AAR100" s="18"/>
      <c r="AAS100" s="18"/>
      <c r="AAT100" s="18"/>
      <c r="AAU100" s="18"/>
      <c r="AAV100" s="18"/>
      <c r="AAW100" s="18"/>
      <c r="AAX100" s="18"/>
      <c r="AAY100" s="18"/>
      <c r="AAZ100" s="18"/>
      <c r="ABA100" s="18"/>
      <c r="ABB100" s="18"/>
      <c r="ABC100" s="18"/>
      <c r="ABD100" s="18"/>
      <c r="ABE100" s="18"/>
      <c r="ABF100" s="18"/>
      <c r="ABG100" s="18"/>
      <c r="ABH100" s="18"/>
      <c r="ABI100" s="18"/>
      <c r="ABJ100" s="18"/>
      <c r="ABK100" s="18"/>
      <c r="ABL100" s="18"/>
      <c r="ABM100" s="18"/>
      <c r="ABN100" s="18"/>
      <c r="ABO100" s="18"/>
      <c r="ABP100" s="18"/>
      <c r="ABQ100" s="18"/>
      <c r="ABR100" s="18"/>
      <c r="ABS100" s="18"/>
      <c r="ABT100" s="18"/>
      <c r="ABU100" s="18"/>
      <c r="ABV100" s="18"/>
      <c r="ABW100" s="18"/>
      <c r="ABX100" s="18"/>
      <c r="ABY100" s="18"/>
      <c r="ABZ100" s="18"/>
      <c r="ACA100" s="18"/>
      <c r="ACB100" s="18"/>
      <c r="ACC100" s="18"/>
      <c r="ACD100" s="18"/>
      <c r="ACE100" s="18"/>
      <c r="ACF100" s="18"/>
      <c r="ACG100" s="18"/>
      <c r="ACH100" s="18"/>
      <c r="ACI100" s="18"/>
      <c r="ACJ100" s="18"/>
      <c r="ACK100" s="18"/>
      <c r="ACL100" s="18"/>
      <c r="ACM100" s="18"/>
      <c r="ACN100" s="18"/>
      <c r="ACO100" s="18"/>
      <c r="ACP100" s="18"/>
      <c r="ACQ100" s="18"/>
      <c r="ACR100" s="18"/>
      <c r="ACS100" s="18"/>
      <c r="ACT100" s="18"/>
      <c r="ACU100" s="18"/>
      <c r="ACV100" s="18"/>
      <c r="ACW100" s="18"/>
      <c r="ACX100" s="18"/>
      <c r="ACY100" s="18"/>
      <c r="ACZ100" s="18"/>
      <c r="ADA100" s="18"/>
      <c r="ADB100" s="18"/>
      <c r="ADC100" s="18"/>
      <c r="ADD100" s="18"/>
      <c r="ADE100" s="18"/>
      <c r="ADF100" s="18"/>
      <c r="ADG100" s="18"/>
      <c r="ADH100" s="18"/>
      <c r="ADI100" s="18"/>
      <c r="ADJ100" s="18"/>
      <c r="ADK100" s="18"/>
      <c r="ADL100" s="18"/>
      <c r="ADM100" s="18"/>
      <c r="ADN100" s="18"/>
      <c r="ADO100" s="18"/>
      <c r="ADP100" s="18"/>
      <c r="ADQ100" s="18"/>
      <c r="ADR100" s="18"/>
      <c r="ADS100" s="18"/>
      <c r="ADT100" s="18"/>
      <c r="ADU100" s="18"/>
      <c r="ADV100" s="18"/>
      <c r="ADW100" s="18"/>
      <c r="ADX100" s="18"/>
      <c r="ADY100" s="18"/>
      <c r="ADZ100" s="18"/>
      <c r="AEA100" s="18"/>
      <c r="AEB100" s="18"/>
      <c r="AEC100" s="18"/>
      <c r="AED100" s="18"/>
      <c r="AEE100" s="18"/>
      <c r="AEF100" s="18"/>
      <c r="AEG100" s="18"/>
      <c r="AEH100" s="18"/>
      <c r="AEI100" s="18"/>
      <c r="AEJ100" s="18"/>
      <c r="AEK100" s="18"/>
      <c r="AEL100" s="18"/>
      <c r="AEM100" s="18"/>
      <c r="AEN100" s="18"/>
      <c r="AEO100" s="18"/>
      <c r="AEP100" s="18"/>
      <c r="AEQ100" s="18"/>
      <c r="AER100" s="18"/>
      <c r="AES100" s="18"/>
      <c r="AET100" s="18"/>
      <c r="AEU100" s="18"/>
      <c r="AEV100" s="18"/>
      <c r="AEW100" s="18"/>
      <c r="AEX100" s="18"/>
      <c r="AEY100" s="18"/>
      <c r="AEZ100" s="18"/>
      <c r="AFA100" s="18"/>
      <c r="AFB100" s="18"/>
      <c r="AFC100" s="18"/>
      <c r="AFD100" s="18"/>
      <c r="AFE100" s="18"/>
      <c r="AFF100" s="18"/>
      <c r="AFG100" s="18"/>
      <c r="AFH100" s="18"/>
      <c r="AFI100" s="18"/>
      <c r="AFJ100" s="18"/>
      <c r="AFK100" s="18"/>
      <c r="AFL100" s="18"/>
      <c r="AFM100" s="18"/>
      <c r="AFN100" s="18"/>
      <c r="AFO100" s="18"/>
      <c r="AFP100" s="18"/>
      <c r="AFQ100" s="18"/>
      <c r="AFR100" s="18"/>
      <c r="AFS100" s="18"/>
      <c r="AFT100" s="18"/>
      <c r="AFU100" s="18"/>
      <c r="AFV100" s="18"/>
      <c r="AFW100" s="18"/>
      <c r="AFX100" s="18"/>
      <c r="AFY100" s="18"/>
      <c r="AFZ100" s="18"/>
      <c r="AGA100" s="18"/>
      <c r="AGB100" s="18"/>
      <c r="AGC100" s="18"/>
      <c r="AGD100" s="18"/>
      <c r="AGE100" s="18"/>
      <c r="AGF100" s="18"/>
      <c r="AGG100" s="18"/>
      <c r="AGH100" s="18"/>
      <c r="AGI100" s="18"/>
      <c r="AGJ100" s="18"/>
      <c r="AGK100" s="18"/>
      <c r="AGL100" s="18"/>
      <c r="AGM100" s="18"/>
      <c r="AGN100" s="18"/>
      <c r="AGO100" s="18"/>
      <c r="AGP100" s="18"/>
      <c r="AGQ100" s="18"/>
      <c r="AGR100" s="18"/>
      <c r="AGS100" s="18"/>
      <c r="AGT100" s="18"/>
      <c r="AGU100" s="18"/>
      <c r="AGV100" s="18"/>
      <c r="AGW100" s="18"/>
      <c r="AGX100" s="18"/>
      <c r="AGY100" s="18"/>
      <c r="AGZ100" s="18"/>
      <c r="AHA100" s="18"/>
      <c r="AHB100" s="18"/>
      <c r="AHC100" s="18"/>
      <c r="AHD100" s="18"/>
      <c r="AHE100" s="18"/>
      <c r="AHF100" s="18"/>
      <c r="AHG100" s="18"/>
      <c r="AHH100" s="18"/>
      <c r="AHI100" s="18"/>
      <c r="AHJ100" s="18"/>
      <c r="AHK100" s="18"/>
      <c r="AHL100" s="18"/>
      <c r="AHM100" s="18"/>
      <c r="AHN100" s="18"/>
      <c r="AHO100" s="18"/>
      <c r="AHP100" s="18"/>
      <c r="AHQ100" s="18"/>
      <c r="AHR100" s="18"/>
      <c r="AHS100" s="18"/>
      <c r="AHT100" s="18"/>
      <c r="AHU100" s="18"/>
      <c r="AHV100" s="18"/>
      <c r="AHW100" s="18"/>
      <c r="AHX100" s="18"/>
      <c r="AHY100" s="18"/>
      <c r="AHZ100" s="18"/>
      <c r="AIA100" s="18"/>
      <c r="AIB100" s="18"/>
      <c r="AIC100" s="18"/>
      <c r="AID100" s="18"/>
      <c r="AIE100" s="18"/>
      <c r="AIF100" s="18"/>
      <c r="AIG100" s="18"/>
      <c r="AIH100" s="18"/>
      <c r="AII100" s="18"/>
      <c r="AIJ100" s="18"/>
      <c r="AIK100" s="18"/>
      <c r="AIL100" s="18"/>
      <c r="AIM100" s="18"/>
      <c r="AIN100" s="18"/>
      <c r="AIO100" s="18"/>
      <c r="AIP100" s="18"/>
      <c r="AIQ100" s="18"/>
      <c r="AIR100" s="18"/>
      <c r="AIS100" s="18"/>
      <c r="AIT100" s="18"/>
      <c r="AIU100" s="18"/>
      <c r="AIV100" s="18"/>
      <c r="AIW100" s="18"/>
      <c r="AIX100" s="18"/>
      <c r="AIY100" s="18"/>
      <c r="AIZ100" s="18"/>
      <c r="AJA100" s="18"/>
      <c r="AJB100" s="18"/>
      <c r="AJC100" s="18"/>
      <c r="AJD100" s="18"/>
      <c r="AJE100" s="18"/>
      <c r="AJF100" s="18"/>
      <c r="AJG100" s="18"/>
      <c r="AJH100" s="18"/>
      <c r="AJI100" s="18"/>
      <c r="AJJ100" s="18"/>
      <c r="AJK100" s="18"/>
      <c r="AJL100" s="18"/>
      <c r="AJM100" s="18"/>
      <c r="AJN100" s="18"/>
      <c r="AJO100" s="18"/>
      <c r="AJP100" s="18"/>
      <c r="AJQ100" s="18"/>
      <c r="AJR100" s="18"/>
      <c r="AJS100" s="18"/>
      <c r="AJT100" s="18"/>
      <c r="AJU100" s="18"/>
      <c r="AJV100" s="18"/>
      <c r="AJW100" s="18"/>
      <c r="AJX100" s="18"/>
      <c r="AJY100" s="18"/>
      <c r="AJZ100" s="18"/>
      <c r="AKA100" s="18"/>
      <c r="AKB100" s="18"/>
      <c r="AKC100" s="18"/>
      <c r="AKD100" s="18"/>
      <c r="AKE100" s="18"/>
      <c r="AKF100" s="18"/>
      <c r="AKG100" s="18"/>
      <c r="AKH100" s="18"/>
      <c r="AKI100" s="18"/>
      <c r="AKJ100" s="18"/>
      <c r="AKK100" s="18"/>
      <c r="AKL100" s="18"/>
      <c r="AKM100" s="18"/>
      <c r="AKN100" s="18"/>
      <c r="AKO100" s="18"/>
      <c r="AKP100" s="18"/>
      <c r="AKQ100" s="18"/>
      <c r="AKR100" s="18"/>
      <c r="AKS100" s="18"/>
      <c r="AKT100" s="18"/>
      <c r="AKU100" s="18"/>
      <c r="AKV100" s="18"/>
      <c r="AKW100" s="18"/>
      <c r="AKX100" s="18"/>
      <c r="AKY100" s="18"/>
      <c r="AKZ100" s="18"/>
      <c r="ALA100" s="18"/>
      <c r="ALB100" s="18"/>
      <c r="ALC100" s="18"/>
      <c r="ALD100" s="18"/>
      <c r="ALE100" s="18"/>
      <c r="ALF100" s="18"/>
      <c r="ALG100" s="18"/>
      <c r="ALH100" s="18"/>
      <c r="ALI100" s="18"/>
      <c r="ALJ100" s="18"/>
      <c r="ALK100" s="18"/>
      <c r="ALL100" s="18"/>
      <c r="ALM100" s="18"/>
      <c r="ALN100" s="18"/>
      <c r="ALO100" s="18"/>
      <c r="ALP100" s="18"/>
      <c r="ALQ100" s="18"/>
      <c r="ALR100" s="18"/>
      <c r="ALS100" s="18"/>
      <c r="ALT100" s="18"/>
    </row>
    <row r="101" spans="1:1008">
      <c r="A101" s="251" t="s">
        <v>6307</v>
      </c>
      <c r="B101" s="290">
        <v>230</v>
      </c>
      <c r="C101" s="278" t="str">
        <f>(IF($A101="SINAPI",INDEX(SINAPI_NOV2020_NDES!$A$7:$H$6703,MATCH($B101,SINAPI_NOV2020_NDES!$A$7:$A$6703,0),2),IF($A101="GOINFRA",INDEX(#REF!,MATCH($B101,#REF!,0),2),(INDEX(COMPOS!$A$4:$G$390,MATCH($B101,COMPOS!$A$4:A$390,0),2)))))</f>
        <v>PINTURA ESMALTE ESQUADRIAS METÁLICAS</v>
      </c>
      <c r="D101" s="274" t="str">
        <f>(IF($A101="SINAPI",INDEX(SINAPI_NOV2020_NDES!$A$7:$H$6790,MATCH($B101,SINAPI_NOV2020_NDES!$A$7:$A$6790,0),3),(INDEX(COMPOS!$A$4:$G$5000,MATCH($B101,COMPOS!$A$4:$A$5000,0),3))))</f>
        <v>M2</v>
      </c>
      <c r="E101" s="303">
        <v>58.28</v>
      </c>
      <c r="F101" s="279">
        <f>(IF($A101="SINAPI",INDEX(SINAPI_NOV2020_NDES!$A$7:$H$6703,MATCH($B101,SINAPI_NOV2020_NDES!$A$7:$A$6703,0),5),(INDEX(COMPOS!$A$4:$G$801,MATCH($B101,COMPOS!$A$4:A$801,0),4))))</f>
        <v>15.073703000000002</v>
      </c>
      <c r="G101" s="280">
        <f>(IF($A101="SINAPI",INDEX(SINAPI_NOV2020_NDES!$A$7:$H$6703,MATCH($B101,SINAPI_NOV2020_NDES!$A$7:$A$6703,0),6),(INDEX(COMPOS!$A$4:$G$801,MATCH($B101,COMPOS!$A$4:A$801,0),5))))</f>
        <v>7.2764049999999996</v>
      </c>
      <c r="H101" s="280">
        <f>(IF($A101="SINAPI",INDEX(SINAPI_NOV2020_NDES!$A$7:$H$6703,MATCH($B101,SINAPI_NOV2020_NDES!$A$7:$A$6703,0),7),(INDEX(COMPOS!$A$4:$G$801,MATCH($B101,COMPOS!$A$4:A$801,0),6))))</f>
        <v>0</v>
      </c>
      <c r="I101" s="279">
        <f t="shared" si="40"/>
        <v>22.350108000000002</v>
      </c>
      <c r="J101" s="276">
        <f t="shared" si="41"/>
        <v>1302.5642942400002</v>
      </c>
      <c r="K101" s="191"/>
      <c r="L101" s="191"/>
      <c r="M101" s="191"/>
      <c r="N101" s="191"/>
      <c r="O101" s="262"/>
      <c r="P101" s="263"/>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c r="IP101" s="18"/>
      <c r="IQ101" s="18"/>
      <c r="IR101" s="18"/>
      <c r="IS101" s="18"/>
      <c r="IT101" s="18"/>
      <c r="IU101" s="18"/>
      <c r="IV101" s="18"/>
      <c r="IW101" s="18"/>
      <c r="IX101" s="18"/>
      <c r="IY101" s="18"/>
      <c r="IZ101" s="18"/>
      <c r="JA101" s="18"/>
      <c r="JB101" s="18"/>
      <c r="JC101" s="18"/>
      <c r="JD101" s="18"/>
      <c r="JE101" s="18"/>
      <c r="JF101" s="18"/>
      <c r="JG101" s="18"/>
      <c r="JH101" s="18"/>
      <c r="JI101" s="18"/>
      <c r="JJ101" s="18"/>
      <c r="JK101" s="18"/>
      <c r="JL101" s="18"/>
      <c r="JM101" s="18"/>
      <c r="JN101" s="18"/>
      <c r="JO101" s="18"/>
      <c r="JP101" s="18"/>
      <c r="JQ101" s="18"/>
      <c r="JR101" s="18"/>
      <c r="JS101" s="18"/>
      <c r="JT101" s="18"/>
      <c r="JU101" s="18"/>
      <c r="JV101" s="18"/>
      <c r="JW101" s="18"/>
      <c r="JX101" s="18"/>
      <c r="JY101" s="18"/>
      <c r="JZ101" s="18"/>
      <c r="KA101" s="18"/>
      <c r="KB101" s="18"/>
      <c r="KC101" s="18"/>
      <c r="KD101" s="18"/>
      <c r="KE101" s="18"/>
      <c r="KF101" s="18"/>
      <c r="KG101" s="18"/>
      <c r="KH101" s="18"/>
      <c r="KI101" s="18"/>
      <c r="KJ101" s="18"/>
      <c r="KK101" s="18"/>
      <c r="KL101" s="18"/>
      <c r="KM101" s="18"/>
      <c r="KN101" s="18"/>
      <c r="KO101" s="18"/>
      <c r="KP101" s="18"/>
      <c r="KQ101" s="18"/>
      <c r="KR101" s="18"/>
      <c r="KS101" s="18"/>
      <c r="KT101" s="18"/>
      <c r="KU101" s="18"/>
      <c r="KV101" s="18"/>
      <c r="KW101" s="18"/>
      <c r="KX101" s="18"/>
      <c r="KY101" s="18"/>
      <c r="KZ101" s="18"/>
      <c r="LA101" s="18"/>
      <c r="LB101" s="18"/>
      <c r="LC101" s="18"/>
      <c r="LD101" s="18"/>
      <c r="LE101" s="18"/>
      <c r="LF101" s="18"/>
      <c r="LG101" s="18"/>
      <c r="LH101" s="18"/>
      <c r="LI101" s="18"/>
      <c r="LJ101" s="18"/>
      <c r="LK101" s="18"/>
      <c r="LL101" s="18"/>
      <c r="LM101" s="18"/>
      <c r="LN101" s="18"/>
      <c r="LO101" s="18"/>
      <c r="LP101" s="18"/>
      <c r="LQ101" s="18"/>
      <c r="LR101" s="18"/>
      <c r="LS101" s="18"/>
      <c r="LT101" s="18"/>
      <c r="LU101" s="18"/>
      <c r="LV101" s="18"/>
      <c r="LW101" s="18"/>
      <c r="LX101" s="18"/>
      <c r="LY101" s="18"/>
      <c r="LZ101" s="18"/>
      <c r="MA101" s="18"/>
      <c r="MB101" s="18"/>
      <c r="MC101" s="18"/>
      <c r="MD101" s="18"/>
      <c r="ME101" s="18"/>
      <c r="MF101" s="18"/>
      <c r="MG101" s="18"/>
      <c r="MH101" s="18"/>
      <c r="MI101" s="18"/>
      <c r="MJ101" s="18"/>
      <c r="MK101" s="18"/>
      <c r="ML101" s="18"/>
      <c r="MM101" s="18"/>
      <c r="MN101" s="18"/>
      <c r="MO101" s="18"/>
      <c r="MP101" s="18"/>
      <c r="MQ101" s="18"/>
      <c r="MR101" s="18"/>
      <c r="MS101" s="18"/>
      <c r="MT101" s="18"/>
      <c r="MU101" s="18"/>
      <c r="MV101" s="18"/>
      <c r="MW101" s="18"/>
      <c r="MX101" s="18"/>
      <c r="MY101" s="18"/>
      <c r="MZ101" s="18"/>
      <c r="NA101" s="18"/>
      <c r="NB101" s="18"/>
      <c r="NC101" s="18"/>
      <c r="ND101" s="18"/>
      <c r="NE101" s="18"/>
      <c r="NF101" s="18"/>
      <c r="NG101" s="18"/>
      <c r="NH101" s="18"/>
      <c r="NI101" s="18"/>
      <c r="NJ101" s="18"/>
      <c r="NK101" s="18"/>
      <c r="NL101" s="18"/>
      <c r="NM101" s="18"/>
      <c r="NN101" s="18"/>
      <c r="NO101" s="18"/>
      <c r="NP101" s="18"/>
      <c r="NQ101" s="18"/>
      <c r="NR101" s="18"/>
      <c r="NS101" s="18"/>
      <c r="NT101" s="18"/>
      <c r="NU101" s="18"/>
      <c r="NV101" s="18"/>
      <c r="NW101" s="18"/>
      <c r="NX101" s="18"/>
      <c r="NY101" s="18"/>
      <c r="NZ101" s="18"/>
      <c r="OA101" s="18"/>
      <c r="OB101" s="18"/>
      <c r="OC101" s="18"/>
      <c r="OD101" s="18"/>
      <c r="OE101" s="18"/>
      <c r="OF101" s="18"/>
      <c r="OG101" s="18"/>
      <c r="OH101" s="18"/>
      <c r="OI101" s="18"/>
      <c r="OJ101" s="18"/>
      <c r="OK101" s="18"/>
      <c r="OL101" s="18"/>
      <c r="OM101" s="18"/>
      <c r="ON101" s="18"/>
      <c r="OO101" s="18"/>
      <c r="OP101" s="18"/>
      <c r="OQ101" s="18"/>
      <c r="OR101" s="18"/>
      <c r="OS101" s="18"/>
      <c r="OT101" s="18"/>
      <c r="OU101" s="18"/>
      <c r="OV101" s="18"/>
      <c r="OW101" s="18"/>
      <c r="OX101" s="18"/>
      <c r="OY101" s="18"/>
      <c r="OZ101" s="18"/>
      <c r="PA101" s="18"/>
      <c r="PB101" s="18"/>
      <c r="PC101" s="18"/>
      <c r="PD101" s="18"/>
      <c r="PE101" s="18"/>
      <c r="PF101" s="18"/>
      <c r="PG101" s="18"/>
      <c r="PH101" s="18"/>
      <c r="PI101" s="18"/>
      <c r="PJ101" s="18"/>
      <c r="PK101" s="18"/>
      <c r="PL101" s="18"/>
      <c r="PM101" s="18"/>
      <c r="PN101" s="18"/>
      <c r="PO101" s="18"/>
      <c r="PP101" s="18"/>
      <c r="PQ101" s="18"/>
      <c r="PR101" s="18"/>
      <c r="PS101" s="18"/>
      <c r="PT101" s="18"/>
      <c r="PU101" s="18"/>
      <c r="PV101" s="18"/>
      <c r="PW101" s="18"/>
      <c r="PX101" s="18"/>
      <c r="PY101" s="18"/>
      <c r="PZ101" s="18"/>
      <c r="QA101" s="18"/>
      <c r="QB101" s="18"/>
      <c r="QC101" s="18"/>
      <c r="QD101" s="18"/>
      <c r="QE101" s="18"/>
      <c r="QF101" s="18"/>
      <c r="QG101" s="18"/>
      <c r="QH101" s="18"/>
      <c r="QI101" s="18"/>
      <c r="QJ101" s="18"/>
      <c r="QK101" s="18"/>
      <c r="QL101" s="18"/>
      <c r="QM101" s="18"/>
      <c r="QN101" s="18"/>
      <c r="QO101" s="18"/>
      <c r="QP101" s="18"/>
      <c r="QQ101" s="18"/>
      <c r="QR101" s="18"/>
      <c r="QS101" s="18"/>
      <c r="QT101" s="18"/>
      <c r="QU101" s="18"/>
      <c r="QV101" s="18"/>
      <c r="QW101" s="18"/>
      <c r="QX101" s="18"/>
      <c r="QY101" s="18"/>
      <c r="QZ101" s="18"/>
      <c r="RA101" s="18"/>
      <c r="RB101" s="18"/>
      <c r="RC101" s="18"/>
      <c r="RD101" s="18"/>
      <c r="RE101" s="18"/>
      <c r="RF101" s="18"/>
      <c r="RG101" s="18"/>
      <c r="RH101" s="18"/>
      <c r="RI101" s="18"/>
      <c r="RJ101" s="18"/>
      <c r="RK101" s="18"/>
      <c r="RL101" s="18"/>
      <c r="RM101" s="18"/>
      <c r="RN101" s="18"/>
      <c r="RO101" s="18"/>
      <c r="RP101" s="18"/>
      <c r="RQ101" s="18"/>
      <c r="RR101" s="18"/>
      <c r="RS101" s="18"/>
      <c r="RT101" s="18"/>
      <c r="RU101" s="18"/>
      <c r="RV101" s="18"/>
      <c r="RW101" s="18"/>
      <c r="RX101" s="18"/>
      <c r="RY101" s="18"/>
      <c r="RZ101" s="18"/>
      <c r="SA101" s="18"/>
      <c r="SB101" s="18"/>
      <c r="SC101" s="18"/>
      <c r="SD101" s="18"/>
      <c r="SE101" s="18"/>
      <c r="SF101" s="18"/>
      <c r="SG101" s="18"/>
      <c r="SH101" s="18"/>
      <c r="SI101" s="18"/>
      <c r="SJ101" s="18"/>
      <c r="SK101" s="18"/>
      <c r="SL101" s="18"/>
      <c r="SM101" s="18"/>
      <c r="SN101" s="18"/>
      <c r="SO101" s="18"/>
      <c r="SP101" s="18"/>
      <c r="SQ101" s="18"/>
      <c r="SR101" s="18"/>
      <c r="SS101" s="18"/>
      <c r="ST101" s="18"/>
      <c r="SU101" s="18"/>
      <c r="SV101" s="18"/>
      <c r="SW101" s="18"/>
      <c r="SX101" s="18"/>
      <c r="SY101" s="18"/>
      <c r="SZ101" s="18"/>
      <c r="TA101" s="18"/>
      <c r="TB101" s="18"/>
      <c r="TC101" s="18"/>
      <c r="TD101" s="18"/>
      <c r="TE101" s="18"/>
      <c r="TF101" s="18"/>
      <c r="TG101" s="18"/>
      <c r="TH101" s="18"/>
      <c r="TI101" s="18"/>
      <c r="TJ101" s="18"/>
      <c r="TK101" s="18"/>
      <c r="TL101" s="18"/>
      <c r="TM101" s="18"/>
      <c r="TN101" s="18"/>
      <c r="TO101" s="18"/>
      <c r="TP101" s="18"/>
      <c r="TQ101" s="18"/>
      <c r="TR101" s="18"/>
      <c r="TS101" s="18"/>
      <c r="TT101" s="18"/>
      <c r="TU101" s="18"/>
      <c r="TV101" s="18"/>
      <c r="TW101" s="18"/>
      <c r="TX101" s="18"/>
      <c r="TY101" s="18"/>
      <c r="TZ101" s="18"/>
      <c r="UA101" s="18"/>
      <c r="UB101" s="18"/>
      <c r="UC101" s="18"/>
      <c r="UD101" s="18"/>
      <c r="UE101" s="18"/>
      <c r="UF101" s="18"/>
      <c r="UG101" s="18"/>
      <c r="UH101" s="18"/>
      <c r="UI101" s="18"/>
      <c r="UJ101" s="18"/>
      <c r="UK101" s="18"/>
      <c r="UL101" s="18"/>
      <c r="UM101" s="18"/>
      <c r="UN101" s="18"/>
      <c r="UO101" s="18"/>
      <c r="UP101" s="18"/>
      <c r="UQ101" s="18"/>
      <c r="UR101" s="18"/>
      <c r="US101" s="18"/>
      <c r="UT101" s="18"/>
      <c r="UU101" s="18"/>
      <c r="UV101" s="18"/>
      <c r="UW101" s="18"/>
      <c r="UX101" s="18"/>
      <c r="UY101" s="18"/>
      <c r="UZ101" s="18"/>
      <c r="VA101" s="18"/>
      <c r="VB101" s="18"/>
      <c r="VC101" s="18"/>
      <c r="VD101" s="18"/>
      <c r="VE101" s="18"/>
      <c r="VF101" s="18"/>
      <c r="VG101" s="18"/>
      <c r="VH101" s="18"/>
      <c r="VI101" s="18"/>
      <c r="VJ101" s="18"/>
      <c r="VK101" s="18"/>
      <c r="VL101" s="18"/>
      <c r="VM101" s="18"/>
      <c r="VN101" s="18"/>
      <c r="VO101" s="18"/>
      <c r="VP101" s="18"/>
      <c r="VQ101" s="18"/>
      <c r="VR101" s="18"/>
      <c r="VS101" s="18"/>
      <c r="VT101" s="18"/>
      <c r="VU101" s="18"/>
      <c r="VV101" s="18"/>
      <c r="VW101" s="18"/>
      <c r="VX101" s="18"/>
      <c r="VY101" s="18"/>
      <c r="VZ101" s="18"/>
      <c r="WA101" s="18"/>
      <c r="WB101" s="18"/>
      <c r="WC101" s="18"/>
      <c r="WD101" s="18"/>
      <c r="WE101" s="18"/>
      <c r="WF101" s="18"/>
      <c r="WG101" s="18"/>
      <c r="WH101" s="18"/>
      <c r="WI101" s="18"/>
      <c r="WJ101" s="18"/>
      <c r="WK101" s="18"/>
      <c r="WL101" s="18"/>
      <c r="WM101" s="18"/>
      <c r="WN101" s="18"/>
      <c r="WO101" s="18"/>
      <c r="WP101" s="18"/>
      <c r="WQ101" s="18"/>
      <c r="WR101" s="18"/>
      <c r="WS101" s="18"/>
      <c r="WT101" s="18"/>
      <c r="WU101" s="18"/>
      <c r="WV101" s="18"/>
      <c r="WW101" s="18"/>
      <c r="WX101" s="18"/>
      <c r="WY101" s="18"/>
      <c r="WZ101" s="18"/>
      <c r="XA101" s="18"/>
      <c r="XB101" s="18"/>
      <c r="XC101" s="18"/>
      <c r="XD101" s="18"/>
      <c r="XE101" s="18"/>
      <c r="XF101" s="18"/>
      <c r="XG101" s="18"/>
      <c r="XH101" s="18"/>
      <c r="XI101" s="18"/>
      <c r="XJ101" s="18"/>
      <c r="XK101" s="18"/>
      <c r="XL101" s="18"/>
      <c r="XM101" s="18"/>
      <c r="XN101" s="18"/>
      <c r="XO101" s="18"/>
      <c r="XP101" s="18"/>
      <c r="XQ101" s="18"/>
      <c r="XR101" s="18"/>
      <c r="XS101" s="18"/>
      <c r="XT101" s="18"/>
      <c r="XU101" s="18"/>
      <c r="XV101" s="18"/>
      <c r="XW101" s="18"/>
      <c r="XX101" s="18"/>
      <c r="XY101" s="18"/>
      <c r="XZ101" s="18"/>
      <c r="YA101" s="18"/>
      <c r="YB101" s="18"/>
      <c r="YC101" s="18"/>
      <c r="YD101" s="18"/>
      <c r="YE101" s="18"/>
      <c r="YF101" s="18"/>
      <c r="YG101" s="18"/>
      <c r="YH101" s="18"/>
      <c r="YI101" s="18"/>
      <c r="YJ101" s="18"/>
      <c r="YK101" s="18"/>
      <c r="YL101" s="18"/>
      <c r="YM101" s="18"/>
      <c r="YN101" s="18"/>
      <c r="YO101" s="18"/>
      <c r="YP101" s="18"/>
      <c r="YQ101" s="18"/>
      <c r="YR101" s="18"/>
      <c r="YS101" s="18"/>
      <c r="YT101" s="18"/>
      <c r="YU101" s="18"/>
      <c r="YV101" s="18"/>
      <c r="YW101" s="18"/>
      <c r="YX101" s="18"/>
      <c r="YY101" s="18"/>
      <c r="YZ101" s="18"/>
      <c r="ZA101" s="18"/>
      <c r="ZB101" s="18"/>
      <c r="ZC101" s="18"/>
      <c r="ZD101" s="18"/>
      <c r="ZE101" s="18"/>
      <c r="ZF101" s="18"/>
      <c r="ZG101" s="18"/>
      <c r="ZH101" s="18"/>
      <c r="ZI101" s="18"/>
      <c r="ZJ101" s="18"/>
      <c r="ZK101" s="18"/>
      <c r="ZL101" s="18"/>
      <c r="ZM101" s="18"/>
      <c r="ZN101" s="18"/>
      <c r="ZO101" s="18"/>
      <c r="ZP101" s="18"/>
      <c r="ZQ101" s="18"/>
      <c r="ZR101" s="18"/>
      <c r="ZS101" s="18"/>
      <c r="ZT101" s="18"/>
      <c r="ZU101" s="18"/>
      <c r="ZV101" s="18"/>
      <c r="ZW101" s="18"/>
      <c r="ZX101" s="18"/>
      <c r="ZY101" s="18"/>
      <c r="ZZ101" s="18"/>
      <c r="AAA101" s="18"/>
      <c r="AAB101" s="18"/>
      <c r="AAC101" s="18"/>
      <c r="AAD101" s="18"/>
      <c r="AAE101" s="18"/>
      <c r="AAF101" s="18"/>
      <c r="AAG101" s="18"/>
      <c r="AAH101" s="18"/>
      <c r="AAI101" s="18"/>
      <c r="AAJ101" s="18"/>
      <c r="AAK101" s="18"/>
      <c r="AAL101" s="18"/>
      <c r="AAM101" s="18"/>
      <c r="AAN101" s="18"/>
      <c r="AAO101" s="18"/>
      <c r="AAP101" s="18"/>
      <c r="AAQ101" s="18"/>
      <c r="AAR101" s="18"/>
      <c r="AAS101" s="18"/>
      <c r="AAT101" s="18"/>
      <c r="AAU101" s="18"/>
      <c r="AAV101" s="18"/>
      <c r="AAW101" s="18"/>
      <c r="AAX101" s="18"/>
      <c r="AAY101" s="18"/>
      <c r="AAZ101" s="18"/>
      <c r="ABA101" s="18"/>
      <c r="ABB101" s="18"/>
      <c r="ABC101" s="18"/>
      <c r="ABD101" s="18"/>
      <c r="ABE101" s="18"/>
      <c r="ABF101" s="18"/>
      <c r="ABG101" s="18"/>
      <c r="ABH101" s="18"/>
      <c r="ABI101" s="18"/>
      <c r="ABJ101" s="18"/>
      <c r="ABK101" s="18"/>
      <c r="ABL101" s="18"/>
      <c r="ABM101" s="18"/>
      <c r="ABN101" s="18"/>
      <c r="ABO101" s="18"/>
      <c r="ABP101" s="18"/>
      <c r="ABQ101" s="18"/>
      <c r="ABR101" s="18"/>
      <c r="ABS101" s="18"/>
      <c r="ABT101" s="18"/>
      <c r="ABU101" s="18"/>
      <c r="ABV101" s="18"/>
      <c r="ABW101" s="18"/>
      <c r="ABX101" s="18"/>
      <c r="ABY101" s="18"/>
      <c r="ABZ101" s="18"/>
      <c r="ACA101" s="18"/>
      <c r="ACB101" s="18"/>
      <c r="ACC101" s="18"/>
      <c r="ACD101" s="18"/>
      <c r="ACE101" s="18"/>
      <c r="ACF101" s="18"/>
      <c r="ACG101" s="18"/>
      <c r="ACH101" s="18"/>
      <c r="ACI101" s="18"/>
      <c r="ACJ101" s="18"/>
      <c r="ACK101" s="18"/>
      <c r="ACL101" s="18"/>
      <c r="ACM101" s="18"/>
      <c r="ACN101" s="18"/>
      <c r="ACO101" s="18"/>
      <c r="ACP101" s="18"/>
      <c r="ACQ101" s="18"/>
      <c r="ACR101" s="18"/>
      <c r="ACS101" s="18"/>
      <c r="ACT101" s="18"/>
      <c r="ACU101" s="18"/>
      <c r="ACV101" s="18"/>
      <c r="ACW101" s="18"/>
      <c r="ACX101" s="18"/>
      <c r="ACY101" s="18"/>
      <c r="ACZ101" s="18"/>
      <c r="ADA101" s="18"/>
      <c r="ADB101" s="18"/>
      <c r="ADC101" s="18"/>
      <c r="ADD101" s="18"/>
      <c r="ADE101" s="18"/>
      <c r="ADF101" s="18"/>
      <c r="ADG101" s="18"/>
      <c r="ADH101" s="18"/>
      <c r="ADI101" s="18"/>
      <c r="ADJ101" s="18"/>
      <c r="ADK101" s="18"/>
      <c r="ADL101" s="18"/>
      <c r="ADM101" s="18"/>
      <c r="ADN101" s="18"/>
      <c r="ADO101" s="18"/>
      <c r="ADP101" s="18"/>
      <c r="ADQ101" s="18"/>
      <c r="ADR101" s="18"/>
      <c r="ADS101" s="18"/>
      <c r="ADT101" s="18"/>
      <c r="ADU101" s="18"/>
      <c r="ADV101" s="18"/>
      <c r="ADW101" s="18"/>
      <c r="ADX101" s="18"/>
      <c r="ADY101" s="18"/>
      <c r="ADZ101" s="18"/>
      <c r="AEA101" s="18"/>
      <c r="AEB101" s="18"/>
      <c r="AEC101" s="18"/>
      <c r="AED101" s="18"/>
      <c r="AEE101" s="18"/>
      <c r="AEF101" s="18"/>
      <c r="AEG101" s="18"/>
      <c r="AEH101" s="18"/>
      <c r="AEI101" s="18"/>
      <c r="AEJ101" s="18"/>
      <c r="AEK101" s="18"/>
      <c r="AEL101" s="18"/>
      <c r="AEM101" s="18"/>
      <c r="AEN101" s="18"/>
      <c r="AEO101" s="18"/>
      <c r="AEP101" s="18"/>
      <c r="AEQ101" s="18"/>
      <c r="AER101" s="18"/>
      <c r="AES101" s="18"/>
      <c r="AET101" s="18"/>
      <c r="AEU101" s="18"/>
      <c r="AEV101" s="18"/>
      <c r="AEW101" s="18"/>
      <c r="AEX101" s="18"/>
      <c r="AEY101" s="18"/>
      <c r="AEZ101" s="18"/>
      <c r="AFA101" s="18"/>
      <c r="AFB101" s="18"/>
      <c r="AFC101" s="18"/>
      <c r="AFD101" s="18"/>
      <c r="AFE101" s="18"/>
      <c r="AFF101" s="18"/>
      <c r="AFG101" s="18"/>
      <c r="AFH101" s="18"/>
      <c r="AFI101" s="18"/>
      <c r="AFJ101" s="18"/>
      <c r="AFK101" s="18"/>
      <c r="AFL101" s="18"/>
      <c r="AFM101" s="18"/>
      <c r="AFN101" s="18"/>
      <c r="AFO101" s="18"/>
      <c r="AFP101" s="18"/>
      <c r="AFQ101" s="18"/>
      <c r="AFR101" s="18"/>
      <c r="AFS101" s="18"/>
      <c r="AFT101" s="18"/>
      <c r="AFU101" s="18"/>
      <c r="AFV101" s="18"/>
      <c r="AFW101" s="18"/>
      <c r="AFX101" s="18"/>
      <c r="AFY101" s="18"/>
      <c r="AFZ101" s="18"/>
      <c r="AGA101" s="18"/>
      <c r="AGB101" s="18"/>
      <c r="AGC101" s="18"/>
      <c r="AGD101" s="18"/>
      <c r="AGE101" s="18"/>
      <c r="AGF101" s="18"/>
      <c r="AGG101" s="18"/>
      <c r="AGH101" s="18"/>
      <c r="AGI101" s="18"/>
      <c r="AGJ101" s="18"/>
      <c r="AGK101" s="18"/>
      <c r="AGL101" s="18"/>
      <c r="AGM101" s="18"/>
      <c r="AGN101" s="18"/>
      <c r="AGO101" s="18"/>
      <c r="AGP101" s="18"/>
      <c r="AGQ101" s="18"/>
      <c r="AGR101" s="18"/>
      <c r="AGS101" s="18"/>
      <c r="AGT101" s="18"/>
      <c r="AGU101" s="18"/>
      <c r="AGV101" s="18"/>
      <c r="AGW101" s="18"/>
      <c r="AGX101" s="18"/>
      <c r="AGY101" s="18"/>
      <c r="AGZ101" s="18"/>
      <c r="AHA101" s="18"/>
      <c r="AHB101" s="18"/>
      <c r="AHC101" s="18"/>
      <c r="AHD101" s="18"/>
      <c r="AHE101" s="18"/>
      <c r="AHF101" s="18"/>
      <c r="AHG101" s="18"/>
      <c r="AHH101" s="18"/>
      <c r="AHI101" s="18"/>
      <c r="AHJ101" s="18"/>
      <c r="AHK101" s="18"/>
      <c r="AHL101" s="18"/>
      <c r="AHM101" s="18"/>
      <c r="AHN101" s="18"/>
      <c r="AHO101" s="18"/>
      <c r="AHP101" s="18"/>
      <c r="AHQ101" s="18"/>
      <c r="AHR101" s="18"/>
      <c r="AHS101" s="18"/>
      <c r="AHT101" s="18"/>
      <c r="AHU101" s="18"/>
      <c r="AHV101" s="18"/>
      <c r="AHW101" s="18"/>
      <c r="AHX101" s="18"/>
      <c r="AHY101" s="18"/>
      <c r="AHZ101" s="18"/>
      <c r="AIA101" s="18"/>
      <c r="AIB101" s="18"/>
      <c r="AIC101" s="18"/>
      <c r="AID101" s="18"/>
      <c r="AIE101" s="18"/>
      <c r="AIF101" s="18"/>
      <c r="AIG101" s="18"/>
      <c r="AIH101" s="18"/>
      <c r="AII101" s="18"/>
      <c r="AIJ101" s="18"/>
      <c r="AIK101" s="18"/>
      <c r="AIL101" s="18"/>
      <c r="AIM101" s="18"/>
      <c r="AIN101" s="18"/>
      <c r="AIO101" s="18"/>
      <c r="AIP101" s="18"/>
      <c r="AIQ101" s="18"/>
      <c r="AIR101" s="18"/>
      <c r="AIS101" s="18"/>
      <c r="AIT101" s="18"/>
      <c r="AIU101" s="18"/>
      <c r="AIV101" s="18"/>
      <c r="AIW101" s="18"/>
      <c r="AIX101" s="18"/>
      <c r="AIY101" s="18"/>
      <c r="AIZ101" s="18"/>
      <c r="AJA101" s="18"/>
      <c r="AJB101" s="18"/>
      <c r="AJC101" s="18"/>
      <c r="AJD101" s="18"/>
      <c r="AJE101" s="18"/>
      <c r="AJF101" s="18"/>
      <c r="AJG101" s="18"/>
      <c r="AJH101" s="18"/>
      <c r="AJI101" s="18"/>
      <c r="AJJ101" s="18"/>
      <c r="AJK101" s="18"/>
      <c r="AJL101" s="18"/>
      <c r="AJM101" s="18"/>
      <c r="AJN101" s="18"/>
      <c r="AJO101" s="18"/>
      <c r="AJP101" s="18"/>
      <c r="AJQ101" s="18"/>
      <c r="AJR101" s="18"/>
      <c r="AJS101" s="18"/>
      <c r="AJT101" s="18"/>
      <c r="AJU101" s="18"/>
      <c r="AJV101" s="18"/>
      <c r="AJW101" s="18"/>
      <c r="AJX101" s="18"/>
      <c r="AJY101" s="18"/>
      <c r="AJZ101" s="18"/>
      <c r="AKA101" s="18"/>
      <c r="AKB101" s="18"/>
      <c r="AKC101" s="18"/>
      <c r="AKD101" s="18"/>
      <c r="AKE101" s="18"/>
      <c r="AKF101" s="18"/>
      <c r="AKG101" s="18"/>
      <c r="AKH101" s="18"/>
      <c r="AKI101" s="18"/>
      <c r="AKJ101" s="18"/>
      <c r="AKK101" s="18"/>
      <c r="AKL101" s="18"/>
      <c r="AKM101" s="18"/>
      <c r="AKN101" s="18"/>
      <c r="AKO101" s="18"/>
      <c r="AKP101" s="18"/>
      <c r="AKQ101" s="18"/>
      <c r="AKR101" s="18"/>
      <c r="AKS101" s="18"/>
      <c r="AKT101" s="18"/>
      <c r="AKU101" s="18"/>
      <c r="AKV101" s="18"/>
      <c r="AKW101" s="18"/>
      <c r="AKX101" s="18"/>
      <c r="AKY101" s="18"/>
      <c r="AKZ101" s="18"/>
      <c r="ALA101" s="18"/>
      <c r="ALB101" s="18"/>
      <c r="ALC101" s="18"/>
      <c r="ALD101" s="18"/>
      <c r="ALE101" s="18"/>
      <c r="ALF101" s="18"/>
      <c r="ALG101" s="18"/>
      <c r="ALH101" s="18"/>
      <c r="ALI101" s="18"/>
      <c r="ALJ101" s="18"/>
      <c r="ALK101" s="18"/>
      <c r="ALL101" s="18"/>
      <c r="ALM101" s="18"/>
      <c r="ALN101" s="18"/>
      <c r="ALO101" s="18"/>
      <c r="ALP101" s="18"/>
      <c r="ALQ101" s="18"/>
      <c r="ALR101" s="18"/>
      <c r="ALS101" s="18"/>
      <c r="ALT101" s="18"/>
    </row>
    <row r="102" spans="1:1008" s="88" customFormat="1" ht="24" customHeight="1">
      <c r="A102" s="680" t="s">
        <v>6927</v>
      </c>
      <c r="B102" s="680"/>
      <c r="C102" s="680"/>
      <c r="D102" s="680"/>
      <c r="E102" s="680"/>
      <c r="F102" s="680"/>
      <c r="G102" s="680"/>
      <c r="H102" s="680"/>
      <c r="I102" s="680"/>
      <c r="J102" s="281">
        <f>SUM(J95:J101)</f>
        <v>5425.0161925900011</v>
      </c>
      <c r="K102" s="191"/>
      <c r="L102" s="191"/>
      <c r="M102" s="191"/>
      <c r="N102" s="191"/>
      <c r="O102" s="191"/>
      <c r="P102" s="263"/>
    </row>
    <row r="103" spans="1:1008">
      <c r="A103" s="251"/>
      <c r="B103" s="370">
        <v>189</v>
      </c>
      <c r="C103" s="371" t="s">
        <v>2</v>
      </c>
      <c r="D103" s="274"/>
      <c r="E103" s="276"/>
      <c r="F103" s="276"/>
      <c r="G103" s="276"/>
      <c r="H103" s="276"/>
      <c r="I103" s="276"/>
      <c r="J103" s="276"/>
      <c r="K103" s="191"/>
      <c r="L103" s="191"/>
      <c r="M103" s="191"/>
      <c r="N103" s="191"/>
      <c r="O103" s="191"/>
      <c r="P103" s="263"/>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c r="IP103" s="18"/>
      <c r="IQ103" s="18"/>
      <c r="IR103" s="18"/>
      <c r="IS103" s="18"/>
      <c r="IT103" s="18"/>
      <c r="IU103" s="18"/>
      <c r="IV103" s="18"/>
      <c r="IW103" s="18"/>
      <c r="IX103" s="18"/>
      <c r="IY103" s="18"/>
      <c r="IZ103" s="18"/>
      <c r="JA103" s="18"/>
      <c r="JB103" s="18"/>
      <c r="JC103" s="18"/>
      <c r="JD103" s="18"/>
      <c r="JE103" s="18"/>
      <c r="JF103" s="18"/>
      <c r="JG103" s="18"/>
      <c r="JH103" s="18"/>
      <c r="JI103" s="18"/>
      <c r="JJ103" s="18"/>
      <c r="JK103" s="18"/>
      <c r="JL103" s="18"/>
      <c r="JM103" s="18"/>
      <c r="JN103" s="18"/>
      <c r="JO103" s="18"/>
      <c r="JP103" s="18"/>
      <c r="JQ103" s="18"/>
      <c r="JR103" s="18"/>
      <c r="JS103" s="18"/>
      <c r="JT103" s="18"/>
      <c r="JU103" s="18"/>
      <c r="JV103" s="18"/>
      <c r="JW103" s="18"/>
      <c r="JX103" s="18"/>
      <c r="JY103" s="18"/>
      <c r="JZ103" s="18"/>
      <c r="KA103" s="18"/>
      <c r="KB103" s="18"/>
      <c r="KC103" s="18"/>
      <c r="KD103" s="18"/>
      <c r="KE103" s="18"/>
      <c r="KF103" s="18"/>
      <c r="KG103" s="18"/>
      <c r="KH103" s="18"/>
      <c r="KI103" s="18"/>
      <c r="KJ103" s="18"/>
      <c r="KK103" s="18"/>
      <c r="KL103" s="18"/>
      <c r="KM103" s="18"/>
      <c r="KN103" s="18"/>
      <c r="KO103" s="18"/>
      <c r="KP103" s="18"/>
      <c r="KQ103" s="18"/>
      <c r="KR103" s="18"/>
      <c r="KS103" s="18"/>
      <c r="KT103" s="18"/>
      <c r="KU103" s="18"/>
      <c r="KV103" s="18"/>
      <c r="KW103" s="18"/>
      <c r="KX103" s="18"/>
      <c r="KY103" s="18"/>
      <c r="KZ103" s="18"/>
      <c r="LA103" s="18"/>
      <c r="LB103" s="18"/>
      <c r="LC103" s="18"/>
      <c r="LD103" s="18"/>
      <c r="LE103" s="18"/>
      <c r="LF103" s="18"/>
      <c r="LG103" s="18"/>
      <c r="LH103" s="18"/>
      <c r="LI103" s="18"/>
      <c r="LJ103" s="18"/>
      <c r="LK103" s="18"/>
      <c r="LL103" s="18"/>
      <c r="LM103" s="18"/>
      <c r="LN103" s="18"/>
      <c r="LO103" s="18"/>
      <c r="LP103" s="18"/>
      <c r="LQ103" s="18"/>
      <c r="LR103" s="18"/>
      <c r="LS103" s="18"/>
      <c r="LT103" s="18"/>
      <c r="LU103" s="18"/>
      <c r="LV103" s="18"/>
      <c r="LW103" s="18"/>
      <c r="LX103" s="18"/>
      <c r="LY103" s="18"/>
      <c r="LZ103" s="18"/>
      <c r="MA103" s="18"/>
      <c r="MB103" s="18"/>
      <c r="MC103" s="18"/>
      <c r="MD103" s="18"/>
      <c r="ME103" s="18"/>
      <c r="MF103" s="18"/>
      <c r="MG103" s="18"/>
      <c r="MH103" s="18"/>
      <c r="MI103" s="18"/>
      <c r="MJ103" s="18"/>
      <c r="MK103" s="18"/>
      <c r="ML103" s="18"/>
      <c r="MM103" s="18"/>
      <c r="MN103" s="18"/>
      <c r="MO103" s="18"/>
      <c r="MP103" s="18"/>
      <c r="MQ103" s="18"/>
      <c r="MR103" s="18"/>
      <c r="MS103" s="18"/>
      <c r="MT103" s="18"/>
      <c r="MU103" s="18"/>
      <c r="MV103" s="18"/>
      <c r="MW103" s="18"/>
      <c r="MX103" s="18"/>
      <c r="MY103" s="18"/>
      <c r="MZ103" s="18"/>
      <c r="NA103" s="18"/>
      <c r="NB103" s="18"/>
      <c r="NC103" s="18"/>
      <c r="ND103" s="18"/>
      <c r="NE103" s="18"/>
      <c r="NF103" s="18"/>
      <c r="NG103" s="18"/>
      <c r="NH103" s="18"/>
      <c r="NI103" s="18"/>
      <c r="NJ103" s="18"/>
      <c r="NK103" s="18"/>
      <c r="NL103" s="18"/>
      <c r="NM103" s="18"/>
      <c r="NN103" s="18"/>
      <c r="NO103" s="18"/>
      <c r="NP103" s="18"/>
      <c r="NQ103" s="18"/>
      <c r="NR103" s="18"/>
      <c r="NS103" s="18"/>
      <c r="NT103" s="18"/>
      <c r="NU103" s="18"/>
      <c r="NV103" s="18"/>
      <c r="NW103" s="18"/>
      <c r="NX103" s="18"/>
      <c r="NY103" s="18"/>
      <c r="NZ103" s="18"/>
      <c r="OA103" s="18"/>
      <c r="OB103" s="18"/>
      <c r="OC103" s="18"/>
      <c r="OD103" s="18"/>
      <c r="OE103" s="18"/>
      <c r="OF103" s="18"/>
      <c r="OG103" s="18"/>
      <c r="OH103" s="18"/>
      <c r="OI103" s="18"/>
      <c r="OJ103" s="18"/>
      <c r="OK103" s="18"/>
      <c r="OL103" s="18"/>
      <c r="OM103" s="18"/>
      <c r="ON103" s="18"/>
      <c r="OO103" s="18"/>
      <c r="OP103" s="18"/>
      <c r="OQ103" s="18"/>
      <c r="OR103" s="18"/>
      <c r="OS103" s="18"/>
      <c r="OT103" s="18"/>
      <c r="OU103" s="18"/>
      <c r="OV103" s="18"/>
      <c r="OW103" s="18"/>
      <c r="OX103" s="18"/>
      <c r="OY103" s="18"/>
      <c r="OZ103" s="18"/>
      <c r="PA103" s="18"/>
      <c r="PB103" s="18"/>
      <c r="PC103" s="18"/>
      <c r="PD103" s="18"/>
      <c r="PE103" s="18"/>
      <c r="PF103" s="18"/>
      <c r="PG103" s="18"/>
      <c r="PH103" s="18"/>
      <c r="PI103" s="18"/>
      <c r="PJ103" s="18"/>
      <c r="PK103" s="18"/>
      <c r="PL103" s="18"/>
      <c r="PM103" s="18"/>
      <c r="PN103" s="18"/>
      <c r="PO103" s="18"/>
      <c r="PP103" s="18"/>
      <c r="PQ103" s="18"/>
      <c r="PR103" s="18"/>
      <c r="PS103" s="18"/>
      <c r="PT103" s="18"/>
      <c r="PU103" s="18"/>
      <c r="PV103" s="18"/>
      <c r="PW103" s="18"/>
      <c r="PX103" s="18"/>
      <c r="PY103" s="18"/>
      <c r="PZ103" s="18"/>
      <c r="QA103" s="18"/>
      <c r="QB103" s="18"/>
      <c r="QC103" s="18"/>
      <c r="QD103" s="18"/>
      <c r="QE103" s="18"/>
      <c r="QF103" s="18"/>
      <c r="QG103" s="18"/>
      <c r="QH103" s="18"/>
      <c r="QI103" s="18"/>
      <c r="QJ103" s="18"/>
      <c r="QK103" s="18"/>
      <c r="QL103" s="18"/>
      <c r="QM103" s="18"/>
      <c r="QN103" s="18"/>
      <c r="QO103" s="18"/>
      <c r="QP103" s="18"/>
      <c r="QQ103" s="18"/>
      <c r="QR103" s="18"/>
      <c r="QS103" s="18"/>
      <c r="QT103" s="18"/>
      <c r="QU103" s="18"/>
      <c r="QV103" s="18"/>
      <c r="QW103" s="18"/>
      <c r="QX103" s="18"/>
      <c r="QY103" s="18"/>
      <c r="QZ103" s="18"/>
      <c r="RA103" s="18"/>
      <c r="RB103" s="18"/>
      <c r="RC103" s="18"/>
      <c r="RD103" s="18"/>
      <c r="RE103" s="18"/>
      <c r="RF103" s="18"/>
      <c r="RG103" s="18"/>
      <c r="RH103" s="18"/>
      <c r="RI103" s="18"/>
      <c r="RJ103" s="18"/>
      <c r="RK103" s="18"/>
      <c r="RL103" s="18"/>
      <c r="RM103" s="18"/>
      <c r="RN103" s="18"/>
      <c r="RO103" s="18"/>
      <c r="RP103" s="18"/>
      <c r="RQ103" s="18"/>
      <c r="RR103" s="18"/>
      <c r="RS103" s="18"/>
      <c r="RT103" s="18"/>
      <c r="RU103" s="18"/>
      <c r="RV103" s="18"/>
      <c r="RW103" s="18"/>
      <c r="RX103" s="18"/>
      <c r="RY103" s="18"/>
      <c r="RZ103" s="18"/>
      <c r="SA103" s="18"/>
      <c r="SB103" s="18"/>
      <c r="SC103" s="18"/>
      <c r="SD103" s="18"/>
      <c r="SE103" s="18"/>
      <c r="SF103" s="18"/>
      <c r="SG103" s="18"/>
      <c r="SH103" s="18"/>
      <c r="SI103" s="18"/>
      <c r="SJ103" s="18"/>
      <c r="SK103" s="18"/>
      <c r="SL103" s="18"/>
      <c r="SM103" s="18"/>
      <c r="SN103" s="18"/>
      <c r="SO103" s="18"/>
      <c r="SP103" s="18"/>
      <c r="SQ103" s="18"/>
      <c r="SR103" s="18"/>
      <c r="SS103" s="18"/>
      <c r="ST103" s="18"/>
      <c r="SU103" s="18"/>
      <c r="SV103" s="18"/>
      <c r="SW103" s="18"/>
      <c r="SX103" s="18"/>
      <c r="SY103" s="18"/>
      <c r="SZ103" s="18"/>
      <c r="TA103" s="18"/>
      <c r="TB103" s="18"/>
      <c r="TC103" s="18"/>
      <c r="TD103" s="18"/>
      <c r="TE103" s="18"/>
      <c r="TF103" s="18"/>
      <c r="TG103" s="18"/>
      <c r="TH103" s="18"/>
      <c r="TI103" s="18"/>
      <c r="TJ103" s="18"/>
      <c r="TK103" s="18"/>
      <c r="TL103" s="18"/>
      <c r="TM103" s="18"/>
      <c r="TN103" s="18"/>
      <c r="TO103" s="18"/>
      <c r="TP103" s="18"/>
      <c r="TQ103" s="18"/>
      <c r="TR103" s="18"/>
      <c r="TS103" s="18"/>
      <c r="TT103" s="18"/>
      <c r="TU103" s="18"/>
      <c r="TV103" s="18"/>
      <c r="TW103" s="18"/>
      <c r="TX103" s="18"/>
      <c r="TY103" s="18"/>
      <c r="TZ103" s="18"/>
      <c r="UA103" s="18"/>
      <c r="UB103" s="18"/>
      <c r="UC103" s="18"/>
      <c r="UD103" s="18"/>
      <c r="UE103" s="18"/>
      <c r="UF103" s="18"/>
      <c r="UG103" s="18"/>
      <c r="UH103" s="18"/>
      <c r="UI103" s="18"/>
      <c r="UJ103" s="18"/>
      <c r="UK103" s="18"/>
      <c r="UL103" s="18"/>
      <c r="UM103" s="18"/>
      <c r="UN103" s="18"/>
      <c r="UO103" s="18"/>
      <c r="UP103" s="18"/>
      <c r="UQ103" s="18"/>
      <c r="UR103" s="18"/>
      <c r="US103" s="18"/>
      <c r="UT103" s="18"/>
      <c r="UU103" s="18"/>
      <c r="UV103" s="18"/>
      <c r="UW103" s="18"/>
      <c r="UX103" s="18"/>
      <c r="UY103" s="18"/>
      <c r="UZ103" s="18"/>
      <c r="VA103" s="18"/>
      <c r="VB103" s="18"/>
      <c r="VC103" s="18"/>
      <c r="VD103" s="18"/>
      <c r="VE103" s="18"/>
      <c r="VF103" s="18"/>
      <c r="VG103" s="18"/>
      <c r="VH103" s="18"/>
      <c r="VI103" s="18"/>
      <c r="VJ103" s="18"/>
      <c r="VK103" s="18"/>
      <c r="VL103" s="18"/>
      <c r="VM103" s="18"/>
      <c r="VN103" s="18"/>
      <c r="VO103" s="18"/>
      <c r="VP103" s="18"/>
      <c r="VQ103" s="18"/>
      <c r="VR103" s="18"/>
      <c r="VS103" s="18"/>
      <c r="VT103" s="18"/>
      <c r="VU103" s="18"/>
      <c r="VV103" s="18"/>
      <c r="VW103" s="18"/>
      <c r="VX103" s="18"/>
      <c r="VY103" s="18"/>
      <c r="VZ103" s="18"/>
      <c r="WA103" s="18"/>
      <c r="WB103" s="18"/>
      <c r="WC103" s="18"/>
      <c r="WD103" s="18"/>
      <c r="WE103" s="18"/>
      <c r="WF103" s="18"/>
      <c r="WG103" s="18"/>
      <c r="WH103" s="18"/>
      <c r="WI103" s="18"/>
      <c r="WJ103" s="18"/>
      <c r="WK103" s="18"/>
      <c r="WL103" s="18"/>
      <c r="WM103" s="18"/>
      <c r="WN103" s="18"/>
      <c r="WO103" s="18"/>
      <c r="WP103" s="18"/>
      <c r="WQ103" s="18"/>
      <c r="WR103" s="18"/>
      <c r="WS103" s="18"/>
      <c r="WT103" s="18"/>
      <c r="WU103" s="18"/>
      <c r="WV103" s="18"/>
      <c r="WW103" s="18"/>
      <c r="WX103" s="18"/>
      <c r="WY103" s="18"/>
      <c r="WZ103" s="18"/>
      <c r="XA103" s="18"/>
      <c r="XB103" s="18"/>
      <c r="XC103" s="18"/>
      <c r="XD103" s="18"/>
      <c r="XE103" s="18"/>
      <c r="XF103" s="18"/>
      <c r="XG103" s="18"/>
      <c r="XH103" s="18"/>
      <c r="XI103" s="18"/>
      <c r="XJ103" s="18"/>
      <c r="XK103" s="18"/>
      <c r="XL103" s="18"/>
      <c r="XM103" s="18"/>
      <c r="XN103" s="18"/>
      <c r="XO103" s="18"/>
      <c r="XP103" s="18"/>
      <c r="XQ103" s="18"/>
      <c r="XR103" s="18"/>
      <c r="XS103" s="18"/>
      <c r="XT103" s="18"/>
      <c r="XU103" s="18"/>
      <c r="XV103" s="18"/>
      <c r="XW103" s="18"/>
      <c r="XX103" s="18"/>
      <c r="XY103" s="18"/>
      <c r="XZ103" s="18"/>
      <c r="YA103" s="18"/>
      <c r="YB103" s="18"/>
      <c r="YC103" s="18"/>
      <c r="YD103" s="18"/>
      <c r="YE103" s="18"/>
      <c r="YF103" s="18"/>
      <c r="YG103" s="18"/>
      <c r="YH103" s="18"/>
      <c r="YI103" s="18"/>
      <c r="YJ103" s="18"/>
      <c r="YK103" s="18"/>
      <c r="YL103" s="18"/>
      <c r="YM103" s="18"/>
      <c r="YN103" s="18"/>
      <c r="YO103" s="18"/>
      <c r="YP103" s="18"/>
      <c r="YQ103" s="18"/>
      <c r="YR103" s="18"/>
      <c r="YS103" s="18"/>
      <c r="YT103" s="18"/>
      <c r="YU103" s="18"/>
      <c r="YV103" s="18"/>
      <c r="YW103" s="18"/>
      <c r="YX103" s="18"/>
      <c r="YY103" s="18"/>
      <c r="YZ103" s="18"/>
      <c r="ZA103" s="18"/>
      <c r="ZB103" s="18"/>
      <c r="ZC103" s="18"/>
      <c r="ZD103" s="18"/>
      <c r="ZE103" s="18"/>
      <c r="ZF103" s="18"/>
      <c r="ZG103" s="18"/>
      <c r="ZH103" s="18"/>
      <c r="ZI103" s="18"/>
      <c r="ZJ103" s="18"/>
      <c r="ZK103" s="18"/>
      <c r="ZL103" s="18"/>
      <c r="ZM103" s="18"/>
      <c r="ZN103" s="18"/>
      <c r="ZO103" s="18"/>
      <c r="ZP103" s="18"/>
      <c r="ZQ103" s="18"/>
      <c r="ZR103" s="18"/>
      <c r="ZS103" s="18"/>
      <c r="ZT103" s="18"/>
      <c r="ZU103" s="18"/>
      <c r="ZV103" s="18"/>
      <c r="ZW103" s="18"/>
      <c r="ZX103" s="18"/>
      <c r="ZY103" s="18"/>
      <c r="ZZ103" s="18"/>
      <c r="AAA103" s="18"/>
      <c r="AAB103" s="18"/>
      <c r="AAC103" s="18"/>
      <c r="AAD103" s="18"/>
      <c r="AAE103" s="18"/>
      <c r="AAF103" s="18"/>
      <c r="AAG103" s="18"/>
      <c r="AAH103" s="18"/>
      <c r="AAI103" s="18"/>
      <c r="AAJ103" s="18"/>
      <c r="AAK103" s="18"/>
      <c r="AAL103" s="18"/>
      <c r="AAM103" s="18"/>
      <c r="AAN103" s="18"/>
      <c r="AAO103" s="18"/>
      <c r="AAP103" s="18"/>
      <c r="AAQ103" s="18"/>
      <c r="AAR103" s="18"/>
      <c r="AAS103" s="18"/>
      <c r="AAT103" s="18"/>
      <c r="AAU103" s="18"/>
      <c r="AAV103" s="18"/>
      <c r="AAW103" s="18"/>
      <c r="AAX103" s="18"/>
      <c r="AAY103" s="18"/>
      <c r="AAZ103" s="18"/>
      <c r="ABA103" s="18"/>
      <c r="ABB103" s="18"/>
      <c r="ABC103" s="18"/>
      <c r="ABD103" s="18"/>
      <c r="ABE103" s="18"/>
      <c r="ABF103" s="18"/>
      <c r="ABG103" s="18"/>
      <c r="ABH103" s="18"/>
      <c r="ABI103" s="18"/>
      <c r="ABJ103" s="18"/>
      <c r="ABK103" s="18"/>
      <c r="ABL103" s="18"/>
      <c r="ABM103" s="18"/>
      <c r="ABN103" s="18"/>
      <c r="ABO103" s="18"/>
      <c r="ABP103" s="18"/>
      <c r="ABQ103" s="18"/>
      <c r="ABR103" s="18"/>
      <c r="ABS103" s="18"/>
      <c r="ABT103" s="18"/>
      <c r="ABU103" s="18"/>
      <c r="ABV103" s="18"/>
      <c r="ABW103" s="18"/>
      <c r="ABX103" s="18"/>
      <c r="ABY103" s="18"/>
      <c r="ABZ103" s="18"/>
      <c r="ACA103" s="18"/>
      <c r="ACB103" s="18"/>
      <c r="ACC103" s="18"/>
      <c r="ACD103" s="18"/>
      <c r="ACE103" s="18"/>
      <c r="ACF103" s="18"/>
      <c r="ACG103" s="18"/>
      <c r="ACH103" s="18"/>
      <c r="ACI103" s="18"/>
      <c r="ACJ103" s="18"/>
      <c r="ACK103" s="18"/>
      <c r="ACL103" s="18"/>
      <c r="ACM103" s="18"/>
      <c r="ACN103" s="18"/>
      <c r="ACO103" s="18"/>
      <c r="ACP103" s="18"/>
      <c r="ACQ103" s="18"/>
      <c r="ACR103" s="18"/>
      <c r="ACS103" s="18"/>
      <c r="ACT103" s="18"/>
      <c r="ACU103" s="18"/>
      <c r="ACV103" s="18"/>
      <c r="ACW103" s="18"/>
      <c r="ACX103" s="18"/>
      <c r="ACY103" s="18"/>
      <c r="ACZ103" s="18"/>
      <c r="ADA103" s="18"/>
      <c r="ADB103" s="18"/>
      <c r="ADC103" s="18"/>
      <c r="ADD103" s="18"/>
      <c r="ADE103" s="18"/>
      <c r="ADF103" s="18"/>
      <c r="ADG103" s="18"/>
      <c r="ADH103" s="18"/>
      <c r="ADI103" s="18"/>
      <c r="ADJ103" s="18"/>
      <c r="ADK103" s="18"/>
      <c r="ADL103" s="18"/>
      <c r="ADM103" s="18"/>
      <c r="ADN103" s="18"/>
      <c r="ADO103" s="18"/>
      <c r="ADP103" s="18"/>
      <c r="ADQ103" s="18"/>
      <c r="ADR103" s="18"/>
      <c r="ADS103" s="18"/>
      <c r="ADT103" s="18"/>
      <c r="ADU103" s="18"/>
      <c r="ADV103" s="18"/>
      <c r="ADW103" s="18"/>
      <c r="ADX103" s="18"/>
      <c r="ADY103" s="18"/>
      <c r="ADZ103" s="18"/>
      <c r="AEA103" s="18"/>
      <c r="AEB103" s="18"/>
      <c r="AEC103" s="18"/>
      <c r="AED103" s="18"/>
      <c r="AEE103" s="18"/>
      <c r="AEF103" s="18"/>
      <c r="AEG103" s="18"/>
      <c r="AEH103" s="18"/>
      <c r="AEI103" s="18"/>
      <c r="AEJ103" s="18"/>
      <c r="AEK103" s="18"/>
      <c r="AEL103" s="18"/>
      <c r="AEM103" s="18"/>
      <c r="AEN103" s="18"/>
      <c r="AEO103" s="18"/>
      <c r="AEP103" s="18"/>
      <c r="AEQ103" s="18"/>
      <c r="AER103" s="18"/>
      <c r="AES103" s="18"/>
      <c r="AET103" s="18"/>
      <c r="AEU103" s="18"/>
      <c r="AEV103" s="18"/>
      <c r="AEW103" s="18"/>
      <c r="AEX103" s="18"/>
      <c r="AEY103" s="18"/>
      <c r="AEZ103" s="18"/>
      <c r="AFA103" s="18"/>
      <c r="AFB103" s="18"/>
      <c r="AFC103" s="18"/>
      <c r="AFD103" s="18"/>
      <c r="AFE103" s="18"/>
      <c r="AFF103" s="18"/>
      <c r="AFG103" s="18"/>
      <c r="AFH103" s="18"/>
      <c r="AFI103" s="18"/>
      <c r="AFJ103" s="18"/>
      <c r="AFK103" s="18"/>
      <c r="AFL103" s="18"/>
      <c r="AFM103" s="18"/>
      <c r="AFN103" s="18"/>
      <c r="AFO103" s="18"/>
      <c r="AFP103" s="18"/>
      <c r="AFQ103" s="18"/>
      <c r="AFR103" s="18"/>
      <c r="AFS103" s="18"/>
      <c r="AFT103" s="18"/>
      <c r="AFU103" s="18"/>
      <c r="AFV103" s="18"/>
      <c r="AFW103" s="18"/>
      <c r="AFX103" s="18"/>
      <c r="AFY103" s="18"/>
      <c r="AFZ103" s="18"/>
      <c r="AGA103" s="18"/>
      <c r="AGB103" s="18"/>
      <c r="AGC103" s="18"/>
      <c r="AGD103" s="18"/>
      <c r="AGE103" s="18"/>
      <c r="AGF103" s="18"/>
      <c r="AGG103" s="18"/>
      <c r="AGH103" s="18"/>
      <c r="AGI103" s="18"/>
      <c r="AGJ103" s="18"/>
      <c r="AGK103" s="18"/>
      <c r="AGL103" s="18"/>
      <c r="AGM103" s="18"/>
      <c r="AGN103" s="18"/>
      <c r="AGO103" s="18"/>
      <c r="AGP103" s="18"/>
      <c r="AGQ103" s="18"/>
      <c r="AGR103" s="18"/>
      <c r="AGS103" s="18"/>
      <c r="AGT103" s="18"/>
      <c r="AGU103" s="18"/>
      <c r="AGV103" s="18"/>
      <c r="AGW103" s="18"/>
      <c r="AGX103" s="18"/>
      <c r="AGY103" s="18"/>
      <c r="AGZ103" s="18"/>
      <c r="AHA103" s="18"/>
      <c r="AHB103" s="18"/>
      <c r="AHC103" s="18"/>
      <c r="AHD103" s="18"/>
      <c r="AHE103" s="18"/>
      <c r="AHF103" s="18"/>
      <c r="AHG103" s="18"/>
      <c r="AHH103" s="18"/>
      <c r="AHI103" s="18"/>
      <c r="AHJ103" s="18"/>
      <c r="AHK103" s="18"/>
      <c r="AHL103" s="18"/>
      <c r="AHM103" s="18"/>
      <c r="AHN103" s="18"/>
      <c r="AHO103" s="18"/>
      <c r="AHP103" s="18"/>
      <c r="AHQ103" s="18"/>
      <c r="AHR103" s="18"/>
      <c r="AHS103" s="18"/>
      <c r="AHT103" s="18"/>
      <c r="AHU103" s="18"/>
      <c r="AHV103" s="18"/>
      <c r="AHW103" s="18"/>
      <c r="AHX103" s="18"/>
      <c r="AHY103" s="18"/>
      <c r="AHZ103" s="18"/>
      <c r="AIA103" s="18"/>
      <c r="AIB103" s="18"/>
      <c r="AIC103" s="18"/>
      <c r="AID103" s="18"/>
      <c r="AIE103" s="18"/>
      <c r="AIF103" s="18"/>
      <c r="AIG103" s="18"/>
      <c r="AIH103" s="18"/>
      <c r="AII103" s="18"/>
      <c r="AIJ103" s="18"/>
      <c r="AIK103" s="18"/>
      <c r="AIL103" s="18"/>
      <c r="AIM103" s="18"/>
      <c r="AIN103" s="18"/>
      <c r="AIO103" s="18"/>
      <c r="AIP103" s="18"/>
      <c r="AIQ103" s="18"/>
      <c r="AIR103" s="18"/>
      <c r="AIS103" s="18"/>
      <c r="AIT103" s="18"/>
      <c r="AIU103" s="18"/>
      <c r="AIV103" s="18"/>
      <c r="AIW103" s="18"/>
      <c r="AIX103" s="18"/>
      <c r="AIY103" s="18"/>
      <c r="AIZ103" s="18"/>
      <c r="AJA103" s="18"/>
      <c r="AJB103" s="18"/>
      <c r="AJC103" s="18"/>
      <c r="AJD103" s="18"/>
      <c r="AJE103" s="18"/>
      <c r="AJF103" s="18"/>
      <c r="AJG103" s="18"/>
      <c r="AJH103" s="18"/>
      <c r="AJI103" s="18"/>
      <c r="AJJ103" s="18"/>
      <c r="AJK103" s="18"/>
      <c r="AJL103" s="18"/>
      <c r="AJM103" s="18"/>
      <c r="AJN103" s="18"/>
      <c r="AJO103" s="18"/>
      <c r="AJP103" s="18"/>
      <c r="AJQ103" s="18"/>
      <c r="AJR103" s="18"/>
      <c r="AJS103" s="18"/>
      <c r="AJT103" s="18"/>
      <c r="AJU103" s="18"/>
      <c r="AJV103" s="18"/>
      <c r="AJW103" s="18"/>
      <c r="AJX103" s="18"/>
      <c r="AJY103" s="18"/>
      <c r="AJZ103" s="18"/>
      <c r="AKA103" s="18"/>
      <c r="AKB103" s="18"/>
      <c r="AKC103" s="18"/>
      <c r="AKD103" s="18"/>
      <c r="AKE103" s="18"/>
      <c r="AKF103" s="18"/>
      <c r="AKG103" s="18"/>
      <c r="AKH103" s="18"/>
      <c r="AKI103" s="18"/>
      <c r="AKJ103" s="18"/>
      <c r="AKK103" s="18"/>
      <c r="AKL103" s="18"/>
      <c r="AKM103" s="18"/>
      <c r="AKN103" s="18"/>
      <c r="AKO103" s="18"/>
      <c r="AKP103" s="18"/>
      <c r="AKQ103" s="18"/>
      <c r="AKR103" s="18"/>
      <c r="AKS103" s="18"/>
      <c r="AKT103" s="18"/>
      <c r="AKU103" s="18"/>
      <c r="AKV103" s="18"/>
      <c r="AKW103" s="18"/>
      <c r="AKX103" s="18"/>
      <c r="AKY103" s="18"/>
      <c r="AKZ103" s="18"/>
      <c r="ALA103" s="18"/>
      <c r="ALB103" s="18"/>
      <c r="ALC103" s="18"/>
      <c r="ALD103" s="18"/>
      <c r="ALE103" s="18"/>
      <c r="ALF103" s="18"/>
      <c r="ALG103" s="18"/>
      <c r="ALH103" s="18"/>
      <c r="ALI103" s="18"/>
      <c r="ALJ103" s="18"/>
      <c r="ALK103" s="18"/>
      <c r="ALL103" s="18"/>
      <c r="ALM103" s="18"/>
      <c r="ALN103" s="18"/>
      <c r="ALO103" s="18"/>
      <c r="ALP103" s="18"/>
      <c r="ALQ103" s="18"/>
      <c r="ALR103" s="18"/>
      <c r="ALS103" s="18"/>
      <c r="ALT103" s="18"/>
    </row>
    <row r="104" spans="1:1008">
      <c r="A104" s="251" t="s">
        <v>6307</v>
      </c>
      <c r="B104" s="290">
        <v>362</v>
      </c>
      <c r="C104" s="278" t="str">
        <f>(IF($A104="SINAPI",INDEX(SINAPI_NOV2020_NDES!$A$7:$H$6703,MATCH($B104,SINAPI_NOV2020_NDES!$A$7:$A$6703,0),2),IF($A104="GOINFRA",INDEX(#REF!,MATCH($B104,#REF!,0),2),(INDEX(COMPOS!$A$4:$G$390,MATCH($B104,COMPOS!$A$4:A$390,0),2)))))</f>
        <v>LIMPEZA FINAL DA OBRA</v>
      </c>
      <c r="D104" s="274" t="str">
        <f>(IF($A104="SINAPI",INDEX(SINAPI_NOV2020_NDES!$A$7:$H$6790,MATCH($B104,SINAPI_NOV2020_NDES!$A$7:$A$6790,0),3),(INDEX(COMPOS!$A$4:$G$5000,MATCH($B104,COMPOS!$A$4:$A$5000,0),3))))</f>
        <v>M2</v>
      </c>
      <c r="E104" s="314">
        <v>52.24</v>
      </c>
      <c r="F104" s="279">
        <f>(IF($A104="SINAPI",INDEX(SINAPI_NOV2020_NDES!$A$7:$H$6703,MATCH($B104,SINAPI_NOV2020_NDES!$A$7:$A$6703,0),5),(INDEX(COMPOS!$A$4:$G$801,MATCH($B104,COMPOS!$A$4:A$801,0),4))))</f>
        <v>2.2664999999999997</v>
      </c>
      <c r="G104" s="280">
        <f>(IF($A104="SINAPI",INDEX(SINAPI_NOV2020_NDES!$A$7:$H$6703,MATCH($B104,SINAPI_NOV2020_NDES!$A$7:$A$6703,0),6),(INDEX(COMPOS!$A$4:$G$801,MATCH($B104,COMPOS!$A$4:A$801,0),5))))</f>
        <v>0.62687100000000007</v>
      </c>
      <c r="H104" s="280">
        <f>(IF($A104="SINAPI",INDEX(SINAPI_NOV2020_NDES!$A$7:$H$6703,MATCH($B104,SINAPI_NOV2020_NDES!$A$7:$A$6703,0),7),(INDEX(COMPOS!$A$4:$G$801,MATCH($B104,COMPOS!$A$4:A$801,0),6))))</f>
        <v>0</v>
      </c>
      <c r="I104" s="279">
        <f t="shared" ref="I104" si="42">SUM(F104:H104)</f>
        <v>2.8933709999999997</v>
      </c>
      <c r="J104" s="276">
        <f t="shared" ref="J104" si="43">+I104*E104</f>
        <v>151.14970104</v>
      </c>
      <c r="K104" s="191"/>
      <c r="L104" s="191"/>
      <c r="M104" s="191"/>
      <c r="N104" s="191"/>
      <c r="O104" s="262"/>
      <c r="P104" s="263"/>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c r="IP104" s="18"/>
      <c r="IQ104" s="18"/>
      <c r="IR104" s="18"/>
      <c r="IS104" s="18"/>
      <c r="IT104" s="18"/>
      <c r="IU104" s="18"/>
      <c r="IV104" s="18"/>
      <c r="IW104" s="18"/>
      <c r="IX104" s="18"/>
      <c r="IY104" s="18"/>
      <c r="IZ104" s="18"/>
      <c r="JA104" s="18"/>
      <c r="JB104" s="18"/>
      <c r="JC104" s="18"/>
      <c r="JD104" s="18"/>
      <c r="JE104" s="18"/>
      <c r="JF104" s="18"/>
      <c r="JG104" s="18"/>
      <c r="JH104" s="18"/>
      <c r="JI104" s="18"/>
      <c r="JJ104" s="18"/>
      <c r="JK104" s="18"/>
      <c r="JL104" s="18"/>
      <c r="JM104" s="18"/>
      <c r="JN104" s="18"/>
      <c r="JO104" s="18"/>
      <c r="JP104" s="18"/>
      <c r="JQ104" s="18"/>
      <c r="JR104" s="18"/>
      <c r="JS104" s="18"/>
      <c r="JT104" s="18"/>
      <c r="JU104" s="18"/>
      <c r="JV104" s="18"/>
      <c r="JW104" s="18"/>
      <c r="JX104" s="18"/>
      <c r="JY104" s="18"/>
      <c r="JZ104" s="18"/>
      <c r="KA104" s="18"/>
      <c r="KB104" s="18"/>
      <c r="KC104" s="18"/>
      <c r="KD104" s="18"/>
      <c r="KE104" s="18"/>
      <c r="KF104" s="18"/>
      <c r="KG104" s="18"/>
      <c r="KH104" s="18"/>
      <c r="KI104" s="18"/>
      <c r="KJ104" s="18"/>
      <c r="KK104" s="18"/>
      <c r="KL104" s="18"/>
      <c r="KM104" s="18"/>
      <c r="KN104" s="18"/>
      <c r="KO104" s="18"/>
      <c r="KP104" s="18"/>
      <c r="KQ104" s="18"/>
      <c r="KR104" s="18"/>
      <c r="KS104" s="18"/>
      <c r="KT104" s="18"/>
      <c r="KU104" s="18"/>
      <c r="KV104" s="18"/>
      <c r="KW104" s="18"/>
      <c r="KX104" s="18"/>
      <c r="KY104" s="18"/>
      <c r="KZ104" s="18"/>
      <c r="LA104" s="18"/>
      <c r="LB104" s="18"/>
      <c r="LC104" s="18"/>
      <c r="LD104" s="18"/>
      <c r="LE104" s="18"/>
      <c r="LF104" s="18"/>
      <c r="LG104" s="18"/>
      <c r="LH104" s="18"/>
      <c r="LI104" s="18"/>
      <c r="LJ104" s="18"/>
      <c r="LK104" s="18"/>
      <c r="LL104" s="18"/>
      <c r="LM104" s="18"/>
      <c r="LN104" s="18"/>
      <c r="LO104" s="18"/>
      <c r="LP104" s="18"/>
      <c r="LQ104" s="18"/>
      <c r="LR104" s="18"/>
      <c r="LS104" s="18"/>
      <c r="LT104" s="18"/>
      <c r="LU104" s="18"/>
      <c r="LV104" s="18"/>
      <c r="LW104" s="18"/>
      <c r="LX104" s="18"/>
      <c r="LY104" s="18"/>
      <c r="LZ104" s="18"/>
      <c r="MA104" s="18"/>
      <c r="MB104" s="18"/>
      <c r="MC104" s="18"/>
      <c r="MD104" s="18"/>
      <c r="ME104" s="18"/>
      <c r="MF104" s="18"/>
      <c r="MG104" s="18"/>
      <c r="MH104" s="18"/>
      <c r="MI104" s="18"/>
      <c r="MJ104" s="18"/>
      <c r="MK104" s="18"/>
      <c r="ML104" s="18"/>
      <c r="MM104" s="18"/>
      <c r="MN104" s="18"/>
      <c r="MO104" s="18"/>
      <c r="MP104" s="18"/>
      <c r="MQ104" s="18"/>
      <c r="MR104" s="18"/>
      <c r="MS104" s="18"/>
      <c r="MT104" s="18"/>
      <c r="MU104" s="18"/>
      <c r="MV104" s="18"/>
      <c r="MW104" s="18"/>
      <c r="MX104" s="18"/>
      <c r="MY104" s="18"/>
      <c r="MZ104" s="18"/>
      <c r="NA104" s="18"/>
      <c r="NB104" s="18"/>
      <c r="NC104" s="18"/>
      <c r="ND104" s="18"/>
      <c r="NE104" s="18"/>
      <c r="NF104" s="18"/>
      <c r="NG104" s="18"/>
      <c r="NH104" s="18"/>
      <c r="NI104" s="18"/>
      <c r="NJ104" s="18"/>
      <c r="NK104" s="18"/>
      <c r="NL104" s="18"/>
      <c r="NM104" s="18"/>
      <c r="NN104" s="18"/>
      <c r="NO104" s="18"/>
      <c r="NP104" s="18"/>
      <c r="NQ104" s="18"/>
      <c r="NR104" s="18"/>
      <c r="NS104" s="18"/>
      <c r="NT104" s="18"/>
      <c r="NU104" s="18"/>
      <c r="NV104" s="18"/>
      <c r="NW104" s="18"/>
      <c r="NX104" s="18"/>
      <c r="NY104" s="18"/>
      <c r="NZ104" s="18"/>
      <c r="OA104" s="18"/>
      <c r="OB104" s="18"/>
      <c r="OC104" s="18"/>
      <c r="OD104" s="18"/>
      <c r="OE104" s="18"/>
      <c r="OF104" s="18"/>
      <c r="OG104" s="18"/>
      <c r="OH104" s="18"/>
      <c r="OI104" s="18"/>
      <c r="OJ104" s="18"/>
      <c r="OK104" s="18"/>
      <c r="OL104" s="18"/>
      <c r="OM104" s="18"/>
      <c r="ON104" s="18"/>
      <c r="OO104" s="18"/>
      <c r="OP104" s="18"/>
      <c r="OQ104" s="18"/>
      <c r="OR104" s="18"/>
      <c r="OS104" s="18"/>
      <c r="OT104" s="18"/>
      <c r="OU104" s="18"/>
      <c r="OV104" s="18"/>
      <c r="OW104" s="18"/>
      <c r="OX104" s="18"/>
      <c r="OY104" s="18"/>
      <c r="OZ104" s="18"/>
      <c r="PA104" s="18"/>
      <c r="PB104" s="18"/>
      <c r="PC104" s="18"/>
      <c r="PD104" s="18"/>
      <c r="PE104" s="18"/>
      <c r="PF104" s="18"/>
      <c r="PG104" s="18"/>
      <c r="PH104" s="18"/>
      <c r="PI104" s="18"/>
      <c r="PJ104" s="18"/>
      <c r="PK104" s="18"/>
      <c r="PL104" s="18"/>
      <c r="PM104" s="18"/>
      <c r="PN104" s="18"/>
      <c r="PO104" s="18"/>
      <c r="PP104" s="18"/>
      <c r="PQ104" s="18"/>
      <c r="PR104" s="18"/>
      <c r="PS104" s="18"/>
      <c r="PT104" s="18"/>
      <c r="PU104" s="18"/>
      <c r="PV104" s="18"/>
      <c r="PW104" s="18"/>
      <c r="PX104" s="18"/>
      <c r="PY104" s="18"/>
      <c r="PZ104" s="18"/>
      <c r="QA104" s="18"/>
      <c r="QB104" s="18"/>
      <c r="QC104" s="18"/>
      <c r="QD104" s="18"/>
      <c r="QE104" s="18"/>
      <c r="QF104" s="18"/>
      <c r="QG104" s="18"/>
      <c r="QH104" s="18"/>
      <c r="QI104" s="18"/>
      <c r="QJ104" s="18"/>
      <c r="QK104" s="18"/>
      <c r="QL104" s="18"/>
      <c r="QM104" s="18"/>
      <c r="QN104" s="18"/>
      <c r="QO104" s="18"/>
      <c r="QP104" s="18"/>
      <c r="QQ104" s="18"/>
      <c r="QR104" s="18"/>
      <c r="QS104" s="18"/>
      <c r="QT104" s="18"/>
      <c r="QU104" s="18"/>
      <c r="QV104" s="18"/>
      <c r="QW104" s="18"/>
      <c r="QX104" s="18"/>
      <c r="QY104" s="18"/>
      <c r="QZ104" s="18"/>
      <c r="RA104" s="18"/>
      <c r="RB104" s="18"/>
      <c r="RC104" s="18"/>
      <c r="RD104" s="18"/>
      <c r="RE104" s="18"/>
      <c r="RF104" s="18"/>
      <c r="RG104" s="18"/>
      <c r="RH104" s="18"/>
      <c r="RI104" s="18"/>
      <c r="RJ104" s="18"/>
      <c r="RK104" s="18"/>
      <c r="RL104" s="18"/>
      <c r="RM104" s="18"/>
      <c r="RN104" s="18"/>
      <c r="RO104" s="18"/>
      <c r="RP104" s="18"/>
      <c r="RQ104" s="18"/>
      <c r="RR104" s="18"/>
      <c r="RS104" s="18"/>
      <c r="RT104" s="18"/>
      <c r="RU104" s="18"/>
      <c r="RV104" s="18"/>
      <c r="RW104" s="18"/>
      <c r="RX104" s="18"/>
      <c r="RY104" s="18"/>
      <c r="RZ104" s="18"/>
      <c r="SA104" s="18"/>
      <c r="SB104" s="18"/>
      <c r="SC104" s="18"/>
      <c r="SD104" s="18"/>
      <c r="SE104" s="18"/>
      <c r="SF104" s="18"/>
      <c r="SG104" s="18"/>
      <c r="SH104" s="18"/>
      <c r="SI104" s="18"/>
      <c r="SJ104" s="18"/>
      <c r="SK104" s="18"/>
      <c r="SL104" s="18"/>
      <c r="SM104" s="18"/>
      <c r="SN104" s="18"/>
      <c r="SO104" s="18"/>
      <c r="SP104" s="18"/>
      <c r="SQ104" s="18"/>
      <c r="SR104" s="18"/>
      <c r="SS104" s="18"/>
      <c r="ST104" s="18"/>
      <c r="SU104" s="18"/>
      <c r="SV104" s="18"/>
      <c r="SW104" s="18"/>
      <c r="SX104" s="18"/>
      <c r="SY104" s="18"/>
      <c r="SZ104" s="18"/>
      <c r="TA104" s="18"/>
      <c r="TB104" s="18"/>
      <c r="TC104" s="18"/>
      <c r="TD104" s="18"/>
      <c r="TE104" s="18"/>
      <c r="TF104" s="18"/>
      <c r="TG104" s="18"/>
      <c r="TH104" s="18"/>
      <c r="TI104" s="18"/>
      <c r="TJ104" s="18"/>
      <c r="TK104" s="18"/>
      <c r="TL104" s="18"/>
      <c r="TM104" s="18"/>
      <c r="TN104" s="18"/>
      <c r="TO104" s="18"/>
      <c r="TP104" s="18"/>
      <c r="TQ104" s="18"/>
      <c r="TR104" s="18"/>
      <c r="TS104" s="18"/>
      <c r="TT104" s="18"/>
      <c r="TU104" s="18"/>
      <c r="TV104" s="18"/>
      <c r="TW104" s="18"/>
      <c r="TX104" s="18"/>
      <c r="TY104" s="18"/>
      <c r="TZ104" s="18"/>
      <c r="UA104" s="18"/>
      <c r="UB104" s="18"/>
      <c r="UC104" s="18"/>
      <c r="UD104" s="18"/>
      <c r="UE104" s="18"/>
      <c r="UF104" s="18"/>
      <c r="UG104" s="18"/>
      <c r="UH104" s="18"/>
      <c r="UI104" s="18"/>
      <c r="UJ104" s="18"/>
      <c r="UK104" s="18"/>
      <c r="UL104" s="18"/>
      <c r="UM104" s="18"/>
      <c r="UN104" s="18"/>
      <c r="UO104" s="18"/>
      <c r="UP104" s="18"/>
      <c r="UQ104" s="18"/>
      <c r="UR104" s="18"/>
      <c r="US104" s="18"/>
      <c r="UT104" s="18"/>
      <c r="UU104" s="18"/>
      <c r="UV104" s="18"/>
      <c r="UW104" s="18"/>
      <c r="UX104" s="18"/>
      <c r="UY104" s="18"/>
      <c r="UZ104" s="18"/>
      <c r="VA104" s="18"/>
      <c r="VB104" s="18"/>
      <c r="VC104" s="18"/>
      <c r="VD104" s="18"/>
      <c r="VE104" s="18"/>
      <c r="VF104" s="18"/>
      <c r="VG104" s="18"/>
      <c r="VH104" s="18"/>
      <c r="VI104" s="18"/>
      <c r="VJ104" s="18"/>
      <c r="VK104" s="18"/>
      <c r="VL104" s="18"/>
      <c r="VM104" s="18"/>
      <c r="VN104" s="18"/>
      <c r="VO104" s="18"/>
      <c r="VP104" s="18"/>
      <c r="VQ104" s="18"/>
      <c r="VR104" s="18"/>
      <c r="VS104" s="18"/>
      <c r="VT104" s="18"/>
      <c r="VU104" s="18"/>
      <c r="VV104" s="18"/>
      <c r="VW104" s="18"/>
      <c r="VX104" s="18"/>
      <c r="VY104" s="18"/>
      <c r="VZ104" s="18"/>
      <c r="WA104" s="18"/>
      <c r="WB104" s="18"/>
      <c r="WC104" s="18"/>
      <c r="WD104" s="18"/>
      <c r="WE104" s="18"/>
      <c r="WF104" s="18"/>
      <c r="WG104" s="18"/>
      <c r="WH104" s="18"/>
      <c r="WI104" s="18"/>
      <c r="WJ104" s="18"/>
      <c r="WK104" s="18"/>
      <c r="WL104" s="18"/>
      <c r="WM104" s="18"/>
      <c r="WN104" s="18"/>
      <c r="WO104" s="18"/>
      <c r="WP104" s="18"/>
      <c r="WQ104" s="18"/>
      <c r="WR104" s="18"/>
      <c r="WS104" s="18"/>
      <c r="WT104" s="18"/>
      <c r="WU104" s="18"/>
      <c r="WV104" s="18"/>
      <c r="WW104" s="18"/>
      <c r="WX104" s="18"/>
      <c r="WY104" s="18"/>
      <c r="WZ104" s="18"/>
      <c r="XA104" s="18"/>
      <c r="XB104" s="18"/>
      <c r="XC104" s="18"/>
      <c r="XD104" s="18"/>
      <c r="XE104" s="18"/>
      <c r="XF104" s="18"/>
      <c r="XG104" s="18"/>
      <c r="XH104" s="18"/>
      <c r="XI104" s="18"/>
      <c r="XJ104" s="18"/>
      <c r="XK104" s="18"/>
      <c r="XL104" s="18"/>
      <c r="XM104" s="18"/>
      <c r="XN104" s="18"/>
      <c r="XO104" s="18"/>
      <c r="XP104" s="18"/>
      <c r="XQ104" s="18"/>
      <c r="XR104" s="18"/>
      <c r="XS104" s="18"/>
      <c r="XT104" s="18"/>
      <c r="XU104" s="18"/>
      <c r="XV104" s="18"/>
      <c r="XW104" s="18"/>
      <c r="XX104" s="18"/>
      <c r="XY104" s="18"/>
      <c r="XZ104" s="18"/>
      <c r="YA104" s="18"/>
      <c r="YB104" s="18"/>
      <c r="YC104" s="18"/>
      <c r="YD104" s="18"/>
      <c r="YE104" s="18"/>
      <c r="YF104" s="18"/>
      <c r="YG104" s="18"/>
      <c r="YH104" s="18"/>
      <c r="YI104" s="18"/>
      <c r="YJ104" s="18"/>
      <c r="YK104" s="18"/>
      <c r="YL104" s="18"/>
      <c r="YM104" s="18"/>
      <c r="YN104" s="18"/>
      <c r="YO104" s="18"/>
      <c r="YP104" s="18"/>
      <c r="YQ104" s="18"/>
      <c r="YR104" s="18"/>
      <c r="YS104" s="18"/>
      <c r="YT104" s="18"/>
      <c r="YU104" s="18"/>
      <c r="YV104" s="18"/>
      <c r="YW104" s="18"/>
      <c r="YX104" s="18"/>
      <c r="YY104" s="18"/>
      <c r="YZ104" s="18"/>
      <c r="ZA104" s="18"/>
      <c r="ZB104" s="18"/>
      <c r="ZC104" s="18"/>
      <c r="ZD104" s="18"/>
      <c r="ZE104" s="18"/>
      <c r="ZF104" s="18"/>
      <c r="ZG104" s="18"/>
      <c r="ZH104" s="18"/>
      <c r="ZI104" s="18"/>
      <c r="ZJ104" s="18"/>
      <c r="ZK104" s="18"/>
      <c r="ZL104" s="18"/>
      <c r="ZM104" s="18"/>
      <c r="ZN104" s="18"/>
      <c r="ZO104" s="18"/>
      <c r="ZP104" s="18"/>
      <c r="ZQ104" s="18"/>
      <c r="ZR104" s="18"/>
      <c r="ZS104" s="18"/>
      <c r="ZT104" s="18"/>
      <c r="ZU104" s="18"/>
      <c r="ZV104" s="18"/>
      <c r="ZW104" s="18"/>
      <c r="ZX104" s="18"/>
      <c r="ZY104" s="18"/>
      <c r="ZZ104" s="18"/>
      <c r="AAA104" s="18"/>
      <c r="AAB104" s="18"/>
      <c r="AAC104" s="18"/>
      <c r="AAD104" s="18"/>
      <c r="AAE104" s="18"/>
      <c r="AAF104" s="18"/>
      <c r="AAG104" s="18"/>
      <c r="AAH104" s="18"/>
      <c r="AAI104" s="18"/>
      <c r="AAJ104" s="18"/>
      <c r="AAK104" s="18"/>
      <c r="AAL104" s="18"/>
      <c r="AAM104" s="18"/>
      <c r="AAN104" s="18"/>
      <c r="AAO104" s="18"/>
      <c r="AAP104" s="18"/>
      <c r="AAQ104" s="18"/>
      <c r="AAR104" s="18"/>
      <c r="AAS104" s="18"/>
      <c r="AAT104" s="18"/>
      <c r="AAU104" s="18"/>
      <c r="AAV104" s="18"/>
      <c r="AAW104" s="18"/>
      <c r="AAX104" s="18"/>
      <c r="AAY104" s="18"/>
      <c r="AAZ104" s="18"/>
      <c r="ABA104" s="18"/>
      <c r="ABB104" s="18"/>
      <c r="ABC104" s="18"/>
      <c r="ABD104" s="18"/>
      <c r="ABE104" s="18"/>
      <c r="ABF104" s="18"/>
      <c r="ABG104" s="18"/>
      <c r="ABH104" s="18"/>
      <c r="ABI104" s="18"/>
      <c r="ABJ104" s="18"/>
      <c r="ABK104" s="18"/>
      <c r="ABL104" s="18"/>
      <c r="ABM104" s="18"/>
      <c r="ABN104" s="18"/>
      <c r="ABO104" s="18"/>
      <c r="ABP104" s="18"/>
      <c r="ABQ104" s="18"/>
      <c r="ABR104" s="18"/>
      <c r="ABS104" s="18"/>
      <c r="ABT104" s="18"/>
      <c r="ABU104" s="18"/>
      <c r="ABV104" s="18"/>
      <c r="ABW104" s="18"/>
      <c r="ABX104" s="18"/>
      <c r="ABY104" s="18"/>
      <c r="ABZ104" s="18"/>
      <c r="ACA104" s="18"/>
      <c r="ACB104" s="18"/>
      <c r="ACC104" s="18"/>
      <c r="ACD104" s="18"/>
      <c r="ACE104" s="18"/>
      <c r="ACF104" s="18"/>
      <c r="ACG104" s="18"/>
      <c r="ACH104" s="18"/>
      <c r="ACI104" s="18"/>
      <c r="ACJ104" s="18"/>
      <c r="ACK104" s="18"/>
      <c r="ACL104" s="18"/>
      <c r="ACM104" s="18"/>
      <c r="ACN104" s="18"/>
      <c r="ACO104" s="18"/>
      <c r="ACP104" s="18"/>
      <c r="ACQ104" s="18"/>
      <c r="ACR104" s="18"/>
      <c r="ACS104" s="18"/>
      <c r="ACT104" s="18"/>
      <c r="ACU104" s="18"/>
      <c r="ACV104" s="18"/>
      <c r="ACW104" s="18"/>
      <c r="ACX104" s="18"/>
      <c r="ACY104" s="18"/>
      <c r="ACZ104" s="18"/>
      <c r="ADA104" s="18"/>
      <c r="ADB104" s="18"/>
      <c r="ADC104" s="18"/>
      <c r="ADD104" s="18"/>
      <c r="ADE104" s="18"/>
      <c r="ADF104" s="18"/>
      <c r="ADG104" s="18"/>
      <c r="ADH104" s="18"/>
      <c r="ADI104" s="18"/>
      <c r="ADJ104" s="18"/>
      <c r="ADK104" s="18"/>
      <c r="ADL104" s="18"/>
      <c r="ADM104" s="18"/>
      <c r="ADN104" s="18"/>
      <c r="ADO104" s="18"/>
      <c r="ADP104" s="18"/>
      <c r="ADQ104" s="18"/>
      <c r="ADR104" s="18"/>
      <c r="ADS104" s="18"/>
      <c r="ADT104" s="18"/>
      <c r="ADU104" s="18"/>
      <c r="ADV104" s="18"/>
      <c r="ADW104" s="18"/>
      <c r="ADX104" s="18"/>
      <c r="ADY104" s="18"/>
      <c r="ADZ104" s="18"/>
      <c r="AEA104" s="18"/>
      <c r="AEB104" s="18"/>
      <c r="AEC104" s="18"/>
      <c r="AED104" s="18"/>
      <c r="AEE104" s="18"/>
      <c r="AEF104" s="18"/>
      <c r="AEG104" s="18"/>
      <c r="AEH104" s="18"/>
      <c r="AEI104" s="18"/>
      <c r="AEJ104" s="18"/>
      <c r="AEK104" s="18"/>
      <c r="AEL104" s="18"/>
      <c r="AEM104" s="18"/>
      <c r="AEN104" s="18"/>
      <c r="AEO104" s="18"/>
      <c r="AEP104" s="18"/>
      <c r="AEQ104" s="18"/>
      <c r="AER104" s="18"/>
      <c r="AES104" s="18"/>
      <c r="AET104" s="18"/>
      <c r="AEU104" s="18"/>
      <c r="AEV104" s="18"/>
      <c r="AEW104" s="18"/>
      <c r="AEX104" s="18"/>
      <c r="AEY104" s="18"/>
      <c r="AEZ104" s="18"/>
      <c r="AFA104" s="18"/>
      <c r="AFB104" s="18"/>
      <c r="AFC104" s="18"/>
      <c r="AFD104" s="18"/>
      <c r="AFE104" s="18"/>
      <c r="AFF104" s="18"/>
      <c r="AFG104" s="18"/>
      <c r="AFH104" s="18"/>
      <c r="AFI104" s="18"/>
      <c r="AFJ104" s="18"/>
      <c r="AFK104" s="18"/>
      <c r="AFL104" s="18"/>
      <c r="AFM104" s="18"/>
      <c r="AFN104" s="18"/>
      <c r="AFO104" s="18"/>
      <c r="AFP104" s="18"/>
      <c r="AFQ104" s="18"/>
      <c r="AFR104" s="18"/>
      <c r="AFS104" s="18"/>
      <c r="AFT104" s="18"/>
      <c r="AFU104" s="18"/>
      <c r="AFV104" s="18"/>
      <c r="AFW104" s="18"/>
      <c r="AFX104" s="18"/>
      <c r="AFY104" s="18"/>
      <c r="AFZ104" s="18"/>
      <c r="AGA104" s="18"/>
      <c r="AGB104" s="18"/>
      <c r="AGC104" s="18"/>
      <c r="AGD104" s="18"/>
      <c r="AGE104" s="18"/>
      <c r="AGF104" s="18"/>
      <c r="AGG104" s="18"/>
      <c r="AGH104" s="18"/>
      <c r="AGI104" s="18"/>
      <c r="AGJ104" s="18"/>
      <c r="AGK104" s="18"/>
      <c r="AGL104" s="18"/>
      <c r="AGM104" s="18"/>
      <c r="AGN104" s="18"/>
      <c r="AGO104" s="18"/>
      <c r="AGP104" s="18"/>
      <c r="AGQ104" s="18"/>
      <c r="AGR104" s="18"/>
      <c r="AGS104" s="18"/>
      <c r="AGT104" s="18"/>
      <c r="AGU104" s="18"/>
      <c r="AGV104" s="18"/>
      <c r="AGW104" s="18"/>
      <c r="AGX104" s="18"/>
      <c r="AGY104" s="18"/>
      <c r="AGZ104" s="18"/>
      <c r="AHA104" s="18"/>
      <c r="AHB104" s="18"/>
      <c r="AHC104" s="18"/>
      <c r="AHD104" s="18"/>
      <c r="AHE104" s="18"/>
      <c r="AHF104" s="18"/>
      <c r="AHG104" s="18"/>
      <c r="AHH104" s="18"/>
      <c r="AHI104" s="18"/>
      <c r="AHJ104" s="18"/>
      <c r="AHK104" s="18"/>
      <c r="AHL104" s="18"/>
      <c r="AHM104" s="18"/>
      <c r="AHN104" s="18"/>
      <c r="AHO104" s="18"/>
      <c r="AHP104" s="18"/>
      <c r="AHQ104" s="18"/>
      <c r="AHR104" s="18"/>
      <c r="AHS104" s="18"/>
      <c r="AHT104" s="18"/>
      <c r="AHU104" s="18"/>
      <c r="AHV104" s="18"/>
      <c r="AHW104" s="18"/>
      <c r="AHX104" s="18"/>
      <c r="AHY104" s="18"/>
      <c r="AHZ104" s="18"/>
      <c r="AIA104" s="18"/>
      <c r="AIB104" s="18"/>
      <c r="AIC104" s="18"/>
      <c r="AID104" s="18"/>
      <c r="AIE104" s="18"/>
      <c r="AIF104" s="18"/>
      <c r="AIG104" s="18"/>
      <c r="AIH104" s="18"/>
      <c r="AII104" s="18"/>
      <c r="AIJ104" s="18"/>
      <c r="AIK104" s="18"/>
      <c r="AIL104" s="18"/>
      <c r="AIM104" s="18"/>
      <c r="AIN104" s="18"/>
      <c r="AIO104" s="18"/>
      <c r="AIP104" s="18"/>
      <c r="AIQ104" s="18"/>
      <c r="AIR104" s="18"/>
      <c r="AIS104" s="18"/>
      <c r="AIT104" s="18"/>
      <c r="AIU104" s="18"/>
      <c r="AIV104" s="18"/>
      <c r="AIW104" s="18"/>
      <c r="AIX104" s="18"/>
      <c r="AIY104" s="18"/>
      <c r="AIZ104" s="18"/>
      <c r="AJA104" s="18"/>
      <c r="AJB104" s="18"/>
      <c r="AJC104" s="18"/>
      <c r="AJD104" s="18"/>
      <c r="AJE104" s="18"/>
      <c r="AJF104" s="18"/>
      <c r="AJG104" s="18"/>
      <c r="AJH104" s="18"/>
      <c r="AJI104" s="18"/>
      <c r="AJJ104" s="18"/>
      <c r="AJK104" s="18"/>
      <c r="AJL104" s="18"/>
      <c r="AJM104" s="18"/>
      <c r="AJN104" s="18"/>
      <c r="AJO104" s="18"/>
      <c r="AJP104" s="18"/>
      <c r="AJQ104" s="18"/>
      <c r="AJR104" s="18"/>
      <c r="AJS104" s="18"/>
      <c r="AJT104" s="18"/>
      <c r="AJU104" s="18"/>
      <c r="AJV104" s="18"/>
      <c r="AJW104" s="18"/>
      <c r="AJX104" s="18"/>
      <c r="AJY104" s="18"/>
      <c r="AJZ104" s="18"/>
      <c r="AKA104" s="18"/>
      <c r="AKB104" s="18"/>
      <c r="AKC104" s="18"/>
      <c r="AKD104" s="18"/>
      <c r="AKE104" s="18"/>
      <c r="AKF104" s="18"/>
      <c r="AKG104" s="18"/>
      <c r="AKH104" s="18"/>
      <c r="AKI104" s="18"/>
      <c r="AKJ104" s="18"/>
      <c r="AKK104" s="18"/>
      <c r="AKL104" s="18"/>
      <c r="AKM104" s="18"/>
      <c r="AKN104" s="18"/>
      <c r="AKO104" s="18"/>
      <c r="AKP104" s="18"/>
      <c r="AKQ104" s="18"/>
      <c r="AKR104" s="18"/>
      <c r="AKS104" s="18"/>
      <c r="AKT104" s="18"/>
      <c r="AKU104" s="18"/>
      <c r="AKV104" s="18"/>
      <c r="AKW104" s="18"/>
      <c r="AKX104" s="18"/>
      <c r="AKY104" s="18"/>
      <c r="AKZ104" s="18"/>
      <c r="ALA104" s="18"/>
      <c r="ALB104" s="18"/>
      <c r="ALC104" s="18"/>
      <c r="ALD104" s="18"/>
      <c r="ALE104" s="18"/>
      <c r="ALF104" s="18"/>
      <c r="ALG104" s="18"/>
      <c r="ALH104" s="18"/>
      <c r="ALI104" s="18"/>
      <c r="ALJ104" s="18"/>
      <c r="ALK104" s="18"/>
      <c r="ALL104" s="18"/>
      <c r="ALM104" s="18"/>
      <c r="ALN104" s="18"/>
      <c r="ALO104" s="18"/>
      <c r="ALP104" s="18"/>
      <c r="ALQ104" s="18"/>
      <c r="ALR104" s="18"/>
      <c r="ALS104" s="18"/>
      <c r="ALT104" s="18"/>
    </row>
    <row r="105" spans="1:1008" ht="24">
      <c r="A105" s="251" t="s">
        <v>6307</v>
      </c>
      <c r="B105" s="290">
        <v>382</v>
      </c>
      <c r="C105" s="278" t="str">
        <f>(IF($A105="SINAPI",INDEX(SINAPI_NOV2020_NDES!$A$7:$H$6703,MATCH($B105,SINAPI_NOV2020_NDES!$A$7:$A$6703,0),2),IF($A105="GOINFRA",INDEX(#REF!,MATCH($B105,#REF!,0),2),(INDEX(COMPOS!$A$4:$G$390,MATCH($B105,COMPOS!$A$4:A$390,0),2)))))</f>
        <v>BANCO DE CONCRETO POLIDO BASE EM ALVENARIA REBOCADA E PINTADA - PADRÃO GOINFRA</v>
      </c>
      <c r="D105" s="274" t="str">
        <f>(IF($A105="SINAPI",INDEX(SINAPI_NOV2020_NDES!$A$7:$H$6790,MATCH($B105,SINAPI_NOV2020_NDES!$A$7:$A$6790,0),3),(INDEX(COMPOS!$A$4:$G$5000,MATCH($B105,COMPOS!$A$4:$A$5000,0),3))))</f>
        <v>M</v>
      </c>
      <c r="E105" s="314">
        <v>7.54</v>
      </c>
      <c r="F105" s="279">
        <f>(IF($A105="SINAPI",INDEX(SINAPI_NOV2020_NDES!$A$7:$H$6703,MATCH($B105,SINAPI_NOV2020_NDES!$A$7:$A$6703,0),5),(INDEX(COMPOS!$A$4:$G$801,MATCH($B105,COMPOS!$A$4:A$801,0),4))))</f>
        <v>118.09193099999999</v>
      </c>
      <c r="G105" s="280">
        <f>(IF($A105="SINAPI",INDEX(SINAPI_NOV2020_NDES!$A$7:$H$6703,MATCH($B105,SINAPI_NOV2020_NDES!$A$7:$A$6703,0),6),(INDEX(COMPOS!$A$4:$G$801,MATCH($B105,COMPOS!$A$4:A$801,0),5))))</f>
        <v>153.54687100000001</v>
      </c>
      <c r="H105" s="280">
        <f>(IF($A105="SINAPI",INDEX(SINAPI_NOV2020_NDES!$A$7:$H$6703,MATCH($B105,SINAPI_NOV2020_NDES!$A$7:$A$6703,0),7),(INDEX(COMPOS!$A$4:$G$801,MATCH($B105,COMPOS!$A$4:A$801,0),6))))</f>
        <v>0</v>
      </c>
      <c r="I105" s="279">
        <f t="shared" ref="I105:I107" si="44">SUM(F105:H105)</f>
        <v>271.638802</v>
      </c>
      <c r="J105" s="276">
        <f t="shared" ref="J105:J107" si="45">+I105*E105</f>
        <v>2048.1565670800001</v>
      </c>
      <c r="K105" s="191"/>
      <c r="L105" s="191"/>
      <c r="M105" s="191"/>
      <c r="N105" s="191"/>
      <c r="O105" s="262"/>
      <c r="P105" s="263"/>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c r="IP105" s="18"/>
      <c r="IQ105" s="18"/>
      <c r="IR105" s="18"/>
      <c r="IS105" s="18"/>
      <c r="IT105" s="18"/>
      <c r="IU105" s="18"/>
      <c r="IV105" s="18"/>
      <c r="IW105" s="18"/>
      <c r="IX105" s="18"/>
      <c r="IY105" s="18"/>
      <c r="IZ105" s="18"/>
      <c r="JA105" s="18"/>
      <c r="JB105" s="18"/>
      <c r="JC105" s="18"/>
      <c r="JD105" s="18"/>
      <c r="JE105" s="18"/>
      <c r="JF105" s="18"/>
      <c r="JG105" s="18"/>
      <c r="JH105" s="18"/>
      <c r="JI105" s="18"/>
      <c r="JJ105" s="18"/>
      <c r="JK105" s="18"/>
      <c r="JL105" s="18"/>
      <c r="JM105" s="18"/>
      <c r="JN105" s="18"/>
      <c r="JO105" s="18"/>
      <c r="JP105" s="18"/>
      <c r="JQ105" s="18"/>
      <c r="JR105" s="18"/>
      <c r="JS105" s="18"/>
      <c r="JT105" s="18"/>
      <c r="JU105" s="18"/>
      <c r="JV105" s="18"/>
      <c r="JW105" s="18"/>
      <c r="JX105" s="18"/>
      <c r="JY105" s="18"/>
      <c r="JZ105" s="18"/>
      <c r="KA105" s="18"/>
      <c r="KB105" s="18"/>
      <c r="KC105" s="18"/>
      <c r="KD105" s="18"/>
      <c r="KE105" s="18"/>
      <c r="KF105" s="18"/>
      <c r="KG105" s="18"/>
      <c r="KH105" s="18"/>
      <c r="KI105" s="18"/>
      <c r="KJ105" s="18"/>
      <c r="KK105" s="18"/>
      <c r="KL105" s="18"/>
      <c r="KM105" s="18"/>
      <c r="KN105" s="18"/>
      <c r="KO105" s="18"/>
      <c r="KP105" s="18"/>
      <c r="KQ105" s="18"/>
      <c r="KR105" s="18"/>
      <c r="KS105" s="18"/>
      <c r="KT105" s="18"/>
      <c r="KU105" s="18"/>
      <c r="KV105" s="18"/>
      <c r="KW105" s="18"/>
      <c r="KX105" s="18"/>
      <c r="KY105" s="18"/>
      <c r="KZ105" s="18"/>
      <c r="LA105" s="18"/>
      <c r="LB105" s="18"/>
      <c r="LC105" s="18"/>
      <c r="LD105" s="18"/>
      <c r="LE105" s="18"/>
      <c r="LF105" s="18"/>
      <c r="LG105" s="18"/>
      <c r="LH105" s="18"/>
      <c r="LI105" s="18"/>
      <c r="LJ105" s="18"/>
      <c r="LK105" s="18"/>
      <c r="LL105" s="18"/>
      <c r="LM105" s="18"/>
      <c r="LN105" s="18"/>
      <c r="LO105" s="18"/>
      <c r="LP105" s="18"/>
      <c r="LQ105" s="18"/>
      <c r="LR105" s="18"/>
      <c r="LS105" s="18"/>
      <c r="LT105" s="18"/>
      <c r="LU105" s="18"/>
      <c r="LV105" s="18"/>
      <c r="LW105" s="18"/>
      <c r="LX105" s="18"/>
      <c r="LY105" s="18"/>
      <c r="LZ105" s="18"/>
      <c r="MA105" s="18"/>
      <c r="MB105" s="18"/>
      <c r="MC105" s="18"/>
      <c r="MD105" s="18"/>
      <c r="ME105" s="18"/>
      <c r="MF105" s="18"/>
      <c r="MG105" s="18"/>
      <c r="MH105" s="18"/>
      <c r="MI105" s="18"/>
      <c r="MJ105" s="18"/>
      <c r="MK105" s="18"/>
      <c r="ML105" s="18"/>
      <c r="MM105" s="18"/>
      <c r="MN105" s="18"/>
      <c r="MO105" s="18"/>
      <c r="MP105" s="18"/>
      <c r="MQ105" s="18"/>
      <c r="MR105" s="18"/>
      <c r="MS105" s="18"/>
      <c r="MT105" s="18"/>
      <c r="MU105" s="18"/>
      <c r="MV105" s="18"/>
      <c r="MW105" s="18"/>
      <c r="MX105" s="18"/>
      <c r="MY105" s="18"/>
      <c r="MZ105" s="18"/>
      <c r="NA105" s="18"/>
      <c r="NB105" s="18"/>
      <c r="NC105" s="18"/>
      <c r="ND105" s="18"/>
      <c r="NE105" s="18"/>
      <c r="NF105" s="18"/>
      <c r="NG105" s="18"/>
      <c r="NH105" s="18"/>
      <c r="NI105" s="18"/>
      <c r="NJ105" s="18"/>
      <c r="NK105" s="18"/>
      <c r="NL105" s="18"/>
      <c r="NM105" s="18"/>
      <c r="NN105" s="18"/>
      <c r="NO105" s="18"/>
      <c r="NP105" s="18"/>
      <c r="NQ105" s="18"/>
      <c r="NR105" s="18"/>
      <c r="NS105" s="18"/>
      <c r="NT105" s="18"/>
      <c r="NU105" s="18"/>
      <c r="NV105" s="18"/>
      <c r="NW105" s="18"/>
      <c r="NX105" s="18"/>
      <c r="NY105" s="18"/>
      <c r="NZ105" s="18"/>
      <c r="OA105" s="18"/>
      <c r="OB105" s="18"/>
      <c r="OC105" s="18"/>
      <c r="OD105" s="18"/>
      <c r="OE105" s="18"/>
      <c r="OF105" s="18"/>
      <c r="OG105" s="18"/>
      <c r="OH105" s="18"/>
      <c r="OI105" s="18"/>
      <c r="OJ105" s="18"/>
      <c r="OK105" s="18"/>
      <c r="OL105" s="18"/>
      <c r="OM105" s="18"/>
      <c r="ON105" s="18"/>
      <c r="OO105" s="18"/>
      <c r="OP105" s="18"/>
      <c r="OQ105" s="18"/>
      <c r="OR105" s="18"/>
      <c r="OS105" s="18"/>
      <c r="OT105" s="18"/>
      <c r="OU105" s="18"/>
      <c r="OV105" s="18"/>
      <c r="OW105" s="18"/>
      <c r="OX105" s="18"/>
      <c r="OY105" s="18"/>
      <c r="OZ105" s="18"/>
      <c r="PA105" s="18"/>
      <c r="PB105" s="18"/>
      <c r="PC105" s="18"/>
      <c r="PD105" s="18"/>
      <c r="PE105" s="18"/>
      <c r="PF105" s="18"/>
      <c r="PG105" s="18"/>
      <c r="PH105" s="18"/>
      <c r="PI105" s="18"/>
      <c r="PJ105" s="18"/>
      <c r="PK105" s="18"/>
      <c r="PL105" s="18"/>
      <c r="PM105" s="18"/>
      <c r="PN105" s="18"/>
      <c r="PO105" s="18"/>
      <c r="PP105" s="18"/>
      <c r="PQ105" s="18"/>
      <c r="PR105" s="18"/>
      <c r="PS105" s="18"/>
      <c r="PT105" s="18"/>
      <c r="PU105" s="18"/>
      <c r="PV105" s="18"/>
      <c r="PW105" s="18"/>
      <c r="PX105" s="18"/>
      <c r="PY105" s="18"/>
      <c r="PZ105" s="18"/>
      <c r="QA105" s="18"/>
      <c r="QB105" s="18"/>
      <c r="QC105" s="18"/>
      <c r="QD105" s="18"/>
      <c r="QE105" s="18"/>
      <c r="QF105" s="18"/>
      <c r="QG105" s="18"/>
      <c r="QH105" s="18"/>
      <c r="QI105" s="18"/>
      <c r="QJ105" s="18"/>
      <c r="QK105" s="18"/>
      <c r="QL105" s="18"/>
      <c r="QM105" s="18"/>
      <c r="QN105" s="18"/>
      <c r="QO105" s="18"/>
      <c r="QP105" s="18"/>
      <c r="QQ105" s="18"/>
      <c r="QR105" s="18"/>
      <c r="QS105" s="18"/>
      <c r="QT105" s="18"/>
      <c r="QU105" s="18"/>
      <c r="QV105" s="18"/>
      <c r="QW105" s="18"/>
      <c r="QX105" s="18"/>
      <c r="QY105" s="18"/>
      <c r="QZ105" s="18"/>
      <c r="RA105" s="18"/>
      <c r="RB105" s="18"/>
      <c r="RC105" s="18"/>
      <c r="RD105" s="18"/>
      <c r="RE105" s="18"/>
      <c r="RF105" s="18"/>
      <c r="RG105" s="18"/>
      <c r="RH105" s="18"/>
      <c r="RI105" s="18"/>
      <c r="RJ105" s="18"/>
      <c r="RK105" s="18"/>
      <c r="RL105" s="18"/>
      <c r="RM105" s="18"/>
      <c r="RN105" s="18"/>
      <c r="RO105" s="18"/>
      <c r="RP105" s="18"/>
      <c r="RQ105" s="18"/>
      <c r="RR105" s="18"/>
      <c r="RS105" s="18"/>
      <c r="RT105" s="18"/>
      <c r="RU105" s="18"/>
      <c r="RV105" s="18"/>
      <c r="RW105" s="18"/>
      <c r="RX105" s="18"/>
      <c r="RY105" s="18"/>
      <c r="RZ105" s="18"/>
      <c r="SA105" s="18"/>
      <c r="SB105" s="18"/>
      <c r="SC105" s="18"/>
      <c r="SD105" s="18"/>
      <c r="SE105" s="18"/>
      <c r="SF105" s="18"/>
      <c r="SG105" s="18"/>
      <c r="SH105" s="18"/>
      <c r="SI105" s="18"/>
      <c r="SJ105" s="18"/>
      <c r="SK105" s="18"/>
      <c r="SL105" s="18"/>
      <c r="SM105" s="18"/>
      <c r="SN105" s="18"/>
      <c r="SO105" s="18"/>
      <c r="SP105" s="18"/>
      <c r="SQ105" s="18"/>
      <c r="SR105" s="18"/>
      <c r="SS105" s="18"/>
      <c r="ST105" s="18"/>
      <c r="SU105" s="18"/>
      <c r="SV105" s="18"/>
      <c r="SW105" s="18"/>
      <c r="SX105" s="18"/>
      <c r="SY105" s="18"/>
      <c r="SZ105" s="18"/>
      <c r="TA105" s="18"/>
      <c r="TB105" s="18"/>
      <c r="TC105" s="18"/>
      <c r="TD105" s="18"/>
      <c r="TE105" s="18"/>
      <c r="TF105" s="18"/>
      <c r="TG105" s="18"/>
      <c r="TH105" s="18"/>
      <c r="TI105" s="18"/>
      <c r="TJ105" s="18"/>
      <c r="TK105" s="18"/>
      <c r="TL105" s="18"/>
      <c r="TM105" s="18"/>
      <c r="TN105" s="18"/>
      <c r="TO105" s="18"/>
      <c r="TP105" s="18"/>
      <c r="TQ105" s="18"/>
      <c r="TR105" s="18"/>
      <c r="TS105" s="18"/>
      <c r="TT105" s="18"/>
      <c r="TU105" s="18"/>
      <c r="TV105" s="18"/>
      <c r="TW105" s="18"/>
      <c r="TX105" s="18"/>
      <c r="TY105" s="18"/>
      <c r="TZ105" s="18"/>
      <c r="UA105" s="18"/>
      <c r="UB105" s="18"/>
      <c r="UC105" s="18"/>
      <c r="UD105" s="18"/>
      <c r="UE105" s="18"/>
      <c r="UF105" s="18"/>
      <c r="UG105" s="18"/>
      <c r="UH105" s="18"/>
      <c r="UI105" s="18"/>
      <c r="UJ105" s="18"/>
      <c r="UK105" s="18"/>
      <c r="UL105" s="18"/>
      <c r="UM105" s="18"/>
      <c r="UN105" s="18"/>
      <c r="UO105" s="18"/>
      <c r="UP105" s="18"/>
      <c r="UQ105" s="18"/>
      <c r="UR105" s="18"/>
      <c r="US105" s="18"/>
      <c r="UT105" s="18"/>
      <c r="UU105" s="18"/>
      <c r="UV105" s="18"/>
      <c r="UW105" s="18"/>
      <c r="UX105" s="18"/>
      <c r="UY105" s="18"/>
      <c r="UZ105" s="18"/>
      <c r="VA105" s="18"/>
      <c r="VB105" s="18"/>
      <c r="VC105" s="18"/>
      <c r="VD105" s="18"/>
      <c r="VE105" s="18"/>
      <c r="VF105" s="18"/>
      <c r="VG105" s="18"/>
      <c r="VH105" s="18"/>
      <c r="VI105" s="18"/>
      <c r="VJ105" s="18"/>
      <c r="VK105" s="18"/>
      <c r="VL105" s="18"/>
      <c r="VM105" s="18"/>
      <c r="VN105" s="18"/>
      <c r="VO105" s="18"/>
      <c r="VP105" s="18"/>
      <c r="VQ105" s="18"/>
      <c r="VR105" s="18"/>
      <c r="VS105" s="18"/>
      <c r="VT105" s="18"/>
      <c r="VU105" s="18"/>
      <c r="VV105" s="18"/>
      <c r="VW105" s="18"/>
      <c r="VX105" s="18"/>
      <c r="VY105" s="18"/>
      <c r="VZ105" s="18"/>
      <c r="WA105" s="18"/>
      <c r="WB105" s="18"/>
      <c r="WC105" s="18"/>
      <c r="WD105" s="18"/>
      <c r="WE105" s="18"/>
      <c r="WF105" s="18"/>
      <c r="WG105" s="18"/>
      <c r="WH105" s="18"/>
      <c r="WI105" s="18"/>
      <c r="WJ105" s="18"/>
      <c r="WK105" s="18"/>
      <c r="WL105" s="18"/>
      <c r="WM105" s="18"/>
      <c r="WN105" s="18"/>
      <c r="WO105" s="18"/>
      <c r="WP105" s="18"/>
      <c r="WQ105" s="18"/>
      <c r="WR105" s="18"/>
      <c r="WS105" s="18"/>
      <c r="WT105" s="18"/>
      <c r="WU105" s="18"/>
      <c r="WV105" s="18"/>
      <c r="WW105" s="18"/>
      <c r="WX105" s="18"/>
      <c r="WY105" s="18"/>
      <c r="WZ105" s="18"/>
      <c r="XA105" s="18"/>
      <c r="XB105" s="18"/>
      <c r="XC105" s="18"/>
      <c r="XD105" s="18"/>
      <c r="XE105" s="18"/>
      <c r="XF105" s="18"/>
      <c r="XG105" s="18"/>
      <c r="XH105" s="18"/>
      <c r="XI105" s="18"/>
      <c r="XJ105" s="18"/>
      <c r="XK105" s="18"/>
      <c r="XL105" s="18"/>
      <c r="XM105" s="18"/>
      <c r="XN105" s="18"/>
      <c r="XO105" s="18"/>
      <c r="XP105" s="18"/>
      <c r="XQ105" s="18"/>
      <c r="XR105" s="18"/>
      <c r="XS105" s="18"/>
      <c r="XT105" s="18"/>
      <c r="XU105" s="18"/>
      <c r="XV105" s="18"/>
      <c r="XW105" s="18"/>
      <c r="XX105" s="18"/>
      <c r="XY105" s="18"/>
      <c r="XZ105" s="18"/>
      <c r="YA105" s="18"/>
      <c r="YB105" s="18"/>
      <c r="YC105" s="18"/>
      <c r="YD105" s="18"/>
      <c r="YE105" s="18"/>
      <c r="YF105" s="18"/>
      <c r="YG105" s="18"/>
      <c r="YH105" s="18"/>
      <c r="YI105" s="18"/>
      <c r="YJ105" s="18"/>
      <c r="YK105" s="18"/>
      <c r="YL105" s="18"/>
      <c r="YM105" s="18"/>
      <c r="YN105" s="18"/>
      <c r="YO105" s="18"/>
      <c r="YP105" s="18"/>
      <c r="YQ105" s="18"/>
      <c r="YR105" s="18"/>
      <c r="YS105" s="18"/>
      <c r="YT105" s="18"/>
      <c r="YU105" s="18"/>
      <c r="YV105" s="18"/>
      <c r="YW105" s="18"/>
      <c r="YX105" s="18"/>
      <c r="YY105" s="18"/>
      <c r="YZ105" s="18"/>
      <c r="ZA105" s="18"/>
      <c r="ZB105" s="18"/>
      <c r="ZC105" s="18"/>
      <c r="ZD105" s="18"/>
      <c r="ZE105" s="18"/>
      <c r="ZF105" s="18"/>
      <c r="ZG105" s="18"/>
      <c r="ZH105" s="18"/>
      <c r="ZI105" s="18"/>
      <c r="ZJ105" s="18"/>
      <c r="ZK105" s="18"/>
      <c r="ZL105" s="18"/>
      <c r="ZM105" s="18"/>
      <c r="ZN105" s="18"/>
      <c r="ZO105" s="18"/>
      <c r="ZP105" s="18"/>
      <c r="ZQ105" s="18"/>
      <c r="ZR105" s="18"/>
      <c r="ZS105" s="18"/>
      <c r="ZT105" s="18"/>
      <c r="ZU105" s="18"/>
      <c r="ZV105" s="18"/>
      <c r="ZW105" s="18"/>
      <c r="ZX105" s="18"/>
      <c r="ZY105" s="18"/>
      <c r="ZZ105" s="18"/>
      <c r="AAA105" s="18"/>
      <c r="AAB105" s="18"/>
      <c r="AAC105" s="18"/>
      <c r="AAD105" s="18"/>
      <c r="AAE105" s="18"/>
      <c r="AAF105" s="18"/>
      <c r="AAG105" s="18"/>
      <c r="AAH105" s="18"/>
      <c r="AAI105" s="18"/>
      <c r="AAJ105" s="18"/>
      <c r="AAK105" s="18"/>
      <c r="AAL105" s="18"/>
      <c r="AAM105" s="18"/>
      <c r="AAN105" s="18"/>
      <c r="AAO105" s="18"/>
      <c r="AAP105" s="18"/>
      <c r="AAQ105" s="18"/>
      <c r="AAR105" s="18"/>
      <c r="AAS105" s="18"/>
      <c r="AAT105" s="18"/>
      <c r="AAU105" s="18"/>
      <c r="AAV105" s="18"/>
      <c r="AAW105" s="18"/>
      <c r="AAX105" s="18"/>
      <c r="AAY105" s="18"/>
      <c r="AAZ105" s="18"/>
      <c r="ABA105" s="18"/>
      <c r="ABB105" s="18"/>
      <c r="ABC105" s="18"/>
      <c r="ABD105" s="18"/>
      <c r="ABE105" s="18"/>
      <c r="ABF105" s="18"/>
      <c r="ABG105" s="18"/>
      <c r="ABH105" s="18"/>
      <c r="ABI105" s="18"/>
      <c r="ABJ105" s="18"/>
      <c r="ABK105" s="18"/>
      <c r="ABL105" s="18"/>
      <c r="ABM105" s="18"/>
      <c r="ABN105" s="18"/>
      <c r="ABO105" s="18"/>
      <c r="ABP105" s="18"/>
      <c r="ABQ105" s="18"/>
      <c r="ABR105" s="18"/>
      <c r="ABS105" s="18"/>
      <c r="ABT105" s="18"/>
      <c r="ABU105" s="18"/>
      <c r="ABV105" s="18"/>
      <c r="ABW105" s="18"/>
      <c r="ABX105" s="18"/>
      <c r="ABY105" s="18"/>
      <c r="ABZ105" s="18"/>
      <c r="ACA105" s="18"/>
      <c r="ACB105" s="18"/>
      <c r="ACC105" s="18"/>
      <c r="ACD105" s="18"/>
      <c r="ACE105" s="18"/>
      <c r="ACF105" s="18"/>
      <c r="ACG105" s="18"/>
      <c r="ACH105" s="18"/>
      <c r="ACI105" s="18"/>
      <c r="ACJ105" s="18"/>
      <c r="ACK105" s="18"/>
      <c r="ACL105" s="18"/>
      <c r="ACM105" s="18"/>
      <c r="ACN105" s="18"/>
      <c r="ACO105" s="18"/>
      <c r="ACP105" s="18"/>
      <c r="ACQ105" s="18"/>
      <c r="ACR105" s="18"/>
      <c r="ACS105" s="18"/>
      <c r="ACT105" s="18"/>
      <c r="ACU105" s="18"/>
      <c r="ACV105" s="18"/>
      <c r="ACW105" s="18"/>
      <c r="ACX105" s="18"/>
      <c r="ACY105" s="18"/>
      <c r="ACZ105" s="18"/>
      <c r="ADA105" s="18"/>
      <c r="ADB105" s="18"/>
      <c r="ADC105" s="18"/>
      <c r="ADD105" s="18"/>
      <c r="ADE105" s="18"/>
      <c r="ADF105" s="18"/>
      <c r="ADG105" s="18"/>
      <c r="ADH105" s="18"/>
      <c r="ADI105" s="18"/>
      <c r="ADJ105" s="18"/>
      <c r="ADK105" s="18"/>
      <c r="ADL105" s="18"/>
      <c r="ADM105" s="18"/>
      <c r="ADN105" s="18"/>
      <c r="ADO105" s="18"/>
      <c r="ADP105" s="18"/>
      <c r="ADQ105" s="18"/>
      <c r="ADR105" s="18"/>
      <c r="ADS105" s="18"/>
      <c r="ADT105" s="18"/>
      <c r="ADU105" s="18"/>
      <c r="ADV105" s="18"/>
      <c r="ADW105" s="18"/>
      <c r="ADX105" s="18"/>
      <c r="ADY105" s="18"/>
      <c r="ADZ105" s="18"/>
      <c r="AEA105" s="18"/>
      <c r="AEB105" s="18"/>
      <c r="AEC105" s="18"/>
      <c r="AED105" s="18"/>
      <c r="AEE105" s="18"/>
      <c r="AEF105" s="18"/>
      <c r="AEG105" s="18"/>
      <c r="AEH105" s="18"/>
      <c r="AEI105" s="18"/>
      <c r="AEJ105" s="18"/>
      <c r="AEK105" s="18"/>
      <c r="AEL105" s="18"/>
      <c r="AEM105" s="18"/>
      <c r="AEN105" s="18"/>
      <c r="AEO105" s="18"/>
      <c r="AEP105" s="18"/>
      <c r="AEQ105" s="18"/>
      <c r="AER105" s="18"/>
      <c r="AES105" s="18"/>
      <c r="AET105" s="18"/>
      <c r="AEU105" s="18"/>
      <c r="AEV105" s="18"/>
      <c r="AEW105" s="18"/>
      <c r="AEX105" s="18"/>
      <c r="AEY105" s="18"/>
      <c r="AEZ105" s="18"/>
      <c r="AFA105" s="18"/>
      <c r="AFB105" s="18"/>
      <c r="AFC105" s="18"/>
      <c r="AFD105" s="18"/>
      <c r="AFE105" s="18"/>
      <c r="AFF105" s="18"/>
      <c r="AFG105" s="18"/>
      <c r="AFH105" s="18"/>
      <c r="AFI105" s="18"/>
      <c r="AFJ105" s="18"/>
      <c r="AFK105" s="18"/>
      <c r="AFL105" s="18"/>
      <c r="AFM105" s="18"/>
      <c r="AFN105" s="18"/>
      <c r="AFO105" s="18"/>
      <c r="AFP105" s="18"/>
      <c r="AFQ105" s="18"/>
      <c r="AFR105" s="18"/>
      <c r="AFS105" s="18"/>
      <c r="AFT105" s="18"/>
      <c r="AFU105" s="18"/>
      <c r="AFV105" s="18"/>
      <c r="AFW105" s="18"/>
      <c r="AFX105" s="18"/>
      <c r="AFY105" s="18"/>
      <c r="AFZ105" s="18"/>
      <c r="AGA105" s="18"/>
      <c r="AGB105" s="18"/>
      <c r="AGC105" s="18"/>
      <c r="AGD105" s="18"/>
      <c r="AGE105" s="18"/>
      <c r="AGF105" s="18"/>
      <c r="AGG105" s="18"/>
      <c r="AGH105" s="18"/>
      <c r="AGI105" s="18"/>
      <c r="AGJ105" s="18"/>
      <c r="AGK105" s="18"/>
      <c r="AGL105" s="18"/>
      <c r="AGM105" s="18"/>
      <c r="AGN105" s="18"/>
      <c r="AGO105" s="18"/>
      <c r="AGP105" s="18"/>
      <c r="AGQ105" s="18"/>
      <c r="AGR105" s="18"/>
      <c r="AGS105" s="18"/>
      <c r="AGT105" s="18"/>
      <c r="AGU105" s="18"/>
      <c r="AGV105" s="18"/>
      <c r="AGW105" s="18"/>
      <c r="AGX105" s="18"/>
      <c r="AGY105" s="18"/>
      <c r="AGZ105" s="18"/>
      <c r="AHA105" s="18"/>
      <c r="AHB105" s="18"/>
      <c r="AHC105" s="18"/>
      <c r="AHD105" s="18"/>
      <c r="AHE105" s="18"/>
      <c r="AHF105" s="18"/>
      <c r="AHG105" s="18"/>
      <c r="AHH105" s="18"/>
      <c r="AHI105" s="18"/>
      <c r="AHJ105" s="18"/>
      <c r="AHK105" s="18"/>
      <c r="AHL105" s="18"/>
      <c r="AHM105" s="18"/>
      <c r="AHN105" s="18"/>
      <c r="AHO105" s="18"/>
      <c r="AHP105" s="18"/>
      <c r="AHQ105" s="18"/>
      <c r="AHR105" s="18"/>
      <c r="AHS105" s="18"/>
      <c r="AHT105" s="18"/>
      <c r="AHU105" s="18"/>
      <c r="AHV105" s="18"/>
      <c r="AHW105" s="18"/>
      <c r="AHX105" s="18"/>
      <c r="AHY105" s="18"/>
      <c r="AHZ105" s="18"/>
      <c r="AIA105" s="18"/>
      <c r="AIB105" s="18"/>
      <c r="AIC105" s="18"/>
      <c r="AID105" s="18"/>
      <c r="AIE105" s="18"/>
      <c r="AIF105" s="18"/>
      <c r="AIG105" s="18"/>
      <c r="AIH105" s="18"/>
      <c r="AII105" s="18"/>
      <c r="AIJ105" s="18"/>
      <c r="AIK105" s="18"/>
      <c r="AIL105" s="18"/>
      <c r="AIM105" s="18"/>
      <c r="AIN105" s="18"/>
      <c r="AIO105" s="18"/>
      <c r="AIP105" s="18"/>
      <c r="AIQ105" s="18"/>
      <c r="AIR105" s="18"/>
      <c r="AIS105" s="18"/>
      <c r="AIT105" s="18"/>
      <c r="AIU105" s="18"/>
      <c r="AIV105" s="18"/>
      <c r="AIW105" s="18"/>
      <c r="AIX105" s="18"/>
      <c r="AIY105" s="18"/>
      <c r="AIZ105" s="18"/>
      <c r="AJA105" s="18"/>
      <c r="AJB105" s="18"/>
      <c r="AJC105" s="18"/>
      <c r="AJD105" s="18"/>
      <c r="AJE105" s="18"/>
      <c r="AJF105" s="18"/>
      <c r="AJG105" s="18"/>
      <c r="AJH105" s="18"/>
      <c r="AJI105" s="18"/>
      <c r="AJJ105" s="18"/>
      <c r="AJK105" s="18"/>
      <c r="AJL105" s="18"/>
      <c r="AJM105" s="18"/>
      <c r="AJN105" s="18"/>
      <c r="AJO105" s="18"/>
      <c r="AJP105" s="18"/>
      <c r="AJQ105" s="18"/>
      <c r="AJR105" s="18"/>
      <c r="AJS105" s="18"/>
      <c r="AJT105" s="18"/>
      <c r="AJU105" s="18"/>
      <c r="AJV105" s="18"/>
      <c r="AJW105" s="18"/>
      <c r="AJX105" s="18"/>
      <c r="AJY105" s="18"/>
      <c r="AJZ105" s="18"/>
      <c r="AKA105" s="18"/>
      <c r="AKB105" s="18"/>
      <c r="AKC105" s="18"/>
      <c r="AKD105" s="18"/>
      <c r="AKE105" s="18"/>
      <c r="AKF105" s="18"/>
      <c r="AKG105" s="18"/>
      <c r="AKH105" s="18"/>
      <c r="AKI105" s="18"/>
      <c r="AKJ105" s="18"/>
      <c r="AKK105" s="18"/>
      <c r="AKL105" s="18"/>
      <c r="AKM105" s="18"/>
      <c r="AKN105" s="18"/>
      <c r="AKO105" s="18"/>
      <c r="AKP105" s="18"/>
      <c r="AKQ105" s="18"/>
      <c r="AKR105" s="18"/>
      <c r="AKS105" s="18"/>
      <c r="AKT105" s="18"/>
      <c r="AKU105" s="18"/>
      <c r="AKV105" s="18"/>
      <c r="AKW105" s="18"/>
      <c r="AKX105" s="18"/>
      <c r="AKY105" s="18"/>
      <c r="AKZ105" s="18"/>
      <c r="ALA105" s="18"/>
      <c r="ALB105" s="18"/>
      <c r="ALC105" s="18"/>
      <c r="ALD105" s="18"/>
      <c r="ALE105" s="18"/>
      <c r="ALF105" s="18"/>
      <c r="ALG105" s="18"/>
      <c r="ALH105" s="18"/>
      <c r="ALI105" s="18"/>
      <c r="ALJ105" s="18"/>
      <c r="ALK105" s="18"/>
      <c r="ALL105" s="18"/>
      <c r="ALM105" s="18"/>
      <c r="ALN105" s="18"/>
      <c r="ALO105" s="18"/>
      <c r="ALP105" s="18"/>
      <c r="ALQ105" s="18"/>
      <c r="ALR105" s="18"/>
      <c r="ALS105" s="18"/>
      <c r="ALT105" s="18"/>
    </row>
    <row r="106" spans="1:1008">
      <c r="A106" s="251" t="s">
        <v>6307</v>
      </c>
      <c r="B106" s="290">
        <v>364</v>
      </c>
      <c r="C106" s="278" t="str">
        <f>(IF($A106="SINAPI",INDEX(SINAPI_NOV2020_NDES!$A$7:$H$6703,MATCH($B106,SINAPI_NOV2020_NDES!$A$7:$A$6703,0),2),IF($A106="GOINFRA",INDEX(#REF!,MATCH($B106,#REF!,0),2),(INDEX(COMPOS!$A$4:$G$390,MATCH($B106,COMPOS!$A$4:A$390,0),2)))))</f>
        <v>BANCADA DE GRANITO COM ESPELHO</v>
      </c>
      <c r="D106" s="274" t="str">
        <f>(IF($A106="SINAPI",INDEX(SINAPI_NOV2020_NDES!$A$7:$H$6790,MATCH($B106,SINAPI_NOV2020_NDES!$A$7:$A$6790,0),3),(INDEX(COMPOS!$A$4:$G$5000,MATCH($B106,COMPOS!$A$4:$A$5000,0),3))))</f>
        <v>M2</v>
      </c>
      <c r="E106" s="314">
        <v>0.38</v>
      </c>
      <c r="F106" s="279">
        <f>(IF($A106="SINAPI",INDEX(SINAPI_NOV2020_NDES!$A$7:$H$6703,MATCH($B106,SINAPI_NOV2020_NDES!$A$7:$A$6703,0),5),(INDEX(COMPOS!$A$4:$G$801,MATCH($B106,COMPOS!$A$4:A$801,0),4))))</f>
        <v>52.764523999999994</v>
      </c>
      <c r="G106" s="280">
        <f>(IF($A106="SINAPI",INDEX(SINAPI_NOV2020_NDES!$A$7:$H$6703,MATCH($B106,SINAPI_NOV2020_NDES!$A$7:$A$6703,0),6),(INDEX(COMPOS!$A$4:$G$801,MATCH($B106,COMPOS!$A$4:A$801,0),5))))</f>
        <v>420.03860000000003</v>
      </c>
      <c r="H106" s="280">
        <f>(IF($A106="SINAPI",INDEX(SINAPI_NOV2020_NDES!$A$7:$H$6703,MATCH($B106,SINAPI_NOV2020_NDES!$A$7:$A$6703,0),7),(INDEX(COMPOS!$A$4:$G$801,MATCH($B106,COMPOS!$A$4:A$801,0),6))))</f>
        <v>0</v>
      </c>
      <c r="I106" s="279">
        <f t="shared" si="44"/>
        <v>472.80312400000003</v>
      </c>
      <c r="J106" s="276">
        <f t="shared" si="45"/>
        <v>179.66518712000001</v>
      </c>
      <c r="K106" s="191"/>
      <c r="L106" s="191"/>
      <c r="M106" s="191"/>
      <c r="N106" s="191"/>
      <c r="O106" s="262"/>
      <c r="P106" s="263"/>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c r="IP106" s="18"/>
      <c r="IQ106" s="18"/>
      <c r="IR106" s="18"/>
      <c r="IS106" s="18"/>
      <c r="IT106" s="18"/>
      <c r="IU106" s="18"/>
      <c r="IV106" s="18"/>
      <c r="IW106" s="18"/>
      <c r="IX106" s="18"/>
      <c r="IY106" s="18"/>
      <c r="IZ106" s="18"/>
      <c r="JA106" s="18"/>
      <c r="JB106" s="18"/>
      <c r="JC106" s="18"/>
      <c r="JD106" s="18"/>
      <c r="JE106" s="18"/>
      <c r="JF106" s="18"/>
      <c r="JG106" s="18"/>
      <c r="JH106" s="18"/>
      <c r="JI106" s="18"/>
      <c r="JJ106" s="18"/>
      <c r="JK106" s="18"/>
      <c r="JL106" s="18"/>
      <c r="JM106" s="18"/>
      <c r="JN106" s="18"/>
      <c r="JO106" s="18"/>
      <c r="JP106" s="18"/>
      <c r="JQ106" s="18"/>
      <c r="JR106" s="18"/>
      <c r="JS106" s="18"/>
      <c r="JT106" s="18"/>
      <c r="JU106" s="18"/>
      <c r="JV106" s="18"/>
      <c r="JW106" s="18"/>
      <c r="JX106" s="18"/>
      <c r="JY106" s="18"/>
      <c r="JZ106" s="18"/>
      <c r="KA106" s="18"/>
      <c r="KB106" s="18"/>
      <c r="KC106" s="18"/>
      <c r="KD106" s="18"/>
      <c r="KE106" s="18"/>
      <c r="KF106" s="18"/>
      <c r="KG106" s="18"/>
      <c r="KH106" s="18"/>
      <c r="KI106" s="18"/>
      <c r="KJ106" s="18"/>
      <c r="KK106" s="18"/>
      <c r="KL106" s="18"/>
      <c r="KM106" s="18"/>
      <c r="KN106" s="18"/>
      <c r="KO106" s="18"/>
      <c r="KP106" s="18"/>
      <c r="KQ106" s="18"/>
      <c r="KR106" s="18"/>
      <c r="KS106" s="18"/>
      <c r="KT106" s="18"/>
      <c r="KU106" s="18"/>
      <c r="KV106" s="18"/>
      <c r="KW106" s="18"/>
      <c r="KX106" s="18"/>
      <c r="KY106" s="18"/>
      <c r="KZ106" s="18"/>
      <c r="LA106" s="18"/>
      <c r="LB106" s="18"/>
      <c r="LC106" s="18"/>
      <c r="LD106" s="18"/>
      <c r="LE106" s="18"/>
      <c r="LF106" s="18"/>
      <c r="LG106" s="18"/>
      <c r="LH106" s="18"/>
      <c r="LI106" s="18"/>
      <c r="LJ106" s="18"/>
      <c r="LK106" s="18"/>
      <c r="LL106" s="18"/>
      <c r="LM106" s="18"/>
      <c r="LN106" s="18"/>
      <c r="LO106" s="18"/>
      <c r="LP106" s="18"/>
      <c r="LQ106" s="18"/>
      <c r="LR106" s="18"/>
      <c r="LS106" s="18"/>
      <c r="LT106" s="18"/>
      <c r="LU106" s="18"/>
      <c r="LV106" s="18"/>
      <c r="LW106" s="18"/>
      <c r="LX106" s="18"/>
      <c r="LY106" s="18"/>
      <c r="LZ106" s="18"/>
      <c r="MA106" s="18"/>
      <c r="MB106" s="18"/>
      <c r="MC106" s="18"/>
      <c r="MD106" s="18"/>
      <c r="ME106" s="18"/>
      <c r="MF106" s="18"/>
      <c r="MG106" s="18"/>
      <c r="MH106" s="18"/>
      <c r="MI106" s="18"/>
      <c r="MJ106" s="18"/>
      <c r="MK106" s="18"/>
      <c r="ML106" s="18"/>
      <c r="MM106" s="18"/>
      <c r="MN106" s="18"/>
      <c r="MO106" s="18"/>
      <c r="MP106" s="18"/>
      <c r="MQ106" s="18"/>
      <c r="MR106" s="18"/>
      <c r="MS106" s="18"/>
      <c r="MT106" s="18"/>
      <c r="MU106" s="18"/>
      <c r="MV106" s="18"/>
      <c r="MW106" s="18"/>
      <c r="MX106" s="18"/>
      <c r="MY106" s="18"/>
      <c r="MZ106" s="18"/>
      <c r="NA106" s="18"/>
      <c r="NB106" s="18"/>
      <c r="NC106" s="18"/>
      <c r="ND106" s="18"/>
      <c r="NE106" s="18"/>
      <c r="NF106" s="18"/>
      <c r="NG106" s="18"/>
      <c r="NH106" s="18"/>
      <c r="NI106" s="18"/>
      <c r="NJ106" s="18"/>
      <c r="NK106" s="18"/>
      <c r="NL106" s="18"/>
      <c r="NM106" s="18"/>
      <c r="NN106" s="18"/>
      <c r="NO106" s="18"/>
      <c r="NP106" s="18"/>
      <c r="NQ106" s="18"/>
      <c r="NR106" s="18"/>
      <c r="NS106" s="18"/>
      <c r="NT106" s="18"/>
      <c r="NU106" s="18"/>
      <c r="NV106" s="18"/>
      <c r="NW106" s="18"/>
      <c r="NX106" s="18"/>
      <c r="NY106" s="18"/>
      <c r="NZ106" s="18"/>
      <c r="OA106" s="18"/>
      <c r="OB106" s="18"/>
      <c r="OC106" s="18"/>
      <c r="OD106" s="18"/>
      <c r="OE106" s="18"/>
      <c r="OF106" s="18"/>
      <c r="OG106" s="18"/>
      <c r="OH106" s="18"/>
      <c r="OI106" s="18"/>
      <c r="OJ106" s="18"/>
      <c r="OK106" s="18"/>
      <c r="OL106" s="18"/>
      <c r="OM106" s="18"/>
      <c r="ON106" s="18"/>
      <c r="OO106" s="18"/>
      <c r="OP106" s="18"/>
      <c r="OQ106" s="18"/>
      <c r="OR106" s="18"/>
      <c r="OS106" s="18"/>
      <c r="OT106" s="18"/>
      <c r="OU106" s="18"/>
      <c r="OV106" s="18"/>
      <c r="OW106" s="18"/>
      <c r="OX106" s="18"/>
      <c r="OY106" s="18"/>
      <c r="OZ106" s="18"/>
      <c r="PA106" s="18"/>
      <c r="PB106" s="18"/>
      <c r="PC106" s="18"/>
      <c r="PD106" s="18"/>
      <c r="PE106" s="18"/>
      <c r="PF106" s="18"/>
      <c r="PG106" s="18"/>
      <c r="PH106" s="18"/>
      <c r="PI106" s="18"/>
      <c r="PJ106" s="18"/>
      <c r="PK106" s="18"/>
      <c r="PL106" s="18"/>
      <c r="PM106" s="18"/>
      <c r="PN106" s="18"/>
      <c r="PO106" s="18"/>
      <c r="PP106" s="18"/>
      <c r="PQ106" s="18"/>
      <c r="PR106" s="18"/>
      <c r="PS106" s="18"/>
      <c r="PT106" s="18"/>
      <c r="PU106" s="18"/>
      <c r="PV106" s="18"/>
      <c r="PW106" s="18"/>
      <c r="PX106" s="18"/>
      <c r="PY106" s="18"/>
      <c r="PZ106" s="18"/>
      <c r="QA106" s="18"/>
      <c r="QB106" s="18"/>
      <c r="QC106" s="18"/>
      <c r="QD106" s="18"/>
      <c r="QE106" s="18"/>
      <c r="QF106" s="18"/>
      <c r="QG106" s="18"/>
      <c r="QH106" s="18"/>
      <c r="QI106" s="18"/>
      <c r="QJ106" s="18"/>
      <c r="QK106" s="18"/>
      <c r="QL106" s="18"/>
      <c r="QM106" s="18"/>
      <c r="QN106" s="18"/>
      <c r="QO106" s="18"/>
      <c r="QP106" s="18"/>
      <c r="QQ106" s="18"/>
      <c r="QR106" s="18"/>
      <c r="QS106" s="18"/>
      <c r="QT106" s="18"/>
      <c r="QU106" s="18"/>
      <c r="QV106" s="18"/>
      <c r="QW106" s="18"/>
      <c r="QX106" s="18"/>
      <c r="QY106" s="18"/>
      <c r="QZ106" s="18"/>
      <c r="RA106" s="18"/>
      <c r="RB106" s="18"/>
      <c r="RC106" s="18"/>
      <c r="RD106" s="18"/>
      <c r="RE106" s="18"/>
      <c r="RF106" s="18"/>
      <c r="RG106" s="18"/>
      <c r="RH106" s="18"/>
      <c r="RI106" s="18"/>
      <c r="RJ106" s="18"/>
      <c r="RK106" s="18"/>
      <c r="RL106" s="18"/>
      <c r="RM106" s="18"/>
      <c r="RN106" s="18"/>
      <c r="RO106" s="18"/>
      <c r="RP106" s="18"/>
      <c r="RQ106" s="18"/>
      <c r="RR106" s="18"/>
      <c r="RS106" s="18"/>
      <c r="RT106" s="18"/>
      <c r="RU106" s="18"/>
      <c r="RV106" s="18"/>
      <c r="RW106" s="18"/>
      <c r="RX106" s="18"/>
      <c r="RY106" s="18"/>
      <c r="RZ106" s="18"/>
      <c r="SA106" s="18"/>
      <c r="SB106" s="18"/>
      <c r="SC106" s="18"/>
      <c r="SD106" s="18"/>
      <c r="SE106" s="18"/>
      <c r="SF106" s="18"/>
      <c r="SG106" s="18"/>
      <c r="SH106" s="18"/>
      <c r="SI106" s="18"/>
      <c r="SJ106" s="18"/>
      <c r="SK106" s="18"/>
      <c r="SL106" s="18"/>
      <c r="SM106" s="18"/>
      <c r="SN106" s="18"/>
      <c r="SO106" s="18"/>
      <c r="SP106" s="18"/>
      <c r="SQ106" s="18"/>
      <c r="SR106" s="18"/>
      <c r="SS106" s="18"/>
      <c r="ST106" s="18"/>
      <c r="SU106" s="18"/>
      <c r="SV106" s="18"/>
      <c r="SW106" s="18"/>
      <c r="SX106" s="18"/>
      <c r="SY106" s="18"/>
      <c r="SZ106" s="18"/>
      <c r="TA106" s="18"/>
      <c r="TB106" s="18"/>
      <c r="TC106" s="18"/>
      <c r="TD106" s="18"/>
      <c r="TE106" s="18"/>
      <c r="TF106" s="18"/>
      <c r="TG106" s="18"/>
      <c r="TH106" s="18"/>
      <c r="TI106" s="18"/>
      <c r="TJ106" s="18"/>
      <c r="TK106" s="18"/>
      <c r="TL106" s="18"/>
      <c r="TM106" s="18"/>
      <c r="TN106" s="18"/>
      <c r="TO106" s="18"/>
      <c r="TP106" s="18"/>
      <c r="TQ106" s="18"/>
      <c r="TR106" s="18"/>
      <c r="TS106" s="18"/>
      <c r="TT106" s="18"/>
      <c r="TU106" s="18"/>
      <c r="TV106" s="18"/>
      <c r="TW106" s="18"/>
      <c r="TX106" s="18"/>
      <c r="TY106" s="18"/>
      <c r="TZ106" s="18"/>
      <c r="UA106" s="18"/>
      <c r="UB106" s="18"/>
      <c r="UC106" s="18"/>
      <c r="UD106" s="18"/>
      <c r="UE106" s="18"/>
      <c r="UF106" s="18"/>
      <c r="UG106" s="18"/>
      <c r="UH106" s="18"/>
      <c r="UI106" s="18"/>
      <c r="UJ106" s="18"/>
      <c r="UK106" s="18"/>
      <c r="UL106" s="18"/>
      <c r="UM106" s="18"/>
      <c r="UN106" s="18"/>
      <c r="UO106" s="18"/>
      <c r="UP106" s="18"/>
      <c r="UQ106" s="18"/>
      <c r="UR106" s="18"/>
      <c r="US106" s="18"/>
      <c r="UT106" s="18"/>
      <c r="UU106" s="18"/>
      <c r="UV106" s="18"/>
      <c r="UW106" s="18"/>
      <c r="UX106" s="18"/>
      <c r="UY106" s="18"/>
      <c r="UZ106" s="18"/>
      <c r="VA106" s="18"/>
      <c r="VB106" s="18"/>
      <c r="VC106" s="18"/>
      <c r="VD106" s="18"/>
      <c r="VE106" s="18"/>
      <c r="VF106" s="18"/>
      <c r="VG106" s="18"/>
      <c r="VH106" s="18"/>
      <c r="VI106" s="18"/>
      <c r="VJ106" s="18"/>
      <c r="VK106" s="18"/>
      <c r="VL106" s="18"/>
      <c r="VM106" s="18"/>
      <c r="VN106" s="18"/>
      <c r="VO106" s="18"/>
      <c r="VP106" s="18"/>
      <c r="VQ106" s="18"/>
      <c r="VR106" s="18"/>
      <c r="VS106" s="18"/>
      <c r="VT106" s="18"/>
      <c r="VU106" s="18"/>
      <c r="VV106" s="18"/>
      <c r="VW106" s="18"/>
      <c r="VX106" s="18"/>
      <c r="VY106" s="18"/>
      <c r="VZ106" s="18"/>
      <c r="WA106" s="18"/>
      <c r="WB106" s="18"/>
      <c r="WC106" s="18"/>
      <c r="WD106" s="18"/>
      <c r="WE106" s="18"/>
      <c r="WF106" s="18"/>
      <c r="WG106" s="18"/>
      <c r="WH106" s="18"/>
      <c r="WI106" s="18"/>
      <c r="WJ106" s="18"/>
      <c r="WK106" s="18"/>
      <c r="WL106" s="18"/>
      <c r="WM106" s="18"/>
      <c r="WN106" s="18"/>
      <c r="WO106" s="18"/>
      <c r="WP106" s="18"/>
      <c r="WQ106" s="18"/>
      <c r="WR106" s="18"/>
      <c r="WS106" s="18"/>
      <c r="WT106" s="18"/>
      <c r="WU106" s="18"/>
      <c r="WV106" s="18"/>
      <c r="WW106" s="18"/>
      <c r="WX106" s="18"/>
      <c r="WY106" s="18"/>
      <c r="WZ106" s="18"/>
      <c r="XA106" s="18"/>
      <c r="XB106" s="18"/>
      <c r="XC106" s="18"/>
      <c r="XD106" s="18"/>
      <c r="XE106" s="18"/>
      <c r="XF106" s="18"/>
      <c r="XG106" s="18"/>
      <c r="XH106" s="18"/>
      <c r="XI106" s="18"/>
      <c r="XJ106" s="18"/>
      <c r="XK106" s="18"/>
      <c r="XL106" s="18"/>
      <c r="XM106" s="18"/>
      <c r="XN106" s="18"/>
      <c r="XO106" s="18"/>
      <c r="XP106" s="18"/>
      <c r="XQ106" s="18"/>
      <c r="XR106" s="18"/>
      <c r="XS106" s="18"/>
      <c r="XT106" s="18"/>
      <c r="XU106" s="18"/>
      <c r="XV106" s="18"/>
      <c r="XW106" s="18"/>
      <c r="XX106" s="18"/>
      <c r="XY106" s="18"/>
      <c r="XZ106" s="18"/>
      <c r="YA106" s="18"/>
      <c r="YB106" s="18"/>
      <c r="YC106" s="18"/>
      <c r="YD106" s="18"/>
      <c r="YE106" s="18"/>
      <c r="YF106" s="18"/>
      <c r="YG106" s="18"/>
      <c r="YH106" s="18"/>
      <c r="YI106" s="18"/>
      <c r="YJ106" s="18"/>
      <c r="YK106" s="18"/>
      <c r="YL106" s="18"/>
      <c r="YM106" s="18"/>
      <c r="YN106" s="18"/>
      <c r="YO106" s="18"/>
      <c r="YP106" s="18"/>
      <c r="YQ106" s="18"/>
      <c r="YR106" s="18"/>
      <c r="YS106" s="18"/>
      <c r="YT106" s="18"/>
      <c r="YU106" s="18"/>
      <c r="YV106" s="18"/>
      <c r="YW106" s="18"/>
      <c r="YX106" s="18"/>
      <c r="YY106" s="18"/>
      <c r="YZ106" s="18"/>
      <c r="ZA106" s="18"/>
      <c r="ZB106" s="18"/>
      <c r="ZC106" s="18"/>
      <c r="ZD106" s="18"/>
      <c r="ZE106" s="18"/>
      <c r="ZF106" s="18"/>
      <c r="ZG106" s="18"/>
      <c r="ZH106" s="18"/>
      <c r="ZI106" s="18"/>
      <c r="ZJ106" s="18"/>
      <c r="ZK106" s="18"/>
      <c r="ZL106" s="18"/>
      <c r="ZM106" s="18"/>
      <c r="ZN106" s="18"/>
      <c r="ZO106" s="18"/>
      <c r="ZP106" s="18"/>
      <c r="ZQ106" s="18"/>
      <c r="ZR106" s="18"/>
      <c r="ZS106" s="18"/>
      <c r="ZT106" s="18"/>
      <c r="ZU106" s="18"/>
      <c r="ZV106" s="18"/>
      <c r="ZW106" s="18"/>
      <c r="ZX106" s="18"/>
      <c r="ZY106" s="18"/>
      <c r="ZZ106" s="18"/>
      <c r="AAA106" s="18"/>
      <c r="AAB106" s="18"/>
      <c r="AAC106" s="18"/>
      <c r="AAD106" s="18"/>
      <c r="AAE106" s="18"/>
      <c r="AAF106" s="18"/>
      <c r="AAG106" s="18"/>
      <c r="AAH106" s="18"/>
      <c r="AAI106" s="18"/>
      <c r="AAJ106" s="18"/>
      <c r="AAK106" s="18"/>
      <c r="AAL106" s="18"/>
      <c r="AAM106" s="18"/>
      <c r="AAN106" s="18"/>
      <c r="AAO106" s="18"/>
      <c r="AAP106" s="18"/>
      <c r="AAQ106" s="18"/>
      <c r="AAR106" s="18"/>
      <c r="AAS106" s="18"/>
      <c r="AAT106" s="18"/>
      <c r="AAU106" s="18"/>
      <c r="AAV106" s="18"/>
      <c r="AAW106" s="18"/>
      <c r="AAX106" s="18"/>
      <c r="AAY106" s="18"/>
      <c r="AAZ106" s="18"/>
      <c r="ABA106" s="18"/>
      <c r="ABB106" s="18"/>
      <c r="ABC106" s="18"/>
      <c r="ABD106" s="18"/>
      <c r="ABE106" s="18"/>
      <c r="ABF106" s="18"/>
      <c r="ABG106" s="18"/>
      <c r="ABH106" s="18"/>
      <c r="ABI106" s="18"/>
      <c r="ABJ106" s="18"/>
      <c r="ABK106" s="18"/>
      <c r="ABL106" s="18"/>
      <c r="ABM106" s="18"/>
      <c r="ABN106" s="18"/>
      <c r="ABO106" s="18"/>
      <c r="ABP106" s="18"/>
      <c r="ABQ106" s="18"/>
      <c r="ABR106" s="18"/>
      <c r="ABS106" s="18"/>
      <c r="ABT106" s="18"/>
      <c r="ABU106" s="18"/>
      <c r="ABV106" s="18"/>
      <c r="ABW106" s="18"/>
      <c r="ABX106" s="18"/>
      <c r="ABY106" s="18"/>
      <c r="ABZ106" s="18"/>
      <c r="ACA106" s="18"/>
      <c r="ACB106" s="18"/>
      <c r="ACC106" s="18"/>
      <c r="ACD106" s="18"/>
      <c r="ACE106" s="18"/>
      <c r="ACF106" s="18"/>
      <c r="ACG106" s="18"/>
      <c r="ACH106" s="18"/>
      <c r="ACI106" s="18"/>
      <c r="ACJ106" s="18"/>
      <c r="ACK106" s="18"/>
      <c r="ACL106" s="18"/>
      <c r="ACM106" s="18"/>
      <c r="ACN106" s="18"/>
      <c r="ACO106" s="18"/>
      <c r="ACP106" s="18"/>
      <c r="ACQ106" s="18"/>
      <c r="ACR106" s="18"/>
      <c r="ACS106" s="18"/>
      <c r="ACT106" s="18"/>
      <c r="ACU106" s="18"/>
      <c r="ACV106" s="18"/>
      <c r="ACW106" s="18"/>
      <c r="ACX106" s="18"/>
      <c r="ACY106" s="18"/>
      <c r="ACZ106" s="18"/>
      <c r="ADA106" s="18"/>
      <c r="ADB106" s="18"/>
      <c r="ADC106" s="18"/>
      <c r="ADD106" s="18"/>
      <c r="ADE106" s="18"/>
      <c r="ADF106" s="18"/>
      <c r="ADG106" s="18"/>
      <c r="ADH106" s="18"/>
      <c r="ADI106" s="18"/>
      <c r="ADJ106" s="18"/>
      <c r="ADK106" s="18"/>
      <c r="ADL106" s="18"/>
      <c r="ADM106" s="18"/>
      <c r="ADN106" s="18"/>
      <c r="ADO106" s="18"/>
      <c r="ADP106" s="18"/>
      <c r="ADQ106" s="18"/>
      <c r="ADR106" s="18"/>
      <c r="ADS106" s="18"/>
      <c r="ADT106" s="18"/>
      <c r="ADU106" s="18"/>
      <c r="ADV106" s="18"/>
      <c r="ADW106" s="18"/>
      <c r="ADX106" s="18"/>
      <c r="ADY106" s="18"/>
      <c r="ADZ106" s="18"/>
      <c r="AEA106" s="18"/>
      <c r="AEB106" s="18"/>
      <c r="AEC106" s="18"/>
      <c r="AED106" s="18"/>
      <c r="AEE106" s="18"/>
      <c r="AEF106" s="18"/>
      <c r="AEG106" s="18"/>
      <c r="AEH106" s="18"/>
      <c r="AEI106" s="18"/>
      <c r="AEJ106" s="18"/>
      <c r="AEK106" s="18"/>
      <c r="AEL106" s="18"/>
      <c r="AEM106" s="18"/>
      <c r="AEN106" s="18"/>
      <c r="AEO106" s="18"/>
      <c r="AEP106" s="18"/>
      <c r="AEQ106" s="18"/>
      <c r="AER106" s="18"/>
      <c r="AES106" s="18"/>
      <c r="AET106" s="18"/>
      <c r="AEU106" s="18"/>
      <c r="AEV106" s="18"/>
      <c r="AEW106" s="18"/>
      <c r="AEX106" s="18"/>
      <c r="AEY106" s="18"/>
      <c r="AEZ106" s="18"/>
      <c r="AFA106" s="18"/>
      <c r="AFB106" s="18"/>
      <c r="AFC106" s="18"/>
      <c r="AFD106" s="18"/>
      <c r="AFE106" s="18"/>
      <c r="AFF106" s="18"/>
      <c r="AFG106" s="18"/>
      <c r="AFH106" s="18"/>
      <c r="AFI106" s="18"/>
      <c r="AFJ106" s="18"/>
      <c r="AFK106" s="18"/>
      <c r="AFL106" s="18"/>
      <c r="AFM106" s="18"/>
      <c r="AFN106" s="18"/>
      <c r="AFO106" s="18"/>
      <c r="AFP106" s="18"/>
      <c r="AFQ106" s="18"/>
      <c r="AFR106" s="18"/>
      <c r="AFS106" s="18"/>
      <c r="AFT106" s="18"/>
      <c r="AFU106" s="18"/>
      <c r="AFV106" s="18"/>
      <c r="AFW106" s="18"/>
      <c r="AFX106" s="18"/>
      <c r="AFY106" s="18"/>
      <c r="AFZ106" s="18"/>
      <c r="AGA106" s="18"/>
      <c r="AGB106" s="18"/>
      <c r="AGC106" s="18"/>
      <c r="AGD106" s="18"/>
      <c r="AGE106" s="18"/>
      <c r="AGF106" s="18"/>
      <c r="AGG106" s="18"/>
      <c r="AGH106" s="18"/>
      <c r="AGI106" s="18"/>
      <c r="AGJ106" s="18"/>
      <c r="AGK106" s="18"/>
      <c r="AGL106" s="18"/>
      <c r="AGM106" s="18"/>
      <c r="AGN106" s="18"/>
      <c r="AGO106" s="18"/>
      <c r="AGP106" s="18"/>
      <c r="AGQ106" s="18"/>
      <c r="AGR106" s="18"/>
      <c r="AGS106" s="18"/>
      <c r="AGT106" s="18"/>
      <c r="AGU106" s="18"/>
      <c r="AGV106" s="18"/>
      <c r="AGW106" s="18"/>
      <c r="AGX106" s="18"/>
      <c r="AGY106" s="18"/>
      <c r="AGZ106" s="18"/>
      <c r="AHA106" s="18"/>
      <c r="AHB106" s="18"/>
      <c r="AHC106" s="18"/>
      <c r="AHD106" s="18"/>
      <c r="AHE106" s="18"/>
      <c r="AHF106" s="18"/>
      <c r="AHG106" s="18"/>
      <c r="AHH106" s="18"/>
      <c r="AHI106" s="18"/>
      <c r="AHJ106" s="18"/>
      <c r="AHK106" s="18"/>
      <c r="AHL106" s="18"/>
      <c r="AHM106" s="18"/>
      <c r="AHN106" s="18"/>
      <c r="AHO106" s="18"/>
      <c r="AHP106" s="18"/>
      <c r="AHQ106" s="18"/>
      <c r="AHR106" s="18"/>
      <c r="AHS106" s="18"/>
      <c r="AHT106" s="18"/>
      <c r="AHU106" s="18"/>
      <c r="AHV106" s="18"/>
      <c r="AHW106" s="18"/>
      <c r="AHX106" s="18"/>
      <c r="AHY106" s="18"/>
      <c r="AHZ106" s="18"/>
      <c r="AIA106" s="18"/>
      <c r="AIB106" s="18"/>
      <c r="AIC106" s="18"/>
      <c r="AID106" s="18"/>
      <c r="AIE106" s="18"/>
      <c r="AIF106" s="18"/>
      <c r="AIG106" s="18"/>
      <c r="AIH106" s="18"/>
      <c r="AII106" s="18"/>
      <c r="AIJ106" s="18"/>
      <c r="AIK106" s="18"/>
      <c r="AIL106" s="18"/>
      <c r="AIM106" s="18"/>
      <c r="AIN106" s="18"/>
      <c r="AIO106" s="18"/>
      <c r="AIP106" s="18"/>
      <c r="AIQ106" s="18"/>
      <c r="AIR106" s="18"/>
      <c r="AIS106" s="18"/>
      <c r="AIT106" s="18"/>
      <c r="AIU106" s="18"/>
      <c r="AIV106" s="18"/>
      <c r="AIW106" s="18"/>
      <c r="AIX106" s="18"/>
      <c r="AIY106" s="18"/>
      <c r="AIZ106" s="18"/>
      <c r="AJA106" s="18"/>
      <c r="AJB106" s="18"/>
      <c r="AJC106" s="18"/>
      <c r="AJD106" s="18"/>
      <c r="AJE106" s="18"/>
      <c r="AJF106" s="18"/>
      <c r="AJG106" s="18"/>
      <c r="AJH106" s="18"/>
      <c r="AJI106" s="18"/>
      <c r="AJJ106" s="18"/>
      <c r="AJK106" s="18"/>
      <c r="AJL106" s="18"/>
      <c r="AJM106" s="18"/>
      <c r="AJN106" s="18"/>
      <c r="AJO106" s="18"/>
      <c r="AJP106" s="18"/>
      <c r="AJQ106" s="18"/>
      <c r="AJR106" s="18"/>
      <c r="AJS106" s="18"/>
      <c r="AJT106" s="18"/>
      <c r="AJU106" s="18"/>
      <c r="AJV106" s="18"/>
      <c r="AJW106" s="18"/>
      <c r="AJX106" s="18"/>
      <c r="AJY106" s="18"/>
      <c r="AJZ106" s="18"/>
      <c r="AKA106" s="18"/>
      <c r="AKB106" s="18"/>
      <c r="AKC106" s="18"/>
      <c r="AKD106" s="18"/>
      <c r="AKE106" s="18"/>
      <c r="AKF106" s="18"/>
      <c r="AKG106" s="18"/>
      <c r="AKH106" s="18"/>
      <c r="AKI106" s="18"/>
      <c r="AKJ106" s="18"/>
      <c r="AKK106" s="18"/>
      <c r="AKL106" s="18"/>
      <c r="AKM106" s="18"/>
      <c r="AKN106" s="18"/>
      <c r="AKO106" s="18"/>
      <c r="AKP106" s="18"/>
      <c r="AKQ106" s="18"/>
      <c r="AKR106" s="18"/>
      <c r="AKS106" s="18"/>
      <c r="AKT106" s="18"/>
      <c r="AKU106" s="18"/>
      <c r="AKV106" s="18"/>
      <c r="AKW106" s="18"/>
      <c r="AKX106" s="18"/>
      <c r="AKY106" s="18"/>
      <c r="AKZ106" s="18"/>
      <c r="ALA106" s="18"/>
      <c r="ALB106" s="18"/>
      <c r="ALC106" s="18"/>
      <c r="ALD106" s="18"/>
      <c r="ALE106" s="18"/>
      <c r="ALF106" s="18"/>
      <c r="ALG106" s="18"/>
      <c r="ALH106" s="18"/>
      <c r="ALI106" s="18"/>
      <c r="ALJ106" s="18"/>
      <c r="ALK106" s="18"/>
      <c r="ALL106" s="18"/>
      <c r="ALM106" s="18"/>
      <c r="ALN106" s="18"/>
      <c r="ALO106" s="18"/>
      <c r="ALP106" s="18"/>
      <c r="ALQ106" s="18"/>
      <c r="ALR106" s="18"/>
      <c r="ALS106" s="18"/>
      <c r="ALT106" s="18"/>
    </row>
    <row r="107" spans="1:1008">
      <c r="A107" s="251" t="s">
        <v>6307</v>
      </c>
      <c r="B107" s="290">
        <v>141</v>
      </c>
      <c r="C107" s="278" t="str">
        <f>(IF($A107="SINAPI",INDEX(SINAPI_NOV2020_NDES!$A$7:$H$6703,MATCH($B107,SINAPI_NOV2020_NDES!$A$7:$A$6703,0),2),IF($A107="GOINFRA",INDEX(#REF!,MATCH($B107,#REF!,0),2),(INDEX(COMPOS!$A$4:$G$390,MATCH($B107,COMPOS!$A$4:A$390,0),2)))))</f>
        <v>BANCO DE CONCRETO POLIDO 1,20 X 0,40M</v>
      </c>
      <c r="D107" s="274" t="str">
        <f>(IF($A107="SINAPI",INDEX(SINAPI_NOV2020_NDES!$A$7:$H$6790,MATCH($B107,SINAPI_NOV2020_NDES!$A$7:$A$6790,0),3),(INDEX(COMPOS!$A$4:$G$5000,MATCH($B107,COMPOS!$A$4:$A$5000,0),3))))</f>
        <v>UN</v>
      </c>
      <c r="E107" s="276">
        <f>3.35*2</f>
        <v>6.7</v>
      </c>
      <c r="F107" s="279">
        <f>(IF($A107="SINAPI",INDEX(SINAPI_NOV2020_NDES!$A$7:$H$6703,MATCH($B107,SINAPI_NOV2020_NDES!$A$7:$A$6703,0),5),(INDEX(COMPOS!$A$4:$G$801,MATCH($B107,COMPOS!$A$4:A$801,0),4))))</f>
        <v>68.73098499999999</v>
      </c>
      <c r="G107" s="280">
        <f>(IF($A107="SINAPI",INDEX(SINAPI_NOV2020_NDES!$A$7:$H$6703,MATCH($B107,SINAPI_NOV2020_NDES!$A$7:$A$6703,0),6),(INDEX(COMPOS!$A$4:$G$801,MATCH($B107,COMPOS!$A$4:A$801,0),5))))</f>
        <v>81.858417000000003</v>
      </c>
      <c r="H107" s="280">
        <f>(IF($A107="SINAPI",INDEX(SINAPI_NOV2020_NDES!$A$7:$H$6703,MATCH($B107,SINAPI_NOV2020_NDES!$A$7:$A$6703,0),7),(INDEX(COMPOS!$A$4:$G$801,MATCH($B107,COMPOS!$A$4:A$801,0),6))))</f>
        <v>0.84754700000000005</v>
      </c>
      <c r="I107" s="279">
        <f t="shared" si="44"/>
        <v>151.436949</v>
      </c>
      <c r="J107" s="276">
        <f t="shared" si="45"/>
        <v>1014.6275583</v>
      </c>
      <c r="K107" s="191"/>
      <c r="L107" s="191"/>
      <c r="M107" s="191"/>
      <c r="N107" s="191"/>
      <c r="O107" s="262"/>
      <c r="P107" s="263"/>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c r="IP107" s="18"/>
      <c r="IQ107" s="18"/>
      <c r="IR107" s="18"/>
      <c r="IS107" s="18"/>
      <c r="IT107" s="18"/>
      <c r="IU107" s="18"/>
      <c r="IV107" s="18"/>
      <c r="IW107" s="18"/>
      <c r="IX107" s="18"/>
      <c r="IY107" s="18"/>
      <c r="IZ107" s="18"/>
      <c r="JA107" s="18"/>
      <c r="JB107" s="18"/>
      <c r="JC107" s="18"/>
      <c r="JD107" s="18"/>
      <c r="JE107" s="18"/>
      <c r="JF107" s="18"/>
      <c r="JG107" s="18"/>
      <c r="JH107" s="18"/>
      <c r="JI107" s="18"/>
      <c r="JJ107" s="18"/>
      <c r="JK107" s="18"/>
      <c r="JL107" s="18"/>
      <c r="JM107" s="18"/>
      <c r="JN107" s="18"/>
      <c r="JO107" s="18"/>
      <c r="JP107" s="18"/>
      <c r="JQ107" s="18"/>
      <c r="JR107" s="18"/>
      <c r="JS107" s="18"/>
      <c r="JT107" s="18"/>
      <c r="JU107" s="18"/>
      <c r="JV107" s="18"/>
      <c r="JW107" s="18"/>
      <c r="JX107" s="18"/>
      <c r="JY107" s="18"/>
      <c r="JZ107" s="18"/>
      <c r="KA107" s="18"/>
      <c r="KB107" s="18"/>
      <c r="KC107" s="18"/>
      <c r="KD107" s="18"/>
      <c r="KE107" s="18"/>
      <c r="KF107" s="18"/>
      <c r="KG107" s="18"/>
      <c r="KH107" s="18"/>
      <c r="KI107" s="18"/>
      <c r="KJ107" s="18"/>
      <c r="KK107" s="18"/>
      <c r="KL107" s="18"/>
      <c r="KM107" s="18"/>
      <c r="KN107" s="18"/>
      <c r="KO107" s="18"/>
      <c r="KP107" s="18"/>
      <c r="KQ107" s="18"/>
      <c r="KR107" s="18"/>
      <c r="KS107" s="18"/>
      <c r="KT107" s="18"/>
      <c r="KU107" s="18"/>
      <c r="KV107" s="18"/>
      <c r="KW107" s="18"/>
      <c r="KX107" s="18"/>
      <c r="KY107" s="18"/>
      <c r="KZ107" s="18"/>
      <c r="LA107" s="18"/>
      <c r="LB107" s="18"/>
      <c r="LC107" s="18"/>
      <c r="LD107" s="18"/>
      <c r="LE107" s="18"/>
      <c r="LF107" s="18"/>
      <c r="LG107" s="18"/>
      <c r="LH107" s="18"/>
      <c r="LI107" s="18"/>
      <c r="LJ107" s="18"/>
      <c r="LK107" s="18"/>
      <c r="LL107" s="18"/>
      <c r="LM107" s="18"/>
      <c r="LN107" s="18"/>
      <c r="LO107" s="18"/>
      <c r="LP107" s="18"/>
      <c r="LQ107" s="18"/>
      <c r="LR107" s="18"/>
      <c r="LS107" s="18"/>
      <c r="LT107" s="18"/>
      <c r="LU107" s="18"/>
      <c r="LV107" s="18"/>
      <c r="LW107" s="18"/>
      <c r="LX107" s="18"/>
      <c r="LY107" s="18"/>
      <c r="LZ107" s="18"/>
      <c r="MA107" s="18"/>
      <c r="MB107" s="18"/>
      <c r="MC107" s="18"/>
      <c r="MD107" s="18"/>
      <c r="ME107" s="18"/>
      <c r="MF107" s="18"/>
      <c r="MG107" s="18"/>
      <c r="MH107" s="18"/>
      <c r="MI107" s="18"/>
      <c r="MJ107" s="18"/>
      <c r="MK107" s="18"/>
      <c r="ML107" s="18"/>
      <c r="MM107" s="18"/>
      <c r="MN107" s="18"/>
      <c r="MO107" s="18"/>
      <c r="MP107" s="18"/>
      <c r="MQ107" s="18"/>
      <c r="MR107" s="18"/>
      <c r="MS107" s="18"/>
      <c r="MT107" s="18"/>
      <c r="MU107" s="18"/>
      <c r="MV107" s="18"/>
      <c r="MW107" s="18"/>
      <c r="MX107" s="18"/>
      <c r="MY107" s="18"/>
      <c r="MZ107" s="18"/>
      <c r="NA107" s="18"/>
      <c r="NB107" s="18"/>
      <c r="NC107" s="18"/>
      <c r="ND107" s="18"/>
      <c r="NE107" s="18"/>
      <c r="NF107" s="18"/>
      <c r="NG107" s="18"/>
      <c r="NH107" s="18"/>
      <c r="NI107" s="18"/>
      <c r="NJ107" s="18"/>
      <c r="NK107" s="18"/>
      <c r="NL107" s="18"/>
      <c r="NM107" s="18"/>
      <c r="NN107" s="18"/>
      <c r="NO107" s="18"/>
      <c r="NP107" s="18"/>
      <c r="NQ107" s="18"/>
      <c r="NR107" s="18"/>
      <c r="NS107" s="18"/>
      <c r="NT107" s="18"/>
      <c r="NU107" s="18"/>
      <c r="NV107" s="18"/>
      <c r="NW107" s="18"/>
      <c r="NX107" s="18"/>
      <c r="NY107" s="18"/>
      <c r="NZ107" s="18"/>
      <c r="OA107" s="18"/>
      <c r="OB107" s="18"/>
      <c r="OC107" s="18"/>
      <c r="OD107" s="18"/>
      <c r="OE107" s="18"/>
      <c r="OF107" s="18"/>
      <c r="OG107" s="18"/>
      <c r="OH107" s="18"/>
      <c r="OI107" s="18"/>
      <c r="OJ107" s="18"/>
      <c r="OK107" s="18"/>
      <c r="OL107" s="18"/>
      <c r="OM107" s="18"/>
      <c r="ON107" s="18"/>
      <c r="OO107" s="18"/>
      <c r="OP107" s="18"/>
      <c r="OQ107" s="18"/>
      <c r="OR107" s="18"/>
      <c r="OS107" s="18"/>
      <c r="OT107" s="18"/>
      <c r="OU107" s="18"/>
      <c r="OV107" s="18"/>
      <c r="OW107" s="18"/>
      <c r="OX107" s="18"/>
      <c r="OY107" s="18"/>
      <c r="OZ107" s="18"/>
      <c r="PA107" s="18"/>
      <c r="PB107" s="18"/>
      <c r="PC107" s="18"/>
      <c r="PD107" s="18"/>
      <c r="PE107" s="18"/>
      <c r="PF107" s="18"/>
      <c r="PG107" s="18"/>
      <c r="PH107" s="18"/>
      <c r="PI107" s="18"/>
      <c r="PJ107" s="18"/>
      <c r="PK107" s="18"/>
      <c r="PL107" s="18"/>
      <c r="PM107" s="18"/>
      <c r="PN107" s="18"/>
      <c r="PO107" s="18"/>
      <c r="PP107" s="18"/>
      <c r="PQ107" s="18"/>
      <c r="PR107" s="18"/>
      <c r="PS107" s="18"/>
      <c r="PT107" s="18"/>
      <c r="PU107" s="18"/>
      <c r="PV107" s="18"/>
      <c r="PW107" s="18"/>
      <c r="PX107" s="18"/>
      <c r="PY107" s="18"/>
      <c r="PZ107" s="18"/>
      <c r="QA107" s="18"/>
      <c r="QB107" s="18"/>
      <c r="QC107" s="18"/>
      <c r="QD107" s="18"/>
      <c r="QE107" s="18"/>
      <c r="QF107" s="18"/>
      <c r="QG107" s="18"/>
      <c r="QH107" s="18"/>
      <c r="QI107" s="18"/>
      <c r="QJ107" s="18"/>
      <c r="QK107" s="18"/>
      <c r="QL107" s="18"/>
      <c r="QM107" s="18"/>
      <c r="QN107" s="18"/>
      <c r="QO107" s="18"/>
      <c r="QP107" s="18"/>
      <c r="QQ107" s="18"/>
      <c r="QR107" s="18"/>
      <c r="QS107" s="18"/>
      <c r="QT107" s="18"/>
      <c r="QU107" s="18"/>
      <c r="QV107" s="18"/>
      <c r="QW107" s="18"/>
      <c r="QX107" s="18"/>
      <c r="QY107" s="18"/>
      <c r="QZ107" s="18"/>
      <c r="RA107" s="18"/>
      <c r="RB107" s="18"/>
      <c r="RC107" s="18"/>
      <c r="RD107" s="18"/>
      <c r="RE107" s="18"/>
      <c r="RF107" s="18"/>
      <c r="RG107" s="18"/>
      <c r="RH107" s="18"/>
      <c r="RI107" s="18"/>
      <c r="RJ107" s="18"/>
      <c r="RK107" s="18"/>
      <c r="RL107" s="18"/>
      <c r="RM107" s="18"/>
      <c r="RN107" s="18"/>
      <c r="RO107" s="18"/>
      <c r="RP107" s="18"/>
      <c r="RQ107" s="18"/>
      <c r="RR107" s="18"/>
      <c r="RS107" s="18"/>
      <c r="RT107" s="18"/>
      <c r="RU107" s="18"/>
      <c r="RV107" s="18"/>
      <c r="RW107" s="18"/>
      <c r="RX107" s="18"/>
      <c r="RY107" s="18"/>
      <c r="RZ107" s="18"/>
      <c r="SA107" s="18"/>
      <c r="SB107" s="18"/>
      <c r="SC107" s="18"/>
      <c r="SD107" s="18"/>
      <c r="SE107" s="18"/>
      <c r="SF107" s="18"/>
      <c r="SG107" s="18"/>
      <c r="SH107" s="18"/>
      <c r="SI107" s="18"/>
      <c r="SJ107" s="18"/>
      <c r="SK107" s="18"/>
      <c r="SL107" s="18"/>
      <c r="SM107" s="18"/>
      <c r="SN107" s="18"/>
      <c r="SO107" s="18"/>
      <c r="SP107" s="18"/>
      <c r="SQ107" s="18"/>
      <c r="SR107" s="18"/>
      <c r="SS107" s="18"/>
      <c r="ST107" s="18"/>
      <c r="SU107" s="18"/>
      <c r="SV107" s="18"/>
      <c r="SW107" s="18"/>
      <c r="SX107" s="18"/>
      <c r="SY107" s="18"/>
      <c r="SZ107" s="18"/>
      <c r="TA107" s="18"/>
      <c r="TB107" s="18"/>
      <c r="TC107" s="18"/>
      <c r="TD107" s="18"/>
      <c r="TE107" s="18"/>
      <c r="TF107" s="18"/>
      <c r="TG107" s="18"/>
      <c r="TH107" s="18"/>
      <c r="TI107" s="18"/>
      <c r="TJ107" s="18"/>
      <c r="TK107" s="18"/>
      <c r="TL107" s="18"/>
      <c r="TM107" s="18"/>
      <c r="TN107" s="18"/>
      <c r="TO107" s="18"/>
      <c r="TP107" s="18"/>
      <c r="TQ107" s="18"/>
      <c r="TR107" s="18"/>
      <c r="TS107" s="18"/>
      <c r="TT107" s="18"/>
      <c r="TU107" s="18"/>
      <c r="TV107" s="18"/>
      <c r="TW107" s="18"/>
      <c r="TX107" s="18"/>
      <c r="TY107" s="18"/>
      <c r="TZ107" s="18"/>
      <c r="UA107" s="18"/>
      <c r="UB107" s="18"/>
      <c r="UC107" s="18"/>
      <c r="UD107" s="18"/>
      <c r="UE107" s="18"/>
      <c r="UF107" s="18"/>
      <c r="UG107" s="18"/>
      <c r="UH107" s="18"/>
      <c r="UI107" s="18"/>
      <c r="UJ107" s="18"/>
      <c r="UK107" s="18"/>
      <c r="UL107" s="18"/>
      <c r="UM107" s="18"/>
      <c r="UN107" s="18"/>
      <c r="UO107" s="18"/>
      <c r="UP107" s="18"/>
      <c r="UQ107" s="18"/>
      <c r="UR107" s="18"/>
      <c r="US107" s="18"/>
      <c r="UT107" s="18"/>
      <c r="UU107" s="18"/>
      <c r="UV107" s="18"/>
      <c r="UW107" s="18"/>
      <c r="UX107" s="18"/>
      <c r="UY107" s="18"/>
      <c r="UZ107" s="18"/>
      <c r="VA107" s="18"/>
      <c r="VB107" s="18"/>
      <c r="VC107" s="18"/>
      <c r="VD107" s="18"/>
      <c r="VE107" s="18"/>
      <c r="VF107" s="18"/>
      <c r="VG107" s="18"/>
      <c r="VH107" s="18"/>
      <c r="VI107" s="18"/>
      <c r="VJ107" s="18"/>
      <c r="VK107" s="18"/>
      <c r="VL107" s="18"/>
      <c r="VM107" s="18"/>
      <c r="VN107" s="18"/>
      <c r="VO107" s="18"/>
      <c r="VP107" s="18"/>
      <c r="VQ107" s="18"/>
      <c r="VR107" s="18"/>
      <c r="VS107" s="18"/>
      <c r="VT107" s="18"/>
      <c r="VU107" s="18"/>
      <c r="VV107" s="18"/>
      <c r="VW107" s="18"/>
      <c r="VX107" s="18"/>
      <c r="VY107" s="18"/>
      <c r="VZ107" s="18"/>
      <c r="WA107" s="18"/>
      <c r="WB107" s="18"/>
      <c r="WC107" s="18"/>
      <c r="WD107" s="18"/>
      <c r="WE107" s="18"/>
      <c r="WF107" s="18"/>
      <c r="WG107" s="18"/>
      <c r="WH107" s="18"/>
      <c r="WI107" s="18"/>
      <c r="WJ107" s="18"/>
      <c r="WK107" s="18"/>
      <c r="WL107" s="18"/>
      <c r="WM107" s="18"/>
      <c r="WN107" s="18"/>
      <c r="WO107" s="18"/>
      <c r="WP107" s="18"/>
      <c r="WQ107" s="18"/>
      <c r="WR107" s="18"/>
      <c r="WS107" s="18"/>
      <c r="WT107" s="18"/>
      <c r="WU107" s="18"/>
      <c r="WV107" s="18"/>
      <c r="WW107" s="18"/>
      <c r="WX107" s="18"/>
      <c r="WY107" s="18"/>
      <c r="WZ107" s="18"/>
      <c r="XA107" s="18"/>
      <c r="XB107" s="18"/>
      <c r="XC107" s="18"/>
      <c r="XD107" s="18"/>
      <c r="XE107" s="18"/>
      <c r="XF107" s="18"/>
      <c r="XG107" s="18"/>
      <c r="XH107" s="18"/>
      <c r="XI107" s="18"/>
      <c r="XJ107" s="18"/>
      <c r="XK107" s="18"/>
      <c r="XL107" s="18"/>
      <c r="XM107" s="18"/>
      <c r="XN107" s="18"/>
      <c r="XO107" s="18"/>
      <c r="XP107" s="18"/>
      <c r="XQ107" s="18"/>
      <c r="XR107" s="18"/>
      <c r="XS107" s="18"/>
      <c r="XT107" s="18"/>
      <c r="XU107" s="18"/>
      <c r="XV107" s="18"/>
      <c r="XW107" s="18"/>
      <c r="XX107" s="18"/>
      <c r="XY107" s="18"/>
      <c r="XZ107" s="18"/>
      <c r="YA107" s="18"/>
      <c r="YB107" s="18"/>
      <c r="YC107" s="18"/>
      <c r="YD107" s="18"/>
      <c r="YE107" s="18"/>
      <c r="YF107" s="18"/>
      <c r="YG107" s="18"/>
      <c r="YH107" s="18"/>
      <c r="YI107" s="18"/>
      <c r="YJ107" s="18"/>
      <c r="YK107" s="18"/>
      <c r="YL107" s="18"/>
      <c r="YM107" s="18"/>
      <c r="YN107" s="18"/>
      <c r="YO107" s="18"/>
      <c r="YP107" s="18"/>
      <c r="YQ107" s="18"/>
      <c r="YR107" s="18"/>
      <c r="YS107" s="18"/>
      <c r="YT107" s="18"/>
      <c r="YU107" s="18"/>
      <c r="YV107" s="18"/>
      <c r="YW107" s="18"/>
      <c r="YX107" s="18"/>
      <c r="YY107" s="18"/>
      <c r="YZ107" s="18"/>
      <c r="ZA107" s="18"/>
      <c r="ZB107" s="18"/>
      <c r="ZC107" s="18"/>
      <c r="ZD107" s="18"/>
      <c r="ZE107" s="18"/>
      <c r="ZF107" s="18"/>
      <c r="ZG107" s="18"/>
      <c r="ZH107" s="18"/>
      <c r="ZI107" s="18"/>
      <c r="ZJ107" s="18"/>
      <c r="ZK107" s="18"/>
      <c r="ZL107" s="18"/>
      <c r="ZM107" s="18"/>
      <c r="ZN107" s="18"/>
      <c r="ZO107" s="18"/>
      <c r="ZP107" s="18"/>
      <c r="ZQ107" s="18"/>
      <c r="ZR107" s="18"/>
      <c r="ZS107" s="18"/>
      <c r="ZT107" s="18"/>
      <c r="ZU107" s="18"/>
      <c r="ZV107" s="18"/>
      <c r="ZW107" s="18"/>
      <c r="ZX107" s="18"/>
      <c r="ZY107" s="18"/>
      <c r="ZZ107" s="18"/>
      <c r="AAA107" s="18"/>
      <c r="AAB107" s="18"/>
      <c r="AAC107" s="18"/>
      <c r="AAD107" s="18"/>
      <c r="AAE107" s="18"/>
      <c r="AAF107" s="18"/>
      <c r="AAG107" s="18"/>
      <c r="AAH107" s="18"/>
      <c r="AAI107" s="18"/>
      <c r="AAJ107" s="18"/>
      <c r="AAK107" s="18"/>
      <c r="AAL107" s="18"/>
      <c r="AAM107" s="18"/>
      <c r="AAN107" s="18"/>
      <c r="AAO107" s="18"/>
      <c r="AAP107" s="18"/>
      <c r="AAQ107" s="18"/>
      <c r="AAR107" s="18"/>
      <c r="AAS107" s="18"/>
      <c r="AAT107" s="18"/>
      <c r="AAU107" s="18"/>
      <c r="AAV107" s="18"/>
      <c r="AAW107" s="18"/>
      <c r="AAX107" s="18"/>
      <c r="AAY107" s="18"/>
      <c r="AAZ107" s="18"/>
      <c r="ABA107" s="18"/>
      <c r="ABB107" s="18"/>
      <c r="ABC107" s="18"/>
      <c r="ABD107" s="18"/>
      <c r="ABE107" s="18"/>
      <c r="ABF107" s="18"/>
      <c r="ABG107" s="18"/>
      <c r="ABH107" s="18"/>
      <c r="ABI107" s="18"/>
      <c r="ABJ107" s="18"/>
      <c r="ABK107" s="18"/>
      <c r="ABL107" s="18"/>
      <c r="ABM107" s="18"/>
      <c r="ABN107" s="18"/>
      <c r="ABO107" s="18"/>
      <c r="ABP107" s="18"/>
      <c r="ABQ107" s="18"/>
      <c r="ABR107" s="18"/>
      <c r="ABS107" s="18"/>
      <c r="ABT107" s="18"/>
      <c r="ABU107" s="18"/>
      <c r="ABV107" s="18"/>
      <c r="ABW107" s="18"/>
      <c r="ABX107" s="18"/>
      <c r="ABY107" s="18"/>
      <c r="ABZ107" s="18"/>
      <c r="ACA107" s="18"/>
      <c r="ACB107" s="18"/>
      <c r="ACC107" s="18"/>
      <c r="ACD107" s="18"/>
      <c r="ACE107" s="18"/>
      <c r="ACF107" s="18"/>
      <c r="ACG107" s="18"/>
      <c r="ACH107" s="18"/>
      <c r="ACI107" s="18"/>
      <c r="ACJ107" s="18"/>
      <c r="ACK107" s="18"/>
      <c r="ACL107" s="18"/>
      <c r="ACM107" s="18"/>
      <c r="ACN107" s="18"/>
      <c r="ACO107" s="18"/>
      <c r="ACP107" s="18"/>
      <c r="ACQ107" s="18"/>
      <c r="ACR107" s="18"/>
      <c r="ACS107" s="18"/>
      <c r="ACT107" s="18"/>
      <c r="ACU107" s="18"/>
      <c r="ACV107" s="18"/>
      <c r="ACW107" s="18"/>
      <c r="ACX107" s="18"/>
      <c r="ACY107" s="18"/>
      <c r="ACZ107" s="18"/>
      <c r="ADA107" s="18"/>
      <c r="ADB107" s="18"/>
      <c r="ADC107" s="18"/>
      <c r="ADD107" s="18"/>
      <c r="ADE107" s="18"/>
      <c r="ADF107" s="18"/>
      <c r="ADG107" s="18"/>
      <c r="ADH107" s="18"/>
      <c r="ADI107" s="18"/>
      <c r="ADJ107" s="18"/>
      <c r="ADK107" s="18"/>
      <c r="ADL107" s="18"/>
      <c r="ADM107" s="18"/>
      <c r="ADN107" s="18"/>
      <c r="ADO107" s="18"/>
      <c r="ADP107" s="18"/>
      <c r="ADQ107" s="18"/>
      <c r="ADR107" s="18"/>
      <c r="ADS107" s="18"/>
      <c r="ADT107" s="18"/>
      <c r="ADU107" s="18"/>
      <c r="ADV107" s="18"/>
      <c r="ADW107" s="18"/>
      <c r="ADX107" s="18"/>
      <c r="ADY107" s="18"/>
      <c r="ADZ107" s="18"/>
      <c r="AEA107" s="18"/>
      <c r="AEB107" s="18"/>
      <c r="AEC107" s="18"/>
      <c r="AED107" s="18"/>
      <c r="AEE107" s="18"/>
      <c r="AEF107" s="18"/>
      <c r="AEG107" s="18"/>
      <c r="AEH107" s="18"/>
      <c r="AEI107" s="18"/>
      <c r="AEJ107" s="18"/>
      <c r="AEK107" s="18"/>
      <c r="AEL107" s="18"/>
      <c r="AEM107" s="18"/>
      <c r="AEN107" s="18"/>
      <c r="AEO107" s="18"/>
      <c r="AEP107" s="18"/>
      <c r="AEQ107" s="18"/>
      <c r="AER107" s="18"/>
      <c r="AES107" s="18"/>
      <c r="AET107" s="18"/>
      <c r="AEU107" s="18"/>
      <c r="AEV107" s="18"/>
      <c r="AEW107" s="18"/>
      <c r="AEX107" s="18"/>
      <c r="AEY107" s="18"/>
      <c r="AEZ107" s="18"/>
      <c r="AFA107" s="18"/>
      <c r="AFB107" s="18"/>
      <c r="AFC107" s="18"/>
      <c r="AFD107" s="18"/>
      <c r="AFE107" s="18"/>
      <c r="AFF107" s="18"/>
      <c r="AFG107" s="18"/>
      <c r="AFH107" s="18"/>
      <c r="AFI107" s="18"/>
      <c r="AFJ107" s="18"/>
      <c r="AFK107" s="18"/>
      <c r="AFL107" s="18"/>
      <c r="AFM107" s="18"/>
      <c r="AFN107" s="18"/>
      <c r="AFO107" s="18"/>
      <c r="AFP107" s="18"/>
      <c r="AFQ107" s="18"/>
      <c r="AFR107" s="18"/>
      <c r="AFS107" s="18"/>
      <c r="AFT107" s="18"/>
      <c r="AFU107" s="18"/>
      <c r="AFV107" s="18"/>
      <c r="AFW107" s="18"/>
      <c r="AFX107" s="18"/>
      <c r="AFY107" s="18"/>
      <c r="AFZ107" s="18"/>
      <c r="AGA107" s="18"/>
      <c r="AGB107" s="18"/>
      <c r="AGC107" s="18"/>
      <c r="AGD107" s="18"/>
      <c r="AGE107" s="18"/>
      <c r="AGF107" s="18"/>
      <c r="AGG107" s="18"/>
      <c r="AGH107" s="18"/>
      <c r="AGI107" s="18"/>
      <c r="AGJ107" s="18"/>
      <c r="AGK107" s="18"/>
      <c r="AGL107" s="18"/>
      <c r="AGM107" s="18"/>
      <c r="AGN107" s="18"/>
      <c r="AGO107" s="18"/>
      <c r="AGP107" s="18"/>
      <c r="AGQ107" s="18"/>
      <c r="AGR107" s="18"/>
      <c r="AGS107" s="18"/>
      <c r="AGT107" s="18"/>
      <c r="AGU107" s="18"/>
      <c r="AGV107" s="18"/>
      <c r="AGW107" s="18"/>
      <c r="AGX107" s="18"/>
      <c r="AGY107" s="18"/>
      <c r="AGZ107" s="18"/>
      <c r="AHA107" s="18"/>
      <c r="AHB107" s="18"/>
      <c r="AHC107" s="18"/>
      <c r="AHD107" s="18"/>
      <c r="AHE107" s="18"/>
      <c r="AHF107" s="18"/>
      <c r="AHG107" s="18"/>
      <c r="AHH107" s="18"/>
      <c r="AHI107" s="18"/>
      <c r="AHJ107" s="18"/>
      <c r="AHK107" s="18"/>
      <c r="AHL107" s="18"/>
      <c r="AHM107" s="18"/>
      <c r="AHN107" s="18"/>
      <c r="AHO107" s="18"/>
      <c r="AHP107" s="18"/>
      <c r="AHQ107" s="18"/>
      <c r="AHR107" s="18"/>
      <c r="AHS107" s="18"/>
      <c r="AHT107" s="18"/>
      <c r="AHU107" s="18"/>
      <c r="AHV107" s="18"/>
      <c r="AHW107" s="18"/>
      <c r="AHX107" s="18"/>
      <c r="AHY107" s="18"/>
      <c r="AHZ107" s="18"/>
      <c r="AIA107" s="18"/>
      <c r="AIB107" s="18"/>
      <c r="AIC107" s="18"/>
      <c r="AID107" s="18"/>
      <c r="AIE107" s="18"/>
      <c r="AIF107" s="18"/>
      <c r="AIG107" s="18"/>
      <c r="AIH107" s="18"/>
      <c r="AII107" s="18"/>
      <c r="AIJ107" s="18"/>
      <c r="AIK107" s="18"/>
      <c r="AIL107" s="18"/>
      <c r="AIM107" s="18"/>
      <c r="AIN107" s="18"/>
      <c r="AIO107" s="18"/>
      <c r="AIP107" s="18"/>
      <c r="AIQ107" s="18"/>
      <c r="AIR107" s="18"/>
      <c r="AIS107" s="18"/>
      <c r="AIT107" s="18"/>
      <c r="AIU107" s="18"/>
      <c r="AIV107" s="18"/>
      <c r="AIW107" s="18"/>
      <c r="AIX107" s="18"/>
      <c r="AIY107" s="18"/>
      <c r="AIZ107" s="18"/>
      <c r="AJA107" s="18"/>
      <c r="AJB107" s="18"/>
      <c r="AJC107" s="18"/>
      <c r="AJD107" s="18"/>
      <c r="AJE107" s="18"/>
      <c r="AJF107" s="18"/>
      <c r="AJG107" s="18"/>
      <c r="AJH107" s="18"/>
      <c r="AJI107" s="18"/>
      <c r="AJJ107" s="18"/>
      <c r="AJK107" s="18"/>
      <c r="AJL107" s="18"/>
      <c r="AJM107" s="18"/>
      <c r="AJN107" s="18"/>
      <c r="AJO107" s="18"/>
      <c r="AJP107" s="18"/>
      <c r="AJQ107" s="18"/>
      <c r="AJR107" s="18"/>
      <c r="AJS107" s="18"/>
      <c r="AJT107" s="18"/>
      <c r="AJU107" s="18"/>
      <c r="AJV107" s="18"/>
      <c r="AJW107" s="18"/>
      <c r="AJX107" s="18"/>
      <c r="AJY107" s="18"/>
      <c r="AJZ107" s="18"/>
      <c r="AKA107" s="18"/>
      <c r="AKB107" s="18"/>
      <c r="AKC107" s="18"/>
      <c r="AKD107" s="18"/>
      <c r="AKE107" s="18"/>
      <c r="AKF107" s="18"/>
      <c r="AKG107" s="18"/>
      <c r="AKH107" s="18"/>
      <c r="AKI107" s="18"/>
      <c r="AKJ107" s="18"/>
      <c r="AKK107" s="18"/>
      <c r="AKL107" s="18"/>
      <c r="AKM107" s="18"/>
      <c r="AKN107" s="18"/>
      <c r="AKO107" s="18"/>
      <c r="AKP107" s="18"/>
      <c r="AKQ107" s="18"/>
      <c r="AKR107" s="18"/>
      <c r="AKS107" s="18"/>
      <c r="AKT107" s="18"/>
      <c r="AKU107" s="18"/>
      <c r="AKV107" s="18"/>
      <c r="AKW107" s="18"/>
      <c r="AKX107" s="18"/>
      <c r="AKY107" s="18"/>
      <c r="AKZ107" s="18"/>
      <c r="ALA107" s="18"/>
      <c r="ALB107" s="18"/>
      <c r="ALC107" s="18"/>
      <c r="ALD107" s="18"/>
      <c r="ALE107" s="18"/>
      <c r="ALF107" s="18"/>
      <c r="ALG107" s="18"/>
      <c r="ALH107" s="18"/>
      <c r="ALI107" s="18"/>
      <c r="ALJ107" s="18"/>
      <c r="ALK107" s="18"/>
      <c r="ALL107" s="18"/>
      <c r="ALM107" s="18"/>
      <c r="ALN107" s="18"/>
      <c r="ALO107" s="18"/>
      <c r="ALP107" s="18"/>
      <c r="ALQ107" s="18"/>
      <c r="ALR107" s="18"/>
      <c r="ALS107" s="18"/>
      <c r="ALT107" s="18"/>
    </row>
    <row r="108" spans="1:1008" s="88" customFormat="1" ht="24" customHeight="1">
      <c r="A108" s="680" t="s">
        <v>6927</v>
      </c>
      <c r="B108" s="680"/>
      <c r="C108" s="680"/>
      <c r="D108" s="680"/>
      <c r="E108" s="680"/>
      <c r="F108" s="680"/>
      <c r="G108" s="680"/>
      <c r="H108" s="680"/>
      <c r="I108" s="680"/>
      <c r="J108" s="281">
        <f>SUM(J104:J107)</f>
        <v>3393.5990135400002</v>
      </c>
      <c r="K108" s="191"/>
      <c r="L108" s="191"/>
      <c r="M108" s="191"/>
      <c r="N108" s="191"/>
      <c r="O108" s="191"/>
      <c r="P108" s="263"/>
    </row>
    <row r="109" spans="1:1008" s="191" customFormat="1" ht="12.75" customHeight="1">
      <c r="A109" s="680" t="s">
        <v>7104</v>
      </c>
      <c r="B109" s="680"/>
      <c r="C109" s="680"/>
      <c r="D109" s="680"/>
      <c r="E109" s="680"/>
      <c r="F109" s="680"/>
      <c r="G109" s="680"/>
      <c r="H109" s="680"/>
      <c r="I109" s="680"/>
      <c r="J109" s="577">
        <f>SUMPRODUCT($E$11:$E$107,$F$11:$F$107)</f>
        <v>14232.729538649999</v>
      </c>
      <c r="K109" s="255"/>
      <c r="L109" s="255"/>
      <c r="M109" s="255"/>
      <c r="N109" s="255"/>
      <c r="O109" s="255"/>
      <c r="P109" s="257"/>
      <c r="Q109" s="255"/>
      <c r="R109" s="255"/>
      <c r="S109" s="255"/>
      <c r="T109" s="255"/>
      <c r="U109" s="255"/>
      <c r="V109" s="255"/>
      <c r="W109" s="255"/>
      <c r="X109" s="255"/>
      <c r="Y109" s="255"/>
      <c r="Z109" s="255"/>
      <c r="AA109" s="255"/>
      <c r="AB109" s="255"/>
      <c r="AC109" s="255"/>
      <c r="AD109" s="255"/>
      <c r="AE109" s="255"/>
      <c r="AF109" s="255"/>
      <c r="AG109" s="255"/>
      <c r="AH109" s="255"/>
      <c r="AI109" s="255"/>
      <c r="AJ109" s="255"/>
      <c r="AK109" s="255"/>
      <c r="AL109" s="255"/>
      <c r="AM109" s="255"/>
      <c r="AN109" s="255"/>
      <c r="AO109" s="255"/>
      <c r="AP109" s="255"/>
      <c r="AQ109" s="255"/>
      <c r="AR109" s="255"/>
      <c r="AS109" s="255"/>
      <c r="AT109" s="255"/>
      <c r="AU109" s="255"/>
      <c r="AV109" s="255"/>
      <c r="AW109" s="255"/>
      <c r="AX109" s="255"/>
      <c r="AY109" s="255"/>
      <c r="AZ109" s="255"/>
      <c r="BA109" s="255"/>
      <c r="BB109" s="255"/>
      <c r="BC109" s="255"/>
      <c r="BD109" s="255"/>
      <c r="BE109" s="255"/>
      <c r="BF109" s="255"/>
      <c r="BG109" s="255"/>
      <c r="BH109" s="255"/>
      <c r="BI109" s="255"/>
      <c r="BJ109" s="255"/>
      <c r="BK109" s="255"/>
      <c r="BL109" s="255"/>
      <c r="BM109" s="255"/>
      <c r="BN109" s="255"/>
      <c r="BO109" s="255"/>
      <c r="BP109" s="255"/>
      <c r="BQ109" s="255"/>
      <c r="BR109" s="255"/>
      <c r="BS109" s="255"/>
      <c r="BT109" s="255"/>
      <c r="BU109" s="255"/>
      <c r="BV109" s="255"/>
      <c r="BW109" s="255"/>
      <c r="BX109" s="255"/>
      <c r="BY109" s="255"/>
      <c r="BZ109" s="255"/>
      <c r="CA109" s="255"/>
      <c r="CB109" s="255"/>
      <c r="CC109" s="255"/>
      <c r="CD109" s="255"/>
      <c r="CE109" s="255"/>
      <c r="CF109" s="255"/>
      <c r="CG109" s="255"/>
      <c r="CH109" s="255"/>
      <c r="CI109" s="255"/>
      <c r="CJ109" s="255"/>
      <c r="CK109" s="255"/>
      <c r="CL109" s="255"/>
      <c r="CM109" s="255"/>
      <c r="CN109" s="255"/>
      <c r="CO109" s="255"/>
      <c r="CP109" s="255"/>
      <c r="CQ109" s="255"/>
      <c r="CR109" s="255"/>
      <c r="CS109" s="255"/>
      <c r="CT109" s="255"/>
      <c r="CU109" s="255"/>
      <c r="CV109" s="255"/>
      <c r="CW109" s="255"/>
      <c r="CX109" s="255"/>
      <c r="CY109" s="255"/>
      <c r="CZ109" s="255"/>
      <c r="DA109" s="255"/>
      <c r="DB109" s="255"/>
      <c r="DC109" s="255"/>
      <c r="DD109" s="255"/>
      <c r="DE109" s="255"/>
      <c r="DF109" s="255"/>
      <c r="DG109" s="255"/>
      <c r="DH109" s="255"/>
      <c r="DI109" s="255"/>
      <c r="DJ109" s="255"/>
      <c r="DK109" s="255"/>
      <c r="DL109" s="255"/>
      <c r="DM109" s="255"/>
      <c r="DN109" s="255"/>
      <c r="DO109" s="255"/>
      <c r="DP109" s="255"/>
      <c r="DQ109" s="255"/>
      <c r="DR109" s="255"/>
      <c r="DS109" s="255"/>
      <c r="DT109" s="255"/>
      <c r="DU109" s="255"/>
      <c r="DV109" s="255"/>
      <c r="DW109" s="255"/>
      <c r="DX109" s="255"/>
      <c r="DY109" s="255"/>
      <c r="DZ109" s="255"/>
      <c r="EA109" s="255"/>
      <c r="EB109" s="255"/>
      <c r="EC109" s="255"/>
      <c r="ED109" s="255"/>
      <c r="EE109" s="255"/>
      <c r="EF109" s="255"/>
      <c r="EG109" s="255"/>
      <c r="EH109" s="255"/>
      <c r="EI109" s="255"/>
      <c r="EJ109" s="255"/>
      <c r="EK109" s="255"/>
      <c r="EL109" s="255"/>
      <c r="EM109" s="255"/>
      <c r="EN109" s="255"/>
      <c r="EO109" s="255"/>
      <c r="EP109" s="255"/>
      <c r="EQ109" s="255"/>
      <c r="ER109" s="255"/>
      <c r="ES109" s="255"/>
      <c r="ET109" s="255"/>
      <c r="EU109" s="255"/>
      <c r="EV109" s="255"/>
      <c r="EW109" s="255"/>
      <c r="EX109" s="255"/>
      <c r="EY109" s="255"/>
      <c r="EZ109" s="255"/>
      <c r="FA109" s="255"/>
      <c r="FB109" s="255"/>
      <c r="FC109" s="255"/>
      <c r="FD109" s="255"/>
      <c r="FE109" s="255"/>
      <c r="FF109" s="255"/>
      <c r="FG109" s="255"/>
      <c r="FH109" s="255"/>
      <c r="FI109" s="255"/>
      <c r="FJ109" s="255"/>
      <c r="FK109" s="255"/>
      <c r="FL109" s="255"/>
      <c r="FM109" s="255"/>
      <c r="FN109" s="255"/>
      <c r="FO109" s="255"/>
      <c r="FP109" s="255"/>
      <c r="FQ109" s="255"/>
      <c r="FR109" s="255"/>
      <c r="FS109" s="255"/>
      <c r="FT109" s="255"/>
      <c r="FU109" s="255"/>
      <c r="FV109" s="255"/>
      <c r="FW109" s="255"/>
      <c r="FX109" s="255"/>
      <c r="FY109" s="255"/>
      <c r="FZ109" s="255"/>
      <c r="GA109" s="255"/>
      <c r="GB109" s="255"/>
      <c r="GC109" s="255"/>
      <c r="GD109" s="255"/>
      <c r="GE109" s="255"/>
      <c r="GF109" s="255"/>
      <c r="GG109" s="255"/>
      <c r="GH109" s="255"/>
      <c r="GI109" s="255"/>
      <c r="GJ109" s="255"/>
      <c r="GK109" s="255"/>
      <c r="GL109" s="255"/>
      <c r="GM109" s="255"/>
      <c r="GN109" s="255"/>
      <c r="GO109" s="255"/>
      <c r="GP109" s="255"/>
      <c r="GQ109" s="255"/>
      <c r="GR109" s="255"/>
      <c r="GS109" s="255"/>
      <c r="GT109" s="255"/>
      <c r="GU109" s="255"/>
      <c r="GV109" s="255"/>
      <c r="GW109" s="255"/>
      <c r="GX109" s="255"/>
      <c r="GY109" s="255"/>
      <c r="GZ109" s="255"/>
      <c r="HA109" s="255"/>
      <c r="HB109" s="255"/>
      <c r="HC109" s="255"/>
      <c r="HD109" s="255"/>
      <c r="HE109" s="255"/>
      <c r="HF109" s="255"/>
      <c r="HG109" s="255"/>
      <c r="HH109" s="255"/>
      <c r="HI109" s="255"/>
      <c r="HJ109" s="255"/>
      <c r="HK109" s="255"/>
      <c r="HL109" s="255"/>
      <c r="HM109" s="255"/>
      <c r="HN109" s="255"/>
      <c r="HO109" s="255"/>
      <c r="HP109" s="255"/>
      <c r="HQ109" s="255"/>
      <c r="HR109" s="255"/>
      <c r="HS109" s="255"/>
      <c r="HT109" s="255"/>
      <c r="HU109" s="255"/>
      <c r="HV109" s="255"/>
      <c r="HW109" s="255"/>
      <c r="HX109" s="255"/>
      <c r="HY109" s="255"/>
      <c r="HZ109" s="255"/>
      <c r="IA109" s="255"/>
      <c r="IB109" s="255"/>
      <c r="IC109" s="255"/>
      <c r="ID109" s="255"/>
      <c r="IE109" s="255"/>
      <c r="IF109" s="255"/>
      <c r="IG109" s="255"/>
      <c r="IH109" s="255"/>
      <c r="II109" s="255"/>
      <c r="IJ109" s="255"/>
      <c r="IK109" s="255"/>
      <c r="IL109" s="255"/>
      <c r="IM109" s="255"/>
      <c r="IN109" s="255"/>
      <c r="IO109" s="255"/>
      <c r="IP109" s="255"/>
      <c r="IQ109" s="255"/>
      <c r="IR109" s="255"/>
      <c r="IS109" s="255"/>
      <c r="IT109" s="255"/>
      <c r="IU109" s="255"/>
      <c r="IV109" s="255"/>
      <c r="IW109" s="255"/>
      <c r="IX109" s="255"/>
      <c r="IY109" s="255"/>
      <c r="IZ109" s="255"/>
      <c r="JA109" s="255"/>
      <c r="JB109" s="255"/>
      <c r="JC109" s="255"/>
      <c r="JD109" s="255"/>
      <c r="JE109" s="255"/>
      <c r="JF109" s="255"/>
      <c r="JG109" s="255"/>
      <c r="JH109" s="255"/>
      <c r="JI109" s="255"/>
      <c r="JJ109" s="255"/>
      <c r="JK109" s="255"/>
      <c r="JL109" s="255"/>
      <c r="JM109" s="255"/>
      <c r="JN109" s="255"/>
      <c r="JO109" s="255"/>
      <c r="JP109" s="255"/>
      <c r="JQ109" s="255"/>
      <c r="JR109" s="255"/>
      <c r="JS109" s="255"/>
      <c r="JT109" s="255"/>
      <c r="JU109" s="255"/>
      <c r="JV109" s="255"/>
      <c r="JW109" s="255"/>
      <c r="JX109" s="255"/>
      <c r="JY109" s="255"/>
      <c r="JZ109" s="255"/>
      <c r="KA109" s="255"/>
      <c r="KB109" s="255"/>
      <c r="KC109" s="255"/>
      <c r="KD109" s="255"/>
      <c r="KE109" s="255"/>
      <c r="KF109" s="255"/>
      <c r="KG109" s="255"/>
      <c r="KH109" s="255"/>
      <c r="KI109" s="255"/>
      <c r="KJ109" s="255"/>
      <c r="KK109" s="255"/>
      <c r="KL109" s="255"/>
      <c r="KM109" s="255"/>
      <c r="KN109" s="255"/>
      <c r="KO109" s="255"/>
      <c r="KP109" s="255"/>
      <c r="KQ109" s="255"/>
      <c r="KR109" s="255"/>
      <c r="KS109" s="255"/>
      <c r="KT109" s="255"/>
      <c r="KU109" s="255"/>
      <c r="KV109" s="255"/>
      <c r="KW109" s="255"/>
      <c r="KX109" s="255"/>
      <c r="KY109" s="255"/>
      <c r="KZ109" s="255"/>
      <c r="LA109" s="255"/>
      <c r="LB109" s="255"/>
      <c r="LC109" s="255"/>
      <c r="LD109" s="255"/>
      <c r="LE109" s="255"/>
      <c r="LF109" s="255"/>
      <c r="LG109" s="255"/>
      <c r="LH109" s="255"/>
      <c r="LI109" s="255"/>
      <c r="LJ109" s="255"/>
      <c r="LK109" s="255"/>
      <c r="LL109" s="255"/>
      <c r="LM109" s="255"/>
      <c r="LN109" s="255"/>
      <c r="LO109" s="255"/>
      <c r="LP109" s="255"/>
      <c r="LQ109" s="255"/>
      <c r="LR109" s="255"/>
      <c r="LS109" s="255"/>
      <c r="LT109" s="255"/>
      <c r="LU109" s="255"/>
      <c r="LV109" s="255"/>
      <c r="LW109" s="255"/>
      <c r="LX109" s="255"/>
      <c r="LY109" s="255"/>
      <c r="LZ109" s="255"/>
      <c r="MA109" s="255"/>
      <c r="MB109" s="255"/>
      <c r="MC109" s="255"/>
      <c r="MD109" s="255"/>
      <c r="ME109" s="255"/>
      <c r="MF109" s="255"/>
      <c r="MG109" s="255"/>
      <c r="MH109" s="255"/>
      <c r="MI109" s="255"/>
      <c r="MJ109" s="255"/>
      <c r="MK109" s="255"/>
      <c r="ML109" s="255"/>
      <c r="MM109" s="255"/>
      <c r="MN109" s="255"/>
      <c r="MO109" s="255"/>
      <c r="MP109" s="255"/>
      <c r="MQ109" s="255"/>
      <c r="MR109" s="255"/>
      <c r="MS109" s="255"/>
      <c r="MT109" s="255"/>
      <c r="MU109" s="255"/>
      <c r="MV109" s="255"/>
      <c r="MW109" s="255"/>
      <c r="MX109" s="255"/>
      <c r="MY109" s="255"/>
      <c r="MZ109" s="255"/>
      <c r="NA109" s="255"/>
      <c r="NB109" s="255"/>
      <c r="NC109" s="255"/>
      <c r="ND109" s="255"/>
      <c r="NE109" s="255"/>
      <c r="NF109" s="255"/>
      <c r="NG109" s="255"/>
      <c r="NH109" s="255"/>
      <c r="NI109" s="255"/>
      <c r="NJ109" s="255"/>
      <c r="NK109" s="255"/>
      <c r="NL109" s="255"/>
      <c r="NM109" s="255"/>
      <c r="NN109" s="255"/>
      <c r="NO109" s="255"/>
      <c r="NP109" s="255"/>
      <c r="NQ109" s="255"/>
      <c r="NR109" s="255"/>
      <c r="NS109" s="255"/>
      <c r="NT109" s="255"/>
      <c r="NU109" s="255"/>
      <c r="NV109" s="255"/>
      <c r="NW109" s="255"/>
      <c r="NX109" s="255"/>
      <c r="NY109" s="255"/>
      <c r="NZ109" s="255"/>
      <c r="OA109" s="255"/>
      <c r="OB109" s="255"/>
      <c r="OC109" s="255"/>
      <c r="OD109" s="255"/>
      <c r="OE109" s="255"/>
      <c r="OF109" s="255"/>
      <c r="OG109" s="255"/>
      <c r="OH109" s="255"/>
      <c r="OI109" s="255"/>
      <c r="OJ109" s="255"/>
      <c r="OK109" s="255"/>
      <c r="OL109" s="255"/>
      <c r="OM109" s="255"/>
      <c r="ON109" s="255"/>
      <c r="OO109" s="255"/>
      <c r="OP109" s="255"/>
      <c r="OQ109" s="255"/>
      <c r="OR109" s="255"/>
      <c r="OS109" s="255"/>
      <c r="OT109" s="255"/>
      <c r="OU109" s="255"/>
      <c r="OV109" s="255"/>
      <c r="OW109" s="255"/>
      <c r="OX109" s="255"/>
      <c r="OY109" s="255"/>
      <c r="OZ109" s="255"/>
      <c r="PA109" s="255"/>
      <c r="PB109" s="255"/>
      <c r="PC109" s="255"/>
      <c r="PD109" s="255"/>
      <c r="PE109" s="255"/>
      <c r="PF109" s="255"/>
      <c r="PG109" s="255"/>
      <c r="PH109" s="255"/>
      <c r="PI109" s="255"/>
      <c r="PJ109" s="255"/>
      <c r="PK109" s="255"/>
      <c r="PL109" s="255"/>
      <c r="PM109" s="255"/>
      <c r="PN109" s="255"/>
      <c r="PO109" s="255"/>
      <c r="PP109" s="255"/>
      <c r="PQ109" s="255"/>
      <c r="PR109" s="255"/>
      <c r="PS109" s="255"/>
      <c r="PT109" s="255"/>
      <c r="PU109" s="255"/>
      <c r="PV109" s="255"/>
      <c r="PW109" s="255"/>
      <c r="PX109" s="255"/>
      <c r="PY109" s="255"/>
      <c r="PZ109" s="255"/>
      <c r="QA109" s="255"/>
      <c r="QB109" s="255"/>
      <c r="QC109" s="255"/>
      <c r="QD109" s="255"/>
      <c r="QE109" s="255"/>
      <c r="QF109" s="255"/>
      <c r="QG109" s="255"/>
      <c r="QH109" s="255"/>
      <c r="QI109" s="255"/>
      <c r="QJ109" s="255"/>
      <c r="QK109" s="255"/>
      <c r="QL109" s="255"/>
      <c r="QM109" s="255"/>
      <c r="QN109" s="255"/>
      <c r="QO109" s="255"/>
      <c r="QP109" s="255"/>
      <c r="QQ109" s="255"/>
      <c r="QR109" s="255"/>
      <c r="QS109" s="255"/>
      <c r="QT109" s="255"/>
      <c r="QU109" s="255"/>
      <c r="QV109" s="255"/>
      <c r="QW109" s="255"/>
      <c r="QX109" s="255"/>
      <c r="QY109" s="255"/>
      <c r="QZ109" s="255"/>
      <c r="RA109" s="255"/>
      <c r="RB109" s="255"/>
      <c r="RC109" s="255"/>
      <c r="RD109" s="255"/>
      <c r="RE109" s="255"/>
      <c r="RF109" s="255"/>
      <c r="RG109" s="255"/>
      <c r="RH109" s="255"/>
      <c r="RI109" s="255"/>
      <c r="RJ109" s="255"/>
      <c r="RK109" s="255"/>
      <c r="RL109" s="255"/>
      <c r="RM109" s="255"/>
      <c r="RN109" s="255"/>
      <c r="RO109" s="255"/>
      <c r="RP109" s="255"/>
      <c r="RQ109" s="255"/>
      <c r="RR109" s="255"/>
      <c r="RS109" s="255"/>
      <c r="RT109" s="255"/>
      <c r="RU109" s="255"/>
      <c r="RV109" s="255"/>
      <c r="RW109" s="255"/>
      <c r="RX109" s="255"/>
      <c r="RY109" s="255"/>
      <c r="RZ109" s="255"/>
      <c r="SA109" s="255"/>
      <c r="SB109" s="255"/>
      <c r="SC109" s="255"/>
      <c r="SD109" s="255"/>
      <c r="SE109" s="255"/>
      <c r="SF109" s="255"/>
      <c r="SG109" s="255"/>
      <c r="SH109" s="255"/>
      <c r="SI109" s="255"/>
      <c r="SJ109" s="255"/>
      <c r="SK109" s="255"/>
      <c r="SL109" s="255"/>
      <c r="SM109" s="255"/>
      <c r="SN109" s="255"/>
      <c r="SO109" s="255"/>
      <c r="SP109" s="255"/>
      <c r="SQ109" s="255"/>
      <c r="SR109" s="255"/>
      <c r="SS109" s="255"/>
      <c r="ST109" s="255"/>
      <c r="SU109" s="255"/>
      <c r="SV109" s="255"/>
      <c r="SW109" s="255"/>
      <c r="SX109" s="255"/>
      <c r="SY109" s="255"/>
      <c r="SZ109" s="255"/>
      <c r="TA109" s="255"/>
      <c r="TB109" s="255"/>
      <c r="TC109" s="255"/>
      <c r="TD109" s="255"/>
      <c r="TE109" s="255"/>
      <c r="TF109" s="255"/>
      <c r="TG109" s="255"/>
      <c r="TH109" s="255"/>
      <c r="TI109" s="255"/>
      <c r="TJ109" s="255"/>
      <c r="TK109" s="255"/>
      <c r="TL109" s="255"/>
      <c r="TM109" s="255"/>
      <c r="TN109" s="255"/>
      <c r="TO109" s="255"/>
      <c r="TP109" s="255"/>
      <c r="TQ109" s="255"/>
      <c r="TR109" s="255"/>
      <c r="TS109" s="255"/>
      <c r="TT109" s="255"/>
      <c r="TU109" s="255"/>
      <c r="TV109" s="255"/>
      <c r="TW109" s="255"/>
      <c r="TX109" s="255"/>
      <c r="TY109" s="255"/>
      <c r="TZ109" s="255"/>
      <c r="UA109" s="255"/>
      <c r="UB109" s="255"/>
      <c r="UC109" s="255"/>
      <c r="UD109" s="255"/>
      <c r="UE109" s="255"/>
      <c r="UF109" s="255"/>
      <c r="UG109" s="255"/>
      <c r="UH109" s="255"/>
      <c r="UI109" s="255"/>
      <c r="UJ109" s="255"/>
      <c r="UK109" s="255"/>
      <c r="UL109" s="255"/>
      <c r="UM109" s="255"/>
      <c r="UN109" s="255"/>
      <c r="UO109" s="255"/>
      <c r="UP109" s="255"/>
      <c r="UQ109" s="255"/>
      <c r="UR109" s="255"/>
      <c r="US109" s="255"/>
      <c r="UT109" s="255"/>
      <c r="UU109" s="255"/>
      <c r="UV109" s="255"/>
      <c r="UW109" s="255"/>
      <c r="UX109" s="255"/>
      <c r="UY109" s="255"/>
      <c r="UZ109" s="255"/>
      <c r="VA109" s="255"/>
      <c r="VB109" s="255"/>
      <c r="VC109" s="255"/>
      <c r="VD109" s="255"/>
      <c r="VE109" s="255"/>
      <c r="VF109" s="255"/>
      <c r="VG109" s="255"/>
      <c r="VH109" s="255"/>
      <c r="VI109" s="255"/>
      <c r="VJ109" s="255"/>
      <c r="VK109" s="255"/>
      <c r="VL109" s="255"/>
      <c r="VM109" s="255"/>
      <c r="VN109" s="255"/>
      <c r="VO109" s="255"/>
      <c r="VP109" s="255"/>
      <c r="VQ109" s="255"/>
      <c r="VR109" s="255"/>
      <c r="VS109" s="255"/>
      <c r="VT109" s="255"/>
      <c r="VU109" s="255"/>
      <c r="VV109" s="255"/>
      <c r="VW109" s="255"/>
      <c r="VX109" s="255"/>
      <c r="VY109" s="255"/>
      <c r="VZ109" s="255"/>
      <c r="WA109" s="255"/>
      <c r="WB109" s="255"/>
      <c r="WC109" s="255"/>
      <c r="WD109" s="255"/>
      <c r="WE109" s="255"/>
      <c r="WF109" s="255"/>
      <c r="WG109" s="255"/>
      <c r="WH109" s="255"/>
      <c r="WI109" s="255"/>
      <c r="WJ109" s="255"/>
      <c r="WK109" s="255"/>
      <c r="WL109" s="255"/>
      <c r="WM109" s="255"/>
      <c r="WN109" s="255"/>
      <c r="WO109" s="255"/>
      <c r="WP109" s="255"/>
      <c r="WQ109" s="255"/>
      <c r="WR109" s="255"/>
      <c r="WS109" s="255"/>
      <c r="WT109" s="255"/>
      <c r="WU109" s="255"/>
      <c r="WV109" s="255"/>
      <c r="WW109" s="255"/>
      <c r="WX109" s="255"/>
      <c r="WY109" s="255"/>
      <c r="WZ109" s="255"/>
      <c r="XA109" s="255"/>
      <c r="XB109" s="255"/>
      <c r="XC109" s="255"/>
      <c r="XD109" s="255"/>
      <c r="XE109" s="255"/>
      <c r="XF109" s="255"/>
      <c r="XG109" s="255"/>
      <c r="XH109" s="255"/>
      <c r="XI109" s="255"/>
      <c r="XJ109" s="255"/>
      <c r="XK109" s="255"/>
      <c r="XL109" s="255"/>
      <c r="XM109" s="255"/>
      <c r="XN109" s="255"/>
      <c r="XO109" s="255"/>
      <c r="XP109" s="255"/>
      <c r="XQ109" s="255"/>
      <c r="XR109" s="255"/>
      <c r="XS109" s="255"/>
      <c r="XT109" s="255"/>
      <c r="XU109" s="255"/>
      <c r="XV109" s="255"/>
      <c r="XW109" s="255"/>
      <c r="XX109" s="255"/>
      <c r="XY109" s="255"/>
      <c r="XZ109" s="255"/>
      <c r="YA109" s="255"/>
      <c r="YB109" s="255"/>
      <c r="YC109" s="255"/>
      <c r="YD109" s="255"/>
      <c r="YE109" s="255"/>
      <c r="YF109" s="255"/>
      <c r="YG109" s="255"/>
      <c r="YH109" s="255"/>
      <c r="YI109" s="255"/>
      <c r="YJ109" s="255"/>
      <c r="YK109" s="255"/>
      <c r="YL109" s="255"/>
      <c r="YM109" s="255"/>
      <c r="YN109" s="255"/>
      <c r="YO109" s="255"/>
      <c r="YP109" s="255"/>
      <c r="YQ109" s="255"/>
      <c r="YR109" s="255"/>
      <c r="YS109" s="255"/>
      <c r="YT109" s="255"/>
      <c r="YU109" s="255"/>
      <c r="YV109" s="255"/>
      <c r="YW109" s="255"/>
      <c r="YX109" s="255"/>
      <c r="YY109" s="255"/>
      <c r="YZ109" s="255"/>
      <c r="ZA109" s="255"/>
      <c r="ZB109" s="255"/>
      <c r="ZC109" s="255"/>
      <c r="ZD109" s="255"/>
      <c r="ZE109" s="255"/>
      <c r="ZF109" s="255"/>
      <c r="ZG109" s="255"/>
      <c r="ZH109" s="255"/>
      <c r="ZI109" s="255"/>
      <c r="ZJ109" s="255"/>
      <c r="ZK109" s="255"/>
      <c r="ZL109" s="255"/>
      <c r="ZM109" s="255"/>
      <c r="ZN109" s="255"/>
      <c r="ZO109" s="255"/>
      <c r="ZP109" s="255"/>
      <c r="ZQ109" s="255"/>
      <c r="ZR109" s="255"/>
      <c r="ZS109" s="255"/>
      <c r="ZT109" s="255"/>
      <c r="ZU109" s="255"/>
      <c r="ZV109" s="255"/>
      <c r="ZW109" s="255"/>
      <c r="ZX109" s="255"/>
      <c r="ZY109" s="255"/>
      <c r="ZZ109" s="255"/>
      <c r="AAA109" s="255"/>
      <c r="AAB109" s="255"/>
      <c r="AAC109" s="255"/>
      <c r="AAD109" s="255"/>
      <c r="AAE109" s="255"/>
      <c r="AAF109" s="255"/>
      <c r="AAG109" s="255"/>
      <c r="AAH109" s="255"/>
      <c r="AAI109" s="255"/>
      <c r="AAJ109" s="255"/>
      <c r="AAK109" s="255"/>
      <c r="AAL109" s="255"/>
      <c r="AAM109" s="255"/>
      <c r="AAN109" s="255"/>
      <c r="AAO109" s="255"/>
      <c r="AAP109" s="255"/>
      <c r="AAQ109" s="255"/>
      <c r="AAR109" s="255"/>
      <c r="AAS109" s="255"/>
      <c r="AAT109" s="255"/>
      <c r="AAU109" s="255"/>
      <c r="AAV109" s="255"/>
      <c r="AAW109" s="255"/>
      <c r="AAX109" s="255"/>
      <c r="AAY109" s="255"/>
      <c r="AAZ109" s="255"/>
      <c r="ABA109" s="255"/>
      <c r="ABB109" s="255"/>
      <c r="ABC109" s="255"/>
      <c r="ABD109" s="255"/>
      <c r="ABE109" s="255"/>
      <c r="ABF109" s="255"/>
      <c r="ABG109" s="255"/>
      <c r="ABH109" s="255"/>
      <c r="ABI109" s="255"/>
      <c r="ABJ109" s="255"/>
      <c r="ABK109" s="255"/>
      <c r="ABL109" s="255"/>
      <c r="ABM109" s="255"/>
      <c r="ABN109" s="255"/>
      <c r="ABO109" s="255"/>
      <c r="ABP109" s="255"/>
      <c r="ABQ109" s="255"/>
      <c r="ABR109" s="255"/>
      <c r="ABS109" s="255"/>
      <c r="ABT109" s="255"/>
      <c r="ABU109" s="255"/>
      <c r="ABV109" s="255"/>
      <c r="ABW109" s="255"/>
      <c r="ABX109" s="255"/>
      <c r="ABY109" s="255"/>
      <c r="ABZ109" s="255"/>
      <c r="ACA109" s="255"/>
      <c r="ACB109" s="255"/>
      <c r="ACC109" s="255"/>
      <c r="ACD109" s="255"/>
      <c r="ACE109" s="255"/>
      <c r="ACF109" s="255"/>
      <c r="ACG109" s="255"/>
      <c r="ACH109" s="255"/>
      <c r="ACI109" s="255"/>
      <c r="ACJ109" s="255"/>
      <c r="ACK109" s="255"/>
      <c r="ACL109" s="255"/>
      <c r="ACM109" s="255"/>
      <c r="ACN109" s="255"/>
      <c r="ACO109" s="255"/>
      <c r="ACP109" s="255"/>
      <c r="ACQ109" s="255"/>
      <c r="ACR109" s="255"/>
      <c r="ACS109" s="255"/>
      <c r="ACT109" s="255"/>
      <c r="ACU109" s="255"/>
      <c r="ACV109" s="255"/>
      <c r="ACW109" s="255"/>
      <c r="ACX109" s="255"/>
      <c r="ACY109" s="255"/>
      <c r="ACZ109" s="255"/>
      <c r="ADA109" s="255"/>
      <c r="ADB109" s="255"/>
      <c r="ADC109" s="255"/>
      <c r="ADD109" s="255"/>
      <c r="ADE109" s="255"/>
      <c r="ADF109" s="255"/>
      <c r="ADG109" s="255"/>
      <c r="ADH109" s="255"/>
      <c r="ADI109" s="255"/>
      <c r="ADJ109" s="255"/>
      <c r="ADK109" s="255"/>
      <c r="ADL109" s="255"/>
      <c r="ADM109" s="255"/>
      <c r="ADN109" s="255"/>
      <c r="ADO109" s="255"/>
      <c r="ADP109" s="255"/>
      <c r="ADQ109" s="255"/>
      <c r="ADR109" s="255"/>
      <c r="ADS109" s="255"/>
      <c r="ADT109" s="255"/>
      <c r="ADU109" s="255"/>
      <c r="ADV109" s="255"/>
      <c r="ADW109" s="255"/>
      <c r="ADX109" s="255"/>
      <c r="ADY109" s="255"/>
      <c r="ADZ109" s="255"/>
      <c r="AEA109" s="255"/>
      <c r="AEB109" s="255"/>
      <c r="AEC109" s="255"/>
      <c r="AED109" s="255"/>
      <c r="AEE109" s="255"/>
      <c r="AEF109" s="255"/>
      <c r="AEG109" s="255"/>
      <c r="AEH109" s="255"/>
      <c r="AEI109" s="255"/>
      <c r="AEJ109" s="255"/>
      <c r="AEK109" s="255"/>
      <c r="AEL109" s="255"/>
      <c r="AEM109" s="255"/>
      <c r="AEN109" s="255"/>
      <c r="AEO109" s="255"/>
      <c r="AEP109" s="255"/>
      <c r="AEQ109" s="255"/>
      <c r="AER109" s="255"/>
      <c r="AES109" s="255"/>
      <c r="AET109" s="255"/>
      <c r="AEU109" s="255"/>
      <c r="AEV109" s="255"/>
      <c r="AEW109" s="255"/>
      <c r="AEX109" s="255"/>
      <c r="AEY109" s="255"/>
      <c r="AEZ109" s="255"/>
      <c r="AFA109" s="255"/>
      <c r="AFB109" s="255"/>
      <c r="AFC109" s="255"/>
      <c r="AFD109" s="255"/>
      <c r="AFE109" s="255"/>
      <c r="AFF109" s="255"/>
      <c r="AFG109" s="255"/>
      <c r="AFH109" s="255"/>
      <c r="AFI109" s="255"/>
      <c r="AFJ109" s="255"/>
      <c r="AFK109" s="255"/>
      <c r="AFL109" s="255"/>
      <c r="AFM109" s="255"/>
      <c r="AFN109" s="255"/>
      <c r="AFO109" s="255"/>
      <c r="AFP109" s="255"/>
      <c r="AFQ109" s="255"/>
      <c r="AFR109" s="255"/>
      <c r="AFS109" s="255"/>
      <c r="AFT109" s="255"/>
      <c r="AFU109" s="255"/>
      <c r="AFV109" s="255"/>
      <c r="AFW109" s="255"/>
      <c r="AFX109" s="255"/>
      <c r="AFY109" s="255"/>
      <c r="AFZ109" s="255"/>
      <c r="AGA109" s="255"/>
      <c r="AGB109" s="255"/>
      <c r="AGC109" s="255"/>
      <c r="AGD109" s="255"/>
      <c r="AGE109" s="255"/>
      <c r="AGF109" s="255"/>
      <c r="AGG109" s="255"/>
      <c r="AGH109" s="255"/>
      <c r="AGI109" s="255"/>
      <c r="AGJ109" s="255"/>
      <c r="AGK109" s="255"/>
      <c r="AGL109" s="255"/>
      <c r="AGM109" s="255"/>
      <c r="AGN109" s="255"/>
      <c r="AGO109" s="255"/>
      <c r="AGP109" s="255"/>
      <c r="AGQ109" s="255"/>
      <c r="AGR109" s="255"/>
      <c r="AGS109" s="255"/>
      <c r="AGT109" s="255"/>
      <c r="AGU109" s="255"/>
      <c r="AGV109" s="255"/>
      <c r="AGW109" s="255"/>
      <c r="AGX109" s="255"/>
      <c r="AGY109" s="255"/>
      <c r="AGZ109" s="255"/>
      <c r="AHA109" s="255"/>
      <c r="AHB109" s="255"/>
      <c r="AHC109" s="255"/>
      <c r="AHD109" s="255"/>
      <c r="AHE109" s="255"/>
      <c r="AHF109" s="255"/>
      <c r="AHG109" s="255"/>
      <c r="AHH109" s="255"/>
      <c r="AHI109" s="255"/>
      <c r="AHJ109" s="255"/>
      <c r="AHK109" s="255"/>
      <c r="AHL109" s="255"/>
      <c r="AHM109" s="255"/>
      <c r="AHN109" s="255"/>
      <c r="AHO109" s="255"/>
      <c r="AHP109" s="255"/>
      <c r="AHQ109" s="255"/>
      <c r="AHR109" s="255"/>
      <c r="AHS109" s="255"/>
      <c r="AHT109" s="255"/>
      <c r="AHU109" s="255"/>
      <c r="AHV109" s="255"/>
      <c r="AHW109" s="255"/>
      <c r="AHX109" s="255"/>
      <c r="AHY109" s="255"/>
      <c r="AHZ109" s="255"/>
      <c r="AIA109" s="255"/>
      <c r="AIB109" s="255"/>
      <c r="AIC109" s="255"/>
      <c r="AID109" s="255"/>
      <c r="AIE109" s="255"/>
      <c r="AIF109" s="255"/>
      <c r="AIG109" s="255"/>
      <c r="AIH109" s="255"/>
      <c r="AII109" s="255"/>
      <c r="AIJ109" s="255"/>
      <c r="AIK109" s="255"/>
      <c r="AIL109" s="255"/>
      <c r="AIM109" s="255"/>
      <c r="AIN109" s="255"/>
      <c r="AIO109" s="255"/>
      <c r="AIP109" s="255"/>
      <c r="AIQ109" s="255"/>
      <c r="AIR109" s="255"/>
      <c r="AIS109" s="255"/>
      <c r="AIT109" s="255"/>
      <c r="AIU109" s="255"/>
      <c r="AIV109" s="255"/>
      <c r="AIW109" s="255"/>
      <c r="AIX109" s="255"/>
      <c r="AIY109" s="255"/>
      <c r="AIZ109" s="255"/>
      <c r="AJA109" s="255"/>
      <c r="AJB109" s="255"/>
      <c r="AJC109" s="255"/>
      <c r="AJD109" s="255"/>
      <c r="AJE109" s="255"/>
      <c r="AJF109" s="255"/>
      <c r="AJG109" s="255"/>
      <c r="AJH109" s="255"/>
      <c r="AJI109" s="255"/>
      <c r="AJJ109" s="255"/>
      <c r="AJK109" s="255"/>
      <c r="AJL109" s="255"/>
      <c r="AJM109" s="255"/>
      <c r="AJN109" s="255"/>
      <c r="AJO109" s="255"/>
      <c r="AJP109" s="255"/>
      <c r="AJQ109" s="255"/>
      <c r="AJR109" s="255"/>
      <c r="AJS109" s="255"/>
      <c r="AJT109" s="255"/>
      <c r="AJU109" s="255"/>
      <c r="AJV109" s="255"/>
      <c r="AJW109" s="255"/>
      <c r="AJX109" s="255"/>
      <c r="AJY109" s="255"/>
      <c r="AJZ109" s="255"/>
      <c r="AKA109" s="255"/>
      <c r="AKB109" s="255"/>
      <c r="AKC109" s="255"/>
      <c r="AKD109" s="255"/>
      <c r="AKE109" s="255"/>
      <c r="AKF109" s="255"/>
      <c r="AKG109" s="255"/>
      <c r="AKH109" s="255"/>
      <c r="AKI109" s="255"/>
      <c r="AKJ109" s="255"/>
      <c r="AKK109" s="255"/>
      <c r="AKL109" s="255"/>
      <c r="AKM109" s="255"/>
      <c r="AKN109" s="255"/>
      <c r="AKO109" s="255"/>
      <c r="AKP109" s="255"/>
      <c r="AKQ109" s="255"/>
      <c r="AKR109" s="255"/>
      <c r="AKS109" s="255"/>
      <c r="AKT109" s="255"/>
      <c r="AKU109" s="255"/>
      <c r="AKV109" s="255"/>
      <c r="AKW109" s="255"/>
      <c r="AKX109" s="255"/>
      <c r="AKY109" s="255"/>
      <c r="AKZ109" s="255"/>
      <c r="ALA109" s="255"/>
      <c r="ALB109" s="255"/>
      <c r="ALC109" s="255"/>
      <c r="ALD109" s="255"/>
      <c r="ALE109" s="42"/>
      <c r="ALF109" s="42"/>
      <c r="ALG109" s="42"/>
      <c r="ALH109" s="42"/>
      <c r="ALI109" s="42"/>
      <c r="ALJ109" s="42"/>
      <c r="ALK109" s="42"/>
      <c r="ALL109" s="42"/>
      <c r="ALM109" s="42"/>
    </row>
    <row r="110" spans="1:1008" s="191" customFormat="1" ht="12.75" customHeight="1">
      <c r="A110" s="680" t="s">
        <v>7103</v>
      </c>
      <c r="B110" s="680"/>
      <c r="C110" s="680"/>
      <c r="D110" s="680"/>
      <c r="E110" s="680"/>
      <c r="F110" s="680"/>
      <c r="G110" s="680"/>
      <c r="H110" s="680"/>
      <c r="I110" s="680"/>
      <c r="J110" s="577">
        <f>SUMPRODUCT($E$11:$E$107,$G$11:$G$107)+SUMPRODUCT($E$11:$E$107,$H$11:$H$107)</f>
        <v>31494.564450846661</v>
      </c>
      <c r="K110" s="255"/>
      <c r="L110" s="255"/>
      <c r="M110" s="255"/>
      <c r="N110" s="255"/>
      <c r="O110" s="255"/>
      <c r="P110" s="255"/>
      <c r="Q110" s="255"/>
      <c r="R110" s="255"/>
      <c r="S110" s="255"/>
      <c r="T110" s="255"/>
      <c r="U110" s="255"/>
      <c r="V110" s="255"/>
      <c r="W110" s="255"/>
      <c r="X110" s="255"/>
      <c r="Y110" s="255"/>
      <c r="Z110" s="255"/>
      <c r="AA110" s="255"/>
      <c r="AB110" s="255"/>
      <c r="AC110" s="255"/>
      <c r="AD110" s="255"/>
      <c r="AE110" s="255"/>
      <c r="AF110" s="255"/>
      <c r="AG110" s="255"/>
      <c r="AH110" s="255"/>
      <c r="AI110" s="255"/>
      <c r="AJ110" s="255"/>
      <c r="AK110" s="255"/>
      <c r="AL110" s="255"/>
      <c r="AM110" s="255"/>
      <c r="AN110" s="255"/>
      <c r="AO110" s="255"/>
      <c r="AP110" s="255"/>
      <c r="AQ110" s="255"/>
      <c r="AR110" s="255"/>
      <c r="AS110" s="255"/>
      <c r="AT110" s="255"/>
      <c r="AU110" s="255"/>
      <c r="AV110" s="255"/>
      <c r="AW110" s="255"/>
      <c r="AX110" s="255"/>
      <c r="AY110" s="255"/>
      <c r="AZ110" s="255"/>
      <c r="BA110" s="255"/>
      <c r="BB110" s="255"/>
      <c r="BC110" s="255"/>
      <c r="BD110" s="255"/>
      <c r="BE110" s="255"/>
      <c r="BF110" s="255"/>
      <c r="BG110" s="255"/>
      <c r="BH110" s="255"/>
      <c r="BI110" s="255"/>
      <c r="BJ110" s="255"/>
      <c r="BK110" s="255"/>
      <c r="BL110" s="255"/>
      <c r="BM110" s="255"/>
      <c r="BN110" s="255"/>
      <c r="BO110" s="255"/>
      <c r="BP110" s="255"/>
      <c r="BQ110" s="255"/>
      <c r="BR110" s="255"/>
      <c r="BS110" s="255"/>
      <c r="BT110" s="255"/>
      <c r="BU110" s="255"/>
      <c r="BV110" s="255"/>
      <c r="BW110" s="255"/>
      <c r="BX110" s="255"/>
      <c r="BY110" s="255"/>
      <c r="BZ110" s="255"/>
      <c r="CA110" s="255"/>
      <c r="CB110" s="255"/>
      <c r="CC110" s="255"/>
      <c r="CD110" s="255"/>
      <c r="CE110" s="255"/>
      <c r="CF110" s="255"/>
      <c r="CG110" s="255"/>
      <c r="CH110" s="255"/>
      <c r="CI110" s="255"/>
      <c r="CJ110" s="255"/>
      <c r="CK110" s="255"/>
      <c r="CL110" s="255"/>
      <c r="CM110" s="255"/>
      <c r="CN110" s="255"/>
      <c r="CO110" s="255"/>
      <c r="CP110" s="255"/>
      <c r="CQ110" s="255"/>
      <c r="CR110" s="255"/>
      <c r="CS110" s="255"/>
      <c r="CT110" s="255"/>
      <c r="CU110" s="255"/>
      <c r="CV110" s="255"/>
      <c r="CW110" s="255"/>
      <c r="CX110" s="255"/>
      <c r="CY110" s="255"/>
      <c r="CZ110" s="255"/>
      <c r="DA110" s="255"/>
      <c r="DB110" s="255"/>
      <c r="DC110" s="255"/>
      <c r="DD110" s="255"/>
      <c r="DE110" s="255"/>
      <c r="DF110" s="255"/>
      <c r="DG110" s="255"/>
      <c r="DH110" s="255"/>
      <c r="DI110" s="255"/>
      <c r="DJ110" s="255"/>
      <c r="DK110" s="255"/>
      <c r="DL110" s="255"/>
      <c r="DM110" s="255"/>
      <c r="DN110" s="255"/>
      <c r="DO110" s="255"/>
      <c r="DP110" s="255"/>
      <c r="DQ110" s="255"/>
      <c r="DR110" s="255"/>
      <c r="DS110" s="255"/>
      <c r="DT110" s="255"/>
      <c r="DU110" s="255"/>
      <c r="DV110" s="255"/>
      <c r="DW110" s="255"/>
      <c r="DX110" s="255"/>
      <c r="DY110" s="255"/>
      <c r="DZ110" s="255"/>
      <c r="EA110" s="255"/>
      <c r="EB110" s="255"/>
      <c r="EC110" s="255"/>
      <c r="ED110" s="255"/>
      <c r="EE110" s="255"/>
      <c r="EF110" s="255"/>
      <c r="EG110" s="255"/>
      <c r="EH110" s="255"/>
      <c r="EI110" s="255"/>
      <c r="EJ110" s="255"/>
      <c r="EK110" s="255"/>
      <c r="EL110" s="255"/>
      <c r="EM110" s="255"/>
      <c r="EN110" s="255"/>
      <c r="EO110" s="255"/>
      <c r="EP110" s="255"/>
      <c r="EQ110" s="255"/>
      <c r="ER110" s="255"/>
      <c r="ES110" s="255"/>
      <c r="ET110" s="255"/>
      <c r="EU110" s="255"/>
      <c r="EV110" s="255"/>
      <c r="EW110" s="255"/>
      <c r="EX110" s="255"/>
      <c r="EY110" s="255"/>
      <c r="EZ110" s="255"/>
      <c r="FA110" s="255"/>
      <c r="FB110" s="255"/>
      <c r="FC110" s="255"/>
      <c r="FD110" s="255"/>
      <c r="FE110" s="255"/>
      <c r="FF110" s="255"/>
      <c r="FG110" s="255"/>
      <c r="FH110" s="255"/>
      <c r="FI110" s="255"/>
      <c r="FJ110" s="255"/>
      <c r="FK110" s="255"/>
      <c r="FL110" s="255"/>
      <c r="FM110" s="255"/>
      <c r="FN110" s="255"/>
      <c r="FO110" s="255"/>
      <c r="FP110" s="255"/>
      <c r="FQ110" s="255"/>
      <c r="FR110" s="255"/>
      <c r="FS110" s="255"/>
      <c r="FT110" s="255"/>
      <c r="FU110" s="255"/>
      <c r="FV110" s="255"/>
      <c r="FW110" s="255"/>
      <c r="FX110" s="255"/>
      <c r="FY110" s="255"/>
      <c r="FZ110" s="255"/>
      <c r="GA110" s="255"/>
      <c r="GB110" s="255"/>
      <c r="GC110" s="255"/>
      <c r="GD110" s="255"/>
      <c r="GE110" s="255"/>
      <c r="GF110" s="255"/>
      <c r="GG110" s="255"/>
      <c r="GH110" s="255"/>
      <c r="GI110" s="255"/>
      <c r="GJ110" s="255"/>
      <c r="GK110" s="255"/>
      <c r="GL110" s="255"/>
      <c r="GM110" s="255"/>
      <c r="GN110" s="255"/>
      <c r="GO110" s="255"/>
      <c r="GP110" s="255"/>
      <c r="GQ110" s="255"/>
      <c r="GR110" s="255"/>
      <c r="GS110" s="255"/>
      <c r="GT110" s="255"/>
      <c r="GU110" s="255"/>
      <c r="GV110" s="255"/>
      <c r="GW110" s="255"/>
      <c r="GX110" s="255"/>
      <c r="GY110" s="255"/>
      <c r="GZ110" s="255"/>
      <c r="HA110" s="255"/>
      <c r="HB110" s="255"/>
      <c r="HC110" s="255"/>
      <c r="HD110" s="255"/>
      <c r="HE110" s="255"/>
      <c r="HF110" s="255"/>
      <c r="HG110" s="255"/>
      <c r="HH110" s="255"/>
      <c r="HI110" s="255"/>
      <c r="HJ110" s="255"/>
      <c r="HK110" s="255"/>
      <c r="HL110" s="255"/>
      <c r="HM110" s="255"/>
      <c r="HN110" s="255"/>
      <c r="HO110" s="255"/>
      <c r="HP110" s="255"/>
      <c r="HQ110" s="255"/>
      <c r="HR110" s="255"/>
      <c r="HS110" s="255"/>
      <c r="HT110" s="255"/>
      <c r="HU110" s="255"/>
      <c r="HV110" s="255"/>
      <c r="HW110" s="255"/>
      <c r="HX110" s="255"/>
      <c r="HY110" s="255"/>
      <c r="HZ110" s="255"/>
      <c r="IA110" s="255"/>
      <c r="IB110" s="255"/>
      <c r="IC110" s="255"/>
      <c r="ID110" s="255"/>
      <c r="IE110" s="255"/>
      <c r="IF110" s="255"/>
      <c r="IG110" s="255"/>
      <c r="IH110" s="255"/>
      <c r="II110" s="255"/>
      <c r="IJ110" s="255"/>
      <c r="IK110" s="255"/>
      <c r="IL110" s="255"/>
      <c r="IM110" s="255"/>
      <c r="IN110" s="255"/>
      <c r="IO110" s="255"/>
      <c r="IP110" s="255"/>
      <c r="IQ110" s="255"/>
      <c r="IR110" s="255"/>
      <c r="IS110" s="255"/>
      <c r="IT110" s="255"/>
      <c r="IU110" s="255"/>
      <c r="IV110" s="255"/>
      <c r="IW110" s="255"/>
      <c r="IX110" s="255"/>
      <c r="IY110" s="255"/>
      <c r="IZ110" s="255"/>
      <c r="JA110" s="255"/>
      <c r="JB110" s="255"/>
      <c r="JC110" s="255"/>
      <c r="JD110" s="255"/>
      <c r="JE110" s="255"/>
      <c r="JF110" s="255"/>
      <c r="JG110" s="255"/>
      <c r="JH110" s="255"/>
      <c r="JI110" s="255"/>
      <c r="JJ110" s="255"/>
      <c r="JK110" s="255"/>
      <c r="JL110" s="255"/>
      <c r="JM110" s="255"/>
      <c r="JN110" s="255"/>
      <c r="JO110" s="255"/>
      <c r="JP110" s="255"/>
      <c r="JQ110" s="255"/>
      <c r="JR110" s="255"/>
      <c r="JS110" s="255"/>
      <c r="JT110" s="255"/>
      <c r="JU110" s="255"/>
      <c r="JV110" s="255"/>
      <c r="JW110" s="255"/>
      <c r="JX110" s="255"/>
      <c r="JY110" s="255"/>
      <c r="JZ110" s="255"/>
      <c r="KA110" s="255"/>
      <c r="KB110" s="255"/>
      <c r="KC110" s="255"/>
      <c r="KD110" s="255"/>
      <c r="KE110" s="255"/>
      <c r="KF110" s="255"/>
      <c r="KG110" s="255"/>
      <c r="KH110" s="255"/>
      <c r="KI110" s="255"/>
      <c r="KJ110" s="255"/>
      <c r="KK110" s="255"/>
      <c r="KL110" s="255"/>
      <c r="KM110" s="255"/>
      <c r="KN110" s="255"/>
      <c r="KO110" s="255"/>
      <c r="KP110" s="255"/>
      <c r="KQ110" s="255"/>
      <c r="KR110" s="255"/>
      <c r="KS110" s="255"/>
      <c r="KT110" s="255"/>
      <c r="KU110" s="255"/>
      <c r="KV110" s="255"/>
      <c r="KW110" s="255"/>
      <c r="KX110" s="255"/>
      <c r="KY110" s="255"/>
      <c r="KZ110" s="255"/>
      <c r="LA110" s="255"/>
      <c r="LB110" s="255"/>
      <c r="LC110" s="255"/>
      <c r="LD110" s="255"/>
      <c r="LE110" s="255"/>
      <c r="LF110" s="255"/>
      <c r="LG110" s="255"/>
      <c r="LH110" s="255"/>
      <c r="LI110" s="255"/>
      <c r="LJ110" s="255"/>
      <c r="LK110" s="255"/>
      <c r="LL110" s="255"/>
      <c r="LM110" s="255"/>
      <c r="LN110" s="255"/>
      <c r="LO110" s="255"/>
      <c r="LP110" s="255"/>
      <c r="LQ110" s="255"/>
      <c r="LR110" s="255"/>
      <c r="LS110" s="255"/>
      <c r="LT110" s="255"/>
      <c r="LU110" s="255"/>
      <c r="LV110" s="255"/>
      <c r="LW110" s="255"/>
      <c r="LX110" s="255"/>
      <c r="LY110" s="255"/>
      <c r="LZ110" s="255"/>
      <c r="MA110" s="255"/>
      <c r="MB110" s="255"/>
      <c r="MC110" s="255"/>
      <c r="MD110" s="255"/>
      <c r="ME110" s="255"/>
      <c r="MF110" s="255"/>
      <c r="MG110" s="255"/>
      <c r="MH110" s="255"/>
      <c r="MI110" s="255"/>
      <c r="MJ110" s="255"/>
      <c r="MK110" s="255"/>
      <c r="ML110" s="255"/>
      <c r="MM110" s="255"/>
      <c r="MN110" s="255"/>
      <c r="MO110" s="255"/>
      <c r="MP110" s="255"/>
      <c r="MQ110" s="255"/>
      <c r="MR110" s="255"/>
      <c r="MS110" s="255"/>
      <c r="MT110" s="255"/>
      <c r="MU110" s="255"/>
      <c r="MV110" s="255"/>
      <c r="MW110" s="255"/>
      <c r="MX110" s="255"/>
      <c r="MY110" s="255"/>
      <c r="MZ110" s="255"/>
      <c r="NA110" s="255"/>
      <c r="NB110" s="255"/>
      <c r="NC110" s="255"/>
      <c r="ND110" s="255"/>
      <c r="NE110" s="255"/>
      <c r="NF110" s="255"/>
      <c r="NG110" s="255"/>
      <c r="NH110" s="255"/>
      <c r="NI110" s="255"/>
      <c r="NJ110" s="255"/>
      <c r="NK110" s="255"/>
      <c r="NL110" s="255"/>
      <c r="NM110" s="255"/>
      <c r="NN110" s="255"/>
      <c r="NO110" s="255"/>
      <c r="NP110" s="255"/>
      <c r="NQ110" s="255"/>
      <c r="NR110" s="255"/>
      <c r="NS110" s="255"/>
      <c r="NT110" s="255"/>
      <c r="NU110" s="255"/>
      <c r="NV110" s="255"/>
      <c r="NW110" s="255"/>
      <c r="NX110" s="255"/>
      <c r="NY110" s="255"/>
      <c r="NZ110" s="255"/>
      <c r="OA110" s="255"/>
      <c r="OB110" s="255"/>
      <c r="OC110" s="255"/>
      <c r="OD110" s="255"/>
      <c r="OE110" s="255"/>
      <c r="OF110" s="255"/>
      <c r="OG110" s="255"/>
      <c r="OH110" s="255"/>
      <c r="OI110" s="255"/>
      <c r="OJ110" s="255"/>
      <c r="OK110" s="255"/>
      <c r="OL110" s="255"/>
      <c r="OM110" s="255"/>
      <c r="ON110" s="255"/>
      <c r="OO110" s="255"/>
      <c r="OP110" s="255"/>
      <c r="OQ110" s="255"/>
      <c r="OR110" s="255"/>
      <c r="OS110" s="255"/>
      <c r="OT110" s="255"/>
      <c r="OU110" s="255"/>
      <c r="OV110" s="255"/>
      <c r="OW110" s="255"/>
      <c r="OX110" s="255"/>
      <c r="OY110" s="255"/>
      <c r="OZ110" s="255"/>
      <c r="PA110" s="255"/>
      <c r="PB110" s="255"/>
      <c r="PC110" s="255"/>
      <c r="PD110" s="255"/>
      <c r="PE110" s="255"/>
      <c r="PF110" s="255"/>
      <c r="PG110" s="255"/>
      <c r="PH110" s="255"/>
      <c r="PI110" s="255"/>
      <c r="PJ110" s="255"/>
      <c r="PK110" s="255"/>
      <c r="PL110" s="255"/>
      <c r="PM110" s="255"/>
      <c r="PN110" s="255"/>
      <c r="PO110" s="255"/>
      <c r="PP110" s="255"/>
      <c r="PQ110" s="255"/>
      <c r="PR110" s="255"/>
      <c r="PS110" s="255"/>
      <c r="PT110" s="255"/>
      <c r="PU110" s="255"/>
      <c r="PV110" s="255"/>
      <c r="PW110" s="255"/>
      <c r="PX110" s="255"/>
      <c r="PY110" s="255"/>
      <c r="PZ110" s="255"/>
      <c r="QA110" s="255"/>
      <c r="QB110" s="255"/>
      <c r="QC110" s="255"/>
      <c r="QD110" s="255"/>
      <c r="QE110" s="255"/>
      <c r="QF110" s="255"/>
      <c r="QG110" s="255"/>
      <c r="QH110" s="255"/>
      <c r="QI110" s="255"/>
      <c r="QJ110" s="255"/>
      <c r="QK110" s="255"/>
      <c r="QL110" s="255"/>
      <c r="QM110" s="255"/>
      <c r="QN110" s="255"/>
      <c r="QO110" s="255"/>
      <c r="QP110" s="255"/>
      <c r="QQ110" s="255"/>
      <c r="QR110" s="255"/>
      <c r="QS110" s="255"/>
      <c r="QT110" s="255"/>
      <c r="QU110" s="255"/>
      <c r="QV110" s="255"/>
      <c r="QW110" s="255"/>
      <c r="QX110" s="255"/>
      <c r="QY110" s="255"/>
      <c r="QZ110" s="255"/>
      <c r="RA110" s="255"/>
      <c r="RB110" s="255"/>
      <c r="RC110" s="255"/>
      <c r="RD110" s="255"/>
      <c r="RE110" s="255"/>
      <c r="RF110" s="255"/>
      <c r="RG110" s="255"/>
      <c r="RH110" s="255"/>
      <c r="RI110" s="255"/>
      <c r="RJ110" s="255"/>
      <c r="RK110" s="255"/>
      <c r="RL110" s="255"/>
      <c r="RM110" s="255"/>
      <c r="RN110" s="255"/>
      <c r="RO110" s="255"/>
      <c r="RP110" s="255"/>
      <c r="RQ110" s="255"/>
      <c r="RR110" s="255"/>
      <c r="RS110" s="255"/>
      <c r="RT110" s="255"/>
      <c r="RU110" s="255"/>
      <c r="RV110" s="255"/>
      <c r="RW110" s="255"/>
      <c r="RX110" s="255"/>
      <c r="RY110" s="255"/>
      <c r="RZ110" s="255"/>
      <c r="SA110" s="255"/>
      <c r="SB110" s="255"/>
      <c r="SC110" s="255"/>
      <c r="SD110" s="255"/>
      <c r="SE110" s="255"/>
      <c r="SF110" s="255"/>
      <c r="SG110" s="255"/>
      <c r="SH110" s="255"/>
      <c r="SI110" s="255"/>
      <c r="SJ110" s="255"/>
      <c r="SK110" s="255"/>
      <c r="SL110" s="255"/>
      <c r="SM110" s="255"/>
      <c r="SN110" s="255"/>
      <c r="SO110" s="255"/>
      <c r="SP110" s="255"/>
      <c r="SQ110" s="255"/>
      <c r="SR110" s="255"/>
      <c r="SS110" s="255"/>
      <c r="ST110" s="255"/>
      <c r="SU110" s="255"/>
      <c r="SV110" s="255"/>
      <c r="SW110" s="255"/>
      <c r="SX110" s="255"/>
      <c r="SY110" s="255"/>
      <c r="SZ110" s="255"/>
      <c r="TA110" s="255"/>
      <c r="TB110" s="255"/>
      <c r="TC110" s="255"/>
      <c r="TD110" s="255"/>
      <c r="TE110" s="255"/>
      <c r="TF110" s="255"/>
      <c r="TG110" s="255"/>
      <c r="TH110" s="255"/>
      <c r="TI110" s="255"/>
      <c r="TJ110" s="255"/>
      <c r="TK110" s="255"/>
      <c r="TL110" s="255"/>
      <c r="TM110" s="255"/>
      <c r="TN110" s="255"/>
      <c r="TO110" s="255"/>
      <c r="TP110" s="255"/>
      <c r="TQ110" s="255"/>
      <c r="TR110" s="255"/>
      <c r="TS110" s="255"/>
      <c r="TT110" s="255"/>
      <c r="TU110" s="255"/>
      <c r="TV110" s="255"/>
      <c r="TW110" s="255"/>
      <c r="TX110" s="255"/>
      <c r="TY110" s="255"/>
      <c r="TZ110" s="255"/>
      <c r="UA110" s="255"/>
      <c r="UB110" s="255"/>
      <c r="UC110" s="255"/>
      <c r="UD110" s="255"/>
      <c r="UE110" s="255"/>
      <c r="UF110" s="255"/>
      <c r="UG110" s="255"/>
      <c r="UH110" s="255"/>
      <c r="UI110" s="255"/>
      <c r="UJ110" s="255"/>
      <c r="UK110" s="255"/>
      <c r="UL110" s="255"/>
      <c r="UM110" s="255"/>
      <c r="UN110" s="255"/>
      <c r="UO110" s="255"/>
      <c r="UP110" s="255"/>
      <c r="UQ110" s="255"/>
      <c r="UR110" s="255"/>
      <c r="US110" s="255"/>
      <c r="UT110" s="255"/>
      <c r="UU110" s="255"/>
      <c r="UV110" s="255"/>
      <c r="UW110" s="255"/>
      <c r="UX110" s="255"/>
      <c r="UY110" s="255"/>
      <c r="UZ110" s="255"/>
      <c r="VA110" s="255"/>
      <c r="VB110" s="255"/>
      <c r="VC110" s="255"/>
      <c r="VD110" s="255"/>
      <c r="VE110" s="255"/>
      <c r="VF110" s="255"/>
      <c r="VG110" s="255"/>
      <c r="VH110" s="255"/>
      <c r="VI110" s="255"/>
      <c r="VJ110" s="255"/>
      <c r="VK110" s="255"/>
      <c r="VL110" s="255"/>
      <c r="VM110" s="255"/>
      <c r="VN110" s="255"/>
      <c r="VO110" s="255"/>
      <c r="VP110" s="255"/>
      <c r="VQ110" s="255"/>
      <c r="VR110" s="255"/>
      <c r="VS110" s="255"/>
      <c r="VT110" s="255"/>
      <c r="VU110" s="255"/>
      <c r="VV110" s="255"/>
      <c r="VW110" s="255"/>
      <c r="VX110" s="255"/>
      <c r="VY110" s="255"/>
      <c r="VZ110" s="255"/>
      <c r="WA110" s="255"/>
      <c r="WB110" s="255"/>
      <c r="WC110" s="255"/>
      <c r="WD110" s="255"/>
      <c r="WE110" s="255"/>
      <c r="WF110" s="255"/>
      <c r="WG110" s="255"/>
      <c r="WH110" s="255"/>
      <c r="WI110" s="255"/>
      <c r="WJ110" s="255"/>
      <c r="WK110" s="255"/>
      <c r="WL110" s="255"/>
      <c r="WM110" s="255"/>
      <c r="WN110" s="255"/>
      <c r="WO110" s="255"/>
      <c r="WP110" s="255"/>
      <c r="WQ110" s="255"/>
      <c r="WR110" s="255"/>
      <c r="WS110" s="255"/>
      <c r="WT110" s="255"/>
      <c r="WU110" s="255"/>
      <c r="WV110" s="255"/>
      <c r="WW110" s="255"/>
      <c r="WX110" s="255"/>
      <c r="WY110" s="255"/>
      <c r="WZ110" s="255"/>
      <c r="XA110" s="255"/>
      <c r="XB110" s="255"/>
      <c r="XC110" s="255"/>
      <c r="XD110" s="255"/>
      <c r="XE110" s="255"/>
      <c r="XF110" s="255"/>
      <c r="XG110" s="255"/>
      <c r="XH110" s="255"/>
      <c r="XI110" s="255"/>
      <c r="XJ110" s="255"/>
      <c r="XK110" s="255"/>
      <c r="XL110" s="255"/>
      <c r="XM110" s="255"/>
      <c r="XN110" s="255"/>
      <c r="XO110" s="255"/>
      <c r="XP110" s="255"/>
      <c r="XQ110" s="255"/>
      <c r="XR110" s="255"/>
      <c r="XS110" s="255"/>
      <c r="XT110" s="255"/>
      <c r="XU110" s="255"/>
      <c r="XV110" s="255"/>
      <c r="XW110" s="255"/>
      <c r="XX110" s="255"/>
      <c r="XY110" s="255"/>
      <c r="XZ110" s="255"/>
      <c r="YA110" s="255"/>
      <c r="YB110" s="255"/>
      <c r="YC110" s="255"/>
      <c r="YD110" s="255"/>
      <c r="YE110" s="255"/>
      <c r="YF110" s="255"/>
      <c r="YG110" s="255"/>
      <c r="YH110" s="255"/>
      <c r="YI110" s="255"/>
      <c r="YJ110" s="255"/>
      <c r="YK110" s="255"/>
      <c r="YL110" s="255"/>
      <c r="YM110" s="255"/>
      <c r="YN110" s="255"/>
      <c r="YO110" s="255"/>
      <c r="YP110" s="255"/>
      <c r="YQ110" s="255"/>
      <c r="YR110" s="255"/>
      <c r="YS110" s="255"/>
      <c r="YT110" s="255"/>
      <c r="YU110" s="255"/>
      <c r="YV110" s="255"/>
      <c r="YW110" s="255"/>
      <c r="YX110" s="255"/>
      <c r="YY110" s="255"/>
      <c r="YZ110" s="255"/>
      <c r="ZA110" s="255"/>
      <c r="ZB110" s="255"/>
      <c r="ZC110" s="255"/>
      <c r="ZD110" s="255"/>
      <c r="ZE110" s="255"/>
      <c r="ZF110" s="255"/>
      <c r="ZG110" s="255"/>
      <c r="ZH110" s="255"/>
      <c r="ZI110" s="255"/>
      <c r="ZJ110" s="255"/>
      <c r="ZK110" s="255"/>
      <c r="ZL110" s="255"/>
      <c r="ZM110" s="255"/>
      <c r="ZN110" s="255"/>
      <c r="ZO110" s="255"/>
      <c r="ZP110" s="255"/>
      <c r="ZQ110" s="255"/>
      <c r="ZR110" s="255"/>
      <c r="ZS110" s="255"/>
      <c r="ZT110" s="255"/>
      <c r="ZU110" s="255"/>
      <c r="ZV110" s="255"/>
      <c r="ZW110" s="255"/>
      <c r="ZX110" s="255"/>
      <c r="ZY110" s="255"/>
      <c r="ZZ110" s="255"/>
      <c r="AAA110" s="255"/>
      <c r="AAB110" s="255"/>
      <c r="AAC110" s="255"/>
      <c r="AAD110" s="255"/>
      <c r="AAE110" s="255"/>
      <c r="AAF110" s="255"/>
      <c r="AAG110" s="255"/>
      <c r="AAH110" s="255"/>
      <c r="AAI110" s="255"/>
      <c r="AAJ110" s="255"/>
      <c r="AAK110" s="255"/>
      <c r="AAL110" s="255"/>
      <c r="AAM110" s="255"/>
      <c r="AAN110" s="255"/>
      <c r="AAO110" s="255"/>
      <c r="AAP110" s="255"/>
      <c r="AAQ110" s="255"/>
      <c r="AAR110" s="255"/>
      <c r="AAS110" s="255"/>
      <c r="AAT110" s="255"/>
      <c r="AAU110" s="255"/>
      <c r="AAV110" s="255"/>
      <c r="AAW110" s="255"/>
      <c r="AAX110" s="255"/>
      <c r="AAY110" s="255"/>
      <c r="AAZ110" s="255"/>
      <c r="ABA110" s="255"/>
      <c r="ABB110" s="255"/>
      <c r="ABC110" s="255"/>
      <c r="ABD110" s="255"/>
      <c r="ABE110" s="255"/>
      <c r="ABF110" s="255"/>
      <c r="ABG110" s="255"/>
      <c r="ABH110" s="255"/>
      <c r="ABI110" s="255"/>
      <c r="ABJ110" s="255"/>
      <c r="ABK110" s="255"/>
      <c r="ABL110" s="255"/>
      <c r="ABM110" s="255"/>
      <c r="ABN110" s="255"/>
      <c r="ABO110" s="255"/>
      <c r="ABP110" s="255"/>
      <c r="ABQ110" s="255"/>
      <c r="ABR110" s="255"/>
      <c r="ABS110" s="255"/>
      <c r="ABT110" s="255"/>
      <c r="ABU110" s="255"/>
      <c r="ABV110" s="255"/>
      <c r="ABW110" s="255"/>
      <c r="ABX110" s="255"/>
      <c r="ABY110" s="255"/>
      <c r="ABZ110" s="255"/>
      <c r="ACA110" s="255"/>
      <c r="ACB110" s="255"/>
      <c r="ACC110" s="255"/>
      <c r="ACD110" s="255"/>
      <c r="ACE110" s="255"/>
      <c r="ACF110" s="255"/>
      <c r="ACG110" s="255"/>
      <c r="ACH110" s="255"/>
      <c r="ACI110" s="255"/>
      <c r="ACJ110" s="255"/>
      <c r="ACK110" s="255"/>
      <c r="ACL110" s="255"/>
      <c r="ACM110" s="255"/>
      <c r="ACN110" s="255"/>
      <c r="ACO110" s="255"/>
      <c r="ACP110" s="255"/>
      <c r="ACQ110" s="255"/>
      <c r="ACR110" s="255"/>
      <c r="ACS110" s="255"/>
      <c r="ACT110" s="255"/>
      <c r="ACU110" s="255"/>
      <c r="ACV110" s="255"/>
      <c r="ACW110" s="255"/>
      <c r="ACX110" s="255"/>
      <c r="ACY110" s="255"/>
      <c r="ACZ110" s="255"/>
      <c r="ADA110" s="255"/>
      <c r="ADB110" s="255"/>
      <c r="ADC110" s="255"/>
      <c r="ADD110" s="255"/>
      <c r="ADE110" s="255"/>
      <c r="ADF110" s="255"/>
      <c r="ADG110" s="255"/>
      <c r="ADH110" s="255"/>
      <c r="ADI110" s="255"/>
      <c r="ADJ110" s="255"/>
      <c r="ADK110" s="255"/>
      <c r="ADL110" s="255"/>
      <c r="ADM110" s="255"/>
      <c r="ADN110" s="255"/>
      <c r="ADO110" s="255"/>
      <c r="ADP110" s="255"/>
      <c r="ADQ110" s="255"/>
      <c r="ADR110" s="255"/>
      <c r="ADS110" s="255"/>
      <c r="ADT110" s="255"/>
      <c r="ADU110" s="255"/>
      <c r="ADV110" s="255"/>
      <c r="ADW110" s="255"/>
      <c r="ADX110" s="255"/>
      <c r="ADY110" s="255"/>
      <c r="ADZ110" s="255"/>
      <c r="AEA110" s="255"/>
      <c r="AEB110" s="255"/>
      <c r="AEC110" s="255"/>
      <c r="AED110" s="255"/>
      <c r="AEE110" s="255"/>
      <c r="AEF110" s="255"/>
      <c r="AEG110" s="255"/>
      <c r="AEH110" s="255"/>
      <c r="AEI110" s="255"/>
      <c r="AEJ110" s="255"/>
      <c r="AEK110" s="255"/>
      <c r="AEL110" s="255"/>
      <c r="AEM110" s="255"/>
      <c r="AEN110" s="255"/>
      <c r="AEO110" s="255"/>
      <c r="AEP110" s="255"/>
      <c r="AEQ110" s="255"/>
      <c r="AER110" s="255"/>
      <c r="AES110" s="255"/>
      <c r="AET110" s="255"/>
      <c r="AEU110" s="255"/>
      <c r="AEV110" s="255"/>
      <c r="AEW110" s="255"/>
      <c r="AEX110" s="255"/>
      <c r="AEY110" s="255"/>
      <c r="AEZ110" s="255"/>
      <c r="AFA110" s="255"/>
      <c r="AFB110" s="255"/>
      <c r="AFC110" s="255"/>
      <c r="AFD110" s="255"/>
      <c r="AFE110" s="255"/>
      <c r="AFF110" s="255"/>
      <c r="AFG110" s="255"/>
      <c r="AFH110" s="255"/>
      <c r="AFI110" s="255"/>
      <c r="AFJ110" s="255"/>
      <c r="AFK110" s="255"/>
      <c r="AFL110" s="255"/>
      <c r="AFM110" s="255"/>
      <c r="AFN110" s="255"/>
      <c r="AFO110" s="255"/>
      <c r="AFP110" s="255"/>
      <c r="AFQ110" s="255"/>
      <c r="AFR110" s="255"/>
      <c r="AFS110" s="255"/>
      <c r="AFT110" s="255"/>
      <c r="AFU110" s="255"/>
      <c r="AFV110" s="255"/>
      <c r="AFW110" s="255"/>
      <c r="AFX110" s="255"/>
      <c r="AFY110" s="255"/>
      <c r="AFZ110" s="255"/>
      <c r="AGA110" s="255"/>
      <c r="AGB110" s="255"/>
      <c r="AGC110" s="255"/>
      <c r="AGD110" s="255"/>
      <c r="AGE110" s="255"/>
      <c r="AGF110" s="255"/>
      <c r="AGG110" s="255"/>
      <c r="AGH110" s="255"/>
      <c r="AGI110" s="255"/>
      <c r="AGJ110" s="255"/>
      <c r="AGK110" s="255"/>
      <c r="AGL110" s="255"/>
      <c r="AGM110" s="255"/>
      <c r="AGN110" s="255"/>
      <c r="AGO110" s="255"/>
      <c r="AGP110" s="255"/>
      <c r="AGQ110" s="255"/>
      <c r="AGR110" s="255"/>
      <c r="AGS110" s="255"/>
      <c r="AGT110" s="255"/>
      <c r="AGU110" s="255"/>
      <c r="AGV110" s="255"/>
      <c r="AGW110" s="255"/>
      <c r="AGX110" s="255"/>
      <c r="AGY110" s="255"/>
      <c r="AGZ110" s="255"/>
      <c r="AHA110" s="255"/>
      <c r="AHB110" s="255"/>
      <c r="AHC110" s="255"/>
      <c r="AHD110" s="255"/>
      <c r="AHE110" s="255"/>
      <c r="AHF110" s="255"/>
      <c r="AHG110" s="255"/>
      <c r="AHH110" s="255"/>
      <c r="AHI110" s="255"/>
      <c r="AHJ110" s="255"/>
      <c r="AHK110" s="255"/>
      <c r="AHL110" s="255"/>
      <c r="AHM110" s="255"/>
      <c r="AHN110" s="255"/>
      <c r="AHO110" s="255"/>
      <c r="AHP110" s="255"/>
      <c r="AHQ110" s="255"/>
      <c r="AHR110" s="255"/>
      <c r="AHS110" s="255"/>
      <c r="AHT110" s="255"/>
      <c r="AHU110" s="255"/>
      <c r="AHV110" s="255"/>
      <c r="AHW110" s="255"/>
      <c r="AHX110" s="255"/>
      <c r="AHY110" s="255"/>
      <c r="AHZ110" s="255"/>
      <c r="AIA110" s="255"/>
      <c r="AIB110" s="255"/>
      <c r="AIC110" s="255"/>
      <c r="AID110" s="255"/>
      <c r="AIE110" s="255"/>
      <c r="AIF110" s="255"/>
      <c r="AIG110" s="255"/>
      <c r="AIH110" s="255"/>
      <c r="AII110" s="255"/>
      <c r="AIJ110" s="255"/>
      <c r="AIK110" s="255"/>
      <c r="AIL110" s="255"/>
      <c r="AIM110" s="255"/>
      <c r="AIN110" s="255"/>
      <c r="AIO110" s="255"/>
      <c r="AIP110" s="255"/>
      <c r="AIQ110" s="255"/>
      <c r="AIR110" s="255"/>
      <c r="AIS110" s="255"/>
      <c r="AIT110" s="255"/>
      <c r="AIU110" s="255"/>
      <c r="AIV110" s="255"/>
      <c r="AIW110" s="255"/>
      <c r="AIX110" s="255"/>
      <c r="AIY110" s="255"/>
      <c r="AIZ110" s="255"/>
      <c r="AJA110" s="255"/>
      <c r="AJB110" s="255"/>
      <c r="AJC110" s="255"/>
      <c r="AJD110" s="255"/>
      <c r="AJE110" s="255"/>
      <c r="AJF110" s="255"/>
      <c r="AJG110" s="255"/>
      <c r="AJH110" s="255"/>
      <c r="AJI110" s="255"/>
      <c r="AJJ110" s="255"/>
      <c r="AJK110" s="255"/>
      <c r="AJL110" s="255"/>
      <c r="AJM110" s="255"/>
      <c r="AJN110" s="255"/>
      <c r="AJO110" s="255"/>
      <c r="AJP110" s="255"/>
      <c r="AJQ110" s="255"/>
      <c r="AJR110" s="255"/>
      <c r="AJS110" s="255"/>
      <c r="AJT110" s="255"/>
      <c r="AJU110" s="255"/>
      <c r="AJV110" s="255"/>
      <c r="AJW110" s="255"/>
      <c r="AJX110" s="255"/>
      <c r="AJY110" s="255"/>
      <c r="AJZ110" s="255"/>
      <c r="AKA110" s="255"/>
      <c r="AKB110" s="255"/>
      <c r="AKC110" s="255"/>
      <c r="AKD110" s="255"/>
      <c r="AKE110" s="255"/>
      <c r="AKF110" s="255"/>
      <c r="AKG110" s="255"/>
      <c r="AKH110" s="255"/>
      <c r="AKI110" s="255"/>
      <c r="AKJ110" s="255"/>
      <c r="AKK110" s="255"/>
      <c r="AKL110" s="255"/>
      <c r="AKM110" s="255"/>
      <c r="AKN110" s="255"/>
      <c r="AKO110" s="255"/>
      <c r="AKP110" s="255"/>
      <c r="AKQ110" s="255"/>
      <c r="AKR110" s="255"/>
      <c r="AKS110" s="255"/>
      <c r="AKT110" s="255"/>
      <c r="AKU110" s="255"/>
      <c r="AKV110" s="255"/>
      <c r="AKW110" s="255"/>
      <c r="AKX110" s="255"/>
      <c r="AKY110" s="255"/>
      <c r="AKZ110" s="255"/>
      <c r="ALA110" s="255"/>
      <c r="ALB110" s="255"/>
      <c r="ALC110" s="255"/>
      <c r="ALD110" s="255"/>
      <c r="ALE110" s="42"/>
      <c r="ALF110" s="42"/>
      <c r="ALG110" s="42"/>
      <c r="ALH110" s="42"/>
      <c r="ALI110" s="42"/>
      <c r="ALJ110" s="42"/>
      <c r="ALK110" s="42"/>
      <c r="ALL110" s="42"/>
      <c r="ALM110" s="42"/>
    </row>
    <row r="111" spans="1:1008" s="1" customFormat="1" ht="15" customHeight="1">
      <c r="A111" s="680" t="s">
        <v>6928</v>
      </c>
      <c r="B111" s="695"/>
      <c r="C111" s="695"/>
      <c r="D111" s="695"/>
      <c r="E111" s="695"/>
      <c r="F111" s="695"/>
      <c r="G111" s="695"/>
      <c r="H111" s="695"/>
      <c r="I111" s="695"/>
      <c r="J111" s="281">
        <f>+J15+J19+J35+J61+J64+J69+J72+J78+J82+J87+J93+J102+J108</f>
        <v>45727.293989496669</v>
      </c>
      <c r="K111" s="191"/>
      <c r="L111" s="191"/>
      <c r="M111" s="191"/>
      <c r="N111" s="191"/>
      <c r="O111" s="191"/>
      <c r="P111" s="263"/>
    </row>
    <row r="112" spans="1:1008">
      <c r="K112" s="191"/>
      <c r="L112" s="191"/>
      <c r="M112" s="191"/>
      <c r="N112" s="191"/>
      <c r="O112" s="191"/>
      <c r="P112" s="263"/>
    </row>
    <row r="113" spans="11:16">
      <c r="K113" s="191"/>
      <c r="L113" s="191"/>
      <c r="M113" s="191"/>
      <c r="N113" s="191"/>
      <c r="O113" s="191"/>
      <c r="P113" s="263"/>
    </row>
    <row r="114" spans="11:16">
      <c r="K114" s="191"/>
      <c r="L114" s="191"/>
      <c r="M114" s="191"/>
      <c r="N114" s="191"/>
      <c r="O114" s="191"/>
      <c r="P114" s="263"/>
    </row>
    <row r="115" spans="11:16">
      <c r="K115" s="191"/>
      <c r="L115" s="191"/>
      <c r="M115" s="191"/>
      <c r="N115" s="191"/>
      <c r="O115" s="191"/>
      <c r="P115" s="263"/>
    </row>
    <row r="116" spans="11:16">
      <c r="K116" s="191"/>
      <c r="L116" s="191"/>
      <c r="M116" s="191"/>
      <c r="N116" s="191"/>
      <c r="O116" s="191"/>
      <c r="P116" s="263"/>
    </row>
    <row r="117" spans="11:16">
      <c r="K117" s="191"/>
      <c r="L117" s="191"/>
      <c r="M117" s="191"/>
      <c r="N117" s="191"/>
      <c r="O117" s="191"/>
      <c r="P117" s="263"/>
    </row>
    <row r="118" spans="11:16">
      <c r="K118" s="191"/>
      <c r="L118" s="191"/>
      <c r="M118" s="191"/>
      <c r="N118" s="191"/>
      <c r="O118" s="191"/>
      <c r="P118" s="263"/>
    </row>
    <row r="119" spans="11:16">
      <c r="K119" s="191"/>
      <c r="L119" s="191"/>
      <c r="M119" s="191"/>
      <c r="N119" s="191"/>
      <c r="O119" s="191"/>
      <c r="P119" s="263"/>
    </row>
    <row r="120" spans="11:16">
      <c r="K120" s="191"/>
      <c r="L120" s="191"/>
      <c r="M120" s="191"/>
      <c r="N120" s="191"/>
      <c r="O120" s="191"/>
      <c r="P120" s="263"/>
    </row>
    <row r="121" spans="11:16">
      <c r="K121" s="191"/>
      <c r="L121" s="191"/>
      <c r="M121" s="191"/>
      <c r="N121" s="191"/>
      <c r="O121" s="191"/>
      <c r="P121" s="263"/>
    </row>
    <row r="122" spans="11:16">
      <c r="K122" s="191"/>
      <c r="L122" s="191"/>
      <c r="M122" s="191"/>
      <c r="N122" s="191"/>
      <c r="O122" s="191"/>
      <c r="P122" s="263"/>
    </row>
    <row r="123" spans="11:16">
      <c r="K123" s="191"/>
      <c r="L123" s="191"/>
      <c r="M123" s="191"/>
      <c r="N123" s="191"/>
      <c r="O123" s="191"/>
      <c r="P123" s="263"/>
    </row>
    <row r="124" spans="11:16">
      <c r="K124" s="191"/>
      <c r="L124" s="191"/>
      <c r="M124" s="191"/>
      <c r="N124" s="191"/>
      <c r="O124" s="191"/>
      <c r="P124" s="263"/>
    </row>
    <row r="125" spans="11:16">
      <c r="K125" s="191"/>
      <c r="L125" s="191"/>
      <c r="M125" s="191"/>
      <c r="N125" s="191"/>
      <c r="O125" s="191"/>
      <c r="P125" s="263"/>
    </row>
    <row r="126" spans="11:16">
      <c r="K126" s="191"/>
      <c r="L126" s="191"/>
      <c r="M126" s="191"/>
      <c r="N126" s="191"/>
      <c r="O126" s="191"/>
      <c r="P126" s="263"/>
    </row>
    <row r="127" spans="11:16">
      <c r="K127" s="191"/>
      <c r="L127" s="191"/>
      <c r="M127" s="191"/>
      <c r="N127" s="191"/>
      <c r="O127" s="191"/>
      <c r="P127" s="263"/>
    </row>
    <row r="128" spans="11:16">
      <c r="K128" s="191"/>
      <c r="L128" s="191"/>
      <c r="M128" s="191"/>
      <c r="N128" s="191"/>
      <c r="O128" s="191"/>
      <c r="P128" s="263"/>
    </row>
    <row r="129" spans="11:16">
      <c r="K129" s="191"/>
      <c r="L129" s="191"/>
      <c r="M129" s="191"/>
      <c r="N129" s="191"/>
      <c r="O129" s="191"/>
      <c r="P129" s="263"/>
    </row>
    <row r="130" spans="11:16">
      <c r="K130" s="191"/>
      <c r="L130" s="191"/>
      <c r="M130" s="191"/>
      <c r="N130" s="191"/>
      <c r="O130" s="191"/>
      <c r="P130" s="263"/>
    </row>
    <row r="131" spans="11:16">
      <c r="K131" s="191"/>
      <c r="L131" s="191"/>
      <c r="M131" s="191"/>
      <c r="N131" s="191"/>
      <c r="O131" s="191"/>
      <c r="P131" s="263"/>
    </row>
    <row r="132" spans="11:16">
      <c r="K132" s="191"/>
      <c r="L132" s="191"/>
      <c r="M132" s="191"/>
      <c r="N132" s="191"/>
      <c r="O132" s="191"/>
      <c r="P132" s="263"/>
    </row>
    <row r="133" spans="11:16">
      <c r="K133" s="191"/>
      <c r="L133" s="191"/>
      <c r="M133" s="191"/>
      <c r="N133" s="191"/>
      <c r="O133" s="191"/>
      <c r="P133" s="263"/>
    </row>
    <row r="134" spans="11:16">
      <c r="K134" s="191"/>
      <c r="L134" s="191"/>
      <c r="M134" s="191"/>
      <c r="N134" s="191"/>
      <c r="O134" s="191"/>
      <c r="P134" s="263"/>
    </row>
    <row r="135" spans="11:16">
      <c r="K135" s="191"/>
      <c r="L135" s="191"/>
      <c r="M135" s="191"/>
      <c r="N135" s="191"/>
      <c r="O135" s="191"/>
      <c r="P135" s="263"/>
    </row>
    <row r="136" spans="11:16">
      <c r="K136" s="191"/>
      <c r="L136" s="191"/>
      <c r="M136" s="191"/>
      <c r="N136" s="191"/>
      <c r="O136" s="191"/>
      <c r="P136" s="263"/>
    </row>
    <row r="137" spans="11:16">
      <c r="K137" s="191"/>
      <c r="L137" s="191"/>
      <c r="M137" s="191"/>
      <c r="N137" s="191"/>
      <c r="O137" s="191"/>
      <c r="P137" s="263"/>
    </row>
    <row r="138" spans="11:16">
      <c r="K138" s="191"/>
      <c r="L138" s="191"/>
      <c r="M138" s="191"/>
      <c r="N138" s="191"/>
      <c r="O138" s="191"/>
      <c r="P138" s="263"/>
    </row>
    <row r="139" spans="11:16">
      <c r="K139" s="191"/>
      <c r="L139" s="191"/>
      <c r="M139" s="191"/>
      <c r="N139" s="191"/>
      <c r="O139" s="191"/>
      <c r="P139" s="263"/>
    </row>
    <row r="140" spans="11:16">
      <c r="K140" s="191"/>
      <c r="L140" s="191"/>
      <c r="M140" s="191"/>
      <c r="N140" s="191"/>
      <c r="O140" s="191"/>
      <c r="P140" s="263"/>
    </row>
    <row r="141" spans="11:16">
      <c r="K141" s="191"/>
      <c r="L141" s="191"/>
      <c r="M141" s="191"/>
      <c r="N141" s="191"/>
      <c r="O141" s="191"/>
      <c r="P141" s="263"/>
    </row>
    <row r="142" spans="11:16">
      <c r="K142" s="191"/>
      <c r="L142" s="191"/>
      <c r="M142" s="191"/>
      <c r="N142" s="191"/>
      <c r="O142" s="191"/>
      <c r="P142" s="263"/>
    </row>
    <row r="143" spans="11:16">
      <c r="K143" s="191"/>
      <c r="L143" s="191"/>
      <c r="M143" s="191"/>
      <c r="N143" s="191"/>
      <c r="O143" s="191"/>
      <c r="P143" s="263"/>
    </row>
    <row r="144" spans="11:16">
      <c r="K144" s="191"/>
      <c r="L144" s="191"/>
      <c r="M144" s="191"/>
      <c r="N144" s="191"/>
      <c r="O144" s="191"/>
      <c r="P144" s="263"/>
    </row>
    <row r="145" spans="11:16">
      <c r="K145" s="191"/>
      <c r="L145" s="191"/>
      <c r="M145" s="191"/>
      <c r="N145" s="191"/>
      <c r="O145" s="191"/>
      <c r="P145" s="263"/>
    </row>
    <row r="146" spans="11:16">
      <c r="K146" s="191"/>
      <c r="L146" s="191"/>
      <c r="M146" s="191"/>
      <c r="N146" s="191"/>
      <c r="O146" s="191"/>
      <c r="P146" s="263"/>
    </row>
    <row r="147" spans="11:16">
      <c r="K147" s="191"/>
      <c r="L147" s="191"/>
      <c r="M147" s="191"/>
      <c r="N147" s="191"/>
      <c r="O147" s="191"/>
      <c r="P147" s="263"/>
    </row>
    <row r="148" spans="11:16">
      <c r="K148" s="191"/>
      <c r="L148" s="191"/>
      <c r="M148" s="191"/>
      <c r="N148" s="191"/>
      <c r="O148" s="191"/>
      <c r="P148" s="263"/>
    </row>
    <row r="149" spans="11:16">
      <c r="K149" s="191"/>
      <c r="L149" s="191"/>
      <c r="M149" s="191"/>
      <c r="N149" s="191"/>
      <c r="O149" s="191"/>
      <c r="P149" s="263"/>
    </row>
    <row r="150" spans="11:16">
      <c r="K150" s="191"/>
      <c r="L150" s="191"/>
      <c r="M150" s="191"/>
      <c r="N150" s="191"/>
      <c r="O150" s="191"/>
      <c r="P150" s="263"/>
    </row>
    <row r="151" spans="11:16">
      <c r="K151" s="191"/>
      <c r="L151" s="191"/>
      <c r="M151" s="191"/>
      <c r="N151" s="191"/>
      <c r="O151" s="191"/>
      <c r="P151" s="263"/>
    </row>
    <row r="152" spans="11:16">
      <c r="K152" s="191"/>
      <c r="L152" s="191"/>
      <c r="M152" s="191"/>
      <c r="N152" s="191"/>
      <c r="O152" s="191"/>
      <c r="P152" s="263"/>
    </row>
    <row r="153" spans="11:16">
      <c r="K153" s="191"/>
      <c r="L153" s="191"/>
      <c r="M153" s="191"/>
      <c r="N153" s="191"/>
      <c r="O153" s="191"/>
      <c r="P153" s="263"/>
    </row>
    <row r="154" spans="11:16">
      <c r="K154" s="191"/>
      <c r="L154" s="191"/>
      <c r="M154" s="191"/>
      <c r="N154" s="191"/>
      <c r="O154" s="191"/>
      <c r="P154" s="263"/>
    </row>
    <row r="155" spans="11:16">
      <c r="K155" s="191"/>
      <c r="L155" s="191"/>
      <c r="M155" s="191"/>
      <c r="N155" s="191"/>
      <c r="O155" s="191"/>
      <c r="P155" s="263"/>
    </row>
    <row r="156" spans="11:16">
      <c r="K156" s="191"/>
      <c r="L156" s="191"/>
      <c r="M156" s="191"/>
      <c r="N156" s="191"/>
      <c r="O156" s="191"/>
      <c r="P156" s="263"/>
    </row>
    <row r="157" spans="11:16">
      <c r="K157" s="191"/>
      <c r="L157" s="191"/>
      <c r="M157" s="191"/>
      <c r="N157" s="191"/>
      <c r="O157" s="191"/>
      <c r="P157" s="263"/>
    </row>
    <row r="158" spans="11:16">
      <c r="K158" s="191"/>
      <c r="L158" s="191"/>
      <c r="M158" s="191"/>
      <c r="N158" s="191"/>
      <c r="O158" s="191"/>
      <c r="P158" s="263"/>
    </row>
    <row r="159" spans="11:16">
      <c r="K159" s="191"/>
      <c r="L159" s="191"/>
      <c r="M159" s="191"/>
      <c r="N159" s="191"/>
      <c r="O159" s="191"/>
      <c r="P159" s="263"/>
    </row>
    <row r="160" spans="11:16">
      <c r="K160" s="191"/>
      <c r="L160" s="191"/>
      <c r="M160" s="191"/>
      <c r="N160" s="191"/>
      <c r="O160" s="191"/>
      <c r="P160" s="263"/>
    </row>
    <row r="161" spans="11:16">
      <c r="K161" s="191"/>
      <c r="L161" s="191"/>
      <c r="M161" s="191"/>
      <c r="N161" s="191"/>
      <c r="O161" s="191"/>
      <c r="P161" s="263"/>
    </row>
    <row r="162" spans="11:16">
      <c r="K162" s="191"/>
      <c r="L162" s="191"/>
      <c r="M162" s="191"/>
      <c r="N162" s="191"/>
      <c r="O162" s="191"/>
      <c r="P162" s="263"/>
    </row>
    <row r="163" spans="11:16">
      <c r="K163" s="191"/>
      <c r="L163" s="191"/>
      <c r="M163" s="191"/>
      <c r="N163" s="191"/>
      <c r="O163" s="191"/>
      <c r="P163" s="263"/>
    </row>
    <row r="164" spans="11:16">
      <c r="K164" s="191"/>
      <c r="L164" s="191"/>
      <c r="M164" s="191"/>
      <c r="N164" s="191"/>
      <c r="O164" s="191"/>
      <c r="P164" s="263"/>
    </row>
    <row r="165" spans="11:16">
      <c r="K165" s="191"/>
      <c r="L165" s="191"/>
      <c r="M165" s="191"/>
      <c r="N165" s="191"/>
      <c r="O165" s="191"/>
      <c r="P165" s="263"/>
    </row>
    <row r="166" spans="11:16">
      <c r="K166" s="191"/>
      <c r="L166" s="191"/>
      <c r="M166" s="191"/>
      <c r="N166" s="191"/>
      <c r="O166" s="191"/>
      <c r="P166" s="263"/>
    </row>
    <row r="167" spans="11:16">
      <c r="K167" s="191"/>
      <c r="L167" s="191"/>
      <c r="M167" s="191"/>
      <c r="N167" s="191"/>
      <c r="O167" s="191"/>
      <c r="P167" s="263"/>
    </row>
    <row r="168" spans="11:16">
      <c r="K168" s="191"/>
      <c r="L168" s="191"/>
      <c r="M168" s="191"/>
      <c r="N168" s="191"/>
      <c r="O168" s="191"/>
      <c r="P168" s="263"/>
    </row>
    <row r="169" spans="11:16">
      <c r="K169" s="191"/>
      <c r="L169" s="191"/>
      <c r="M169" s="191"/>
      <c r="N169" s="191"/>
      <c r="O169" s="191"/>
      <c r="P169" s="263"/>
    </row>
    <row r="170" spans="11:16">
      <c r="K170" s="191"/>
      <c r="L170" s="191"/>
      <c r="M170" s="191"/>
      <c r="N170" s="191"/>
      <c r="O170" s="191"/>
      <c r="P170" s="263"/>
    </row>
    <row r="171" spans="11:16">
      <c r="K171" s="191"/>
      <c r="L171" s="191"/>
      <c r="M171" s="191"/>
      <c r="N171" s="191"/>
      <c r="O171" s="191"/>
      <c r="P171" s="263"/>
    </row>
    <row r="172" spans="11:16">
      <c r="K172" s="191"/>
      <c r="L172" s="191"/>
      <c r="M172" s="191"/>
      <c r="N172" s="191"/>
      <c r="O172" s="191"/>
      <c r="P172" s="263"/>
    </row>
    <row r="173" spans="11:16">
      <c r="K173" s="191"/>
      <c r="L173" s="191"/>
      <c r="M173" s="191"/>
      <c r="N173" s="191"/>
      <c r="O173" s="191"/>
      <c r="P173" s="263"/>
    </row>
    <row r="174" spans="11:16">
      <c r="K174" s="191"/>
      <c r="L174" s="191"/>
      <c r="M174" s="191"/>
      <c r="N174" s="191"/>
      <c r="O174" s="191"/>
      <c r="P174" s="263"/>
    </row>
    <row r="175" spans="11:16">
      <c r="K175" s="191"/>
      <c r="L175" s="191"/>
      <c r="M175" s="191"/>
      <c r="N175" s="191"/>
      <c r="O175" s="191"/>
      <c r="P175" s="263"/>
    </row>
    <row r="176" spans="11:16">
      <c r="K176" s="191"/>
      <c r="L176" s="191"/>
      <c r="M176" s="191"/>
      <c r="N176" s="191"/>
      <c r="O176" s="191"/>
      <c r="P176" s="263"/>
    </row>
    <row r="177" spans="11:16">
      <c r="K177" s="191"/>
      <c r="L177" s="191"/>
      <c r="M177" s="191"/>
      <c r="N177" s="191"/>
      <c r="O177" s="191"/>
      <c r="P177" s="263"/>
    </row>
    <row r="178" spans="11:16">
      <c r="K178" s="191"/>
      <c r="L178" s="191"/>
      <c r="M178" s="191"/>
      <c r="N178" s="191"/>
      <c r="O178" s="191"/>
      <c r="P178" s="263"/>
    </row>
    <row r="179" spans="11:16">
      <c r="K179" s="191"/>
      <c r="L179" s="191"/>
      <c r="M179" s="191"/>
      <c r="N179" s="191"/>
      <c r="O179" s="191"/>
      <c r="P179" s="263"/>
    </row>
    <row r="180" spans="11:16">
      <c r="K180" s="191"/>
      <c r="L180" s="191"/>
      <c r="M180" s="191"/>
      <c r="N180" s="191"/>
      <c r="O180" s="191"/>
      <c r="P180" s="263"/>
    </row>
    <row r="181" spans="11:16">
      <c r="K181" s="191"/>
      <c r="L181" s="191"/>
      <c r="M181" s="191"/>
      <c r="N181" s="191"/>
      <c r="O181" s="191"/>
      <c r="P181" s="263"/>
    </row>
    <row r="182" spans="11:16">
      <c r="K182" s="191"/>
      <c r="L182" s="191"/>
      <c r="M182" s="191"/>
      <c r="N182" s="191"/>
      <c r="O182" s="191"/>
      <c r="P182" s="263"/>
    </row>
    <row r="183" spans="11:16">
      <c r="K183" s="191"/>
      <c r="L183" s="191"/>
      <c r="M183" s="191"/>
      <c r="N183" s="191"/>
      <c r="O183" s="191"/>
      <c r="P183" s="263"/>
    </row>
    <row r="184" spans="11:16">
      <c r="K184" s="191"/>
      <c r="L184" s="191"/>
      <c r="M184" s="191"/>
      <c r="N184" s="191"/>
      <c r="O184" s="191"/>
      <c r="P184" s="263"/>
    </row>
    <row r="185" spans="11:16">
      <c r="K185" s="191"/>
      <c r="L185" s="191"/>
      <c r="M185" s="191"/>
      <c r="N185" s="191"/>
      <c r="O185" s="191"/>
      <c r="P185" s="263"/>
    </row>
    <row r="186" spans="11:16">
      <c r="K186" s="191"/>
      <c r="L186" s="191"/>
      <c r="M186" s="191"/>
      <c r="N186" s="191"/>
      <c r="O186" s="191"/>
      <c r="P186" s="263"/>
    </row>
    <row r="187" spans="11:16">
      <c r="K187" s="191"/>
      <c r="L187" s="191"/>
      <c r="M187" s="191"/>
      <c r="N187" s="191"/>
      <c r="O187" s="191"/>
      <c r="P187" s="263"/>
    </row>
    <row r="188" spans="11:16">
      <c r="K188" s="191"/>
      <c r="L188" s="191"/>
      <c r="M188" s="191"/>
      <c r="N188" s="191"/>
      <c r="O188" s="191"/>
      <c r="P188" s="263"/>
    </row>
    <row r="189" spans="11:16">
      <c r="K189" s="191"/>
      <c r="L189" s="191"/>
      <c r="M189" s="191"/>
      <c r="N189" s="191"/>
      <c r="O189" s="191"/>
      <c r="P189" s="263"/>
    </row>
    <row r="190" spans="11:16">
      <c r="K190" s="191"/>
      <c r="L190" s="191"/>
      <c r="M190" s="191"/>
      <c r="N190" s="191"/>
      <c r="O190" s="191"/>
      <c r="P190" s="263"/>
    </row>
    <row r="191" spans="11:16">
      <c r="K191" s="191"/>
      <c r="L191" s="191"/>
      <c r="M191" s="191"/>
      <c r="N191" s="191"/>
      <c r="O191" s="191"/>
      <c r="P191" s="263"/>
    </row>
    <row r="192" spans="11:16">
      <c r="K192" s="191"/>
      <c r="L192" s="191"/>
      <c r="M192" s="191"/>
      <c r="N192" s="191"/>
      <c r="O192" s="191"/>
      <c r="P192" s="263"/>
    </row>
    <row r="193" spans="11:16">
      <c r="K193" s="191"/>
      <c r="L193" s="191"/>
      <c r="M193" s="191"/>
      <c r="N193" s="191"/>
      <c r="O193" s="191"/>
      <c r="P193" s="263"/>
    </row>
    <row r="194" spans="11:16">
      <c r="K194" s="191"/>
      <c r="L194" s="191"/>
      <c r="M194" s="191"/>
      <c r="N194" s="191"/>
      <c r="O194" s="191"/>
      <c r="P194" s="263"/>
    </row>
    <row r="195" spans="11:16">
      <c r="K195" s="191"/>
      <c r="L195" s="191"/>
      <c r="M195" s="191"/>
      <c r="N195" s="191"/>
      <c r="O195" s="191"/>
      <c r="P195" s="263"/>
    </row>
    <row r="196" spans="11:16">
      <c r="K196" s="191"/>
      <c r="L196" s="191"/>
      <c r="M196" s="191"/>
      <c r="N196" s="191"/>
      <c r="O196" s="191"/>
      <c r="P196" s="263"/>
    </row>
    <row r="197" spans="11:16">
      <c r="K197" s="191"/>
      <c r="L197" s="191"/>
      <c r="M197" s="191"/>
      <c r="N197" s="191"/>
      <c r="O197" s="191"/>
      <c r="P197" s="263"/>
    </row>
    <row r="198" spans="11:16">
      <c r="K198" s="191"/>
      <c r="L198" s="191"/>
      <c r="M198" s="191"/>
      <c r="N198" s="191"/>
      <c r="O198" s="191"/>
      <c r="P198" s="263"/>
    </row>
    <row r="199" spans="11:16">
      <c r="K199" s="191"/>
      <c r="L199" s="191"/>
      <c r="M199" s="191"/>
      <c r="N199" s="191"/>
      <c r="O199" s="191"/>
      <c r="P199" s="263"/>
    </row>
    <row r="200" spans="11:16">
      <c r="K200" s="191"/>
      <c r="L200" s="191"/>
      <c r="M200" s="191"/>
      <c r="N200" s="191"/>
      <c r="O200" s="191"/>
      <c r="P200" s="263"/>
    </row>
    <row r="201" spans="11:16">
      <c r="K201" s="191"/>
      <c r="L201" s="191"/>
      <c r="M201" s="191"/>
      <c r="N201" s="191"/>
      <c r="O201" s="191"/>
      <c r="P201" s="263"/>
    </row>
    <row r="202" spans="11:16">
      <c r="K202" s="191"/>
      <c r="L202" s="191"/>
      <c r="M202" s="191"/>
      <c r="N202" s="191"/>
      <c r="O202" s="191"/>
      <c r="P202" s="263"/>
    </row>
    <row r="203" spans="11:16">
      <c r="K203" s="191"/>
      <c r="L203" s="191"/>
      <c r="M203" s="191"/>
      <c r="N203" s="191"/>
      <c r="O203" s="191"/>
      <c r="P203" s="263"/>
    </row>
    <row r="204" spans="11:16">
      <c r="K204" s="191"/>
      <c r="L204" s="191"/>
      <c r="M204" s="191"/>
      <c r="N204" s="191"/>
      <c r="O204" s="191"/>
      <c r="P204" s="263"/>
    </row>
    <row r="205" spans="11:16">
      <c r="K205" s="191"/>
      <c r="L205" s="191"/>
      <c r="M205" s="191"/>
      <c r="N205" s="191"/>
      <c r="O205" s="191"/>
      <c r="P205" s="263"/>
    </row>
    <row r="206" spans="11:16">
      <c r="K206" s="191"/>
      <c r="L206" s="191"/>
      <c r="M206" s="191"/>
      <c r="N206" s="191"/>
      <c r="O206" s="191"/>
      <c r="P206" s="263"/>
    </row>
    <row r="207" spans="11:16">
      <c r="K207" s="191"/>
      <c r="L207" s="191"/>
      <c r="M207" s="191"/>
      <c r="N207" s="191"/>
      <c r="O207" s="191"/>
      <c r="P207" s="263"/>
    </row>
    <row r="208" spans="11:16">
      <c r="K208" s="191"/>
      <c r="L208" s="191"/>
      <c r="M208" s="191"/>
      <c r="N208" s="191"/>
      <c r="O208" s="191"/>
      <c r="P208" s="263"/>
    </row>
    <row r="209" spans="11:16">
      <c r="K209" s="191"/>
      <c r="L209" s="191"/>
      <c r="M209" s="191"/>
      <c r="N209" s="191"/>
      <c r="O209" s="191"/>
      <c r="P209" s="263"/>
    </row>
    <row r="210" spans="11:16">
      <c r="K210" s="191"/>
      <c r="L210" s="191"/>
      <c r="M210" s="191"/>
      <c r="N210" s="191"/>
      <c r="O210" s="191"/>
      <c r="P210" s="263"/>
    </row>
    <row r="211" spans="11:16">
      <c r="K211" s="191"/>
      <c r="L211" s="191"/>
      <c r="M211" s="191"/>
      <c r="N211" s="191"/>
      <c r="O211" s="191"/>
      <c r="P211" s="263"/>
    </row>
    <row r="212" spans="11:16">
      <c r="K212" s="191"/>
      <c r="L212" s="191"/>
      <c r="M212" s="191"/>
      <c r="N212" s="191"/>
      <c r="O212" s="191"/>
      <c r="P212" s="263"/>
    </row>
    <row r="213" spans="11:16">
      <c r="K213" s="191"/>
      <c r="L213" s="191"/>
      <c r="M213" s="191"/>
      <c r="N213" s="191"/>
      <c r="O213" s="191"/>
      <c r="P213" s="263"/>
    </row>
    <row r="214" spans="11:16">
      <c r="K214" s="191"/>
      <c r="L214" s="191"/>
      <c r="M214" s="191"/>
      <c r="N214" s="191"/>
      <c r="O214" s="191"/>
      <c r="P214" s="263"/>
    </row>
  </sheetData>
  <autoFilter ref="A12:J111" xr:uid="{00000000-0009-0000-0000-00000D000000}"/>
  <mergeCells count="17">
    <mergeCell ref="A111:I111"/>
    <mergeCell ref="A72:I72"/>
    <mergeCell ref="A78:I78"/>
    <mergeCell ref="A87:I87"/>
    <mergeCell ref="A93:I93"/>
    <mergeCell ref="A102:I102"/>
    <mergeCell ref="A108:I108"/>
    <mergeCell ref="A82:I82"/>
    <mergeCell ref="A109:I109"/>
    <mergeCell ref="A110:I110"/>
    <mergeCell ref="C4:J4"/>
    <mergeCell ref="A69:I69"/>
    <mergeCell ref="A15:I15"/>
    <mergeCell ref="A19:I19"/>
    <mergeCell ref="A35:I35"/>
    <mergeCell ref="A61:I61"/>
    <mergeCell ref="A64:I64"/>
  </mergeCells>
  <pageMargins left="0.43307086614173229" right="0.23622047244094488" top="0.31496062992125984" bottom="0.39370078740157483" header="0.31496062992125984" footer="0.15748031496062992"/>
  <pageSetup paperSize="9" scale="78" firstPageNumber="0" fitToHeight="0" orientation="landscape" r:id="rId1"/>
  <headerFooter>
    <oddFooter>&amp;CPágina &amp;P  de &amp;N</oddFooter>
  </headerFooter>
  <rowBreaks count="1" manualBreakCount="1">
    <brk id="85" max="9"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LS215"/>
  <sheetViews>
    <sheetView showGridLines="0" view="pageBreakPreview" zoomScaleNormal="82" zoomScaleSheetLayoutView="100" workbookViewId="0">
      <selection activeCell="C9" sqref="C9"/>
    </sheetView>
  </sheetViews>
  <sheetFormatPr defaultColWidth="9.140625" defaultRowHeight="12.75"/>
  <cols>
    <col min="1" max="1" width="10.7109375" style="16" customWidth="1"/>
    <col min="2" max="2" width="10.7109375" style="73" customWidth="1"/>
    <col min="3" max="3" width="70.7109375" style="33" customWidth="1"/>
    <col min="4" max="4" width="4.7109375" style="16" customWidth="1"/>
    <col min="5" max="8" width="11.7109375" style="54" customWidth="1"/>
    <col min="9" max="10" width="14.28515625" style="54" customWidth="1"/>
    <col min="11" max="13" width="12.140625" style="14" bestFit="1" customWidth="1"/>
    <col min="14" max="14" width="9.140625" style="14"/>
    <col min="15" max="15" width="10" style="14" bestFit="1" customWidth="1"/>
    <col min="16" max="16" width="9.140625" style="223"/>
    <col min="17" max="1007" width="9.140625" style="14"/>
    <col min="1008" max="16384" width="9.140625" style="18"/>
  </cols>
  <sheetData>
    <row r="1" spans="1:16" ht="24.95" customHeight="1">
      <c r="A1" s="416"/>
      <c r="B1" s="68"/>
      <c r="C1" s="43"/>
      <c r="D1" s="43"/>
      <c r="E1" s="56"/>
      <c r="F1" s="56"/>
      <c r="G1" s="56"/>
      <c r="H1" s="56"/>
      <c r="I1" s="56"/>
      <c r="J1" s="417"/>
    </row>
    <row r="2" spans="1:16" ht="24.95" customHeight="1">
      <c r="A2" s="418"/>
      <c r="B2" s="69"/>
      <c r="C2" s="37"/>
      <c r="D2" s="37"/>
      <c r="E2" s="57"/>
      <c r="F2" s="57"/>
      <c r="G2" s="57"/>
      <c r="H2" s="57"/>
      <c r="I2" s="57"/>
      <c r="J2" s="419"/>
    </row>
    <row r="3" spans="1:16" ht="24.95" customHeight="1">
      <c r="A3" s="500"/>
      <c r="B3" s="514"/>
      <c r="C3" s="501"/>
      <c r="D3" s="501"/>
      <c r="E3" s="515"/>
      <c r="F3" s="515"/>
      <c r="G3" s="515"/>
      <c r="H3" s="515"/>
      <c r="I3" s="515"/>
      <c r="J3" s="516"/>
    </row>
    <row r="4" spans="1:16">
      <c r="A4" s="426" t="s">
        <v>6295</v>
      </c>
      <c r="B4" s="427"/>
      <c r="C4" s="697" t="str">
        <f>+RESUMO!B5</f>
        <v>CONCLUSÃO DA CONSTRUÇÃO DO CENTRO DE ATENDIMENTO SÓCIO EDUCATIVO - CASE ITUMBIARA</v>
      </c>
      <c r="D4" s="698"/>
      <c r="E4" s="698"/>
      <c r="F4" s="698"/>
      <c r="G4" s="698"/>
      <c r="H4" s="698"/>
      <c r="I4" s="698"/>
      <c r="J4" s="699"/>
    </row>
    <row r="5" spans="1:16">
      <c r="A5" s="426" t="s">
        <v>6297</v>
      </c>
      <c r="B5" s="427"/>
      <c r="C5" s="509" t="str">
        <f>+RESUMO!B6</f>
        <v>SINAPI – NOVEMBRO/2020 (ONERADA)</v>
      </c>
      <c r="D5" s="422"/>
      <c r="E5" s="428"/>
      <c r="F5" s="428"/>
      <c r="G5" s="428"/>
      <c r="H5" s="428"/>
      <c r="I5" s="428"/>
      <c r="J5" s="510"/>
    </row>
    <row r="6" spans="1:16">
      <c r="A6" s="448" t="s">
        <v>5545</v>
      </c>
      <c r="B6" s="427"/>
      <c r="C6" s="509" t="str">
        <f>+RESUMO!B7</f>
        <v>MAIO / 2021</v>
      </c>
      <c r="D6" s="450"/>
      <c r="E6" s="428"/>
      <c r="F6" s="428"/>
      <c r="G6" s="428"/>
      <c r="H6" s="428"/>
      <c r="I6" s="428"/>
      <c r="J6" s="510"/>
    </row>
    <row r="7" spans="1:16">
      <c r="A7" s="448" t="s">
        <v>6298</v>
      </c>
      <c r="B7" s="513"/>
      <c r="C7" s="442">
        <v>2.02000036012687E+18</v>
      </c>
      <c r="D7" s="408"/>
      <c r="E7" s="409"/>
      <c r="F7" s="409"/>
      <c r="G7" s="409"/>
      <c r="H7" s="409"/>
      <c r="I7" s="409"/>
      <c r="J7" s="410"/>
      <c r="L7" s="255"/>
    </row>
    <row r="8" spans="1:16">
      <c r="A8" s="448" t="s">
        <v>6299</v>
      </c>
      <c r="B8" s="513"/>
      <c r="C8" s="457" t="s">
        <v>7102</v>
      </c>
      <c r="D8" s="408"/>
      <c r="E8" s="409"/>
      <c r="F8" s="409"/>
      <c r="G8" s="409"/>
      <c r="H8" s="409"/>
      <c r="I8" s="409"/>
      <c r="J8" s="410"/>
    </row>
    <row r="9" spans="1:16">
      <c r="A9" s="448" t="s">
        <v>6300</v>
      </c>
      <c r="B9" s="513"/>
      <c r="C9" s="457" t="s">
        <v>6332</v>
      </c>
      <c r="D9" s="408"/>
      <c r="E9" s="409"/>
      <c r="F9" s="409"/>
      <c r="G9" s="409"/>
      <c r="H9" s="409"/>
      <c r="I9" s="409"/>
      <c r="J9" s="410"/>
    </row>
    <row r="10" spans="1:16" ht="15">
      <c r="A10" s="13"/>
      <c r="B10" s="71"/>
      <c r="C10" s="13"/>
      <c r="D10" s="13"/>
      <c r="E10" s="10"/>
      <c r="F10" s="10"/>
      <c r="G10" s="10"/>
      <c r="H10" s="10"/>
      <c r="I10" s="10"/>
      <c r="J10" s="10"/>
    </row>
    <row r="11" spans="1:16">
      <c r="A11" s="15" t="s">
        <v>5551</v>
      </c>
      <c r="B11" s="72" t="s">
        <v>0</v>
      </c>
      <c r="C11" s="15" t="s">
        <v>6305</v>
      </c>
      <c r="D11" s="15" t="s">
        <v>6306</v>
      </c>
      <c r="E11" s="59" t="s">
        <v>6311</v>
      </c>
      <c r="F11" s="59" t="s">
        <v>6285</v>
      </c>
      <c r="G11" s="59" t="s">
        <v>586</v>
      </c>
      <c r="H11" s="59" t="s">
        <v>6286</v>
      </c>
      <c r="I11" s="59" t="s">
        <v>6308</v>
      </c>
      <c r="J11" s="59" t="s">
        <v>6309</v>
      </c>
    </row>
    <row r="12" spans="1:16">
      <c r="A12" s="251"/>
      <c r="B12" s="372"/>
      <c r="C12" s="373"/>
      <c r="D12" s="274"/>
      <c r="E12" s="276"/>
      <c r="F12" s="276"/>
      <c r="G12" s="276"/>
      <c r="H12" s="276"/>
      <c r="I12" s="276"/>
      <c r="J12" s="276"/>
      <c r="L12" s="255"/>
      <c r="M12" s="255"/>
    </row>
    <row r="13" spans="1:16">
      <c r="A13" s="251"/>
      <c r="B13" s="299">
        <v>164</v>
      </c>
      <c r="C13" s="332" t="s">
        <v>612</v>
      </c>
      <c r="D13" s="274"/>
      <c r="E13" s="276"/>
      <c r="F13" s="276"/>
      <c r="G13" s="276"/>
      <c r="H13" s="276"/>
      <c r="I13" s="276"/>
      <c r="J13" s="276"/>
      <c r="O13" s="257"/>
    </row>
    <row r="14" spans="1:16" ht="24">
      <c r="A14" s="251" t="s">
        <v>7</v>
      </c>
      <c r="B14" s="290">
        <v>97622</v>
      </c>
      <c r="C14" s="278" t="str">
        <f>(IF($A14="SINAPI",INDEX(SINAPI_NOV2020_NDES!$A$7:$H$6703,MATCH($B14,SINAPI_NOV2020_NDES!$A$7:$A$6703,0),2),IF($A14="GOINFRA",INDEX(#REF!,MATCH($B14,#REF!,0),2),(INDEX(COMPOS!$A$4:$G$3900,MATCH($B14,COMPOS!$A$4:A$3900,0),2)))))</f>
        <v>DEMOLIÇÃO DE ALVENARIA DE BLOCO FURADO, DE FORMA MANUAL, SEM REAPROVEITAMENTO. AF_12/2017</v>
      </c>
      <c r="D14" s="374" t="str">
        <f>(IF($A14="SINAPI",INDEX(SINAPI_NOV2020_NDES!$A$7:$H$6790,MATCH($B14,SINAPI_NOV2020_NDES!$A$7:$A$6790,0),3),(INDEX(COMPOS!$A$4:$G$5000,MATCH($B14,COMPOS!$A$4:$A$5000,0),3))))</f>
        <v>M3</v>
      </c>
      <c r="E14" s="276">
        <f>1*2.1*2+0.2*2.1*2</f>
        <v>5.04</v>
      </c>
      <c r="F14" s="279">
        <f>(IF($A14="SINAPI",INDEX(SINAPI_NOV2020_NDES!$A$7:$H$6703,MATCH($B14,SINAPI_NOV2020_NDES!$A$7:$A$6703,0),5),(INDEX(COMPOS!$A$4:$G$801,MATCH($B14,COMPOS!$A$4:A$801,0),4))))</f>
        <v>28.62</v>
      </c>
      <c r="G14" s="280">
        <f>(IF($A14="SINAPI",INDEX(SINAPI_NOV2020_NDES!$A$7:$H$6703,MATCH($B14,SINAPI_NOV2020_NDES!$A$7:$A$6703,0),6),(INDEX(COMPOS!$A$4:$G$801,MATCH($B14,COMPOS!$A$4:A$801,0),5))))</f>
        <v>11.38</v>
      </c>
      <c r="H14" s="280">
        <f>(IF($A14="SINAPI",INDEX(SINAPI_NOV2020_NDES!$A$7:$H$6703,MATCH($B14,SINAPI_NOV2020_NDES!$A$7:$A$6703,0),7),(INDEX(COMPOS!$A$4:$G$801,MATCH($B14,COMPOS!$A$4:A$801,0),6))))</f>
        <v>0</v>
      </c>
      <c r="I14" s="279">
        <f t="shared" ref="I14" si="0">SUM(F14:H14)</f>
        <v>40</v>
      </c>
      <c r="J14" s="276">
        <f t="shared" ref="J14" si="1">+I14*E14</f>
        <v>201.6</v>
      </c>
      <c r="K14" s="255"/>
      <c r="L14" s="255"/>
      <c r="M14" s="255"/>
      <c r="N14" s="255"/>
      <c r="O14" s="255"/>
    </row>
    <row r="15" spans="1:16" s="88" customFormat="1" ht="24" customHeight="1">
      <c r="A15" s="690" t="s">
        <v>6927</v>
      </c>
      <c r="B15" s="691"/>
      <c r="C15" s="691"/>
      <c r="D15" s="691"/>
      <c r="E15" s="691"/>
      <c r="F15" s="691"/>
      <c r="G15" s="691"/>
      <c r="H15" s="691"/>
      <c r="I15" s="692"/>
      <c r="J15" s="281">
        <f>SUM(J14:J14)</f>
        <v>201.6</v>
      </c>
      <c r="K15" s="255"/>
      <c r="L15" s="255"/>
      <c r="M15" s="255"/>
      <c r="N15" s="255"/>
      <c r="O15" s="255"/>
      <c r="P15" s="223"/>
    </row>
    <row r="16" spans="1:16">
      <c r="A16" s="251"/>
      <c r="B16" s="299">
        <v>165</v>
      </c>
      <c r="C16" s="332" t="s">
        <v>611</v>
      </c>
      <c r="D16" s="274"/>
      <c r="E16" s="276"/>
      <c r="F16" s="276"/>
      <c r="G16" s="276"/>
      <c r="H16" s="276"/>
      <c r="I16" s="276"/>
      <c r="J16" s="276"/>
      <c r="K16" s="255"/>
      <c r="L16" s="255"/>
      <c r="M16" s="255"/>
      <c r="N16" s="255"/>
      <c r="O16" s="257"/>
    </row>
    <row r="17" spans="1:15" ht="24">
      <c r="A17" s="251" t="s">
        <v>6307</v>
      </c>
      <c r="B17" s="290">
        <v>450</v>
      </c>
      <c r="C17" s="278" t="str">
        <f>(IF($A17="SINAPI",INDEX(SINAPI_NOV2020_NDES!$A$7:$H$6703,MATCH($B17,SINAPI_NOV2020_NDES!$A$7:$A$6703,0),2),IF($A17="GOINFRA",INDEX(#REF!,MATCH($B17,#REF!,0),2),(INDEX(COMPOS!$A$4:$G$3900,MATCH($B17,COMPOS!$A$4:A$3900,0),2)))))</f>
        <v>TRANSPORTE DE ENTULHO EM CAÇAMBA ESTACIONÁRIA INCLUSO A CARGA MANUAL</v>
      </c>
      <c r="D17" s="374" t="str">
        <f>(IF($A17="SINAPI",INDEX(SINAPI_NOV2020_NDES!$A$7:$H$6790,MATCH($B17,SINAPI_NOV2020_NDES!$A$7:$A$6790,0),3),(INDEX(COMPOS!$A$4:$G$5000,MATCH($B17,COMPOS!$A$4:$A$5000,0),3))))</f>
        <v>M3</v>
      </c>
      <c r="E17" s="276">
        <v>26.020050000000001</v>
      </c>
      <c r="F17" s="279">
        <f>(IF($A17="SINAPI",INDEX(SINAPI_NOV2020_NDES!$A$7:$H$6703,MATCH($B17,SINAPI_NOV2020_NDES!$A$7:$A$6703,0),5),(INDEX(COMPOS!$A$4:$G$801,MATCH($B17,COMPOS!$A$4:A$801,0),4))))</f>
        <v>10.879199999999999</v>
      </c>
      <c r="G17" s="280">
        <f>(IF($A17="SINAPI",INDEX(SINAPI_NOV2020_NDES!$A$7:$H$6703,MATCH($B17,SINAPI_NOV2020_NDES!$A$7:$A$6703,0),6),(INDEX(COMPOS!$A$4:$G$801,MATCH($B17,COMPOS!$A$4:A$801,0),5))))</f>
        <v>50.39</v>
      </c>
      <c r="H17" s="280">
        <f>(IF($A17="SINAPI",INDEX(SINAPI_NOV2020_NDES!$A$7:$H$6703,MATCH($B17,SINAPI_NOV2020_NDES!$A$7:$A$6703,0),7),(INDEX(COMPOS!$A$4:$G$801,MATCH($B17,COMPOS!$A$4:A$801,0),6))))</f>
        <v>0</v>
      </c>
      <c r="I17" s="279">
        <f t="shared" ref="I17" si="2">SUM(F17:H17)</f>
        <v>61.269199999999998</v>
      </c>
      <c r="J17" s="276">
        <f t="shared" ref="J17" si="3">+I17*E17</f>
        <v>1594.2276474600001</v>
      </c>
      <c r="K17" s="255"/>
      <c r="L17" s="255"/>
      <c r="M17" s="255"/>
      <c r="N17" s="255"/>
      <c r="O17" s="255"/>
    </row>
    <row r="18" spans="1:15">
      <c r="A18" s="680" t="s">
        <v>6927</v>
      </c>
      <c r="B18" s="680"/>
      <c r="C18" s="680"/>
      <c r="D18" s="680"/>
      <c r="E18" s="680"/>
      <c r="F18" s="680"/>
      <c r="G18" s="680"/>
      <c r="H18" s="680"/>
      <c r="I18" s="680"/>
      <c r="J18" s="281">
        <f>SUM(J17:J17)</f>
        <v>1594.2276474600001</v>
      </c>
      <c r="K18" s="255"/>
      <c r="L18" s="255"/>
      <c r="M18" s="255"/>
      <c r="N18" s="255"/>
      <c r="O18" s="255"/>
    </row>
    <row r="19" spans="1:15">
      <c r="A19" s="251"/>
      <c r="B19" s="299">
        <v>169</v>
      </c>
      <c r="C19" s="340" t="s">
        <v>6328</v>
      </c>
      <c r="D19" s="274"/>
      <c r="E19" s="276"/>
      <c r="F19" s="276"/>
      <c r="G19" s="276"/>
      <c r="H19" s="276"/>
      <c r="I19" s="276"/>
      <c r="J19" s="276"/>
      <c r="K19" s="255"/>
      <c r="L19" s="255"/>
      <c r="M19" s="255"/>
      <c r="N19" s="255"/>
      <c r="O19" s="257"/>
    </row>
    <row r="20" spans="1:15" ht="24">
      <c r="A20" s="251" t="s">
        <v>6307</v>
      </c>
      <c r="B20" s="290">
        <v>244</v>
      </c>
      <c r="C20" s="278" t="str">
        <f>(IF($A20="SINAPI",INDEX(SINAPI_NOV2020_NDES!$A$7:$H$6703,MATCH($B20,SINAPI_NOV2020_NDES!$A$7:$A$6703,0),2),IF($A20="GOINFRA",INDEX(#REF!,MATCH($B20,#REF!,0),2),(INDEX(COMPOS!$A$4:$G$3900,MATCH($B20,COMPOS!$A$4:A$3900,0),2)))))</f>
        <v>ARAME GALVANIZADO 12 BWG, D = 2,76 MM (0,048 KG/M) OU 14 BWG, D = 2,11 MM (0,026KG/M)</v>
      </c>
      <c r="D20" s="374" t="str">
        <f>(IF($A20="SINAPI",INDEX(SINAPI_NOV2020_NDES!$A$7:$H$6790,MATCH($B20,SINAPI_NOV2020_NDES!$A$7:$A$6790,0),3),(INDEX(COMPOS!$A$4:$G$5000,MATCH($B20,COMPOS!$A$4:$A$5000,0),3))))</f>
        <v>KG</v>
      </c>
      <c r="E20" s="276">
        <v>11</v>
      </c>
      <c r="F20" s="279">
        <f>(IF($A20="SINAPI",INDEX(SINAPI_NOV2020_NDES!$A$7:$H$6703,MATCH($B20,SINAPI_NOV2020_NDES!$A$7:$A$6703,0),5),(INDEX(COMPOS!$A$4:$G$801,MATCH($B20,COMPOS!$A$4:A$801,0),4))))</f>
        <v>35.025821000000001</v>
      </c>
      <c r="G20" s="280">
        <f>(IF($A20="SINAPI",INDEX(SINAPI_NOV2020_NDES!$A$7:$H$6703,MATCH($B20,SINAPI_NOV2020_NDES!$A$7:$A$6703,0),6),(INDEX(COMPOS!$A$4:$G$801,MATCH($B20,COMPOS!$A$4:A$801,0),5))))</f>
        <v>15</v>
      </c>
      <c r="H20" s="280">
        <f>(IF($A20="SINAPI",INDEX(SINAPI_NOV2020_NDES!$A$7:$H$6703,MATCH($B20,SINAPI_NOV2020_NDES!$A$7:$A$6703,0),7),(INDEX(COMPOS!$A$4:$G$801,MATCH($B20,COMPOS!$A$4:A$801,0),6))))</f>
        <v>0</v>
      </c>
      <c r="I20" s="279">
        <f t="shared" ref="I20" si="4">SUM(F20:H20)</f>
        <v>50.025821000000001</v>
      </c>
      <c r="J20" s="276">
        <f t="shared" ref="J20" si="5">+I20*E20</f>
        <v>550.28403100000003</v>
      </c>
      <c r="K20" s="255"/>
      <c r="L20" s="255"/>
      <c r="M20" s="255"/>
      <c r="N20" s="255"/>
      <c r="O20" s="257"/>
    </row>
    <row r="21" spans="1:15">
      <c r="A21" s="251" t="s">
        <v>6307</v>
      </c>
      <c r="B21" s="290">
        <v>388</v>
      </c>
      <c r="C21" s="278" t="str">
        <f>(IF($A21="SINAPI",INDEX(SINAPI_NOV2020_NDES!$A$7:$H$6703,MATCH($B21,SINAPI_NOV2020_NDES!$A$7:$A$6703,0),2),IF($A21="GOINFRA",INDEX(#REF!,MATCH($B21,#REF!,0),2),(INDEX(COMPOS!$A$4:$G$3900,MATCH($B21,COMPOS!$A$4:A$3900,0),2)))))</f>
        <v>BRAÇADEIRA METÁLICA TIPO “U”, DIAM. ¾''</v>
      </c>
      <c r="D21" s="374" t="str">
        <f>(IF($A21="SINAPI",INDEX(SINAPI_NOV2020_NDES!$A$7:$H$6790,MATCH($B21,SINAPI_NOV2020_NDES!$A$7:$A$6790,0),3),(INDEX(COMPOS!$A$4:$G$5000,MATCH($B21,COMPOS!$A$4:$A$5000,0),3))))</f>
        <v>UN</v>
      </c>
      <c r="E21" s="276">
        <v>282</v>
      </c>
      <c r="F21" s="279">
        <f>(IF($A21="SINAPI",INDEX(SINAPI_NOV2020_NDES!$A$7:$H$6703,MATCH($B21,SINAPI_NOV2020_NDES!$A$7:$A$6703,0),5),(INDEX(COMPOS!$A$4:$G$801,MATCH($B21,COMPOS!$A$4:A$801,0),4))))</f>
        <v>0.38629999999999998</v>
      </c>
      <c r="G21" s="280">
        <f>(IF($A21="SINAPI",INDEX(SINAPI_NOV2020_NDES!$A$7:$H$6703,MATCH($B21,SINAPI_NOV2020_NDES!$A$7:$A$6703,0),6),(INDEX(COMPOS!$A$4:$G$801,MATCH($B21,COMPOS!$A$4:A$801,0),5))))</f>
        <v>0.23</v>
      </c>
      <c r="H21" s="280">
        <f>(IF($A21="SINAPI",INDEX(SINAPI_NOV2020_NDES!$A$7:$H$6703,MATCH($B21,SINAPI_NOV2020_NDES!$A$7:$A$6703,0),7),(INDEX(COMPOS!$A$4:$G$801,MATCH($B21,COMPOS!$A$4:A$801,0),6))))</f>
        <v>0</v>
      </c>
      <c r="I21" s="279">
        <f t="shared" ref="I21:I46" si="6">SUM(F21:H21)</f>
        <v>0.61629999999999996</v>
      </c>
      <c r="J21" s="276">
        <f t="shared" ref="J21:J46" si="7">+I21*E21</f>
        <v>173.79659999999998</v>
      </c>
      <c r="K21" s="255"/>
      <c r="L21" s="255"/>
      <c r="M21" s="255"/>
      <c r="N21" s="255"/>
      <c r="O21" s="257"/>
    </row>
    <row r="22" spans="1:15" ht="24">
      <c r="A22" s="251" t="s">
        <v>7</v>
      </c>
      <c r="B22" s="290">
        <v>91926</v>
      </c>
      <c r="C22" s="278" t="str">
        <f>(IF($A22="SINAPI",INDEX(SINAPI_NOV2020_NDES!$A$7:$H$6703,MATCH($B22,SINAPI_NOV2020_NDES!$A$7:$A$6703,0),2),IF($A22="GOINFRA",INDEX(#REF!,MATCH($B22,#REF!,0),2),(INDEX(COMPOS!$A$4:$G$3900,MATCH($B22,COMPOS!$A$4:A$3900,0),2)))))</f>
        <v>CABO DE COBRE FLEXÍVEL ISOLADO, 2,5 MM², ANTI-CHAMA 450/750 V, PARA CIRCUITOS TERMINAIS - FORNECIMENTO E INSTALAÇÃO. AF_12/2015</v>
      </c>
      <c r="D22" s="374" t="str">
        <f>(IF($A22="SINAPI",INDEX(SINAPI_NOV2020_NDES!$A$7:$H$6790,MATCH($B22,SINAPI_NOV2020_NDES!$A$7:$A$6790,0),3),(INDEX(COMPOS!$A$4:$G$5000,MATCH($B22,COMPOS!$A$4:$A$5000,0),3))))</f>
        <v>M</v>
      </c>
      <c r="E22" s="276">
        <v>2263</v>
      </c>
      <c r="F22" s="279">
        <f>(IF($A22="SINAPI",INDEX(SINAPI_NOV2020_NDES!$A$7:$H$6703,MATCH($B22,SINAPI_NOV2020_NDES!$A$7:$A$6703,0),5),(INDEX(COMPOS!$A$4:$G$801,MATCH($B22,COMPOS!$A$4:A$801,0),4))))</f>
        <v>0.88</v>
      </c>
      <c r="G22" s="280">
        <f>(IF($A22="SINAPI",INDEX(SINAPI_NOV2020_NDES!$A$7:$H$6703,MATCH($B22,SINAPI_NOV2020_NDES!$A$7:$A$6703,0),6),(INDEX(COMPOS!$A$4:$G$801,MATCH($B22,COMPOS!$A$4:A$801,0),5))))</f>
        <v>1.9</v>
      </c>
      <c r="H22" s="280">
        <f>(IF($A22="SINAPI",INDEX(SINAPI_NOV2020_NDES!$A$7:$H$6703,MATCH($B22,SINAPI_NOV2020_NDES!$A$7:$A$6703,0),7),(INDEX(COMPOS!$A$4:$G$801,MATCH($B22,COMPOS!$A$4:A$801,0),6))))</f>
        <v>0</v>
      </c>
      <c r="I22" s="279">
        <f t="shared" si="6"/>
        <v>2.78</v>
      </c>
      <c r="J22" s="276">
        <f t="shared" si="7"/>
        <v>6291.1399999999994</v>
      </c>
      <c r="K22" s="255"/>
      <c r="L22" s="255"/>
      <c r="M22" s="255"/>
      <c r="N22" s="255"/>
      <c r="O22" s="257"/>
    </row>
    <row r="23" spans="1:15">
      <c r="A23" s="251" t="s">
        <v>6307</v>
      </c>
      <c r="B23" s="290">
        <v>706</v>
      </c>
      <c r="C23" s="278" t="str">
        <f>(IF($A23="SINAPI",INDEX(SINAPI_NOV2020_NDES!$A$7:$H$6703,MATCH($B23,SINAPI_NOV2020_NDES!$A$7:$A$6703,0),2),IF($A23="GOINFRA",INDEX(#REF!,MATCH($B23,#REF!,0),2),(INDEX(COMPOS!$A$4:$G$3900,MATCH($B23,COMPOS!$A$4:A$3900,0),2)))))</f>
        <v>CAIXA MET.HEXAGONAL P/ARANDELA (SEXTAVADA 3"X3")</v>
      </c>
      <c r="D23" s="374" t="str">
        <f>(IF($A23="SINAPI",INDEX(SINAPI_NOV2020_NDES!$A$7:$H$6790,MATCH($B23,SINAPI_NOV2020_NDES!$A$7:$A$6790,0),3),(INDEX(COMPOS!$A$4:$G$5000,MATCH($B23,COMPOS!$A$4:$A$5000,0),3))))</f>
        <v>UN</v>
      </c>
      <c r="E23" s="276">
        <v>11</v>
      </c>
      <c r="F23" s="279">
        <f>(IF($A23="SINAPI",INDEX(SINAPI_NOV2020_NDES!$A$7:$H$6703,MATCH($B23,SINAPI_NOV2020_NDES!$A$7:$A$6703,0),5),(INDEX(COMPOS!$A$4:$G$801,MATCH($B23,COMPOS!$A$4:A$801,0),4))))</f>
        <v>5.7944999999999993</v>
      </c>
      <c r="G23" s="280">
        <f>(IF($A23="SINAPI",INDEX(SINAPI_NOV2020_NDES!$A$7:$H$6703,MATCH($B23,SINAPI_NOV2020_NDES!$A$7:$A$6703,0),6),(INDEX(COMPOS!$A$4:$G$801,MATCH($B23,COMPOS!$A$4:A$801,0),5))))</f>
        <v>1.19</v>
      </c>
      <c r="H23" s="280">
        <f>(IF($A23="SINAPI",INDEX(SINAPI_NOV2020_NDES!$A$7:$H$6703,MATCH($B23,SINAPI_NOV2020_NDES!$A$7:$A$6703,0),7),(INDEX(COMPOS!$A$4:$G$801,MATCH($B23,COMPOS!$A$4:A$801,0),6))))</f>
        <v>0</v>
      </c>
      <c r="I23" s="279">
        <f t="shared" si="6"/>
        <v>6.9844999999999988</v>
      </c>
      <c r="J23" s="276">
        <f t="shared" si="7"/>
        <v>76.829499999999982</v>
      </c>
      <c r="K23" s="255"/>
      <c r="L23" s="255"/>
      <c r="M23" s="255"/>
      <c r="N23" s="255"/>
      <c r="O23" s="257"/>
    </row>
    <row r="24" spans="1:15">
      <c r="A24" s="251" t="s">
        <v>6307</v>
      </c>
      <c r="B24" s="290">
        <v>707</v>
      </c>
      <c r="C24" s="278" t="str">
        <f>(IF($A24="SINAPI",INDEX(SINAPI_NOV2020_NDES!$A$7:$H$6703,MATCH($B24,SINAPI_NOV2020_NDES!$A$7:$A$6703,0),2),IF($A24="GOINFRA",INDEX(#REF!,MATCH($B24,#REF!,0),2),(INDEX(COMPOS!$A$4:$G$3900,MATCH($B24,COMPOS!$A$4:A$3900,0),2)))))</f>
        <v>CAIXA METALICA OCTOGONAL FUNDO MOVEL, SIMPLES 2"</v>
      </c>
      <c r="D24" s="374" t="str">
        <f>(IF($A24="SINAPI",INDEX(SINAPI_NOV2020_NDES!$A$7:$H$6790,MATCH($B24,SINAPI_NOV2020_NDES!$A$7:$A$6790,0),3),(INDEX(COMPOS!$A$4:$G$5000,MATCH($B24,COMPOS!$A$4:$A$5000,0),3))))</f>
        <v>UN</v>
      </c>
      <c r="E24" s="276">
        <v>10</v>
      </c>
      <c r="F24" s="279">
        <f>(IF($A24="SINAPI",INDEX(SINAPI_NOV2020_NDES!$A$7:$H$6703,MATCH($B24,SINAPI_NOV2020_NDES!$A$7:$A$6703,0),5),(INDEX(COMPOS!$A$4:$G$801,MATCH($B24,COMPOS!$A$4:A$801,0),4))))</f>
        <v>5.7944999999999993</v>
      </c>
      <c r="G24" s="280">
        <f>(IF($A24="SINAPI",INDEX(SINAPI_NOV2020_NDES!$A$7:$H$6703,MATCH($B24,SINAPI_NOV2020_NDES!$A$7:$A$6703,0),6),(INDEX(COMPOS!$A$4:$G$801,MATCH($B24,COMPOS!$A$4:A$801,0),5))))</f>
        <v>2.36</v>
      </c>
      <c r="H24" s="280">
        <f>(IF($A24="SINAPI",INDEX(SINAPI_NOV2020_NDES!$A$7:$H$6703,MATCH($B24,SINAPI_NOV2020_NDES!$A$7:$A$6703,0),7),(INDEX(COMPOS!$A$4:$G$801,MATCH($B24,COMPOS!$A$4:A$801,0),6))))</f>
        <v>0</v>
      </c>
      <c r="I24" s="279">
        <f t="shared" si="6"/>
        <v>8.1544999999999987</v>
      </c>
      <c r="J24" s="276">
        <f t="shared" si="7"/>
        <v>81.544999999999987</v>
      </c>
      <c r="K24" s="255"/>
      <c r="L24" s="255"/>
      <c r="M24" s="255"/>
      <c r="N24" s="255"/>
      <c r="O24" s="257"/>
    </row>
    <row r="25" spans="1:15" ht="24">
      <c r="A25" s="251" t="s">
        <v>7</v>
      </c>
      <c r="B25" s="290">
        <v>92868</v>
      </c>
      <c r="C25" s="278" t="str">
        <f>(IF($A25="SINAPI",INDEX(SINAPI_NOV2020_NDES!$A$7:$H$6703,MATCH($B25,SINAPI_NOV2020_NDES!$A$7:$A$6703,0),2),IF($A25="GOINFRA",INDEX(#REF!,MATCH($B25,#REF!,0),2),(INDEX(COMPOS!$A$4:$G$3900,MATCH($B25,COMPOS!$A$4:A$3900,0),2)))))</f>
        <v>CAIXA RETANGULAR 4" X 2" MÉDIA (1,30 M DO PISO), METÁLICA, INSTALADA EM PAREDE - FORNECIMENTO E INSTALAÇÃO. AF_12/2015</v>
      </c>
      <c r="D25" s="374" t="str">
        <f>(IF($A25="SINAPI",INDEX(SINAPI_NOV2020_NDES!$A$7:$H$6790,MATCH($B25,SINAPI_NOV2020_NDES!$A$7:$A$6790,0),3),(INDEX(COMPOS!$A$4:$G$5000,MATCH($B25,COMPOS!$A$4:$A$5000,0),3))))</f>
        <v>UN</v>
      </c>
      <c r="E25" s="276">
        <v>29</v>
      </c>
      <c r="F25" s="279">
        <f>(IF($A25="SINAPI",INDEX(SINAPI_NOV2020_NDES!$A$7:$H$6703,MATCH($B25,SINAPI_NOV2020_NDES!$A$7:$A$6703,0),5),(INDEX(COMPOS!$A$4:$G$801,MATCH($B25,COMPOS!$A$4:A$801,0),4))))</f>
        <v>7.39</v>
      </c>
      <c r="G25" s="280">
        <f>(IF($A25="SINAPI",INDEX(SINAPI_NOV2020_NDES!$A$7:$H$6703,MATCH($B25,SINAPI_NOV2020_NDES!$A$7:$A$6703,0),6),(INDEX(COMPOS!$A$4:$G$801,MATCH($B25,COMPOS!$A$4:A$801,0),5))))</f>
        <v>3.93</v>
      </c>
      <c r="H25" s="280">
        <f>(IF($A25="SINAPI",INDEX(SINAPI_NOV2020_NDES!$A$7:$H$6703,MATCH($B25,SINAPI_NOV2020_NDES!$A$7:$A$6703,0),7),(INDEX(COMPOS!$A$4:$G$801,MATCH($B25,COMPOS!$A$4:A$801,0),6))))</f>
        <v>0</v>
      </c>
      <c r="I25" s="279">
        <f t="shared" si="6"/>
        <v>11.32</v>
      </c>
      <c r="J25" s="276">
        <f t="shared" si="7"/>
        <v>328.28000000000003</v>
      </c>
      <c r="K25" s="255"/>
      <c r="L25" s="255"/>
      <c r="M25" s="255"/>
      <c r="N25" s="255"/>
      <c r="O25" s="257"/>
    </row>
    <row r="26" spans="1:15">
      <c r="A26" s="251" t="s">
        <v>6307</v>
      </c>
      <c r="B26" s="290">
        <v>713</v>
      </c>
      <c r="C26" s="278" t="str">
        <f>(IF($A26="SINAPI",INDEX(SINAPI_NOV2020_NDES!$A$7:$H$6703,MATCH($B26,SINAPI_NOV2020_NDES!$A$7:$A$6703,0),2),IF($A26="GOINFRA",INDEX(#REF!,MATCH($B26,#REF!,0),2),(INDEX(COMPOS!$A$4:$G$3900,MATCH($B26,COMPOS!$A$4:A$3900,0),2)))))</f>
        <v>CONDULETE METÁLICO - CAIXA COM 5 ENTRADAS</v>
      </c>
      <c r="D26" s="374" t="str">
        <f>(IF($A26="SINAPI",INDEX(SINAPI_NOV2020_NDES!$A$7:$H$6790,MATCH($B26,SINAPI_NOV2020_NDES!$A$7:$A$6790,0),3),(INDEX(COMPOS!$A$4:$G$5000,MATCH($B26,COMPOS!$A$4:$A$5000,0),3))))</f>
        <v>UN</v>
      </c>
      <c r="E26" s="276">
        <v>42</v>
      </c>
      <c r="F26" s="279">
        <f>(IF($A26="SINAPI",INDEX(SINAPI_NOV2020_NDES!$A$7:$H$6703,MATCH($B26,SINAPI_NOV2020_NDES!$A$7:$A$6703,0),5),(INDEX(COMPOS!$A$4:$G$801,MATCH($B26,COMPOS!$A$4:A$801,0),4))))</f>
        <v>13.1342</v>
      </c>
      <c r="G26" s="280">
        <f>(IF($A26="SINAPI",INDEX(SINAPI_NOV2020_NDES!$A$7:$H$6703,MATCH($B26,SINAPI_NOV2020_NDES!$A$7:$A$6703,0),6),(INDEX(COMPOS!$A$4:$G$801,MATCH($B26,COMPOS!$A$4:A$801,0),5))))</f>
        <v>4.03</v>
      </c>
      <c r="H26" s="280">
        <f>(IF($A26="SINAPI",INDEX(SINAPI_NOV2020_NDES!$A$7:$H$6703,MATCH($B26,SINAPI_NOV2020_NDES!$A$7:$A$6703,0),7),(INDEX(COMPOS!$A$4:$G$801,MATCH($B26,COMPOS!$A$4:A$801,0),6))))</f>
        <v>0</v>
      </c>
      <c r="I26" s="279">
        <f t="shared" si="6"/>
        <v>17.164200000000001</v>
      </c>
      <c r="J26" s="276">
        <f t="shared" si="7"/>
        <v>720.89640000000009</v>
      </c>
      <c r="K26" s="255"/>
      <c r="L26" s="255"/>
      <c r="M26" s="255"/>
      <c r="N26" s="255"/>
      <c r="O26" s="257"/>
    </row>
    <row r="27" spans="1:15">
      <c r="A27" s="251" t="s">
        <v>6307</v>
      </c>
      <c r="B27" s="290">
        <v>716</v>
      </c>
      <c r="C27" s="278" t="str">
        <f>(IF($A27="SINAPI",INDEX(SINAPI_NOV2020_NDES!$A$7:$H$6703,MATCH($B27,SINAPI_NOV2020_NDES!$A$7:$A$6703,0),2),IF($A27="GOINFRA",INDEX(#REF!,MATCH($B27,#REF!,0),2),(INDEX(COMPOS!$A$4:$G$3900,MATCH($B27,COMPOS!$A$4:A$3900,0),2)))))</f>
        <v>CURVA DE 90 GRAUS AÇO GALVANIZADO DIAM.3/4"</v>
      </c>
      <c r="D27" s="374" t="str">
        <f>(IF($A27="SINAPI",INDEX(SINAPI_NOV2020_NDES!$A$7:$H$6790,MATCH($B27,SINAPI_NOV2020_NDES!$A$7:$A$6790,0),3),(INDEX(COMPOS!$A$4:$G$5000,MATCH($B27,COMPOS!$A$4:$A$5000,0),3))))</f>
        <v>UN</v>
      </c>
      <c r="E27" s="276">
        <v>12</v>
      </c>
      <c r="F27" s="279">
        <f>(IF($A27="SINAPI",INDEX(SINAPI_NOV2020_NDES!$A$7:$H$6703,MATCH($B27,SINAPI_NOV2020_NDES!$A$7:$A$6703,0),5),(INDEX(COMPOS!$A$4:$G$801,MATCH($B27,COMPOS!$A$4:A$801,0),4))))</f>
        <v>5.0219000000000005</v>
      </c>
      <c r="G27" s="280">
        <f>(IF($A27="SINAPI",INDEX(SINAPI_NOV2020_NDES!$A$7:$H$6703,MATCH($B27,SINAPI_NOV2020_NDES!$A$7:$A$6703,0),6),(INDEX(COMPOS!$A$4:$G$801,MATCH($B27,COMPOS!$A$4:A$801,0),5))))</f>
        <v>3.29</v>
      </c>
      <c r="H27" s="280">
        <f>(IF($A27="SINAPI",INDEX(SINAPI_NOV2020_NDES!$A$7:$H$6703,MATCH($B27,SINAPI_NOV2020_NDES!$A$7:$A$6703,0),7),(INDEX(COMPOS!$A$4:$G$801,MATCH($B27,COMPOS!$A$4:A$801,0),6))))</f>
        <v>0</v>
      </c>
      <c r="I27" s="279">
        <f t="shared" si="6"/>
        <v>8.3119000000000014</v>
      </c>
      <c r="J27" s="276">
        <f t="shared" si="7"/>
        <v>99.742800000000017</v>
      </c>
      <c r="K27" s="255"/>
      <c r="L27" s="255"/>
      <c r="M27" s="255"/>
      <c r="N27" s="255"/>
      <c r="O27" s="257"/>
    </row>
    <row r="28" spans="1:15" ht="24">
      <c r="A28" s="251" t="s">
        <v>7</v>
      </c>
      <c r="B28" s="290">
        <v>93657</v>
      </c>
      <c r="C28" s="278" t="str">
        <f>(IF($A28="SINAPI",INDEX(SINAPI_NOV2020_NDES!$A$7:$H$6703,MATCH($B28,SINAPI_NOV2020_NDES!$A$7:$A$6703,0),2),IF($A28="GOINFRA",INDEX(#REF!,MATCH($B28,#REF!,0),2),(INDEX(COMPOS!$A$4:$G$3900,MATCH($B28,COMPOS!$A$4:A$3900,0),2)))))</f>
        <v>DISJUNTOR MONOPOLAR TIPO DIN, CORRENTE NOMINAL DE 32A - FORNECIMENTO E INSTALAÇÃO. AF_10/2020</v>
      </c>
      <c r="D28" s="374" t="str">
        <f>(IF($A28="SINAPI",INDEX(SINAPI_NOV2020_NDES!$A$7:$H$6790,MATCH($B28,SINAPI_NOV2020_NDES!$A$7:$A$6790,0),3),(INDEX(COMPOS!$A$4:$G$5000,MATCH($B28,COMPOS!$A$4:$A$5000,0),3))))</f>
        <v>UN</v>
      </c>
      <c r="E28" s="276">
        <v>9</v>
      </c>
      <c r="F28" s="279">
        <f>(IF($A28="SINAPI",INDEX(SINAPI_NOV2020_NDES!$A$7:$H$6703,MATCH($B28,SINAPI_NOV2020_NDES!$A$7:$A$6703,0),5),(INDEX(COMPOS!$A$4:$G$801,MATCH($B28,COMPOS!$A$4:A$801,0),4))))</f>
        <v>2.67</v>
      </c>
      <c r="G28" s="280">
        <f>(IF($A28="SINAPI",INDEX(SINAPI_NOV2020_NDES!$A$7:$H$6703,MATCH($B28,SINAPI_NOV2020_NDES!$A$7:$A$6703,0),6),(INDEX(COMPOS!$A$4:$G$801,MATCH($B28,COMPOS!$A$4:A$801,0),5))))</f>
        <v>10.130000000000001</v>
      </c>
      <c r="H28" s="280">
        <f>(IF($A28="SINAPI",INDEX(SINAPI_NOV2020_NDES!$A$7:$H$6703,MATCH($B28,SINAPI_NOV2020_NDES!$A$7:$A$6703,0),7),(INDEX(COMPOS!$A$4:$G$801,MATCH($B28,COMPOS!$A$4:A$801,0),6))))</f>
        <v>0</v>
      </c>
      <c r="I28" s="279">
        <f t="shared" si="6"/>
        <v>12.8</v>
      </c>
      <c r="J28" s="276">
        <f t="shared" si="7"/>
        <v>115.2</v>
      </c>
      <c r="K28" s="255"/>
      <c r="L28" s="255"/>
      <c r="M28" s="255"/>
      <c r="N28" s="255"/>
      <c r="O28" s="257"/>
    </row>
    <row r="29" spans="1:15" ht="24">
      <c r="A29" s="251" t="s">
        <v>7</v>
      </c>
      <c r="B29" s="290">
        <v>93673</v>
      </c>
      <c r="C29" s="278" t="str">
        <f>(IF($A29="SINAPI",INDEX(SINAPI_NOV2020_NDES!$A$7:$H$6703,MATCH($B29,SINAPI_NOV2020_NDES!$A$7:$A$6703,0),2),IF($A29="GOINFRA",INDEX(#REF!,MATCH($B29,#REF!,0),2),(INDEX(COMPOS!$A$4:$G$3900,MATCH($B29,COMPOS!$A$4:A$3900,0),2)))))</f>
        <v>DISJUNTOR TRIPOLAR TIPO DIN, CORRENTE NOMINAL DE 50A - FORNECIMENTO E INSTALAÇÃO. AF_10/2020</v>
      </c>
      <c r="D29" s="374" t="str">
        <f>(IF($A29="SINAPI",INDEX(SINAPI_NOV2020_NDES!$A$7:$H$6790,MATCH($B29,SINAPI_NOV2020_NDES!$A$7:$A$6790,0),3),(INDEX(COMPOS!$A$4:$G$5000,MATCH($B29,COMPOS!$A$4:$A$5000,0),3))))</f>
        <v>UN</v>
      </c>
      <c r="E29" s="276">
        <v>1</v>
      </c>
      <c r="F29" s="279">
        <f>(IF($A29="SINAPI",INDEX(SINAPI_NOV2020_NDES!$A$7:$H$6703,MATCH($B29,SINAPI_NOV2020_NDES!$A$7:$A$6703,0),5),(INDEX(COMPOS!$A$4:$G$801,MATCH($B29,COMPOS!$A$4:A$801,0),4))))</f>
        <v>16.71</v>
      </c>
      <c r="G29" s="280">
        <f>(IF($A29="SINAPI",INDEX(SINAPI_NOV2020_NDES!$A$7:$H$6703,MATCH($B29,SINAPI_NOV2020_NDES!$A$7:$A$6703,0),6),(INDEX(COMPOS!$A$4:$G$801,MATCH($B29,COMPOS!$A$4:A$801,0),5))))</f>
        <v>67.7</v>
      </c>
      <c r="H29" s="280">
        <f>(IF($A29="SINAPI",INDEX(SINAPI_NOV2020_NDES!$A$7:$H$6703,MATCH($B29,SINAPI_NOV2020_NDES!$A$7:$A$6703,0),7),(INDEX(COMPOS!$A$4:$G$801,MATCH($B29,COMPOS!$A$4:A$801,0),6))))</f>
        <v>0</v>
      </c>
      <c r="I29" s="279">
        <f t="shared" si="6"/>
        <v>84.41</v>
      </c>
      <c r="J29" s="276">
        <f t="shared" si="7"/>
        <v>84.41</v>
      </c>
      <c r="K29" s="255"/>
      <c r="L29" s="255"/>
      <c r="M29" s="255"/>
      <c r="N29" s="255"/>
      <c r="O29" s="257"/>
    </row>
    <row r="30" spans="1:15">
      <c r="A30" s="251" t="s">
        <v>6307</v>
      </c>
      <c r="B30" s="290">
        <v>718</v>
      </c>
      <c r="C30" s="278" t="str">
        <f>(IF($A30="SINAPI",INDEX(SINAPI_NOV2020_NDES!$A$7:$H$6703,MATCH($B30,SINAPI_NOV2020_NDES!$A$7:$A$6703,0),2),IF($A30="GOINFRA",INDEX(#REF!,MATCH($B30,#REF!,0),2),(INDEX(COMPOS!$A$4:$G$3900,MATCH($B30,COMPOS!$A$4:A$3900,0),2)))))</f>
        <v>DISPOSITIVO DE PROTEÇÃO CONTRA SURTOS (D.P.S.) 275V DE 8 A 40KA</v>
      </c>
      <c r="D30" s="374" t="str">
        <f>(IF($A30="SINAPI",INDEX(SINAPI_NOV2020_NDES!$A$7:$H$6790,MATCH($B30,SINAPI_NOV2020_NDES!$A$7:$A$6790,0),3),(INDEX(COMPOS!$A$4:$G$5000,MATCH($B30,COMPOS!$A$4:$A$5000,0),3))))</f>
        <v>UN</v>
      </c>
      <c r="E30" s="276">
        <v>3</v>
      </c>
      <c r="F30" s="279">
        <f>(IF($A30="SINAPI",INDEX(SINAPI_NOV2020_NDES!$A$7:$H$6703,MATCH($B30,SINAPI_NOV2020_NDES!$A$7:$A$6703,0),5),(INDEX(COMPOS!$A$4:$G$801,MATCH($B30,COMPOS!$A$4:A$801,0),4))))</f>
        <v>38.629999999999995</v>
      </c>
      <c r="G30" s="280">
        <f>(IF($A30="SINAPI",INDEX(SINAPI_NOV2020_NDES!$A$7:$H$6703,MATCH($B30,SINAPI_NOV2020_NDES!$A$7:$A$6703,0),6),(INDEX(COMPOS!$A$4:$G$801,MATCH($B30,COMPOS!$A$4:A$801,0),5))))</f>
        <v>96.88</v>
      </c>
      <c r="H30" s="280">
        <f>(IF($A30="SINAPI",INDEX(SINAPI_NOV2020_NDES!$A$7:$H$6703,MATCH($B30,SINAPI_NOV2020_NDES!$A$7:$A$6703,0),7),(INDEX(COMPOS!$A$4:$G$801,MATCH($B30,COMPOS!$A$4:A$801,0),6))))</f>
        <v>0</v>
      </c>
      <c r="I30" s="279">
        <f t="shared" si="6"/>
        <v>135.51</v>
      </c>
      <c r="J30" s="276">
        <f t="shared" si="7"/>
        <v>406.53</v>
      </c>
      <c r="K30" s="255"/>
      <c r="L30" s="255"/>
      <c r="M30" s="255"/>
      <c r="N30" s="255"/>
      <c r="O30" s="257"/>
    </row>
    <row r="31" spans="1:15" ht="24">
      <c r="A31" s="251" t="s">
        <v>7</v>
      </c>
      <c r="B31" s="290">
        <v>91831</v>
      </c>
      <c r="C31" s="278" t="str">
        <f>(IF($A31="SINAPI",INDEX(SINAPI_NOV2020_NDES!$A$7:$H$6703,MATCH($B31,SINAPI_NOV2020_NDES!$A$7:$A$6703,0),2),IF($A31="GOINFRA",INDEX(#REF!,MATCH($B31,#REF!,0),2),(INDEX(COMPOS!$A$4:$G$3900,MATCH($B31,COMPOS!$A$4:A$3900,0),2)))))</f>
        <v>ELETRODUTO FLEXÍVEL CORRUGADO, PVC, DN 20 MM (1/2"), PARA CIRCUITOS TERMINAIS, INSTALADO EM FORRO - FORNECIMENTO E INSTALAÇÃO. AF_12/2015</v>
      </c>
      <c r="D31" s="374" t="str">
        <f>(IF($A31="SINAPI",INDEX(SINAPI_NOV2020_NDES!$A$7:$H$6790,MATCH($B31,SINAPI_NOV2020_NDES!$A$7:$A$6790,0),3),(INDEX(COMPOS!$A$4:$G$5000,MATCH($B31,COMPOS!$A$4:$A$5000,0),3))))</f>
        <v>M</v>
      </c>
      <c r="E31" s="276">
        <v>150</v>
      </c>
      <c r="F31" s="279">
        <f>(IF($A31="SINAPI",INDEX(SINAPI_NOV2020_NDES!$A$7:$H$6703,MATCH($B31,SINAPI_NOV2020_NDES!$A$7:$A$6703,0),5),(INDEX(COMPOS!$A$4:$G$801,MATCH($B31,COMPOS!$A$4:A$801,0),4))))</f>
        <v>2.96</v>
      </c>
      <c r="G31" s="280">
        <f>(IF($A31="SINAPI",INDEX(SINAPI_NOV2020_NDES!$A$7:$H$6703,MATCH($B31,SINAPI_NOV2020_NDES!$A$7:$A$6703,0),6),(INDEX(COMPOS!$A$4:$G$801,MATCH($B31,COMPOS!$A$4:A$801,0),5))))</f>
        <v>2.34</v>
      </c>
      <c r="H31" s="280">
        <f>(IF($A31="SINAPI",INDEX(SINAPI_NOV2020_NDES!$A$7:$H$6703,MATCH($B31,SINAPI_NOV2020_NDES!$A$7:$A$6703,0),7),(INDEX(COMPOS!$A$4:$G$801,MATCH($B31,COMPOS!$A$4:A$801,0),6))))</f>
        <v>0</v>
      </c>
      <c r="I31" s="279">
        <f t="shared" si="6"/>
        <v>5.3</v>
      </c>
      <c r="J31" s="276">
        <f t="shared" si="7"/>
        <v>795</v>
      </c>
      <c r="K31" s="255"/>
      <c r="L31" s="255"/>
      <c r="M31" s="255"/>
      <c r="N31" s="255"/>
      <c r="O31" s="257"/>
    </row>
    <row r="32" spans="1:15">
      <c r="A32" s="251" t="s">
        <v>6307</v>
      </c>
      <c r="B32" s="290">
        <v>719</v>
      </c>
      <c r="C32" s="278" t="str">
        <f>(IF($A32="SINAPI",INDEX(SINAPI_NOV2020_NDES!$A$7:$H$6703,MATCH($B32,SINAPI_NOV2020_NDES!$A$7:$A$6703,0),2),IF($A32="GOINFRA",INDEX(#REF!,MATCH($B32,#REF!,0),2),(INDEX(COMPOS!$A$4:$G$3900,MATCH($B32,COMPOS!$A$4:A$3900,0),2)))))</f>
        <v>ELETRODUTO EM AÇO GALVANIZADO A FOGO DIÂMETRO 3/4" - PESADO</v>
      </c>
      <c r="D32" s="374" t="str">
        <f>(IF($A32="SINAPI",INDEX(SINAPI_NOV2020_NDES!$A$7:$H$6790,MATCH($B32,SINAPI_NOV2020_NDES!$A$7:$A$6790,0),3),(INDEX(COMPOS!$A$4:$G$5000,MATCH($B32,COMPOS!$A$4:$A$5000,0),3))))</f>
        <v>M</v>
      </c>
      <c r="E32" s="276">
        <v>282</v>
      </c>
      <c r="F32" s="279">
        <f>(IF($A32="SINAPI",INDEX(SINAPI_NOV2020_NDES!$A$7:$H$6703,MATCH($B32,SINAPI_NOV2020_NDES!$A$7:$A$6703,0),5),(INDEX(COMPOS!$A$4:$G$801,MATCH($B32,COMPOS!$A$4:A$801,0),4))))</f>
        <v>11.588999999999999</v>
      </c>
      <c r="G32" s="280">
        <f>(IF($A32="SINAPI",INDEX(SINAPI_NOV2020_NDES!$A$7:$H$6703,MATCH($B32,SINAPI_NOV2020_NDES!$A$7:$A$6703,0),6),(INDEX(COMPOS!$A$4:$G$801,MATCH($B32,COMPOS!$A$4:A$801,0),5))))</f>
        <v>10.28</v>
      </c>
      <c r="H32" s="280">
        <f>(IF($A32="SINAPI",INDEX(SINAPI_NOV2020_NDES!$A$7:$H$6703,MATCH($B32,SINAPI_NOV2020_NDES!$A$7:$A$6703,0),7),(INDEX(COMPOS!$A$4:$G$801,MATCH($B32,COMPOS!$A$4:A$801,0),6))))</f>
        <v>0</v>
      </c>
      <c r="I32" s="279">
        <f t="shared" si="6"/>
        <v>21.869</v>
      </c>
      <c r="J32" s="276">
        <f t="shared" si="7"/>
        <v>6167.058</v>
      </c>
      <c r="K32" s="255"/>
      <c r="L32" s="255"/>
      <c r="M32" s="255"/>
      <c r="N32" s="255"/>
      <c r="O32" s="257"/>
    </row>
    <row r="33" spans="1:1007">
      <c r="A33" s="251" t="s">
        <v>6307</v>
      </c>
      <c r="B33" s="290">
        <v>722</v>
      </c>
      <c r="C33" s="278" t="str">
        <f>(IF($A33="SINAPI",INDEX(SINAPI_NOV2020_NDES!$A$7:$H$6703,MATCH($B33,SINAPI_NOV2020_NDES!$A$7:$A$6703,0),2),IF($A33="GOINFRA",INDEX(#REF!,MATCH($B33,#REF!,0),2),(INDEX(COMPOS!$A$4:$G$3900,MATCH($B33,COMPOS!$A$4:A$3900,0),2)))))</f>
        <v>FITA ISOLANTE, ROLO DE 20,00 M</v>
      </c>
      <c r="D33" s="374" t="str">
        <f>(IF($A33="SINAPI",INDEX(SINAPI_NOV2020_NDES!$A$7:$H$6790,MATCH($B33,SINAPI_NOV2020_NDES!$A$7:$A$6790,0),3),(INDEX(COMPOS!$A$4:$G$5000,MATCH($B33,COMPOS!$A$4:$A$5000,0),3))))</f>
        <v>UN</v>
      </c>
      <c r="E33" s="276">
        <v>1</v>
      </c>
      <c r="F33" s="279">
        <f>(IF($A33="SINAPI",INDEX(SINAPI_NOV2020_NDES!$A$7:$H$6703,MATCH($B33,SINAPI_NOV2020_NDES!$A$7:$A$6703,0),5),(INDEX(COMPOS!$A$4:$G$801,MATCH($B33,COMPOS!$A$4:A$801,0),4))))</f>
        <v>15.452</v>
      </c>
      <c r="G33" s="280">
        <f>(IF($A33="SINAPI",INDEX(SINAPI_NOV2020_NDES!$A$7:$H$6703,MATCH($B33,SINAPI_NOV2020_NDES!$A$7:$A$6703,0),6),(INDEX(COMPOS!$A$4:$G$801,MATCH($B33,COMPOS!$A$4:A$801,0),5))))</f>
        <v>10</v>
      </c>
      <c r="H33" s="280">
        <f>(IF($A33="SINAPI",INDEX(SINAPI_NOV2020_NDES!$A$7:$H$6703,MATCH($B33,SINAPI_NOV2020_NDES!$A$7:$A$6703,0),7),(INDEX(COMPOS!$A$4:$G$801,MATCH($B33,COMPOS!$A$4:A$801,0),6))))</f>
        <v>0</v>
      </c>
      <c r="I33" s="279">
        <f t="shared" si="6"/>
        <v>25.451999999999998</v>
      </c>
      <c r="J33" s="276">
        <f t="shared" si="7"/>
        <v>25.451999999999998</v>
      </c>
      <c r="K33" s="255"/>
      <c r="L33" s="255"/>
      <c r="M33" s="255"/>
      <c r="N33" s="255"/>
      <c r="O33" s="257"/>
    </row>
    <row r="34" spans="1:1007" ht="24">
      <c r="A34" s="251" t="s">
        <v>7</v>
      </c>
      <c r="B34" s="290">
        <v>91955</v>
      </c>
      <c r="C34" s="278" t="str">
        <f>(IF($A34="SINAPI",INDEX(SINAPI_NOV2020_NDES!$A$7:$H$6703,MATCH($B34,SINAPI_NOV2020_NDES!$A$7:$A$6703,0),2),IF($A34="GOINFRA",INDEX(#REF!,MATCH($B34,#REF!,0),2),(INDEX(COMPOS!$A$4:$G$3900,MATCH($B34,COMPOS!$A$4:A$3900,0),2)))))</f>
        <v>INTERRUPTOR PARALELO (1 MÓDULO), 10A/250V, INCLUINDO SUPORTE E PLACA - FORNECIMENTO E INSTALAÇÃO. AF_12/2015</v>
      </c>
      <c r="D34" s="374" t="str">
        <f>(IF($A34="SINAPI",INDEX(SINAPI_NOV2020_NDES!$A$7:$H$6790,MATCH($B34,SINAPI_NOV2020_NDES!$A$7:$A$6790,0),3),(INDEX(COMPOS!$A$4:$G$5000,MATCH($B34,COMPOS!$A$4:$A$5000,0),3))))</f>
        <v>UN</v>
      </c>
      <c r="E34" s="276">
        <v>4</v>
      </c>
      <c r="F34" s="279">
        <f>(IF($A34="SINAPI",INDEX(SINAPI_NOV2020_NDES!$A$7:$H$6703,MATCH($B34,SINAPI_NOV2020_NDES!$A$7:$A$6703,0),5),(INDEX(COMPOS!$A$4:$G$801,MATCH($B34,COMPOS!$A$4:A$801,0),4))))</f>
        <v>11.24</v>
      </c>
      <c r="G34" s="280">
        <f>(IF($A34="SINAPI",INDEX(SINAPI_NOV2020_NDES!$A$7:$H$6703,MATCH($B34,SINAPI_NOV2020_NDES!$A$7:$A$6703,0),6),(INDEX(COMPOS!$A$4:$G$801,MATCH($B34,COMPOS!$A$4:A$801,0),5))))</f>
        <v>11.47</v>
      </c>
      <c r="H34" s="280">
        <f>(IF($A34="SINAPI",INDEX(SINAPI_NOV2020_NDES!$A$7:$H$6703,MATCH($B34,SINAPI_NOV2020_NDES!$A$7:$A$6703,0),7),(INDEX(COMPOS!$A$4:$G$801,MATCH($B34,COMPOS!$A$4:A$801,0),6))))</f>
        <v>0</v>
      </c>
      <c r="I34" s="279">
        <f t="shared" si="6"/>
        <v>22.71</v>
      </c>
      <c r="J34" s="276">
        <f t="shared" si="7"/>
        <v>90.84</v>
      </c>
      <c r="K34" s="255"/>
      <c r="L34" s="255"/>
      <c r="M34" s="255"/>
      <c r="N34" s="255"/>
      <c r="O34" s="257"/>
    </row>
    <row r="35" spans="1:1007" ht="24">
      <c r="A35" s="251" t="s">
        <v>7</v>
      </c>
      <c r="B35" s="290">
        <v>91953</v>
      </c>
      <c r="C35" s="278" t="str">
        <f>(IF($A35="SINAPI",INDEX(SINAPI_NOV2020_NDES!$A$7:$H$6703,MATCH($B35,SINAPI_NOV2020_NDES!$A$7:$A$6703,0),2),IF($A35="GOINFRA",INDEX(#REF!,MATCH($B35,#REF!,0),2),(INDEX(COMPOS!$A$4:$G$3900,MATCH($B35,COMPOS!$A$4:A$3900,0),2)))))</f>
        <v>INTERRUPTOR SIMPLES (1 MÓDULO), 10A/250V, INCLUINDO SUPORTE E PLACA - FORNECIMENTO E INSTALAÇÃO. AF_12/2015</v>
      </c>
      <c r="D35" s="374" t="str">
        <f>(IF($A35="SINAPI",INDEX(SINAPI_NOV2020_NDES!$A$7:$H$6790,MATCH($B35,SINAPI_NOV2020_NDES!$A$7:$A$6790,0),3),(INDEX(COMPOS!$A$4:$G$5000,MATCH($B35,COMPOS!$A$4:$A$5000,0),3))))</f>
        <v>UN</v>
      </c>
      <c r="E35" s="276">
        <v>8</v>
      </c>
      <c r="F35" s="279">
        <f>(IF($A35="SINAPI",INDEX(SINAPI_NOV2020_NDES!$A$7:$H$6703,MATCH($B35,SINAPI_NOV2020_NDES!$A$7:$A$6703,0),5),(INDEX(COMPOS!$A$4:$G$801,MATCH($B35,COMPOS!$A$4:A$801,0),4))))</f>
        <v>8.7899999999999991</v>
      </c>
      <c r="G35" s="280">
        <f>(IF($A35="SINAPI",INDEX(SINAPI_NOV2020_NDES!$A$7:$H$6703,MATCH($B35,SINAPI_NOV2020_NDES!$A$7:$A$6703,0),6),(INDEX(COMPOS!$A$4:$G$801,MATCH($B35,COMPOS!$A$4:A$801,0),5))))</f>
        <v>9.4499999999999993</v>
      </c>
      <c r="H35" s="280">
        <f>(IF($A35="SINAPI",INDEX(SINAPI_NOV2020_NDES!$A$7:$H$6703,MATCH($B35,SINAPI_NOV2020_NDES!$A$7:$A$6703,0),7),(INDEX(COMPOS!$A$4:$G$801,MATCH($B35,COMPOS!$A$4:A$801,0),6))))</f>
        <v>0</v>
      </c>
      <c r="I35" s="279">
        <f t="shared" si="6"/>
        <v>18.239999999999998</v>
      </c>
      <c r="J35" s="276">
        <f t="shared" si="7"/>
        <v>145.91999999999999</v>
      </c>
      <c r="K35" s="255"/>
      <c r="L35" s="255"/>
      <c r="M35" s="255"/>
      <c r="N35" s="255"/>
      <c r="O35" s="257"/>
    </row>
    <row r="36" spans="1:1007" ht="35.450000000000003" customHeight="1">
      <c r="A36" s="251" t="s">
        <v>7</v>
      </c>
      <c r="B36" s="290">
        <v>95757</v>
      </c>
      <c r="C36" s="278" t="str">
        <f>(IF($A36="SINAPI",INDEX(SINAPI_NOV2020_NDES!$A$7:$H$6703,MATCH($B36,SINAPI_NOV2020_NDES!$A$7:$A$6703,0),2),IF($A36="GOINFRA",INDEX(#REF!,MATCH($B36,#REF!,0),2),(INDEX(COMPOS!$A$4:$G$3900,MATCH($B36,COMPOS!$A$4:A$3900,0),2)))))</f>
        <v>LUVA DE EMENDA PARA ELETRODUTO, AÇO GALVANIZADO, DN 20 MM (3/4''), APARENTE, INSTALADA EM PAREDE - FORNECIMENTO E INSTALAÇÃO. AF_11/2016_P</v>
      </c>
      <c r="D36" s="374" t="str">
        <f>(IF($A36="SINAPI",INDEX(SINAPI_NOV2020_NDES!$A$7:$H$6790,MATCH($B36,SINAPI_NOV2020_NDES!$A$7:$A$6790,0),3),(INDEX(COMPOS!$A$4:$G$5000,MATCH($B36,COMPOS!$A$4:$A$5000,0),3))))</f>
        <v>UN</v>
      </c>
      <c r="E36" s="276">
        <v>94</v>
      </c>
      <c r="F36" s="279">
        <f>(IF($A36="SINAPI",INDEX(SINAPI_NOV2020_NDES!$A$7:$H$6703,MATCH($B36,SINAPI_NOV2020_NDES!$A$7:$A$6703,0),5),(INDEX(COMPOS!$A$4:$G$801,MATCH($B36,COMPOS!$A$4:A$801,0),4))))</f>
        <v>5.41</v>
      </c>
      <c r="G36" s="280">
        <f>(IF($A36="SINAPI",INDEX(SINAPI_NOV2020_NDES!$A$7:$H$6703,MATCH($B36,SINAPI_NOV2020_NDES!$A$7:$A$6703,0),6),(INDEX(COMPOS!$A$4:$G$801,MATCH($B36,COMPOS!$A$4:A$801,0),5))))</f>
        <v>2.72</v>
      </c>
      <c r="H36" s="280">
        <f>(IF($A36="SINAPI",INDEX(SINAPI_NOV2020_NDES!$A$7:$H$6703,MATCH($B36,SINAPI_NOV2020_NDES!$A$7:$A$6703,0),7),(INDEX(COMPOS!$A$4:$G$801,MATCH($B36,COMPOS!$A$4:A$801,0),6))))</f>
        <v>0</v>
      </c>
      <c r="I36" s="279">
        <f t="shared" si="6"/>
        <v>8.1300000000000008</v>
      </c>
      <c r="J36" s="276">
        <f t="shared" si="7"/>
        <v>764.22</v>
      </c>
      <c r="K36" s="255"/>
      <c r="L36" s="255"/>
      <c r="M36" s="255"/>
      <c r="N36" s="255"/>
      <c r="O36" s="257"/>
    </row>
    <row r="37" spans="1:1007">
      <c r="A37" s="251" t="s">
        <v>6307</v>
      </c>
      <c r="B37" s="290">
        <v>738</v>
      </c>
      <c r="C37" s="278" t="str">
        <f>(IF($A37="SINAPI",INDEX(SINAPI_NOV2020_NDES!$A$7:$H$6703,MATCH($B37,SINAPI_NOV2020_NDES!$A$7:$A$6703,0),2),IF($A37="GOINFRA",INDEX(#REF!,MATCH($B37,#REF!,0),2),(INDEX(COMPOS!$A$4:$G$3900,MATCH($B37,COMPOS!$A$4:A$3900,0),2)))))</f>
        <v>QUADRO DE DISTRIBUIÇÃO DE EMBUTIR EM PVC CB 24E - 80A</v>
      </c>
      <c r="D37" s="374" t="str">
        <f>(IF($A37="SINAPI",INDEX(SINAPI_NOV2020_NDES!$A$7:$H$6790,MATCH($B37,SINAPI_NOV2020_NDES!$A$7:$A$6790,0),3),(INDEX(COMPOS!$A$4:$G$5000,MATCH($B37,COMPOS!$A$4:$A$5000,0),3))))</f>
        <v>UN</v>
      </c>
      <c r="E37" s="276">
        <v>1</v>
      </c>
      <c r="F37" s="279">
        <f>(IF($A37="SINAPI",INDEX(SINAPI_NOV2020_NDES!$A$7:$H$6703,MATCH($B37,SINAPI_NOV2020_NDES!$A$7:$A$6703,0),5),(INDEX(COMPOS!$A$4:$G$801,MATCH($B37,COMPOS!$A$4:A$801,0),4))))</f>
        <v>115.89</v>
      </c>
      <c r="G37" s="280">
        <f>(IF($A37="SINAPI",INDEX(SINAPI_NOV2020_NDES!$A$7:$H$6703,MATCH($B37,SINAPI_NOV2020_NDES!$A$7:$A$6703,0),6),(INDEX(COMPOS!$A$4:$G$801,MATCH($B37,COMPOS!$A$4:A$801,0),5))))</f>
        <v>16.73</v>
      </c>
      <c r="H37" s="280">
        <f>(IF($A37="SINAPI",INDEX(SINAPI_NOV2020_NDES!$A$7:$H$6703,MATCH($B37,SINAPI_NOV2020_NDES!$A$7:$A$6703,0),7),(INDEX(COMPOS!$A$4:$G$801,MATCH($B37,COMPOS!$A$4:A$801,0),6))))</f>
        <v>0</v>
      </c>
      <c r="I37" s="279">
        <f t="shared" si="6"/>
        <v>132.62</v>
      </c>
      <c r="J37" s="276">
        <f t="shared" si="7"/>
        <v>132.62</v>
      </c>
      <c r="K37" s="255"/>
      <c r="L37" s="255"/>
      <c r="M37" s="255"/>
      <c r="N37" s="255"/>
      <c r="O37" s="257"/>
    </row>
    <row r="38" spans="1:1007">
      <c r="A38" s="251" t="s">
        <v>6307</v>
      </c>
      <c r="B38" s="290">
        <v>752</v>
      </c>
      <c r="C38" s="278" t="str">
        <f>(IF($A38="SINAPI",INDEX(SINAPI_NOV2020_NDES!$A$7:$H$6703,MATCH($B38,SINAPI_NOV2020_NDES!$A$7:$A$6703,0),2),IF($A38="GOINFRA",INDEX(#REF!,MATCH($B38,#REF!,0),2),(INDEX(COMPOS!$A$4:$G$3900,MATCH($B38,COMPOS!$A$4:A$3900,0),2)))))</f>
        <v>TAMPA PARA CONDULETE METÁLICO PARA 1 INTERRUPTOR</v>
      </c>
      <c r="D38" s="374" t="str">
        <f>(IF($A38="SINAPI",INDEX(SINAPI_NOV2020_NDES!$A$7:$H$6790,MATCH($B38,SINAPI_NOV2020_NDES!$A$7:$A$6790,0),3),(INDEX(COMPOS!$A$4:$G$5000,MATCH($B38,COMPOS!$A$4:$A$5000,0),3))))</f>
        <v>UN</v>
      </c>
      <c r="E38" s="276">
        <v>2</v>
      </c>
      <c r="F38" s="279">
        <f>(IF($A38="SINAPI",INDEX(SINAPI_NOV2020_NDES!$A$7:$H$6703,MATCH($B38,SINAPI_NOV2020_NDES!$A$7:$A$6703,0),5),(INDEX(COMPOS!$A$4:$G$801,MATCH($B38,COMPOS!$A$4:A$801,0),4))))</f>
        <v>1.1589</v>
      </c>
      <c r="G38" s="280">
        <f>(IF($A38="SINAPI",INDEX(SINAPI_NOV2020_NDES!$A$7:$H$6703,MATCH($B38,SINAPI_NOV2020_NDES!$A$7:$A$6703,0),6),(INDEX(COMPOS!$A$4:$G$801,MATCH($B38,COMPOS!$A$4:A$801,0),5))))</f>
        <v>2.04</v>
      </c>
      <c r="H38" s="280">
        <f>(IF($A38="SINAPI",INDEX(SINAPI_NOV2020_NDES!$A$7:$H$6703,MATCH($B38,SINAPI_NOV2020_NDES!$A$7:$A$6703,0),7),(INDEX(COMPOS!$A$4:$G$801,MATCH($B38,COMPOS!$A$4:A$801,0),6))))</f>
        <v>0</v>
      </c>
      <c r="I38" s="279">
        <f t="shared" si="6"/>
        <v>3.1989000000000001</v>
      </c>
      <c r="J38" s="276">
        <f t="shared" si="7"/>
        <v>6.3978000000000002</v>
      </c>
      <c r="K38" s="255"/>
      <c r="L38" s="255"/>
      <c r="M38" s="255"/>
      <c r="N38" s="255"/>
      <c r="O38" s="257"/>
    </row>
    <row r="39" spans="1:1007">
      <c r="A39" s="251" t="s">
        <v>6307</v>
      </c>
      <c r="B39" s="290">
        <v>753</v>
      </c>
      <c r="C39" s="278" t="str">
        <f>(IF($A39="SINAPI",INDEX(SINAPI_NOV2020_NDES!$A$7:$H$6703,MATCH($B39,SINAPI_NOV2020_NDES!$A$7:$A$6703,0),2),IF($A39="GOINFRA",INDEX(#REF!,MATCH($B39,#REF!,0),2),(INDEX(COMPOS!$A$4:$G$3900,MATCH($B39,COMPOS!$A$4:A$3900,0),2)))))</f>
        <v>TAMPA PARA CONDULETE METÁLICO PARA 1 TOMADA</v>
      </c>
      <c r="D39" s="374" t="str">
        <f>(IF($A39="SINAPI",INDEX(SINAPI_NOV2020_NDES!$A$7:$H$6790,MATCH($B39,SINAPI_NOV2020_NDES!$A$7:$A$6790,0),3),(INDEX(COMPOS!$A$4:$G$5000,MATCH($B39,COMPOS!$A$4:$A$5000,0),3))))</f>
        <v>UN</v>
      </c>
      <c r="E39" s="276">
        <v>22</v>
      </c>
      <c r="F39" s="279">
        <f>(IF($A39="SINAPI",INDEX(SINAPI_NOV2020_NDES!$A$7:$H$6703,MATCH($B39,SINAPI_NOV2020_NDES!$A$7:$A$6703,0),5),(INDEX(COMPOS!$A$4:$G$801,MATCH($B39,COMPOS!$A$4:A$801,0),4))))</f>
        <v>1.1589</v>
      </c>
      <c r="G39" s="280">
        <f>(IF($A39="SINAPI",INDEX(SINAPI_NOV2020_NDES!$A$7:$H$6703,MATCH($B39,SINAPI_NOV2020_NDES!$A$7:$A$6703,0),6),(INDEX(COMPOS!$A$4:$G$801,MATCH($B39,COMPOS!$A$4:A$801,0),5))))</f>
        <v>2.04</v>
      </c>
      <c r="H39" s="280">
        <f>(IF($A39="SINAPI",INDEX(SINAPI_NOV2020_NDES!$A$7:$H$6703,MATCH($B39,SINAPI_NOV2020_NDES!$A$7:$A$6703,0),7),(INDEX(COMPOS!$A$4:$G$801,MATCH($B39,COMPOS!$A$4:A$801,0),6))))</f>
        <v>0</v>
      </c>
      <c r="I39" s="279">
        <f t="shared" si="6"/>
        <v>3.1989000000000001</v>
      </c>
      <c r="J39" s="276">
        <f t="shared" si="7"/>
        <v>70.375799999999998</v>
      </c>
      <c r="K39" s="255"/>
      <c r="L39" s="255"/>
      <c r="M39" s="255"/>
      <c r="N39" s="255"/>
      <c r="O39" s="257"/>
    </row>
    <row r="40" spans="1:1007">
      <c r="A40" s="251" t="s">
        <v>6307</v>
      </c>
      <c r="B40" s="290">
        <v>758</v>
      </c>
      <c r="C40" s="278" t="str">
        <f>(IF($A40="SINAPI",INDEX(SINAPI_NOV2020_NDES!$A$7:$H$6703,MATCH($B40,SINAPI_NOV2020_NDES!$A$7:$A$6703,0),2),IF($A40="GOINFRA",INDEX(#REF!,MATCH($B40,#REF!,0),2),(INDEX(COMPOS!$A$4:$G$3900,MATCH($B40,COMPOS!$A$4:A$3900,0),2)))))</f>
        <v>TOMADA HEXAGONAL 2P+T - 10A - 250V (LINHA X OU EQUIVALENTE)</v>
      </c>
      <c r="D40" s="374" t="str">
        <f>(IF($A40="SINAPI",INDEX(SINAPI_NOV2020_NDES!$A$7:$H$6790,MATCH($B40,SINAPI_NOV2020_NDES!$A$7:$A$6790,0),3),(INDEX(COMPOS!$A$4:$G$5000,MATCH($B40,COMPOS!$A$4:$A$5000,0),3))))</f>
        <v>UN</v>
      </c>
      <c r="E40" s="276">
        <v>17</v>
      </c>
      <c r="F40" s="279">
        <f>(IF($A40="SINAPI",INDEX(SINAPI_NOV2020_NDES!$A$7:$H$6703,MATCH($B40,SINAPI_NOV2020_NDES!$A$7:$A$6703,0),5),(INDEX(COMPOS!$A$4:$G$801,MATCH($B40,COMPOS!$A$4:A$801,0),4))))</f>
        <v>11.2027</v>
      </c>
      <c r="G40" s="280">
        <f>(IF($A40="SINAPI",INDEX(SINAPI_NOV2020_NDES!$A$7:$H$6703,MATCH($B40,SINAPI_NOV2020_NDES!$A$7:$A$6703,0),6),(INDEX(COMPOS!$A$4:$G$801,MATCH($B40,COMPOS!$A$4:A$801,0),5))))</f>
        <v>8.51</v>
      </c>
      <c r="H40" s="280">
        <f>(IF($A40="SINAPI",INDEX(SINAPI_NOV2020_NDES!$A$7:$H$6703,MATCH($B40,SINAPI_NOV2020_NDES!$A$7:$A$6703,0),7),(INDEX(COMPOS!$A$4:$G$801,MATCH($B40,COMPOS!$A$4:A$801,0),6))))</f>
        <v>0</v>
      </c>
      <c r="I40" s="279">
        <f t="shared" si="6"/>
        <v>19.712699999999998</v>
      </c>
      <c r="J40" s="276">
        <f t="shared" si="7"/>
        <v>335.11589999999995</v>
      </c>
      <c r="K40" s="255"/>
      <c r="L40" s="255"/>
      <c r="M40" s="255"/>
      <c r="N40" s="255"/>
      <c r="O40" s="257"/>
    </row>
    <row r="41" spans="1:1007">
      <c r="A41" s="251" t="s">
        <v>6307</v>
      </c>
      <c r="B41" s="290">
        <v>315</v>
      </c>
      <c r="C41" s="278" t="str">
        <f>(IF($A41="SINAPI",INDEX(SINAPI_NOV2020_NDES!$A$7:$H$6703,MATCH($B41,SINAPI_NOV2020_NDES!$A$7:$A$6703,0),2),IF($A41="GOINFRA",INDEX(#REF!,MATCH($B41,#REF!,0),2),(INDEX(COMPOS!$A$4:$G$3900,MATCH($B41,COMPOS!$A$4:A$3900,0),2)))))</f>
        <v>LUMINÁRIA HERMÉTICA IP-65, PARA 02 LÂMPADAS</v>
      </c>
      <c r="D41" s="374" t="str">
        <f>(IF($A41="SINAPI",INDEX(SINAPI_NOV2020_NDES!$A$7:$H$6790,MATCH($B41,SINAPI_NOV2020_NDES!$A$7:$A$6790,0),3),(INDEX(COMPOS!$A$4:$G$5000,MATCH($B41,COMPOS!$A$4:$A$5000,0),3))))</f>
        <v>UN</v>
      </c>
      <c r="E41" s="276">
        <v>12</v>
      </c>
      <c r="F41" s="279">
        <f>(IF($A41="SINAPI",INDEX(SINAPI_NOV2020_NDES!$A$7:$H$6703,MATCH($B41,SINAPI_NOV2020_NDES!$A$7:$A$6703,0),5),(INDEX(COMPOS!$A$4:$G$801,MATCH($B41,COMPOS!$A$4:A$801,0),4))))</f>
        <v>25.132678000000002</v>
      </c>
      <c r="G41" s="280">
        <f>(IF($A41="SINAPI",INDEX(SINAPI_NOV2020_NDES!$A$7:$H$6703,MATCH($B41,SINAPI_NOV2020_NDES!$A$7:$A$6703,0),6),(INDEX(COMPOS!$A$4:$G$801,MATCH($B41,COMPOS!$A$4:A$801,0),5))))</f>
        <v>107.03</v>
      </c>
      <c r="H41" s="280">
        <f>(IF($A41="SINAPI",INDEX(SINAPI_NOV2020_NDES!$A$7:$H$6703,MATCH($B41,SINAPI_NOV2020_NDES!$A$7:$A$6703,0),7),(INDEX(COMPOS!$A$4:$G$801,MATCH($B41,COMPOS!$A$4:A$801,0),6))))</f>
        <v>0</v>
      </c>
      <c r="I41" s="279">
        <f t="shared" si="6"/>
        <v>132.162678</v>
      </c>
      <c r="J41" s="276">
        <f t="shared" si="7"/>
        <v>1585.9521359999999</v>
      </c>
      <c r="K41" s="255"/>
      <c r="L41" s="255"/>
      <c r="M41" s="255"/>
      <c r="N41" s="255"/>
      <c r="O41" s="257"/>
    </row>
    <row r="42" spans="1:1007" ht="24">
      <c r="A42" s="251" t="s">
        <v>7</v>
      </c>
      <c r="B42" s="290">
        <v>100903</v>
      </c>
      <c r="C42" s="278" t="str">
        <f>(IF($A42="SINAPI",INDEX(SINAPI_NOV2020_NDES!$A$7:$H$6703,MATCH($B42,SINAPI_NOV2020_NDES!$A$7:$A$6703,0),2),IF($A42="GOINFRA",INDEX(#REF!,MATCH($B42,#REF!,0),2),(INDEX(COMPOS!$A$4:$G$3900,MATCH($B42,COMPOS!$A$4:A$3900,0),2)))))</f>
        <v>LÂMPADA TUBULAR LED DE 18/20 W, BASE G13 - FORNECIMENTO E INSTALAÇÃO. AF_02/2020_P</v>
      </c>
      <c r="D42" s="374" t="str">
        <f>(IF($A42="SINAPI",INDEX(SINAPI_NOV2020_NDES!$A$7:$H$6790,MATCH($B42,SINAPI_NOV2020_NDES!$A$7:$A$6790,0),3),(INDEX(COMPOS!$A$4:$G$5000,MATCH($B42,COMPOS!$A$4:$A$5000,0),3))))</f>
        <v>UN</v>
      </c>
      <c r="E42" s="276">
        <v>24</v>
      </c>
      <c r="F42" s="279">
        <f>(IF($A42="SINAPI",INDEX(SINAPI_NOV2020_NDES!$A$7:$H$6703,MATCH($B42,SINAPI_NOV2020_NDES!$A$7:$A$6703,0),5),(INDEX(COMPOS!$A$4:$G$801,MATCH($B42,COMPOS!$A$4:A$801,0),4))))</f>
        <v>5.54</v>
      </c>
      <c r="G42" s="280">
        <f>(IF($A42="SINAPI",INDEX(SINAPI_NOV2020_NDES!$A$7:$H$6703,MATCH($B42,SINAPI_NOV2020_NDES!$A$7:$A$6703,0),6),(INDEX(COMPOS!$A$4:$G$801,MATCH($B42,COMPOS!$A$4:A$801,0),5))))</f>
        <v>23.44</v>
      </c>
      <c r="H42" s="280">
        <f>(IF($A42="SINAPI",INDEX(SINAPI_NOV2020_NDES!$A$7:$H$6703,MATCH($B42,SINAPI_NOV2020_NDES!$A$7:$A$6703,0),7),(INDEX(COMPOS!$A$4:$G$801,MATCH($B42,COMPOS!$A$4:A$801,0),6))))</f>
        <v>0</v>
      </c>
      <c r="I42" s="279">
        <f t="shared" si="6"/>
        <v>28.98</v>
      </c>
      <c r="J42" s="276">
        <f t="shared" si="7"/>
        <v>695.52</v>
      </c>
      <c r="K42" s="255"/>
      <c r="L42" s="255"/>
      <c r="M42" s="255"/>
      <c r="N42" s="255"/>
      <c r="O42" s="257"/>
    </row>
    <row r="43" spans="1:1007">
      <c r="A43" s="251" t="s">
        <v>6307</v>
      </c>
      <c r="B43" s="290">
        <v>756</v>
      </c>
      <c r="C43" s="278" t="str">
        <f>(IF($A43="SINAPI",INDEX(SINAPI_NOV2020_NDES!$A$7:$H$6703,MATCH($B43,SINAPI_NOV2020_NDES!$A$7:$A$6703,0),2),IF($A43="GOINFRA",INDEX(#REF!,MATCH($B43,#REF!,0),2),(INDEX(COMPOS!$A$4:$G$3900,MATCH($B43,COMPOS!$A$4:A$3900,0),2)))))</f>
        <v>LUMINARIA LED REFLETOR RETANGULAR BIVOLT, LUZ BRANCA, 50 W</v>
      </c>
      <c r="D43" s="374" t="str">
        <f>(IF($A43="SINAPI",INDEX(SINAPI_NOV2020_NDES!$A$7:$H$6790,MATCH($B43,SINAPI_NOV2020_NDES!$A$7:$A$6790,0),3),(INDEX(COMPOS!$A$4:$G$5000,MATCH($B43,COMPOS!$A$4:$A$5000,0),3))))</f>
        <v>UN</v>
      </c>
      <c r="E43" s="316">
        <v>11</v>
      </c>
      <c r="F43" s="326">
        <f>(IF($A43="SINAPI",INDEX(SINAPI_NOV2020_NDES!$A$7:$H$6703,MATCH($B43,SINAPI_NOV2020_NDES!$A$7:$A$6703,0),5),(INDEX(COMPOS!$A$4:$G$801,MATCH($B43,COMPOS!$A$4:A$801,0),4))))</f>
        <v>12.462038</v>
      </c>
      <c r="G43" s="320">
        <f>(IF($A43="SINAPI",INDEX(SINAPI_NOV2020_NDES!$A$7:$H$6703,MATCH($B43,SINAPI_NOV2020_NDES!$A$7:$A$6703,0),6),(INDEX(COMPOS!$A$4:$G$801,MATCH($B43,COMPOS!$A$4:A$801,0),5))))</f>
        <v>52.39</v>
      </c>
      <c r="H43" s="320">
        <f>(IF($A43="SINAPI",INDEX(SINAPI_NOV2020_NDES!$A$7:$H$6703,MATCH($B43,SINAPI_NOV2020_NDES!$A$7:$A$6703,0),7),(INDEX(COMPOS!$A$4:$G$801,MATCH($B43,COMPOS!$A$4:A$801,0),6))))</f>
        <v>0</v>
      </c>
      <c r="I43" s="326">
        <f t="shared" si="6"/>
        <v>64.852037999999993</v>
      </c>
      <c r="J43" s="316">
        <f t="shared" si="7"/>
        <v>713.37241799999993</v>
      </c>
      <c r="K43" s="255"/>
      <c r="L43" s="255"/>
      <c r="M43" s="255"/>
      <c r="N43" s="255"/>
      <c r="O43" s="257"/>
    </row>
    <row r="44" spans="1:1007">
      <c r="A44" s="251" t="s">
        <v>6307</v>
      </c>
      <c r="B44" s="290">
        <v>757</v>
      </c>
      <c r="C44" s="278" t="str">
        <f>(IF($A44="SINAPI",INDEX(SINAPI_NOV2020_NDES!$A$7:$H$6703,MATCH($B44,SINAPI_NOV2020_NDES!$A$7:$A$6703,0),2),IF($A44="GOINFRA",INDEX(#REF!,MATCH($B44,#REF!,0),2),(INDEX(COMPOS!$A$4:$G$3900,MATCH($B44,COMPOS!$A$4:A$3900,0),2)))))</f>
        <v>INTERRUPTOR 1 SEÇÃO (LINHA X OU EQUIVALENTE)</v>
      </c>
      <c r="D44" s="374" t="str">
        <f>(IF($A44="SINAPI",INDEX(SINAPI_NOV2020_NDES!$A$7:$H$6790,MATCH($B44,SINAPI_NOV2020_NDES!$A$7:$A$6790,0),3),(INDEX(COMPOS!$A$4:$G$5000,MATCH($B44,COMPOS!$A$4:$A$5000,0),3))))</f>
        <v>UN</v>
      </c>
      <c r="E44" s="276">
        <v>2</v>
      </c>
      <c r="F44" s="279">
        <f>(IF($A44="SINAPI",INDEX(SINAPI_NOV2020_NDES!$A$7:$H$6703,MATCH($B44,SINAPI_NOV2020_NDES!$A$7:$A$6703,0),5),(INDEX(COMPOS!$A$4:$G$801,MATCH($B44,COMPOS!$A$4:A$801,0),4))))</f>
        <v>8.1122999999999994</v>
      </c>
      <c r="G44" s="280">
        <f>(IF($A44="SINAPI",INDEX(SINAPI_NOV2020_NDES!$A$7:$H$6703,MATCH($B44,SINAPI_NOV2020_NDES!$A$7:$A$6703,0),6),(INDEX(COMPOS!$A$4:$G$801,MATCH($B44,COMPOS!$A$4:A$801,0),5))))</f>
        <v>5.72</v>
      </c>
      <c r="H44" s="280">
        <f>(IF($A44="SINAPI",INDEX(SINAPI_NOV2020_NDES!$A$7:$H$6703,MATCH($B44,SINAPI_NOV2020_NDES!$A$7:$A$6703,0),7),(INDEX(COMPOS!$A$4:$G$801,MATCH($B44,COMPOS!$A$4:A$801,0),6))))</f>
        <v>0</v>
      </c>
      <c r="I44" s="279">
        <f t="shared" si="6"/>
        <v>13.8323</v>
      </c>
      <c r="J44" s="276">
        <f t="shared" si="7"/>
        <v>27.6646</v>
      </c>
      <c r="K44" s="255"/>
      <c r="L44" s="255"/>
      <c r="M44" s="255"/>
      <c r="N44" s="255"/>
      <c r="O44" s="257"/>
      <c r="ALK44" s="42"/>
      <c r="ALL44" s="42"/>
      <c r="ALM44" s="42"/>
      <c r="ALN44" s="42"/>
      <c r="ALO44" s="42"/>
      <c r="ALP44" s="42"/>
      <c r="ALQ44" s="42"/>
      <c r="ALR44" s="42"/>
      <c r="ALS44" s="42"/>
    </row>
    <row r="45" spans="1:1007">
      <c r="A45" s="251" t="s">
        <v>6307</v>
      </c>
      <c r="B45" s="290">
        <v>758</v>
      </c>
      <c r="C45" s="278" t="str">
        <f>(IF($A45="SINAPI",INDEX(SINAPI_NOV2020_NDES!$A$7:$H$6703,MATCH($B45,SINAPI_NOV2020_NDES!$A$7:$A$6703,0),2),IF($A45="GOINFRA",INDEX(#REF!,MATCH($B45,#REF!,0),2),(INDEX(COMPOS!$A$4:$G$3900,MATCH($B45,COMPOS!$A$4:A$3900,0),2)))))</f>
        <v>TOMADA HEXAGONAL 2P+T - 10A - 250V (LINHA X OU EQUIVALENTE)</v>
      </c>
      <c r="D45" s="374" t="str">
        <f>(IF($A45="SINAPI",INDEX(SINAPI_NOV2020_NDES!$A$7:$H$6790,MATCH($B45,SINAPI_NOV2020_NDES!$A$7:$A$6790,0),3),(INDEX(COMPOS!$A$4:$G$5000,MATCH($B45,COMPOS!$A$4:$A$5000,0),3))))</f>
        <v>UN</v>
      </c>
      <c r="E45" s="276">
        <v>22</v>
      </c>
      <c r="F45" s="279">
        <f>(IF($A45="SINAPI",INDEX(SINAPI_NOV2020_NDES!$A$7:$H$6703,MATCH($B45,SINAPI_NOV2020_NDES!$A$7:$A$6703,0),5),(INDEX(COMPOS!$A$4:$G$801,MATCH($B45,COMPOS!$A$4:A$801,0),4))))</f>
        <v>11.2027</v>
      </c>
      <c r="G45" s="280">
        <f>(IF($A45="SINAPI",INDEX(SINAPI_NOV2020_NDES!$A$7:$H$6703,MATCH($B45,SINAPI_NOV2020_NDES!$A$7:$A$6703,0),6),(INDEX(COMPOS!$A$4:$G$801,MATCH($B45,COMPOS!$A$4:A$801,0),5))))</f>
        <v>8.51</v>
      </c>
      <c r="H45" s="280">
        <f>(IF($A45="SINAPI",INDEX(SINAPI_NOV2020_NDES!$A$7:$H$6703,MATCH($B45,SINAPI_NOV2020_NDES!$A$7:$A$6703,0),7),(INDEX(COMPOS!$A$4:$G$801,MATCH($B45,COMPOS!$A$4:A$801,0),6))))</f>
        <v>0</v>
      </c>
      <c r="I45" s="279">
        <f t="shared" si="6"/>
        <v>19.712699999999998</v>
      </c>
      <c r="J45" s="276">
        <f t="shared" si="7"/>
        <v>433.67939999999999</v>
      </c>
      <c r="K45" s="255"/>
      <c r="L45" s="255"/>
      <c r="M45" s="255"/>
      <c r="N45" s="255"/>
      <c r="O45" s="257"/>
      <c r="ALK45" s="42"/>
      <c r="ALL45" s="42"/>
      <c r="ALM45" s="42"/>
      <c r="ALN45" s="42"/>
      <c r="ALO45" s="42"/>
      <c r="ALP45" s="42"/>
      <c r="ALQ45" s="42"/>
      <c r="ALR45" s="42"/>
      <c r="ALS45" s="42"/>
    </row>
    <row r="46" spans="1:1007" ht="24">
      <c r="A46" s="251" t="s">
        <v>6307</v>
      </c>
      <c r="B46" s="290">
        <v>759</v>
      </c>
      <c r="C46" s="278" t="str">
        <f>(IF($A46="SINAPI",INDEX(SINAPI_NOV2020_NDES!$A$7:$H$6703,MATCH($B46,SINAPI_NOV2020_NDES!$A$7:$A$6703,0),2),IF($A46="GOINFRA",INDEX(#REF!,MATCH($B46,#REF!,0),2),(INDEX(COMPOS!$A$4:$G$3900,MATCH($B46,COMPOS!$A$4:A$3900,0),2)))))</f>
        <v>LUMINÁRIA LED PARA GINÁSIO / QUADRA 200W - REFERÊNCIA WAMPA TECNOWATT OU EQUIVALENTE</v>
      </c>
      <c r="D46" s="374" t="str">
        <f>(IF($A46="SINAPI",INDEX(SINAPI_NOV2020_NDES!$A$7:$H$6790,MATCH($B46,SINAPI_NOV2020_NDES!$A$7:$A$6790,0),3),(INDEX(COMPOS!$A$4:$G$5000,MATCH($B46,COMPOS!$A$4:$A$5000,0),3))))</f>
        <v>UN</v>
      </c>
      <c r="E46" s="276">
        <v>18</v>
      </c>
      <c r="F46" s="279">
        <f>(IF($A46="SINAPI",INDEX(SINAPI_NOV2020_NDES!$A$7:$H$6703,MATCH($B46,SINAPI_NOV2020_NDES!$A$7:$A$6703,0),5),(INDEX(COMPOS!$A$4:$G$801,MATCH($B46,COMPOS!$A$4:A$801,0),4))))</f>
        <v>12.462038</v>
      </c>
      <c r="G46" s="280">
        <f>(IF($A46="SINAPI",INDEX(SINAPI_NOV2020_NDES!$A$7:$H$6703,MATCH($B46,SINAPI_NOV2020_NDES!$A$7:$A$6703,0),6),(INDEX(COMPOS!$A$4:$G$801,MATCH($B46,COMPOS!$A$4:A$801,0),5))))</f>
        <v>574.71669999999995</v>
      </c>
      <c r="H46" s="280">
        <f>(IF($A46="SINAPI",INDEX(SINAPI_NOV2020_NDES!$A$7:$H$6703,MATCH($B46,SINAPI_NOV2020_NDES!$A$7:$A$6703,0),7),(INDEX(COMPOS!$A$4:$G$801,MATCH($B46,COMPOS!$A$4:A$801,0),6))))</f>
        <v>0</v>
      </c>
      <c r="I46" s="279">
        <f t="shared" si="6"/>
        <v>587.17873799999995</v>
      </c>
      <c r="J46" s="276">
        <f t="shared" si="7"/>
        <v>10569.217283999998</v>
      </c>
      <c r="K46" s="255"/>
      <c r="L46" s="255"/>
      <c r="M46" s="255"/>
      <c r="N46" s="255"/>
      <c r="O46" s="257"/>
      <c r="ALK46" s="42"/>
      <c r="ALL46" s="42"/>
      <c r="ALM46" s="42"/>
      <c r="ALN46" s="42"/>
      <c r="ALO46" s="42"/>
      <c r="ALP46" s="42"/>
      <c r="ALQ46" s="42"/>
      <c r="ALR46" s="42"/>
      <c r="ALS46" s="42"/>
    </row>
    <row r="47" spans="1:1007">
      <c r="A47" s="251"/>
      <c r="B47" s="283"/>
      <c r="C47" s="375" t="s">
        <v>6946</v>
      </c>
      <c r="D47" s="274"/>
      <c r="E47" s="276"/>
      <c r="F47" s="279"/>
      <c r="G47" s="279"/>
      <c r="H47" s="279"/>
      <c r="I47" s="279"/>
      <c r="J47" s="276"/>
      <c r="K47" s="255"/>
      <c r="L47" s="255"/>
      <c r="M47" s="255"/>
      <c r="N47" s="255"/>
      <c r="O47" s="257"/>
      <c r="ALK47" s="42"/>
      <c r="ALL47" s="42"/>
      <c r="ALM47" s="42"/>
      <c r="ALN47" s="42"/>
      <c r="ALO47" s="42"/>
      <c r="ALP47" s="42"/>
      <c r="ALQ47" s="42"/>
      <c r="ALR47" s="42"/>
      <c r="ALS47" s="42"/>
    </row>
    <row r="48" spans="1:1007" ht="24">
      <c r="A48" s="251" t="s">
        <v>7</v>
      </c>
      <c r="B48" s="283">
        <v>96973</v>
      </c>
      <c r="C48" s="278" t="str">
        <f>(IF($A48="SINAPI",INDEX(SINAPI_NOV2020_NDES!$A$7:$H$6703,MATCH($B48,SINAPI_NOV2020_NDES!$A$7:$A$6703,0),2),IF($A48="GOINFRA",INDEX(#REF!,MATCH($B48,#REF!,0),2),(INDEX(COMPOS!$A$4:$G$3900,MATCH($B48,COMPOS!$A$4:A$3900,0),2)))))</f>
        <v>CORDOALHA DE COBRE NU 35 MM², NÃO ENTERRADA, COM ISOLADOR - FORNECIMENTO E INSTALAÇÃO. AF_12/2017</v>
      </c>
      <c r="D48" s="374" t="str">
        <f>(IF($A48="SINAPI",INDEX(SINAPI_NOV2020_NDES!$A$7:$H$6790,MATCH($B48,SINAPI_NOV2020_NDES!$A$7:$A$6790,0),3),(INDEX(COMPOS!$A$4:$G$5000,MATCH($B48,COMPOS!$A$4:$A$5000,0),3))))</f>
        <v>M</v>
      </c>
      <c r="E48" s="276">
        <v>300</v>
      </c>
      <c r="F48" s="279">
        <f>(IF($A48="SINAPI",INDEX(SINAPI_NOV2020_NDES!$A$7:$H$6703,MATCH($B48,SINAPI_NOV2020_NDES!$A$7:$A$6703,0),5),(INDEX(COMPOS!$A$4:$G$801,MATCH($B48,COMPOS!$A$4:A$801,0),4))))</f>
        <v>12.12</v>
      </c>
      <c r="G48" s="280">
        <f>(IF($A48="SINAPI",INDEX(SINAPI_NOV2020_NDES!$A$7:$H$6703,MATCH($B48,SINAPI_NOV2020_NDES!$A$7:$A$6703,0),6),(INDEX(COMPOS!$A$4:$G$801,MATCH($B48,COMPOS!$A$4:A$801,0),5))))</f>
        <v>32.340000000000003</v>
      </c>
      <c r="H48" s="280">
        <f>(IF($A48="SINAPI",INDEX(SINAPI_NOV2020_NDES!$A$7:$H$6703,MATCH($B48,SINAPI_NOV2020_NDES!$A$7:$A$6703,0),7),(INDEX(COMPOS!$A$4:$G$801,MATCH($B48,COMPOS!$A$4:A$801,0),6))))</f>
        <v>0</v>
      </c>
      <c r="I48" s="279">
        <f t="shared" ref="I48" si="8">SUM(F48:H48)</f>
        <v>44.46</v>
      </c>
      <c r="J48" s="276">
        <f t="shared" ref="J48" si="9">+I48*E48</f>
        <v>13338</v>
      </c>
      <c r="K48" s="255"/>
      <c r="L48" s="255"/>
      <c r="M48" s="255"/>
      <c r="N48" s="255"/>
      <c r="O48" s="257"/>
      <c r="ALK48" s="42"/>
      <c r="ALL48" s="42"/>
      <c r="ALM48" s="42"/>
      <c r="ALN48" s="42"/>
      <c r="ALO48" s="42"/>
      <c r="ALP48" s="42"/>
      <c r="ALQ48" s="42"/>
      <c r="ALR48" s="42"/>
      <c r="ALS48" s="42"/>
    </row>
    <row r="49" spans="1:1007" ht="24">
      <c r="A49" s="251" t="s">
        <v>7</v>
      </c>
      <c r="B49" s="283">
        <v>96974</v>
      </c>
      <c r="C49" s="278" t="str">
        <f>(IF($A49="SINAPI",INDEX(SINAPI_NOV2020_NDES!$A$7:$H$6703,MATCH($B49,SINAPI_NOV2020_NDES!$A$7:$A$6703,0),2),IF($A49="GOINFRA",INDEX(#REF!,MATCH($B49,#REF!,0),2),(INDEX(COMPOS!$A$4:$G$3900,MATCH($B49,COMPOS!$A$4:A$3900,0),2)))))</f>
        <v>CORDOALHA DE COBRE NU 50 MM², NÃO ENTERRADA, COM ISOLADOR - FORNECIMENTO E INSTALAÇÃO. AF_12/2017</v>
      </c>
      <c r="D49" s="374" t="str">
        <f>(IF($A49="SINAPI",INDEX(SINAPI_NOV2020_NDES!$A$7:$H$6790,MATCH($B49,SINAPI_NOV2020_NDES!$A$7:$A$6790,0),3),(INDEX(COMPOS!$A$4:$G$5000,MATCH($B49,COMPOS!$A$4:$A$5000,0),3))))</f>
        <v>M</v>
      </c>
      <c r="E49" s="276">
        <v>200</v>
      </c>
      <c r="F49" s="279">
        <f>(IF($A49="SINAPI",INDEX(SINAPI_NOV2020_NDES!$A$7:$H$6703,MATCH($B49,SINAPI_NOV2020_NDES!$A$7:$A$6703,0),5),(INDEX(COMPOS!$A$4:$G$801,MATCH($B49,COMPOS!$A$4:A$801,0),4))))</f>
        <v>14.24</v>
      </c>
      <c r="G49" s="280">
        <f>(IF($A49="SINAPI",INDEX(SINAPI_NOV2020_NDES!$A$7:$H$6703,MATCH($B49,SINAPI_NOV2020_NDES!$A$7:$A$6703,0),6),(INDEX(COMPOS!$A$4:$G$801,MATCH($B49,COMPOS!$A$4:A$801,0),5))))</f>
        <v>42.67</v>
      </c>
      <c r="H49" s="280">
        <f>(IF($A49="SINAPI",INDEX(SINAPI_NOV2020_NDES!$A$7:$H$6703,MATCH($B49,SINAPI_NOV2020_NDES!$A$7:$A$6703,0),7),(INDEX(COMPOS!$A$4:$G$801,MATCH($B49,COMPOS!$A$4:A$801,0),6))))</f>
        <v>0</v>
      </c>
      <c r="I49" s="279">
        <f t="shared" ref="I49:I66" si="10">SUM(F49:H49)</f>
        <v>56.910000000000004</v>
      </c>
      <c r="J49" s="276">
        <f t="shared" ref="J49:J66" si="11">+I49*E49</f>
        <v>11382</v>
      </c>
      <c r="K49" s="255"/>
      <c r="L49" s="255"/>
      <c r="M49" s="255"/>
      <c r="N49" s="255"/>
      <c r="O49" s="257"/>
      <c r="ALK49" s="42"/>
      <c r="ALL49" s="42"/>
      <c r="ALM49" s="42"/>
      <c r="ALN49" s="42"/>
      <c r="ALO49" s="42"/>
      <c r="ALP49" s="42"/>
      <c r="ALQ49" s="42"/>
      <c r="ALR49" s="42"/>
      <c r="ALS49" s="42"/>
    </row>
    <row r="50" spans="1:1007">
      <c r="A50" s="251" t="s">
        <v>6307</v>
      </c>
      <c r="B50" s="283">
        <v>714</v>
      </c>
      <c r="C50" s="278" t="str">
        <f>(IF($A50="SINAPI",INDEX(SINAPI_NOV2020_NDES!$A$7:$H$6703,MATCH($B50,SINAPI_NOV2020_NDES!$A$7:$A$6703,0),2),IF($A50="GOINFRA",INDEX(#REF!,MATCH($B50,#REF!,0),2),(INDEX(COMPOS!$A$4:$G$3900,MATCH($B50,COMPOS!$A$4:A$3900,0),2)))))</f>
        <v>CONECTOR DE COMPRESSÃO FORMATO H PARA CABO 25 A 70 MM2</v>
      </c>
      <c r="D50" s="374" t="str">
        <f>(IF($A50="SINAPI",INDEX(SINAPI_NOV2020_NDES!$A$7:$H$6790,MATCH($B50,SINAPI_NOV2020_NDES!$A$7:$A$6790,0),3),(INDEX(COMPOS!$A$4:$G$5000,MATCH($B50,COMPOS!$A$4:$A$5000,0),3))))</f>
        <v>UN</v>
      </c>
      <c r="E50" s="276">
        <v>20</v>
      </c>
      <c r="F50" s="279">
        <f>(IF($A50="SINAPI",INDEX(SINAPI_NOV2020_NDES!$A$7:$H$6703,MATCH($B50,SINAPI_NOV2020_NDES!$A$7:$A$6703,0),5),(INDEX(COMPOS!$A$4:$G$801,MATCH($B50,COMPOS!$A$4:A$801,0),4))))</f>
        <v>15.452</v>
      </c>
      <c r="G50" s="280">
        <f>(IF($A50="SINAPI",INDEX(SINAPI_NOV2020_NDES!$A$7:$H$6703,MATCH($B50,SINAPI_NOV2020_NDES!$A$7:$A$6703,0),6),(INDEX(COMPOS!$A$4:$G$801,MATCH($B50,COMPOS!$A$4:A$801,0),5))))</f>
        <v>5.0599999999999996</v>
      </c>
      <c r="H50" s="280">
        <f>(IF($A50="SINAPI",INDEX(SINAPI_NOV2020_NDES!$A$7:$H$6703,MATCH($B50,SINAPI_NOV2020_NDES!$A$7:$A$6703,0),7),(INDEX(COMPOS!$A$4:$G$801,MATCH($B50,COMPOS!$A$4:A$801,0),6))))</f>
        <v>0</v>
      </c>
      <c r="I50" s="279">
        <f t="shared" si="10"/>
        <v>20.512</v>
      </c>
      <c r="J50" s="276">
        <f t="shared" si="11"/>
        <v>410.24</v>
      </c>
      <c r="K50" s="255"/>
      <c r="L50" s="255"/>
      <c r="M50" s="255"/>
      <c r="N50" s="255"/>
      <c r="O50" s="257"/>
      <c r="ALK50" s="42"/>
      <c r="ALL50" s="42"/>
      <c r="ALM50" s="42"/>
      <c r="ALN50" s="42"/>
      <c r="ALO50" s="42"/>
      <c r="ALP50" s="42"/>
      <c r="ALQ50" s="42"/>
      <c r="ALR50" s="42"/>
      <c r="ALS50" s="42"/>
    </row>
    <row r="51" spans="1:1007">
      <c r="A51" s="251" t="s">
        <v>6307</v>
      </c>
      <c r="B51" s="283">
        <v>42</v>
      </c>
      <c r="C51" s="278" t="str">
        <f>(IF($A51="SINAPI",INDEX(SINAPI_NOV2020_NDES!$A$7:$H$6703,MATCH($B51,SINAPI_NOV2020_NDES!$A$7:$A$6703,0),2),IF($A51="GOINFRA",INDEX(#REF!,MATCH($B51,#REF!,0),2),(INDEX(COMPOS!$A$4:$G$3900,MATCH($B51,COMPOS!$A$4:A$3900,0),2)))))</f>
        <v>SOLDA EXOTÉRMICA TAMANHO 115G</v>
      </c>
      <c r="D51" s="374" t="str">
        <f>(IF($A51="SINAPI",INDEX(SINAPI_NOV2020_NDES!$A$7:$H$6790,MATCH($B51,SINAPI_NOV2020_NDES!$A$7:$A$6790,0),3),(INDEX(COMPOS!$A$4:$G$5000,MATCH($B51,COMPOS!$A$4:$A$5000,0),3))))</f>
        <v>UN</v>
      </c>
      <c r="E51" s="276">
        <v>30</v>
      </c>
      <c r="F51" s="279">
        <f>(IF($A51="SINAPI",INDEX(SINAPI_NOV2020_NDES!$A$7:$H$6703,MATCH($B51,SINAPI_NOV2020_NDES!$A$7:$A$6703,0),5),(INDEX(COMPOS!$A$4:$G$801,MATCH($B51,COMPOS!$A$4:A$801,0),4))))</f>
        <v>2.1414880000000003</v>
      </c>
      <c r="G51" s="280">
        <f>(IF($A51="SINAPI",INDEX(SINAPI_NOV2020_NDES!$A$7:$H$6703,MATCH($B51,SINAPI_NOV2020_NDES!$A$7:$A$6703,0),6),(INDEX(COMPOS!$A$4:$G$801,MATCH($B51,COMPOS!$A$4:A$801,0),5))))</f>
        <v>7.91</v>
      </c>
      <c r="H51" s="280">
        <f>(IF($A51="SINAPI",INDEX(SINAPI_NOV2020_NDES!$A$7:$H$6703,MATCH($B51,SINAPI_NOV2020_NDES!$A$7:$A$6703,0),7),(INDEX(COMPOS!$A$4:$G$801,MATCH($B51,COMPOS!$A$4:A$801,0),6))))</f>
        <v>0</v>
      </c>
      <c r="I51" s="279">
        <f t="shared" si="10"/>
        <v>10.051488000000001</v>
      </c>
      <c r="J51" s="276">
        <f t="shared" si="11"/>
        <v>301.54464000000002</v>
      </c>
      <c r="K51" s="255"/>
      <c r="L51" s="255"/>
      <c r="M51" s="255"/>
      <c r="N51" s="255"/>
      <c r="O51" s="257"/>
      <c r="ALK51" s="42"/>
      <c r="ALL51" s="42"/>
      <c r="ALM51" s="42"/>
      <c r="ALN51" s="42"/>
      <c r="ALO51" s="42"/>
      <c r="ALP51" s="42"/>
      <c r="ALQ51" s="42"/>
      <c r="ALR51" s="42"/>
      <c r="ALS51" s="42"/>
    </row>
    <row r="52" spans="1:1007">
      <c r="A52" s="251" t="s">
        <v>6307</v>
      </c>
      <c r="B52" s="283">
        <v>537</v>
      </c>
      <c r="C52" s="278" t="str">
        <f>(IF($A52="SINAPI",INDEX(SINAPI_NOV2020_NDES!$A$7:$H$6703,MATCH($B52,SINAPI_NOV2020_NDES!$A$7:$A$6703,0),2),IF($A52="GOINFRA",INDEX(#REF!,MATCH($B52,#REF!,0),2),(INDEX(COMPOS!$A$4:$G$3900,MATCH($B52,COMPOS!$A$4:A$3900,0),2)))))</f>
        <v>ABRAÇADEIRA TIPO D 1" COM CUNHA</v>
      </c>
      <c r="D52" s="374" t="str">
        <f>(IF($A52="SINAPI",INDEX(SINAPI_NOV2020_NDES!$A$7:$H$6790,MATCH($B52,SINAPI_NOV2020_NDES!$A$7:$A$6790,0),3),(INDEX(COMPOS!$A$4:$G$5000,MATCH($B52,COMPOS!$A$4:$A$5000,0),3))))</f>
        <v>UN</v>
      </c>
      <c r="E52" s="276">
        <v>40</v>
      </c>
      <c r="F52" s="279">
        <f>(IF($A52="SINAPI",INDEX(SINAPI_NOV2020_NDES!$A$7:$H$6703,MATCH($B52,SINAPI_NOV2020_NDES!$A$7:$A$6703,0),5),(INDEX(COMPOS!$A$4:$G$801,MATCH($B52,COMPOS!$A$4:A$801,0),4))))</f>
        <v>0.38629999999999998</v>
      </c>
      <c r="G52" s="280">
        <f>(IF($A52="SINAPI",INDEX(SINAPI_NOV2020_NDES!$A$7:$H$6703,MATCH($B52,SINAPI_NOV2020_NDES!$A$7:$A$6703,0),6),(INDEX(COMPOS!$A$4:$G$801,MATCH($B52,COMPOS!$A$4:A$801,0),5))))</f>
        <v>0.56999999999999995</v>
      </c>
      <c r="H52" s="280">
        <f>(IF($A52="SINAPI",INDEX(SINAPI_NOV2020_NDES!$A$7:$H$6703,MATCH($B52,SINAPI_NOV2020_NDES!$A$7:$A$6703,0),7),(INDEX(COMPOS!$A$4:$G$801,MATCH($B52,COMPOS!$A$4:A$801,0),6))))</f>
        <v>0</v>
      </c>
      <c r="I52" s="279">
        <f t="shared" si="10"/>
        <v>0.95629999999999993</v>
      </c>
      <c r="J52" s="276">
        <f t="shared" si="11"/>
        <v>38.251999999999995</v>
      </c>
      <c r="K52" s="255"/>
      <c r="L52" s="255"/>
      <c r="M52" s="255"/>
      <c r="N52" s="255"/>
      <c r="O52" s="257"/>
      <c r="ALK52" s="42"/>
      <c r="ALL52" s="42"/>
      <c r="ALM52" s="42"/>
      <c r="ALN52" s="42"/>
      <c r="ALO52" s="42"/>
      <c r="ALP52" s="42"/>
      <c r="ALQ52" s="42"/>
      <c r="ALR52" s="42"/>
      <c r="ALS52" s="42"/>
    </row>
    <row r="53" spans="1:1007">
      <c r="A53" s="251" t="s">
        <v>6307</v>
      </c>
      <c r="B53" s="283">
        <v>538</v>
      </c>
      <c r="C53" s="278" t="str">
        <f>(IF($A53="SINAPI",INDEX(SINAPI_NOV2020_NDES!$A$7:$H$6703,MATCH($B53,SINAPI_NOV2020_NDES!$A$7:$A$6703,0),2),IF($A53="GOINFRA",INDEX(#REF!,MATCH($B53,#REF!,0),2),(INDEX(COMPOS!$A$4:$G$3900,MATCH($B53,COMPOS!$A$4:A$3900,0),2)))))</f>
        <v>CAIXA DE INSPEÇÃO SUSPENSA</v>
      </c>
      <c r="D53" s="374" t="str">
        <f>(IF($A53="SINAPI",INDEX(SINAPI_NOV2020_NDES!$A$7:$H$6790,MATCH($B53,SINAPI_NOV2020_NDES!$A$7:$A$6790,0),3),(INDEX(COMPOS!$A$4:$G$5000,MATCH($B53,COMPOS!$A$4:$A$5000,0),3))))</f>
        <v>UN</v>
      </c>
      <c r="E53" s="276">
        <v>8</v>
      </c>
      <c r="F53" s="279">
        <f>(IF($A53="SINAPI",INDEX(SINAPI_NOV2020_NDES!$A$7:$H$6703,MATCH($B53,SINAPI_NOV2020_NDES!$A$7:$A$6703,0),5),(INDEX(COMPOS!$A$4:$G$801,MATCH($B53,COMPOS!$A$4:A$801,0),4))))</f>
        <v>5.7944999999999993</v>
      </c>
      <c r="G53" s="280">
        <f>(IF($A53="SINAPI",INDEX(SINAPI_NOV2020_NDES!$A$7:$H$6703,MATCH($B53,SINAPI_NOV2020_NDES!$A$7:$A$6703,0),6),(INDEX(COMPOS!$A$4:$G$801,MATCH($B53,COMPOS!$A$4:A$801,0),5))))</f>
        <v>76.625</v>
      </c>
      <c r="H53" s="280">
        <f>(IF($A53="SINAPI",INDEX(SINAPI_NOV2020_NDES!$A$7:$H$6703,MATCH($B53,SINAPI_NOV2020_NDES!$A$7:$A$6703,0),7),(INDEX(COMPOS!$A$4:$G$801,MATCH($B53,COMPOS!$A$4:A$801,0),6))))</f>
        <v>0</v>
      </c>
      <c r="I53" s="279">
        <f t="shared" si="10"/>
        <v>82.419499999999999</v>
      </c>
      <c r="J53" s="276">
        <f t="shared" si="11"/>
        <v>659.35599999999999</v>
      </c>
      <c r="K53" s="255"/>
      <c r="L53" s="255"/>
      <c r="M53" s="255"/>
      <c r="N53" s="255"/>
      <c r="O53" s="257"/>
      <c r="ALK53" s="42"/>
      <c r="ALL53" s="42"/>
      <c r="ALM53" s="42"/>
      <c r="ALN53" s="42"/>
      <c r="ALO53" s="42"/>
      <c r="ALP53" s="42"/>
      <c r="ALQ53" s="42"/>
      <c r="ALR53" s="42"/>
      <c r="ALS53" s="42"/>
    </row>
    <row r="54" spans="1:1007">
      <c r="A54" s="251" t="s">
        <v>6307</v>
      </c>
      <c r="B54" s="283">
        <v>639</v>
      </c>
      <c r="C54" s="278" t="str">
        <f>(IF($A54="SINAPI",INDEX(SINAPI_NOV2020_NDES!$A$7:$H$6703,MATCH($B54,SINAPI_NOV2020_NDES!$A$7:$A$6703,0),2),IF($A54="GOINFRA",INDEX(#REF!,MATCH($B54,#REF!,0),2),(INDEX(COMPOS!$A$4:$G$3900,MATCH($B54,COMPOS!$A$4:A$3900,0),2)))))</f>
        <v>CONJUNTO PARA ESTAIS RÍGIDO + ABRAÇADEIRA 2" 3M</v>
      </c>
      <c r="D54" s="374" t="str">
        <f>(IF($A54="SINAPI",INDEX(SINAPI_NOV2020_NDES!$A$7:$H$6790,MATCH($B54,SINAPI_NOV2020_NDES!$A$7:$A$6790,0),3),(INDEX(COMPOS!$A$4:$G$5000,MATCH($B54,COMPOS!$A$4:$A$5000,0),3))))</f>
        <v>UN</v>
      </c>
      <c r="E54" s="276">
        <v>4</v>
      </c>
      <c r="F54" s="279">
        <f>(IF($A54="SINAPI",INDEX(SINAPI_NOV2020_NDES!$A$7:$H$6703,MATCH($B54,SINAPI_NOV2020_NDES!$A$7:$A$6703,0),5),(INDEX(COMPOS!$A$4:$G$801,MATCH($B54,COMPOS!$A$4:A$801,0),4))))</f>
        <v>18.001580000000001</v>
      </c>
      <c r="G54" s="280">
        <f>(IF($A54="SINAPI",INDEX(SINAPI_NOV2020_NDES!$A$7:$H$6703,MATCH($B54,SINAPI_NOV2020_NDES!$A$7:$A$6703,0),6),(INDEX(COMPOS!$A$4:$G$801,MATCH($B54,COMPOS!$A$4:A$801,0),5))))</f>
        <v>384.24</v>
      </c>
      <c r="H54" s="280">
        <f>(IF($A54="SINAPI",INDEX(SINAPI_NOV2020_NDES!$A$7:$H$6703,MATCH($B54,SINAPI_NOV2020_NDES!$A$7:$A$6703,0),7),(INDEX(COMPOS!$A$4:$G$801,MATCH($B54,COMPOS!$A$4:A$801,0),6))))</f>
        <v>0</v>
      </c>
      <c r="I54" s="279">
        <f t="shared" si="10"/>
        <v>402.24158</v>
      </c>
      <c r="J54" s="276">
        <f t="shared" si="11"/>
        <v>1608.96632</v>
      </c>
      <c r="K54" s="255"/>
      <c r="L54" s="255"/>
      <c r="M54" s="255"/>
      <c r="N54" s="255"/>
      <c r="O54" s="257"/>
      <c r="ALK54" s="42"/>
      <c r="ALL54" s="42"/>
      <c r="ALM54" s="42"/>
      <c r="ALN54" s="42"/>
      <c r="ALO54" s="42"/>
      <c r="ALP54" s="42"/>
      <c r="ALQ54" s="42"/>
      <c r="ALR54" s="42"/>
      <c r="ALS54" s="42"/>
    </row>
    <row r="55" spans="1:1007">
      <c r="A55" s="251" t="s">
        <v>6307</v>
      </c>
      <c r="B55" s="283">
        <v>541</v>
      </c>
      <c r="C55" s="278" t="str">
        <f>(IF($A55="SINAPI",INDEX(SINAPI_NOV2020_NDES!$A$7:$H$6703,MATCH($B55,SINAPI_NOV2020_NDES!$A$7:$A$6703,0),2),IF($A55="GOINFRA",INDEX(#REF!,MATCH($B55,#REF!,0),2),(INDEX(COMPOS!$A$4:$G$3900,MATCH($B55,COMPOS!$A$4:A$3900,0),2)))))</f>
        <v>ABRACADEIRA-GUIA REFORCADA 2" DUAS DESCIDAS</v>
      </c>
      <c r="D55" s="374" t="str">
        <f>(IF($A55="SINAPI",INDEX(SINAPI_NOV2020_NDES!$A$7:$H$6790,MATCH($B55,SINAPI_NOV2020_NDES!$A$7:$A$6790,0),3),(INDEX(COMPOS!$A$4:$G$5000,MATCH($B55,COMPOS!$A$4:$A$5000,0),3))))</f>
        <v>UN</v>
      </c>
      <c r="E55" s="276">
        <v>4</v>
      </c>
      <c r="F55" s="279">
        <f>(IF($A55="SINAPI",INDEX(SINAPI_NOV2020_NDES!$A$7:$H$6703,MATCH($B55,SINAPI_NOV2020_NDES!$A$7:$A$6703,0),5),(INDEX(COMPOS!$A$4:$G$801,MATCH($B55,COMPOS!$A$4:A$801,0),4))))</f>
        <v>12.222532000000001</v>
      </c>
      <c r="G55" s="280">
        <f>(IF($A55="SINAPI",INDEX(SINAPI_NOV2020_NDES!$A$7:$H$6703,MATCH($B55,SINAPI_NOV2020_NDES!$A$7:$A$6703,0),6),(INDEX(COMPOS!$A$4:$G$801,MATCH($B55,COMPOS!$A$4:A$801,0),5))))</f>
        <v>63.305</v>
      </c>
      <c r="H55" s="280">
        <f>(IF($A55="SINAPI",INDEX(SINAPI_NOV2020_NDES!$A$7:$H$6703,MATCH($B55,SINAPI_NOV2020_NDES!$A$7:$A$6703,0),7),(INDEX(COMPOS!$A$4:$G$801,MATCH($B55,COMPOS!$A$4:A$801,0),6))))</f>
        <v>0</v>
      </c>
      <c r="I55" s="279">
        <f t="shared" si="10"/>
        <v>75.527532000000008</v>
      </c>
      <c r="J55" s="276">
        <f t="shared" si="11"/>
        <v>302.11012800000003</v>
      </c>
      <c r="K55" s="255"/>
      <c r="L55" s="255"/>
      <c r="M55" s="255"/>
      <c r="N55" s="255"/>
      <c r="O55" s="257"/>
      <c r="ALK55" s="42"/>
      <c r="ALL55" s="42"/>
      <c r="ALM55" s="42"/>
      <c r="ALN55" s="42"/>
      <c r="ALO55" s="42"/>
      <c r="ALP55" s="42"/>
      <c r="ALQ55" s="42"/>
      <c r="ALR55" s="42"/>
      <c r="ALS55" s="42"/>
    </row>
    <row r="56" spans="1:1007">
      <c r="A56" s="251" t="s">
        <v>6307</v>
      </c>
      <c r="B56" s="283">
        <v>771</v>
      </c>
      <c r="C56" s="278" t="str">
        <f>(IF($A56="SINAPI",INDEX(SINAPI_NOV2020_NDES!$A$7:$H$6703,MATCH($B56,SINAPI_NOV2020_NDES!$A$7:$A$6703,0),2),IF($A56="GOINFRA",INDEX(#REF!,MATCH($B56,#REF!,0),2),(INDEX(COMPOS!$A$4:$G$3900,MATCH($B56,COMPOS!$A$4:A$3900,0),2)))))</f>
        <v>BASE METÁLICA PARA MASTRO 2"</v>
      </c>
      <c r="D56" s="374" t="str">
        <f>(IF($A56="SINAPI",INDEX(SINAPI_NOV2020_NDES!$A$7:$H$6790,MATCH($B56,SINAPI_NOV2020_NDES!$A$7:$A$6790,0),3),(INDEX(COMPOS!$A$4:$G$5000,MATCH($B56,COMPOS!$A$4:$A$5000,0),3))))</f>
        <v>UN</v>
      </c>
      <c r="E56" s="276">
        <v>4</v>
      </c>
      <c r="F56" s="279">
        <f>(IF($A56="SINAPI",INDEX(SINAPI_NOV2020_NDES!$A$7:$H$6703,MATCH($B56,SINAPI_NOV2020_NDES!$A$7:$A$6703,0),5),(INDEX(COMPOS!$A$4:$G$801,MATCH($B56,COMPOS!$A$4:A$801,0),4))))</f>
        <v>51.505378999999991</v>
      </c>
      <c r="G56" s="280">
        <f>(IF($A56="SINAPI",INDEX(SINAPI_NOV2020_NDES!$A$7:$H$6703,MATCH($B56,SINAPI_NOV2020_NDES!$A$7:$A$6703,0),6),(INDEX(COMPOS!$A$4:$G$801,MATCH($B56,COMPOS!$A$4:A$801,0),5))))</f>
        <v>65.47</v>
      </c>
      <c r="H56" s="280">
        <f>(IF($A56="SINAPI",INDEX(SINAPI_NOV2020_NDES!$A$7:$H$6703,MATCH($B56,SINAPI_NOV2020_NDES!$A$7:$A$6703,0),7),(INDEX(COMPOS!$A$4:$G$801,MATCH($B56,COMPOS!$A$4:A$801,0),6))))</f>
        <v>0</v>
      </c>
      <c r="I56" s="279">
        <f t="shared" si="10"/>
        <v>116.97537899999999</v>
      </c>
      <c r="J56" s="276">
        <f t="shared" si="11"/>
        <v>467.90151599999996</v>
      </c>
      <c r="K56" s="255"/>
      <c r="L56" s="255"/>
      <c r="M56" s="255"/>
      <c r="N56" s="255"/>
      <c r="O56" s="257"/>
      <c r="ALK56" s="42"/>
      <c r="ALL56" s="42"/>
      <c r="ALM56" s="42"/>
      <c r="ALN56" s="42"/>
      <c r="ALO56" s="42"/>
      <c r="ALP56" s="42"/>
      <c r="ALQ56" s="42"/>
      <c r="ALR56" s="42"/>
      <c r="ALS56" s="42"/>
    </row>
    <row r="57" spans="1:1007">
      <c r="A57" s="251" t="s">
        <v>6307</v>
      </c>
      <c r="B57" s="283">
        <v>640</v>
      </c>
      <c r="C57" s="278" t="str">
        <f>(IF($A57="SINAPI",INDEX(SINAPI_NOV2020_NDES!$A$7:$H$6703,MATCH($B57,SINAPI_NOV2020_NDES!$A$7:$A$6703,0),2),IF($A57="GOINFRA",INDEX(#REF!,MATCH($B57,#REF!,0),2),(INDEX(COMPOS!$A$4:$G$3900,MATCH($B57,COMPOS!$A$4:A$3900,0),2)))))</f>
        <v>CONJUNTO PARA ESTAIS RÍGIDO + ABRAÇADEIRA 2" 3M</v>
      </c>
      <c r="D57" s="374" t="str">
        <f>(IF($A57="SINAPI",INDEX(SINAPI_NOV2020_NDES!$A$7:$H$6790,MATCH($B57,SINAPI_NOV2020_NDES!$A$7:$A$6790,0),3),(INDEX(COMPOS!$A$4:$G$5000,MATCH($B57,COMPOS!$A$4:$A$5000,0),3))))</f>
        <v>UN</v>
      </c>
      <c r="E57" s="276">
        <v>16</v>
      </c>
      <c r="F57" s="279">
        <f>(IF($A57="SINAPI",INDEX(SINAPI_NOV2020_NDES!$A$7:$H$6703,MATCH($B57,SINAPI_NOV2020_NDES!$A$7:$A$6703,0),5),(INDEX(COMPOS!$A$4:$G$801,MATCH($B57,COMPOS!$A$4:A$801,0),4))))</f>
        <v>12.462038</v>
      </c>
      <c r="G57" s="280">
        <f>(IF($A57="SINAPI",INDEX(SINAPI_NOV2020_NDES!$A$7:$H$6703,MATCH($B57,SINAPI_NOV2020_NDES!$A$7:$A$6703,0),6),(INDEX(COMPOS!$A$4:$G$801,MATCH($B57,COMPOS!$A$4:A$801,0),5))))</f>
        <v>222.64000000000001</v>
      </c>
      <c r="H57" s="280">
        <f>(IF($A57="SINAPI",INDEX(SINAPI_NOV2020_NDES!$A$7:$H$6703,MATCH($B57,SINAPI_NOV2020_NDES!$A$7:$A$6703,0),7),(INDEX(COMPOS!$A$4:$G$801,MATCH($B57,COMPOS!$A$4:A$801,0),6))))</f>
        <v>0</v>
      </c>
      <c r="I57" s="279">
        <f t="shared" si="10"/>
        <v>235.10203800000002</v>
      </c>
      <c r="J57" s="276">
        <f t="shared" si="11"/>
        <v>3761.6326080000003</v>
      </c>
      <c r="K57" s="255"/>
      <c r="L57" s="255"/>
      <c r="M57" s="255"/>
      <c r="N57" s="255"/>
      <c r="O57" s="257"/>
      <c r="ALK57" s="42"/>
      <c r="ALL57" s="42"/>
      <c r="ALM57" s="42"/>
      <c r="ALN57" s="42"/>
      <c r="ALO57" s="42"/>
      <c r="ALP57" s="42"/>
      <c r="ALQ57" s="42"/>
      <c r="ALR57" s="42"/>
      <c r="ALS57" s="42"/>
    </row>
    <row r="58" spans="1:1007" ht="24">
      <c r="A58" s="251" t="s">
        <v>7</v>
      </c>
      <c r="B58" s="283">
        <v>96985</v>
      </c>
      <c r="C58" s="278" t="str">
        <f>(IF($A58="SINAPI",INDEX(SINAPI_NOV2020_NDES!$A$7:$H$6703,MATCH($B58,SINAPI_NOV2020_NDES!$A$7:$A$6703,0),2),IF($A58="GOINFRA",INDEX(#REF!,MATCH($B58,#REF!,0),2),(INDEX(COMPOS!$A$4:$G$3900,MATCH($B58,COMPOS!$A$4:A$3900,0),2)))))</f>
        <v>HASTE DE ATERRAMENTO 5/8  PARA SPDA - FORNECIMENTO E INSTALAÇÃO. AF_12/2017</v>
      </c>
      <c r="D58" s="374" t="str">
        <f>(IF($A58="SINAPI",INDEX(SINAPI_NOV2020_NDES!$A$7:$H$6790,MATCH($B58,SINAPI_NOV2020_NDES!$A$7:$A$6790,0),3),(INDEX(COMPOS!$A$4:$G$5000,MATCH($B58,COMPOS!$A$4:$A$5000,0),3))))</f>
        <v>UN</v>
      </c>
      <c r="E58" s="276">
        <v>21</v>
      </c>
      <c r="F58" s="279">
        <f>(IF($A58="SINAPI",INDEX(SINAPI_NOV2020_NDES!$A$7:$H$6703,MATCH($B58,SINAPI_NOV2020_NDES!$A$7:$A$6703,0),5),(INDEX(COMPOS!$A$4:$G$801,MATCH($B58,COMPOS!$A$4:A$801,0),4))))</f>
        <v>7.44</v>
      </c>
      <c r="G58" s="280">
        <f>(IF($A58="SINAPI",INDEX(SINAPI_NOV2020_NDES!$A$7:$H$6703,MATCH($B58,SINAPI_NOV2020_NDES!$A$7:$A$6703,0),6),(INDEX(COMPOS!$A$4:$G$801,MATCH($B58,COMPOS!$A$4:A$801,0),5))))</f>
        <v>38.17</v>
      </c>
      <c r="H58" s="280">
        <f>(IF($A58="SINAPI",INDEX(SINAPI_NOV2020_NDES!$A$7:$H$6703,MATCH($B58,SINAPI_NOV2020_NDES!$A$7:$A$6703,0),7),(INDEX(COMPOS!$A$4:$G$801,MATCH($B58,COMPOS!$A$4:A$801,0),6))))</f>
        <v>0</v>
      </c>
      <c r="I58" s="279">
        <f t="shared" si="10"/>
        <v>45.61</v>
      </c>
      <c r="J58" s="276">
        <f t="shared" si="11"/>
        <v>957.81</v>
      </c>
      <c r="K58" s="255"/>
      <c r="L58" s="255"/>
      <c r="M58" s="255"/>
      <c r="N58" s="255"/>
      <c r="O58" s="257"/>
      <c r="ALK58" s="42"/>
      <c r="ALL58" s="42"/>
      <c r="ALM58" s="42"/>
      <c r="ALN58" s="42"/>
      <c r="ALO58" s="42"/>
      <c r="ALP58" s="42"/>
      <c r="ALQ58" s="42"/>
      <c r="ALR58" s="42"/>
      <c r="ALS58" s="42"/>
    </row>
    <row r="59" spans="1:1007">
      <c r="A59" s="251" t="s">
        <v>6307</v>
      </c>
      <c r="B59" s="283">
        <v>471</v>
      </c>
      <c r="C59" s="278" t="str">
        <f>(IF($A59="SINAPI",INDEX(SINAPI_NOV2020_NDES!$A$7:$H$6703,MATCH($B59,SINAPI_NOV2020_NDES!$A$7:$A$6703,0),2),IF($A59="GOINFRA",INDEX(#REF!,MATCH($B59,#REF!,0),2),(INDEX(COMPOS!$A$4:$G$3900,MATCH($B59,COMPOS!$A$4:A$3900,0),2)))))</f>
        <v>CAIXA DE PASSAGEM 20X20X25 FUNDO BRITA COM TAMPA</v>
      </c>
      <c r="D59" s="374" t="str">
        <f>(IF($A59="SINAPI",INDEX(SINAPI_NOV2020_NDES!$A$7:$H$6790,MATCH($B59,SINAPI_NOV2020_NDES!$A$7:$A$6790,0),3),(INDEX(COMPOS!$A$4:$G$5000,MATCH($B59,COMPOS!$A$4:$A$5000,0),3))))</f>
        <v>UN</v>
      </c>
      <c r="E59" s="276">
        <v>21</v>
      </c>
      <c r="F59" s="279">
        <f>(IF($A59="SINAPI",INDEX(SINAPI_NOV2020_NDES!$A$7:$H$6703,MATCH($B59,SINAPI_NOV2020_NDES!$A$7:$A$6703,0),5),(INDEX(COMPOS!$A$4:$G$801,MATCH($B59,COMPOS!$A$4:A$801,0),4))))</f>
        <v>39.464161000000004</v>
      </c>
      <c r="G59" s="280">
        <f>(IF($A59="SINAPI",INDEX(SINAPI_NOV2020_NDES!$A$7:$H$6703,MATCH($B59,SINAPI_NOV2020_NDES!$A$7:$A$6703,0),6),(INDEX(COMPOS!$A$4:$G$801,MATCH($B59,COMPOS!$A$4:A$801,0),5))))</f>
        <v>28.903701999999999</v>
      </c>
      <c r="H59" s="280">
        <f>(IF($A59="SINAPI",INDEX(SINAPI_NOV2020_NDES!$A$7:$H$6703,MATCH($B59,SINAPI_NOV2020_NDES!$A$7:$A$6703,0),7),(INDEX(COMPOS!$A$4:$G$801,MATCH($B59,COMPOS!$A$4:A$801,0),6))))</f>
        <v>0</v>
      </c>
      <c r="I59" s="279">
        <f t="shared" si="10"/>
        <v>68.367863</v>
      </c>
      <c r="J59" s="276">
        <f t="shared" si="11"/>
        <v>1435.7251229999999</v>
      </c>
      <c r="K59" s="255"/>
      <c r="L59" s="255"/>
      <c r="M59" s="255"/>
      <c r="N59" s="255"/>
      <c r="O59" s="257"/>
      <c r="ALK59" s="42"/>
      <c r="ALL59" s="42"/>
      <c r="ALM59" s="42"/>
      <c r="ALN59" s="42"/>
      <c r="ALO59" s="42"/>
      <c r="ALP59" s="42"/>
      <c r="ALQ59" s="42"/>
      <c r="ALR59" s="42"/>
      <c r="ALS59" s="42"/>
    </row>
    <row r="60" spans="1:1007" ht="24">
      <c r="A60" s="251" t="s">
        <v>7</v>
      </c>
      <c r="B60" s="283">
        <v>96989</v>
      </c>
      <c r="C60" s="278" t="str">
        <f>(IF($A60="SINAPI",INDEX(SINAPI_NOV2020_NDES!$A$7:$H$6703,MATCH($B60,SINAPI_NOV2020_NDES!$A$7:$A$6703,0),2),IF($A60="GOINFRA",INDEX(#REF!,MATCH($B60,#REF!,0),2),(INDEX(COMPOS!$A$4:$G$3900,MATCH($B60,COMPOS!$A$4:A$3900,0),2)))))</f>
        <v>CAPTOR TIPO FRANKLIN PARA SPDA - FORNECIMENTO E INSTALAÇÃO. AF_12/2017</v>
      </c>
      <c r="D60" s="374" t="str">
        <f>(IF($A60="SINAPI",INDEX(SINAPI_NOV2020_NDES!$A$7:$H$6790,MATCH($B60,SINAPI_NOV2020_NDES!$A$7:$A$6790,0),3),(INDEX(COMPOS!$A$4:$G$5000,MATCH($B60,COMPOS!$A$4:$A$5000,0),3))))</f>
        <v>UN</v>
      </c>
      <c r="E60" s="276">
        <v>4</v>
      </c>
      <c r="F60" s="279">
        <f>(IF($A60="SINAPI",INDEX(SINAPI_NOV2020_NDES!$A$7:$H$6703,MATCH($B60,SINAPI_NOV2020_NDES!$A$7:$A$6703,0),5),(INDEX(COMPOS!$A$4:$G$801,MATCH($B60,COMPOS!$A$4:A$801,0),4))))</f>
        <v>3.7</v>
      </c>
      <c r="G60" s="280">
        <f>(IF($A60="SINAPI",INDEX(SINAPI_NOV2020_NDES!$A$7:$H$6703,MATCH($B60,SINAPI_NOV2020_NDES!$A$7:$A$6703,0),6),(INDEX(COMPOS!$A$4:$G$801,MATCH($B60,COMPOS!$A$4:A$801,0),5))))</f>
        <v>89.17</v>
      </c>
      <c r="H60" s="280">
        <f>(IF($A60="SINAPI",INDEX(SINAPI_NOV2020_NDES!$A$7:$H$6703,MATCH($B60,SINAPI_NOV2020_NDES!$A$7:$A$6703,0),7),(INDEX(COMPOS!$A$4:$G$801,MATCH($B60,COMPOS!$A$4:A$801,0),6))))</f>
        <v>0</v>
      </c>
      <c r="I60" s="279">
        <f t="shared" si="10"/>
        <v>92.87</v>
      </c>
      <c r="J60" s="276">
        <f t="shared" si="11"/>
        <v>371.48</v>
      </c>
      <c r="K60" s="255"/>
      <c r="L60" s="255"/>
      <c r="M60" s="255"/>
      <c r="N60" s="255"/>
      <c r="O60" s="257"/>
      <c r="ALK60" s="42"/>
      <c r="ALL60" s="42"/>
      <c r="ALM60" s="42"/>
      <c r="ALN60" s="42"/>
      <c r="ALO60" s="42"/>
      <c r="ALP60" s="42"/>
      <c r="ALQ60" s="42"/>
      <c r="ALR60" s="42"/>
      <c r="ALS60" s="42"/>
    </row>
    <row r="61" spans="1:1007">
      <c r="A61" s="251" t="s">
        <v>6307</v>
      </c>
      <c r="B61" s="283">
        <v>536</v>
      </c>
      <c r="C61" s="278" t="str">
        <f>(IF($A61="SINAPI",INDEX(SINAPI_NOV2020_NDES!$A$7:$H$6703,MATCH($B61,SINAPI_NOV2020_NDES!$A$7:$A$6703,0),2),IF($A61="GOINFRA",INDEX(#REF!,MATCH($B61,#REF!,0),2),(INDEX(COMPOS!$A$4:$G$3900,MATCH($B61,COMPOS!$A$4:A$3900,0),2)))))</f>
        <v>PARAFUSO SEXTAVADO D=1/4" X 5/8" COM BUCHA S-11</v>
      </c>
      <c r="D61" s="374" t="str">
        <f>(IF($A61="SINAPI",INDEX(SINAPI_NOV2020_NDES!$A$7:$H$6790,MATCH($B61,SINAPI_NOV2020_NDES!$A$7:$A$6790,0),3),(INDEX(COMPOS!$A$4:$G$5000,MATCH($B61,COMPOS!$A$4:$A$5000,0),3))))</f>
        <v>UN</v>
      </c>
      <c r="E61" s="276">
        <v>300</v>
      </c>
      <c r="F61" s="279">
        <f>(IF($A61="SINAPI",INDEX(SINAPI_NOV2020_NDES!$A$7:$H$6703,MATCH($B61,SINAPI_NOV2020_NDES!$A$7:$A$6703,0),5),(INDEX(COMPOS!$A$4:$G$801,MATCH($B61,COMPOS!$A$4:A$801,0),4))))</f>
        <v>1.027558</v>
      </c>
      <c r="G61" s="280">
        <f>(IF($A61="SINAPI",INDEX(SINAPI_NOV2020_NDES!$A$7:$H$6703,MATCH($B61,SINAPI_NOV2020_NDES!$A$7:$A$6703,0),6),(INDEX(COMPOS!$A$4:$G$801,MATCH($B61,COMPOS!$A$4:A$801,0),5))))</f>
        <v>0.48</v>
      </c>
      <c r="H61" s="280">
        <f>(IF($A61="SINAPI",INDEX(SINAPI_NOV2020_NDES!$A$7:$H$6703,MATCH($B61,SINAPI_NOV2020_NDES!$A$7:$A$6703,0),7),(INDEX(COMPOS!$A$4:$G$801,MATCH($B61,COMPOS!$A$4:A$801,0),6))))</f>
        <v>0</v>
      </c>
      <c r="I61" s="279">
        <f t="shared" si="10"/>
        <v>1.507558</v>
      </c>
      <c r="J61" s="276">
        <f t="shared" si="11"/>
        <v>452.26740000000001</v>
      </c>
      <c r="K61" s="255"/>
      <c r="L61" s="255"/>
      <c r="M61" s="255"/>
      <c r="N61" s="255"/>
      <c r="O61" s="257"/>
      <c r="ALK61" s="42"/>
      <c r="ALL61" s="42"/>
      <c r="ALM61" s="42"/>
      <c r="ALN61" s="42"/>
      <c r="ALO61" s="42"/>
      <c r="ALP61" s="42"/>
      <c r="ALQ61" s="42"/>
      <c r="ALR61" s="42"/>
      <c r="ALS61" s="42"/>
    </row>
    <row r="62" spans="1:1007" ht="24">
      <c r="A62" s="251" t="s">
        <v>7</v>
      </c>
      <c r="B62" s="283">
        <v>95731</v>
      </c>
      <c r="C62" s="278" t="str">
        <f>(IF($A62="SINAPI",INDEX(SINAPI_NOV2020_NDES!$A$7:$H$6703,MATCH($B62,SINAPI_NOV2020_NDES!$A$7:$A$6703,0),2),IF($A62="GOINFRA",INDEX(#REF!,MATCH($B62,#REF!,0),2),(INDEX(COMPOS!$A$4:$G$3900,MATCH($B62,COMPOS!$A$4:A$3900,0),2)))))</f>
        <v>ELETRODUTO RÍGIDO SOLDÁVEL, PVC, DN 32 MM (1), APARENTE, INSTALADO EM PAREDE - FORNECIMENTO E INSTALAÇÃO. AF_11/2016_P</v>
      </c>
      <c r="D62" s="374" t="str">
        <f>(IF($A62="SINAPI",INDEX(SINAPI_NOV2020_NDES!$A$7:$H$6790,MATCH($B62,SINAPI_NOV2020_NDES!$A$7:$A$6790,0),3),(INDEX(COMPOS!$A$4:$G$5000,MATCH($B62,COMPOS!$A$4:$A$5000,0),3))))</f>
        <v>M</v>
      </c>
      <c r="E62" s="276">
        <v>20</v>
      </c>
      <c r="F62" s="279">
        <f>(IF($A62="SINAPI",INDEX(SINAPI_NOV2020_NDES!$A$7:$H$6703,MATCH($B62,SINAPI_NOV2020_NDES!$A$7:$A$6703,0),5),(INDEX(COMPOS!$A$4:$G$801,MATCH($B62,COMPOS!$A$4:A$801,0),4))))</f>
        <v>4.1100000000000003</v>
      </c>
      <c r="G62" s="280">
        <f>(IF($A62="SINAPI",INDEX(SINAPI_NOV2020_NDES!$A$7:$H$6703,MATCH($B62,SINAPI_NOV2020_NDES!$A$7:$A$6703,0),6),(INDEX(COMPOS!$A$4:$G$801,MATCH($B62,COMPOS!$A$4:A$801,0),5))))</f>
        <v>3.63</v>
      </c>
      <c r="H62" s="280">
        <f>(IF($A62="SINAPI",INDEX(SINAPI_NOV2020_NDES!$A$7:$H$6703,MATCH($B62,SINAPI_NOV2020_NDES!$A$7:$A$6703,0),7),(INDEX(COMPOS!$A$4:$G$801,MATCH($B62,COMPOS!$A$4:A$801,0),6))))</f>
        <v>0</v>
      </c>
      <c r="I62" s="279">
        <f t="shared" si="10"/>
        <v>7.74</v>
      </c>
      <c r="J62" s="276">
        <f t="shared" si="11"/>
        <v>154.80000000000001</v>
      </c>
      <c r="K62" s="255"/>
      <c r="L62" s="255"/>
      <c r="M62" s="255"/>
      <c r="N62" s="255"/>
      <c r="O62" s="257"/>
      <c r="ALK62" s="42"/>
      <c r="ALL62" s="42"/>
      <c r="ALM62" s="42"/>
      <c r="ALN62" s="42"/>
      <c r="ALO62" s="42"/>
      <c r="ALP62" s="42"/>
      <c r="ALQ62" s="42"/>
      <c r="ALR62" s="42"/>
      <c r="ALS62" s="42"/>
    </row>
    <row r="63" spans="1:1007">
      <c r="A63" s="251" t="s">
        <v>6307</v>
      </c>
      <c r="B63" s="283">
        <v>776</v>
      </c>
      <c r="C63" s="278" t="str">
        <f>(IF($A63="SINAPI",INDEX(SINAPI_NOV2020_NDES!$A$7:$H$6703,MATCH($B63,SINAPI_NOV2020_NDES!$A$7:$A$6703,0),2),IF($A63="GOINFRA",INDEX(#REF!,MATCH($B63,#REF!,0),2),(INDEX(COMPOS!$A$4:$G$3900,MATCH($B63,COMPOS!$A$4:A$3900,0),2)))))</f>
        <v>SUPORTE ISOLADOR SIMPLES</v>
      </c>
      <c r="D63" s="374" t="str">
        <f>(IF($A63="SINAPI",INDEX(SINAPI_NOV2020_NDES!$A$7:$H$6790,MATCH($B63,SINAPI_NOV2020_NDES!$A$7:$A$6790,0),3),(INDEX(COMPOS!$A$4:$G$5000,MATCH($B63,COMPOS!$A$4:$A$5000,0),3))))</f>
        <v>UN</v>
      </c>
      <c r="E63" s="276">
        <v>150</v>
      </c>
      <c r="F63" s="279">
        <f>(IF($A63="SINAPI",INDEX(SINAPI_NOV2020_NDES!$A$7:$H$6703,MATCH($B63,SINAPI_NOV2020_NDES!$A$7:$A$6703,0),5),(INDEX(COMPOS!$A$4:$G$801,MATCH($B63,COMPOS!$A$4:A$801,0),4))))</f>
        <v>13.520499999999998</v>
      </c>
      <c r="G63" s="280">
        <f>(IF($A63="SINAPI",INDEX(SINAPI_NOV2020_NDES!$A$7:$H$6703,MATCH($B63,SINAPI_NOV2020_NDES!$A$7:$A$6703,0),6),(INDEX(COMPOS!$A$4:$G$801,MATCH($B63,COMPOS!$A$4:A$801,0),5))))</f>
        <v>5.38</v>
      </c>
      <c r="H63" s="280">
        <f>(IF($A63="SINAPI",INDEX(SINAPI_NOV2020_NDES!$A$7:$H$6703,MATCH($B63,SINAPI_NOV2020_NDES!$A$7:$A$6703,0),7),(INDEX(COMPOS!$A$4:$G$801,MATCH($B63,COMPOS!$A$4:A$801,0),6))))</f>
        <v>0</v>
      </c>
      <c r="I63" s="279">
        <f t="shared" si="10"/>
        <v>18.900499999999997</v>
      </c>
      <c r="J63" s="276">
        <f t="shared" si="11"/>
        <v>2835.0749999999998</v>
      </c>
      <c r="K63" s="255"/>
      <c r="L63" s="255"/>
      <c r="M63" s="255"/>
      <c r="N63" s="255"/>
      <c r="O63" s="257"/>
      <c r="ALK63" s="42"/>
      <c r="ALL63" s="42"/>
      <c r="ALM63" s="42"/>
      <c r="ALN63" s="42"/>
      <c r="ALO63" s="42"/>
      <c r="ALP63" s="42"/>
      <c r="ALQ63" s="42"/>
      <c r="ALR63" s="42"/>
      <c r="ALS63" s="42"/>
    </row>
    <row r="64" spans="1:1007" s="88" customFormat="1" ht="24" customHeight="1">
      <c r="A64" s="251" t="s">
        <v>6307</v>
      </c>
      <c r="B64" s="283">
        <v>542</v>
      </c>
      <c r="C64" s="278" t="str">
        <f>(IF($A64="SINAPI",INDEX(SINAPI_NOV2020_NDES!$A$7:$H$6703,MATCH($B64,SINAPI_NOV2020_NDES!$A$7:$A$6703,0),2),IF($A64="GOINFRA",INDEX(#REF!,MATCH($B64,#REF!,0),2),(INDEX(COMPOS!$A$4:$G$3900,MATCH($B64,COMPOS!$A$4:A$3900,0),2)))))</f>
        <v>SUPORTE ISOLADOR SIMPLES PARA BEIRAL</v>
      </c>
      <c r="D64" s="374" t="str">
        <f>(IF($A64="SINAPI",INDEX(SINAPI_NOV2020_NDES!$A$7:$H$6790,MATCH($B64,SINAPI_NOV2020_NDES!$A$7:$A$6790,0),3),(INDEX(COMPOS!$A$4:$G$5000,MATCH($B64,COMPOS!$A$4:$A$5000,0),3))))</f>
        <v>UN</v>
      </c>
      <c r="E64" s="276">
        <v>8</v>
      </c>
      <c r="F64" s="279">
        <f>(IF($A64="SINAPI",INDEX(SINAPI_NOV2020_NDES!$A$7:$H$6703,MATCH($B64,SINAPI_NOV2020_NDES!$A$7:$A$6703,0),5),(INDEX(COMPOS!$A$4:$G$801,MATCH($B64,COMPOS!$A$4:A$801,0),4))))</f>
        <v>13.520499999999998</v>
      </c>
      <c r="G64" s="280">
        <f>(IF($A64="SINAPI",INDEX(SINAPI_NOV2020_NDES!$A$7:$H$6703,MATCH($B64,SINAPI_NOV2020_NDES!$A$7:$A$6703,0),6),(INDEX(COMPOS!$A$4:$G$801,MATCH($B64,COMPOS!$A$4:A$801,0),5))))</f>
        <v>52.99</v>
      </c>
      <c r="H64" s="280">
        <f>(IF($A64="SINAPI",INDEX(SINAPI_NOV2020_NDES!$A$7:$H$6703,MATCH($B64,SINAPI_NOV2020_NDES!$A$7:$A$6703,0),7),(INDEX(COMPOS!$A$4:$G$801,MATCH($B64,COMPOS!$A$4:A$801,0),6))))</f>
        <v>0</v>
      </c>
      <c r="I64" s="279">
        <f t="shared" si="10"/>
        <v>66.510500000000008</v>
      </c>
      <c r="J64" s="276">
        <f t="shared" si="11"/>
        <v>532.08400000000006</v>
      </c>
      <c r="K64" s="255"/>
      <c r="L64" s="255"/>
      <c r="M64" s="255"/>
      <c r="N64" s="255"/>
      <c r="O64" s="257"/>
      <c r="P64" s="223"/>
    </row>
    <row r="65" spans="1:15">
      <c r="A65" s="251" t="s">
        <v>6307</v>
      </c>
      <c r="B65" s="283">
        <v>543</v>
      </c>
      <c r="C65" s="278" t="str">
        <f>(IF($A65="SINAPI",INDEX(SINAPI_NOV2020_NDES!$A$7:$H$6703,MATCH($B65,SINAPI_NOV2020_NDES!$A$7:$A$6703,0),2),IF($A65="GOINFRA",INDEX(#REF!,MATCH($B65,#REF!,0),2),(INDEX(COMPOS!$A$4:$G$3900,MATCH($B65,COMPOS!$A$4:A$3900,0),2)))))</f>
        <v>TERMINAL AÉREO 5/8" X 350MM</v>
      </c>
      <c r="D65" s="374" t="str">
        <f>(IF($A65="SINAPI",INDEX(SINAPI_NOV2020_NDES!$A$7:$H$6790,MATCH($B65,SINAPI_NOV2020_NDES!$A$7:$A$6790,0),3),(INDEX(COMPOS!$A$4:$G$5000,MATCH($B65,COMPOS!$A$4:$A$5000,0),3))))</f>
        <v>UN</v>
      </c>
      <c r="E65" s="276">
        <v>36</v>
      </c>
      <c r="F65" s="279">
        <f>(IF($A65="SINAPI",INDEX(SINAPI_NOV2020_NDES!$A$7:$H$6703,MATCH($B65,SINAPI_NOV2020_NDES!$A$7:$A$6703,0),5),(INDEX(COMPOS!$A$4:$G$801,MATCH($B65,COMPOS!$A$4:A$801,0),4))))</f>
        <v>13.520499999999998</v>
      </c>
      <c r="G65" s="280">
        <f>(IF($A65="SINAPI",INDEX(SINAPI_NOV2020_NDES!$A$7:$H$6703,MATCH($B65,SINAPI_NOV2020_NDES!$A$7:$A$6703,0),6),(INDEX(COMPOS!$A$4:$G$801,MATCH($B65,COMPOS!$A$4:A$801,0),5))))</f>
        <v>9.27</v>
      </c>
      <c r="H65" s="280">
        <f>(IF($A65="SINAPI",INDEX(SINAPI_NOV2020_NDES!$A$7:$H$6703,MATCH($B65,SINAPI_NOV2020_NDES!$A$7:$A$6703,0),7),(INDEX(COMPOS!$A$4:$G$801,MATCH($B65,COMPOS!$A$4:A$801,0),6))))</f>
        <v>0</v>
      </c>
      <c r="I65" s="279">
        <f t="shared" si="10"/>
        <v>22.790499999999998</v>
      </c>
      <c r="J65" s="276">
        <f t="shared" si="11"/>
        <v>820.45799999999997</v>
      </c>
      <c r="K65" s="255"/>
      <c r="L65" s="255"/>
      <c r="M65" s="255"/>
      <c r="N65" s="255"/>
      <c r="O65" s="257"/>
    </row>
    <row r="66" spans="1:15">
      <c r="A66" s="251" t="s">
        <v>6307</v>
      </c>
      <c r="B66" s="283">
        <v>544</v>
      </c>
      <c r="C66" s="278" t="str">
        <f>(IF($A66="SINAPI",INDEX(SINAPI_NOV2020_NDES!$A$7:$H$6703,MATCH($B66,SINAPI_NOV2020_NDES!$A$7:$A$6703,0),2),IF($A66="GOINFRA",INDEX(#REF!,MATCH($B66,#REF!,0),2),(INDEX(COMPOS!$A$4:$G$3900,MATCH($B66,COMPOS!$A$4:A$3900,0),2)))))</f>
        <v>MASTRO TELESCÓPICO 5M (4M X ∅ 2" + 1M X ∅ 1.1/2")</v>
      </c>
      <c r="D66" s="374" t="str">
        <f>(IF($A66="SINAPI",INDEX(SINAPI_NOV2020_NDES!$A$7:$H$6790,MATCH($B66,SINAPI_NOV2020_NDES!$A$7:$A$6790,0),3),(INDEX(COMPOS!$A$4:$G$5000,MATCH($B66,COMPOS!$A$4:$A$5000,0),3))))</f>
        <v>UN</v>
      </c>
      <c r="E66" s="276">
        <v>4</v>
      </c>
      <c r="F66" s="279">
        <f>(IF($A66="SINAPI",INDEX(SINAPI_NOV2020_NDES!$A$7:$H$6703,MATCH($B66,SINAPI_NOV2020_NDES!$A$7:$A$6703,0),5),(INDEX(COMPOS!$A$4:$G$801,MATCH($B66,COMPOS!$A$4:A$801,0),4))))</f>
        <v>21.645972999999998</v>
      </c>
      <c r="G66" s="280">
        <f>(IF($A66="SINAPI",INDEX(SINAPI_NOV2020_NDES!$A$7:$H$6703,MATCH($B66,SINAPI_NOV2020_NDES!$A$7:$A$6703,0),6),(INDEX(COMPOS!$A$4:$G$801,MATCH($B66,COMPOS!$A$4:A$801,0),5))))</f>
        <v>399.61157259999999</v>
      </c>
      <c r="H66" s="280">
        <f>(IF($A66="SINAPI",INDEX(SINAPI_NOV2020_NDES!$A$7:$H$6703,MATCH($B66,SINAPI_NOV2020_NDES!$A$7:$A$6703,0),7),(INDEX(COMPOS!$A$4:$G$801,MATCH($B66,COMPOS!$A$4:A$801,0),6))))</f>
        <v>0</v>
      </c>
      <c r="I66" s="279">
        <f t="shared" si="10"/>
        <v>421.25754559999996</v>
      </c>
      <c r="J66" s="276">
        <f t="shared" si="11"/>
        <v>1685.0301823999998</v>
      </c>
      <c r="K66" s="255"/>
      <c r="L66" s="255"/>
      <c r="M66" s="255"/>
      <c r="N66" s="255"/>
      <c r="O66" s="255"/>
    </row>
    <row r="67" spans="1:15">
      <c r="A67" s="680" t="s">
        <v>6927</v>
      </c>
      <c r="B67" s="680"/>
      <c r="C67" s="680"/>
      <c r="D67" s="680"/>
      <c r="E67" s="680"/>
      <c r="F67" s="680"/>
      <c r="G67" s="680"/>
      <c r="H67" s="680"/>
      <c r="I67" s="680"/>
      <c r="J67" s="281">
        <f>SUM(J20:J66)</f>
        <v>73001.792586399984</v>
      </c>
      <c r="K67" s="255"/>
      <c r="L67" s="255"/>
      <c r="M67" s="255"/>
      <c r="N67" s="255"/>
      <c r="O67" s="255"/>
    </row>
    <row r="68" spans="1:15">
      <c r="A68" s="251"/>
      <c r="B68" s="299">
        <v>170</v>
      </c>
      <c r="C68" s="340" t="s">
        <v>604</v>
      </c>
      <c r="D68" s="274"/>
      <c r="E68" s="276"/>
      <c r="F68" s="276"/>
      <c r="G68" s="276"/>
      <c r="H68" s="276"/>
      <c r="I68" s="276"/>
      <c r="J68" s="276"/>
      <c r="K68" s="255"/>
      <c r="L68" s="255"/>
      <c r="M68" s="255"/>
      <c r="N68" s="255"/>
      <c r="O68" s="257"/>
    </row>
    <row r="69" spans="1:15" ht="24">
      <c r="A69" s="251" t="s">
        <v>7</v>
      </c>
      <c r="B69" s="290">
        <v>95469</v>
      </c>
      <c r="C69" s="278" t="str">
        <f>(IF($A69="SINAPI",INDEX(SINAPI_NOV2020_NDES!$A$7:$H$6703,MATCH($B69,SINAPI_NOV2020_NDES!$A$7:$A$6703,0),2),IF($A69="GOINFRA",INDEX(#REF!,MATCH($B69,#REF!,0),2),(INDEX(COMPOS!$A$4:$G$390,MATCH($B69,COMPOS!$A$4:A$390,0),2)))))</f>
        <v>VASO SANITARIO SIFONADO CONVENCIONAL COM  LOUÇA BRANCA - FORNECIMENTO E INSTALAÇÃO. AF_01/2020</v>
      </c>
      <c r="D69" s="374" t="str">
        <f>(IF($A69="SINAPI",INDEX(SINAPI_NOV2020_NDES!$A$7:$H$6790,MATCH($B69,SINAPI_NOV2020_NDES!$A$7:$A$6790,0),3),(INDEX(COMPOS!$A$4:$G$5000,MATCH($B69,COMPOS!$A$4:$A$5000,0),3))))</f>
        <v>UN</v>
      </c>
      <c r="E69" s="276">
        <v>8</v>
      </c>
      <c r="F69" s="279">
        <f>(IF($A69="SINAPI",INDEX(SINAPI_NOV2020_NDES!$A$7:$H$6703,MATCH($B69,SINAPI_NOV2020_NDES!$A$7:$A$6703,0),5),(INDEX(COMPOS!$A$4:$G$801,MATCH($B69,COMPOS!$A$4:A$801,0),4))))</f>
        <v>12.19</v>
      </c>
      <c r="G69" s="280">
        <f>(IF($A69="SINAPI",INDEX(SINAPI_NOV2020_NDES!$A$7:$H$6703,MATCH($B69,SINAPI_NOV2020_NDES!$A$7:$A$6703,0),6),(INDEX(COMPOS!$A$4:$G$801,MATCH($B69,COMPOS!$A$4:A$801,0),5))))</f>
        <v>155.57</v>
      </c>
      <c r="H69" s="280">
        <f>(IF($A69="SINAPI",INDEX(SINAPI_NOV2020_NDES!$A$7:$H$6703,MATCH($B69,SINAPI_NOV2020_NDES!$A$7:$A$6703,0),7),(INDEX(COMPOS!$A$4:$G$801,MATCH($B69,COMPOS!$A$4:A$801,0),6))))</f>
        <v>0</v>
      </c>
      <c r="I69" s="279">
        <f t="shared" ref="I69" si="12">SUM(F69:H69)</f>
        <v>167.76</v>
      </c>
      <c r="J69" s="276">
        <f t="shared" ref="J69" si="13">+I69*E69</f>
        <v>1342.08</v>
      </c>
      <c r="K69" s="255"/>
      <c r="L69" s="255"/>
      <c r="M69" s="255"/>
      <c r="N69" s="255"/>
      <c r="O69" s="257"/>
    </row>
    <row r="70" spans="1:15" ht="24">
      <c r="A70" s="251" t="s">
        <v>7</v>
      </c>
      <c r="B70" s="290">
        <v>100849</v>
      </c>
      <c r="C70" s="278" t="str">
        <f>(IF($A70="SINAPI",INDEX(SINAPI_NOV2020_NDES!$A$7:$H$6703,MATCH($B70,SINAPI_NOV2020_NDES!$A$7:$A$6703,0),2),IF($A70="GOINFRA",INDEX(#REF!,MATCH($B70,#REF!,0),2),(INDEX(COMPOS!$A$4:$G$390,MATCH($B70,COMPOS!$A$4:A$390,0),2)))))</f>
        <v>ASSENTO SANITÁRIO CONVENCIONAL - FORNECIMENTO E INSTALACAO. AF_01/2020</v>
      </c>
      <c r="D70" s="374" t="str">
        <f>(IF($A70="SINAPI",INDEX(SINAPI_NOV2020_NDES!$A$7:$H$6790,MATCH($B70,SINAPI_NOV2020_NDES!$A$7:$A$6790,0),3),(INDEX(COMPOS!$A$4:$G$5000,MATCH($B70,COMPOS!$A$4:$A$5000,0),3))))</f>
        <v>UN</v>
      </c>
      <c r="E70" s="276">
        <v>2</v>
      </c>
      <c r="F70" s="279">
        <f>(IF($A70="SINAPI",INDEX(SINAPI_NOV2020_NDES!$A$7:$H$6703,MATCH($B70,SINAPI_NOV2020_NDES!$A$7:$A$6703,0),5),(INDEX(COMPOS!$A$4:$G$801,MATCH($B70,COMPOS!$A$4:A$801,0),4))))</f>
        <v>3.12</v>
      </c>
      <c r="G70" s="280">
        <f>(IF($A70="SINAPI",INDEX(SINAPI_NOV2020_NDES!$A$7:$H$6703,MATCH($B70,SINAPI_NOV2020_NDES!$A$7:$A$6703,0),6),(INDEX(COMPOS!$A$4:$G$801,MATCH($B70,COMPOS!$A$4:A$801,0),5))))</f>
        <v>25.86</v>
      </c>
      <c r="H70" s="280">
        <f>(IF($A70="SINAPI",INDEX(SINAPI_NOV2020_NDES!$A$7:$H$6703,MATCH($B70,SINAPI_NOV2020_NDES!$A$7:$A$6703,0),7),(INDEX(COMPOS!$A$4:$G$801,MATCH($B70,COMPOS!$A$4:A$801,0),6))))</f>
        <v>0</v>
      </c>
      <c r="I70" s="279">
        <f t="shared" ref="I70:I90" si="14">SUM(F70:H70)</f>
        <v>28.98</v>
      </c>
      <c r="J70" s="276">
        <f t="shared" ref="J70:J90" si="15">+I70*E70</f>
        <v>57.96</v>
      </c>
      <c r="K70" s="255"/>
      <c r="L70" s="255"/>
      <c r="M70" s="255"/>
      <c r="N70" s="255"/>
      <c r="O70" s="257"/>
    </row>
    <row r="71" spans="1:15">
      <c r="A71" s="251" t="s">
        <v>6307</v>
      </c>
      <c r="B71" s="290">
        <v>812</v>
      </c>
      <c r="C71" s="278" t="str">
        <f>(IF($A71="SINAPI",INDEX(SINAPI_NOV2020_NDES!$A$7:$H$6703,MATCH($B71,SINAPI_NOV2020_NDES!$A$7:$A$6703,0),2),IF($A71="GOINFRA",INDEX(#REF!,MATCH($B71,#REF!,0),2),(INDEX(COMPOS!$A$4:$G$390,MATCH($B71,COMPOS!$A$4:A$390,0),2)))))</f>
        <v>ACABAMENTO DE VÁLVULA DE DESCARGA CROMADO ANTIVANDALISMO</v>
      </c>
      <c r="D71" s="374" t="str">
        <f>(IF($A71="SINAPI",INDEX(SINAPI_NOV2020_NDES!$A$7:$H$6790,MATCH($B71,SINAPI_NOV2020_NDES!$A$7:$A$6790,0),3),(INDEX(COMPOS!$A$4:$G$5000,MATCH($B71,COMPOS!$A$4:$A$5000,0),3))))</f>
        <v>UN</v>
      </c>
      <c r="E71" s="276">
        <v>8</v>
      </c>
      <c r="F71" s="279">
        <f>(IF($A71="SINAPI",INDEX(SINAPI_NOV2020_NDES!$A$7:$H$6703,MATCH($B71,SINAPI_NOV2020_NDES!$A$7:$A$6703,0),5),(INDEX(COMPOS!$A$4:$G$801,MATCH($B71,COMPOS!$A$4:A$801,0),4))))</f>
        <v>12.805470000000001</v>
      </c>
      <c r="G71" s="280">
        <f>(IF($A71="SINAPI",INDEX(SINAPI_NOV2020_NDES!$A$7:$H$6703,MATCH($B71,SINAPI_NOV2020_NDES!$A$7:$A$6703,0),6),(INDEX(COMPOS!$A$4:$G$801,MATCH($B71,COMPOS!$A$4:A$801,0),5))))</f>
        <v>264.59666666666664</v>
      </c>
      <c r="H71" s="280">
        <f>(IF($A71="SINAPI",INDEX(SINAPI_NOV2020_NDES!$A$7:$H$6703,MATCH($B71,SINAPI_NOV2020_NDES!$A$7:$A$6703,0),7),(INDEX(COMPOS!$A$4:$G$801,MATCH($B71,COMPOS!$A$4:A$801,0),6))))</f>
        <v>0</v>
      </c>
      <c r="I71" s="279">
        <f t="shared" si="14"/>
        <v>277.40213666666665</v>
      </c>
      <c r="J71" s="276">
        <f t="shared" si="15"/>
        <v>2219.2170933333332</v>
      </c>
      <c r="K71" s="255"/>
      <c r="L71" s="255"/>
      <c r="M71" s="255"/>
      <c r="N71" s="255"/>
      <c r="O71" s="257"/>
    </row>
    <row r="72" spans="1:15">
      <c r="A72" s="251" t="s">
        <v>6307</v>
      </c>
      <c r="B72" s="290">
        <v>791</v>
      </c>
      <c r="C72" s="278" t="str">
        <f>(IF($A72="SINAPI",INDEX(SINAPI_NOV2020_NDES!$A$7:$H$6703,MATCH($B72,SINAPI_NOV2020_NDES!$A$7:$A$6703,0),2),IF($A72="GOINFRA",INDEX(#REF!,MATCH($B72,#REF!,0),2),(INDEX(COMPOS!$A$4:$G$390,MATCH($B72,COMPOS!$A$4:A$390,0),2)))))</f>
        <v>ANEL DE VEDAÇÃO PARA VASO SANITÁRIO</v>
      </c>
      <c r="D72" s="374" t="str">
        <f>(IF($A72="SINAPI",INDEX(SINAPI_NOV2020_NDES!$A$7:$H$6790,MATCH($B72,SINAPI_NOV2020_NDES!$A$7:$A$6790,0),3),(INDEX(COMPOS!$A$4:$G$5000,MATCH($B72,COMPOS!$A$4:$A$5000,0),3))))</f>
        <v>UN</v>
      </c>
      <c r="E72" s="276">
        <v>8</v>
      </c>
      <c r="F72" s="279">
        <f>(IF($A72="SINAPI",INDEX(SINAPI_NOV2020_NDES!$A$7:$H$6703,MATCH($B72,SINAPI_NOV2020_NDES!$A$7:$A$6703,0),5),(INDEX(COMPOS!$A$4:$G$801,MATCH($B72,COMPOS!$A$4:A$801,0),4))))</f>
        <v>5.6159999999999997</v>
      </c>
      <c r="G72" s="280">
        <f>(IF($A72="SINAPI",INDEX(SINAPI_NOV2020_NDES!$A$7:$H$6703,MATCH($B72,SINAPI_NOV2020_NDES!$A$7:$A$6703,0),6),(INDEX(COMPOS!$A$4:$G$801,MATCH($B72,COMPOS!$A$4:A$801,0),5))))</f>
        <v>1.69</v>
      </c>
      <c r="H72" s="280">
        <f>(IF($A72="SINAPI",INDEX(SINAPI_NOV2020_NDES!$A$7:$H$6703,MATCH($B72,SINAPI_NOV2020_NDES!$A$7:$A$6703,0),7),(INDEX(COMPOS!$A$4:$G$801,MATCH($B72,COMPOS!$A$4:A$801,0),6))))</f>
        <v>0</v>
      </c>
      <c r="I72" s="279">
        <f t="shared" si="14"/>
        <v>7.3059999999999992</v>
      </c>
      <c r="J72" s="276">
        <f t="shared" si="15"/>
        <v>58.447999999999993</v>
      </c>
      <c r="K72" s="255"/>
      <c r="L72" s="255"/>
      <c r="M72" s="255"/>
      <c r="N72" s="255"/>
      <c r="O72" s="257"/>
    </row>
    <row r="73" spans="1:15">
      <c r="A73" s="251" t="s">
        <v>6307</v>
      </c>
      <c r="B73" s="290">
        <v>323</v>
      </c>
      <c r="C73" s="278" t="str">
        <f>(IF($A73="SINAPI",INDEX(SINAPI_NOV2020_NDES!$A$7:$H$6703,MATCH($B73,SINAPI_NOV2020_NDES!$A$7:$A$6703,0),2),IF($A73="GOINFRA",INDEX(#REF!,MATCH($B73,#REF!,0),2),(INDEX(COMPOS!$A$4:$G$390,MATCH($B73,COMPOS!$A$4:A$390,0),2)))))</f>
        <v>TUBO PARA VÁLVULA DE DESCARGA CURTO 1.1/4''</v>
      </c>
      <c r="D73" s="374" t="str">
        <f>(IF($A73="SINAPI",INDEX(SINAPI_NOV2020_NDES!$A$7:$H$6790,MATCH($B73,SINAPI_NOV2020_NDES!$A$7:$A$6790,0),3),(INDEX(COMPOS!$A$4:$G$5000,MATCH($B73,COMPOS!$A$4:$A$5000,0),3))))</f>
        <v>UN</v>
      </c>
      <c r="E73" s="276">
        <v>8</v>
      </c>
      <c r="F73" s="279">
        <f>(IF($A73="SINAPI",INDEX(SINAPI_NOV2020_NDES!$A$7:$H$6703,MATCH($B73,SINAPI_NOV2020_NDES!$A$7:$A$6703,0),5),(INDEX(COMPOS!$A$4:$G$801,MATCH($B73,COMPOS!$A$4:A$801,0),4))))</f>
        <v>11.9808</v>
      </c>
      <c r="G73" s="280">
        <f>(IF($A73="SINAPI",INDEX(SINAPI_NOV2020_NDES!$A$7:$H$6703,MATCH($B73,SINAPI_NOV2020_NDES!$A$7:$A$6703,0),6),(INDEX(COMPOS!$A$4:$G$801,MATCH($B73,COMPOS!$A$4:A$801,0),5))))</f>
        <v>5.94</v>
      </c>
      <c r="H73" s="280">
        <f>(IF($A73="SINAPI",INDEX(SINAPI_NOV2020_NDES!$A$7:$H$6703,MATCH($B73,SINAPI_NOV2020_NDES!$A$7:$A$6703,0),7),(INDEX(COMPOS!$A$4:$G$801,MATCH($B73,COMPOS!$A$4:A$801,0),6))))</f>
        <v>0</v>
      </c>
      <c r="I73" s="279">
        <f t="shared" si="14"/>
        <v>17.9208</v>
      </c>
      <c r="J73" s="276">
        <f t="shared" si="15"/>
        <v>143.3664</v>
      </c>
      <c r="K73" s="255"/>
      <c r="L73" s="255"/>
      <c r="M73" s="255"/>
      <c r="N73" s="255"/>
      <c r="O73" s="257"/>
    </row>
    <row r="74" spans="1:15">
      <c r="A74" s="251" t="s">
        <v>6307</v>
      </c>
      <c r="B74" s="290">
        <v>324</v>
      </c>
      <c r="C74" s="278" t="str">
        <f>(IF($A74="SINAPI",INDEX(SINAPI_NOV2020_NDES!$A$7:$H$6703,MATCH($B74,SINAPI_NOV2020_NDES!$A$7:$A$6703,0),2),IF($A74="GOINFRA",INDEX(#REF!,MATCH($B74,#REF!,0),2),(INDEX(COMPOS!$A$4:$G$390,MATCH($B74,COMPOS!$A$4:A$390,0),2)))))</f>
        <v>TUBO DE LIGAÇÃO PVC CROMADO 1.1/2'' – ESPUDE (ENTRADA)</v>
      </c>
      <c r="D74" s="374" t="str">
        <f>(IF($A74="SINAPI",INDEX(SINAPI_NOV2020_NDES!$A$7:$H$6790,MATCH($B74,SINAPI_NOV2020_NDES!$A$7:$A$6790,0),3),(INDEX(COMPOS!$A$4:$G$5000,MATCH($B74,COMPOS!$A$4:$A$5000,0),3))))</f>
        <v>UN</v>
      </c>
      <c r="E74" s="276">
        <v>8</v>
      </c>
      <c r="F74" s="279">
        <f>(IF($A74="SINAPI",INDEX(SINAPI_NOV2020_NDES!$A$7:$H$6703,MATCH($B74,SINAPI_NOV2020_NDES!$A$7:$A$6703,0),5),(INDEX(COMPOS!$A$4:$G$801,MATCH($B74,COMPOS!$A$4:A$801,0),4))))</f>
        <v>5.2416</v>
      </c>
      <c r="G74" s="280">
        <f>(IF($A74="SINAPI",INDEX(SINAPI_NOV2020_NDES!$A$7:$H$6703,MATCH($B74,SINAPI_NOV2020_NDES!$A$7:$A$6703,0),6),(INDEX(COMPOS!$A$4:$G$801,MATCH($B74,COMPOS!$A$4:A$801,0),5))))</f>
        <v>5.89</v>
      </c>
      <c r="H74" s="280">
        <f>(IF($A74="SINAPI",INDEX(SINAPI_NOV2020_NDES!$A$7:$H$6703,MATCH($B74,SINAPI_NOV2020_NDES!$A$7:$A$6703,0),7),(INDEX(COMPOS!$A$4:$G$801,MATCH($B74,COMPOS!$A$4:A$801,0),6))))</f>
        <v>0</v>
      </c>
      <c r="I74" s="279">
        <f t="shared" si="14"/>
        <v>11.131599999999999</v>
      </c>
      <c r="J74" s="276">
        <f t="shared" si="15"/>
        <v>89.052799999999991</v>
      </c>
      <c r="K74" s="255"/>
      <c r="L74" s="255"/>
      <c r="M74" s="255"/>
      <c r="N74" s="255"/>
      <c r="O74" s="257"/>
    </row>
    <row r="75" spans="1:15">
      <c r="A75" s="251" t="s">
        <v>6307</v>
      </c>
      <c r="B75" s="290">
        <v>786</v>
      </c>
      <c r="C75" s="278" t="str">
        <f>(IF($A75="SINAPI",INDEX(SINAPI_NOV2020_NDES!$A$7:$H$6703,MATCH($B75,SINAPI_NOV2020_NDES!$A$7:$A$6703,0),2),IF($A75="GOINFRA",INDEX(#REF!,MATCH($B75,#REF!,0),2),(INDEX(COMPOS!$A$4:$G$390,MATCH($B75,COMPOS!$A$4:A$390,0),2)))))</f>
        <v>PORTA PAPEL HIGIÊNICO EM LOUÇA - EMBUTIR</v>
      </c>
      <c r="D75" s="374" t="str">
        <f>(IF($A75="SINAPI",INDEX(SINAPI_NOV2020_NDES!$A$7:$H$6790,MATCH($B75,SINAPI_NOV2020_NDES!$A$7:$A$6790,0),3),(INDEX(COMPOS!$A$4:$G$5000,MATCH($B75,COMPOS!$A$4:$A$5000,0),3))))</f>
        <v>UN</v>
      </c>
      <c r="E75" s="276">
        <v>8</v>
      </c>
      <c r="F75" s="279">
        <f>(IF($A75="SINAPI",INDEX(SINAPI_NOV2020_NDES!$A$7:$H$6703,MATCH($B75,SINAPI_NOV2020_NDES!$A$7:$A$6703,0),5),(INDEX(COMPOS!$A$4:$G$801,MATCH($B75,COMPOS!$A$4:A$801,0),4))))</f>
        <v>18.365000000000002</v>
      </c>
      <c r="G75" s="280">
        <f>(IF($A75="SINAPI",INDEX(SINAPI_NOV2020_NDES!$A$7:$H$6703,MATCH($B75,SINAPI_NOV2020_NDES!$A$7:$A$6703,0),6),(INDEX(COMPOS!$A$4:$G$801,MATCH($B75,COMPOS!$A$4:A$801,0),5))))</f>
        <v>22.925999999999998</v>
      </c>
      <c r="H75" s="280">
        <f>(IF($A75="SINAPI",INDEX(SINAPI_NOV2020_NDES!$A$7:$H$6703,MATCH($B75,SINAPI_NOV2020_NDES!$A$7:$A$6703,0),7),(INDEX(COMPOS!$A$4:$G$801,MATCH($B75,COMPOS!$A$4:A$801,0),6))))</f>
        <v>0</v>
      </c>
      <c r="I75" s="279">
        <f t="shared" si="14"/>
        <v>41.290999999999997</v>
      </c>
      <c r="J75" s="276">
        <f t="shared" si="15"/>
        <v>330.32799999999997</v>
      </c>
      <c r="K75" s="255"/>
      <c r="L75" s="255"/>
      <c r="M75" s="255"/>
      <c r="N75" s="255"/>
      <c r="O75" s="257"/>
    </row>
    <row r="76" spans="1:15" ht="24">
      <c r="A76" s="251" t="s">
        <v>7</v>
      </c>
      <c r="B76" s="290">
        <v>86903</v>
      </c>
      <c r="C76" s="278" t="str">
        <f>(IF($A76="SINAPI",INDEX(SINAPI_NOV2020_NDES!$A$7:$H$6703,MATCH($B76,SINAPI_NOV2020_NDES!$A$7:$A$6703,0),2),IF($A76="GOINFRA",INDEX(#REF!,MATCH($B76,#REF!,0),2),(INDEX(COMPOS!$A$4:$G$390,MATCH($B76,COMPOS!$A$4:A$390,0),2)))))</f>
        <v>LAVATÓRIO LOUÇA BRANCA COM COLUNA, 45 X 55CM OU EQUIVALENTE, PADRÃO MÉDIO - FORNECIMENTO E INSTALAÇÃO. AF_01/2020</v>
      </c>
      <c r="D76" s="374" t="str">
        <f>(IF($A76="SINAPI",INDEX(SINAPI_NOV2020_NDES!$A$7:$H$6790,MATCH($B76,SINAPI_NOV2020_NDES!$A$7:$A$6790,0),3),(INDEX(COMPOS!$A$4:$G$5000,MATCH($B76,COMPOS!$A$4:$A$5000,0),3))))</f>
        <v>UN</v>
      </c>
      <c r="E76" s="276">
        <v>2</v>
      </c>
      <c r="F76" s="279">
        <f>(IF($A76="SINAPI",INDEX(SINAPI_NOV2020_NDES!$A$7:$H$6703,MATCH($B76,SINAPI_NOV2020_NDES!$A$7:$A$6703,0),5),(INDEX(COMPOS!$A$4:$G$801,MATCH($B76,COMPOS!$A$4:A$801,0),4))))</f>
        <v>31.96</v>
      </c>
      <c r="G76" s="280">
        <f>(IF($A76="SINAPI",INDEX(SINAPI_NOV2020_NDES!$A$7:$H$6703,MATCH($B76,SINAPI_NOV2020_NDES!$A$7:$A$6703,0),6),(INDEX(COMPOS!$A$4:$G$801,MATCH($B76,COMPOS!$A$4:A$801,0),5))))</f>
        <v>247.2</v>
      </c>
      <c r="H76" s="280">
        <f>(IF($A76="SINAPI",INDEX(SINAPI_NOV2020_NDES!$A$7:$H$6703,MATCH($B76,SINAPI_NOV2020_NDES!$A$7:$A$6703,0),7),(INDEX(COMPOS!$A$4:$G$801,MATCH($B76,COMPOS!$A$4:A$801,0),6))))</f>
        <v>0</v>
      </c>
      <c r="I76" s="279">
        <f t="shared" si="14"/>
        <v>279.15999999999997</v>
      </c>
      <c r="J76" s="276">
        <f t="shared" si="15"/>
        <v>558.31999999999994</v>
      </c>
      <c r="K76" s="255"/>
      <c r="L76" s="255"/>
      <c r="M76" s="255"/>
      <c r="N76" s="255"/>
      <c r="O76" s="257"/>
    </row>
    <row r="77" spans="1:15" ht="24">
      <c r="A77" s="251" t="s">
        <v>7</v>
      </c>
      <c r="B77" s="290">
        <v>86885</v>
      </c>
      <c r="C77" s="278" t="str">
        <f>(IF($A77="SINAPI",INDEX(SINAPI_NOV2020_NDES!$A$7:$H$6703,MATCH($B77,SINAPI_NOV2020_NDES!$A$7:$A$6703,0),2),IF($A77="GOINFRA",INDEX(#REF!,MATCH($B77,#REF!,0),2),(INDEX(COMPOS!$A$4:$G$390,MATCH($B77,COMPOS!$A$4:A$390,0),2)))))</f>
        <v>ENGATE FLEXÍVEL EM PLÁSTICO BRANCO, 1/2 X 40CM - FORNECIMENTO E INSTALAÇÃO. AF_01/2020</v>
      </c>
      <c r="D77" s="374" t="str">
        <f>(IF($A77="SINAPI",INDEX(SINAPI_NOV2020_NDES!$A$7:$H$6790,MATCH($B77,SINAPI_NOV2020_NDES!$A$7:$A$6790,0),3),(INDEX(COMPOS!$A$4:$G$5000,MATCH($B77,COMPOS!$A$4:$A$5000,0),3))))</f>
        <v>UN</v>
      </c>
      <c r="E77" s="276">
        <v>2</v>
      </c>
      <c r="F77" s="279">
        <f>(IF($A77="SINAPI",INDEX(SINAPI_NOV2020_NDES!$A$7:$H$6703,MATCH($B77,SINAPI_NOV2020_NDES!$A$7:$A$6703,0),5),(INDEX(COMPOS!$A$4:$G$801,MATCH($B77,COMPOS!$A$4:A$801,0),4))))</f>
        <v>3.12</v>
      </c>
      <c r="G77" s="280">
        <f>(IF($A77="SINAPI",INDEX(SINAPI_NOV2020_NDES!$A$7:$H$6703,MATCH($B77,SINAPI_NOV2020_NDES!$A$7:$A$6703,0),6),(INDEX(COMPOS!$A$4:$G$801,MATCH($B77,COMPOS!$A$4:A$801,0),5))))</f>
        <v>6.03</v>
      </c>
      <c r="H77" s="280">
        <f>(IF($A77="SINAPI",INDEX(SINAPI_NOV2020_NDES!$A$7:$H$6703,MATCH($B77,SINAPI_NOV2020_NDES!$A$7:$A$6703,0),7),(INDEX(COMPOS!$A$4:$G$801,MATCH($B77,COMPOS!$A$4:A$801,0),6))))</f>
        <v>0</v>
      </c>
      <c r="I77" s="279">
        <f t="shared" si="14"/>
        <v>9.15</v>
      </c>
      <c r="J77" s="276">
        <f t="shared" si="15"/>
        <v>18.3</v>
      </c>
      <c r="K77" s="255"/>
      <c r="L77" s="255"/>
      <c r="M77" s="255"/>
      <c r="N77" s="255"/>
      <c r="O77" s="257"/>
    </row>
    <row r="78" spans="1:15" ht="24">
      <c r="A78" s="251" t="s">
        <v>7</v>
      </c>
      <c r="B78" s="290">
        <v>86906</v>
      </c>
      <c r="C78" s="278" t="str">
        <f>(IF($A78="SINAPI",INDEX(SINAPI_NOV2020_NDES!$A$7:$H$6703,MATCH($B78,SINAPI_NOV2020_NDES!$A$7:$A$6703,0),2),IF($A78="GOINFRA",INDEX(#REF!,MATCH($B78,#REF!,0),2),(INDEX(COMPOS!$A$4:$G$390,MATCH($B78,COMPOS!$A$4:A$390,0),2)))))</f>
        <v>TORNEIRA CROMADA DE MESA, 1/2 OU 3/4, PARA LAVATÓRIO, PADRÃO POPULAR - FORNECIMENTO E INSTALAÇÃO. AF_01/2020</v>
      </c>
      <c r="D78" s="374" t="str">
        <f>(IF($A78="SINAPI",INDEX(SINAPI_NOV2020_NDES!$A$7:$H$6790,MATCH($B78,SINAPI_NOV2020_NDES!$A$7:$A$6790,0),3),(INDEX(COMPOS!$A$4:$G$5000,MATCH($B78,COMPOS!$A$4:$A$5000,0),3))))</f>
        <v>UN</v>
      </c>
      <c r="E78" s="276">
        <v>2</v>
      </c>
      <c r="F78" s="279">
        <f>(IF($A78="SINAPI",INDEX(SINAPI_NOV2020_NDES!$A$7:$H$6703,MATCH($B78,SINAPI_NOV2020_NDES!$A$7:$A$6703,0),5),(INDEX(COMPOS!$A$4:$G$801,MATCH($B78,COMPOS!$A$4:A$801,0),4))))</f>
        <v>1.94</v>
      </c>
      <c r="G78" s="280">
        <f>(IF($A78="SINAPI",INDEX(SINAPI_NOV2020_NDES!$A$7:$H$6703,MATCH($B78,SINAPI_NOV2020_NDES!$A$7:$A$6703,0),6),(INDEX(COMPOS!$A$4:$G$801,MATCH($B78,COMPOS!$A$4:A$801,0),5))))</f>
        <v>41.22</v>
      </c>
      <c r="H78" s="280">
        <f>(IF($A78="SINAPI",INDEX(SINAPI_NOV2020_NDES!$A$7:$H$6703,MATCH($B78,SINAPI_NOV2020_NDES!$A$7:$A$6703,0),7),(INDEX(COMPOS!$A$4:$G$801,MATCH($B78,COMPOS!$A$4:A$801,0),6))))</f>
        <v>0</v>
      </c>
      <c r="I78" s="279">
        <f t="shared" si="14"/>
        <v>43.16</v>
      </c>
      <c r="J78" s="276">
        <f t="shared" si="15"/>
        <v>86.32</v>
      </c>
      <c r="K78" s="255"/>
      <c r="L78" s="255"/>
      <c r="M78" s="255"/>
      <c r="N78" s="255"/>
      <c r="O78" s="257"/>
    </row>
    <row r="79" spans="1:15" ht="24">
      <c r="A79" s="251" t="s">
        <v>7</v>
      </c>
      <c r="B79" s="290">
        <v>86881</v>
      </c>
      <c r="C79" s="278" t="str">
        <f>(IF($A79="SINAPI",INDEX(SINAPI_NOV2020_NDES!$A$7:$H$6703,MATCH($B79,SINAPI_NOV2020_NDES!$A$7:$A$6703,0),2),IF($A79="GOINFRA",INDEX(#REF!,MATCH($B79,#REF!,0),2),(INDEX(COMPOS!$A$4:$G$390,MATCH($B79,COMPOS!$A$4:A$390,0),2)))))</f>
        <v>SIFÃO DO TIPO GARRAFA EM METAL CROMADO 1 X 1.1/2 - FORNECIMENTO E INSTALAÇÃO. AF_01/2020</v>
      </c>
      <c r="D79" s="374" t="str">
        <f>(IF($A79="SINAPI",INDEX(SINAPI_NOV2020_NDES!$A$7:$H$6790,MATCH($B79,SINAPI_NOV2020_NDES!$A$7:$A$6790,0),3),(INDEX(COMPOS!$A$4:$G$5000,MATCH($B79,COMPOS!$A$4:$A$5000,0),3))))</f>
        <v>UN</v>
      </c>
      <c r="E79" s="276">
        <v>2</v>
      </c>
      <c r="F79" s="279">
        <f>(IF($A79="SINAPI",INDEX(SINAPI_NOV2020_NDES!$A$7:$H$6703,MATCH($B79,SINAPI_NOV2020_NDES!$A$7:$A$6703,0),5),(INDEX(COMPOS!$A$4:$G$801,MATCH($B79,COMPOS!$A$4:A$801,0),4))))</f>
        <v>5.57</v>
      </c>
      <c r="G79" s="280">
        <f>(IF($A79="SINAPI",INDEX(SINAPI_NOV2020_NDES!$A$7:$H$6703,MATCH($B79,SINAPI_NOV2020_NDES!$A$7:$A$6703,0),6),(INDEX(COMPOS!$A$4:$G$801,MATCH($B79,COMPOS!$A$4:A$801,0),5))))</f>
        <v>115.41</v>
      </c>
      <c r="H79" s="280">
        <f>(IF($A79="SINAPI",INDEX(SINAPI_NOV2020_NDES!$A$7:$H$6703,MATCH($B79,SINAPI_NOV2020_NDES!$A$7:$A$6703,0),7),(INDEX(COMPOS!$A$4:$G$801,MATCH($B79,COMPOS!$A$4:A$801,0),6))))</f>
        <v>0</v>
      </c>
      <c r="I79" s="279">
        <f t="shared" si="14"/>
        <v>120.97999999999999</v>
      </c>
      <c r="J79" s="276">
        <f t="shared" si="15"/>
        <v>241.95999999999998</v>
      </c>
      <c r="K79" s="255"/>
      <c r="L79" s="255"/>
      <c r="M79" s="255"/>
      <c r="N79" s="255"/>
      <c r="O79" s="257"/>
    </row>
    <row r="80" spans="1:15" ht="24">
      <c r="A80" s="251" t="s">
        <v>7</v>
      </c>
      <c r="B80" s="290">
        <v>86911</v>
      </c>
      <c r="C80" s="278" t="str">
        <f>(IF($A80="SINAPI",INDEX(SINAPI_NOV2020_NDES!$A$7:$H$6703,MATCH($B80,SINAPI_NOV2020_NDES!$A$7:$A$6703,0),2),IF($A80="GOINFRA",INDEX(#REF!,MATCH($B80,#REF!,0),2),(INDEX(COMPOS!$A$4:$G$390,MATCH($B80,COMPOS!$A$4:A$390,0),2)))))</f>
        <v>TORNEIRA CROMADA LONGA, DE PAREDE, 1/2 OU 3/4, PARA PIA DE COZINHA, PADRÃO POPULAR - FORNECIMENTO E INSTALAÇÃO. AF_01/2020</v>
      </c>
      <c r="D80" s="374" t="str">
        <f>(IF($A80="SINAPI",INDEX(SINAPI_NOV2020_NDES!$A$7:$H$6790,MATCH($B80,SINAPI_NOV2020_NDES!$A$7:$A$6790,0),3),(INDEX(COMPOS!$A$4:$G$5000,MATCH($B80,COMPOS!$A$4:$A$5000,0),3))))</f>
        <v>UN</v>
      </c>
      <c r="E80" s="276">
        <v>8</v>
      </c>
      <c r="F80" s="279">
        <f>(IF($A80="SINAPI",INDEX(SINAPI_NOV2020_NDES!$A$7:$H$6703,MATCH($B80,SINAPI_NOV2020_NDES!$A$7:$A$6703,0),5),(INDEX(COMPOS!$A$4:$G$801,MATCH($B80,COMPOS!$A$4:A$801,0),4))))</f>
        <v>2.36</v>
      </c>
      <c r="G80" s="280">
        <f>(IF($A80="SINAPI",INDEX(SINAPI_NOV2020_NDES!$A$7:$H$6703,MATCH($B80,SINAPI_NOV2020_NDES!$A$7:$A$6703,0),6),(INDEX(COMPOS!$A$4:$G$801,MATCH($B80,COMPOS!$A$4:A$801,0),5))))</f>
        <v>34.35</v>
      </c>
      <c r="H80" s="280">
        <f>(IF($A80="SINAPI",INDEX(SINAPI_NOV2020_NDES!$A$7:$H$6703,MATCH($B80,SINAPI_NOV2020_NDES!$A$7:$A$6703,0),7),(INDEX(COMPOS!$A$4:$G$801,MATCH($B80,COMPOS!$A$4:A$801,0),6))))</f>
        <v>0</v>
      </c>
      <c r="I80" s="279">
        <f t="shared" si="14"/>
        <v>36.71</v>
      </c>
      <c r="J80" s="276">
        <f t="shared" si="15"/>
        <v>293.68</v>
      </c>
      <c r="K80" s="255"/>
      <c r="L80" s="255"/>
      <c r="M80" s="255"/>
      <c r="N80" s="255"/>
      <c r="O80" s="257"/>
    </row>
    <row r="81" spans="1:16">
      <c r="A81" s="251" t="s">
        <v>6307</v>
      </c>
      <c r="B81" s="290">
        <v>797</v>
      </c>
      <c r="C81" s="278" t="str">
        <f>(IF($A81="SINAPI",INDEX(SINAPI_NOV2020_NDES!$A$7:$H$6703,MATCH($B81,SINAPI_NOV2020_NDES!$A$7:$A$6703,0),2),IF($A81="GOINFRA",INDEX(#REF!,MATCH($B81,#REF!,0),2),(INDEX(COMPOS!$A$4:$G$390,MATCH($B81,COMPOS!$A$4:A$390,0),2)))))</f>
        <v>SIFAO P/LAVATORIO PVC CROMADO DIAM.1"X1.1/2"</v>
      </c>
      <c r="D81" s="374" t="str">
        <f>(IF($A81="SINAPI",INDEX(SINAPI_NOV2020_NDES!$A$7:$H$6790,MATCH($B81,SINAPI_NOV2020_NDES!$A$7:$A$6790,0),3),(INDEX(COMPOS!$A$4:$G$5000,MATCH($B81,COMPOS!$A$4:$A$5000,0),3))))</f>
        <v>UN</v>
      </c>
      <c r="E81" s="276">
        <v>8</v>
      </c>
      <c r="F81" s="279">
        <f>(IF($A81="SINAPI",INDEX(SINAPI_NOV2020_NDES!$A$7:$H$6703,MATCH($B81,SINAPI_NOV2020_NDES!$A$7:$A$6703,0),5),(INDEX(COMPOS!$A$4:$G$801,MATCH($B81,COMPOS!$A$4:A$801,0),4))))</f>
        <v>13.478400000000001</v>
      </c>
      <c r="G81" s="280">
        <f>(IF($A81="SINAPI",INDEX(SINAPI_NOV2020_NDES!$A$7:$H$6703,MATCH($B81,SINAPI_NOV2020_NDES!$A$7:$A$6703,0),6),(INDEX(COMPOS!$A$4:$G$801,MATCH($B81,COMPOS!$A$4:A$801,0),5))))</f>
        <v>34.113800000000005</v>
      </c>
      <c r="H81" s="280">
        <f>(IF($A81="SINAPI",INDEX(SINAPI_NOV2020_NDES!$A$7:$H$6703,MATCH($B81,SINAPI_NOV2020_NDES!$A$7:$A$6703,0),7),(INDEX(COMPOS!$A$4:$G$801,MATCH($B81,COMPOS!$A$4:A$801,0),6))))</f>
        <v>0</v>
      </c>
      <c r="I81" s="279">
        <f t="shared" si="14"/>
        <v>47.592200000000005</v>
      </c>
      <c r="J81" s="276">
        <f t="shared" si="15"/>
        <v>380.73760000000004</v>
      </c>
      <c r="K81" s="255"/>
      <c r="L81" s="255"/>
      <c r="M81" s="255"/>
      <c r="N81" s="255"/>
      <c r="O81" s="257"/>
    </row>
    <row r="82" spans="1:16" ht="24">
      <c r="A82" s="251" t="s">
        <v>7</v>
      </c>
      <c r="B82" s="290">
        <v>86878</v>
      </c>
      <c r="C82" s="278" t="str">
        <f>(IF($A82="SINAPI",INDEX(SINAPI_NOV2020_NDES!$A$7:$H$6703,MATCH($B82,SINAPI_NOV2020_NDES!$A$7:$A$6703,0),2),IF($A82="GOINFRA",INDEX(#REF!,MATCH($B82,#REF!,0),2),(INDEX(COMPOS!$A$4:$G$390,MATCH($B82,COMPOS!$A$4:A$390,0),2)))))</f>
        <v>VÁLVULA EM METAL CROMADO TIPO AMERICANA 3.1/2 X 1.1/2 PARA PIA - FORNECIMENTO E INSTALAÇÃO. AF_01/2020</v>
      </c>
      <c r="D82" s="374" t="str">
        <f>(IF($A82="SINAPI",INDEX(SINAPI_NOV2020_NDES!$A$7:$H$6790,MATCH($B82,SINAPI_NOV2020_NDES!$A$7:$A$6790,0),3),(INDEX(COMPOS!$A$4:$G$5000,MATCH($B82,COMPOS!$A$4:$A$5000,0),3))))</f>
        <v>UN</v>
      </c>
      <c r="E82" s="276">
        <v>8</v>
      </c>
      <c r="F82" s="279">
        <f>(IF($A82="SINAPI",INDEX(SINAPI_NOV2020_NDES!$A$7:$H$6703,MATCH($B82,SINAPI_NOV2020_NDES!$A$7:$A$6703,0),5),(INDEX(COMPOS!$A$4:$G$801,MATCH($B82,COMPOS!$A$4:A$801,0),4))))</f>
        <v>3.53</v>
      </c>
      <c r="G82" s="280">
        <f>(IF($A82="SINAPI",INDEX(SINAPI_NOV2020_NDES!$A$7:$H$6703,MATCH($B82,SINAPI_NOV2020_NDES!$A$7:$A$6703,0),6),(INDEX(COMPOS!$A$4:$G$801,MATCH($B82,COMPOS!$A$4:A$801,0),5))))</f>
        <v>40.01</v>
      </c>
      <c r="H82" s="280">
        <f>(IF($A82="SINAPI",INDEX(SINAPI_NOV2020_NDES!$A$7:$H$6703,MATCH($B82,SINAPI_NOV2020_NDES!$A$7:$A$6703,0),7),(INDEX(COMPOS!$A$4:$G$801,MATCH($B82,COMPOS!$A$4:A$801,0),6))))</f>
        <v>0</v>
      </c>
      <c r="I82" s="279">
        <f t="shared" si="14"/>
        <v>43.54</v>
      </c>
      <c r="J82" s="276">
        <f t="shared" si="15"/>
        <v>348.32</v>
      </c>
      <c r="K82" s="255"/>
      <c r="L82" s="255"/>
      <c r="M82" s="255"/>
      <c r="N82" s="255"/>
      <c r="O82" s="257"/>
    </row>
    <row r="83" spans="1:16" ht="24">
      <c r="A83" s="251" t="s">
        <v>7</v>
      </c>
      <c r="B83" s="290">
        <v>86900</v>
      </c>
      <c r="C83" s="278" t="str">
        <f>(IF($A83="SINAPI",INDEX(SINAPI_NOV2020_NDES!$A$7:$H$6703,MATCH($B83,SINAPI_NOV2020_NDES!$A$7:$A$6703,0),2),IF($A83="GOINFRA",INDEX(#REF!,MATCH($B83,#REF!,0),2),(INDEX(COMPOS!$A$4:$G$390,MATCH($B83,COMPOS!$A$4:A$390,0),2)))))</f>
        <v>CUBA DE EMBUTIR RETANGULAR DE AÇO INOXIDÁVEL, 46 X 30 X 12 CM - FORNECIMENTO E INSTALAÇÃO. AF_01/2020</v>
      </c>
      <c r="D83" s="374" t="str">
        <f>(IF($A83="SINAPI",INDEX(SINAPI_NOV2020_NDES!$A$7:$H$6790,MATCH($B83,SINAPI_NOV2020_NDES!$A$7:$A$6790,0),3),(INDEX(COMPOS!$A$4:$G$5000,MATCH($B83,COMPOS!$A$4:$A$5000,0),3))))</f>
        <v>UN</v>
      </c>
      <c r="E83" s="276">
        <v>8</v>
      </c>
      <c r="F83" s="279">
        <f>(IF($A83="SINAPI",INDEX(SINAPI_NOV2020_NDES!$A$7:$H$6703,MATCH($B83,SINAPI_NOV2020_NDES!$A$7:$A$6703,0),5),(INDEX(COMPOS!$A$4:$G$801,MATCH($B83,COMPOS!$A$4:A$801,0),4))))</f>
        <v>9.5500000000000007</v>
      </c>
      <c r="G83" s="280">
        <f>(IF($A83="SINAPI",INDEX(SINAPI_NOV2020_NDES!$A$7:$H$6703,MATCH($B83,SINAPI_NOV2020_NDES!$A$7:$A$6703,0),6),(INDEX(COMPOS!$A$4:$G$801,MATCH($B83,COMPOS!$A$4:A$801,0),5))))</f>
        <v>133.66</v>
      </c>
      <c r="H83" s="280">
        <f>(IF($A83="SINAPI",INDEX(SINAPI_NOV2020_NDES!$A$7:$H$6703,MATCH($B83,SINAPI_NOV2020_NDES!$A$7:$A$6703,0),7),(INDEX(COMPOS!$A$4:$G$801,MATCH($B83,COMPOS!$A$4:A$801,0),6))))</f>
        <v>0</v>
      </c>
      <c r="I83" s="279">
        <f t="shared" si="14"/>
        <v>143.21</v>
      </c>
      <c r="J83" s="276">
        <f t="shared" si="15"/>
        <v>1145.68</v>
      </c>
      <c r="K83" s="255"/>
      <c r="L83" s="255"/>
      <c r="M83" s="255"/>
      <c r="N83" s="255"/>
      <c r="O83" s="257"/>
    </row>
    <row r="84" spans="1:16">
      <c r="A84" s="251" t="s">
        <v>6307</v>
      </c>
      <c r="B84" s="290">
        <v>471</v>
      </c>
      <c r="C84" s="278" t="str">
        <f>(IF($A84="SINAPI",INDEX(SINAPI_NOV2020_NDES!$A$7:$H$6703,MATCH($B84,SINAPI_NOV2020_NDES!$A$7:$A$6703,0),2),IF($A84="GOINFRA",INDEX(#REF!,MATCH($B84,#REF!,0),2),(INDEX(COMPOS!$A$4:$G$390,MATCH($B84,COMPOS!$A$4:A$390,0),2)))))</f>
        <v>CAIXA DE PASSAGEM 20X20X25 FUNDO BRITA COM TAMPA</v>
      </c>
      <c r="D84" s="374" t="str">
        <f>(IF($A84="SINAPI",INDEX(SINAPI_NOV2020_NDES!$A$7:$H$6790,MATCH($B84,SINAPI_NOV2020_NDES!$A$7:$A$6790,0),3),(INDEX(COMPOS!$A$4:$G$5000,MATCH($B84,COMPOS!$A$4:$A$5000,0),3))))</f>
        <v>UN</v>
      </c>
      <c r="E84" s="276">
        <v>4</v>
      </c>
      <c r="F84" s="279">
        <f>(IF($A84="SINAPI",INDEX(SINAPI_NOV2020_NDES!$A$7:$H$6703,MATCH($B84,SINAPI_NOV2020_NDES!$A$7:$A$6703,0),5),(INDEX(COMPOS!$A$4:$G$801,MATCH($B84,COMPOS!$A$4:A$801,0),4))))</f>
        <v>39.464161000000004</v>
      </c>
      <c r="G84" s="280">
        <f>(IF($A84="SINAPI",INDEX(SINAPI_NOV2020_NDES!$A$7:$H$6703,MATCH($B84,SINAPI_NOV2020_NDES!$A$7:$A$6703,0),6),(INDEX(COMPOS!$A$4:$G$801,MATCH($B84,COMPOS!$A$4:A$801,0),5))))</f>
        <v>28.903701999999999</v>
      </c>
      <c r="H84" s="280">
        <f>(IF($A84="SINAPI",INDEX(SINAPI_NOV2020_NDES!$A$7:$H$6703,MATCH($B84,SINAPI_NOV2020_NDES!$A$7:$A$6703,0),7),(INDEX(COMPOS!$A$4:$G$801,MATCH($B84,COMPOS!$A$4:A$801,0),6))))</f>
        <v>0</v>
      </c>
      <c r="I84" s="279">
        <f t="shared" si="14"/>
        <v>68.367863</v>
      </c>
      <c r="J84" s="276">
        <f t="shared" si="15"/>
        <v>273.471452</v>
      </c>
      <c r="K84" s="255"/>
      <c r="L84" s="255"/>
      <c r="M84" s="255"/>
      <c r="N84" s="255"/>
      <c r="O84" s="257"/>
    </row>
    <row r="85" spans="1:16">
      <c r="A85" s="289" t="s">
        <v>6307</v>
      </c>
      <c r="B85" s="290">
        <v>789</v>
      </c>
      <c r="C85" s="278" t="str">
        <f>(IF($A85="SINAPI",INDEX(SINAPI_NOV2020_NDES!$A$7:$H$6703,MATCH($B85,SINAPI_NOV2020_NDES!$A$7:$A$6703,0),2),IF($A85="GOINFRA",INDEX(#REF!,MATCH($B85,#REF!,0),2),(INDEX(COMPOS!$A$4:$G$390,MATCH($B85,COMPOS!$A$4:A$390,0),2)))))</f>
        <v>ACABAMENTO PARA REGISTRO DE GAVETA 1.1/2"</v>
      </c>
      <c r="D85" s="374" t="str">
        <f>(IF($A85="SINAPI",INDEX(SINAPI_NOV2020_NDES!$A$7:$H$6790,MATCH($B85,SINAPI_NOV2020_NDES!$A$7:$A$6790,0),3),(INDEX(COMPOS!$A$4:$G$5000,MATCH($B85,COMPOS!$A$4:$A$5000,0),3))))</f>
        <v>UN</v>
      </c>
      <c r="E85" s="276">
        <v>2</v>
      </c>
      <c r="F85" s="279">
        <f>(IF($A85="SINAPI",INDEX(SINAPI_NOV2020_NDES!$A$7:$H$6703,MATCH($B85,SINAPI_NOV2020_NDES!$A$7:$A$6703,0),5),(INDEX(COMPOS!$A$4:$G$801,MATCH($B85,COMPOS!$A$4:A$801,0),4))))</f>
        <v>2.9952000000000001</v>
      </c>
      <c r="G85" s="280">
        <f>(IF($A85="SINAPI",INDEX(SINAPI_NOV2020_NDES!$A$7:$H$6703,MATCH($B85,SINAPI_NOV2020_NDES!$A$7:$A$6703,0),6),(INDEX(COMPOS!$A$4:$G$801,MATCH($B85,COMPOS!$A$4:A$801,0),5))))</f>
        <v>79.59333333333332</v>
      </c>
      <c r="H85" s="280">
        <f>(IF($A85="SINAPI",INDEX(SINAPI_NOV2020_NDES!$A$7:$H$6703,MATCH($B85,SINAPI_NOV2020_NDES!$A$7:$A$6703,0),7),(INDEX(COMPOS!$A$4:$G$801,MATCH($B85,COMPOS!$A$4:A$801,0),6))))</f>
        <v>0</v>
      </c>
      <c r="I85" s="279">
        <f t="shared" si="14"/>
        <v>82.588533333333316</v>
      </c>
      <c r="J85" s="276">
        <f t="shared" si="15"/>
        <v>165.17706666666663</v>
      </c>
      <c r="K85" s="255"/>
      <c r="L85" s="255"/>
      <c r="M85" s="255"/>
      <c r="N85" s="255"/>
      <c r="O85" s="257"/>
    </row>
    <row r="86" spans="1:16">
      <c r="A86" s="251" t="s">
        <v>6307</v>
      </c>
      <c r="B86" s="290">
        <v>378</v>
      </c>
      <c r="C86" s="278" t="str">
        <f>(IF($A86="SINAPI",INDEX(SINAPI_NOV2020_NDES!$A$7:$H$6703,MATCH($B86,SINAPI_NOV2020_NDES!$A$7:$A$6703,0),2),IF($A86="GOINFRA",INDEX(#REF!,MATCH($B86,#REF!,0),2),(INDEX(COMPOS!$A$4:$G$390,MATCH($B86,COMPOS!$A$4:A$390,0),2)))))</f>
        <v>GRELHA QUADRADA EM INOX SIMPLES, DIAM. 150MM</v>
      </c>
      <c r="D86" s="374" t="str">
        <f>(IF($A86="SINAPI",INDEX(SINAPI_NOV2020_NDES!$A$7:$H$6790,MATCH($B86,SINAPI_NOV2020_NDES!$A$7:$A$6790,0),3),(INDEX(COMPOS!$A$4:$G$5000,MATCH($B86,COMPOS!$A$4:$A$5000,0),3))))</f>
        <v>UN</v>
      </c>
      <c r="E86" s="276">
        <v>6</v>
      </c>
      <c r="F86" s="279">
        <f>(IF($A86="SINAPI",INDEX(SINAPI_NOV2020_NDES!$A$7:$H$6703,MATCH($B86,SINAPI_NOV2020_NDES!$A$7:$A$6703,0),5),(INDEX(COMPOS!$A$4:$G$801,MATCH($B86,COMPOS!$A$4:A$801,0),4))))</f>
        <v>2.9952000000000001</v>
      </c>
      <c r="G86" s="280">
        <f>(IF($A86="SINAPI",INDEX(SINAPI_NOV2020_NDES!$A$7:$H$6703,MATCH($B86,SINAPI_NOV2020_NDES!$A$7:$A$6703,0),6),(INDEX(COMPOS!$A$4:$G$801,MATCH($B86,COMPOS!$A$4:A$801,0),5))))</f>
        <v>23.76</v>
      </c>
      <c r="H86" s="280">
        <f>(IF($A86="SINAPI",INDEX(SINAPI_NOV2020_NDES!$A$7:$H$6703,MATCH($B86,SINAPI_NOV2020_NDES!$A$7:$A$6703,0),7),(INDEX(COMPOS!$A$4:$G$801,MATCH($B86,COMPOS!$A$4:A$801,0),6))))</f>
        <v>0</v>
      </c>
      <c r="I86" s="279">
        <f t="shared" si="14"/>
        <v>26.755200000000002</v>
      </c>
      <c r="J86" s="276">
        <f t="shared" si="15"/>
        <v>160.53120000000001</v>
      </c>
      <c r="K86" s="255"/>
      <c r="L86" s="255"/>
      <c r="M86" s="255"/>
      <c r="N86" s="255"/>
      <c r="O86" s="257"/>
    </row>
    <row r="87" spans="1:16">
      <c r="A87" s="251" t="s">
        <v>6307</v>
      </c>
      <c r="B87" s="290">
        <v>794</v>
      </c>
      <c r="C87" s="278" t="str">
        <f>(IF($A87="SINAPI",INDEX(SINAPI_NOV2020_NDES!$A$7:$H$6703,MATCH($B87,SINAPI_NOV2020_NDES!$A$7:$A$6703,0),2),IF($A87="GOINFRA",INDEX(#REF!,MATCH($B87,#REF!,0),2),(INDEX(COMPOS!$A$4:$G$390,MATCH($B87,COMPOS!$A$4:A$390,0),2)))))</f>
        <v>GRELHA REDONDA BRANCA DIAM. 100MM</v>
      </c>
      <c r="D87" s="374" t="str">
        <f>(IF($A87="SINAPI",INDEX(SINAPI_NOV2020_NDES!$A$7:$H$6790,MATCH($B87,SINAPI_NOV2020_NDES!$A$7:$A$6790,0),3),(INDEX(COMPOS!$A$4:$G$5000,MATCH($B87,COMPOS!$A$4:$A$5000,0),3))))</f>
        <v>UN</v>
      </c>
      <c r="E87" s="276">
        <v>8</v>
      </c>
      <c r="F87" s="279">
        <f>(IF($A87="SINAPI",INDEX(SINAPI_NOV2020_NDES!$A$7:$H$6703,MATCH($B87,SINAPI_NOV2020_NDES!$A$7:$A$6703,0),5),(INDEX(COMPOS!$A$4:$G$801,MATCH($B87,COMPOS!$A$4:A$801,0),4))))</f>
        <v>2.9952000000000001</v>
      </c>
      <c r="G87" s="280">
        <f>(IF($A87="SINAPI",INDEX(SINAPI_NOV2020_NDES!$A$7:$H$6703,MATCH($B87,SINAPI_NOV2020_NDES!$A$7:$A$6703,0),6),(INDEX(COMPOS!$A$4:$G$801,MATCH($B87,COMPOS!$A$4:A$801,0),5))))</f>
        <v>2.04</v>
      </c>
      <c r="H87" s="280">
        <f>(IF($A87="SINAPI",INDEX(SINAPI_NOV2020_NDES!$A$7:$H$6703,MATCH($B87,SINAPI_NOV2020_NDES!$A$7:$A$6703,0),7),(INDEX(COMPOS!$A$4:$G$801,MATCH($B87,COMPOS!$A$4:A$801,0),6))))</f>
        <v>0</v>
      </c>
      <c r="I87" s="279">
        <f t="shared" si="14"/>
        <v>5.0351999999999997</v>
      </c>
      <c r="J87" s="276">
        <f t="shared" si="15"/>
        <v>40.281599999999997</v>
      </c>
      <c r="K87" s="255"/>
      <c r="L87" s="255"/>
      <c r="M87" s="255"/>
      <c r="N87" s="255"/>
      <c r="O87" s="257"/>
    </row>
    <row r="88" spans="1:16" s="88" customFormat="1" ht="24" customHeight="1">
      <c r="A88" s="289" t="s">
        <v>6307</v>
      </c>
      <c r="B88" s="290">
        <v>336</v>
      </c>
      <c r="C88" s="278" t="str">
        <f>(IF($A88="SINAPI",INDEX(SINAPI_NOV2020_NDES!$A$7:$H$6703,MATCH($B88,SINAPI_NOV2020_NDES!$A$7:$A$6703,0),2),IF($A88="GOINFRA",INDEX(#REF!,MATCH($B88,#REF!,0),2),(INDEX(COMPOS!$A$4:$G$390,MATCH($B88,COMPOS!$A$4:A$390,0),2)))))</f>
        <v>TERMINAL DE VENTILAÇÃO DIAM. 50MM</v>
      </c>
      <c r="D88" s="374" t="str">
        <f>(IF($A88="SINAPI",INDEX(SINAPI_NOV2020_NDES!$A$7:$H$6790,MATCH($B88,SINAPI_NOV2020_NDES!$A$7:$A$6790,0),3),(INDEX(COMPOS!$A$4:$G$5000,MATCH($B88,COMPOS!$A$4:$A$5000,0),3))))</f>
        <v>UN</v>
      </c>
      <c r="E88" s="276">
        <v>2</v>
      </c>
      <c r="F88" s="279">
        <f>(IF($A88="SINAPI",INDEX(SINAPI_NOV2020_NDES!$A$7:$H$6703,MATCH($B88,SINAPI_NOV2020_NDES!$A$7:$A$6703,0),5),(INDEX(COMPOS!$A$4:$G$801,MATCH($B88,COMPOS!$A$4:A$801,0),4))))</f>
        <v>2.6208</v>
      </c>
      <c r="G88" s="280">
        <f>(IF($A88="SINAPI",INDEX(SINAPI_NOV2020_NDES!$A$7:$H$6703,MATCH($B88,SINAPI_NOV2020_NDES!$A$7:$A$6703,0),6),(INDEX(COMPOS!$A$4:$G$801,MATCH($B88,COMPOS!$A$4:A$801,0),5))))</f>
        <v>4.6500000000000004</v>
      </c>
      <c r="H88" s="280">
        <f>(IF($A88="SINAPI",INDEX(SINAPI_NOV2020_NDES!$A$7:$H$6703,MATCH($B88,SINAPI_NOV2020_NDES!$A$7:$A$6703,0),7),(INDEX(COMPOS!$A$4:$G$801,MATCH($B88,COMPOS!$A$4:A$801,0),6))))</f>
        <v>0</v>
      </c>
      <c r="I88" s="279">
        <f t="shared" si="14"/>
        <v>7.2708000000000004</v>
      </c>
      <c r="J88" s="276">
        <f t="shared" si="15"/>
        <v>14.541600000000001</v>
      </c>
      <c r="K88" s="255"/>
      <c r="L88" s="255"/>
      <c r="M88" s="255"/>
      <c r="N88" s="255"/>
      <c r="O88" s="257"/>
      <c r="P88" s="223"/>
    </row>
    <row r="89" spans="1:16">
      <c r="A89" s="251" t="s">
        <v>6307</v>
      </c>
      <c r="B89" s="290">
        <v>795</v>
      </c>
      <c r="C89" s="278" t="str">
        <f>(IF($A89="SINAPI",INDEX(SINAPI_NOV2020_NDES!$A$7:$H$6703,MATCH($B89,SINAPI_NOV2020_NDES!$A$7:$A$6703,0),2),IF($A89="GOINFRA",INDEX(#REF!,MATCH($B89,#REF!,0),2),(INDEX(COMPOS!$A$4:$G$390,MATCH($B89,COMPOS!$A$4:A$390,0),2)))))</f>
        <v>PORTA GRELHA QUADRADA PVC BRANCO, DIAM. 150MM</v>
      </c>
      <c r="D89" s="374" t="str">
        <f>(IF($A89="SINAPI",INDEX(SINAPI_NOV2020_NDES!$A$7:$H$6790,MATCH($B89,SINAPI_NOV2020_NDES!$A$7:$A$6790,0),3),(INDEX(COMPOS!$A$4:$G$5000,MATCH($B89,COMPOS!$A$4:$A$5000,0),3))))</f>
        <v>UN</v>
      </c>
      <c r="E89" s="276">
        <v>6</v>
      </c>
      <c r="F89" s="279">
        <f>(IF($A89="SINAPI",INDEX(SINAPI_NOV2020_NDES!$A$7:$H$6703,MATCH($B89,SINAPI_NOV2020_NDES!$A$7:$A$6703,0),5),(INDEX(COMPOS!$A$4:$G$801,MATCH($B89,COMPOS!$A$4:A$801,0),4))))</f>
        <v>3.7440000000000002</v>
      </c>
      <c r="G89" s="280">
        <f>(IF($A89="SINAPI",INDEX(SINAPI_NOV2020_NDES!$A$7:$H$6703,MATCH($B89,SINAPI_NOV2020_NDES!$A$7:$A$6703,0),6),(INDEX(COMPOS!$A$4:$G$801,MATCH($B89,COMPOS!$A$4:A$801,0),5))))</f>
        <v>6.36</v>
      </c>
      <c r="H89" s="280">
        <f>(IF($A89="SINAPI",INDEX(SINAPI_NOV2020_NDES!$A$7:$H$6703,MATCH($B89,SINAPI_NOV2020_NDES!$A$7:$A$6703,0),7),(INDEX(COMPOS!$A$4:$G$801,MATCH($B89,COMPOS!$A$4:A$801,0),6))))</f>
        <v>0</v>
      </c>
      <c r="I89" s="279">
        <f t="shared" si="14"/>
        <v>10.104000000000001</v>
      </c>
      <c r="J89" s="276">
        <f t="shared" si="15"/>
        <v>60.624000000000009</v>
      </c>
      <c r="K89" s="255"/>
      <c r="L89" s="255"/>
      <c r="M89" s="255"/>
      <c r="N89" s="255"/>
      <c r="O89" s="257"/>
    </row>
    <row r="90" spans="1:16" ht="23.25" customHeight="1">
      <c r="A90" s="251" t="s">
        <v>6307</v>
      </c>
      <c r="B90" s="290">
        <v>798</v>
      </c>
      <c r="C90" s="278" t="str">
        <f>(IF($A90="SINAPI",INDEX(SINAPI_NOV2020_NDES!$A$7:$H$6703,MATCH($B90,SINAPI_NOV2020_NDES!$A$7:$A$6703,0),2),IF($A90="GOINFRA",INDEX(#REF!,MATCH($B90,#REF!,0),2),(INDEX(COMPOS!$A$4:$G$390,MATCH($B90,COMPOS!$A$4:A$390,0),2)))))</f>
        <v>PORTA GRELHA QUADRADO P/GRELHA RED.BRANC.100 MM</v>
      </c>
      <c r="D90" s="374" t="str">
        <f>(IF($A90="SINAPI",INDEX(SINAPI_NOV2020_NDES!$A$7:$H$6790,MATCH($B90,SINAPI_NOV2020_NDES!$A$7:$A$6790,0),3),(INDEX(COMPOS!$A$4:$G$5000,MATCH($B90,COMPOS!$A$4:$A$5000,0),3))))</f>
        <v>UN</v>
      </c>
      <c r="E90" s="276">
        <v>8</v>
      </c>
      <c r="F90" s="279">
        <f>(IF($A90="SINAPI",INDEX(SINAPI_NOV2020_NDES!$A$7:$H$6703,MATCH($B90,SINAPI_NOV2020_NDES!$A$7:$A$6703,0),5),(INDEX(COMPOS!$A$4:$G$801,MATCH($B90,COMPOS!$A$4:A$801,0),4))))</f>
        <v>3.7440000000000002</v>
      </c>
      <c r="G90" s="280">
        <f>(IF($A90="SINAPI",INDEX(SINAPI_NOV2020_NDES!$A$7:$H$6703,MATCH($B90,SINAPI_NOV2020_NDES!$A$7:$A$6703,0),6),(INDEX(COMPOS!$A$4:$G$801,MATCH($B90,COMPOS!$A$4:A$801,0),5))))</f>
        <v>3.29</v>
      </c>
      <c r="H90" s="280">
        <f>(IF($A90="SINAPI",INDEX(SINAPI_NOV2020_NDES!$A$7:$H$6703,MATCH($B90,SINAPI_NOV2020_NDES!$A$7:$A$6703,0),7),(INDEX(COMPOS!$A$4:$G$801,MATCH($B90,COMPOS!$A$4:A$801,0),6))))</f>
        <v>0</v>
      </c>
      <c r="I90" s="279">
        <f t="shared" si="14"/>
        <v>7.0340000000000007</v>
      </c>
      <c r="J90" s="276">
        <f t="shared" si="15"/>
        <v>56.272000000000006</v>
      </c>
      <c r="K90" s="255"/>
      <c r="L90" s="255"/>
      <c r="M90" s="255"/>
      <c r="N90" s="255"/>
      <c r="O90" s="255"/>
    </row>
    <row r="91" spans="1:16" s="88" customFormat="1" ht="24" customHeight="1">
      <c r="A91" s="680" t="s">
        <v>6927</v>
      </c>
      <c r="B91" s="680"/>
      <c r="C91" s="680"/>
      <c r="D91" s="680"/>
      <c r="E91" s="680"/>
      <c r="F91" s="680"/>
      <c r="G91" s="680"/>
      <c r="H91" s="680"/>
      <c r="I91" s="680"/>
      <c r="J91" s="281">
        <f>SUM(J69:J90)</f>
        <v>8084.668811999999</v>
      </c>
      <c r="K91" s="255"/>
      <c r="L91" s="255"/>
      <c r="M91" s="255"/>
      <c r="N91" s="255"/>
      <c r="O91" s="255"/>
      <c r="P91" s="223"/>
    </row>
    <row r="92" spans="1:16">
      <c r="A92" s="251"/>
      <c r="B92" s="299">
        <v>172</v>
      </c>
      <c r="C92" s="340" t="s">
        <v>602</v>
      </c>
      <c r="D92" s="274"/>
      <c r="E92" s="276"/>
      <c r="F92" s="276"/>
      <c r="G92" s="276"/>
      <c r="H92" s="276"/>
      <c r="I92" s="276"/>
      <c r="J92" s="276"/>
      <c r="K92" s="255"/>
      <c r="L92" s="255"/>
      <c r="M92" s="255"/>
      <c r="N92" s="255"/>
      <c r="O92" s="257"/>
    </row>
    <row r="93" spans="1:16" ht="48">
      <c r="A93" s="289" t="s">
        <v>7</v>
      </c>
      <c r="B93" s="290">
        <v>87503</v>
      </c>
      <c r="C93" s="278" t="str">
        <f>(IF($A93="SINAPI",INDEX(SINAPI_NOV2020_NDES!$A$7:$H$6703,MATCH($B93,SINAPI_NOV2020_NDES!$A$7:$A$6703,0),2),IF($A93="GOINFRA",INDEX(#REF!,MATCH($B93,#REF!,0),2),(INDEX(COMPOS!$A$4:$G$390,MATCH($B93,COMPOS!$A$4:A$390,0),2)))))</f>
        <v>ALVENARIA DE VEDAÇÃO DE BLOCOS CERÂMICOS FURADOS NA HORIZONTAL DE 9X19X19CM (ESPESSURA 9CM) DE PAREDES COM ÁREA LÍQUIDA MAIOR OU IGUAL A 6M² SEM VÃOS E ARGAMASSA DE ASSENTAMENTO COM PREPARO EM BETONEIRA. AF_06/2014</v>
      </c>
      <c r="D93" s="374" t="str">
        <f>(IF($A93="SINAPI",INDEX(SINAPI_NOV2020_NDES!$A$7:$H$6790,MATCH($B93,SINAPI_NOV2020_NDES!$A$7:$A$6790,0),3),(INDEX(COMPOS!$A$4:$G$5000,MATCH($B93,COMPOS!$A$4:$A$5000,0),3))))</f>
        <v>M2</v>
      </c>
      <c r="E93" s="276">
        <v>4.5</v>
      </c>
      <c r="F93" s="279">
        <f>(IF($A93="SINAPI",INDEX(SINAPI_NOV2020_NDES!$A$7:$H$6703,MATCH($B93,SINAPI_NOV2020_NDES!$A$7:$A$6703,0),5),(INDEX(COMPOS!$A$4:$G$801,MATCH($B93,COMPOS!$A$4:A$801,0),4))))</f>
        <v>31.67</v>
      </c>
      <c r="G93" s="280">
        <f>(IF($A93="SINAPI",INDEX(SINAPI_NOV2020_NDES!$A$7:$H$6703,MATCH($B93,SINAPI_NOV2020_NDES!$A$7:$A$6703,0),6),(INDEX(COMPOS!$A$4:$G$801,MATCH($B93,COMPOS!$A$4:A$801,0),5))))</f>
        <v>32.130000000000003</v>
      </c>
      <c r="H93" s="280">
        <f>(IF($A93="SINAPI",INDEX(SINAPI_NOV2020_NDES!$A$7:$H$6703,MATCH($B93,SINAPI_NOV2020_NDES!$A$7:$A$6703,0),7),(INDEX(COMPOS!$A$4:$G$801,MATCH($B93,COMPOS!$A$4:A$801,0),6))))</f>
        <v>0</v>
      </c>
      <c r="I93" s="279">
        <f t="shared" ref="I93" si="16">SUM(F93:H93)</f>
        <v>63.800000000000004</v>
      </c>
      <c r="J93" s="276">
        <f t="shared" ref="J93" si="17">+I93*E93</f>
        <v>287.10000000000002</v>
      </c>
      <c r="K93" s="255"/>
      <c r="L93" s="255"/>
      <c r="M93" s="255"/>
      <c r="N93" s="255"/>
      <c r="O93" s="255"/>
    </row>
    <row r="94" spans="1:16">
      <c r="A94" s="680" t="s">
        <v>6927</v>
      </c>
      <c r="B94" s="680"/>
      <c r="C94" s="680"/>
      <c r="D94" s="680"/>
      <c r="E94" s="680"/>
      <c r="F94" s="680"/>
      <c r="G94" s="680"/>
      <c r="H94" s="680"/>
      <c r="I94" s="680"/>
      <c r="J94" s="281">
        <f>SUM(J93)</f>
        <v>287.10000000000002</v>
      </c>
      <c r="K94" s="255"/>
      <c r="L94" s="255"/>
      <c r="M94" s="255"/>
      <c r="N94" s="255"/>
      <c r="O94" s="255"/>
    </row>
    <row r="95" spans="1:16">
      <c r="A95" s="251"/>
      <c r="B95" s="299">
        <v>178</v>
      </c>
      <c r="C95" s="340" t="s">
        <v>597</v>
      </c>
      <c r="D95" s="274"/>
      <c r="E95" s="276"/>
      <c r="F95" s="276"/>
      <c r="G95" s="276"/>
      <c r="H95" s="276"/>
      <c r="I95" s="276"/>
      <c r="J95" s="276"/>
      <c r="K95" s="255"/>
      <c r="L95" s="255"/>
      <c r="M95" s="255"/>
      <c r="N95" s="255"/>
      <c r="O95" s="257"/>
    </row>
    <row r="96" spans="1:16" ht="24">
      <c r="A96" s="289" t="s">
        <v>7</v>
      </c>
      <c r="B96" s="290">
        <v>94231</v>
      </c>
      <c r="C96" s="278" t="str">
        <f>(IF($A96="SINAPI",INDEX(SINAPI_NOV2020_NDES!$A$7:$H$6703,MATCH($B96,SINAPI_NOV2020_NDES!$A$7:$A$6703,0),2),IF($A96="GOINFRA",INDEX(#REF!,MATCH($B96,#REF!,0),2),(INDEX(COMPOS!$A$4:$G$390,MATCH($B96,COMPOS!$A$4:A$390,0),2)))))</f>
        <v>RUFO EM CHAPA DE AÇO GALVANIZADO NÚMERO 24, CORTE DE 25 CM, INCLUSO TRANSPORTE VERTICAL. AF_07/2019</v>
      </c>
      <c r="D96" s="374" t="str">
        <f>(IF($A96="SINAPI",INDEX(SINAPI_NOV2020_NDES!$A$7:$H$6790,MATCH($B96,SINAPI_NOV2020_NDES!$A$7:$A$6790,0),3),(INDEX(COMPOS!$A$4:$G$5000,MATCH($B96,COMPOS!$A$4:$A$5000,0),3))))</f>
        <v>M</v>
      </c>
      <c r="E96" s="276">
        <v>33.229999999999997</v>
      </c>
      <c r="F96" s="279">
        <f>(IF($A96="SINAPI",INDEX(SINAPI_NOV2020_NDES!$A$7:$H$6703,MATCH($B96,SINAPI_NOV2020_NDES!$A$7:$A$6703,0),5),(INDEX(COMPOS!$A$4:$G$801,MATCH($B96,COMPOS!$A$4:A$801,0),4))))</f>
        <v>4.78</v>
      </c>
      <c r="G96" s="280">
        <f>(IF($A96="SINAPI",INDEX(SINAPI_NOV2020_NDES!$A$7:$H$6703,MATCH($B96,SINAPI_NOV2020_NDES!$A$7:$A$6703,0),6),(INDEX(COMPOS!$A$4:$G$801,MATCH($B96,COMPOS!$A$4:A$801,0),5))))</f>
        <v>34.549999999999997</v>
      </c>
      <c r="H96" s="280">
        <f>(IF($A96="SINAPI",INDEX(SINAPI_NOV2020_NDES!$A$7:$H$6703,MATCH($B96,SINAPI_NOV2020_NDES!$A$7:$A$6703,0),7),(INDEX(COMPOS!$A$4:$G$801,MATCH($B96,COMPOS!$A$4:A$801,0),6))))</f>
        <v>0</v>
      </c>
      <c r="I96" s="279">
        <f t="shared" ref="I96" si="18">SUM(F96:H96)</f>
        <v>39.33</v>
      </c>
      <c r="J96" s="276">
        <f t="shared" ref="J96" si="19">+I96*E96</f>
        <v>1306.9358999999997</v>
      </c>
      <c r="K96" s="255"/>
      <c r="L96" s="255"/>
      <c r="M96" s="255"/>
      <c r="N96" s="255"/>
      <c r="O96" s="255"/>
    </row>
    <row r="97" spans="1:16">
      <c r="A97" s="680" t="s">
        <v>6927</v>
      </c>
      <c r="B97" s="680"/>
      <c r="C97" s="680"/>
      <c r="D97" s="680"/>
      <c r="E97" s="680"/>
      <c r="F97" s="680"/>
      <c r="G97" s="680"/>
      <c r="H97" s="680"/>
      <c r="I97" s="680"/>
      <c r="J97" s="281">
        <f>SUM(J96)</f>
        <v>1306.9358999999997</v>
      </c>
      <c r="K97" s="255"/>
      <c r="L97" s="255"/>
      <c r="M97" s="255"/>
      <c r="N97" s="255"/>
      <c r="O97" s="255"/>
    </row>
    <row r="98" spans="1:16">
      <c r="A98" s="251"/>
      <c r="B98" s="299">
        <v>180</v>
      </c>
      <c r="C98" s="340" t="s">
        <v>595</v>
      </c>
      <c r="D98" s="274"/>
      <c r="E98" s="276"/>
      <c r="F98" s="276"/>
      <c r="G98" s="276"/>
      <c r="H98" s="276"/>
      <c r="I98" s="276"/>
      <c r="J98" s="276"/>
      <c r="K98" s="255"/>
      <c r="L98" s="255"/>
      <c r="M98" s="255"/>
      <c r="N98" s="255"/>
      <c r="O98" s="257"/>
    </row>
    <row r="99" spans="1:16">
      <c r="A99" s="251" t="s">
        <v>6307</v>
      </c>
      <c r="B99" s="290">
        <v>799</v>
      </c>
      <c r="C99" s="278" t="str">
        <f>(IF($A99="SINAPI",INDEX(SINAPI_NOV2020_NDES!$A$7:$H$6703,MATCH($B99,SINAPI_NOV2020_NDES!$A$7:$A$6703,0),2),IF($A99="GOINFRA",INDEX(#REF!,MATCH($B99,#REF!,0),2),(INDEX(COMPOS!$A$4:$G$390,MATCH($B99,COMPOS!$A$4:A$390,0),2)))))</f>
        <v>PORTAO CORRER / ABRIR CONJUGADO PT-8 C/FERRAGENS</v>
      </c>
      <c r="D99" s="374" t="str">
        <f>(IF($A99="SINAPI",INDEX(SINAPI_NOV2020_NDES!$A$7:$H$6790,MATCH($B99,SINAPI_NOV2020_NDES!$A$7:$A$6790,0),3),(INDEX(COMPOS!$A$4:$G$5000,MATCH($B99,COMPOS!$A$4:$A$5000,0),3))))</f>
        <v>M2</v>
      </c>
      <c r="E99" s="276">
        <f>3.5*3*4</f>
        <v>42</v>
      </c>
      <c r="F99" s="279">
        <f>(IF($A99="SINAPI",INDEX(SINAPI_NOV2020_NDES!$A$7:$H$6703,MATCH($B99,SINAPI_NOV2020_NDES!$A$7:$A$6703,0),5),(INDEX(COMPOS!$A$4:$G$801,MATCH($B99,COMPOS!$A$4:A$801,0),4))))</f>
        <v>45.383581999999997</v>
      </c>
      <c r="G99" s="280">
        <f>(IF($A99="SINAPI",INDEX(SINAPI_NOV2020_NDES!$A$7:$H$6703,MATCH($B99,SINAPI_NOV2020_NDES!$A$7:$A$6703,0),6),(INDEX(COMPOS!$A$4:$G$801,MATCH($B99,COMPOS!$A$4:A$801,0),5))))</f>
        <v>247.65966100000003</v>
      </c>
      <c r="H99" s="280">
        <f>(IF($A99="SINAPI",INDEX(SINAPI_NOV2020_NDES!$A$7:$H$6703,MATCH($B99,SINAPI_NOV2020_NDES!$A$7:$A$6703,0),7),(INDEX(COMPOS!$A$4:$G$801,MATCH($B99,COMPOS!$A$4:A$801,0),6))))</f>
        <v>0</v>
      </c>
      <c r="I99" s="279">
        <f t="shared" ref="I99" si="20">SUM(F99:H99)</f>
        <v>293.04324300000002</v>
      </c>
      <c r="J99" s="276">
        <f t="shared" ref="J99" si="21">+I99*E99</f>
        <v>12307.816206000001</v>
      </c>
      <c r="K99" s="255"/>
      <c r="L99" s="255"/>
      <c r="M99" s="255"/>
      <c r="N99" s="255"/>
      <c r="O99" s="257"/>
    </row>
    <row r="100" spans="1:16">
      <c r="A100" s="251" t="s">
        <v>6307</v>
      </c>
      <c r="B100" s="290">
        <v>618</v>
      </c>
      <c r="C100" s="278" t="str">
        <f>(IF($A100="SINAPI",INDEX(#REF!,MATCH($B100,#REF!,0),2),(INDEX(COMPOS!$A$4:$G$408,MATCH($B100,COMPOS!$A$4:$A$408,0),2))))</f>
        <v>PORTA EM CHAPA P/WC - PRE-MOLD.PPM-4 C/FERRAGEM</v>
      </c>
      <c r="D100" s="374" t="str">
        <f>(IF($A100="SINAPI",INDEX(SINAPI_NOV2020_NDES!$A$7:$H$6790,MATCH($B100,SINAPI_NOV2020_NDES!$A$7:$A$6790,0),3),(INDEX(COMPOS!$A$4:$G$5000,MATCH($B100,COMPOS!$A$4:$A$5000,0),3))))</f>
        <v>M2</v>
      </c>
      <c r="E100" s="276">
        <f>0.55*1.65*6</f>
        <v>5.4450000000000003</v>
      </c>
      <c r="F100" s="279">
        <f>(IF($A100="SINAPI",INDEX(SINAPI_NOV2020_NDES!$A$7:$H$6703,MATCH($B100,SINAPI_NOV2020_NDES!$A$7:$A$6703,0),5),(INDEX(COMPOS!$A$4:$G$801,MATCH($B100,COMPOS!$A$4:A$801,0),4))))</f>
        <v>119.98615459999999</v>
      </c>
      <c r="G100" s="280">
        <f>(IF($A100="SINAPI",INDEX(SINAPI_NOV2020_NDES!$A$7:$H$6703,MATCH($B100,SINAPI_NOV2020_NDES!$A$7:$A$6703,0),6),(INDEX(COMPOS!$A$4:$G$801,MATCH($B100,COMPOS!$A$4:A$801,0),5))))</f>
        <v>207.95219399999996</v>
      </c>
      <c r="H100" s="280">
        <f>(IF($A100="SINAPI",INDEX(SINAPI_NOV2020_NDES!$A$7:$H$6703,MATCH($B100,SINAPI_NOV2020_NDES!$A$7:$A$6703,0),7),(INDEX(COMPOS!$A$4:$G$801,MATCH($B100,COMPOS!$A$4:A$801,0),6))))</f>
        <v>0</v>
      </c>
      <c r="I100" s="279">
        <f t="shared" ref="I100:I108" si="22">SUM(F100:H100)</f>
        <v>327.93834859999993</v>
      </c>
      <c r="J100" s="276">
        <f t="shared" ref="J100:J108" si="23">+I100*E100</f>
        <v>1785.6243081269997</v>
      </c>
      <c r="K100" s="255"/>
      <c r="L100" s="255"/>
      <c r="M100" s="255"/>
      <c r="N100" s="255"/>
      <c r="O100" s="257"/>
    </row>
    <row r="101" spans="1:16" s="88" customFormat="1" ht="24" customHeight="1">
      <c r="A101" s="289" t="s">
        <v>6307</v>
      </c>
      <c r="B101" s="290">
        <v>817</v>
      </c>
      <c r="C101" s="278" t="str">
        <f>(IF($A101="SINAPI",INDEX(#REF!,MATCH($B101,#REF!,0),2),(INDEX(COMPOS!$A$4:$G$408,MATCH($B101,COMPOS!$A$4:$A$408,0),2))))</f>
        <v>PORTA GRADE EM FERRO MECÂNICO - ALOJAMENTOS - 80X210 CM - SOMENTE GRADE E FERROLHO E DOBRADIÇAS E CHAPA DA GRADE (PORTAL JÁ FIXADO)</v>
      </c>
      <c r="D101" s="374" t="str">
        <f>(IF($A101="SINAPI",INDEX(SINAPI_NOV2020_NDES!$A$7:$H$6790,MATCH($B101,SINAPI_NOV2020_NDES!$A$7:$A$6790,0),3),(INDEX(COMPOS!$A$4:$G$5000,MATCH($B101,COMPOS!$A$4:$A$5000,0),3))))</f>
        <v>M2</v>
      </c>
      <c r="E101" s="276">
        <v>7.56</v>
      </c>
      <c r="F101" s="279">
        <f>(IF($A101="SINAPI",INDEX(SINAPI_NOV2020_NDES!$A$7:$H$6703,MATCH($B101,SINAPI_NOV2020_NDES!$A$7:$A$6703,0),5),(INDEX(COMPOS!$A$4:$G$801,MATCH($B101,COMPOS!$A$4:A$801,0),4))))</f>
        <v>60.276069999999997</v>
      </c>
      <c r="G101" s="280">
        <f>(IF($A101="SINAPI",INDEX(SINAPI_NOV2020_NDES!$A$7:$H$6703,MATCH($B101,SINAPI_NOV2020_NDES!$A$7:$A$6703,0),6),(INDEX(COMPOS!$A$4:$G$801,MATCH($B101,COMPOS!$A$4:A$801,0),5))))</f>
        <v>963.77641084164497</v>
      </c>
      <c r="H101" s="280">
        <f>(IF($A101="SINAPI",INDEX(SINAPI_NOV2020_NDES!$A$7:$H$6703,MATCH($B101,SINAPI_NOV2020_NDES!$A$7:$A$6703,0),7),(INDEX(COMPOS!$A$4:$G$801,MATCH($B101,COMPOS!$A$4:A$801,0),6))))</f>
        <v>0</v>
      </c>
      <c r="I101" s="279">
        <f t="shared" si="22"/>
        <v>1024.0524808416449</v>
      </c>
      <c r="J101" s="276">
        <f t="shared" si="23"/>
        <v>7741.8367551628344</v>
      </c>
      <c r="K101" s="255"/>
      <c r="L101" s="255"/>
      <c r="M101" s="255"/>
      <c r="N101" s="255"/>
      <c r="O101" s="257"/>
      <c r="P101" s="223"/>
    </row>
    <row r="102" spans="1:16">
      <c r="A102" s="289" t="s">
        <v>6307</v>
      </c>
      <c r="B102" s="290">
        <v>427</v>
      </c>
      <c r="C102" s="278" t="str">
        <f>(IF($A102="SINAPI",INDEX(#REF!,MATCH($B102,#REF!,0),2),(INDEX(COMPOS!$A$4:$G$408,MATCH($B102,COMPOS!$A$4:$A$408,0),2))))</f>
        <v>PORTA DE ABRIR EM CHAPA PF-1 COM FERRAGENS</v>
      </c>
      <c r="D102" s="374" t="str">
        <f>(IF($A102="SINAPI",INDEX(SINAPI_NOV2020_NDES!$A$7:$H$6790,MATCH($B102,SINAPI_NOV2020_NDES!$A$7:$A$6790,0),3),(INDEX(COMPOS!$A$4:$G$5000,MATCH($B102,COMPOS!$A$4:$A$5000,0),3))))</f>
        <v>M2</v>
      </c>
      <c r="E102" s="276">
        <v>6.72</v>
      </c>
      <c r="F102" s="279">
        <f>(IF($A102="SINAPI",INDEX(SINAPI_NOV2020_NDES!$A$7:$H$6703,MATCH($B102,SINAPI_NOV2020_NDES!$A$7:$A$6703,0),5),(INDEX(COMPOS!$A$4:$G$801,MATCH($B102,COMPOS!$A$4:A$801,0),4))))</f>
        <v>209.359869</v>
      </c>
      <c r="G102" s="280">
        <f>(IF($A102="SINAPI",INDEX(SINAPI_NOV2020_NDES!$A$7:$H$6703,MATCH($B102,SINAPI_NOV2020_NDES!$A$7:$A$6703,0),6),(INDEX(COMPOS!$A$4:$G$801,MATCH($B102,COMPOS!$A$4:A$801,0),5))))</f>
        <v>366.39710000000002</v>
      </c>
      <c r="H102" s="280">
        <f>(IF($A102="SINAPI",INDEX(SINAPI_NOV2020_NDES!$A$7:$H$6703,MATCH($B102,SINAPI_NOV2020_NDES!$A$7:$A$6703,0),7),(INDEX(COMPOS!$A$4:$G$801,MATCH($B102,COMPOS!$A$4:A$801,0),6))))</f>
        <v>0</v>
      </c>
      <c r="I102" s="279">
        <f t="shared" si="22"/>
        <v>575.75696900000003</v>
      </c>
      <c r="J102" s="276">
        <f t="shared" si="23"/>
        <v>3869.0868316800002</v>
      </c>
      <c r="K102" s="255"/>
      <c r="L102" s="255"/>
      <c r="M102" s="255"/>
      <c r="N102" s="255"/>
      <c r="O102" s="257"/>
    </row>
    <row r="103" spans="1:16">
      <c r="A103" s="289" t="s">
        <v>6307</v>
      </c>
      <c r="B103" s="290">
        <v>9</v>
      </c>
      <c r="C103" s="278" t="str">
        <f>(IF($A103="SINAPI",INDEX(#REF!,MATCH($B103,#REF!,0),2),(INDEX(COMPOS!$A$4:$G$408,MATCH($B103,COMPOS!$A$4:$A$408,0),2))))</f>
        <v>PORTA METÁLICA CASE – P/P3/PS – UMA FOLHA – 90X210 CM</v>
      </c>
      <c r="D103" s="374" t="str">
        <f>(IF($A103="SINAPI",INDEX(SINAPI_NOV2020_NDES!$A$7:$H$6790,MATCH($B103,SINAPI_NOV2020_NDES!$A$7:$A$6790,0),3),(INDEX(COMPOS!$A$4:$G$5000,MATCH($B103,COMPOS!$A$4:$A$5000,0),3))))</f>
        <v>M2</v>
      </c>
      <c r="E103" s="276">
        <v>3.78</v>
      </c>
      <c r="F103" s="279">
        <f>(IF($A103="SINAPI",INDEX(SINAPI_NOV2020_NDES!$A$7:$H$6703,MATCH($B103,SINAPI_NOV2020_NDES!$A$7:$A$6703,0),5),(INDEX(COMPOS!$A$4:$G$801,MATCH($B103,COMPOS!$A$4:A$801,0),4))))</f>
        <v>47.084742999999996</v>
      </c>
      <c r="G103" s="280">
        <f>(IF($A103="SINAPI",INDEX(SINAPI_NOV2020_NDES!$A$7:$H$6703,MATCH($B103,SINAPI_NOV2020_NDES!$A$7:$A$6703,0),6),(INDEX(COMPOS!$A$4:$G$801,MATCH($B103,COMPOS!$A$4:A$801,0),5))))</f>
        <v>544.33859599999994</v>
      </c>
      <c r="H103" s="280">
        <f>(IF($A103="SINAPI",INDEX(SINAPI_NOV2020_NDES!$A$7:$H$6703,MATCH($B103,SINAPI_NOV2020_NDES!$A$7:$A$6703,0),7),(INDEX(COMPOS!$A$4:$G$801,MATCH($B103,COMPOS!$A$4:A$801,0),6))))</f>
        <v>0</v>
      </c>
      <c r="I103" s="279">
        <f t="shared" si="22"/>
        <v>591.42333899999994</v>
      </c>
      <c r="J103" s="276">
        <f t="shared" si="23"/>
        <v>2235.5802214199998</v>
      </c>
      <c r="K103" s="255"/>
      <c r="L103" s="255"/>
      <c r="M103" s="255"/>
      <c r="N103" s="255"/>
      <c r="O103" s="257"/>
    </row>
    <row r="104" spans="1:16" s="88" customFormat="1" ht="24" customHeight="1">
      <c r="A104" s="289" t="s">
        <v>6307</v>
      </c>
      <c r="B104" s="290">
        <v>14</v>
      </c>
      <c r="C104" s="376" t="s">
        <v>6955</v>
      </c>
      <c r="D104" s="374" t="str">
        <f>(IF($A104="SINAPI",INDEX(SINAPI_NOV2020_NDES!$A$7:$H$6790,MATCH($B104,SINAPI_NOV2020_NDES!$A$7:$A$6790,0),3),(INDEX(COMPOS!$A$4:$G$5000,MATCH($B104,COMPOS!$A$4:$A$5000,0),3))))</f>
        <v>M2</v>
      </c>
      <c r="E104" s="276">
        <v>57.6</v>
      </c>
      <c r="F104" s="279">
        <f>(IF($A104="SINAPI",INDEX(SINAPI_NOV2020_NDES!$A$7:$H$6703,MATCH($B104,SINAPI_NOV2020_NDES!$A$7:$A$6703,0),5),(INDEX(COMPOS!$A$4:$G$801,MATCH($B104,COMPOS!$A$4:A$801,0),4))))</f>
        <v>50.378795999999994</v>
      </c>
      <c r="G104" s="280">
        <f>(IF($A104="SINAPI",INDEX(SINAPI_NOV2020_NDES!$A$7:$H$6703,MATCH($B104,SINAPI_NOV2020_NDES!$A$7:$A$6703,0),6),(INDEX(COMPOS!$A$4:$G$801,MATCH($B104,COMPOS!$A$4:A$801,0),5))))</f>
        <v>224.70615700000002</v>
      </c>
      <c r="H104" s="280">
        <f>(IF($A104="SINAPI",INDEX(SINAPI_NOV2020_NDES!$A$7:$H$6703,MATCH($B104,SINAPI_NOV2020_NDES!$A$7:$A$6703,0),7),(INDEX(COMPOS!$A$4:$G$801,MATCH($B104,COMPOS!$A$4:A$801,0),6))))</f>
        <v>0</v>
      </c>
      <c r="I104" s="279">
        <f t="shared" si="22"/>
        <v>275.08495300000004</v>
      </c>
      <c r="J104" s="276">
        <f t="shared" si="23"/>
        <v>15844.893292800003</v>
      </c>
      <c r="K104" s="255"/>
      <c r="L104" s="255"/>
      <c r="M104" s="255"/>
      <c r="N104" s="255"/>
      <c r="O104" s="257"/>
      <c r="P104" s="223"/>
    </row>
    <row r="105" spans="1:16">
      <c r="A105" s="289" t="s">
        <v>6307</v>
      </c>
      <c r="B105" s="290">
        <v>14</v>
      </c>
      <c r="C105" s="376" t="s">
        <v>6964</v>
      </c>
      <c r="D105" s="374" t="str">
        <f>(IF($A105="SINAPI",INDEX(SINAPI_NOV2020_NDES!$A$7:$H$6790,MATCH($B105,SINAPI_NOV2020_NDES!$A$7:$A$6790,0),3),(INDEX(COMPOS!$A$4:$G$5000,MATCH($B105,COMPOS!$A$4:$A$5000,0),3))))</f>
        <v>M2</v>
      </c>
      <c r="E105" s="276">
        <v>7.68</v>
      </c>
      <c r="F105" s="279">
        <f>(IF($A105="SINAPI",INDEX(SINAPI_NOV2020_NDES!$A$7:$H$6703,MATCH($B105,SINAPI_NOV2020_NDES!$A$7:$A$6703,0),5),(INDEX(COMPOS!$A$4:$G$801,MATCH($B105,COMPOS!$A$4:A$801,0),4))))</f>
        <v>50.378795999999994</v>
      </c>
      <c r="G105" s="280">
        <f>(IF($A105="SINAPI",INDEX(SINAPI_NOV2020_NDES!$A$7:$H$6703,MATCH($B105,SINAPI_NOV2020_NDES!$A$7:$A$6703,0),6),(INDEX(COMPOS!$A$4:$G$801,MATCH($B105,COMPOS!$A$4:A$801,0),5))))</f>
        <v>224.70615700000002</v>
      </c>
      <c r="H105" s="280">
        <f>(IF($A105="SINAPI",INDEX(SINAPI_NOV2020_NDES!$A$7:$H$6703,MATCH($B105,SINAPI_NOV2020_NDES!$A$7:$A$6703,0),7),(INDEX(COMPOS!$A$4:$G$801,MATCH($B105,COMPOS!$A$4:A$801,0),6))))</f>
        <v>0</v>
      </c>
      <c r="I105" s="279">
        <f t="shared" si="22"/>
        <v>275.08495300000004</v>
      </c>
      <c r="J105" s="276">
        <f t="shared" si="23"/>
        <v>2112.6524390400004</v>
      </c>
      <c r="K105" s="255"/>
      <c r="L105" s="255"/>
      <c r="M105" s="255"/>
      <c r="N105" s="255"/>
      <c r="O105" s="257"/>
    </row>
    <row r="106" spans="1:16">
      <c r="A106" s="289" t="s">
        <v>6307</v>
      </c>
      <c r="B106" s="290">
        <v>14</v>
      </c>
      <c r="C106" s="376" t="s">
        <v>6965</v>
      </c>
      <c r="D106" s="374" t="str">
        <f>(IF($A106="SINAPI",INDEX(SINAPI_NOV2020_NDES!$A$7:$H$6790,MATCH($B106,SINAPI_NOV2020_NDES!$A$7:$A$6790,0),3),(INDEX(COMPOS!$A$4:$G$5000,MATCH($B106,COMPOS!$A$4:$A$5000,0),3))))</f>
        <v>M2</v>
      </c>
      <c r="E106" s="276">
        <v>1.2</v>
      </c>
      <c r="F106" s="279">
        <f>(IF($A106="SINAPI",INDEX(SINAPI_NOV2020_NDES!$A$7:$H$6703,MATCH($B106,SINAPI_NOV2020_NDES!$A$7:$A$6703,0),5),(INDEX(COMPOS!$A$4:$G$801,MATCH($B106,COMPOS!$A$4:A$801,0),4))))</f>
        <v>50.378795999999994</v>
      </c>
      <c r="G106" s="280">
        <f>(IF($A106="SINAPI",INDEX(SINAPI_NOV2020_NDES!$A$7:$H$6703,MATCH($B106,SINAPI_NOV2020_NDES!$A$7:$A$6703,0),6),(INDEX(COMPOS!$A$4:$G$801,MATCH($B106,COMPOS!$A$4:A$801,0),5))))</f>
        <v>224.70615700000002</v>
      </c>
      <c r="H106" s="280">
        <f>(IF($A106="SINAPI",INDEX(SINAPI_NOV2020_NDES!$A$7:$H$6703,MATCH($B106,SINAPI_NOV2020_NDES!$A$7:$A$6703,0),7),(INDEX(COMPOS!$A$4:$G$801,MATCH($B106,COMPOS!$A$4:A$801,0),6))))</f>
        <v>0</v>
      </c>
      <c r="I106" s="279">
        <f t="shared" si="22"/>
        <v>275.08495300000004</v>
      </c>
      <c r="J106" s="276">
        <f t="shared" si="23"/>
        <v>330.10194360000003</v>
      </c>
      <c r="K106" s="255"/>
      <c r="L106" s="255"/>
      <c r="M106" s="255"/>
      <c r="N106" s="255"/>
      <c r="O106" s="257"/>
    </row>
    <row r="107" spans="1:16" s="88" customFormat="1" ht="24" customHeight="1">
      <c r="A107" s="289" t="s">
        <v>6307</v>
      </c>
      <c r="B107" s="290">
        <v>14</v>
      </c>
      <c r="C107" s="376" t="s">
        <v>6956</v>
      </c>
      <c r="D107" s="374" t="str">
        <f>(IF($A107="SINAPI",INDEX(SINAPI_NOV2020_NDES!$A$7:$H$6790,MATCH($B107,SINAPI_NOV2020_NDES!$A$7:$A$6790,0),3),(INDEX(COMPOS!$A$4:$G$5000,MATCH($B107,COMPOS!$A$4:$A$5000,0),3))))</f>
        <v>M2</v>
      </c>
      <c r="E107" s="276">
        <v>2.4</v>
      </c>
      <c r="F107" s="279">
        <f>(IF($A107="SINAPI",INDEX(SINAPI_NOV2020_NDES!$A$7:$H$6703,MATCH($B107,SINAPI_NOV2020_NDES!$A$7:$A$6703,0),5),(INDEX(COMPOS!$A$4:$G$801,MATCH($B107,COMPOS!$A$4:A$801,0),4))))</f>
        <v>50.378795999999994</v>
      </c>
      <c r="G107" s="280">
        <f>(IF($A107="SINAPI",INDEX(SINAPI_NOV2020_NDES!$A$7:$H$6703,MATCH($B107,SINAPI_NOV2020_NDES!$A$7:$A$6703,0),6),(INDEX(COMPOS!$A$4:$G$801,MATCH($B107,COMPOS!$A$4:A$801,0),5))))</f>
        <v>224.70615700000002</v>
      </c>
      <c r="H107" s="280">
        <f>(IF($A107="SINAPI",INDEX(SINAPI_NOV2020_NDES!$A$7:$H$6703,MATCH($B107,SINAPI_NOV2020_NDES!$A$7:$A$6703,0),7),(INDEX(COMPOS!$A$4:$G$801,MATCH($B107,COMPOS!$A$4:A$801,0),6))))</f>
        <v>0</v>
      </c>
      <c r="I107" s="279">
        <f t="shared" si="22"/>
        <v>275.08495300000004</v>
      </c>
      <c r="J107" s="276">
        <f t="shared" si="23"/>
        <v>660.20388720000005</v>
      </c>
      <c r="K107" s="255"/>
      <c r="L107" s="255"/>
      <c r="M107" s="255"/>
      <c r="N107" s="255"/>
      <c r="O107" s="257"/>
      <c r="P107" s="223"/>
    </row>
    <row r="108" spans="1:16">
      <c r="A108" s="289" t="s">
        <v>6307</v>
      </c>
      <c r="B108" s="290">
        <v>14</v>
      </c>
      <c r="C108" s="376" t="s">
        <v>6957</v>
      </c>
      <c r="D108" s="374" t="str">
        <f>(IF($A108="SINAPI",INDEX(SINAPI_NOV2020_NDES!$A$7:$H$6790,MATCH($B108,SINAPI_NOV2020_NDES!$A$7:$A$6790,0),3),(INDEX(COMPOS!$A$4:$G$5000,MATCH($B108,COMPOS!$A$4:$A$5000,0),3))))</f>
        <v>M2</v>
      </c>
      <c r="E108" s="276">
        <v>0.8</v>
      </c>
      <c r="F108" s="279">
        <f>(IF($A108="SINAPI",INDEX(SINAPI_NOV2020_NDES!$A$7:$H$6703,MATCH($B108,SINAPI_NOV2020_NDES!$A$7:$A$6703,0),5),(INDEX(COMPOS!$A$4:$G$801,MATCH($B108,COMPOS!$A$4:A$801,0),4))))</f>
        <v>50.378795999999994</v>
      </c>
      <c r="G108" s="280">
        <f>(IF($A108="SINAPI",INDEX(SINAPI_NOV2020_NDES!$A$7:$H$6703,MATCH($B108,SINAPI_NOV2020_NDES!$A$7:$A$6703,0),6),(INDEX(COMPOS!$A$4:$G$801,MATCH($B108,COMPOS!$A$4:A$801,0),5))))</f>
        <v>224.70615700000002</v>
      </c>
      <c r="H108" s="280">
        <f>(IF($A108="SINAPI",INDEX(SINAPI_NOV2020_NDES!$A$7:$H$6703,MATCH($B108,SINAPI_NOV2020_NDES!$A$7:$A$6703,0),7),(INDEX(COMPOS!$A$4:$G$801,MATCH($B108,COMPOS!$A$4:A$801,0),6))))</f>
        <v>0</v>
      </c>
      <c r="I108" s="279">
        <f t="shared" si="22"/>
        <v>275.08495300000004</v>
      </c>
      <c r="J108" s="276">
        <f t="shared" si="23"/>
        <v>220.06796240000006</v>
      </c>
      <c r="K108" s="255"/>
      <c r="L108" s="255"/>
      <c r="M108" s="255"/>
      <c r="N108" s="255"/>
      <c r="O108" s="255"/>
    </row>
    <row r="109" spans="1:16">
      <c r="A109" s="680" t="s">
        <v>6927</v>
      </c>
      <c r="B109" s="680"/>
      <c r="C109" s="680"/>
      <c r="D109" s="680"/>
      <c r="E109" s="680"/>
      <c r="F109" s="680"/>
      <c r="G109" s="680"/>
      <c r="H109" s="680"/>
      <c r="I109" s="680"/>
      <c r="J109" s="281">
        <f>SUM(J99:J108)</f>
        <v>47107.863847429835</v>
      </c>
      <c r="K109" s="255"/>
      <c r="L109" s="255"/>
      <c r="M109" s="255"/>
      <c r="N109" s="255"/>
      <c r="O109" s="255"/>
    </row>
    <row r="110" spans="1:16">
      <c r="A110" s="251"/>
      <c r="B110" s="272">
        <v>181</v>
      </c>
      <c r="C110" s="340" t="s">
        <v>594</v>
      </c>
      <c r="D110" s="274"/>
      <c r="E110" s="276"/>
      <c r="F110" s="276"/>
      <c r="G110" s="276"/>
      <c r="H110" s="276"/>
      <c r="I110" s="276"/>
      <c r="J110" s="276"/>
      <c r="K110" s="255"/>
      <c r="L110" s="255"/>
      <c r="M110" s="255"/>
      <c r="N110" s="255"/>
      <c r="O110" s="257"/>
    </row>
    <row r="111" spans="1:16">
      <c r="A111" s="251" t="s">
        <v>7</v>
      </c>
      <c r="B111" s="290">
        <v>72117</v>
      </c>
      <c r="C111" s="278" t="str">
        <f>(IF($A111="SINAPI",INDEX(SINAPI_NOV2020_NDES!$A$7:$H$6703,MATCH($B111,SINAPI_NOV2020_NDES!$A$7:$A$6703,0),2),IF($A111="GOINFRA",INDEX(#REF!,MATCH($B111,#REF!,0),2),(INDEX(COMPOS!$A$4:$G$390,MATCH($B111,COMPOS!$A$4:A$390,0),2)))))</f>
        <v>VIDRO LISO COMUM TRANSPARENTE, ESPESSURA 4MM</v>
      </c>
      <c r="D111" s="374" t="str">
        <f>(IF($A111="SINAPI",INDEX(SINAPI_NOV2020_NDES!$A$7:$H$6790,MATCH($B111,SINAPI_NOV2020_NDES!$A$7:$A$6790,0),3),(INDEX(COMPOS!$A$4:$G$5000,MATCH($B111,COMPOS!$A$4:$A$5000,0),3))))</f>
        <v>M2</v>
      </c>
      <c r="E111" s="276">
        <f>59.81+SUM(E104:E108)</f>
        <v>129.49</v>
      </c>
      <c r="F111" s="279">
        <f>(IF($A111="SINAPI",INDEX(SINAPI_NOV2020_NDES!$A$7:$H$6703,MATCH($B111,SINAPI_NOV2020_NDES!$A$7:$A$6703,0),5),(INDEX(COMPOS!$A$4:$G$801,MATCH($B111,COMPOS!$A$4:A$801,0),4))))</f>
        <v>11.8</v>
      </c>
      <c r="G111" s="280">
        <f>(IF($A111="SINAPI",INDEX(SINAPI_NOV2020_NDES!$A$7:$H$6703,MATCH($B111,SINAPI_NOV2020_NDES!$A$7:$A$6703,0),6),(INDEX(COMPOS!$A$4:$G$801,MATCH($B111,COMPOS!$A$4:A$801,0),5))))</f>
        <v>171.51</v>
      </c>
      <c r="H111" s="280">
        <f>(IF($A111="SINAPI",INDEX(SINAPI_NOV2020_NDES!$A$7:$H$6703,MATCH($B111,SINAPI_NOV2020_NDES!$A$7:$A$6703,0),7),(INDEX(COMPOS!$A$4:$G$801,MATCH($B111,COMPOS!$A$4:A$801,0),6))))</f>
        <v>0</v>
      </c>
      <c r="I111" s="279">
        <f t="shared" ref="I111" si="24">SUM(F111:H111)</f>
        <v>183.31</v>
      </c>
      <c r="J111" s="276">
        <f t="shared" ref="J111" si="25">+I111*E111</f>
        <v>23736.811900000001</v>
      </c>
      <c r="K111" s="255"/>
      <c r="L111" s="255"/>
      <c r="M111" s="255"/>
      <c r="N111" s="255"/>
      <c r="O111" s="255"/>
    </row>
    <row r="112" spans="1:16">
      <c r="A112" s="680" t="s">
        <v>6927</v>
      </c>
      <c r="B112" s="680"/>
      <c r="C112" s="680"/>
      <c r="D112" s="680"/>
      <c r="E112" s="680"/>
      <c r="F112" s="680"/>
      <c r="G112" s="680"/>
      <c r="H112" s="680"/>
      <c r="I112" s="680"/>
      <c r="J112" s="281">
        <f>SUM(J111)</f>
        <v>23736.811900000001</v>
      </c>
      <c r="K112" s="255"/>
      <c r="L112" s="255"/>
      <c r="M112" s="255"/>
      <c r="N112" s="255"/>
      <c r="O112" s="255"/>
    </row>
    <row r="113" spans="1:1007" s="88" customFormat="1" ht="24" customHeight="1">
      <c r="A113" s="251"/>
      <c r="B113" s="272">
        <v>182</v>
      </c>
      <c r="C113" s="340" t="s">
        <v>6333</v>
      </c>
      <c r="D113" s="274"/>
      <c r="E113" s="276"/>
      <c r="F113" s="276"/>
      <c r="G113" s="276"/>
      <c r="H113" s="276"/>
      <c r="I113" s="276"/>
      <c r="J113" s="276"/>
      <c r="K113" s="255"/>
      <c r="L113" s="255"/>
      <c r="M113" s="255"/>
      <c r="N113" s="255"/>
      <c r="O113" s="257"/>
      <c r="P113" s="223"/>
    </row>
    <row r="114" spans="1:1007" s="191" customFormat="1" ht="36">
      <c r="A114" s="251" t="s">
        <v>7</v>
      </c>
      <c r="B114" s="290">
        <v>87879</v>
      </c>
      <c r="C114" s="278" t="str">
        <f>(IF($A114="SINAPI",INDEX(SINAPI_NOV2020_NDES!$A$7:$H$6703,MATCH($B114,SINAPI_NOV2020_NDES!$A$7:$A$6703,0),2),IF($A114="GOINFRA",INDEX(#REF!,MATCH($B114,#REF!,0),2),(INDEX(COMPOS!$A$4:$G$390,MATCH($B114,COMPOS!$A$4:A$390,0),2)))))</f>
        <v>CHAPISCO APLICADO EM ALVENARIAS E ESTRUTURAS DE CONCRETO INTERNAS, COM COLHER DE PEDREIRO.  ARGAMASSA TRAÇO 1:3 COM PREPARO EM BETONEIRA 400L. AF_06/2014</v>
      </c>
      <c r="D114" s="374" t="str">
        <f>(IF($A114="SINAPI",INDEX(SINAPI_NOV2020_NDES!$A$7:$H$6790,MATCH($B114,SINAPI_NOV2020_NDES!$A$7:$A$6790,0),3),(INDEX(COMPOS!$A$4:$G$5000,MATCH($B114,COMPOS!$A$4:$A$5000,0),3))))</f>
        <v>M2</v>
      </c>
      <c r="E114" s="314">
        <v>143.79</v>
      </c>
      <c r="F114" s="279">
        <f>(IF($A114="SINAPI",INDEX(SINAPI_NOV2020_NDES!$A$7:$H$6703,MATCH($B114,SINAPI_NOV2020_NDES!$A$7:$A$6703,0),5),(INDEX(COMPOS!$A$4:$G$801,MATCH($B114,COMPOS!$A$4:A$801,0),4))))</f>
        <v>1.67</v>
      </c>
      <c r="G114" s="280">
        <f>(IF($A114="SINAPI",INDEX(SINAPI_NOV2020_NDES!$A$7:$H$6703,MATCH($B114,SINAPI_NOV2020_NDES!$A$7:$A$6703,0),6),(INDEX(COMPOS!$A$4:$G$801,MATCH($B114,COMPOS!$A$4:A$801,0),5))))</f>
        <v>1.74</v>
      </c>
      <c r="H114" s="280">
        <f>(IF($A114="SINAPI",INDEX(SINAPI_NOV2020_NDES!$A$7:$H$6703,MATCH($B114,SINAPI_NOV2020_NDES!$A$7:$A$6703,0),7),(INDEX(COMPOS!$A$4:$G$801,MATCH($B114,COMPOS!$A$4:A$801,0),6))))</f>
        <v>0</v>
      </c>
      <c r="I114" s="279">
        <f t="shared" ref="I114" si="26">SUM(F114:H114)</f>
        <v>3.41</v>
      </c>
      <c r="J114" s="276">
        <f t="shared" ref="J114" si="27">+I114*E114</f>
        <v>490.32389999999998</v>
      </c>
      <c r="K114" s="255"/>
      <c r="L114" s="255"/>
      <c r="M114" s="255"/>
      <c r="N114" s="255"/>
      <c r="O114" s="257"/>
      <c r="P114" s="223"/>
      <c r="Q114" s="255"/>
      <c r="R114" s="255"/>
      <c r="S114" s="255"/>
      <c r="T114" s="255"/>
      <c r="U114" s="255"/>
      <c r="V114" s="255"/>
      <c r="W114" s="255"/>
      <c r="X114" s="255"/>
      <c r="Y114" s="255"/>
      <c r="Z114" s="255"/>
      <c r="AA114" s="255"/>
      <c r="AB114" s="255"/>
      <c r="AC114" s="255"/>
      <c r="AD114" s="255"/>
      <c r="AE114" s="255"/>
      <c r="AF114" s="255"/>
      <c r="AG114" s="255"/>
      <c r="AH114" s="255"/>
      <c r="AI114" s="255"/>
      <c r="AJ114" s="255"/>
      <c r="AK114" s="255"/>
      <c r="AL114" s="255"/>
      <c r="AM114" s="255"/>
      <c r="AN114" s="255"/>
      <c r="AO114" s="255"/>
      <c r="AP114" s="255"/>
      <c r="AQ114" s="255"/>
      <c r="AR114" s="255"/>
      <c r="AS114" s="255"/>
      <c r="AT114" s="255"/>
      <c r="AU114" s="255"/>
      <c r="AV114" s="255"/>
      <c r="AW114" s="255"/>
      <c r="AX114" s="255"/>
      <c r="AY114" s="255"/>
      <c r="AZ114" s="255"/>
      <c r="BA114" s="255"/>
      <c r="BB114" s="255"/>
      <c r="BC114" s="255"/>
      <c r="BD114" s="255"/>
      <c r="BE114" s="255"/>
      <c r="BF114" s="255"/>
      <c r="BG114" s="255"/>
      <c r="BH114" s="255"/>
      <c r="BI114" s="255"/>
      <c r="BJ114" s="255"/>
      <c r="BK114" s="255"/>
      <c r="BL114" s="255"/>
      <c r="BM114" s="255"/>
      <c r="BN114" s="255"/>
      <c r="BO114" s="255"/>
      <c r="BP114" s="255"/>
      <c r="BQ114" s="255"/>
      <c r="BR114" s="255"/>
      <c r="BS114" s="255"/>
      <c r="BT114" s="255"/>
      <c r="BU114" s="255"/>
      <c r="BV114" s="255"/>
      <c r="BW114" s="255"/>
      <c r="BX114" s="255"/>
      <c r="BY114" s="255"/>
      <c r="BZ114" s="255"/>
      <c r="CA114" s="255"/>
      <c r="CB114" s="255"/>
      <c r="CC114" s="255"/>
      <c r="CD114" s="255"/>
      <c r="CE114" s="255"/>
      <c r="CF114" s="255"/>
      <c r="CG114" s="255"/>
      <c r="CH114" s="255"/>
      <c r="CI114" s="255"/>
      <c r="CJ114" s="255"/>
      <c r="CK114" s="255"/>
      <c r="CL114" s="255"/>
      <c r="CM114" s="255"/>
      <c r="CN114" s="255"/>
      <c r="CO114" s="255"/>
      <c r="CP114" s="255"/>
      <c r="CQ114" s="255"/>
      <c r="CR114" s="255"/>
      <c r="CS114" s="255"/>
      <c r="CT114" s="255"/>
      <c r="CU114" s="255"/>
      <c r="CV114" s="255"/>
      <c r="CW114" s="255"/>
      <c r="CX114" s="255"/>
      <c r="CY114" s="255"/>
      <c r="CZ114" s="255"/>
      <c r="DA114" s="255"/>
      <c r="DB114" s="255"/>
      <c r="DC114" s="255"/>
      <c r="DD114" s="255"/>
      <c r="DE114" s="255"/>
      <c r="DF114" s="255"/>
      <c r="DG114" s="255"/>
      <c r="DH114" s="255"/>
      <c r="DI114" s="255"/>
      <c r="DJ114" s="255"/>
      <c r="DK114" s="255"/>
      <c r="DL114" s="255"/>
      <c r="DM114" s="255"/>
      <c r="DN114" s="255"/>
      <c r="DO114" s="255"/>
      <c r="DP114" s="255"/>
      <c r="DQ114" s="255"/>
      <c r="DR114" s="255"/>
      <c r="DS114" s="255"/>
      <c r="DT114" s="255"/>
      <c r="DU114" s="255"/>
      <c r="DV114" s="255"/>
      <c r="DW114" s="255"/>
      <c r="DX114" s="255"/>
      <c r="DY114" s="255"/>
      <c r="DZ114" s="255"/>
      <c r="EA114" s="255"/>
      <c r="EB114" s="255"/>
      <c r="EC114" s="255"/>
      <c r="ED114" s="255"/>
      <c r="EE114" s="255"/>
      <c r="EF114" s="255"/>
      <c r="EG114" s="255"/>
      <c r="EH114" s="255"/>
      <c r="EI114" s="255"/>
      <c r="EJ114" s="255"/>
      <c r="EK114" s="255"/>
      <c r="EL114" s="255"/>
      <c r="EM114" s="255"/>
      <c r="EN114" s="255"/>
      <c r="EO114" s="255"/>
      <c r="EP114" s="255"/>
      <c r="EQ114" s="255"/>
      <c r="ER114" s="255"/>
      <c r="ES114" s="255"/>
      <c r="ET114" s="255"/>
      <c r="EU114" s="255"/>
      <c r="EV114" s="255"/>
      <c r="EW114" s="255"/>
      <c r="EX114" s="255"/>
      <c r="EY114" s="255"/>
      <c r="EZ114" s="255"/>
      <c r="FA114" s="255"/>
      <c r="FB114" s="255"/>
      <c r="FC114" s="255"/>
      <c r="FD114" s="255"/>
      <c r="FE114" s="255"/>
      <c r="FF114" s="255"/>
      <c r="FG114" s="255"/>
      <c r="FH114" s="255"/>
      <c r="FI114" s="255"/>
      <c r="FJ114" s="255"/>
      <c r="FK114" s="255"/>
      <c r="FL114" s="255"/>
      <c r="FM114" s="255"/>
      <c r="FN114" s="255"/>
      <c r="FO114" s="255"/>
      <c r="FP114" s="255"/>
      <c r="FQ114" s="255"/>
      <c r="FR114" s="255"/>
      <c r="FS114" s="255"/>
      <c r="FT114" s="255"/>
      <c r="FU114" s="255"/>
      <c r="FV114" s="255"/>
      <c r="FW114" s="255"/>
      <c r="FX114" s="255"/>
      <c r="FY114" s="255"/>
      <c r="FZ114" s="255"/>
      <c r="GA114" s="255"/>
      <c r="GB114" s="255"/>
      <c r="GC114" s="255"/>
      <c r="GD114" s="255"/>
      <c r="GE114" s="255"/>
      <c r="GF114" s="255"/>
      <c r="GG114" s="255"/>
      <c r="GH114" s="255"/>
      <c r="GI114" s="255"/>
      <c r="GJ114" s="255"/>
      <c r="GK114" s="255"/>
      <c r="GL114" s="255"/>
      <c r="GM114" s="255"/>
      <c r="GN114" s="255"/>
      <c r="GO114" s="255"/>
      <c r="GP114" s="255"/>
      <c r="GQ114" s="255"/>
      <c r="GR114" s="255"/>
      <c r="GS114" s="255"/>
      <c r="GT114" s="255"/>
      <c r="GU114" s="255"/>
      <c r="GV114" s="255"/>
      <c r="GW114" s="255"/>
      <c r="GX114" s="255"/>
      <c r="GY114" s="255"/>
      <c r="GZ114" s="255"/>
      <c r="HA114" s="255"/>
      <c r="HB114" s="255"/>
      <c r="HC114" s="255"/>
      <c r="HD114" s="255"/>
      <c r="HE114" s="255"/>
      <c r="HF114" s="255"/>
      <c r="HG114" s="255"/>
      <c r="HH114" s="255"/>
      <c r="HI114" s="255"/>
      <c r="HJ114" s="255"/>
      <c r="HK114" s="255"/>
      <c r="HL114" s="255"/>
      <c r="HM114" s="255"/>
      <c r="HN114" s="255"/>
      <c r="HO114" s="255"/>
      <c r="HP114" s="255"/>
      <c r="HQ114" s="255"/>
      <c r="HR114" s="255"/>
      <c r="HS114" s="255"/>
      <c r="HT114" s="255"/>
      <c r="HU114" s="255"/>
      <c r="HV114" s="255"/>
      <c r="HW114" s="255"/>
      <c r="HX114" s="255"/>
      <c r="HY114" s="255"/>
      <c r="HZ114" s="255"/>
      <c r="IA114" s="255"/>
      <c r="IB114" s="255"/>
      <c r="IC114" s="255"/>
      <c r="ID114" s="255"/>
      <c r="IE114" s="255"/>
      <c r="IF114" s="255"/>
      <c r="IG114" s="255"/>
      <c r="IH114" s="255"/>
      <c r="II114" s="255"/>
      <c r="IJ114" s="255"/>
      <c r="IK114" s="255"/>
      <c r="IL114" s="255"/>
      <c r="IM114" s="255"/>
      <c r="IN114" s="255"/>
      <c r="IO114" s="255"/>
      <c r="IP114" s="255"/>
      <c r="IQ114" s="255"/>
      <c r="IR114" s="255"/>
      <c r="IS114" s="255"/>
      <c r="IT114" s="255"/>
      <c r="IU114" s="255"/>
      <c r="IV114" s="255"/>
      <c r="IW114" s="255"/>
      <c r="IX114" s="255"/>
      <c r="IY114" s="255"/>
      <c r="IZ114" s="255"/>
      <c r="JA114" s="255"/>
      <c r="JB114" s="255"/>
      <c r="JC114" s="255"/>
      <c r="JD114" s="255"/>
      <c r="JE114" s="255"/>
      <c r="JF114" s="255"/>
      <c r="JG114" s="255"/>
      <c r="JH114" s="255"/>
      <c r="JI114" s="255"/>
      <c r="JJ114" s="255"/>
      <c r="JK114" s="255"/>
      <c r="JL114" s="255"/>
      <c r="JM114" s="255"/>
      <c r="JN114" s="255"/>
      <c r="JO114" s="255"/>
      <c r="JP114" s="255"/>
      <c r="JQ114" s="255"/>
      <c r="JR114" s="255"/>
      <c r="JS114" s="255"/>
      <c r="JT114" s="255"/>
      <c r="JU114" s="255"/>
      <c r="JV114" s="255"/>
      <c r="JW114" s="255"/>
      <c r="JX114" s="255"/>
      <c r="JY114" s="255"/>
      <c r="JZ114" s="255"/>
      <c r="KA114" s="255"/>
      <c r="KB114" s="255"/>
      <c r="KC114" s="255"/>
      <c r="KD114" s="255"/>
      <c r="KE114" s="255"/>
      <c r="KF114" s="255"/>
      <c r="KG114" s="255"/>
      <c r="KH114" s="255"/>
      <c r="KI114" s="255"/>
      <c r="KJ114" s="255"/>
      <c r="KK114" s="255"/>
      <c r="KL114" s="255"/>
      <c r="KM114" s="255"/>
      <c r="KN114" s="255"/>
      <c r="KO114" s="255"/>
      <c r="KP114" s="255"/>
      <c r="KQ114" s="255"/>
      <c r="KR114" s="255"/>
      <c r="KS114" s="255"/>
      <c r="KT114" s="255"/>
      <c r="KU114" s="255"/>
      <c r="KV114" s="255"/>
      <c r="KW114" s="255"/>
      <c r="KX114" s="255"/>
      <c r="KY114" s="255"/>
      <c r="KZ114" s="255"/>
      <c r="LA114" s="255"/>
      <c r="LB114" s="255"/>
      <c r="LC114" s="255"/>
      <c r="LD114" s="255"/>
      <c r="LE114" s="255"/>
      <c r="LF114" s="255"/>
      <c r="LG114" s="255"/>
      <c r="LH114" s="255"/>
      <c r="LI114" s="255"/>
      <c r="LJ114" s="255"/>
      <c r="LK114" s="255"/>
      <c r="LL114" s="255"/>
      <c r="LM114" s="255"/>
      <c r="LN114" s="255"/>
      <c r="LO114" s="255"/>
      <c r="LP114" s="255"/>
      <c r="LQ114" s="255"/>
      <c r="LR114" s="255"/>
      <c r="LS114" s="255"/>
      <c r="LT114" s="255"/>
      <c r="LU114" s="255"/>
      <c r="LV114" s="255"/>
      <c r="LW114" s="255"/>
      <c r="LX114" s="255"/>
      <c r="LY114" s="255"/>
      <c r="LZ114" s="255"/>
      <c r="MA114" s="255"/>
      <c r="MB114" s="255"/>
      <c r="MC114" s="255"/>
      <c r="MD114" s="255"/>
      <c r="ME114" s="255"/>
      <c r="MF114" s="255"/>
      <c r="MG114" s="255"/>
      <c r="MH114" s="255"/>
      <c r="MI114" s="255"/>
      <c r="MJ114" s="255"/>
      <c r="MK114" s="255"/>
      <c r="ML114" s="255"/>
      <c r="MM114" s="255"/>
      <c r="MN114" s="255"/>
      <c r="MO114" s="255"/>
      <c r="MP114" s="255"/>
      <c r="MQ114" s="255"/>
      <c r="MR114" s="255"/>
      <c r="MS114" s="255"/>
      <c r="MT114" s="255"/>
      <c r="MU114" s="255"/>
      <c r="MV114" s="255"/>
      <c r="MW114" s="255"/>
      <c r="MX114" s="255"/>
      <c r="MY114" s="255"/>
      <c r="MZ114" s="255"/>
      <c r="NA114" s="255"/>
      <c r="NB114" s="255"/>
      <c r="NC114" s="255"/>
      <c r="ND114" s="255"/>
      <c r="NE114" s="255"/>
      <c r="NF114" s="255"/>
      <c r="NG114" s="255"/>
      <c r="NH114" s="255"/>
      <c r="NI114" s="255"/>
      <c r="NJ114" s="255"/>
      <c r="NK114" s="255"/>
      <c r="NL114" s="255"/>
      <c r="NM114" s="255"/>
      <c r="NN114" s="255"/>
      <c r="NO114" s="255"/>
      <c r="NP114" s="255"/>
      <c r="NQ114" s="255"/>
      <c r="NR114" s="255"/>
      <c r="NS114" s="255"/>
      <c r="NT114" s="255"/>
      <c r="NU114" s="255"/>
      <c r="NV114" s="255"/>
      <c r="NW114" s="255"/>
      <c r="NX114" s="255"/>
      <c r="NY114" s="255"/>
      <c r="NZ114" s="255"/>
      <c r="OA114" s="255"/>
      <c r="OB114" s="255"/>
      <c r="OC114" s="255"/>
      <c r="OD114" s="255"/>
      <c r="OE114" s="255"/>
      <c r="OF114" s="255"/>
      <c r="OG114" s="255"/>
      <c r="OH114" s="255"/>
      <c r="OI114" s="255"/>
      <c r="OJ114" s="255"/>
      <c r="OK114" s="255"/>
      <c r="OL114" s="255"/>
      <c r="OM114" s="255"/>
      <c r="ON114" s="255"/>
      <c r="OO114" s="255"/>
      <c r="OP114" s="255"/>
      <c r="OQ114" s="255"/>
      <c r="OR114" s="255"/>
      <c r="OS114" s="255"/>
      <c r="OT114" s="255"/>
      <c r="OU114" s="255"/>
      <c r="OV114" s="255"/>
      <c r="OW114" s="255"/>
      <c r="OX114" s="255"/>
      <c r="OY114" s="255"/>
      <c r="OZ114" s="255"/>
      <c r="PA114" s="255"/>
      <c r="PB114" s="255"/>
      <c r="PC114" s="255"/>
      <c r="PD114" s="255"/>
      <c r="PE114" s="255"/>
      <c r="PF114" s="255"/>
      <c r="PG114" s="255"/>
      <c r="PH114" s="255"/>
      <c r="PI114" s="255"/>
      <c r="PJ114" s="255"/>
      <c r="PK114" s="255"/>
      <c r="PL114" s="255"/>
      <c r="PM114" s="255"/>
      <c r="PN114" s="255"/>
      <c r="PO114" s="255"/>
      <c r="PP114" s="255"/>
      <c r="PQ114" s="255"/>
      <c r="PR114" s="255"/>
      <c r="PS114" s="255"/>
      <c r="PT114" s="255"/>
      <c r="PU114" s="255"/>
      <c r="PV114" s="255"/>
      <c r="PW114" s="255"/>
      <c r="PX114" s="255"/>
      <c r="PY114" s="255"/>
      <c r="PZ114" s="255"/>
      <c r="QA114" s="255"/>
      <c r="QB114" s="255"/>
      <c r="QC114" s="255"/>
      <c r="QD114" s="255"/>
      <c r="QE114" s="255"/>
      <c r="QF114" s="255"/>
      <c r="QG114" s="255"/>
      <c r="QH114" s="255"/>
      <c r="QI114" s="255"/>
      <c r="QJ114" s="255"/>
      <c r="QK114" s="255"/>
      <c r="QL114" s="255"/>
      <c r="QM114" s="255"/>
      <c r="QN114" s="255"/>
      <c r="QO114" s="255"/>
      <c r="QP114" s="255"/>
      <c r="QQ114" s="255"/>
      <c r="QR114" s="255"/>
      <c r="QS114" s="255"/>
      <c r="QT114" s="255"/>
      <c r="QU114" s="255"/>
      <c r="QV114" s="255"/>
      <c r="QW114" s="255"/>
      <c r="QX114" s="255"/>
      <c r="QY114" s="255"/>
      <c r="QZ114" s="255"/>
      <c r="RA114" s="255"/>
      <c r="RB114" s="255"/>
      <c r="RC114" s="255"/>
      <c r="RD114" s="255"/>
      <c r="RE114" s="255"/>
      <c r="RF114" s="255"/>
      <c r="RG114" s="255"/>
      <c r="RH114" s="255"/>
      <c r="RI114" s="255"/>
      <c r="RJ114" s="255"/>
      <c r="RK114" s="255"/>
      <c r="RL114" s="255"/>
      <c r="RM114" s="255"/>
      <c r="RN114" s="255"/>
      <c r="RO114" s="255"/>
      <c r="RP114" s="255"/>
      <c r="RQ114" s="255"/>
      <c r="RR114" s="255"/>
      <c r="RS114" s="255"/>
      <c r="RT114" s="255"/>
      <c r="RU114" s="255"/>
      <c r="RV114" s="255"/>
      <c r="RW114" s="255"/>
      <c r="RX114" s="255"/>
      <c r="RY114" s="255"/>
      <c r="RZ114" s="255"/>
      <c r="SA114" s="255"/>
      <c r="SB114" s="255"/>
      <c r="SC114" s="255"/>
      <c r="SD114" s="255"/>
      <c r="SE114" s="255"/>
      <c r="SF114" s="255"/>
      <c r="SG114" s="255"/>
      <c r="SH114" s="255"/>
      <c r="SI114" s="255"/>
      <c r="SJ114" s="255"/>
      <c r="SK114" s="255"/>
      <c r="SL114" s="255"/>
      <c r="SM114" s="255"/>
      <c r="SN114" s="255"/>
      <c r="SO114" s="255"/>
      <c r="SP114" s="255"/>
      <c r="SQ114" s="255"/>
      <c r="SR114" s="255"/>
      <c r="SS114" s="255"/>
      <c r="ST114" s="255"/>
      <c r="SU114" s="255"/>
      <c r="SV114" s="255"/>
      <c r="SW114" s="255"/>
      <c r="SX114" s="255"/>
      <c r="SY114" s="255"/>
      <c r="SZ114" s="255"/>
      <c r="TA114" s="255"/>
      <c r="TB114" s="255"/>
      <c r="TC114" s="255"/>
      <c r="TD114" s="255"/>
      <c r="TE114" s="255"/>
      <c r="TF114" s="255"/>
      <c r="TG114" s="255"/>
      <c r="TH114" s="255"/>
      <c r="TI114" s="255"/>
      <c r="TJ114" s="255"/>
      <c r="TK114" s="255"/>
      <c r="TL114" s="255"/>
      <c r="TM114" s="255"/>
      <c r="TN114" s="255"/>
      <c r="TO114" s="255"/>
      <c r="TP114" s="255"/>
      <c r="TQ114" s="255"/>
      <c r="TR114" s="255"/>
      <c r="TS114" s="255"/>
      <c r="TT114" s="255"/>
      <c r="TU114" s="255"/>
      <c r="TV114" s="255"/>
      <c r="TW114" s="255"/>
      <c r="TX114" s="255"/>
      <c r="TY114" s="255"/>
      <c r="TZ114" s="255"/>
      <c r="UA114" s="255"/>
      <c r="UB114" s="255"/>
      <c r="UC114" s="255"/>
      <c r="UD114" s="255"/>
      <c r="UE114" s="255"/>
      <c r="UF114" s="255"/>
      <c r="UG114" s="255"/>
      <c r="UH114" s="255"/>
      <c r="UI114" s="255"/>
      <c r="UJ114" s="255"/>
      <c r="UK114" s="255"/>
      <c r="UL114" s="255"/>
      <c r="UM114" s="255"/>
      <c r="UN114" s="255"/>
      <c r="UO114" s="255"/>
      <c r="UP114" s="255"/>
      <c r="UQ114" s="255"/>
      <c r="UR114" s="255"/>
      <c r="US114" s="255"/>
      <c r="UT114" s="255"/>
      <c r="UU114" s="255"/>
      <c r="UV114" s="255"/>
      <c r="UW114" s="255"/>
      <c r="UX114" s="255"/>
      <c r="UY114" s="255"/>
      <c r="UZ114" s="255"/>
      <c r="VA114" s="255"/>
      <c r="VB114" s="255"/>
      <c r="VC114" s="255"/>
      <c r="VD114" s="255"/>
      <c r="VE114" s="255"/>
      <c r="VF114" s="255"/>
      <c r="VG114" s="255"/>
      <c r="VH114" s="255"/>
      <c r="VI114" s="255"/>
      <c r="VJ114" s="255"/>
      <c r="VK114" s="255"/>
      <c r="VL114" s="255"/>
      <c r="VM114" s="255"/>
      <c r="VN114" s="255"/>
      <c r="VO114" s="255"/>
      <c r="VP114" s="255"/>
      <c r="VQ114" s="255"/>
      <c r="VR114" s="255"/>
      <c r="VS114" s="255"/>
      <c r="VT114" s="255"/>
      <c r="VU114" s="255"/>
      <c r="VV114" s="255"/>
      <c r="VW114" s="255"/>
      <c r="VX114" s="255"/>
      <c r="VY114" s="255"/>
      <c r="VZ114" s="255"/>
      <c r="WA114" s="255"/>
      <c r="WB114" s="255"/>
      <c r="WC114" s="255"/>
      <c r="WD114" s="255"/>
      <c r="WE114" s="255"/>
      <c r="WF114" s="255"/>
      <c r="WG114" s="255"/>
      <c r="WH114" s="255"/>
      <c r="WI114" s="255"/>
      <c r="WJ114" s="255"/>
      <c r="WK114" s="255"/>
      <c r="WL114" s="255"/>
      <c r="WM114" s="255"/>
      <c r="WN114" s="255"/>
      <c r="WO114" s="255"/>
      <c r="WP114" s="255"/>
      <c r="WQ114" s="255"/>
      <c r="WR114" s="255"/>
      <c r="WS114" s="255"/>
      <c r="WT114" s="255"/>
      <c r="WU114" s="255"/>
      <c r="WV114" s="255"/>
      <c r="WW114" s="255"/>
      <c r="WX114" s="255"/>
      <c r="WY114" s="255"/>
      <c r="WZ114" s="255"/>
      <c r="XA114" s="255"/>
      <c r="XB114" s="255"/>
      <c r="XC114" s="255"/>
      <c r="XD114" s="255"/>
      <c r="XE114" s="255"/>
      <c r="XF114" s="255"/>
      <c r="XG114" s="255"/>
      <c r="XH114" s="255"/>
      <c r="XI114" s="255"/>
      <c r="XJ114" s="255"/>
      <c r="XK114" s="255"/>
      <c r="XL114" s="255"/>
      <c r="XM114" s="255"/>
      <c r="XN114" s="255"/>
      <c r="XO114" s="255"/>
      <c r="XP114" s="255"/>
      <c r="XQ114" s="255"/>
      <c r="XR114" s="255"/>
      <c r="XS114" s="255"/>
      <c r="XT114" s="255"/>
      <c r="XU114" s="255"/>
      <c r="XV114" s="255"/>
      <c r="XW114" s="255"/>
      <c r="XX114" s="255"/>
      <c r="XY114" s="255"/>
      <c r="XZ114" s="255"/>
      <c r="YA114" s="255"/>
      <c r="YB114" s="255"/>
      <c r="YC114" s="255"/>
      <c r="YD114" s="255"/>
      <c r="YE114" s="255"/>
      <c r="YF114" s="255"/>
      <c r="YG114" s="255"/>
      <c r="YH114" s="255"/>
      <c r="YI114" s="255"/>
      <c r="YJ114" s="255"/>
      <c r="YK114" s="255"/>
      <c r="YL114" s="255"/>
      <c r="YM114" s="255"/>
      <c r="YN114" s="255"/>
      <c r="YO114" s="255"/>
      <c r="YP114" s="255"/>
      <c r="YQ114" s="255"/>
      <c r="YR114" s="255"/>
      <c r="YS114" s="255"/>
      <c r="YT114" s="255"/>
      <c r="YU114" s="255"/>
      <c r="YV114" s="255"/>
      <c r="YW114" s="255"/>
      <c r="YX114" s="255"/>
      <c r="YY114" s="255"/>
      <c r="YZ114" s="255"/>
      <c r="ZA114" s="255"/>
      <c r="ZB114" s="255"/>
      <c r="ZC114" s="255"/>
      <c r="ZD114" s="255"/>
      <c r="ZE114" s="255"/>
      <c r="ZF114" s="255"/>
      <c r="ZG114" s="255"/>
      <c r="ZH114" s="255"/>
      <c r="ZI114" s="255"/>
      <c r="ZJ114" s="255"/>
      <c r="ZK114" s="255"/>
      <c r="ZL114" s="255"/>
      <c r="ZM114" s="255"/>
      <c r="ZN114" s="255"/>
      <c r="ZO114" s="255"/>
      <c r="ZP114" s="255"/>
      <c r="ZQ114" s="255"/>
      <c r="ZR114" s="255"/>
      <c r="ZS114" s="255"/>
      <c r="ZT114" s="255"/>
      <c r="ZU114" s="255"/>
      <c r="ZV114" s="255"/>
      <c r="ZW114" s="255"/>
      <c r="ZX114" s="255"/>
      <c r="ZY114" s="255"/>
      <c r="ZZ114" s="255"/>
      <c r="AAA114" s="255"/>
      <c r="AAB114" s="255"/>
      <c r="AAC114" s="255"/>
      <c r="AAD114" s="255"/>
      <c r="AAE114" s="255"/>
      <c r="AAF114" s="255"/>
      <c r="AAG114" s="255"/>
      <c r="AAH114" s="255"/>
      <c r="AAI114" s="255"/>
      <c r="AAJ114" s="255"/>
      <c r="AAK114" s="255"/>
      <c r="AAL114" s="255"/>
      <c r="AAM114" s="255"/>
      <c r="AAN114" s="255"/>
      <c r="AAO114" s="255"/>
      <c r="AAP114" s="255"/>
      <c r="AAQ114" s="255"/>
      <c r="AAR114" s="255"/>
      <c r="AAS114" s="255"/>
      <c r="AAT114" s="255"/>
      <c r="AAU114" s="255"/>
      <c r="AAV114" s="255"/>
      <c r="AAW114" s="255"/>
      <c r="AAX114" s="255"/>
      <c r="AAY114" s="255"/>
      <c r="AAZ114" s="255"/>
      <c r="ABA114" s="255"/>
      <c r="ABB114" s="255"/>
      <c r="ABC114" s="255"/>
      <c r="ABD114" s="255"/>
      <c r="ABE114" s="255"/>
      <c r="ABF114" s="255"/>
      <c r="ABG114" s="255"/>
      <c r="ABH114" s="255"/>
      <c r="ABI114" s="255"/>
      <c r="ABJ114" s="255"/>
      <c r="ABK114" s="255"/>
      <c r="ABL114" s="255"/>
      <c r="ABM114" s="255"/>
      <c r="ABN114" s="255"/>
      <c r="ABO114" s="255"/>
      <c r="ABP114" s="255"/>
      <c r="ABQ114" s="255"/>
      <c r="ABR114" s="255"/>
      <c r="ABS114" s="255"/>
      <c r="ABT114" s="255"/>
      <c r="ABU114" s="255"/>
      <c r="ABV114" s="255"/>
      <c r="ABW114" s="255"/>
      <c r="ABX114" s="255"/>
      <c r="ABY114" s="255"/>
      <c r="ABZ114" s="255"/>
      <c r="ACA114" s="255"/>
      <c r="ACB114" s="255"/>
      <c r="ACC114" s="255"/>
      <c r="ACD114" s="255"/>
      <c r="ACE114" s="255"/>
      <c r="ACF114" s="255"/>
      <c r="ACG114" s="255"/>
      <c r="ACH114" s="255"/>
      <c r="ACI114" s="255"/>
      <c r="ACJ114" s="255"/>
      <c r="ACK114" s="255"/>
      <c r="ACL114" s="255"/>
      <c r="ACM114" s="255"/>
      <c r="ACN114" s="255"/>
      <c r="ACO114" s="255"/>
      <c r="ACP114" s="255"/>
      <c r="ACQ114" s="255"/>
      <c r="ACR114" s="255"/>
      <c r="ACS114" s="255"/>
      <c r="ACT114" s="255"/>
      <c r="ACU114" s="255"/>
      <c r="ACV114" s="255"/>
      <c r="ACW114" s="255"/>
      <c r="ACX114" s="255"/>
      <c r="ACY114" s="255"/>
      <c r="ACZ114" s="255"/>
      <c r="ADA114" s="255"/>
      <c r="ADB114" s="255"/>
      <c r="ADC114" s="255"/>
      <c r="ADD114" s="255"/>
      <c r="ADE114" s="255"/>
      <c r="ADF114" s="255"/>
      <c r="ADG114" s="255"/>
      <c r="ADH114" s="255"/>
      <c r="ADI114" s="255"/>
      <c r="ADJ114" s="255"/>
      <c r="ADK114" s="255"/>
      <c r="ADL114" s="255"/>
      <c r="ADM114" s="255"/>
      <c r="ADN114" s="255"/>
      <c r="ADO114" s="255"/>
      <c r="ADP114" s="255"/>
      <c r="ADQ114" s="255"/>
      <c r="ADR114" s="255"/>
      <c r="ADS114" s="255"/>
      <c r="ADT114" s="255"/>
      <c r="ADU114" s="255"/>
      <c r="ADV114" s="255"/>
      <c r="ADW114" s="255"/>
      <c r="ADX114" s="255"/>
      <c r="ADY114" s="255"/>
      <c r="ADZ114" s="255"/>
      <c r="AEA114" s="255"/>
      <c r="AEB114" s="255"/>
      <c r="AEC114" s="255"/>
      <c r="AED114" s="255"/>
      <c r="AEE114" s="255"/>
      <c r="AEF114" s="255"/>
      <c r="AEG114" s="255"/>
      <c r="AEH114" s="255"/>
      <c r="AEI114" s="255"/>
      <c r="AEJ114" s="255"/>
      <c r="AEK114" s="255"/>
      <c r="AEL114" s="255"/>
      <c r="AEM114" s="255"/>
      <c r="AEN114" s="255"/>
      <c r="AEO114" s="255"/>
      <c r="AEP114" s="255"/>
      <c r="AEQ114" s="255"/>
      <c r="AER114" s="255"/>
      <c r="AES114" s="255"/>
      <c r="AET114" s="255"/>
      <c r="AEU114" s="255"/>
      <c r="AEV114" s="255"/>
      <c r="AEW114" s="255"/>
      <c r="AEX114" s="255"/>
      <c r="AEY114" s="255"/>
      <c r="AEZ114" s="255"/>
      <c r="AFA114" s="255"/>
      <c r="AFB114" s="255"/>
      <c r="AFC114" s="255"/>
      <c r="AFD114" s="255"/>
      <c r="AFE114" s="255"/>
      <c r="AFF114" s="255"/>
      <c r="AFG114" s="255"/>
      <c r="AFH114" s="255"/>
      <c r="AFI114" s="255"/>
      <c r="AFJ114" s="255"/>
      <c r="AFK114" s="255"/>
      <c r="AFL114" s="255"/>
      <c r="AFM114" s="255"/>
      <c r="AFN114" s="255"/>
      <c r="AFO114" s="255"/>
      <c r="AFP114" s="255"/>
      <c r="AFQ114" s="255"/>
      <c r="AFR114" s="255"/>
      <c r="AFS114" s="255"/>
      <c r="AFT114" s="255"/>
      <c r="AFU114" s="255"/>
      <c r="AFV114" s="255"/>
      <c r="AFW114" s="255"/>
      <c r="AFX114" s="255"/>
      <c r="AFY114" s="255"/>
      <c r="AFZ114" s="255"/>
      <c r="AGA114" s="255"/>
      <c r="AGB114" s="255"/>
      <c r="AGC114" s="255"/>
      <c r="AGD114" s="255"/>
      <c r="AGE114" s="255"/>
      <c r="AGF114" s="255"/>
      <c r="AGG114" s="255"/>
      <c r="AGH114" s="255"/>
      <c r="AGI114" s="255"/>
      <c r="AGJ114" s="255"/>
      <c r="AGK114" s="255"/>
      <c r="AGL114" s="255"/>
      <c r="AGM114" s="255"/>
      <c r="AGN114" s="255"/>
      <c r="AGO114" s="255"/>
      <c r="AGP114" s="255"/>
      <c r="AGQ114" s="255"/>
      <c r="AGR114" s="255"/>
      <c r="AGS114" s="255"/>
      <c r="AGT114" s="255"/>
      <c r="AGU114" s="255"/>
      <c r="AGV114" s="255"/>
      <c r="AGW114" s="255"/>
      <c r="AGX114" s="255"/>
      <c r="AGY114" s="255"/>
      <c r="AGZ114" s="255"/>
      <c r="AHA114" s="255"/>
      <c r="AHB114" s="255"/>
      <c r="AHC114" s="255"/>
      <c r="AHD114" s="255"/>
      <c r="AHE114" s="255"/>
      <c r="AHF114" s="255"/>
      <c r="AHG114" s="255"/>
      <c r="AHH114" s="255"/>
      <c r="AHI114" s="255"/>
      <c r="AHJ114" s="255"/>
      <c r="AHK114" s="255"/>
      <c r="AHL114" s="255"/>
      <c r="AHM114" s="255"/>
      <c r="AHN114" s="255"/>
      <c r="AHO114" s="255"/>
      <c r="AHP114" s="255"/>
      <c r="AHQ114" s="255"/>
      <c r="AHR114" s="255"/>
      <c r="AHS114" s="255"/>
      <c r="AHT114" s="255"/>
      <c r="AHU114" s="255"/>
      <c r="AHV114" s="255"/>
      <c r="AHW114" s="255"/>
      <c r="AHX114" s="255"/>
      <c r="AHY114" s="255"/>
      <c r="AHZ114" s="255"/>
      <c r="AIA114" s="255"/>
      <c r="AIB114" s="255"/>
      <c r="AIC114" s="255"/>
      <c r="AID114" s="255"/>
      <c r="AIE114" s="255"/>
      <c r="AIF114" s="255"/>
      <c r="AIG114" s="255"/>
      <c r="AIH114" s="255"/>
      <c r="AII114" s="255"/>
      <c r="AIJ114" s="255"/>
      <c r="AIK114" s="255"/>
      <c r="AIL114" s="255"/>
      <c r="AIM114" s="255"/>
      <c r="AIN114" s="255"/>
      <c r="AIO114" s="255"/>
      <c r="AIP114" s="255"/>
      <c r="AIQ114" s="255"/>
      <c r="AIR114" s="255"/>
      <c r="AIS114" s="255"/>
      <c r="AIT114" s="255"/>
      <c r="AIU114" s="255"/>
      <c r="AIV114" s="255"/>
      <c r="AIW114" s="255"/>
      <c r="AIX114" s="255"/>
      <c r="AIY114" s="255"/>
      <c r="AIZ114" s="255"/>
      <c r="AJA114" s="255"/>
      <c r="AJB114" s="255"/>
      <c r="AJC114" s="255"/>
      <c r="AJD114" s="255"/>
      <c r="AJE114" s="255"/>
      <c r="AJF114" s="255"/>
      <c r="AJG114" s="255"/>
      <c r="AJH114" s="255"/>
      <c r="AJI114" s="255"/>
      <c r="AJJ114" s="255"/>
      <c r="AJK114" s="255"/>
      <c r="AJL114" s="255"/>
      <c r="AJM114" s="255"/>
      <c r="AJN114" s="255"/>
      <c r="AJO114" s="255"/>
      <c r="AJP114" s="255"/>
      <c r="AJQ114" s="255"/>
      <c r="AJR114" s="255"/>
      <c r="AJS114" s="255"/>
      <c r="AJT114" s="255"/>
      <c r="AJU114" s="255"/>
      <c r="AJV114" s="255"/>
      <c r="AJW114" s="255"/>
      <c r="AJX114" s="255"/>
      <c r="AJY114" s="255"/>
      <c r="AJZ114" s="255"/>
      <c r="AKA114" s="255"/>
      <c r="AKB114" s="255"/>
      <c r="AKC114" s="255"/>
      <c r="AKD114" s="255"/>
      <c r="AKE114" s="255"/>
      <c r="AKF114" s="255"/>
      <c r="AKG114" s="255"/>
      <c r="AKH114" s="255"/>
      <c r="AKI114" s="255"/>
      <c r="AKJ114" s="255"/>
      <c r="AKK114" s="255"/>
      <c r="AKL114" s="255"/>
      <c r="AKM114" s="255"/>
      <c r="AKN114" s="255"/>
      <c r="AKO114" s="255"/>
      <c r="AKP114" s="255"/>
      <c r="AKQ114" s="255"/>
      <c r="AKR114" s="255"/>
      <c r="AKS114" s="255"/>
      <c r="AKT114" s="255"/>
      <c r="AKU114" s="255"/>
      <c r="AKV114" s="255"/>
      <c r="AKW114" s="255"/>
      <c r="AKX114" s="255"/>
      <c r="AKY114" s="255"/>
      <c r="AKZ114" s="255"/>
      <c r="ALA114" s="255"/>
      <c r="ALB114" s="255"/>
      <c r="ALC114" s="255"/>
      <c r="ALD114" s="255"/>
      <c r="ALE114" s="255"/>
      <c r="ALF114" s="255"/>
      <c r="ALG114" s="255"/>
      <c r="ALH114" s="255"/>
      <c r="ALI114" s="255"/>
      <c r="ALJ114" s="255"/>
      <c r="ALK114" s="255"/>
      <c r="ALL114" s="255"/>
      <c r="ALM114" s="255"/>
      <c r="ALN114" s="255"/>
      <c r="ALO114" s="255"/>
      <c r="ALP114" s="255"/>
      <c r="ALQ114" s="255"/>
      <c r="ALR114" s="255"/>
      <c r="ALS114" s="255"/>
    </row>
    <row r="115" spans="1:1007" s="191" customFormat="1" ht="36">
      <c r="A115" s="251" t="s">
        <v>7</v>
      </c>
      <c r="B115" s="290">
        <v>87530</v>
      </c>
      <c r="C115" s="278" t="str">
        <f>(IF($A115="SINAPI",INDEX(SINAPI_NOV2020_NDES!$A$7:$H$6703,MATCH($B115,SINAPI_NOV2020_NDES!$A$7:$A$6703,0),2),IF($A115="GOINFRA",INDEX(#REF!,MATCH($B115,#REF!,0),2),(INDEX(COMPOS!$A$4:$G$390,MATCH($B115,COMPOS!$A$4:A$390,0),3)))))</f>
        <v>MASSA ÚNICA, PARA RECEBIMENTO DE PINTURA, EM ARGAMASSA TRAÇO 1:2:8, PREPARO MANUAL, APLICADA MANUALMENTE EM FACES INTERNAS DE PAREDES, ESPESSURA DE 20MM, COM EXECUÇÃO DE TALISCAS. AF_06/2014</v>
      </c>
      <c r="D115" s="374" t="str">
        <f>(IF($A115="SINAPI",INDEX(SINAPI_NOV2020_NDES!$A$7:$H$6790,MATCH($B115,SINAPI_NOV2020_NDES!$A$7:$A$6790,0),3),(INDEX(COMPOS!$A$4:$G$5000,MATCH($B115,COMPOS!$A$4:$A$5000,0),3))))</f>
        <v>M2</v>
      </c>
      <c r="E115" s="314">
        <v>143.79</v>
      </c>
      <c r="F115" s="279">
        <f>(IF($A115="SINAPI",INDEX(SINAPI_NOV2020_NDES!$A$7:$H$6703,MATCH($B115,SINAPI_NOV2020_NDES!$A$7:$A$6703,0),5),(INDEX(COMPOS!$A$4:$G$801,MATCH($B115,COMPOS!$A$4:A$801,0),4))))</f>
        <v>14.31</v>
      </c>
      <c r="G115" s="280">
        <f>(IF($A115="SINAPI",INDEX(SINAPI_NOV2020_NDES!$A$7:$H$6703,MATCH($B115,SINAPI_NOV2020_NDES!$A$7:$A$6703,0),6),(INDEX(COMPOS!$A$4:$G$801,MATCH($B115,COMPOS!$A$4:A$801,0),5))))</f>
        <v>18.489999999999998</v>
      </c>
      <c r="H115" s="280">
        <f>(IF($A115="SINAPI",INDEX(SINAPI_NOV2020_NDES!$A$7:$H$6703,MATCH($B115,SINAPI_NOV2020_NDES!$A$7:$A$6703,0),7),(INDEX(COMPOS!$A$4:$G$801,MATCH($B115,COMPOS!$A$4:A$801,0),6))))</f>
        <v>0</v>
      </c>
      <c r="I115" s="279">
        <f t="shared" ref="I115:I118" si="28">SUM(F115:H115)</f>
        <v>32.799999999999997</v>
      </c>
      <c r="J115" s="276">
        <f t="shared" ref="J115:J118" si="29">+I115*E115</f>
        <v>4716.311999999999</v>
      </c>
      <c r="K115" s="255"/>
      <c r="L115" s="255"/>
      <c r="M115" s="255"/>
      <c r="N115" s="255"/>
      <c r="O115" s="257"/>
      <c r="P115" s="223"/>
      <c r="Q115" s="255"/>
      <c r="R115" s="255"/>
      <c r="S115" s="255"/>
      <c r="T115" s="255"/>
      <c r="U115" s="255"/>
      <c r="V115" s="255"/>
      <c r="W115" s="255"/>
      <c r="X115" s="255"/>
      <c r="Y115" s="255"/>
      <c r="Z115" s="255"/>
      <c r="AA115" s="255"/>
      <c r="AB115" s="255"/>
      <c r="AC115" s="255"/>
      <c r="AD115" s="255"/>
      <c r="AE115" s="255"/>
      <c r="AF115" s="255"/>
      <c r="AG115" s="255"/>
      <c r="AH115" s="255"/>
      <c r="AI115" s="255"/>
      <c r="AJ115" s="255"/>
      <c r="AK115" s="255"/>
      <c r="AL115" s="255"/>
      <c r="AM115" s="255"/>
      <c r="AN115" s="255"/>
      <c r="AO115" s="255"/>
      <c r="AP115" s="255"/>
      <c r="AQ115" s="255"/>
      <c r="AR115" s="255"/>
      <c r="AS115" s="255"/>
      <c r="AT115" s="255"/>
      <c r="AU115" s="255"/>
      <c r="AV115" s="255"/>
      <c r="AW115" s="255"/>
      <c r="AX115" s="255"/>
      <c r="AY115" s="255"/>
      <c r="AZ115" s="255"/>
      <c r="BA115" s="255"/>
      <c r="BB115" s="255"/>
      <c r="BC115" s="255"/>
      <c r="BD115" s="255"/>
      <c r="BE115" s="255"/>
      <c r="BF115" s="255"/>
      <c r="BG115" s="255"/>
      <c r="BH115" s="255"/>
      <c r="BI115" s="255"/>
      <c r="BJ115" s="255"/>
      <c r="BK115" s="255"/>
      <c r="BL115" s="255"/>
      <c r="BM115" s="255"/>
      <c r="BN115" s="255"/>
      <c r="BO115" s="255"/>
      <c r="BP115" s="255"/>
      <c r="BQ115" s="255"/>
      <c r="BR115" s="255"/>
      <c r="BS115" s="255"/>
      <c r="BT115" s="255"/>
      <c r="BU115" s="255"/>
      <c r="BV115" s="255"/>
      <c r="BW115" s="255"/>
      <c r="BX115" s="255"/>
      <c r="BY115" s="255"/>
      <c r="BZ115" s="255"/>
      <c r="CA115" s="255"/>
      <c r="CB115" s="255"/>
      <c r="CC115" s="255"/>
      <c r="CD115" s="255"/>
      <c r="CE115" s="255"/>
      <c r="CF115" s="255"/>
      <c r="CG115" s="255"/>
      <c r="CH115" s="255"/>
      <c r="CI115" s="255"/>
      <c r="CJ115" s="255"/>
      <c r="CK115" s="255"/>
      <c r="CL115" s="255"/>
      <c r="CM115" s="255"/>
      <c r="CN115" s="255"/>
      <c r="CO115" s="255"/>
      <c r="CP115" s="255"/>
      <c r="CQ115" s="255"/>
      <c r="CR115" s="255"/>
      <c r="CS115" s="255"/>
      <c r="CT115" s="255"/>
      <c r="CU115" s="255"/>
      <c r="CV115" s="255"/>
      <c r="CW115" s="255"/>
      <c r="CX115" s="255"/>
      <c r="CY115" s="255"/>
      <c r="CZ115" s="255"/>
      <c r="DA115" s="255"/>
      <c r="DB115" s="255"/>
      <c r="DC115" s="255"/>
      <c r="DD115" s="255"/>
      <c r="DE115" s="255"/>
      <c r="DF115" s="255"/>
      <c r="DG115" s="255"/>
      <c r="DH115" s="255"/>
      <c r="DI115" s="255"/>
      <c r="DJ115" s="255"/>
      <c r="DK115" s="255"/>
      <c r="DL115" s="255"/>
      <c r="DM115" s="255"/>
      <c r="DN115" s="255"/>
      <c r="DO115" s="255"/>
      <c r="DP115" s="255"/>
      <c r="DQ115" s="255"/>
      <c r="DR115" s="255"/>
      <c r="DS115" s="255"/>
      <c r="DT115" s="255"/>
      <c r="DU115" s="255"/>
      <c r="DV115" s="255"/>
      <c r="DW115" s="255"/>
      <c r="DX115" s="255"/>
      <c r="DY115" s="255"/>
      <c r="DZ115" s="255"/>
      <c r="EA115" s="255"/>
      <c r="EB115" s="255"/>
      <c r="EC115" s="255"/>
      <c r="ED115" s="255"/>
      <c r="EE115" s="255"/>
      <c r="EF115" s="255"/>
      <c r="EG115" s="255"/>
      <c r="EH115" s="255"/>
      <c r="EI115" s="255"/>
      <c r="EJ115" s="255"/>
      <c r="EK115" s="255"/>
      <c r="EL115" s="255"/>
      <c r="EM115" s="255"/>
      <c r="EN115" s="255"/>
      <c r="EO115" s="255"/>
      <c r="EP115" s="255"/>
      <c r="EQ115" s="255"/>
      <c r="ER115" s="255"/>
      <c r="ES115" s="255"/>
      <c r="ET115" s="255"/>
      <c r="EU115" s="255"/>
      <c r="EV115" s="255"/>
      <c r="EW115" s="255"/>
      <c r="EX115" s="255"/>
      <c r="EY115" s="255"/>
      <c r="EZ115" s="255"/>
      <c r="FA115" s="255"/>
      <c r="FB115" s="255"/>
      <c r="FC115" s="255"/>
      <c r="FD115" s="255"/>
      <c r="FE115" s="255"/>
      <c r="FF115" s="255"/>
      <c r="FG115" s="255"/>
      <c r="FH115" s="255"/>
      <c r="FI115" s="255"/>
      <c r="FJ115" s="255"/>
      <c r="FK115" s="255"/>
      <c r="FL115" s="255"/>
      <c r="FM115" s="255"/>
      <c r="FN115" s="255"/>
      <c r="FO115" s="255"/>
      <c r="FP115" s="255"/>
      <c r="FQ115" s="255"/>
      <c r="FR115" s="255"/>
      <c r="FS115" s="255"/>
      <c r="FT115" s="255"/>
      <c r="FU115" s="255"/>
      <c r="FV115" s="255"/>
      <c r="FW115" s="255"/>
      <c r="FX115" s="255"/>
      <c r="FY115" s="255"/>
      <c r="FZ115" s="255"/>
      <c r="GA115" s="255"/>
      <c r="GB115" s="255"/>
      <c r="GC115" s="255"/>
      <c r="GD115" s="255"/>
      <c r="GE115" s="255"/>
      <c r="GF115" s="255"/>
      <c r="GG115" s="255"/>
      <c r="GH115" s="255"/>
      <c r="GI115" s="255"/>
      <c r="GJ115" s="255"/>
      <c r="GK115" s="255"/>
      <c r="GL115" s="255"/>
      <c r="GM115" s="255"/>
      <c r="GN115" s="255"/>
      <c r="GO115" s="255"/>
      <c r="GP115" s="255"/>
      <c r="GQ115" s="255"/>
      <c r="GR115" s="255"/>
      <c r="GS115" s="255"/>
      <c r="GT115" s="255"/>
      <c r="GU115" s="255"/>
      <c r="GV115" s="255"/>
      <c r="GW115" s="255"/>
      <c r="GX115" s="255"/>
      <c r="GY115" s="255"/>
      <c r="GZ115" s="255"/>
      <c r="HA115" s="255"/>
      <c r="HB115" s="255"/>
      <c r="HC115" s="255"/>
      <c r="HD115" s="255"/>
      <c r="HE115" s="255"/>
      <c r="HF115" s="255"/>
      <c r="HG115" s="255"/>
      <c r="HH115" s="255"/>
      <c r="HI115" s="255"/>
      <c r="HJ115" s="255"/>
      <c r="HK115" s="255"/>
      <c r="HL115" s="255"/>
      <c r="HM115" s="255"/>
      <c r="HN115" s="255"/>
      <c r="HO115" s="255"/>
      <c r="HP115" s="255"/>
      <c r="HQ115" s="255"/>
      <c r="HR115" s="255"/>
      <c r="HS115" s="255"/>
      <c r="HT115" s="255"/>
      <c r="HU115" s="255"/>
      <c r="HV115" s="255"/>
      <c r="HW115" s="255"/>
      <c r="HX115" s="255"/>
      <c r="HY115" s="255"/>
      <c r="HZ115" s="255"/>
      <c r="IA115" s="255"/>
      <c r="IB115" s="255"/>
      <c r="IC115" s="255"/>
      <c r="ID115" s="255"/>
      <c r="IE115" s="255"/>
      <c r="IF115" s="255"/>
      <c r="IG115" s="255"/>
      <c r="IH115" s="255"/>
      <c r="II115" s="255"/>
      <c r="IJ115" s="255"/>
      <c r="IK115" s="255"/>
      <c r="IL115" s="255"/>
      <c r="IM115" s="255"/>
      <c r="IN115" s="255"/>
      <c r="IO115" s="255"/>
      <c r="IP115" s="255"/>
      <c r="IQ115" s="255"/>
      <c r="IR115" s="255"/>
      <c r="IS115" s="255"/>
      <c r="IT115" s="255"/>
      <c r="IU115" s="255"/>
      <c r="IV115" s="255"/>
      <c r="IW115" s="255"/>
      <c r="IX115" s="255"/>
      <c r="IY115" s="255"/>
      <c r="IZ115" s="255"/>
      <c r="JA115" s="255"/>
      <c r="JB115" s="255"/>
      <c r="JC115" s="255"/>
      <c r="JD115" s="255"/>
      <c r="JE115" s="255"/>
      <c r="JF115" s="255"/>
      <c r="JG115" s="255"/>
      <c r="JH115" s="255"/>
      <c r="JI115" s="255"/>
      <c r="JJ115" s="255"/>
      <c r="JK115" s="255"/>
      <c r="JL115" s="255"/>
      <c r="JM115" s="255"/>
      <c r="JN115" s="255"/>
      <c r="JO115" s="255"/>
      <c r="JP115" s="255"/>
      <c r="JQ115" s="255"/>
      <c r="JR115" s="255"/>
      <c r="JS115" s="255"/>
      <c r="JT115" s="255"/>
      <c r="JU115" s="255"/>
      <c r="JV115" s="255"/>
      <c r="JW115" s="255"/>
      <c r="JX115" s="255"/>
      <c r="JY115" s="255"/>
      <c r="JZ115" s="255"/>
      <c r="KA115" s="255"/>
      <c r="KB115" s="255"/>
      <c r="KC115" s="255"/>
      <c r="KD115" s="255"/>
      <c r="KE115" s="255"/>
      <c r="KF115" s="255"/>
      <c r="KG115" s="255"/>
      <c r="KH115" s="255"/>
      <c r="KI115" s="255"/>
      <c r="KJ115" s="255"/>
      <c r="KK115" s="255"/>
      <c r="KL115" s="255"/>
      <c r="KM115" s="255"/>
      <c r="KN115" s="255"/>
      <c r="KO115" s="255"/>
      <c r="KP115" s="255"/>
      <c r="KQ115" s="255"/>
      <c r="KR115" s="255"/>
      <c r="KS115" s="255"/>
      <c r="KT115" s="255"/>
      <c r="KU115" s="255"/>
      <c r="KV115" s="255"/>
      <c r="KW115" s="255"/>
      <c r="KX115" s="255"/>
      <c r="KY115" s="255"/>
      <c r="KZ115" s="255"/>
      <c r="LA115" s="255"/>
      <c r="LB115" s="255"/>
      <c r="LC115" s="255"/>
      <c r="LD115" s="255"/>
      <c r="LE115" s="255"/>
      <c r="LF115" s="255"/>
      <c r="LG115" s="255"/>
      <c r="LH115" s="255"/>
      <c r="LI115" s="255"/>
      <c r="LJ115" s="255"/>
      <c r="LK115" s="255"/>
      <c r="LL115" s="255"/>
      <c r="LM115" s="255"/>
      <c r="LN115" s="255"/>
      <c r="LO115" s="255"/>
      <c r="LP115" s="255"/>
      <c r="LQ115" s="255"/>
      <c r="LR115" s="255"/>
      <c r="LS115" s="255"/>
      <c r="LT115" s="255"/>
      <c r="LU115" s="255"/>
      <c r="LV115" s="255"/>
      <c r="LW115" s="255"/>
      <c r="LX115" s="255"/>
      <c r="LY115" s="255"/>
      <c r="LZ115" s="255"/>
      <c r="MA115" s="255"/>
      <c r="MB115" s="255"/>
      <c r="MC115" s="255"/>
      <c r="MD115" s="255"/>
      <c r="ME115" s="255"/>
      <c r="MF115" s="255"/>
      <c r="MG115" s="255"/>
      <c r="MH115" s="255"/>
      <c r="MI115" s="255"/>
      <c r="MJ115" s="255"/>
      <c r="MK115" s="255"/>
      <c r="ML115" s="255"/>
      <c r="MM115" s="255"/>
      <c r="MN115" s="255"/>
      <c r="MO115" s="255"/>
      <c r="MP115" s="255"/>
      <c r="MQ115" s="255"/>
      <c r="MR115" s="255"/>
      <c r="MS115" s="255"/>
      <c r="MT115" s="255"/>
      <c r="MU115" s="255"/>
      <c r="MV115" s="255"/>
      <c r="MW115" s="255"/>
      <c r="MX115" s="255"/>
      <c r="MY115" s="255"/>
      <c r="MZ115" s="255"/>
      <c r="NA115" s="255"/>
      <c r="NB115" s="255"/>
      <c r="NC115" s="255"/>
      <c r="ND115" s="255"/>
      <c r="NE115" s="255"/>
      <c r="NF115" s="255"/>
      <c r="NG115" s="255"/>
      <c r="NH115" s="255"/>
      <c r="NI115" s="255"/>
      <c r="NJ115" s="255"/>
      <c r="NK115" s="255"/>
      <c r="NL115" s="255"/>
      <c r="NM115" s="255"/>
      <c r="NN115" s="255"/>
      <c r="NO115" s="255"/>
      <c r="NP115" s="255"/>
      <c r="NQ115" s="255"/>
      <c r="NR115" s="255"/>
      <c r="NS115" s="255"/>
      <c r="NT115" s="255"/>
      <c r="NU115" s="255"/>
      <c r="NV115" s="255"/>
      <c r="NW115" s="255"/>
      <c r="NX115" s="255"/>
      <c r="NY115" s="255"/>
      <c r="NZ115" s="255"/>
      <c r="OA115" s="255"/>
      <c r="OB115" s="255"/>
      <c r="OC115" s="255"/>
      <c r="OD115" s="255"/>
      <c r="OE115" s="255"/>
      <c r="OF115" s="255"/>
      <c r="OG115" s="255"/>
      <c r="OH115" s="255"/>
      <c r="OI115" s="255"/>
      <c r="OJ115" s="255"/>
      <c r="OK115" s="255"/>
      <c r="OL115" s="255"/>
      <c r="OM115" s="255"/>
      <c r="ON115" s="255"/>
      <c r="OO115" s="255"/>
      <c r="OP115" s="255"/>
      <c r="OQ115" s="255"/>
      <c r="OR115" s="255"/>
      <c r="OS115" s="255"/>
      <c r="OT115" s="255"/>
      <c r="OU115" s="255"/>
      <c r="OV115" s="255"/>
      <c r="OW115" s="255"/>
      <c r="OX115" s="255"/>
      <c r="OY115" s="255"/>
      <c r="OZ115" s="255"/>
      <c r="PA115" s="255"/>
      <c r="PB115" s="255"/>
      <c r="PC115" s="255"/>
      <c r="PD115" s="255"/>
      <c r="PE115" s="255"/>
      <c r="PF115" s="255"/>
      <c r="PG115" s="255"/>
      <c r="PH115" s="255"/>
      <c r="PI115" s="255"/>
      <c r="PJ115" s="255"/>
      <c r="PK115" s="255"/>
      <c r="PL115" s="255"/>
      <c r="PM115" s="255"/>
      <c r="PN115" s="255"/>
      <c r="PO115" s="255"/>
      <c r="PP115" s="255"/>
      <c r="PQ115" s="255"/>
      <c r="PR115" s="255"/>
      <c r="PS115" s="255"/>
      <c r="PT115" s="255"/>
      <c r="PU115" s="255"/>
      <c r="PV115" s="255"/>
      <c r="PW115" s="255"/>
      <c r="PX115" s="255"/>
      <c r="PY115" s="255"/>
      <c r="PZ115" s="255"/>
      <c r="QA115" s="255"/>
      <c r="QB115" s="255"/>
      <c r="QC115" s="255"/>
      <c r="QD115" s="255"/>
      <c r="QE115" s="255"/>
      <c r="QF115" s="255"/>
      <c r="QG115" s="255"/>
      <c r="QH115" s="255"/>
      <c r="QI115" s="255"/>
      <c r="QJ115" s="255"/>
      <c r="QK115" s="255"/>
      <c r="QL115" s="255"/>
      <c r="QM115" s="255"/>
      <c r="QN115" s="255"/>
      <c r="QO115" s="255"/>
      <c r="QP115" s="255"/>
      <c r="QQ115" s="255"/>
      <c r="QR115" s="255"/>
      <c r="QS115" s="255"/>
      <c r="QT115" s="255"/>
      <c r="QU115" s="255"/>
      <c r="QV115" s="255"/>
      <c r="QW115" s="255"/>
      <c r="QX115" s="255"/>
      <c r="QY115" s="255"/>
      <c r="QZ115" s="255"/>
      <c r="RA115" s="255"/>
      <c r="RB115" s="255"/>
      <c r="RC115" s="255"/>
      <c r="RD115" s="255"/>
      <c r="RE115" s="255"/>
      <c r="RF115" s="255"/>
      <c r="RG115" s="255"/>
      <c r="RH115" s="255"/>
      <c r="RI115" s="255"/>
      <c r="RJ115" s="255"/>
      <c r="RK115" s="255"/>
      <c r="RL115" s="255"/>
      <c r="RM115" s="255"/>
      <c r="RN115" s="255"/>
      <c r="RO115" s="255"/>
      <c r="RP115" s="255"/>
      <c r="RQ115" s="255"/>
      <c r="RR115" s="255"/>
      <c r="RS115" s="255"/>
      <c r="RT115" s="255"/>
      <c r="RU115" s="255"/>
      <c r="RV115" s="255"/>
      <c r="RW115" s="255"/>
      <c r="RX115" s="255"/>
      <c r="RY115" s="255"/>
      <c r="RZ115" s="255"/>
      <c r="SA115" s="255"/>
      <c r="SB115" s="255"/>
      <c r="SC115" s="255"/>
      <c r="SD115" s="255"/>
      <c r="SE115" s="255"/>
      <c r="SF115" s="255"/>
      <c r="SG115" s="255"/>
      <c r="SH115" s="255"/>
      <c r="SI115" s="255"/>
      <c r="SJ115" s="255"/>
      <c r="SK115" s="255"/>
      <c r="SL115" s="255"/>
      <c r="SM115" s="255"/>
      <c r="SN115" s="255"/>
      <c r="SO115" s="255"/>
      <c r="SP115" s="255"/>
      <c r="SQ115" s="255"/>
      <c r="SR115" s="255"/>
      <c r="SS115" s="255"/>
      <c r="ST115" s="255"/>
      <c r="SU115" s="255"/>
      <c r="SV115" s="255"/>
      <c r="SW115" s="255"/>
      <c r="SX115" s="255"/>
      <c r="SY115" s="255"/>
      <c r="SZ115" s="255"/>
      <c r="TA115" s="255"/>
      <c r="TB115" s="255"/>
      <c r="TC115" s="255"/>
      <c r="TD115" s="255"/>
      <c r="TE115" s="255"/>
      <c r="TF115" s="255"/>
      <c r="TG115" s="255"/>
      <c r="TH115" s="255"/>
      <c r="TI115" s="255"/>
      <c r="TJ115" s="255"/>
      <c r="TK115" s="255"/>
      <c r="TL115" s="255"/>
      <c r="TM115" s="255"/>
      <c r="TN115" s="255"/>
      <c r="TO115" s="255"/>
      <c r="TP115" s="255"/>
      <c r="TQ115" s="255"/>
      <c r="TR115" s="255"/>
      <c r="TS115" s="255"/>
      <c r="TT115" s="255"/>
      <c r="TU115" s="255"/>
      <c r="TV115" s="255"/>
      <c r="TW115" s="255"/>
      <c r="TX115" s="255"/>
      <c r="TY115" s="255"/>
      <c r="TZ115" s="255"/>
      <c r="UA115" s="255"/>
      <c r="UB115" s="255"/>
      <c r="UC115" s="255"/>
      <c r="UD115" s="255"/>
      <c r="UE115" s="255"/>
      <c r="UF115" s="255"/>
      <c r="UG115" s="255"/>
      <c r="UH115" s="255"/>
      <c r="UI115" s="255"/>
      <c r="UJ115" s="255"/>
      <c r="UK115" s="255"/>
      <c r="UL115" s="255"/>
      <c r="UM115" s="255"/>
      <c r="UN115" s="255"/>
      <c r="UO115" s="255"/>
      <c r="UP115" s="255"/>
      <c r="UQ115" s="255"/>
      <c r="UR115" s="255"/>
      <c r="US115" s="255"/>
      <c r="UT115" s="255"/>
      <c r="UU115" s="255"/>
      <c r="UV115" s="255"/>
      <c r="UW115" s="255"/>
      <c r="UX115" s="255"/>
      <c r="UY115" s="255"/>
      <c r="UZ115" s="255"/>
      <c r="VA115" s="255"/>
      <c r="VB115" s="255"/>
      <c r="VC115" s="255"/>
      <c r="VD115" s="255"/>
      <c r="VE115" s="255"/>
      <c r="VF115" s="255"/>
      <c r="VG115" s="255"/>
      <c r="VH115" s="255"/>
      <c r="VI115" s="255"/>
      <c r="VJ115" s="255"/>
      <c r="VK115" s="255"/>
      <c r="VL115" s="255"/>
      <c r="VM115" s="255"/>
      <c r="VN115" s="255"/>
      <c r="VO115" s="255"/>
      <c r="VP115" s="255"/>
      <c r="VQ115" s="255"/>
      <c r="VR115" s="255"/>
      <c r="VS115" s="255"/>
      <c r="VT115" s="255"/>
      <c r="VU115" s="255"/>
      <c r="VV115" s="255"/>
      <c r="VW115" s="255"/>
      <c r="VX115" s="255"/>
      <c r="VY115" s="255"/>
      <c r="VZ115" s="255"/>
      <c r="WA115" s="255"/>
      <c r="WB115" s="255"/>
      <c r="WC115" s="255"/>
      <c r="WD115" s="255"/>
      <c r="WE115" s="255"/>
      <c r="WF115" s="255"/>
      <c r="WG115" s="255"/>
      <c r="WH115" s="255"/>
      <c r="WI115" s="255"/>
      <c r="WJ115" s="255"/>
      <c r="WK115" s="255"/>
      <c r="WL115" s="255"/>
      <c r="WM115" s="255"/>
      <c r="WN115" s="255"/>
      <c r="WO115" s="255"/>
      <c r="WP115" s="255"/>
      <c r="WQ115" s="255"/>
      <c r="WR115" s="255"/>
      <c r="WS115" s="255"/>
      <c r="WT115" s="255"/>
      <c r="WU115" s="255"/>
      <c r="WV115" s="255"/>
      <c r="WW115" s="255"/>
      <c r="WX115" s="255"/>
      <c r="WY115" s="255"/>
      <c r="WZ115" s="255"/>
      <c r="XA115" s="255"/>
      <c r="XB115" s="255"/>
      <c r="XC115" s="255"/>
      <c r="XD115" s="255"/>
      <c r="XE115" s="255"/>
      <c r="XF115" s="255"/>
      <c r="XG115" s="255"/>
      <c r="XH115" s="255"/>
      <c r="XI115" s="255"/>
      <c r="XJ115" s="255"/>
      <c r="XK115" s="255"/>
      <c r="XL115" s="255"/>
      <c r="XM115" s="255"/>
      <c r="XN115" s="255"/>
      <c r="XO115" s="255"/>
      <c r="XP115" s="255"/>
      <c r="XQ115" s="255"/>
      <c r="XR115" s="255"/>
      <c r="XS115" s="255"/>
      <c r="XT115" s="255"/>
      <c r="XU115" s="255"/>
      <c r="XV115" s="255"/>
      <c r="XW115" s="255"/>
      <c r="XX115" s="255"/>
      <c r="XY115" s="255"/>
      <c r="XZ115" s="255"/>
      <c r="YA115" s="255"/>
      <c r="YB115" s="255"/>
      <c r="YC115" s="255"/>
      <c r="YD115" s="255"/>
      <c r="YE115" s="255"/>
      <c r="YF115" s="255"/>
      <c r="YG115" s="255"/>
      <c r="YH115" s="255"/>
      <c r="YI115" s="255"/>
      <c r="YJ115" s="255"/>
      <c r="YK115" s="255"/>
      <c r="YL115" s="255"/>
      <c r="YM115" s="255"/>
      <c r="YN115" s="255"/>
      <c r="YO115" s="255"/>
      <c r="YP115" s="255"/>
      <c r="YQ115" s="255"/>
      <c r="YR115" s="255"/>
      <c r="YS115" s="255"/>
      <c r="YT115" s="255"/>
      <c r="YU115" s="255"/>
      <c r="YV115" s="255"/>
      <c r="YW115" s="255"/>
      <c r="YX115" s="255"/>
      <c r="YY115" s="255"/>
      <c r="YZ115" s="255"/>
      <c r="ZA115" s="255"/>
      <c r="ZB115" s="255"/>
      <c r="ZC115" s="255"/>
      <c r="ZD115" s="255"/>
      <c r="ZE115" s="255"/>
      <c r="ZF115" s="255"/>
      <c r="ZG115" s="255"/>
      <c r="ZH115" s="255"/>
      <c r="ZI115" s="255"/>
      <c r="ZJ115" s="255"/>
      <c r="ZK115" s="255"/>
      <c r="ZL115" s="255"/>
      <c r="ZM115" s="255"/>
      <c r="ZN115" s="255"/>
      <c r="ZO115" s="255"/>
      <c r="ZP115" s="255"/>
      <c r="ZQ115" s="255"/>
      <c r="ZR115" s="255"/>
      <c r="ZS115" s="255"/>
      <c r="ZT115" s="255"/>
      <c r="ZU115" s="255"/>
      <c r="ZV115" s="255"/>
      <c r="ZW115" s="255"/>
      <c r="ZX115" s="255"/>
      <c r="ZY115" s="255"/>
      <c r="ZZ115" s="255"/>
      <c r="AAA115" s="255"/>
      <c r="AAB115" s="255"/>
      <c r="AAC115" s="255"/>
      <c r="AAD115" s="255"/>
      <c r="AAE115" s="255"/>
      <c r="AAF115" s="255"/>
      <c r="AAG115" s="255"/>
      <c r="AAH115" s="255"/>
      <c r="AAI115" s="255"/>
      <c r="AAJ115" s="255"/>
      <c r="AAK115" s="255"/>
      <c r="AAL115" s="255"/>
      <c r="AAM115" s="255"/>
      <c r="AAN115" s="255"/>
      <c r="AAO115" s="255"/>
      <c r="AAP115" s="255"/>
      <c r="AAQ115" s="255"/>
      <c r="AAR115" s="255"/>
      <c r="AAS115" s="255"/>
      <c r="AAT115" s="255"/>
      <c r="AAU115" s="255"/>
      <c r="AAV115" s="255"/>
      <c r="AAW115" s="255"/>
      <c r="AAX115" s="255"/>
      <c r="AAY115" s="255"/>
      <c r="AAZ115" s="255"/>
      <c r="ABA115" s="255"/>
      <c r="ABB115" s="255"/>
      <c r="ABC115" s="255"/>
      <c r="ABD115" s="255"/>
      <c r="ABE115" s="255"/>
      <c r="ABF115" s="255"/>
      <c r="ABG115" s="255"/>
      <c r="ABH115" s="255"/>
      <c r="ABI115" s="255"/>
      <c r="ABJ115" s="255"/>
      <c r="ABK115" s="255"/>
      <c r="ABL115" s="255"/>
      <c r="ABM115" s="255"/>
      <c r="ABN115" s="255"/>
      <c r="ABO115" s="255"/>
      <c r="ABP115" s="255"/>
      <c r="ABQ115" s="255"/>
      <c r="ABR115" s="255"/>
      <c r="ABS115" s="255"/>
      <c r="ABT115" s="255"/>
      <c r="ABU115" s="255"/>
      <c r="ABV115" s="255"/>
      <c r="ABW115" s="255"/>
      <c r="ABX115" s="255"/>
      <c r="ABY115" s="255"/>
      <c r="ABZ115" s="255"/>
      <c r="ACA115" s="255"/>
      <c r="ACB115" s="255"/>
      <c r="ACC115" s="255"/>
      <c r="ACD115" s="255"/>
      <c r="ACE115" s="255"/>
      <c r="ACF115" s="255"/>
      <c r="ACG115" s="255"/>
      <c r="ACH115" s="255"/>
      <c r="ACI115" s="255"/>
      <c r="ACJ115" s="255"/>
      <c r="ACK115" s="255"/>
      <c r="ACL115" s="255"/>
      <c r="ACM115" s="255"/>
      <c r="ACN115" s="255"/>
      <c r="ACO115" s="255"/>
      <c r="ACP115" s="255"/>
      <c r="ACQ115" s="255"/>
      <c r="ACR115" s="255"/>
      <c r="ACS115" s="255"/>
      <c r="ACT115" s="255"/>
      <c r="ACU115" s="255"/>
      <c r="ACV115" s="255"/>
      <c r="ACW115" s="255"/>
      <c r="ACX115" s="255"/>
      <c r="ACY115" s="255"/>
      <c r="ACZ115" s="255"/>
      <c r="ADA115" s="255"/>
      <c r="ADB115" s="255"/>
      <c r="ADC115" s="255"/>
      <c r="ADD115" s="255"/>
      <c r="ADE115" s="255"/>
      <c r="ADF115" s="255"/>
      <c r="ADG115" s="255"/>
      <c r="ADH115" s="255"/>
      <c r="ADI115" s="255"/>
      <c r="ADJ115" s="255"/>
      <c r="ADK115" s="255"/>
      <c r="ADL115" s="255"/>
      <c r="ADM115" s="255"/>
      <c r="ADN115" s="255"/>
      <c r="ADO115" s="255"/>
      <c r="ADP115" s="255"/>
      <c r="ADQ115" s="255"/>
      <c r="ADR115" s="255"/>
      <c r="ADS115" s="255"/>
      <c r="ADT115" s="255"/>
      <c r="ADU115" s="255"/>
      <c r="ADV115" s="255"/>
      <c r="ADW115" s="255"/>
      <c r="ADX115" s="255"/>
      <c r="ADY115" s="255"/>
      <c r="ADZ115" s="255"/>
      <c r="AEA115" s="255"/>
      <c r="AEB115" s="255"/>
      <c r="AEC115" s="255"/>
      <c r="AED115" s="255"/>
      <c r="AEE115" s="255"/>
      <c r="AEF115" s="255"/>
      <c r="AEG115" s="255"/>
      <c r="AEH115" s="255"/>
      <c r="AEI115" s="255"/>
      <c r="AEJ115" s="255"/>
      <c r="AEK115" s="255"/>
      <c r="AEL115" s="255"/>
      <c r="AEM115" s="255"/>
      <c r="AEN115" s="255"/>
      <c r="AEO115" s="255"/>
      <c r="AEP115" s="255"/>
      <c r="AEQ115" s="255"/>
      <c r="AER115" s="255"/>
      <c r="AES115" s="255"/>
      <c r="AET115" s="255"/>
      <c r="AEU115" s="255"/>
      <c r="AEV115" s="255"/>
      <c r="AEW115" s="255"/>
      <c r="AEX115" s="255"/>
      <c r="AEY115" s="255"/>
      <c r="AEZ115" s="255"/>
      <c r="AFA115" s="255"/>
      <c r="AFB115" s="255"/>
      <c r="AFC115" s="255"/>
      <c r="AFD115" s="255"/>
      <c r="AFE115" s="255"/>
      <c r="AFF115" s="255"/>
      <c r="AFG115" s="255"/>
      <c r="AFH115" s="255"/>
      <c r="AFI115" s="255"/>
      <c r="AFJ115" s="255"/>
      <c r="AFK115" s="255"/>
      <c r="AFL115" s="255"/>
      <c r="AFM115" s="255"/>
      <c r="AFN115" s="255"/>
      <c r="AFO115" s="255"/>
      <c r="AFP115" s="255"/>
      <c r="AFQ115" s="255"/>
      <c r="AFR115" s="255"/>
      <c r="AFS115" s="255"/>
      <c r="AFT115" s="255"/>
      <c r="AFU115" s="255"/>
      <c r="AFV115" s="255"/>
      <c r="AFW115" s="255"/>
      <c r="AFX115" s="255"/>
      <c r="AFY115" s="255"/>
      <c r="AFZ115" s="255"/>
      <c r="AGA115" s="255"/>
      <c r="AGB115" s="255"/>
      <c r="AGC115" s="255"/>
      <c r="AGD115" s="255"/>
      <c r="AGE115" s="255"/>
      <c r="AGF115" s="255"/>
      <c r="AGG115" s="255"/>
      <c r="AGH115" s="255"/>
      <c r="AGI115" s="255"/>
      <c r="AGJ115" s="255"/>
      <c r="AGK115" s="255"/>
      <c r="AGL115" s="255"/>
      <c r="AGM115" s="255"/>
      <c r="AGN115" s="255"/>
      <c r="AGO115" s="255"/>
      <c r="AGP115" s="255"/>
      <c r="AGQ115" s="255"/>
      <c r="AGR115" s="255"/>
      <c r="AGS115" s="255"/>
      <c r="AGT115" s="255"/>
      <c r="AGU115" s="255"/>
      <c r="AGV115" s="255"/>
      <c r="AGW115" s="255"/>
      <c r="AGX115" s="255"/>
      <c r="AGY115" s="255"/>
      <c r="AGZ115" s="255"/>
      <c r="AHA115" s="255"/>
      <c r="AHB115" s="255"/>
      <c r="AHC115" s="255"/>
      <c r="AHD115" s="255"/>
      <c r="AHE115" s="255"/>
      <c r="AHF115" s="255"/>
      <c r="AHG115" s="255"/>
      <c r="AHH115" s="255"/>
      <c r="AHI115" s="255"/>
      <c r="AHJ115" s="255"/>
      <c r="AHK115" s="255"/>
      <c r="AHL115" s="255"/>
      <c r="AHM115" s="255"/>
      <c r="AHN115" s="255"/>
      <c r="AHO115" s="255"/>
      <c r="AHP115" s="255"/>
      <c r="AHQ115" s="255"/>
      <c r="AHR115" s="255"/>
      <c r="AHS115" s="255"/>
      <c r="AHT115" s="255"/>
      <c r="AHU115" s="255"/>
      <c r="AHV115" s="255"/>
      <c r="AHW115" s="255"/>
      <c r="AHX115" s="255"/>
      <c r="AHY115" s="255"/>
      <c r="AHZ115" s="255"/>
      <c r="AIA115" s="255"/>
      <c r="AIB115" s="255"/>
      <c r="AIC115" s="255"/>
      <c r="AID115" s="255"/>
      <c r="AIE115" s="255"/>
      <c r="AIF115" s="255"/>
      <c r="AIG115" s="255"/>
      <c r="AIH115" s="255"/>
      <c r="AII115" s="255"/>
      <c r="AIJ115" s="255"/>
      <c r="AIK115" s="255"/>
      <c r="AIL115" s="255"/>
      <c r="AIM115" s="255"/>
      <c r="AIN115" s="255"/>
      <c r="AIO115" s="255"/>
      <c r="AIP115" s="255"/>
      <c r="AIQ115" s="255"/>
      <c r="AIR115" s="255"/>
      <c r="AIS115" s="255"/>
      <c r="AIT115" s="255"/>
      <c r="AIU115" s="255"/>
      <c r="AIV115" s="255"/>
      <c r="AIW115" s="255"/>
      <c r="AIX115" s="255"/>
      <c r="AIY115" s="255"/>
      <c r="AIZ115" s="255"/>
      <c r="AJA115" s="255"/>
      <c r="AJB115" s="255"/>
      <c r="AJC115" s="255"/>
      <c r="AJD115" s="255"/>
      <c r="AJE115" s="255"/>
      <c r="AJF115" s="255"/>
      <c r="AJG115" s="255"/>
      <c r="AJH115" s="255"/>
      <c r="AJI115" s="255"/>
      <c r="AJJ115" s="255"/>
      <c r="AJK115" s="255"/>
      <c r="AJL115" s="255"/>
      <c r="AJM115" s="255"/>
      <c r="AJN115" s="255"/>
      <c r="AJO115" s="255"/>
      <c r="AJP115" s="255"/>
      <c r="AJQ115" s="255"/>
      <c r="AJR115" s="255"/>
      <c r="AJS115" s="255"/>
      <c r="AJT115" s="255"/>
      <c r="AJU115" s="255"/>
      <c r="AJV115" s="255"/>
      <c r="AJW115" s="255"/>
      <c r="AJX115" s="255"/>
      <c r="AJY115" s="255"/>
      <c r="AJZ115" s="255"/>
      <c r="AKA115" s="255"/>
      <c r="AKB115" s="255"/>
      <c r="AKC115" s="255"/>
      <c r="AKD115" s="255"/>
      <c r="AKE115" s="255"/>
      <c r="AKF115" s="255"/>
      <c r="AKG115" s="255"/>
      <c r="AKH115" s="255"/>
      <c r="AKI115" s="255"/>
      <c r="AKJ115" s="255"/>
      <c r="AKK115" s="255"/>
      <c r="AKL115" s="255"/>
      <c r="AKM115" s="255"/>
      <c r="AKN115" s="255"/>
      <c r="AKO115" s="255"/>
      <c r="AKP115" s="255"/>
      <c r="AKQ115" s="255"/>
      <c r="AKR115" s="255"/>
      <c r="AKS115" s="255"/>
      <c r="AKT115" s="255"/>
      <c r="AKU115" s="255"/>
      <c r="AKV115" s="255"/>
      <c r="AKW115" s="255"/>
      <c r="AKX115" s="255"/>
      <c r="AKY115" s="255"/>
      <c r="AKZ115" s="255"/>
      <c r="ALA115" s="255"/>
      <c r="ALB115" s="255"/>
      <c r="ALC115" s="255"/>
      <c r="ALD115" s="255"/>
      <c r="ALE115" s="255"/>
      <c r="ALF115" s="255"/>
      <c r="ALG115" s="255"/>
      <c r="ALH115" s="255"/>
      <c r="ALI115" s="255"/>
      <c r="ALJ115" s="255"/>
      <c r="ALK115" s="255"/>
      <c r="ALL115" s="255"/>
      <c r="ALM115" s="255"/>
      <c r="ALN115" s="255"/>
      <c r="ALO115" s="255"/>
      <c r="ALP115" s="255"/>
      <c r="ALQ115" s="255"/>
      <c r="ALR115" s="255"/>
      <c r="ALS115" s="255"/>
    </row>
    <row r="116" spans="1:1007" ht="48">
      <c r="A116" s="251" t="s">
        <v>7</v>
      </c>
      <c r="B116" s="290">
        <v>87536</v>
      </c>
      <c r="C116" s="278" t="str">
        <f>(IF($A116="SINAPI",INDEX(SINAPI_NOV2020_NDES!$A$7:$H$6703,MATCH($B116,SINAPI_NOV2020_NDES!$A$7:$A$6703,0),2),IF($A116="GOINFRA",INDEX(#REF!,MATCH($B116,#REF!,0),2),(INDEX(COMPOS!$A$4:$G$390,MATCH($B116,COMPOS!$A$4:A$390,0),3)))))</f>
        <v>EMBOÇO, PARA RECEBIMENTO DE CERÂMICA, EM ARGAMASSA TRAÇO 1:2:8, PREPARO MANUAL, APLICADO MANUALMENTE EM FACES INTERNAS DE PAREDES, PARA AMBIENTE COM ÁREA  MAIOR QUE 10M2, ESPESSURA DE 20MM, COM EXECUÇÃO DE TALISCAS. AF_06/2014</v>
      </c>
      <c r="D116" s="374" t="str">
        <f>(IF($A116="SINAPI",INDEX(SINAPI_NOV2020_NDES!$A$7:$H$6790,MATCH($B116,SINAPI_NOV2020_NDES!$A$7:$A$6790,0),3),(INDEX(COMPOS!$A$4:$G$5000,MATCH($B116,COMPOS!$A$4:$A$5000,0),3))))</f>
        <v>M2</v>
      </c>
      <c r="E116" s="314">
        <v>16.27</v>
      </c>
      <c r="F116" s="279">
        <f>(IF($A116="SINAPI",INDEX(SINAPI_NOV2020_NDES!$A$7:$H$6703,MATCH($B116,SINAPI_NOV2020_NDES!$A$7:$A$6703,0),5),(INDEX(COMPOS!$A$4:$G$801,MATCH($B116,COMPOS!$A$4:A$801,0),4))))</f>
        <v>11.19</v>
      </c>
      <c r="G116" s="280">
        <f>(IF($A116="SINAPI",INDEX(SINAPI_NOV2020_NDES!$A$7:$H$6703,MATCH($B116,SINAPI_NOV2020_NDES!$A$7:$A$6703,0),6),(INDEX(COMPOS!$A$4:$G$801,MATCH($B116,COMPOS!$A$4:A$801,0),5))))</f>
        <v>17.559999999999999</v>
      </c>
      <c r="H116" s="280">
        <f>(IF($A116="SINAPI",INDEX(SINAPI_NOV2020_NDES!$A$7:$H$6703,MATCH($B116,SINAPI_NOV2020_NDES!$A$7:$A$6703,0),7),(INDEX(COMPOS!$A$4:$G$801,MATCH($B116,COMPOS!$A$4:A$801,0),6))))</f>
        <v>0</v>
      </c>
      <c r="I116" s="279">
        <f t="shared" si="28"/>
        <v>28.75</v>
      </c>
      <c r="J116" s="276">
        <f t="shared" si="29"/>
        <v>467.76249999999999</v>
      </c>
      <c r="K116" s="255"/>
      <c r="L116" s="255"/>
      <c r="M116" s="255"/>
      <c r="N116" s="255"/>
      <c r="O116" s="257"/>
    </row>
    <row r="117" spans="1:1007" s="191" customFormat="1" ht="36">
      <c r="A117" s="251" t="s">
        <v>7</v>
      </c>
      <c r="B117" s="290">
        <v>87265</v>
      </c>
      <c r="C117" s="278" t="str">
        <f>(IF($A117="SINAPI",INDEX(SINAPI_NOV2020_NDES!$A$7:$H$6703,MATCH($B117,SINAPI_NOV2020_NDES!$A$7:$A$6703,0),2),IF($A117="GOINFRA",INDEX(#REF!,MATCH($B117,#REF!,0),2),(INDEX(COMPOS!$A$4:$G$390,MATCH($B117,COMPOS!$A$4:A$390,0),3)))))</f>
        <v>REVESTIMENTO CERÂMICO PARA PAREDES INTERNAS COM PLACAS TIPO ESMALTADA EXTRA DE DIMENSÕES 20X20 CM APLICADAS EM AMBIENTES DE ÁREA MAIOR QUE 5 M² NA ALTURA INTEIRA DAS PAREDES. AF_06/2014</v>
      </c>
      <c r="D117" s="374" t="str">
        <f>(IF($A117="SINAPI",INDEX(SINAPI_NOV2020_NDES!$A$7:$H$6790,MATCH($B117,SINAPI_NOV2020_NDES!$A$7:$A$6790,0),3),(INDEX(COMPOS!$A$4:$G$5000,MATCH($B117,COMPOS!$A$4:$A$5000,0),3))))</f>
        <v>M2</v>
      </c>
      <c r="E117" s="314">
        <v>16.27</v>
      </c>
      <c r="F117" s="279">
        <f>(IF($A117="SINAPI",INDEX(SINAPI_NOV2020_NDES!$A$7:$H$6703,MATCH($B117,SINAPI_NOV2020_NDES!$A$7:$A$6703,0),5),(INDEX(COMPOS!$A$4:$G$801,MATCH($B117,COMPOS!$A$4:A$801,0),4))))</f>
        <v>11.44</v>
      </c>
      <c r="G117" s="280">
        <f>(IF($A117="SINAPI",INDEX(SINAPI_NOV2020_NDES!$A$7:$H$6703,MATCH($B117,SINAPI_NOV2020_NDES!$A$7:$A$6703,0),6),(INDEX(COMPOS!$A$4:$G$801,MATCH($B117,COMPOS!$A$4:A$801,0),5))))</f>
        <v>25.98</v>
      </c>
      <c r="H117" s="280">
        <f>(IF($A117="SINAPI",INDEX(SINAPI_NOV2020_NDES!$A$7:$H$6703,MATCH($B117,SINAPI_NOV2020_NDES!$A$7:$A$6703,0),7),(INDEX(COMPOS!$A$4:$G$801,MATCH($B117,COMPOS!$A$4:A$801,0),6))))</f>
        <v>0</v>
      </c>
      <c r="I117" s="279">
        <f t="shared" si="28"/>
        <v>37.42</v>
      </c>
      <c r="J117" s="276">
        <f t="shared" si="29"/>
        <v>608.82339999999999</v>
      </c>
      <c r="K117" s="255"/>
      <c r="L117" s="255"/>
      <c r="M117" s="255"/>
      <c r="N117" s="255"/>
      <c r="O117" s="257"/>
      <c r="P117" s="223"/>
      <c r="Q117" s="255"/>
      <c r="R117" s="255"/>
      <c r="S117" s="255"/>
      <c r="T117" s="255"/>
      <c r="U117" s="255"/>
      <c r="V117" s="255"/>
      <c r="W117" s="255"/>
      <c r="X117" s="255"/>
      <c r="Y117" s="255"/>
      <c r="Z117" s="255"/>
      <c r="AA117" s="255"/>
      <c r="AB117" s="255"/>
      <c r="AC117" s="255"/>
      <c r="AD117" s="255"/>
      <c r="AE117" s="255"/>
      <c r="AF117" s="255"/>
      <c r="AG117" s="255"/>
      <c r="AH117" s="255"/>
      <c r="AI117" s="255"/>
      <c r="AJ117" s="255"/>
      <c r="AK117" s="255"/>
      <c r="AL117" s="255"/>
      <c r="AM117" s="255"/>
      <c r="AN117" s="255"/>
      <c r="AO117" s="255"/>
      <c r="AP117" s="255"/>
      <c r="AQ117" s="255"/>
      <c r="AR117" s="255"/>
      <c r="AS117" s="255"/>
      <c r="AT117" s="255"/>
      <c r="AU117" s="255"/>
      <c r="AV117" s="255"/>
      <c r="AW117" s="255"/>
      <c r="AX117" s="255"/>
      <c r="AY117" s="255"/>
      <c r="AZ117" s="255"/>
      <c r="BA117" s="255"/>
      <c r="BB117" s="255"/>
      <c r="BC117" s="255"/>
      <c r="BD117" s="255"/>
      <c r="BE117" s="255"/>
      <c r="BF117" s="255"/>
      <c r="BG117" s="255"/>
      <c r="BH117" s="255"/>
      <c r="BI117" s="255"/>
      <c r="BJ117" s="255"/>
      <c r="BK117" s="255"/>
      <c r="BL117" s="255"/>
      <c r="BM117" s="255"/>
      <c r="BN117" s="255"/>
      <c r="BO117" s="255"/>
      <c r="BP117" s="255"/>
      <c r="BQ117" s="255"/>
      <c r="BR117" s="255"/>
      <c r="BS117" s="255"/>
      <c r="BT117" s="255"/>
      <c r="BU117" s="255"/>
      <c r="BV117" s="255"/>
      <c r="BW117" s="255"/>
      <c r="BX117" s="255"/>
      <c r="BY117" s="255"/>
      <c r="BZ117" s="255"/>
      <c r="CA117" s="255"/>
      <c r="CB117" s="255"/>
      <c r="CC117" s="255"/>
      <c r="CD117" s="255"/>
      <c r="CE117" s="255"/>
      <c r="CF117" s="255"/>
      <c r="CG117" s="255"/>
      <c r="CH117" s="255"/>
      <c r="CI117" s="255"/>
      <c r="CJ117" s="255"/>
      <c r="CK117" s="255"/>
      <c r="CL117" s="255"/>
      <c r="CM117" s="255"/>
      <c r="CN117" s="255"/>
      <c r="CO117" s="255"/>
      <c r="CP117" s="255"/>
      <c r="CQ117" s="255"/>
      <c r="CR117" s="255"/>
      <c r="CS117" s="255"/>
      <c r="CT117" s="255"/>
      <c r="CU117" s="255"/>
      <c r="CV117" s="255"/>
      <c r="CW117" s="255"/>
      <c r="CX117" s="255"/>
      <c r="CY117" s="255"/>
      <c r="CZ117" s="255"/>
      <c r="DA117" s="255"/>
      <c r="DB117" s="255"/>
      <c r="DC117" s="255"/>
      <c r="DD117" s="255"/>
      <c r="DE117" s="255"/>
      <c r="DF117" s="255"/>
      <c r="DG117" s="255"/>
      <c r="DH117" s="255"/>
      <c r="DI117" s="255"/>
      <c r="DJ117" s="255"/>
      <c r="DK117" s="255"/>
      <c r="DL117" s="255"/>
      <c r="DM117" s="255"/>
      <c r="DN117" s="255"/>
      <c r="DO117" s="255"/>
      <c r="DP117" s="255"/>
      <c r="DQ117" s="255"/>
      <c r="DR117" s="255"/>
      <c r="DS117" s="255"/>
      <c r="DT117" s="255"/>
      <c r="DU117" s="255"/>
      <c r="DV117" s="255"/>
      <c r="DW117" s="255"/>
      <c r="DX117" s="255"/>
      <c r="DY117" s="255"/>
      <c r="DZ117" s="255"/>
      <c r="EA117" s="255"/>
      <c r="EB117" s="255"/>
      <c r="EC117" s="255"/>
      <c r="ED117" s="255"/>
      <c r="EE117" s="255"/>
      <c r="EF117" s="255"/>
      <c r="EG117" s="255"/>
      <c r="EH117" s="255"/>
      <c r="EI117" s="255"/>
      <c r="EJ117" s="255"/>
      <c r="EK117" s="255"/>
      <c r="EL117" s="255"/>
      <c r="EM117" s="255"/>
      <c r="EN117" s="255"/>
      <c r="EO117" s="255"/>
      <c r="EP117" s="255"/>
      <c r="EQ117" s="255"/>
      <c r="ER117" s="255"/>
      <c r="ES117" s="255"/>
      <c r="ET117" s="255"/>
      <c r="EU117" s="255"/>
      <c r="EV117" s="255"/>
      <c r="EW117" s="255"/>
      <c r="EX117" s="255"/>
      <c r="EY117" s="255"/>
      <c r="EZ117" s="255"/>
      <c r="FA117" s="255"/>
      <c r="FB117" s="255"/>
      <c r="FC117" s="255"/>
      <c r="FD117" s="255"/>
      <c r="FE117" s="255"/>
      <c r="FF117" s="255"/>
      <c r="FG117" s="255"/>
      <c r="FH117" s="255"/>
      <c r="FI117" s="255"/>
      <c r="FJ117" s="255"/>
      <c r="FK117" s="255"/>
      <c r="FL117" s="255"/>
      <c r="FM117" s="255"/>
      <c r="FN117" s="255"/>
      <c r="FO117" s="255"/>
      <c r="FP117" s="255"/>
      <c r="FQ117" s="255"/>
      <c r="FR117" s="255"/>
      <c r="FS117" s="255"/>
      <c r="FT117" s="255"/>
      <c r="FU117" s="255"/>
      <c r="FV117" s="255"/>
      <c r="FW117" s="255"/>
      <c r="FX117" s="255"/>
      <c r="FY117" s="255"/>
      <c r="FZ117" s="255"/>
      <c r="GA117" s="255"/>
      <c r="GB117" s="255"/>
      <c r="GC117" s="255"/>
      <c r="GD117" s="255"/>
      <c r="GE117" s="255"/>
      <c r="GF117" s="255"/>
      <c r="GG117" s="255"/>
      <c r="GH117" s="255"/>
      <c r="GI117" s="255"/>
      <c r="GJ117" s="255"/>
      <c r="GK117" s="255"/>
      <c r="GL117" s="255"/>
      <c r="GM117" s="255"/>
      <c r="GN117" s="255"/>
      <c r="GO117" s="255"/>
      <c r="GP117" s="255"/>
      <c r="GQ117" s="255"/>
      <c r="GR117" s="255"/>
      <c r="GS117" s="255"/>
      <c r="GT117" s="255"/>
      <c r="GU117" s="255"/>
      <c r="GV117" s="255"/>
      <c r="GW117" s="255"/>
      <c r="GX117" s="255"/>
      <c r="GY117" s="255"/>
      <c r="GZ117" s="255"/>
      <c r="HA117" s="255"/>
      <c r="HB117" s="255"/>
      <c r="HC117" s="255"/>
      <c r="HD117" s="255"/>
      <c r="HE117" s="255"/>
      <c r="HF117" s="255"/>
      <c r="HG117" s="255"/>
      <c r="HH117" s="255"/>
      <c r="HI117" s="255"/>
      <c r="HJ117" s="255"/>
      <c r="HK117" s="255"/>
      <c r="HL117" s="255"/>
      <c r="HM117" s="255"/>
      <c r="HN117" s="255"/>
      <c r="HO117" s="255"/>
      <c r="HP117" s="255"/>
      <c r="HQ117" s="255"/>
      <c r="HR117" s="255"/>
      <c r="HS117" s="255"/>
      <c r="HT117" s="255"/>
      <c r="HU117" s="255"/>
      <c r="HV117" s="255"/>
      <c r="HW117" s="255"/>
      <c r="HX117" s="255"/>
      <c r="HY117" s="255"/>
      <c r="HZ117" s="255"/>
      <c r="IA117" s="255"/>
      <c r="IB117" s="255"/>
      <c r="IC117" s="255"/>
      <c r="ID117" s="255"/>
      <c r="IE117" s="255"/>
      <c r="IF117" s="255"/>
      <c r="IG117" s="255"/>
      <c r="IH117" s="255"/>
      <c r="II117" s="255"/>
      <c r="IJ117" s="255"/>
      <c r="IK117" s="255"/>
      <c r="IL117" s="255"/>
      <c r="IM117" s="255"/>
      <c r="IN117" s="255"/>
      <c r="IO117" s="255"/>
      <c r="IP117" s="255"/>
      <c r="IQ117" s="255"/>
      <c r="IR117" s="255"/>
      <c r="IS117" s="255"/>
      <c r="IT117" s="255"/>
      <c r="IU117" s="255"/>
      <c r="IV117" s="255"/>
      <c r="IW117" s="255"/>
      <c r="IX117" s="255"/>
      <c r="IY117" s="255"/>
      <c r="IZ117" s="255"/>
      <c r="JA117" s="255"/>
      <c r="JB117" s="255"/>
      <c r="JC117" s="255"/>
      <c r="JD117" s="255"/>
      <c r="JE117" s="255"/>
      <c r="JF117" s="255"/>
      <c r="JG117" s="255"/>
      <c r="JH117" s="255"/>
      <c r="JI117" s="255"/>
      <c r="JJ117" s="255"/>
      <c r="JK117" s="255"/>
      <c r="JL117" s="255"/>
      <c r="JM117" s="255"/>
      <c r="JN117" s="255"/>
      <c r="JO117" s="255"/>
      <c r="JP117" s="255"/>
      <c r="JQ117" s="255"/>
      <c r="JR117" s="255"/>
      <c r="JS117" s="255"/>
      <c r="JT117" s="255"/>
      <c r="JU117" s="255"/>
      <c r="JV117" s="255"/>
      <c r="JW117" s="255"/>
      <c r="JX117" s="255"/>
      <c r="JY117" s="255"/>
      <c r="JZ117" s="255"/>
      <c r="KA117" s="255"/>
      <c r="KB117" s="255"/>
      <c r="KC117" s="255"/>
      <c r="KD117" s="255"/>
      <c r="KE117" s="255"/>
      <c r="KF117" s="255"/>
      <c r="KG117" s="255"/>
      <c r="KH117" s="255"/>
      <c r="KI117" s="255"/>
      <c r="KJ117" s="255"/>
      <c r="KK117" s="255"/>
      <c r="KL117" s="255"/>
      <c r="KM117" s="255"/>
      <c r="KN117" s="255"/>
      <c r="KO117" s="255"/>
      <c r="KP117" s="255"/>
      <c r="KQ117" s="255"/>
      <c r="KR117" s="255"/>
      <c r="KS117" s="255"/>
      <c r="KT117" s="255"/>
      <c r="KU117" s="255"/>
      <c r="KV117" s="255"/>
      <c r="KW117" s="255"/>
      <c r="KX117" s="255"/>
      <c r="KY117" s="255"/>
      <c r="KZ117" s="255"/>
      <c r="LA117" s="255"/>
      <c r="LB117" s="255"/>
      <c r="LC117" s="255"/>
      <c r="LD117" s="255"/>
      <c r="LE117" s="255"/>
      <c r="LF117" s="255"/>
      <c r="LG117" s="255"/>
      <c r="LH117" s="255"/>
      <c r="LI117" s="255"/>
      <c r="LJ117" s="255"/>
      <c r="LK117" s="255"/>
      <c r="LL117" s="255"/>
      <c r="LM117" s="255"/>
      <c r="LN117" s="255"/>
      <c r="LO117" s="255"/>
      <c r="LP117" s="255"/>
      <c r="LQ117" s="255"/>
      <c r="LR117" s="255"/>
      <c r="LS117" s="255"/>
      <c r="LT117" s="255"/>
      <c r="LU117" s="255"/>
      <c r="LV117" s="255"/>
      <c r="LW117" s="255"/>
      <c r="LX117" s="255"/>
      <c r="LY117" s="255"/>
      <c r="LZ117" s="255"/>
      <c r="MA117" s="255"/>
      <c r="MB117" s="255"/>
      <c r="MC117" s="255"/>
      <c r="MD117" s="255"/>
      <c r="ME117" s="255"/>
      <c r="MF117" s="255"/>
      <c r="MG117" s="255"/>
      <c r="MH117" s="255"/>
      <c r="MI117" s="255"/>
      <c r="MJ117" s="255"/>
      <c r="MK117" s="255"/>
      <c r="ML117" s="255"/>
      <c r="MM117" s="255"/>
      <c r="MN117" s="255"/>
      <c r="MO117" s="255"/>
      <c r="MP117" s="255"/>
      <c r="MQ117" s="255"/>
      <c r="MR117" s="255"/>
      <c r="MS117" s="255"/>
      <c r="MT117" s="255"/>
      <c r="MU117" s="255"/>
      <c r="MV117" s="255"/>
      <c r="MW117" s="255"/>
      <c r="MX117" s="255"/>
      <c r="MY117" s="255"/>
      <c r="MZ117" s="255"/>
      <c r="NA117" s="255"/>
      <c r="NB117" s="255"/>
      <c r="NC117" s="255"/>
      <c r="ND117" s="255"/>
      <c r="NE117" s="255"/>
      <c r="NF117" s="255"/>
      <c r="NG117" s="255"/>
      <c r="NH117" s="255"/>
      <c r="NI117" s="255"/>
      <c r="NJ117" s="255"/>
      <c r="NK117" s="255"/>
      <c r="NL117" s="255"/>
      <c r="NM117" s="255"/>
      <c r="NN117" s="255"/>
      <c r="NO117" s="255"/>
      <c r="NP117" s="255"/>
      <c r="NQ117" s="255"/>
      <c r="NR117" s="255"/>
      <c r="NS117" s="255"/>
      <c r="NT117" s="255"/>
      <c r="NU117" s="255"/>
      <c r="NV117" s="255"/>
      <c r="NW117" s="255"/>
      <c r="NX117" s="255"/>
      <c r="NY117" s="255"/>
      <c r="NZ117" s="255"/>
      <c r="OA117" s="255"/>
      <c r="OB117" s="255"/>
      <c r="OC117" s="255"/>
      <c r="OD117" s="255"/>
      <c r="OE117" s="255"/>
      <c r="OF117" s="255"/>
      <c r="OG117" s="255"/>
      <c r="OH117" s="255"/>
      <c r="OI117" s="255"/>
      <c r="OJ117" s="255"/>
      <c r="OK117" s="255"/>
      <c r="OL117" s="255"/>
      <c r="OM117" s="255"/>
      <c r="ON117" s="255"/>
      <c r="OO117" s="255"/>
      <c r="OP117" s="255"/>
      <c r="OQ117" s="255"/>
      <c r="OR117" s="255"/>
      <c r="OS117" s="255"/>
      <c r="OT117" s="255"/>
      <c r="OU117" s="255"/>
      <c r="OV117" s="255"/>
      <c r="OW117" s="255"/>
      <c r="OX117" s="255"/>
      <c r="OY117" s="255"/>
      <c r="OZ117" s="255"/>
      <c r="PA117" s="255"/>
      <c r="PB117" s="255"/>
      <c r="PC117" s="255"/>
      <c r="PD117" s="255"/>
      <c r="PE117" s="255"/>
      <c r="PF117" s="255"/>
      <c r="PG117" s="255"/>
      <c r="PH117" s="255"/>
      <c r="PI117" s="255"/>
      <c r="PJ117" s="255"/>
      <c r="PK117" s="255"/>
      <c r="PL117" s="255"/>
      <c r="PM117" s="255"/>
      <c r="PN117" s="255"/>
      <c r="PO117" s="255"/>
      <c r="PP117" s="255"/>
      <c r="PQ117" s="255"/>
      <c r="PR117" s="255"/>
      <c r="PS117" s="255"/>
      <c r="PT117" s="255"/>
      <c r="PU117" s="255"/>
      <c r="PV117" s="255"/>
      <c r="PW117" s="255"/>
      <c r="PX117" s="255"/>
      <c r="PY117" s="255"/>
      <c r="PZ117" s="255"/>
      <c r="QA117" s="255"/>
      <c r="QB117" s="255"/>
      <c r="QC117" s="255"/>
      <c r="QD117" s="255"/>
      <c r="QE117" s="255"/>
      <c r="QF117" s="255"/>
      <c r="QG117" s="255"/>
      <c r="QH117" s="255"/>
      <c r="QI117" s="255"/>
      <c r="QJ117" s="255"/>
      <c r="QK117" s="255"/>
      <c r="QL117" s="255"/>
      <c r="QM117" s="255"/>
      <c r="QN117" s="255"/>
      <c r="QO117" s="255"/>
      <c r="QP117" s="255"/>
      <c r="QQ117" s="255"/>
      <c r="QR117" s="255"/>
      <c r="QS117" s="255"/>
      <c r="QT117" s="255"/>
      <c r="QU117" s="255"/>
      <c r="QV117" s="255"/>
      <c r="QW117" s="255"/>
      <c r="QX117" s="255"/>
      <c r="QY117" s="255"/>
      <c r="QZ117" s="255"/>
      <c r="RA117" s="255"/>
      <c r="RB117" s="255"/>
      <c r="RC117" s="255"/>
      <c r="RD117" s="255"/>
      <c r="RE117" s="255"/>
      <c r="RF117" s="255"/>
      <c r="RG117" s="255"/>
      <c r="RH117" s="255"/>
      <c r="RI117" s="255"/>
      <c r="RJ117" s="255"/>
      <c r="RK117" s="255"/>
      <c r="RL117" s="255"/>
      <c r="RM117" s="255"/>
      <c r="RN117" s="255"/>
      <c r="RO117" s="255"/>
      <c r="RP117" s="255"/>
      <c r="RQ117" s="255"/>
      <c r="RR117" s="255"/>
      <c r="RS117" s="255"/>
      <c r="RT117" s="255"/>
      <c r="RU117" s="255"/>
      <c r="RV117" s="255"/>
      <c r="RW117" s="255"/>
      <c r="RX117" s="255"/>
      <c r="RY117" s="255"/>
      <c r="RZ117" s="255"/>
      <c r="SA117" s="255"/>
      <c r="SB117" s="255"/>
      <c r="SC117" s="255"/>
      <c r="SD117" s="255"/>
      <c r="SE117" s="255"/>
      <c r="SF117" s="255"/>
      <c r="SG117" s="255"/>
      <c r="SH117" s="255"/>
      <c r="SI117" s="255"/>
      <c r="SJ117" s="255"/>
      <c r="SK117" s="255"/>
      <c r="SL117" s="255"/>
      <c r="SM117" s="255"/>
      <c r="SN117" s="255"/>
      <c r="SO117" s="255"/>
      <c r="SP117" s="255"/>
      <c r="SQ117" s="255"/>
      <c r="SR117" s="255"/>
      <c r="SS117" s="255"/>
      <c r="ST117" s="255"/>
      <c r="SU117" s="255"/>
      <c r="SV117" s="255"/>
      <c r="SW117" s="255"/>
      <c r="SX117" s="255"/>
      <c r="SY117" s="255"/>
      <c r="SZ117" s="255"/>
      <c r="TA117" s="255"/>
      <c r="TB117" s="255"/>
      <c r="TC117" s="255"/>
      <c r="TD117" s="255"/>
      <c r="TE117" s="255"/>
      <c r="TF117" s="255"/>
      <c r="TG117" s="255"/>
      <c r="TH117" s="255"/>
      <c r="TI117" s="255"/>
      <c r="TJ117" s="255"/>
      <c r="TK117" s="255"/>
      <c r="TL117" s="255"/>
      <c r="TM117" s="255"/>
      <c r="TN117" s="255"/>
      <c r="TO117" s="255"/>
      <c r="TP117" s="255"/>
      <c r="TQ117" s="255"/>
      <c r="TR117" s="255"/>
      <c r="TS117" s="255"/>
      <c r="TT117" s="255"/>
      <c r="TU117" s="255"/>
      <c r="TV117" s="255"/>
      <c r="TW117" s="255"/>
      <c r="TX117" s="255"/>
      <c r="TY117" s="255"/>
      <c r="TZ117" s="255"/>
      <c r="UA117" s="255"/>
      <c r="UB117" s="255"/>
      <c r="UC117" s="255"/>
      <c r="UD117" s="255"/>
      <c r="UE117" s="255"/>
      <c r="UF117" s="255"/>
      <c r="UG117" s="255"/>
      <c r="UH117" s="255"/>
      <c r="UI117" s="255"/>
      <c r="UJ117" s="255"/>
      <c r="UK117" s="255"/>
      <c r="UL117" s="255"/>
      <c r="UM117" s="255"/>
      <c r="UN117" s="255"/>
      <c r="UO117" s="255"/>
      <c r="UP117" s="255"/>
      <c r="UQ117" s="255"/>
      <c r="UR117" s="255"/>
      <c r="US117" s="255"/>
      <c r="UT117" s="255"/>
      <c r="UU117" s="255"/>
      <c r="UV117" s="255"/>
      <c r="UW117" s="255"/>
      <c r="UX117" s="255"/>
      <c r="UY117" s="255"/>
      <c r="UZ117" s="255"/>
      <c r="VA117" s="255"/>
      <c r="VB117" s="255"/>
      <c r="VC117" s="255"/>
      <c r="VD117" s="255"/>
      <c r="VE117" s="255"/>
      <c r="VF117" s="255"/>
      <c r="VG117" s="255"/>
      <c r="VH117" s="255"/>
      <c r="VI117" s="255"/>
      <c r="VJ117" s="255"/>
      <c r="VK117" s="255"/>
      <c r="VL117" s="255"/>
      <c r="VM117" s="255"/>
      <c r="VN117" s="255"/>
      <c r="VO117" s="255"/>
      <c r="VP117" s="255"/>
      <c r="VQ117" s="255"/>
      <c r="VR117" s="255"/>
      <c r="VS117" s="255"/>
      <c r="VT117" s="255"/>
      <c r="VU117" s="255"/>
      <c r="VV117" s="255"/>
      <c r="VW117" s="255"/>
      <c r="VX117" s="255"/>
      <c r="VY117" s="255"/>
      <c r="VZ117" s="255"/>
      <c r="WA117" s="255"/>
      <c r="WB117" s="255"/>
      <c r="WC117" s="255"/>
      <c r="WD117" s="255"/>
      <c r="WE117" s="255"/>
      <c r="WF117" s="255"/>
      <c r="WG117" s="255"/>
      <c r="WH117" s="255"/>
      <c r="WI117" s="255"/>
      <c r="WJ117" s="255"/>
      <c r="WK117" s="255"/>
      <c r="WL117" s="255"/>
      <c r="WM117" s="255"/>
      <c r="WN117" s="255"/>
      <c r="WO117" s="255"/>
      <c r="WP117" s="255"/>
      <c r="WQ117" s="255"/>
      <c r="WR117" s="255"/>
      <c r="WS117" s="255"/>
      <c r="WT117" s="255"/>
      <c r="WU117" s="255"/>
      <c r="WV117" s="255"/>
      <c r="WW117" s="255"/>
      <c r="WX117" s="255"/>
      <c r="WY117" s="255"/>
      <c r="WZ117" s="255"/>
      <c r="XA117" s="255"/>
      <c r="XB117" s="255"/>
      <c r="XC117" s="255"/>
      <c r="XD117" s="255"/>
      <c r="XE117" s="255"/>
      <c r="XF117" s="255"/>
      <c r="XG117" s="255"/>
      <c r="XH117" s="255"/>
      <c r="XI117" s="255"/>
      <c r="XJ117" s="255"/>
      <c r="XK117" s="255"/>
      <c r="XL117" s="255"/>
      <c r="XM117" s="255"/>
      <c r="XN117" s="255"/>
      <c r="XO117" s="255"/>
      <c r="XP117" s="255"/>
      <c r="XQ117" s="255"/>
      <c r="XR117" s="255"/>
      <c r="XS117" s="255"/>
      <c r="XT117" s="255"/>
      <c r="XU117" s="255"/>
      <c r="XV117" s="255"/>
      <c r="XW117" s="255"/>
      <c r="XX117" s="255"/>
      <c r="XY117" s="255"/>
      <c r="XZ117" s="255"/>
      <c r="YA117" s="255"/>
      <c r="YB117" s="255"/>
      <c r="YC117" s="255"/>
      <c r="YD117" s="255"/>
      <c r="YE117" s="255"/>
      <c r="YF117" s="255"/>
      <c r="YG117" s="255"/>
      <c r="YH117" s="255"/>
      <c r="YI117" s="255"/>
      <c r="YJ117" s="255"/>
      <c r="YK117" s="255"/>
      <c r="YL117" s="255"/>
      <c r="YM117" s="255"/>
      <c r="YN117" s="255"/>
      <c r="YO117" s="255"/>
      <c r="YP117" s="255"/>
      <c r="YQ117" s="255"/>
      <c r="YR117" s="255"/>
      <c r="YS117" s="255"/>
      <c r="YT117" s="255"/>
      <c r="YU117" s="255"/>
      <c r="YV117" s="255"/>
      <c r="YW117" s="255"/>
      <c r="YX117" s="255"/>
      <c r="YY117" s="255"/>
      <c r="YZ117" s="255"/>
      <c r="ZA117" s="255"/>
      <c r="ZB117" s="255"/>
      <c r="ZC117" s="255"/>
      <c r="ZD117" s="255"/>
      <c r="ZE117" s="255"/>
      <c r="ZF117" s="255"/>
      <c r="ZG117" s="255"/>
      <c r="ZH117" s="255"/>
      <c r="ZI117" s="255"/>
      <c r="ZJ117" s="255"/>
      <c r="ZK117" s="255"/>
      <c r="ZL117" s="255"/>
      <c r="ZM117" s="255"/>
      <c r="ZN117" s="255"/>
      <c r="ZO117" s="255"/>
      <c r="ZP117" s="255"/>
      <c r="ZQ117" s="255"/>
      <c r="ZR117" s="255"/>
      <c r="ZS117" s="255"/>
      <c r="ZT117" s="255"/>
      <c r="ZU117" s="255"/>
      <c r="ZV117" s="255"/>
      <c r="ZW117" s="255"/>
      <c r="ZX117" s="255"/>
      <c r="ZY117" s="255"/>
      <c r="ZZ117" s="255"/>
      <c r="AAA117" s="255"/>
      <c r="AAB117" s="255"/>
      <c r="AAC117" s="255"/>
      <c r="AAD117" s="255"/>
      <c r="AAE117" s="255"/>
      <c r="AAF117" s="255"/>
      <c r="AAG117" s="255"/>
      <c r="AAH117" s="255"/>
      <c r="AAI117" s="255"/>
      <c r="AAJ117" s="255"/>
      <c r="AAK117" s="255"/>
      <c r="AAL117" s="255"/>
      <c r="AAM117" s="255"/>
      <c r="AAN117" s="255"/>
      <c r="AAO117" s="255"/>
      <c r="AAP117" s="255"/>
      <c r="AAQ117" s="255"/>
      <c r="AAR117" s="255"/>
      <c r="AAS117" s="255"/>
      <c r="AAT117" s="255"/>
      <c r="AAU117" s="255"/>
      <c r="AAV117" s="255"/>
      <c r="AAW117" s="255"/>
      <c r="AAX117" s="255"/>
      <c r="AAY117" s="255"/>
      <c r="AAZ117" s="255"/>
      <c r="ABA117" s="255"/>
      <c r="ABB117" s="255"/>
      <c r="ABC117" s="255"/>
      <c r="ABD117" s="255"/>
      <c r="ABE117" s="255"/>
      <c r="ABF117" s="255"/>
      <c r="ABG117" s="255"/>
      <c r="ABH117" s="255"/>
      <c r="ABI117" s="255"/>
      <c r="ABJ117" s="255"/>
      <c r="ABK117" s="255"/>
      <c r="ABL117" s="255"/>
      <c r="ABM117" s="255"/>
      <c r="ABN117" s="255"/>
      <c r="ABO117" s="255"/>
      <c r="ABP117" s="255"/>
      <c r="ABQ117" s="255"/>
      <c r="ABR117" s="255"/>
      <c r="ABS117" s="255"/>
      <c r="ABT117" s="255"/>
      <c r="ABU117" s="255"/>
      <c r="ABV117" s="255"/>
      <c r="ABW117" s="255"/>
      <c r="ABX117" s="255"/>
      <c r="ABY117" s="255"/>
      <c r="ABZ117" s="255"/>
      <c r="ACA117" s="255"/>
      <c r="ACB117" s="255"/>
      <c r="ACC117" s="255"/>
      <c r="ACD117" s="255"/>
      <c r="ACE117" s="255"/>
      <c r="ACF117" s="255"/>
      <c r="ACG117" s="255"/>
      <c r="ACH117" s="255"/>
      <c r="ACI117" s="255"/>
      <c r="ACJ117" s="255"/>
      <c r="ACK117" s="255"/>
      <c r="ACL117" s="255"/>
      <c r="ACM117" s="255"/>
      <c r="ACN117" s="255"/>
      <c r="ACO117" s="255"/>
      <c r="ACP117" s="255"/>
      <c r="ACQ117" s="255"/>
      <c r="ACR117" s="255"/>
      <c r="ACS117" s="255"/>
      <c r="ACT117" s="255"/>
      <c r="ACU117" s="255"/>
      <c r="ACV117" s="255"/>
      <c r="ACW117" s="255"/>
      <c r="ACX117" s="255"/>
      <c r="ACY117" s="255"/>
      <c r="ACZ117" s="255"/>
      <c r="ADA117" s="255"/>
      <c r="ADB117" s="255"/>
      <c r="ADC117" s="255"/>
      <c r="ADD117" s="255"/>
      <c r="ADE117" s="255"/>
      <c r="ADF117" s="255"/>
      <c r="ADG117" s="255"/>
      <c r="ADH117" s="255"/>
      <c r="ADI117" s="255"/>
      <c r="ADJ117" s="255"/>
      <c r="ADK117" s="255"/>
      <c r="ADL117" s="255"/>
      <c r="ADM117" s="255"/>
      <c r="ADN117" s="255"/>
      <c r="ADO117" s="255"/>
      <c r="ADP117" s="255"/>
      <c r="ADQ117" s="255"/>
      <c r="ADR117" s="255"/>
      <c r="ADS117" s="255"/>
      <c r="ADT117" s="255"/>
      <c r="ADU117" s="255"/>
      <c r="ADV117" s="255"/>
      <c r="ADW117" s="255"/>
      <c r="ADX117" s="255"/>
      <c r="ADY117" s="255"/>
      <c r="ADZ117" s="255"/>
      <c r="AEA117" s="255"/>
      <c r="AEB117" s="255"/>
      <c r="AEC117" s="255"/>
      <c r="AED117" s="255"/>
      <c r="AEE117" s="255"/>
      <c r="AEF117" s="255"/>
      <c r="AEG117" s="255"/>
      <c r="AEH117" s="255"/>
      <c r="AEI117" s="255"/>
      <c r="AEJ117" s="255"/>
      <c r="AEK117" s="255"/>
      <c r="AEL117" s="255"/>
      <c r="AEM117" s="255"/>
      <c r="AEN117" s="255"/>
      <c r="AEO117" s="255"/>
      <c r="AEP117" s="255"/>
      <c r="AEQ117" s="255"/>
      <c r="AER117" s="255"/>
      <c r="AES117" s="255"/>
      <c r="AET117" s="255"/>
      <c r="AEU117" s="255"/>
      <c r="AEV117" s="255"/>
      <c r="AEW117" s="255"/>
      <c r="AEX117" s="255"/>
      <c r="AEY117" s="255"/>
      <c r="AEZ117" s="255"/>
      <c r="AFA117" s="255"/>
      <c r="AFB117" s="255"/>
      <c r="AFC117" s="255"/>
      <c r="AFD117" s="255"/>
      <c r="AFE117" s="255"/>
      <c r="AFF117" s="255"/>
      <c r="AFG117" s="255"/>
      <c r="AFH117" s="255"/>
      <c r="AFI117" s="255"/>
      <c r="AFJ117" s="255"/>
      <c r="AFK117" s="255"/>
      <c r="AFL117" s="255"/>
      <c r="AFM117" s="255"/>
      <c r="AFN117" s="255"/>
      <c r="AFO117" s="255"/>
      <c r="AFP117" s="255"/>
      <c r="AFQ117" s="255"/>
      <c r="AFR117" s="255"/>
      <c r="AFS117" s="255"/>
      <c r="AFT117" s="255"/>
      <c r="AFU117" s="255"/>
      <c r="AFV117" s="255"/>
      <c r="AFW117" s="255"/>
      <c r="AFX117" s="255"/>
      <c r="AFY117" s="255"/>
      <c r="AFZ117" s="255"/>
      <c r="AGA117" s="255"/>
      <c r="AGB117" s="255"/>
      <c r="AGC117" s="255"/>
      <c r="AGD117" s="255"/>
      <c r="AGE117" s="255"/>
      <c r="AGF117" s="255"/>
      <c r="AGG117" s="255"/>
      <c r="AGH117" s="255"/>
      <c r="AGI117" s="255"/>
      <c r="AGJ117" s="255"/>
      <c r="AGK117" s="255"/>
      <c r="AGL117" s="255"/>
      <c r="AGM117" s="255"/>
      <c r="AGN117" s="255"/>
      <c r="AGO117" s="255"/>
      <c r="AGP117" s="255"/>
      <c r="AGQ117" s="255"/>
      <c r="AGR117" s="255"/>
      <c r="AGS117" s="255"/>
      <c r="AGT117" s="255"/>
      <c r="AGU117" s="255"/>
      <c r="AGV117" s="255"/>
      <c r="AGW117" s="255"/>
      <c r="AGX117" s="255"/>
      <c r="AGY117" s="255"/>
      <c r="AGZ117" s="255"/>
      <c r="AHA117" s="255"/>
      <c r="AHB117" s="255"/>
      <c r="AHC117" s="255"/>
      <c r="AHD117" s="255"/>
      <c r="AHE117" s="255"/>
      <c r="AHF117" s="255"/>
      <c r="AHG117" s="255"/>
      <c r="AHH117" s="255"/>
      <c r="AHI117" s="255"/>
      <c r="AHJ117" s="255"/>
      <c r="AHK117" s="255"/>
      <c r="AHL117" s="255"/>
      <c r="AHM117" s="255"/>
      <c r="AHN117" s="255"/>
      <c r="AHO117" s="255"/>
      <c r="AHP117" s="255"/>
      <c r="AHQ117" s="255"/>
      <c r="AHR117" s="255"/>
      <c r="AHS117" s="255"/>
      <c r="AHT117" s="255"/>
      <c r="AHU117" s="255"/>
      <c r="AHV117" s="255"/>
      <c r="AHW117" s="255"/>
      <c r="AHX117" s="255"/>
      <c r="AHY117" s="255"/>
      <c r="AHZ117" s="255"/>
      <c r="AIA117" s="255"/>
      <c r="AIB117" s="255"/>
      <c r="AIC117" s="255"/>
      <c r="AID117" s="255"/>
      <c r="AIE117" s="255"/>
      <c r="AIF117" s="255"/>
      <c r="AIG117" s="255"/>
      <c r="AIH117" s="255"/>
      <c r="AII117" s="255"/>
      <c r="AIJ117" s="255"/>
      <c r="AIK117" s="255"/>
      <c r="AIL117" s="255"/>
      <c r="AIM117" s="255"/>
      <c r="AIN117" s="255"/>
      <c r="AIO117" s="255"/>
      <c r="AIP117" s="255"/>
      <c r="AIQ117" s="255"/>
      <c r="AIR117" s="255"/>
      <c r="AIS117" s="255"/>
      <c r="AIT117" s="255"/>
      <c r="AIU117" s="255"/>
      <c r="AIV117" s="255"/>
      <c r="AIW117" s="255"/>
      <c r="AIX117" s="255"/>
      <c r="AIY117" s="255"/>
      <c r="AIZ117" s="255"/>
      <c r="AJA117" s="255"/>
      <c r="AJB117" s="255"/>
      <c r="AJC117" s="255"/>
      <c r="AJD117" s="255"/>
      <c r="AJE117" s="255"/>
      <c r="AJF117" s="255"/>
      <c r="AJG117" s="255"/>
      <c r="AJH117" s="255"/>
      <c r="AJI117" s="255"/>
      <c r="AJJ117" s="255"/>
      <c r="AJK117" s="255"/>
      <c r="AJL117" s="255"/>
      <c r="AJM117" s="255"/>
      <c r="AJN117" s="255"/>
      <c r="AJO117" s="255"/>
      <c r="AJP117" s="255"/>
      <c r="AJQ117" s="255"/>
      <c r="AJR117" s="255"/>
      <c r="AJS117" s="255"/>
      <c r="AJT117" s="255"/>
      <c r="AJU117" s="255"/>
      <c r="AJV117" s="255"/>
      <c r="AJW117" s="255"/>
      <c r="AJX117" s="255"/>
      <c r="AJY117" s="255"/>
      <c r="AJZ117" s="255"/>
      <c r="AKA117" s="255"/>
      <c r="AKB117" s="255"/>
      <c r="AKC117" s="255"/>
      <c r="AKD117" s="255"/>
      <c r="AKE117" s="255"/>
      <c r="AKF117" s="255"/>
      <c r="AKG117" s="255"/>
      <c r="AKH117" s="255"/>
      <c r="AKI117" s="255"/>
      <c r="AKJ117" s="255"/>
      <c r="AKK117" s="255"/>
      <c r="AKL117" s="255"/>
      <c r="AKM117" s="255"/>
      <c r="AKN117" s="255"/>
      <c r="AKO117" s="255"/>
      <c r="AKP117" s="255"/>
      <c r="AKQ117" s="255"/>
      <c r="AKR117" s="255"/>
      <c r="AKS117" s="255"/>
      <c r="AKT117" s="255"/>
      <c r="AKU117" s="255"/>
      <c r="AKV117" s="255"/>
      <c r="AKW117" s="255"/>
      <c r="AKX117" s="255"/>
      <c r="AKY117" s="255"/>
      <c r="AKZ117" s="255"/>
      <c r="ALA117" s="255"/>
      <c r="ALB117" s="255"/>
      <c r="ALC117" s="255"/>
      <c r="ALD117" s="255"/>
      <c r="ALE117" s="255"/>
      <c r="ALF117" s="255"/>
      <c r="ALG117" s="255"/>
      <c r="ALH117" s="255"/>
      <c r="ALI117" s="255"/>
      <c r="ALJ117" s="255"/>
      <c r="ALK117" s="255"/>
      <c r="ALL117" s="255"/>
      <c r="ALM117" s="255"/>
      <c r="ALN117" s="255"/>
      <c r="ALO117" s="255"/>
      <c r="ALP117" s="255"/>
      <c r="ALQ117" s="255"/>
      <c r="ALR117" s="255"/>
      <c r="ALS117" s="255"/>
    </row>
    <row r="118" spans="1:1007" s="191" customFormat="1">
      <c r="A118" s="251" t="s">
        <v>6307</v>
      </c>
      <c r="B118" s="290">
        <v>406</v>
      </c>
      <c r="C118" s="278" t="str">
        <f>(IF($A118="SINAPI",INDEX(SINAPI_NOV2020_NDES!$A$7:$H$6703,MATCH($B118,SINAPI_NOV2020_NDES!$A$7:$A$6703,0),2),IF($A118="GOINFRA",INDEX(#REF!,MATCH($B118,#REF!,0),2),(INDEX(COMPOS!$A$4:$G$390,MATCH($B118,COMPOS!$A$4:A$390,0),2)))))</f>
        <v>BARRA LISA</v>
      </c>
      <c r="D118" s="374" t="str">
        <f>(IF($A118="SINAPI",INDEX(SINAPI_NOV2020_NDES!$A$7:$H$6790,MATCH($B118,SINAPI_NOV2020_NDES!$A$7:$A$6790,0),3),(INDEX(COMPOS!$A$4:$G$5000,MATCH($B118,COMPOS!$A$4:$A$5000,0),3))))</f>
        <v>M2</v>
      </c>
      <c r="E118" s="314">
        <v>106.85</v>
      </c>
      <c r="F118" s="279">
        <f>(IF($A118="SINAPI",INDEX(SINAPI_NOV2020_NDES!$A$7:$H$6703,MATCH($B118,SINAPI_NOV2020_NDES!$A$7:$A$6703,0),5),(INDEX(COMPOS!$A$4:$G$801,MATCH($B118,COMPOS!$A$4:A$801,0),4))))</f>
        <v>25.766999999999996</v>
      </c>
      <c r="G118" s="280">
        <f>(IF($A118="SINAPI",INDEX(SINAPI_NOV2020_NDES!$A$7:$H$6703,MATCH($B118,SINAPI_NOV2020_NDES!$A$7:$A$6703,0),6),(INDEX(COMPOS!$A$4:$G$801,MATCH($B118,COMPOS!$A$4:A$801,0),5))))</f>
        <v>11.186231000000001</v>
      </c>
      <c r="H118" s="280">
        <f>(IF($A118="SINAPI",INDEX(SINAPI_NOV2020_NDES!$A$7:$H$6703,MATCH($B118,SINAPI_NOV2020_NDES!$A$7:$A$6703,0),7),(INDEX(COMPOS!$A$4:$G$801,MATCH($B118,COMPOS!$A$4:A$801,0),6))))</f>
        <v>0</v>
      </c>
      <c r="I118" s="279">
        <f t="shared" si="28"/>
        <v>36.953230999999995</v>
      </c>
      <c r="J118" s="276">
        <f t="shared" si="29"/>
        <v>3948.4527323499992</v>
      </c>
      <c r="K118" s="255"/>
      <c r="L118" s="255"/>
      <c r="M118" s="255"/>
      <c r="N118" s="255"/>
      <c r="O118" s="257"/>
      <c r="P118" s="223"/>
      <c r="Q118" s="255"/>
      <c r="R118" s="255"/>
      <c r="S118" s="255"/>
      <c r="T118" s="255"/>
      <c r="U118" s="255"/>
      <c r="V118" s="255"/>
      <c r="W118" s="255"/>
      <c r="X118" s="255"/>
      <c r="Y118" s="255"/>
      <c r="Z118" s="255"/>
      <c r="AA118" s="255"/>
      <c r="AB118" s="255"/>
      <c r="AC118" s="255"/>
      <c r="AD118" s="255"/>
      <c r="AE118" s="255"/>
      <c r="AF118" s="255"/>
      <c r="AG118" s="255"/>
      <c r="AH118" s="255"/>
      <c r="AI118" s="255"/>
      <c r="AJ118" s="255"/>
      <c r="AK118" s="255"/>
      <c r="AL118" s="255"/>
      <c r="AM118" s="255"/>
      <c r="AN118" s="255"/>
      <c r="AO118" s="255"/>
      <c r="AP118" s="255"/>
      <c r="AQ118" s="255"/>
      <c r="AR118" s="255"/>
      <c r="AS118" s="255"/>
      <c r="AT118" s="255"/>
      <c r="AU118" s="255"/>
      <c r="AV118" s="255"/>
      <c r="AW118" s="255"/>
      <c r="AX118" s="255"/>
      <c r="AY118" s="255"/>
      <c r="AZ118" s="255"/>
      <c r="BA118" s="255"/>
      <c r="BB118" s="255"/>
      <c r="BC118" s="255"/>
      <c r="BD118" s="255"/>
      <c r="BE118" s="255"/>
      <c r="BF118" s="255"/>
      <c r="BG118" s="255"/>
      <c r="BH118" s="255"/>
      <c r="BI118" s="255"/>
      <c r="BJ118" s="255"/>
      <c r="BK118" s="255"/>
      <c r="BL118" s="255"/>
      <c r="BM118" s="255"/>
      <c r="BN118" s="255"/>
      <c r="BO118" s="255"/>
      <c r="BP118" s="255"/>
      <c r="BQ118" s="255"/>
      <c r="BR118" s="255"/>
      <c r="BS118" s="255"/>
      <c r="BT118" s="255"/>
      <c r="BU118" s="255"/>
      <c r="BV118" s="255"/>
      <c r="BW118" s="255"/>
      <c r="BX118" s="255"/>
      <c r="BY118" s="255"/>
      <c r="BZ118" s="255"/>
      <c r="CA118" s="255"/>
      <c r="CB118" s="255"/>
      <c r="CC118" s="255"/>
      <c r="CD118" s="255"/>
      <c r="CE118" s="255"/>
      <c r="CF118" s="255"/>
      <c r="CG118" s="255"/>
      <c r="CH118" s="255"/>
      <c r="CI118" s="255"/>
      <c r="CJ118" s="255"/>
      <c r="CK118" s="255"/>
      <c r="CL118" s="255"/>
      <c r="CM118" s="255"/>
      <c r="CN118" s="255"/>
      <c r="CO118" s="255"/>
      <c r="CP118" s="255"/>
      <c r="CQ118" s="255"/>
      <c r="CR118" s="255"/>
      <c r="CS118" s="255"/>
      <c r="CT118" s="255"/>
      <c r="CU118" s="255"/>
      <c r="CV118" s="255"/>
      <c r="CW118" s="255"/>
      <c r="CX118" s="255"/>
      <c r="CY118" s="255"/>
      <c r="CZ118" s="255"/>
      <c r="DA118" s="255"/>
      <c r="DB118" s="255"/>
      <c r="DC118" s="255"/>
      <c r="DD118" s="255"/>
      <c r="DE118" s="255"/>
      <c r="DF118" s="255"/>
      <c r="DG118" s="255"/>
      <c r="DH118" s="255"/>
      <c r="DI118" s="255"/>
      <c r="DJ118" s="255"/>
      <c r="DK118" s="255"/>
      <c r="DL118" s="255"/>
      <c r="DM118" s="255"/>
      <c r="DN118" s="255"/>
      <c r="DO118" s="255"/>
      <c r="DP118" s="255"/>
      <c r="DQ118" s="255"/>
      <c r="DR118" s="255"/>
      <c r="DS118" s="255"/>
      <c r="DT118" s="255"/>
      <c r="DU118" s="255"/>
      <c r="DV118" s="255"/>
      <c r="DW118" s="255"/>
      <c r="DX118" s="255"/>
      <c r="DY118" s="255"/>
      <c r="DZ118" s="255"/>
      <c r="EA118" s="255"/>
      <c r="EB118" s="255"/>
      <c r="EC118" s="255"/>
      <c r="ED118" s="255"/>
      <c r="EE118" s="255"/>
      <c r="EF118" s="255"/>
      <c r="EG118" s="255"/>
      <c r="EH118" s="255"/>
      <c r="EI118" s="255"/>
      <c r="EJ118" s="255"/>
      <c r="EK118" s="255"/>
      <c r="EL118" s="255"/>
      <c r="EM118" s="255"/>
      <c r="EN118" s="255"/>
      <c r="EO118" s="255"/>
      <c r="EP118" s="255"/>
      <c r="EQ118" s="255"/>
      <c r="ER118" s="255"/>
      <c r="ES118" s="255"/>
      <c r="ET118" s="255"/>
      <c r="EU118" s="255"/>
      <c r="EV118" s="255"/>
      <c r="EW118" s="255"/>
      <c r="EX118" s="255"/>
      <c r="EY118" s="255"/>
      <c r="EZ118" s="255"/>
      <c r="FA118" s="255"/>
      <c r="FB118" s="255"/>
      <c r="FC118" s="255"/>
      <c r="FD118" s="255"/>
      <c r="FE118" s="255"/>
      <c r="FF118" s="255"/>
      <c r="FG118" s="255"/>
      <c r="FH118" s="255"/>
      <c r="FI118" s="255"/>
      <c r="FJ118" s="255"/>
      <c r="FK118" s="255"/>
      <c r="FL118" s="255"/>
      <c r="FM118" s="255"/>
      <c r="FN118" s="255"/>
      <c r="FO118" s="255"/>
      <c r="FP118" s="255"/>
      <c r="FQ118" s="255"/>
      <c r="FR118" s="255"/>
      <c r="FS118" s="255"/>
      <c r="FT118" s="255"/>
      <c r="FU118" s="255"/>
      <c r="FV118" s="255"/>
      <c r="FW118" s="255"/>
      <c r="FX118" s="255"/>
      <c r="FY118" s="255"/>
      <c r="FZ118" s="255"/>
      <c r="GA118" s="255"/>
      <c r="GB118" s="255"/>
      <c r="GC118" s="255"/>
      <c r="GD118" s="255"/>
      <c r="GE118" s="255"/>
      <c r="GF118" s="255"/>
      <c r="GG118" s="255"/>
      <c r="GH118" s="255"/>
      <c r="GI118" s="255"/>
      <c r="GJ118" s="255"/>
      <c r="GK118" s="255"/>
      <c r="GL118" s="255"/>
      <c r="GM118" s="255"/>
      <c r="GN118" s="255"/>
      <c r="GO118" s="255"/>
      <c r="GP118" s="255"/>
      <c r="GQ118" s="255"/>
      <c r="GR118" s="255"/>
      <c r="GS118" s="255"/>
      <c r="GT118" s="255"/>
      <c r="GU118" s="255"/>
      <c r="GV118" s="255"/>
      <c r="GW118" s="255"/>
      <c r="GX118" s="255"/>
      <c r="GY118" s="255"/>
      <c r="GZ118" s="255"/>
      <c r="HA118" s="255"/>
      <c r="HB118" s="255"/>
      <c r="HC118" s="255"/>
      <c r="HD118" s="255"/>
      <c r="HE118" s="255"/>
      <c r="HF118" s="255"/>
      <c r="HG118" s="255"/>
      <c r="HH118" s="255"/>
      <c r="HI118" s="255"/>
      <c r="HJ118" s="255"/>
      <c r="HK118" s="255"/>
      <c r="HL118" s="255"/>
      <c r="HM118" s="255"/>
      <c r="HN118" s="255"/>
      <c r="HO118" s="255"/>
      <c r="HP118" s="255"/>
      <c r="HQ118" s="255"/>
      <c r="HR118" s="255"/>
      <c r="HS118" s="255"/>
      <c r="HT118" s="255"/>
      <c r="HU118" s="255"/>
      <c r="HV118" s="255"/>
      <c r="HW118" s="255"/>
      <c r="HX118" s="255"/>
      <c r="HY118" s="255"/>
      <c r="HZ118" s="255"/>
      <c r="IA118" s="255"/>
      <c r="IB118" s="255"/>
      <c r="IC118" s="255"/>
      <c r="ID118" s="255"/>
      <c r="IE118" s="255"/>
      <c r="IF118" s="255"/>
      <c r="IG118" s="255"/>
      <c r="IH118" s="255"/>
      <c r="II118" s="255"/>
      <c r="IJ118" s="255"/>
      <c r="IK118" s="255"/>
      <c r="IL118" s="255"/>
      <c r="IM118" s="255"/>
      <c r="IN118" s="255"/>
      <c r="IO118" s="255"/>
      <c r="IP118" s="255"/>
      <c r="IQ118" s="255"/>
      <c r="IR118" s="255"/>
      <c r="IS118" s="255"/>
      <c r="IT118" s="255"/>
      <c r="IU118" s="255"/>
      <c r="IV118" s="255"/>
      <c r="IW118" s="255"/>
      <c r="IX118" s="255"/>
      <c r="IY118" s="255"/>
      <c r="IZ118" s="255"/>
      <c r="JA118" s="255"/>
      <c r="JB118" s="255"/>
      <c r="JC118" s="255"/>
      <c r="JD118" s="255"/>
      <c r="JE118" s="255"/>
      <c r="JF118" s="255"/>
      <c r="JG118" s="255"/>
      <c r="JH118" s="255"/>
      <c r="JI118" s="255"/>
      <c r="JJ118" s="255"/>
      <c r="JK118" s="255"/>
      <c r="JL118" s="255"/>
      <c r="JM118" s="255"/>
      <c r="JN118" s="255"/>
      <c r="JO118" s="255"/>
      <c r="JP118" s="255"/>
      <c r="JQ118" s="255"/>
      <c r="JR118" s="255"/>
      <c r="JS118" s="255"/>
      <c r="JT118" s="255"/>
      <c r="JU118" s="255"/>
      <c r="JV118" s="255"/>
      <c r="JW118" s="255"/>
      <c r="JX118" s="255"/>
      <c r="JY118" s="255"/>
      <c r="JZ118" s="255"/>
      <c r="KA118" s="255"/>
      <c r="KB118" s="255"/>
      <c r="KC118" s="255"/>
      <c r="KD118" s="255"/>
      <c r="KE118" s="255"/>
      <c r="KF118" s="255"/>
      <c r="KG118" s="255"/>
      <c r="KH118" s="255"/>
      <c r="KI118" s="255"/>
      <c r="KJ118" s="255"/>
      <c r="KK118" s="255"/>
      <c r="KL118" s="255"/>
      <c r="KM118" s="255"/>
      <c r="KN118" s="255"/>
      <c r="KO118" s="255"/>
      <c r="KP118" s="255"/>
      <c r="KQ118" s="255"/>
      <c r="KR118" s="255"/>
      <c r="KS118" s="255"/>
      <c r="KT118" s="255"/>
      <c r="KU118" s="255"/>
      <c r="KV118" s="255"/>
      <c r="KW118" s="255"/>
      <c r="KX118" s="255"/>
      <c r="KY118" s="255"/>
      <c r="KZ118" s="255"/>
      <c r="LA118" s="255"/>
      <c r="LB118" s="255"/>
      <c r="LC118" s="255"/>
      <c r="LD118" s="255"/>
      <c r="LE118" s="255"/>
      <c r="LF118" s="255"/>
      <c r="LG118" s="255"/>
      <c r="LH118" s="255"/>
      <c r="LI118" s="255"/>
      <c r="LJ118" s="255"/>
      <c r="LK118" s="255"/>
      <c r="LL118" s="255"/>
      <c r="LM118" s="255"/>
      <c r="LN118" s="255"/>
      <c r="LO118" s="255"/>
      <c r="LP118" s="255"/>
      <c r="LQ118" s="255"/>
      <c r="LR118" s="255"/>
      <c r="LS118" s="255"/>
      <c r="LT118" s="255"/>
      <c r="LU118" s="255"/>
      <c r="LV118" s="255"/>
      <c r="LW118" s="255"/>
      <c r="LX118" s="255"/>
      <c r="LY118" s="255"/>
      <c r="LZ118" s="255"/>
      <c r="MA118" s="255"/>
      <c r="MB118" s="255"/>
      <c r="MC118" s="255"/>
      <c r="MD118" s="255"/>
      <c r="ME118" s="255"/>
      <c r="MF118" s="255"/>
      <c r="MG118" s="255"/>
      <c r="MH118" s="255"/>
      <c r="MI118" s="255"/>
      <c r="MJ118" s="255"/>
      <c r="MK118" s="255"/>
      <c r="ML118" s="255"/>
      <c r="MM118" s="255"/>
      <c r="MN118" s="255"/>
      <c r="MO118" s="255"/>
      <c r="MP118" s="255"/>
      <c r="MQ118" s="255"/>
      <c r="MR118" s="255"/>
      <c r="MS118" s="255"/>
      <c r="MT118" s="255"/>
      <c r="MU118" s="255"/>
      <c r="MV118" s="255"/>
      <c r="MW118" s="255"/>
      <c r="MX118" s="255"/>
      <c r="MY118" s="255"/>
      <c r="MZ118" s="255"/>
      <c r="NA118" s="255"/>
      <c r="NB118" s="255"/>
      <c r="NC118" s="255"/>
      <c r="ND118" s="255"/>
      <c r="NE118" s="255"/>
      <c r="NF118" s="255"/>
      <c r="NG118" s="255"/>
      <c r="NH118" s="255"/>
      <c r="NI118" s="255"/>
      <c r="NJ118" s="255"/>
      <c r="NK118" s="255"/>
      <c r="NL118" s="255"/>
      <c r="NM118" s="255"/>
      <c r="NN118" s="255"/>
      <c r="NO118" s="255"/>
      <c r="NP118" s="255"/>
      <c r="NQ118" s="255"/>
      <c r="NR118" s="255"/>
      <c r="NS118" s="255"/>
      <c r="NT118" s="255"/>
      <c r="NU118" s="255"/>
      <c r="NV118" s="255"/>
      <c r="NW118" s="255"/>
      <c r="NX118" s="255"/>
      <c r="NY118" s="255"/>
      <c r="NZ118" s="255"/>
      <c r="OA118" s="255"/>
      <c r="OB118" s="255"/>
      <c r="OC118" s="255"/>
      <c r="OD118" s="255"/>
      <c r="OE118" s="255"/>
      <c r="OF118" s="255"/>
      <c r="OG118" s="255"/>
      <c r="OH118" s="255"/>
      <c r="OI118" s="255"/>
      <c r="OJ118" s="255"/>
      <c r="OK118" s="255"/>
      <c r="OL118" s="255"/>
      <c r="OM118" s="255"/>
      <c r="ON118" s="255"/>
      <c r="OO118" s="255"/>
      <c r="OP118" s="255"/>
      <c r="OQ118" s="255"/>
      <c r="OR118" s="255"/>
      <c r="OS118" s="255"/>
      <c r="OT118" s="255"/>
      <c r="OU118" s="255"/>
      <c r="OV118" s="255"/>
      <c r="OW118" s="255"/>
      <c r="OX118" s="255"/>
      <c r="OY118" s="255"/>
      <c r="OZ118" s="255"/>
      <c r="PA118" s="255"/>
      <c r="PB118" s="255"/>
      <c r="PC118" s="255"/>
      <c r="PD118" s="255"/>
      <c r="PE118" s="255"/>
      <c r="PF118" s="255"/>
      <c r="PG118" s="255"/>
      <c r="PH118" s="255"/>
      <c r="PI118" s="255"/>
      <c r="PJ118" s="255"/>
      <c r="PK118" s="255"/>
      <c r="PL118" s="255"/>
      <c r="PM118" s="255"/>
      <c r="PN118" s="255"/>
      <c r="PO118" s="255"/>
      <c r="PP118" s="255"/>
      <c r="PQ118" s="255"/>
      <c r="PR118" s="255"/>
      <c r="PS118" s="255"/>
      <c r="PT118" s="255"/>
      <c r="PU118" s="255"/>
      <c r="PV118" s="255"/>
      <c r="PW118" s="255"/>
      <c r="PX118" s="255"/>
      <c r="PY118" s="255"/>
      <c r="PZ118" s="255"/>
      <c r="QA118" s="255"/>
      <c r="QB118" s="255"/>
      <c r="QC118" s="255"/>
      <c r="QD118" s="255"/>
      <c r="QE118" s="255"/>
      <c r="QF118" s="255"/>
      <c r="QG118" s="255"/>
      <c r="QH118" s="255"/>
      <c r="QI118" s="255"/>
      <c r="QJ118" s="255"/>
      <c r="QK118" s="255"/>
      <c r="QL118" s="255"/>
      <c r="QM118" s="255"/>
      <c r="QN118" s="255"/>
      <c r="QO118" s="255"/>
      <c r="QP118" s="255"/>
      <c r="QQ118" s="255"/>
      <c r="QR118" s="255"/>
      <c r="QS118" s="255"/>
      <c r="QT118" s="255"/>
      <c r="QU118" s="255"/>
      <c r="QV118" s="255"/>
      <c r="QW118" s="255"/>
      <c r="QX118" s="255"/>
      <c r="QY118" s="255"/>
      <c r="QZ118" s="255"/>
      <c r="RA118" s="255"/>
      <c r="RB118" s="255"/>
      <c r="RC118" s="255"/>
      <c r="RD118" s="255"/>
      <c r="RE118" s="255"/>
      <c r="RF118" s="255"/>
      <c r="RG118" s="255"/>
      <c r="RH118" s="255"/>
      <c r="RI118" s="255"/>
      <c r="RJ118" s="255"/>
      <c r="RK118" s="255"/>
      <c r="RL118" s="255"/>
      <c r="RM118" s="255"/>
      <c r="RN118" s="255"/>
      <c r="RO118" s="255"/>
      <c r="RP118" s="255"/>
      <c r="RQ118" s="255"/>
      <c r="RR118" s="255"/>
      <c r="RS118" s="255"/>
      <c r="RT118" s="255"/>
      <c r="RU118" s="255"/>
      <c r="RV118" s="255"/>
      <c r="RW118" s="255"/>
      <c r="RX118" s="255"/>
      <c r="RY118" s="255"/>
      <c r="RZ118" s="255"/>
      <c r="SA118" s="255"/>
      <c r="SB118" s="255"/>
      <c r="SC118" s="255"/>
      <c r="SD118" s="255"/>
      <c r="SE118" s="255"/>
      <c r="SF118" s="255"/>
      <c r="SG118" s="255"/>
      <c r="SH118" s="255"/>
      <c r="SI118" s="255"/>
      <c r="SJ118" s="255"/>
      <c r="SK118" s="255"/>
      <c r="SL118" s="255"/>
      <c r="SM118" s="255"/>
      <c r="SN118" s="255"/>
      <c r="SO118" s="255"/>
      <c r="SP118" s="255"/>
      <c r="SQ118" s="255"/>
      <c r="SR118" s="255"/>
      <c r="SS118" s="255"/>
      <c r="ST118" s="255"/>
      <c r="SU118" s="255"/>
      <c r="SV118" s="255"/>
      <c r="SW118" s="255"/>
      <c r="SX118" s="255"/>
      <c r="SY118" s="255"/>
      <c r="SZ118" s="255"/>
      <c r="TA118" s="255"/>
      <c r="TB118" s="255"/>
      <c r="TC118" s="255"/>
      <c r="TD118" s="255"/>
      <c r="TE118" s="255"/>
      <c r="TF118" s="255"/>
      <c r="TG118" s="255"/>
      <c r="TH118" s="255"/>
      <c r="TI118" s="255"/>
      <c r="TJ118" s="255"/>
      <c r="TK118" s="255"/>
      <c r="TL118" s="255"/>
      <c r="TM118" s="255"/>
      <c r="TN118" s="255"/>
      <c r="TO118" s="255"/>
      <c r="TP118" s="255"/>
      <c r="TQ118" s="255"/>
      <c r="TR118" s="255"/>
      <c r="TS118" s="255"/>
      <c r="TT118" s="255"/>
      <c r="TU118" s="255"/>
      <c r="TV118" s="255"/>
      <c r="TW118" s="255"/>
      <c r="TX118" s="255"/>
      <c r="TY118" s="255"/>
      <c r="TZ118" s="255"/>
      <c r="UA118" s="255"/>
      <c r="UB118" s="255"/>
      <c r="UC118" s="255"/>
      <c r="UD118" s="255"/>
      <c r="UE118" s="255"/>
      <c r="UF118" s="255"/>
      <c r="UG118" s="255"/>
      <c r="UH118" s="255"/>
      <c r="UI118" s="255"/>
      <c r="UJ118" s="255"/>
      <c r="UK118" s="255"/>
      <c r="UL118" s="255"/>
      <c r="UM118" s="255"/>
      <c r="UN118" s="255"/>
      <c r="UO118" s="255"/>
      <c r="UP118" s="255"/>
      <c r="UQ118" s="255"/>
      <c r="UR118" s="255"/>
      <c r="US118" s="255"/>
      <c r="UT118" s="255"/>
      <c r="UU118" s="255"/>
      <c r="UV118" s="255"/>
      <c r="UW118" s="255"/>
      <c r="UX118" s="255"/>
      <c r="UY118" s="255"/>
      <c r="UZ118" s="255"/>
      <c r="VA118" s="255"/>
      <c r="VB118" s="255"/>
      <c r="VC118" s="255"/>
      <c r="VD118" s="255"/>
      <c r="VE118" s="255"/>
      <c r="VF118" s="255"/>
      <c r="VG118" s="255"/>
      <c r="VH118" s="255"/>
      <c r="VI118" s="255"/>
      <c r="VJ118" s="255"/>
      <c r="VK118" s="255"/>
      <c r="VL118" s="255"/>
      <c r="VM118" s="255"/>
      <c r="VN118" s="255"/>
      <c r="VO118" s="255"/>
      <c r="VP118" s="255"/>
      <c r="VQ118" s="255"/>
      <c r="VR118" s="255"/>
      <c r="VS118" s="255"/>
      <c r="VT118" s="255"/>
      <c r="VU118" s="255"/>
      <c r="VV118" s="255"/>
      <c r="VW118" s="255"/>
      <c r="VX118" s="255"/>
      <c r="VY118" s="255"/>
      <c r="VZ118" s="255"/>
      <c r="WA118" s="255"/>
      <c r="WB118" s="255"/>
      <c r="WC118" s="255"/>
      <c r="WD118" s="255"/>
      <c r="WE118" s="255"/>
      <c r="WF118" s="255"/>
      <c r="WG118" s="255"/>
      <c r="WH118" s="255"/>
      <c r="WI118" s="255"/>
      <c r="WJ118" s="255"/>
      <c r="WK118" s="255"/>
      <c r="WL118" s="255"/>
      <c r="WM118" s="255"/>
      <c r="WN118" s="255"/>
      <c r="WO118" s="255"/>
      <c r="WP118" s="255"/>
      <c r="WQ118" s="255"/>
      <c r="WR118" s="255"/>
      <c r="WS118" s="255"/>
      <c r="WT118" s="255"/>
      <c r="WU118" s="255"/>
      <c r="WV118" s="255"/>
      <c r="WW118" s="255"/>
      <c r="WX118" s="255"/>
      <c r="WY118" s="255"/>
      <c r="WZ118" s="255"/>
      <c r="XA118" s="255"/>
      <c r="XB118" s="255"/>
      <c r="XC118" s="255"/>
      <c r="XD118" s="255"/>
      <c r="XE118" s="255"/>
      <c r="XF118" s="255"/>
      <c r="XG118" s="255"/>
      <c r="XH118" s="255"/>
      <c r="XI118" s="255"/>
      <c r="XJ118" s="255"/>
      <c r="XK118" s="255"/>
      <c r="XL118" s="255"/>
      <c r="XM118" s="255"/>
      <c r="XN118" s="255"/>
      <c r="XO118" s="255"/>
      <c r="XP118" s="255"/>
      <c r="XQ118" s="255"/>
      <c r="XR118" s="255"/>
      <c r="XS118" s="255"/>
      <c r="XT118" s="255"/>
      <c r="XU118" s="255"/>
      <c r="XV118" s="255"/>
      <c r="XW118" s="255"/>
      <c r="XX118" s="255"/>
      <c r="XY118" s="255"/>
      <c r="XZ118" s="255"/>
      <c r="YA118" s="255"/>
      <c r="YB118" s="255"/>
      <c r="YC118" s="255"/>
      <c r="YD118" s="255"/>
      <c r="YE118" s="255"/>
      <c r="YF118" s="255"/>
      <c r="YG118" s="255"/>
      <c r="YH118" s="255"/>
      <c r="YI118" s="255"/>
      <c r="YJ118" s="255"/>
      <c r="YK118" s="255"/>
      <c r="YL118" s="255"/>
      <c r="YM118" s="255"/>
      <c r="YN118" s="255"/>
      <c r="YO118" s="255"/>
      <c r="YP118" s="255"/>
      <c r="YQ118" s="255"/>
      <c r="YR118" s="255"/>
      <c r="YS118" s="255"/>
      <c r="YT118" s="255"/>
      <c r="YU118" s="255"/>
      <c r="YV118" s="255"/>
      <c r="YW118" s="255"/>
      <c r="YX118" s="255"/>
      <c r="YY118" s="255"/>
      <c r="YZ118" s="255"/>
      <c r="ZA118" s="255"/>
      <c r="ZB118" s="255"/>
      <c r="ZC118" s="255"/>
      <c r="ZD118" s="255"/>
      <c r="ZE118" s="255"/>
      <c r="ZF118" s="255"/>
      <c r="ZG118" s="255"/>
      <c r="ZH118" s="255"/>
      <c r="ZI118" s="255"/>
      <c r="ZJ118" s="255"/>
      <c r="ZK118" s="255"/>
      <c r="ZL118" s="255"/>
      <c r="ZM118" s="255"/>
      <c r="ZN118" s="255"/>
      <c r="ZO118" s="255"/>
      <c r="ZP118" s="255"/>
      <c r="ZQ118" s="255"/>
      <c r="ZR118" s="255"/>
      <c r="ZS118" s="255"/>
      <c r="ZT118" s="255"/>
      <c r="ZU118" s="255"/>
      <c r="ZV118" s="255"/>
      <c r="ZW118" s="255"/>
      <c r="ZX118" s="255"/>
      <c r="ZY118" s="255"/>
      <c r="ZZ118" s="255"/>
      <c r="AAA118" s="255"/>
      <c r="AAB118" s="255"/>
      <c r="AAC118" s="255"/>
      <c r="AAD118" s="255"/>
      <c r="AAE118" s="255"/>
      <c r="AAF118" s="255"/>
      <c r="AAG118" s="255"/>
      <c r="AAH118" s="255"/>
      <c r="AAI118" s="255"/>
      <c r="AAJ118" s="255"/>
      <c r="AAK118" s="255"/>
      <c r="AAL118" s="255"/>
      <c r="AAM118" s="255"/>
      <c r="AAN118" s="255"/>
      <c r="AAO118" s="255"/>
      <c r="AAP118" s="255"/>
      <c r="AAQ118" s="255"/>
      <c r="AAR118" s="255"/>
      <c r="AAS118" s="255"/>
      <c r="AAT118" s="255"/>
      <c r="AAU118" s="255"/>
      <c r="AAV118" s="255"/>
      <c r="AAW118" s="255"/>
      <c r="AAX118" s="255"/>
      <c r="AAY118" s="255"/>
      <c r="AAZ118" s="255"/>
      <c r="ABA118" s="255"/>
      <c r="ABB118" s="255"/>
      <c r="ABC118" s="255"/>
      <c r="ABD118" s="255"/>
      <c r="ABE118" s="255"/>
      <c r="ABF118" s="255"/>
      <c r="ABG118" s="255"/>
      <c r="ABH118" s="255"/>
      <c r="ABI118" s="255"/>
      <c r="ABJ118" s="255"/>
      <c r="ABK118" s="255"/>
      <c r="ABL118" s="255"/>
      <c r="ABM118" s="255"/>
      <c r="ABN118" s="255"/>
      <c r="ABO118" s="255"/>
      <c r="ABP118" s="255"/>
      <c r="ABQ118" s="255"/>
      <c r="ABR118" s="255"/>
      <c r="ABS118" s="255"/>
      <c r="ABT118" s="255"/>
      <c r="ABU118" s="255"/>
      <c r="ABV118" s="255"/>
      <c r="ABW118" s="255"/>
      <c r="ABX118" s="255"/>
      <c r="ABY118" s="255"/>
      <c r="ABZ118" s="255"/>
      <c r="ACA118" s="255"/>
      <c r="ACB118" s="255"/>
      <c r="ACC118" s="255"/>
      <c r="ACD118" s="255"/>
      <c r="ACE118" s="255"/>
      <c r="ACF118" s="255"/>
      <c r="ACG118" s="255"/>
      <c r="ACH118" s="255"/>
      <c r="ACI118" s="255"/>
      <c r="ACJ118" s="255"/>
      <c r="ACK118" s="255"/>
      <c r="ACL118" s="255"/>
      <c r="ACM118" s="255"/>
      <c r="ACN118" s="255"/>
      <c r="ACO118" s="255"/>
      <c r="ACP118" s="255"/>
      <c r="ACQ118" s="255"/>
      <c r="ACR118" s="255"/>
      <c r="ACS118" s="255"/>
      <c r="ACT118" s="255"/>
      <c r="ACU118" s="255"/>
      <c r="ACV118" s="255"/>
      <c r="ACW118" s="255"/>
      <c r="ACX118" s="255"/>
      <c r="ACY118" s="255"/>
      <c r="ACZ118" s="255"/>
      <c r="ADA118" s="255"/>
      <c r="ADB118" s="255"/>
      <c r="ADC118" s="255"/>
      <c r="ADD118" s="255"/>
      <c r="ADE118" s="255"/>
      <c r="ADF118" s="255"/>
      <c r="ADG118" s="255"/>
      <c r="ADH118" s="255"/>
      <c r="ADI118" s="255"/>
      <c r="ADJ118" s="255"/>
      <c r="ADK118" s="255"/>
      <c r="ADL118" s="255"/>
      <c r="ADM118" s="255"/>
      <c r="ADN118" s="255"/>
      <c r="ADO118" s="255"/>
      <c r="ADP118" s="255"/>
      <c r="ADQ118" s="255"/>
      <c r="ADR118" s="255"/>
      <c r="ADS118" s="255"/>
      <c r="ADT118" s="255"/>
      <c r="ADU118" s="255"/>
      <c r="ADV118" s="255"/>
      <c r="ADW118" s="255"/>
      <c r="ADX118" s="255"/>
      <c r="ADY118" s="255"/>
      <c r="ADZ118" s="255"/>
      <c r="AEA118" s="255"/>
      <c r="AEB118" s="255"/>
      <c r="AEC118" s="255"/>
      <c r="AED118" s="255"/>
      <c r="AEE118" s="255"/>
      <c r="AEF118" s="255"/>
      <c r="AEG118" s="255"/>
      <c r="AEH118" s="255"/>
      <c r="AEI118" s="255"/>
      <c r="AEJ118" s="255"/>
      <c r="AEK118" s="255"/>
      <c r="AEL118" s="255"/>
      <c r="AEM118" s="255"/>
      <c r="AEN118" s="255"/>
      <c r="AEO118" s="255"/>
      <c r="AEP118" s="255"/>
      <c r="AEQ118" s="255"/>
      <c r="AER118" s="255"/>
      <c r="AES118" s="255"/>
      <c r="AET118" s="255"/>
      <c r="AEU118" s="255"/>
      <c r="AEV118" s="255"/>
      <c r="AEW118" s="255"/>
      <c r="AEX118" s="255"/>
      <c r="AEY118" s="255"/>
      <c r="AEZ118" s="255"/>
      <c r="AFA118" s="255"/>
      <c r="AFB118" s="255"/>
      <c r="AFC118" s="255"/>
      <c r="AFD118" s="255"/>
      <c r="AFE118" s="255"/>
      <c r="AFF118" s="255"/>
      <c r="AFG118" s="255"/>
      <c r="AFH118" s="255"/>
      <c r="AFI118" s="255"/>
      <c r="AFJ118" s="255"/>
      <c r="AFK118" s="255"/>
      <c r="AFL118" s="255"/>
      <c r="AFM118" s="255"/>
      <c r="AFN118" s="255"/>
      <c r="AFO118" s="255"/>
      <c r="AFP118" s="255"/>
      <c r="AFQ118" s="255"/>
      <c r="AFR118" s="255"/>
      <c r="AFS118" s="255"/>
      <c r="AFT118" s="255"/>
      <c r="AFU118" s="255"/>
      <c r="AFV118" s="255"/>
      <c r="AFW118" s="255"/>
      <c r="AFX118" s="255"/>
      <c r="AFY118" s="255"/>
      <c r="AFZ118" s="255"/>
      <c r="AGA118" s="255"/>
      <c r="AGB118" s="255"/>
      <c r="AGC118" s="255"/>
      <c r="AGD118" s="255"/>
      <c r="AGE118" s="255"/>
      <c r="AGF118" s="255"/>
      <c r="AGG118" s="255"/>
      <c r="AGH118" s="255"/>
      <c r="AGI118" s="255"/>
      <c r="AGJ118" s="255"/>
      <c r="AGK118" s="255"/>
      <c r="AGL118" s="255"/>
      <c r="AGM118" s="255"/>
      <c r="AGN118" s="255"/>
      <c r="AGO118" s="255"/>
      <c r="AGP118" s="255"/>
      <c r="AGQ118" s="255"/>
      <c r="AGR118" s="255"/>
      <c r="AGS118" s="255"/>
      <c r="AGT118" s="255"/>
      <c r="AGU118" s="255"/>
      <c r="AGV118" s="255"/>
      <c r="AGW118" s="255"/>
      <c r="AGX118" s="255"/>
      <c r="AGY118" s="255"/>
      <c r="AGZ118" s="255"/>
      <c r="AHA118" s="255"/>
      <c r="AHB118" s="255"/>
      <c r="AHC118" s="255"/>
      <c r="AHD118" s="255"/>
      <c r="AHE118" s="255"/>
      <c r="AHF118" s="255"/>
      <c r="AHG118" s="255"/>
      <c r="AHH118" s="255"/>
      <c r="AHI118" s="255"/>
      <c r="AHJ118" s="255"/>
      <c r="AHK118" s="255"/>
      <c r="AHL118" s="255"/>
      <c r="AHM118" s="255"/>
      <c r="AHN118" s="255"/>
      <c r="AHO118" s="255"/>
      <c r="AHP118" s="255"/>
      <c r="AHQ118" s="255"/>
      <c r="AHR118" s="255"/>
      <c r="AHS118" s="255"/>
      <c r="AHT118" s="255"/>
      <c r="AHU118" s="255"/>
      <c r="AHV118" s="255"/>
      <c r="AHW118" s="255"/>
      <c r="AHX118" s="255"/>
      <c r="AHY118" s="255"/>
      <c r="AHZ118" s="255"/>
      <c r="AIA118" s="255"/>
      <c r="AIB118" s="255"/>
      <c r="AIC118" s="255"/>
      <c r="AID118" s="255"/>
      <c r="AIE118" s="255"/>
      <c r="AIF118" s="255"/>
      <c r="AIG118" s="255"/>
      <c r="AIH118" s="255"/>
      <c r="AII118" s="255"/>
      <c r="AIJ118" s="255"/>
      <c r="AIK118" s="255"/>
      <c r="AIL118" s="255"/>
      <c r="AIM118" s="255"/>
      <c r="AIN118" s="255"/>
      <c r="AIO118" s="255"/>
      <c r="AIP118" s="255"/>
      <c r="AIQ118" s="255"/>
      <c r="AIR118" s="255"/>
      <c r="AIS118" s="255"/>
      <c r="AIT118" s="255"/>
      <c r="AIU118" s="255"/>
      <c r="AIV118" s="255"/>
      <c r="AIW118" s="255"/>
      <c r="AIX118" s="255"/>
      <c r="AIY118" s="255"/>
      <c r="AIZ118" s="255"/>
      <c r="AJA118" s="255"/>
      <c r="AJB118" s="255"/>
      <c r="AJC118" s="255"/>
      <c r="AJD118" s="255"/>
      <c r="AJE118" s="255"/>
      <c r="AJF118" s="255"/>
      <c r="AJG118" s="255"/>
      <c r="AJH118" s="255"/>
      <c r="AJI118" s="255"/>
      <c r="AJJ118" s="255"/>
      <c r="AJK118" s="255"/>
      <c r="AJL118" s="255"/>
      <c r="AJM118" s="255"/>
      <c r="AJN118" s="255"/>
      <c r="AJO118" s="255"/>
      <c r="AJP118" s="255"/>
      <c r="AJQ118" s="255"/>
      <c r="AJR118" s="255"/>
      <c r="AJS118" s="255"/>
      <c r="AJT118" s="255"/>
      <c r="AJU118" s="255"/>
      <c r="AJV118" s="255"/>
      <c r="AJW118" s="255"/>
      <c r="AJX118" s="255"/>
      <c r="AJY118" s="255"/>
      <c r="AJZ118" s="255"/>
      <c r="AKA118" s="255"/>
      <c r="AKB118" s="255"/>
      <c r="AKC118" s="255"/>
      <c r="AKD118" s="255"/>
      <c r="AKE118" s="255"/>
      <c r="AKF118" s="255"/>
      <c r="AKG118" s="255"/>
      <c r="AKH118" s="255"/>
      <c r="AKI118" s="255"/>
      <c r="AKJ118" s="255"/>
      <c r="AKK118" s="255"/>
      <c r="AKL118" s="255"/>
      <c r="AKM118" s="255"/>
      <c r="AKN118" s="255"/>
      <c r="AKO118" s="255"/>
      <c r="AKP118" s="255"/>
      <c r="AKQ118" s="255"/>
      <c r="AKR118" s="255"/>
      <c r="AKS118" s="255"/>
      <c r="AKT118" s="255"/>
      <c r="AKU118" s="255"/>
      <c r="AKV118" s="255"/>
      <c r="AKW118" s="255"/>
      <c r="AKX118" s="255"/>
      <c r="AKY118" s="255"/>
      <c r="AKZ118" s="255"/>
      <c r="ALA118" s="255"/>
      <c r="ALB118" s="255"/>
      <c r="ALC118" s="255"/>
      <c r="ALD118" s="255"/>
      <c r="ALE118" s="255"/>
      <c r="ALF118" s="255"/>
      <c r="ALG118" s="255"/>
      <c r="ALH118" s="255"/>
      <c r="ALI118" s="255"/>
      <c r="ALJ118" s="255"/>
      <c r="ALK118" s="255"/>
      <c r="ALL118" s="255"/>
      <c r="ALM118" s="255"/>
      <c r="ALN118" s="255"/>
      <c r="ALO118" s="255"/>
      <c r="ALP118" s="255"/>
      <c r="ALQ118" s="255"/>
      <c r="ALR118" s="255"/>
      <c r="ALS118" s="255"/>
    </row>
    <row r="119" spans="1:1007" s="99" customFormat="1" ht="15">
      <c r="A119" s="680" t="s">
        <v>6927</v>
      </c>
      <c r="B119" s="680"/>
      <c r="C119" s="680"/>
      <c r="D119" s="680"/>
      <c r="E119" s="680"/>
      <c r="F119" s="680"/>
      <c r="G119" s="680"/>
      <c r="H119" s="680"/>
      <c r="I119" s="680"/>
      <c r="J119" s="281">
        <f>SUM(J114:J118)</f>
        <v>10231.674532349998</v>
      </c>
      <c r="K119" s="255"/>
      <c r="L119" s="255"/>
      <c r="M119" s="255"/>
      <c r="N119" s="255"/>
      <c r="O119" s="255"/>
      <c r="P119" s="223"/>
    </row>
    <row r="120" spans="1:1007" s="1" customFormat="1" ht="15" customHeight="1">
      <c r="A120" s="251"/>
      <c r="B120" s="299">
        <v>184</v>
      </c>
      <c r="C120" s="340" t="s">
        <v>591</v>
      </c>
      <c r="D120" s="274"/>
      <c r="E120" s="276"/>
      <c r="F120" s="276"/>
      <c r="G120" s="276"/>
      <c r="H120" s="276"/>
      <c r="I120" s="276"/>
      <c r="J120" s="276"/>
      <c r="K120" s="255"/>
      <c r="L120" s="255"/>
      <c r="M120" s="255"/>
      <c r="N120" s="255"/>
      <c r="O120" s="257"/>
      <c r="P120" s="223"/>
    </row>
    <row r="121" spans="1:1007" ht="24">
      <c r="A121" s="251" t="s">
        <v>7</v>
      </c>
      <c r="B121" s="290">
        <v>95241</v>
      </c>
      <c r="C121" s="278" t="str">
        <f>(IF($A121="SINAPI",INDEX(SINAPI_NOV2020_NDES!$A$7:$H$6703,MATCH($B121,SINAPI_NOV2020_NDES!$A$7:$A$6703,0),2),IF($A121="GOINFRA",INDEX(#REF!,MATCH($B121,#REF!,0),2),(INDEX(COMPOS!$A$4:$G$390,MATCH($B121,COMPOS!$A$4:A$390,0),2)))))</f>
        <v>LASTRO DE CONCRETO MAGRO, APLICADO EM PISOS OU RADIERS, ESPESSURA DE 5 CM. AF_07/2016</v>
      </c>
      <c r="D121" s="374" t="str">
        <f>(IF($A121="SINAPI",INDEX(SINAPI_NOV2020_NDES!$A$7:$H$6790,MATCH($B121,SINAPI_NOV2020_NDES!$A$7:$A$6790,0),3),(INDEX(COMPOS!$A$4:$G$5000,MATCH($B121,COMPOS!$A$4:$A$5000,0),3))))</f>
        <v>M2</v>
      </c>
      <c r="E121" s="276">
        <f>15.82*2</f>
        <v>31.64</v>
      </c>
      <c r="F121" s="279">
        <f>(IF($A121="SINAPI",INDEX(SINAPI_NOV2020_NDES!$A$7:$H$6703,MATCH($B121,SINAPI_NOV2020_NDES!$A$7:$A$6703,0),5),(INDEX(COMPOS!$A$4:$G$801,MATCH($B121,COMPOS!$A$4:A$801,0),4))))</f>
        <v>8.26</v>
      </c>
      <c r="G121" s="280">
        <f>(IF($A121="SINAPI",INDEX(SINAPI_NOV2020_NDES!$A$7:$H$6703,MATCH($B121,SINAPI_NOV2020_NDES!$A$7:$A$6703,0),6),(INDEX(COMPOS!$A$4:$G$801,MATCH($B121,COMPOS!$A$4:A$801,0),5))))</f>
        <v>16.48</v>
      </c>
      <c r="H121" s="280">
        <f>(IF($A121="SINAPI",INDEX(SINAPI_NOV2020_NDES!$A$7:$H$6703,MATCH($B121,SINAPI_NOV2020_NDES!$A$7:$A$6703,0),7),(INDEX(COMPOS!$A$4:$G$801,MATCH($B121,COMPOS!$A$4:A$801,0),6))))</f>
        <v>0.09</v>
      </c>
      <c r="I121" s="279">
        <f t="shared" ref="I121" si="30">SUM(F121:H121)</f>
        <v>24.830000000000002</v>
      </c>
      <c r="J121" s="276">
        <f t="shared" ref="J121" si="31">+I121*E121</f>
        <v>785.62120000000004</v>
      </c>
      <c r="K121" s="255"/>
      <c r="L121" s="255"/>
      <c r="M121" s="255"/>
      <c r="N121" s="255"/>
      <c r="O121" s="257"/>
    </row>
    <row r="122" spans="1:1007" ht="24">
      <c r="A122" s="251" t="s">
        <v>6307</v>
      </c>
      <c r="B122" s="290">
        <v>348</v>
      </c>
      <c r="C122" s="278" t="str">
        <f>(IF($A122="SINAPI",INDEX(SINAPI_NOV2020_NDES!$A$7:$H$6703,MATCH($B122,SINAPI_NOV2020_NDES!$A$7:$A$6703,0),2),IF($A122="GOINFRA",INDEX(#REF!,MATCH($B122,#REF!,0),2),(INDEX(COMPOS!$A$4:$G$390,MATCH($B122,COMPOS!$A$4:A$390,0),2)))))</f>
        <v>PASSEIO DE PROTEÇÃO EM CONCRETO DESEMPENADO 5CM (1:2,5:3,5) (INCLUSO ESPELHO DE 30CM/ESCAVAÇÃO/REATERRO/APILOAMENTO/ATERRO INTERNO)</v>
      </c>
      <c r="D122" s="374" t="str">
        <f>(IF($A122="SINAPI",INDEX(SINAPI_NOV2020_NDES!$A$7:$H$6790,MATCH($B122,SINAPI_NOV2020_NDES!$A$7:$A$6790,0),3),(INDEX(COMPOS!$A$4:$G$5000,MATCH($B122,COMPOS!$A$4:$A$5000,0),3))))</f>
        <v>M2</v>
      </c>
      <c r="E122" s="314">
        <v>91.85</v>
      </c>
      <c r="F122" s="279">
        <f>(IF($A122="SINAPI",INDEX(SINAPI_NOV2020_NDES!$A$7:$H$6703,MATCH($B122,SINAPI_NOV2020_NDES!$A$7:$A$6703,0),5),(INDEX(COMPOS!$A$4:$G$801,MATCH($B122,COMPOS!$A$4:A$801,0),4))))</f>
        <v>43.421984000000002</v>
      </c>
      <c r="G122" s="280">
        <f>(IF($A122="SINAPI",INDEX(SINAPI_NOV2020_NDES!$A$7:$H$6703,MATCH($B122,SINAPI_NOV2020_NDES!$A$7:$A$6703,0),6),(INDEX(COMPOS!$A$4:$G$801,MATCH($B122,COMPOS!$A$4:A$801,0),5))))</f>
        <v>31.570292999999999</v>
      </c>
      <c r="H122" s="280">
        <f>(IF($A122="SINAPI",INDEX(SINAPI_NOV2020_NDES!$A$7:$H$6703,MATCH($B122,SINAPI_NOV2020_NDES!$A$7:$A$6703,0),7),(INDEX(COMPOS!$A$4:$G$801,MATCH($B122,COMPOS!$A$4:A$801,0),6))))</f>
        <v>0</v>
      </c>
      <c r="I122" s="279">
        <f t="shared" ref="I122" si="32">SUM(F122:H122)</f>
        <v>74.992277000000001</v>
      </c>
      <c r="J122" s="276">
        <f t="shared" ref="J122" si="33">+I122*E122</f>
        <v>6888.0406424499997</v>
      </c>
      <c r="K122" s="255"/>
      <c r="L122" s="255"/>
      <c r="M122" s="255"/>
      <c r="N122" s="255"/>
      <c r="O122" s="255"/>
    </row>
    <row r="123" spans="1:1007">
      <c r="A123" s="680" t="s">
        <v>6927</v>
      </c>
      <c r="B123" s="680"/>
      <c r="C123" s="680"/>
      <c r="D123" s="680"/>
      <c r="E123" s="680"/>
      <c r="F123" s="680"/>
      <c r="G123" s="680"/>
      <c r="H123" s="680"/>
      <c r="I123" s="680"/>
      <c r="J123" s="281">
        <f>SUM(J121:J122)</f>
        <v>7673.6618424499993</v>
      </c>
      <c r="K123" s="255"/>
      <c r="L123" s="255"/>
      <c r="M123" s="255"/>
      <c r="N123" s="255"/>
      <c r="O123" s="255"/>
    </row>
    <row r="124" spans="1:1007">
      <c r="A124" s="251"/>
      <c r="B124" s="299">
        <v>185</v>
      </c>
      <c r="C124" s="340" t="s">
        <v>590</v>
      </c>
      <c r="D124" s="274"/>
      <c r="E124" s="276"/>
      <c r="F124" s="276"/>
      <c r="G124" s="276"/>
      <c r="H124" s="276"/>
      <c r="I124" s="276"/>
      <c r="J124" s="276"/>
      <c r="K124" s="255"/>
      <c r="L124" s="255"/>
      <c r="M124" s="255"/>
      <c r="N124" s="255"/>
      <c r="O124" s="257"/>
    </row>
    <row r="125" spans="1:1007" ht="24">
      <c r="A125" s="251" t="s">
        <v>7</v>
      </c>
      <c r="B125" s="290">
        <v>100869</v>
      </c>
      <c r="C125" s="278" t="str">
        <f>(IF($A125="SINAPI",INDEX(SINAPI_NOV2020_NDES!$A$7:$H$6703,MATCH($B125,SINAPI_NOV2020_NDES!$A$7:$A$6703,0),2),IF($A125="GOINFRA",INDEX(#REF!,MATCH($B125,#REF!,0),2),(INDEX(COMPOS!$A$4:$G$390,MATCH($B125,COMPOS!$A$4:A$390,0),2)))))</f>
        <v>BARRA DE APOIO RETA, EM ACO INOX POLIDO, COMPRIMENTO 90 CM,  FIXADA NA PAREDE - FORNECIMENTO E INSTALAÇÃO. AF_01/2020</v>
      </c>
      <c r="D125" s="374" t="str">
        <f>(IF($A125="SINAPI",INDEX(SINAPI_NOV2020_NDES!$A$7:$H$6790,MATCH($B125,SINAPI_NOV2020_NDES!$A$7:$A$6790,0),3),(INDEX(COMPOS!$A$4:$G$5000,MATCH($B125,COMPOS!$A$4:$A$5000,0),3))))</f>
        <v>UN</v>
      </c>
      <c r="E125" s="314">
        <v>6</v>
      </c>
      <c r="F125" s="279">
        <f>(IF($A125="SINAPI",INDEX(SINAPI_NOV2020_NDES!$A$7:$H$6703,MATCH($B125,SINAPI_NOV2020_NDES!$A$7:$A$6703,0),5),(INDEX(COMPOS!$A$4:$G$801,MATCH($B125,COMPOS!$A$4:A$801,0),4))))</f>
        <v>19.36</v>
      </c>
      <c r="G125" s="280">
        <f>(IF($A125="SINAPI",INDEX(SINAPI_NOV2020_NDES!$A$7:$H$6703,MATCH($B125,SINAPI_NOV2020_NDES!$A$7:$A$6703,0),6),(INDEX(COMPOS!$A$4:$G$801,MATCH($B125,COMPOS!$A$4:A$801,0),5))))</f>
        <v>225.87</v>
      </c>
      <c r="H125" s="280">
        <f>(IF($A125="SINAPI",INDEX(SINAPI_NOV2020_NDES!$A$7:$H$6703,MATCH($B125,SINAPI_NOV2020_NDES!$A$7:$A$6703,0),7),(INDEX(COMPOS!$A$4:$G$801,MATCH($B125,COMPOS!$A$4:A$801,0),6))))</f>
        <v>0</v>
      </c>
      <c r="I125" s="279">
        <f t="shared" ref="I125" si="34">SUM(F125:H125)</f>
        <v>245.23000000000002</v>
      </c>
      <c r="J125" s="276">
        <f t="shared" ref="J125" si="35">+I125*E125</f>
        <v>1471.38</v>
      </c>
      <c r="K125" s="255"/>
      <c r="L125" s="255"/>
      <c r="M125" s="255"/>
      <c r="N125" s="255"/>
      <c r="O125" s="255"/>
    </row>
    <row r="126" spans="1:1007">
      <c r="A126" s="680" t="s">
        <v>6927</v>
      </c>
      <c r="B126" s="680"/>
      <c r="C126" s="680"/>
      <c r="D126" s="680"/>
      <c r="E126" s="680"/>
      <c r="F126" s="680"/>
      <c r="G126" s="680"/>
      <c r="H126" s="680"/>
      <c r="I126" s="680"/>
      <c r="J126" s="281">
        <f>SUM(J125)</f>
        <v>1471.38</v>
      </c>
      <c r="K126" s="255"/>
      <c r="L126" s="255"/>
      <c r="M126" s="255"/>
      <c r="N126" s="255"/>
      <c r="O126" s="255"/>
    </row>
    <row r="127" spans="1:1007">
      <c r="A127" s="251"/>
      <c r="B127" s="299">
        <v>188</v>
      </c>
      <c r="C127" s="340" t="s">
        <v>587</v>
      </c>
      <c r="D127" s="274"/>
      <c r="E127" s="276"/>
      <c r="F127" s="276"/>
      <c r="G127" s="276"/>
      <c r="H127" s="276"/>
      <c r="I127" s="276"/>
      <c r="J127" s="276"/>
      <c r="K127" s="255"/>
      <c r="L127" s="255"/>
      <c r="M127" s="255"/>
      <c r="N127" s="255"/>
      <c r="O127" s="257"/>
    </row>
    <row r="128" spans="1:1007" ht="28.5" customHeight="1">
      <c r="A128" s="289" t="s">
        <v>6307</v>
      </c>
      <c r="B128" s="290">
        <v>360</v>
      </c>
      <c r="C128" s="278" t="str">
        <f>(IF($A128="SINAPI",INDEX(SINAPI_NOV2020_NDES!$A$7:$H$6703,MATCH($B128,SINAPI_NOV2020_NDES!$A$7:$A$6703,0),2),IF($A128="GOINFRA",INDEX(#REF!,MATCH($B128,#REF!,0),2),(INDEX(COMPOS!$A$4:$G$390,MATCH($B128,COMPOS!$A$4:A$390,0),2)))))</f>
        <v>PINTURA ESMALTE/ESQUADRIA DE FERRO COM FUNDO ANTI-CORROSIVO</v>
      </c>
      <c r="D128" s="374" t="str">
        <f>(IF($A128="SINAPI",INDEX(SINAPI_NOV2020_NDES!$A$7:$H$6790,MATCH($B128,SINAPI_NOV2020_NDES!$A$7:$A$6790,0),3),(INDEX(COMPOS!$A$4:$G$5000,MATCH($B128,COMPOS!$A$4:$A$5000,0),3))))</f>
        <v>M2</v>
      </c>
      <c r="E128" s="314">
        <v>365.89</v>
      </c>
      <c r="F128" s="279">
        <f>(IF($A128="SINAPI",INDEX(SINAPI_NOV2020_NDES!$A$7:$H$6703,MATCH($B128,SINAPI_NOV2020_NDES!$A$7:$A$6703,0),5),(INDEX(COMPOS!$A$4:$G$801,MATCH($B128,COMPOS!$A$4:A$801,0),4))))</f>
        <v>15.847708000000001</v>
      </c>
      <c r="G128" s="280">
        <f>(IF($A128="SINAPI",INDEX(SINAPI_NOV2020_NDES!$A$7:$H$6703,MATCH($B128,SINAPI_NOV2020_NDES!$A$7:$A$6703,0),6),(INDEX(COMPOS!$A$4:$G$801,MATCH($B128,COMPOS!$A$4:A$801,0),5))))</f>
        <v>6.5686479999999996</v>
      </c>
      <c r="H128" s="280">
        <f>(IF($A128="SINAPI",INDEX(SINAPI_NOV2020_NDES!$A$7:$H$6703,MATCH($B128,SINAPI_NOV2020_NDES!$A$7:$A$6703,0),7),(INDEX(COMPOS!$A$4:$G$801,MATCH($B128,COMPOS!$A$4:A$801,0),6))))</f>
        <v>0</v>
      </c>
      <c r="I128" s="279">
        <f t="shared" ref="I128" si="36">SUM(F128:H128)</f>
        <v>22.416356</v>
      </c>
      <c r="J128" s="276">
        <f t="shared" ref="J128" si="37">+I128*E128</f>
        <v>8201.920496839999</v>
      </c>
      <c r="K128" s="255"/>
      <c r="L128" s="255"/>
      <c r="M128" s="255"/>
      <c r="N128" s="255"/>
      <c r="O128" s="257"/>
    </row>
    <row r="129" spans="1:1001" ht="36">
      <c r="A129" s="251" t="s">
        <v>7</v>
      </c>
      <c r="B129" s="290">
        <v>88417</v>
      </c>
      <c r="C129" s="278" t="str">
        <f>(IF($A129="SINAPI",INDEX(SINAPI_NOV2020_NDES!$A$7:$H$6703,MATCH($B129,SINAPI_NOV2020_NDES!$A$7:$A$6703,0),2),IF($A129="GOINFRA",INDEX(#REF!,MATCH($B129,#REF!,0),2),(INDEX(COMPOS!$A$4:$G$390,MATCH($B129,COMPOS!$A$4:A$390,0),3)))))</f>
        <v>APLICAÇÃO MANUAL DE PINTURA COM TINTA TEXTURIZADA ACRÍLICA EM PANOS CEGOS DE FACHADA (SEM PRESENÇA DE VÃOS) DE EDIFÍCIOS DE MÚLTIPLOS PAVIMENTOS, UMA COR. AF_06/2014</v>
      </c>
      <c r="D129" s="374" t="str">
        <f>(IF($A129="SINAPI",INDEX(SINAPI_NOV2020_NDES!$A$7:$H$6790,MATCH($B129,SINAPI_NOV2020_NDES!$A$7:$A$6790,0),3),(INDEX(COMPOS!$A$4:$G$5000,MATCH($B129,COMPOS!$A$4:$A$5000,0),3))))</f>
        <v>M2</v>
      </c>
      <c r="E129" s="314">
        <v>580.73</v>
      </c>
      <c r="F129" s="279">
        <f>(IF($A129="SINAPI",INDEX(SINAPI_NOV2020_NDES!$A$7:$H$6703,MATCH($B129,SINAPI_NOV2020_NDES!$A$7:$A$6703,0),5),(INDEX(COMPOS!$A$4:$G$801,MATCH($B129,COMPOS!$A$4:A$801,0),4))))</f>
        <v>1.4</v>
      </c>
      <c r="G129" s="280">
        <f>(IF($A129="SINAPI",INDEX(SINAPI_NOV2020_NDES!$A$7:$H$6703,MATCH($B129,SINAPI_NOV2020_NDES!$A$7:$A$6703,0),6),(INDEX(COMPOS!$A$4:$G$801,MATCH($B129,COMPOS!$A$4:A$801,0),5))))</f>
        <v>13.54</v>
      </c>
      <c r="H129" s="280">
        <f>(IF($A129="SINAPI",INDEX(SINAPI_NOV2020_NDES!$A$7:$H$6703,MATCH($B129,SINAPI_NOV2020_NDES!$A$7:$A$6703,0),7),(INDEX(COMPOS!$A$4:$G$801,MATCH($B129,COMPOS!$A$4:A$801,0),6))))</f>
        <v>0</v>
      </c>
      <c r="I129" s="279">
        <f t="shared" ref="I129:I131" si="38">SUM(F129:H129)</f>
        <v>14.94</v>
      </c>
      <c r="J129" s="276">
        <f t="shared" ref="J129:J131" si="39">+I129*E129</f>
        <v>8676.1062000000002</v>
      </c>
      <c r="K129" s="255"/>
      <c r="L129" s="255"/>
      <c r="M129" s="255"/>
      <c r="N129" s="255"/>
      <c r="O129" s="257"/>
    </row>
    <row r="130" spans="1:1001" ht="24">
      <c r="A130" s="251" t="s">
        <v>7</v>
      </c>
      <c r="B130" s="290">
        <v>88489</v>
      </c>
      <c r="C130" s="278" t="str">
        <f>(IF($A130="SINAPI",INDEX(SINAPI_NOV2020_NDES!$A$7:$H$6703,MATCH($B130,SINAPI_NOV2020_NDES!$A$7:$A$6703,0),2),IF($A130="GOINFRA",INDEX(#REF!,MATCH($B130,#REF!,0),2),(INDEX(COMPOS!$A$4:$G$390,MATCH($B130,COMPOS!$A$4:A$390,0),3)))))</f>
        <v>APLICAÇÃO MANUAL DE PINTURA COM TINTA LÁTEX ACRÍLICA EM PAREDES, DUAS DEMÃOS. AF_06/2014</v>
      </c>
      <c r="D130" s="374" t="str">
        <f>(IF($A130="SINAPI",INDEX(SINAPI_NOV2020_NDES!$A$7:$H$6790,MATCH($B130,SINAPI_NOV2020_NDES!$A$7:$A$6790,0),3),(INDEX(COMPOS!$A$4:$G$5000,MATCH($B130,COMPOS!$A$4:$A$5000,0),3))))</f>
        <v>M2</v>
      </c>
      <c r="E130" s="314">
        <v>799.42</v>
      </c>
      <c r="F130" s="279">
        <f>(IF($A130="SINAPI",INDEX(SINAPI_NOV2020_NDES!$A$7:$H$6703,MATCH($B130,SINAPI_NOV2020_NDES!$A$7:$A$6703,0),5),(INDEX(COMPOS!$A$4:$G$801,MATCH($B130,COMPOS!$A$4:A$801,0),4))))</f>
        <v>3.93</v>
      </c>
      <c r="G130" s="280">
        <f>(IF($A130="SINAPI",INDEX(SINAPI_NOV2020_NDES!$A$7:$H$6703,MATCH($B130,SINAPI_NOV2020_NDES!$A$7:$A$6703,0),6),(INDEX(COMPOS!$A$4:$G$801,MATCH($B130,COMPOS!$A$4:A$801,0),5))))</f>
        <v>8.56</v>
      </c>
      <c r="H130" s="280">
        <f>(IF($A130="SINAPI",INDEX(SINAPI_NOV2020_NDES!$A$7:$H$6703,MATCH($B130,SINAPI_NOV2020_NDES!$A$7:$A$6703,0),7),(INDEX(COMPOS!$A$4:$G$801,MATCH($B130,COMPOS!$A$4:A$801,0),6))))</f>
        <v>0</v>
      </c>
      <c r="I130" s="279">
        <f t="shared" si="38"/>
        <v>12.49</v>
      </c>
      <c r="J130" s="276">
        <f t="shared" si="39"/>
        <v>9984.755799999999</v>
      </c>
      <c r="K130" s="255"/>
      <c r="L130" s="255"/>
      <c r="M130" s="255"/>
      <c r="N130" s="255"/>
      <c r="O130" s="257"/>
    </row>
    <row r="131" spans="1:1001" ht="24">
      <c r="A131" s="251" t="s">
        <v>7</v>
      </c>
      <c r="B131" s="290">
        <v>88485</v>
      </c>
      <c r="C131" s="278" t="str">
        <f>(IF($A131="SINAPI",INDEX(SINAPI_NOV2020_NDES!$A$7:$H$6703,MATCH($B131,SINAPI_NOV2020_NDES!$A$7:$A$6703,0),2),IF($A131="GOINFRA",INDEX(#REF!,MATCH($B131,#REF!,0),2),(INDEX(COMPOS!$A$4:$G$390,MATCH($B131,COMPOS!$A$4:A$390,0),3)))))</f>
        <v>APLICAÇÃO DE FUNDO SELADOR ACRÍLICO EM PAREDES, UMA DEMÃO. AF_06/2014</v>
      </c>
      <c r="D131" s="374" t="str">
        <f>(IF($A131="SINAPI",INDEX(SINAPI_NOV2020_NDES!$A$7:$H$6790,MATCH($B131,SINAPI_NOV2020_NDES!$A$7:$A$6790,0),3),(INDEX(COMPOS!$A$4:$G$5000,MATCH($B131,COMPOS!$A$4:$A$5000,0),3))))</f>
        <v>M2</v>
      </c>
      <c r="E131" s="314">
        <v>1380.14</v>
      </c>
      <c r="F131" s="279">
        <f>(IF($A131="SINAPI",INDEX(SINAPI_NOV2020_NDES!$A$7:$H$6703,MATCH($B131,SINAPI_NOV2020_NDES!$A$7:$A$6703,0),5),(INDEX(COMPOS!$A$4:$G$801,MATCH($B131,COMPOS!$A$4:A$801,0),4))))</f>
        <v>0.81</v>
      </c>
      <c r="G131" s="280">
        <f>(IF($A131="SINAPI",INDEX(SINAPI_NOV2020_NDES!$A$7:$H$6703,MATCH($B131,SINAPI_NOV2020_NDES!$A$7:$A$6703,0),6),(INDEX(COMPOS!$A$4:$G$801,MATCH($B131,COMPOS!$A$4:A$801,0),5))))</f>
        <v>1.43</v>
      </c>
      <c r="H131" s="280">
        <f>(IF($A131="SINAPI",INDEX(SINAPI_NOV2020_NDES!$A$7:$H$6703,MATCH($B131,SINAPI_NOV2020_NDES!$A$7:$A$6703,0),7),(INDEX(COMPOS!$A$4:$G$801,MATCH($B131,COMPOS!$A$4:A$801,0),6))))</f>
        <v>0</v>
      </c>
      <c r="I131" s="279">
        <f t="shared" si="38"/>
        <v>2.2400000000000002</v>
      </c>
      <c r="J131" s="276">
        <f t="shared" si="39"/>
        <v>3091.5136000000007</v>
      </c>
      <c r="K131" s="255"/>
      <c r="L131" s="255"/>
      <c r="M131" s="255"/>
      <c r="N131" s="255"/>
      <c r="O131" s="255"/>
    </row>
    <row r="132" spans="1:1001">
      <c r="A132" s="680" t="s">
        <v>6927</v>
      </c>
      <c r="B132" s="680"/>
      <c r="C132" s="680"/>
      <c r="D132" s="680"/>
      <c r="E132" s="680"/>
      <c r="F132" s="680"/>
      <c r="G132" s="680"/>
      <c r="H132" s="680"/>
      <c r="I132" s="680"/>
      <c r="J132" s="281">
        <f>SUM(J128:J131)</f>
        <v>29954.29609684</v>
      </c>
      <c r="K132" s="255"/>
      <c r="L132" s="255"/>
      <c r="M132" s="255"/>
      <c r="N132" s="255"/>
      <c r="O132" s="255"/>
    </row>
    <row r="133" spans="1:1001">
      <c r="A133" s="251"/>
      <c r="B133" s="299">
        <v>189</v>
      </c>
      <c r="C133" s="340" t="s">
        <v>2</v>
      </c>
      <c r="D133" s="274"/>
      <c r="E133" s="276"/>
      <c r="F133" s="276"/>
      <c r="G133" s="276"/>
      <c r="H133" s="276"/>
      <c r="I133" s="276"/>
      <c r="J133" s="276"/>
      <c r="K133" s="255"/>
      <c r="L133" s="255"/>
      <c r="M133" s="255"/>
      <c r="N133" s="255"/>
      <c r="O133" s="257"/>
    </row>
    <row r="134" spans="1:1001">
      <c r="A134" s="251" t="s">
        <v>6307</v>
      </c>
      <c r="B134" s="290">
        <v>362</v>
      </c>
      <c r="C134" s="278" t="str">
        <f>(IF($A134="SINAPI",INDEX(SINAPI_NOV2020_NDES!$A$7:$H$6703,MATCH($B134,SINAPI_NOV2020_NDES!$A$7:$A$6703,0),2),IF($A134="GOINFRA",INDEX(#REF!,MATCH($B134,#REF!,0),2),(INDEX(COMPOS!$A$4:$G$390,MATCH($B134,COMPOS!$A$4:A$390,0),2)))))</f>
        <v>LIMPEZA FINAL DA OBRA</v>
      </c>
      <c r="D134" s="374" t="str">
        <f>(IF($A134="SINAPI",INDEX(SINAPI_NOV2020_NDES!$A$7:$H$6790,MATCH($B134,SINAPI_NOV2020_NDES!$A$7:$A$6790,0),3),(INDEX(COMPOS!$A$4:$G$5000,MATCH($B134,COMPOS!$A$4:$A$5000,0),3))))</f>
        <v>M2</v>
      </c>
      <c r="E134" s="314">
        <v>743.43</v>
      </c>
      <c r="F134" s="279">
        <f>(IF($A134="SINAPI",INDEX(SINAPI_NOV2020_NDES!$A$7:$H$6703,MATCH($B134,SINAPI_NOV2020_NDES!$A$7:$A$6703,0),5),(INDEX(COMPOS!$A$4:$G$801,MATCH($B134,COMPOS!$A$4:A$801,0),4))))</f>
        <v>2.2664999999999997</v>
      </c>
      <c r="G134" s="280">
        <f>(IF($A134="SINAPI",INDEX(SINAPI_NOV2020_NDES!$A$7:$H$6703,MATCH($B134,SINAPI_NOV2020_NDES!$A$7:$A$6703,0),6),(INDEX(COMPOS!$A$4:$G$801,MATCH($B134,COMPOS!$A$4:A$801,0),5))))</f>
        <v>0.62687100000000007</v>
      </c>
      <c r="H134" s="280">
        <f>(IF($A134="SINAPI",INDEX(SINAPI_NOV2020_NDES!$A$7:$H$6703,MATCH($B134,SINAPI_NOV2020_NDES!$A$7:$A$6703,0),7),(INDEX(COMPOS!$A$4:$G$801,MATCH($B134,COMPOS!$A$4:A$801,0),6))))</f>
        <v>0</v>
      </c>
      <c r="I134" s="279">
        <f t="shared" ref="I134" si="40">SUM(F134:H134)</f>
        <v>2.8933709999999997</v>
      </c>
      <c r="J134" s="276">
        <f t="shared" ref="J134" si="41">+I134*E134</f>
        <v>2151.0188025299994</v>
      </c>
      <c r="K134" s="255"/>
      <c r="L134" s="255"/>
      <c r="M134" s="255"/>
      <c r="N134" s="255"/>
      <c r="O134" s="257"/>
    </row>
    <row r="135" spans="1:1001">
      <c r="A135" s="251" t="s">
        <v>6307</v>
      </c>
      <c r="B135" s="290">
        <v>364</v>
      </c>
      <c r="C135" s="278" t="str">
        <f>(IF($A135="SINAPI",INDEX(SINAPI_NOV2020_NDES!$A$7:$H$6703,MATCH($B135,SINAPI_NOV2020_NDES!$A$7:$A$6703,0),2),IF($A135="GOINFRA",INDEX(#REF!,MATCH($B135,#REF!,0),2),(INDEX(COMPOS!$A$4:$G$390,MATCH($B135,COMPOS!$A$4:A$390,0),2)))))</f>
        <v>BANCADA DE GRANITO COM ESPELHO</v>
      </c>
      <c r="D135" s="374" t="str">
        <f>(IF($A135="SINAPI",INDEX(SINAPI_NOV2020_NDES!$A$7:$H$6790,MATCH($B135,SINAPI_NOV2020_NDES!$A$7:$A$6790,0),3),(INDEX(COMPOS!$A$4:$G$5000,MATCH($B135,COMPOS!$A$4:$A$5000,0),3))))</f>
        <v>M2</v>
      </c>
      <c r="E135" s="314">
        <v>42.02</v>
      </c>
      <c r="F135" s="279">
        <f>(IF($A135="SINAPI",INDEX(SINAPI_NOV2020_NDES!$A$7:$H$6703,MATCH($B135,SINAPI_NOV2020_NDES!$A$7:$A$6703,0),5),(INDEX(COMPOS!$A$4:$G$801,MATCH($B135,COMPOS!$A$4:A$801,0),4))))</f>
        <v>52.764523999999994</v>
      </c>
      <c r="G135" s="280">
        <f>(IF($A135="SINAPI",INDEX(SINAPI_NOV2020_NDES!$A$7:$H$6703,MATCH($B135,SINAPI_NOV2020_NDES!$A$7:$A$6703,0),6),(INDEX(COMPOS!$A$4:$G$801,MATCH($B135,COMPOS!$A$4:A$801,0),5))))</f>
        <v>420.03860000000003</v>
      </c>
      <c r="H135" s="280">
        <f>(IF($A135="SINAPI",INDEX(SINAPI_NOV2020_NDES!$A$7:$H$6703,MATCH($B135,SINAPI_NOV2020_NDES!$A$7:$A$6703,0),7),(INDEX(COMPOS!$A$4:$G$801,MATCH($B135,COMPOS!$A$4:A$801,0),6))))</f>
        <v>0</v>
      </c>
      <c r="I135" s="279">
        <f t="shared" ref="I135:I136" si="42">SUM(F135:H135)</f>
        <v>472.80312400000003</v>
      </c>
      <c r="J135" s="276">
        <f t="shared" ref="J135:J136" si="43">+I135*E135</f>
        <v>19867.187270480001</v>
      </c>
      <c r="K135" s="255"/>
      <c r="L135" s="255"/>
      <c r="M135" s="255"/>
      <c r="N135" s="255"/>
      <c r="O135" s="257"/>
    </row>
    <row r="136" spans="1:1001">
      <c r="A136" s="289" t="s">
        <v>6307</v>
      </c>
      <c r="B136" s="290">
        <v>800</v>
      </c>
      <c r="C136" s="278" t="str">
        <f>(IF($A136="SINAPI",INDEX(SINAPI_NOV2020_NDES!$A$7:$H$6703,MATCH($B136,SINAPI_NOV2020_NDES!$A$7:$A$6703,0),2),IF($A136="GOINFRA",INDEX(#REF!,MATCH($B136,#REF!,0),2),(INDEX(COMPOS!$A$4:$G$390,MATCH($B136,COMPOS!$A$4:A$390,0),2)))))</f>
        <v>BASE DE BANCADA REBOCADA</v>
      </c>
      <c r="D136" s="374" t="str">
        <f>(IF($A136="SINAPI",INDEX(SINAPI_NOV2020_NDES!$A$7:$H$6790,MATCH($B136,SINAPI_NOV2020_NDES!$A$7:$A$6790,0),3),(INDEX(COMPOS!$A$4:$G$5000,MATCH($B136,COMPOS!$A$4:$A$5000,0),3))))</f>
        <v>M</v>
      </c>
      <c r="E136" s="314">
        <f>(19*0.7)+(2*0.96)</f>
        <v>15.219999999999999</v>
      </c>
      <c r="F136" s="279">
        <f>(IF($A136="SINAPI",INDEX(SINAPI_NOV2020_NDES!$A$7:$H$6703,MATCH($B136,SINAPI_NOV2020_NDES!$A$7:$A$6703,0),5),(INDEX(COMPOS!$A$4:$G$801,MATCH($B136,COMPOS!$A$4:A$801,0),4))))</f>
        <v>73.383449999999996</v>
      </c>
      <c r="G136" s="280">
        <f>(IF($A136="SINAPI",INDEX(SINAPI_NOV2020_NDES!$A$7:$H$6703,MATCH($B136,SINAPI_NOV2020_NDES!$A$7:$A$6703,0),6),(INDEX(COMPOS!$A$4:$G$801,MATCH($B136,COMPOS!$A$4:A$801,0),5))))</f>
        <v>30.138900000000003</v>
      </c>
      <c r="H136" s="280">
        <f>(IF($A136="SINAPI",INDEX(SINAPI_NOV2020_NDES!$A$7:$H$6703,MATCH($B136,SINAPI_NOV2020_NDES!$A$7:$A$6703,0),7),(INDEX(COMPOS!$A$4:$G$801,MATCH($B136,COMPOS!$A$4:A$801,0),6))))</f>
        <v>0</v>
      </c>
      <c r="I136" s="279">
        <f t="shared" si="42"/>
        <v>103.52235</v>
      </c>
      <c r="J136" s="276">
        <f t="shared" si="43"/>
        <v>1575.6101669999998</v>
      </c>
      <c r="K136" s="255"/>
      <c r="L136" s="255"/>
      <c r="M136" s="255"/>
      <c r="N136" s="255"/>
      <c r="O136" s="255"/>
    </row>
    <row r="137" spans="1:1001">
      <c r="A137" s="680" t="s">
        <v>6927</v>
      </c>
      <c r="B137" s="680"/>
      <c r="C137" s="680"/>
      <c r="D137" s="680"/>
      <c r="E137" s="680"/>
      <c r="F137" s="680"/>
      <c r="G137" s="680"/>
      <c r="H137" s="680"/>
      <c r="I137" s="680"/>
      <c r="J137" s="281">
        <f>SUM(J134:J136)</f>
        <v>23593.816240009997</v>
      </c>
      <c r="K137" s="255"/>
      <c r="L137" s="255"/>
      <c r="M137" s="255"/>
      <c r="N137" s="255"/>
      <c r="O137" s="255"/>
    </row>
    <row r="138" spans="1:1001">
      <c r="A138" s="281"/>
      <c r="B138" s="281"/>
      <c r="C138" s="281"/>
      <c r="D138" s="281" t="s">
        <v>6922</v>
      </c>
      <c r="E138" s="281"/>
      <c r="F138" s="281"/>
      <c r="G138" s="281"/>
      <c r="H138" s="281"/>
      <c r="I138" s="281"/>
      <c r="J138" s="281"/>
      <c r="K138" s="255"/>
      <c r="L138" s="255"/>
      <c r="M138" s="255"/>
      <c r="N138" s="255"/>
      <c r="O138" s="255"/>
    </row>
    <row r="139" spans="1:1001" s="191" customFormat="1" ht="12.75" customHeight="1">
      <c r="A139" s="680" t="s">
        <v>7104</v>
      </c>
      <c r="B139" s="680"/>
      <c r="C139" s="680"/>
      <c r="D139" s="680"/>
      <c r="E139" s="680"/>
      <c r="F139" s="680"/>
      <c r="G139" s="680"/>
      <c r="H139" s="680"/>
      <c r="I139" s="680"/>
      <c r="J139" s="577">
        <f>SUMPRODUCT($E$11:$E$136,$F$11:$F$136)</f>
        <v>58037.600647457017</v>
      </c>
      <c r="K139" s="255"/>
      <c r="L139" s="255"/>
      <c r="M139" s="255"/>
      <c r="N139" s="255"/>
      <c r="O139" s="255"/>
      <c r="P139" s="257"/>
      <c r="Q139" s="255"/>
      <c r="R139" s="255"/>
      <c r="S139" s="255"/>
      <c r="T139" s="255"/>
      <c r="U139" s="255"/>
      <c r="V139" s="255"/>
      <c r="W139" s="255"/>
      <c r="X139" s="255"/>
      <c r="Y139" s="255"/>
      <c r="Z139" s="255"/>
      <c r="AA139" s="255"/>
      <c r="AB139" s="255"/>
      <c r="AC139" s="255"/>
      <c r="AD139" s="255"/>
      <c r="AE139" s="255"/>
      <c r="AF139" s="255"/>
      <c r="AG139" s="255"/>
      <c r="AH139" s="255"/>
      <c r="AI139" s="255"/>
      <c r="AJ139" s="255"/>
      <c r="AK139" s="255"/>
      <c r="AL139" s="255"/>
      <c r="AM139" s="255"/>
      <c r="AN139" s="255"/>
      <c r="AO139" s="255"/>
      <c r="AP139" s="255"/>
      <c r="AQ139" s="255"/>
      <c r="AR139" s="255"/>
      <c r="AS139" s="255"/>
      <c r="AT139" s="255"/>
      <c r="AU139" s="255"/>
      <c r="AV139" s="255"/>
      <c r="AW139" s="255"/>
      <c r="AX139" s="255"/>
      <c r="AY139" s="255"/>
      <c r="AZ139" s="255"/>
      <c r="BA139" s="255"/>
      <c r="BB139" s="255"/>
      <c r="BC139" s="255"/>
      <c r="BD139" s="255"/>
      <c r="BE139" s="255"/>
      <c r="BF139" s="255"/>
      <c r="BG139" s="255"/>
      <c r="BH139" s="255"/>
      <c r="BI139" s="255"/>
      <c r="BJ139" s="255"/>
      <c r="BK139" s="255"/>
      <c r="BL139" s="255"/>
      <c r="BM139" s="255"/>
      <c r="BN139" s="255"/>
      <c r="BO139" s="255"/>
      <c r="BP139" s="255"/>
      <c r="BQ139" s="255"/>
      <c r="BR139" s="255"/>
      <c r="BS139" s="255"/>
      <c r="BT139" s="255"/>
      <c r="BU139" s="255"/>
      <c r="BV139" s="255"/>
      <c r="BW139" s="255"/>
      <c r="BX139" s="255"/>
      <c r="BY139" s="255"/>
      <c r="BZ139" s="255"/>
      <c r="CA139" s="255"/>
      <c r="CB139" s="255"/>
      <c r="CC139" s="255"/>
      <c r="CD139" s="255"/>
      <c r="CE139" s="255"/>
      <c r="CF139" s="255"/>
      <c r="CG139" s="255"/>
      <c r="CH139" s="255"/>
      <c r="CI139" s="255"/>
      <c r="CJ139" s="255"/>
      <c r="CK139" s="255"/>
      <c r="CL139" s="255"/>
      <c r="CM139" s="255"/>
      <c r="CN139" s="255"/>
      <c r="CO139" s="255"/>
      <c r="CP139" s="255"/>
      <c r="CQ139" s="255"/>
      <c r="CR139" s="255"/>
      <c r="CS139" s="255"/>
      <c r="CT139" s="255"/>
      <c r="CU139" s="255"/>
      <c r="CV139" s="255"/>
      <c r="CW139" s="255"/>
      <c r="CX139" s="255"/>
      <c r="CY139" s="255"/>
      <c r="CZ139" s="255"/>
      <c r="DA139" s="255"/>
      <c r="DB139" s="255"/>
      <c r="DC139" s="255"/>
      <c r="DD139" s="255"/>
      <c r="DE139" s="255"/>
      <c r="DF139" s="255"/>
      <c r="DG139" s="255"/>
      <c r="DH139" s="255"/>
      <c r="DI139" s="255"/>
      <c r="DJ139" s="255"/>
      <c r="DK139" s="255"/>
      <c r="DL139" s="255"/>
      <c r="DM139" s="255"/>
      <c r="DN139" s="255"/>
      <c r="DO139" s="255"/>
      <c r="DP139" s="255"/>
      <c r="DQ139" s="255"/>
      <c r="DR139" s="255"/>
      <c r="DS139" s="255"/>
      <c r="DT139" s="255"/>
      <c r="DU139" s="255"/>
      <c r="DV139" s="255"/>
      <c r="DW139" s="255"/>
      <c r="DX139" s="255"/>
      <c r="DY139" s="255"/>
      <c r="DZ139" s="255"/>
      <c r="EA139" s="255"/>
      <c r="EB139" s="255"/>
      <c r="EC139" s="255"/>
      <c r="ED139" s="255"/>
      <c r="EE139" s="255"/>
      <c r="EF139" s="255"/>
      <c r="EG139" s="255"/>
      <c r="EH139" s="255"/>
      <c r="EI139" s="255"/>
      <c r="EJ139" s="255"/>
      <c r="EK139" s="255"/>
      <c r="EL139" s="255"/>
      <c r="EM139" s="255"/>
      <c r="EN139" s="255"/>
      <c r="EO139" s="255"/>
      <c r="EP139" s="255"/>
      <c r="EQ139" s="255"/>
      <c r="ER139" s="255"/>
      <c r="ES139" s="255"/>
      <c r="ET139" s="255"/>
      <c r="EU139" s="255"/>
      <c r="EV139" s="255"/>
      <c r="EW139" s="255"/>
      <c r="EX139" s="255"/>
      <c r="EY139" s="255"/>
      <c r="EZ139" s="255"/>
      <c r="FA139" s="255"/>
      <c r="FB139" s="255"/>
      <c r="FC139" s="255"/>
      <c r="FD139" s="255"/>
      <c r="FE139" s="255"/>
      <c r="FF139" s="255"/>
      <c r="FG139" s="255"/>
      <c r="FH139" s="255"/>
      <c r="FI139" s="255"/>
      <c r="FJ139" s="255"/>
      <c r="FK139" s="255"/>
      <c r="FL139" s="255"/>
      <c r="FM139" s="255"/>
      <c r="FN139" s="255"/>
      <c r="FO139" s="255"/>
      <c r="FP139" s="255"/>
      <c r="FQ139" s="255"/>
      <c r="FR139" s="255"/>
      <c r="FS139" s="255"/>
      <c r="FT139" s="255"/>
      <c r="FU139" s="255"/>
      <c r="FV139" s="255"/>
      <c r="FW139" s="255"/>
      <c r="FX139" s="255"/>
      <c r="FY139" s="255"/>
      <c r="FZ139" s="255"/>
      <c r="GA139" s="255"/>
      <c r="GB139" s="255"/>
      <c r="GC139" s="255"/>
      <c r="GD139" s="255"/>
      <c r="GE139" s="255"/>
      <c r="GF139" s="255"/>
      <c r="GG139" s="255"/>
      <c r="GH139" s="255"/>
      <c r="GI139" s="255"/>
      <c r="GJ139" s="255"/>
      <c r="GK139" s="255"/>
      <c r="GL139" s="255"/>
      <c r="GM139" s="255"/>
      <c r="GN139" s="255"/>
      <c r="GO139" s="255"/>
      <c r="GP139" s="255"/>
      <c r="GQ139" s="255"/>
      <c r="GR139" s="255"/>
      <c r="GS139" s="255"/>
      <c r="GT139" s="255"/>
      <c r="GU139" s="255"/>
      <c r="GV139" s="255"/>
      <c r="GW139" s="255"/>
      <c r="GX139" s="255"/>
      <c r="GY139" s="255"/>
      <c r="GZ139" s="255"/>
      <c r="HA139" s="255"/>
      <c r="HB139" s="255"/>
      <c r="HC139" s="255"/>
      <c r="HD139" s="255"/>
      <c r="HE139" s="255"/>
      <c r="HF139" s="255"/>
      <c r="HG139" s="255"/>
      <c r="HH139" s="255"/>
      <c r="HI139" s="255"/>
      <c r="HJ139" s="255"/>
      <c r="HK139" s="255"/>
      <c r="HL139" s="255"/>
      <c r="HM139" s="255"/>
      <c r="HN139" s="255"/>
      <c r="HO139" s="255"/>
      <c r="HP139" s="255"/>
      <c r="HQ139" s="255"/>
      <c r="HR139" s="255"/>
      <c r="HS139" s="255"/>
      <c r="HT139" s="255"/>
      <c r="HU139" s="255"/>
      <c r="HV139" s="255"/>
      <c r="HW139" s="255"/>
      <c r="HX139" s="255"/>
      <c r="HY139" s="255"/>
      <c r="HZ139" s="255"/>
      <c r="IA139" s="255"/>
      <c r="IB139" s="255"/>
      <c r="IC139" s="255"/>
      <c r="ID139" s="255"/>
      <c r="IE139" s="255"/>
      <c r="IF139" s="255"/>
      <c r="IG139" s="255"/>
      <c r="IH139" s="255"/>
      <c r="II139" s="255"/>
      <c r="IJ139" s="255"/>
      <c r="IK139" s="255"/>
      <c r="IL139" s="255"/>
      <c r="IM139" s="255"/>
      <c r="IN139" s="255"/>
      <c r="IO139" s="255"/>
      <c r="IP139" s="255"/>
      <c r="IQ139" s="255"/>
      <c r="IR139" s="255"/>
      <c r="IS139" s="255"/>
      <c r="IT139" s="255"/>
      <c r="IU139" s="255"/>
      <c r="IV139" s="255"/>
      <c r="IW139" s="255"/>
      <c r="IX139" s="255"/>
      <c r="IY139" s="255"/>
      <c r="IZ139" s="255"/>
      <c r="JA139" s="255"/>
      <c r="JB139" s="255"/>
      <c r="JC139" s="255"/>
      <c r="JD139" s="255"/>
      <c r="JE139" s="255"/>
      <c r="JF139" s="255"/>
      <c r="JG139" s="255"/>
      <c r="JH139" s="255"/>
      <c r="JI139" s="255"/>
      <c r="JJ139" s="255"/>
      <c r="JK139" s="255"/>
      <c r="JL139" s="255"/>
      <c r="JM139" s="255"/>
      <c r="JN139" s="255"/>
      <c r="JO139" s="255"/>
      <c r="JP139" s="255"/>
      <c r="JQ139" s="255"/>
      <c r="JR139" s="255"/>
      <c r="JS139" s="255"/>
      <c r="JT139" s="255"/>
      <c r="JU139" s="255"/>
      <c r="JV139" s="255"/>
      <c r="JW139" s="255"/>
      <c r="JX139" s="255"/>
      <c r="JY139" s="255"/>
      <c r="JZ139" s="255"/>
      <c r="KA139" s="255"/>
      <c r="KB139" s="255"/>
      <c r="KC139" s="255"/>
      <c r="KD139" s="255"/>
      <c r="KE139" s="255"/>
      <c r="KF139" s="255"/>
      <c r="KG139" s="255"/>
      <c r="KH139" s="255"/>
      <c r="KI139" s="255"/>
      <c r="KJ139" s="255"/>
      <c r="KK139" s="255"/>
      <c r="KL139" s="255"/>
      <c r="KM139" s="255"/>
      <c r="KN139" s="255"/>
      <c r="KO139" s="255"/>
      <c r="KP139" s="255"/>
      <c r="KQ139" s="255"/>
      <c r="KR139" s="255"/>
      <c r="KS139" s="255"/>
      <c r="KT139" s="255"/>
      <c r="KU139" s="255"/>
      <c r="KV139" s="255"/>
      <c r="KW139" s="255"/>
      <c r="KX139" s="255"/>
      <c r="KY139" s="255"/>
      <c r="KZ139" s="255"/>
      <c r="LA139" s="255"/>
      <c r="LB139" s="255"/>
      <c r="LC139" s="255"/>
      <c r="LD139" s="255"/>
      <c r="LE139" s="255"/>
      <c r="LF139" s="255"/>
      <c r="LG139" s="255"/>
      <c r="LH139" s="255"/>
      <c r="LI139" s="255"/>
      <c r="LJ139" s="255"/>
      <c r="LK139" s="255"/>
      <c r="LL139" s="255"/>
      <c r="LM139" s="255"/>
      <c r="LN139" s="255"/>
      <c r="LO139" s="255"/>
      <c r="LP139" s="255"/>
      <c r="LQ139" s="255"/>
      <c r="LR139" s="255"/>
      <c r="LS139" s="255"/>
      <c r="LT139" s="255"/>
      <c r="LU139" s="255"/>
      <c r="LV139" s="255"/>
      <c r="LW139" s="255"/>
      <c r="LX139" s="255"/>
      <c r="LY139" s="255"/>
      <c r="LZ139" s="255"/>
      <c r="MA139" s="255"/>
      <c r="MB139" s="255"/>
      <c r="MC139" s="255"/>
      <c r="MD139" s="255"/>
      <c r="ME139" s="255"/>
      <c r="MF139" s="255"/>
      <c r="MG139" s="255"/>
      <c r="MH139" s="255"/>
      <c r="MI139" s="255"/>
      <c r="MJ139" s="255"/>
      <c r="MK139" s="255"/>
      <c r="ML139" s="255"/>
      <c r="MM139" s="255"/>
      <c r="MN139" s="255"/>
      <c r="MO139" s="255"/>
      <c r="MP139" s="255"/>
      <c r="MQ139" s="255"/>
      <c r="MR139" s="255"/>
      <c r="MS139" s="255"/>
      <c r="MT139" s="255"/>
      <c r="MU139" s="255"/>
      <c r="MV139" s="255"/>
      <c r="MW139" s="255"/>
      <c r="MX139" s="255"/>
      <c r="MY139" s="255"/>
      <c r="MZ139" s="255"/>
      <c r="NA139" s="255"/>
      <c r="NB139" s="255"/>
      <c r="NC139" s="255"/>
      <c r="ND139" s="255"/>
      <c r="NE139" s="255"/>
      <c r="NF139" s="255"/>
      <c r="NG139" s="255"/>
      <c r="NH139" s="255"/>
      <c r="NI139" s="255"/>
      <c r="NJ139" s="255"/>
      <c r="NK139" s="255"/>
      <c r="NL139" s="255"/>
      <c r="NM139" s="255"/>
      <c r="NN139" s="255"/>
      <c r="NO139" s="255"/>
      <c r="NP139" s="255"/>
      <c r="NQ139" s="255"/>
      <c r="NR139" s="255"/>
      <c r="NS139" s="255"/>
      <c r="NT139" s="255"/>
      <c r="NU139" s="255"/>
      <c r="NV139" s="255"/>
      <c r="NW139" s="255"/>
      <c r="NX139" s="255"/>
      <c r="NY139" s="255"/>
      <c r="NZ139" s="255"/>
      <c r="OA139" s="255"/>
      <c r="OB139" s="255"/>
      <c r="OC139" s="255"/>
      <c r="OD139" s="255"/>
      <c r="OE139" s="255"/>
      <c r="OF139" s="255"/>
      <c r="OG139" s="255"/>
      <c r="OH139" s="255"/>
      <c r="OI139" s="255"/>
      <c r="OJ139" s="255"/>
      <c r="OK139" s="255"/>
      <c r="OL139" s="255"/>
      <c r="OM139" s="255"/>
      <c r="ON139" s="255"/>
      <c r="OO139" s="255"/>
      <c r="OP139" s="255"/>
      <c r="OQ139" s="255"/>
      <c r="OR139" s="255"/>
      <c r="OS139" s="255"/>
      <c r="OT139" s="255"/>
      <c r="OU139" s="255"/>
      <c r="OV139" s="255"/>
      <c r="OW139" s="255"/>
      <c r="OX139" s="255"/>
      <c r="OY139" s="255"/>
      <c r="OZ139" s="255"/>
      <c r="PA139" s="255"/>
      <c r="PB139" s="255"/>
      <c r="PC139" s="255"/>
      <c r="PD139" s="255"/>
      <c r="PE139" s="255"/>
      <c r="PF139" s="255"/>
      <c r="PG139" s="255"/>
      <c r="PH139" s="255"/>
      <c r="PI139" s="255"/>
      <c r="PJ139" s="255"/>
      <c r="PK139" s="255"/>
      <c r="PL139" s="255"/>
      <c r="PM139" s="255"/>
      <c r="PN139" s="255"/>
      <c r="PO139" s="255"/>
      <c r="PP139" s="255"/>
      <c r="PQ139" s="255"/>
      <c r="PR139" s="255"/>
      <c r="PS139" s="255"/>
      <c r="PT139" s="255"/>
      <c r="PU139" s="255"/>
      <c r="PV139" s="255"/>
      <c r="PW139" s="255"/>
      <c r="PX139" s="255"/>
      <c r="PY139" s="255"/>
      <c r="PZ139" s="255"/>
      <c r="QA139" s="255"/>
      <c r="QB139" s="255"/>
      <c r="QC139" s="255"/>
      <c r="QD139" s="255"/>
      <c r="QE139" s="255"/>
      <c r="QF139" s="255"/>
      <c r="QG139" s="255"/>
      <c r="QH139" s="255"/>
      <c r="QI139" s="255"/>
      <c r="QJ139" s="255"/>
      <c r="QK139" s="255"/>
      <c r="QL139" s="255"/>
      <c r="QM139" s="255"/>
      <c r="QN139" s="255"/>
      <c r="QO139" s="255"/>
      <c r="QP139" s="255"/>
      <c r="QQ139" s="255"/>
      <c r="QR139" s="255"/>
      <c r="QS139" s="255"/>
      <c r="QT139" s="255"/>
      <c r="QU139" s="255"/>
      <c r="QV139" s="255"/>
      <c r="QW139" s="255"/>
      <c r="QX139" s="255"/>
      <c r="QY139" s="255"/>
      <c r="QZ139" s="255"/>
      <c r="RA139" s="255"/>
      <c r="RB139" s="255"/>
      <c r="RC139" s="255"/>
      <c r="RD139" s="255"/>
      <c r="RE139" s="255"/>
      <c r="RF139" s="255"/>
      <c r="RG139" s="255"/>
      <c r="RH139" s="255"/>
      <c r="RI139" s="255"/>
      <c r="RJ139" s="255"/>
      <c r="RK139" s="255"/>
      <c r="RL139" s="255"/>
      <c r="RM139" s="255"/>
      <c r="RN139" s="255"/>
      <c r="RO139" s="255"/>
      <c r="RP139" s="255"/>
      <c r="RQ139" s="255"/>
      <c r="RR139" s="255"/>
      <c r="RS139" s="255"/>
      <c r="RT139" s="255"/>
      <c r="RU139" s="255"/>
      <c r="RV139" s="255"/>
      <c r="RW139" s="255"/>
      <c r="RX139" s="255"/>
      <c r="RY139" s="255"/>
      <c r="RZ139" s="255"/>
      <c r="SA139" s="255"/>
      <c r="SB139" s="255"/>
      <c r="SC139" s="255"/>
      <c r="SD139" s="255"/>
      <c r="SE139" s="255"/>
      <c r="SF139" s="255"/>
      <c r="SG139" s="255"/>
      <c r="SH139" s="255"/>
      <c r="SI139" s="255"/>
      <c r="SJ139" s="255"/>
      <c r="SK139" s="255"/>
      <c r="SL139" s="255"/>
      <c r="SM139" s="255"/>
      <c r="SN139" s="255"/>
      <c r="SO139" s="255"/>
      <c r="SP139" s="255"/>
      <c r="SQ139" s="255"/>
      <c r="SR139" s="255"/>
      <c r="SS139" s="255"/>
      <c r="ST139" s="255"/>
      <c r="SU139" s="255"/>
      <c r="SV139" s="255"/>
      <c r="SW139" s="255"/>
      <c r="SX139" s="255"/>
      <c r="SY139" s="255"/>
      <c r="SZ139" s="255"/>
      <c r="TA139" s="255"/>
      <c r="TB139" s="255"/>
      <c r="TC139" s="255"/>
      <c r="TD139" s="255"/>
      <c r="TE139" s="255"/>
      <c r="TF139" s="255"/>
      <c r="TG139" s="255"/>
      <c r="TH139" s="255"/>
      <c r="TI139" s="255"/>
      <c r="TJ139" s="255"/>
      <c r="TK139" s="255"/>
      <c r="TL139" s="255"/>
      <c r="TM139" s="255"/>
      <c r="TN139" s="255"/>
      <c r="TO139" s="255"/>
      <c r="TP139" s="255"/>
      <c r="TQ139" s="255"/>
      <c r="TR139" s="255"/>
      <c r="TS139" s="255"/>
      <c r="TT139" s="255"/>
      <c r="TU139" s="255"/>
      <c r="TV139" s="255"/>
      <c r="TW139" s="255"/>
      <c r="TX139" s="255"/>
      <c r="TY139" s="255"/>
      <c r="TZ139" s="255"/>
      <c r="UA139" s="255"/>
      <c r="UB139" s="255"/>
      <c r="UC139" s="255"/>
      <c r="UD139" s="255"/>
      <c r="UE139" s="255"/>
      <c r="UF139" s="255"/>
      <c r="UG139" s="255"/>
      <c r="UH139" s="255"/>
      <c r="UI139" s="255"/>
      <c r="UJ139" s="255"/>
      <c r="UK139" s="255"/>
      <c r="UL139" s="255"/>
      <c r="UM139" s="255"/>
      <c r="UN139" s="255"/>
      <c r="UO139" s="255"/>
      <c r="UP139" s="255"/>
      <c r="UQ139" s="255"/>
      <c r="UR139" s="255"/>
      <c r="US139" s="255"/>
      <c r="UT139" s="255"/>
      <c r="UU139" s="255"/>
      <c r="UV139" s="255"/>
      <c r="UW139" s="255"/>
      <c r="UX139" s="255"/>
      <c r="UY139" s="255"/>
      <c r="UZ139" s="255"/>
      <c r="VA139" s="255"/>
      <c r="VB139" s="255"/>
      <c r="VC139" s="255"/>
      <c r="VD139" s="255"/>
      <c r="VE139" s="255"/>
      <c r="VF139" s="255"/>
      <c r="VG139" s="255"/>
      <c r="VH139" s="255"/>
      <c r="VI139" s="255"/>
      <c r="VJ139" s="255"/>
      <c r="VK139" s="255"/>
      <c r="VL139" s="255"/>
      <c r="VM139" s="255"/>
      <c r="VN139" s="255"/>
      <c r="VO139" s="255"/>
      <c r="VP139" s="255"/>
      <c r="VQ139" s="255"/>
      <c r="VR139" s="255"/>
      <c r="VS139" s="255"/>
      <c r="VT139" s="255"/>
      <c r="VU139" s="255"/>
      <c r="VV139" s="255"/>
      <c r="VW139" s="255"/>
      <c r="VX139" s="255"/>
      <c r="VY139" s="255"/>
      <c r="VZ139" s="255"/>
      <c r="WA139" s="255"/>
      <c r="WB139" s="255"/>
      <c r="WC139" s="255"/>
      <c r="WD139" s="255"/>
      <c r="WE139" s="255"/>
      <c r="WF139" s="255"/>
      <c r="WG139" s="255"/>
      <c r="WH139" s="255"/>
      <c r="WI139" s="255"/>
      <c r="WJ139" s="255"/>
      <c r="WK139" s="255"/>
      <c r="WL139" s="255"/>
      <c r="WM139" s="255"/>
      <c r="WN139" s="255"/>
      <c r="WO139" s="255"/>
      <c r="WP139" s="255"/>
      <c r="WQ139" s="255"/>
      <c r="WR139" s="255"/>
      <c r="WS139" s="255"/>
      <c r="WT139" s="255"/>
      <c r="WU139" s="255"/>
      <c r="WV139" s="255"/>
      <c r="WW139" s="255"/>
      <c r="WX139" s="255"/>
      <c r="WY139" s="255"/>
      <c r="WZ139" s="255"/>
      <c r="XA139" s="255"/>
      <c r="XB139" s="255"/>
      <c r="XC139" s="255"/>
      <c r="XD139" s="255"/>
      <c r="XE139" s="255"/>
      <c r="XF139" s="255"/>
      <c r="XG139" s="255"/>
      <c r="XH139" s="255"/>
      <c r="XI139" s="255"/>
      <c r="XJ139" s="255"/>
      <c r="XK139" s="255"/>
      <c r="XL139" s="255"/>
      <c r="XM139" s="255"/>
      <c r="XN139" s="255"/>
      <c r="XO139" s="255"/>
      <c r="XP139" s="255"/>
      <c r="XQ139" s="255"/>
      <c r="XR139" s="255"/>
      <c r="XS139" s="255"/>
      <c r="XT139" s="255"/>
      <c r="XU139" s="255"/>
      <c r="XV139" s="255"/>
      <c r="XW139" s="255"/>
      <c r="XX139" s="255"/>
      <c r="XY139" s="255"/>
      <c r="XZ139" s="255"/>
      <c r="YA139" s="255"/>
      <c r="YB139" s="255"/>
      <c r="YC139" s="255"/>
      <c r="YD139" s="255"/>
      <c r="YE139" s="255"/>
      <c r="YF139" s="255"/>
      <c r="YG139" s="255"/>
      <c r="YH139" s="255"/>
      <c r="YI139" s="255"/>
      <c r="YJ139" s="255"/>
      <c r="YK139" s="255"/>
      <c r="YL139" s="255"/>
      <c r="YM139" s="255"/>
      <c r="YN139" s="255"/>
      <c r="YO139" s="255"/>
      <c r="YP139" s="255"/>
      <c r="YQ139" s="255"/>
      <c r="YR139" s="255"/>
      <c r="YS139" s="255"/>
      <c r="YT139" s="255"/>
      <c r="YU139" s="255"/>
      <c r="YV139" s="255"/>
      <c r="YW139" s="255"/>
      <c r="YX139" s="255"/>
      <c r="YY139" s="255"/>
      <c r="YZ139" s="255"/>
      <c r="ZA139" s="255"/>
      <c r="ZB139" s="255"/>
      <c r="ZC139" s="255"/>
      <c r="ZD139" s="255"/>
      <c r="ZE139" s="255"/>
      <c r="ZF139" s="255"/>
      <c r="ZG139" s="255"/>
      <c r="ZH139" s="255"/>
      <c r="ZI139" s="255"/>
      <c r="ZJ139" s="255"/>
      <c r="ZK139" s="255"/>
      <c r="ZL139" s="255"/>
      <c r="ZM139" s="255"/>
      <c r="ZN139" s="255"/>
      <c r="ZO139" s="255"/>
      <c r="ZP139" s="255"/>
      <c r="ZQ139" s="255"/>
      <c r="ZR139" s="255"/>
      <c r="ZS139" s="255"/>
      <c r="ZT139" s="255"/>
      <c r="ZU139" s="255"/>
      <c r="ZV139" s="255"/>
      <c r="ZW139" s="255"/>
      <c r="ZX139" s="255"/>
      <c r="ZY139" s="255"/>
      <c r="ZZ139" s="255"/>
      <c r="AAA139" s="255"/>
      <c r="AAB139" s="255"/>
      <c r="AAC139" s="255"/>
      <c r="AAD139" s="255"/>
      <c r="AAE139" s="255"/>
      <c r="AAF139" s="255"/>
      <c r="AAG139" s="255"/>
      <c r="AAH139" s="255"/>
      <c r="AAI139" s="255"/>
      <c r="AAJ139" s="255"/>
      <c r="AAK139" s="255"/>
      <c r="AAL139" s="255"/>
      <c r="AAM139" s="255"/>
      <c r="AAN139" s="255"/>
      <c r="AAO139" s="255"/>
      <c r="AAP139" s="255"/>
      <c r="AAQ139" s="255"/>
      <c r="AAR139" s="255"/>
      <c r="AAS139" s="255"/>
      <c r="AAT139" s="255"/>
      <c r="AAU139" s="255"/>
      <c r="AAV139" s="255"/>
      <c r="AAW139" s="255"/>
      <c r="AAX139" s="255"/>
      <c r="AAY139" s="255"/>
      <c r="AAZ139" s="255"/>
      <c r="ABA139" s="255"/>
      <c r="ABB139" s="255"/>
      <c r="ABC139" s="255"/>
      <c r="ABD139" s="255"/>
      <c r="ABE139" s="255"/>
      <c r="ABF139" s="255"/>
      <c r="ABG139" s="255"/>
      <c r="ABH139" s="255"/>
      <c r="ABI139" s="255"/>
      <c r="ABJ139" s="255"/>
      <c r="ABK139" s="255"/>
      <c r="ABL139" s="255"/>
      <c r="ABM139" s="255"/>
      <c r="ABN139" s="255"/>
      <c r="ABO139" s="255"/>
      <c r="ABP139" s="255"/>
      <c r="ABQ139" s="255"/>
      <c r="ABR139" s="255"/>
      <c r="ABS139" s="255"/>
      <c r="ABT139" s="255"/>
      <c r="ABU139" s="255"/>
      <c r="ABV139" s="255"/>
      <c r="ABW139" s="255"/>
      <c r="ABX139" s="255"/>
      <c r="ABY139" s="255"/>
      <c r="ABZ139" s="255"/>
      <c r="ACA139" s="255"/>
      <c r="ACB139" s="255"/>
      <c r="ACC139" s="255"/>
      <c r="ACD139" s="255"/>
      <c r="ACE139" s="255"/>
      <c r="ACF139" s="255"/>
      <c r="ACG139" s="255"/>
      <c r="ACH139" s="255"/>
      <c r="ACI139" s="255"/>
      <c r="ACJ139" s="255"/>
      <c r="ACK139" s="255"/>
      <c r="ACL139" s="255"/>
      <c r="ACM139" s="255"/>
      <c r="ACN139" s="255"/>
      <c r="ACO139" s="255"/>
      <c r="ACP139" s="255"/>
      <c r="ACQ139" s="255"/>
      <c r="ACR139" s="255"/>
      <c r="ACS139" s="255"/>
      <c r="ACT139" s="255"/>
      <c r="ACU139" s="255"/>
      <c r="ACV139" s="255"/>
      <c r="ACW139" s="255"/>
      <c r="ACX139" s="255"/>
      <c r="ACY139" s="255"/>
      <c r="ACZ139" s="255"/>
      <c r="ADA139" s="255"/>
      <c r="ADB139" s="255"/>
      <c r="ADC139" s="255"/>
      <c r="ADD139" s="255"/>
      <c r="ADE139" s="255"/>
      <c r="ADF139" s="255"/>
      <c r="ADG139" s="255"/>
      <c r="ADH139" s="255"/>
      <c r="ADI139" s="255"/>
      <c r="ADJ139" s="255"/>
      <c r="ADK139" s="255"/>
      <c r="ADL139" s="255"/>
      <c r="ADM139" s="255"/>
      <c r="ADN139" s="255"/>
      <c r="ADO139" s="255"/>
      <c r="ADP139" s="255"/>
      <c r="ADQ139" s="255"/>
      <c r="ADR139" s="255"/>
      <c r="ADS139" s="255"/>
      <c r="ADT139" s="255"/>
      <c r="ADU139" s="255"/>
      <c r="ADV139" s="255"/>
      <c r="ADW139" s="255"/>
      <c r="ADX139" s="255"/>
      <c r="ADY139" s="255"/>
      <c r="ADZ139" s="255"/>
      <c r="AEA139" s="255"/>
      <c r="AEB139" s="255"/>
      <c r="AEC139" s="255"/>
      <c r="AED139" s="255"/>
      <c r="AEE139" s="255"/>
      <c r="AEF139" s="255"/>
      <c r="AEG139" s="255"/>
      <c r="AEH139" s="255"/>
      <c r="AEI139" s="255"/>
      <c r="AEJ139" s="255"/>
      <c r="AEK139" s="255"/>
      <c r="AEL139" s="255"/>
      <c r="AEM139" s="255"/>
      <c r="AEN139" s="255"/>
      <c r="AEO139" s="255"/>
      <c r="AEP139" s="255"/>
      <c r="AEQ139" s="255"/>
      <c r="AER139" s="255"/>
      <c r="AES139" s="255"/>
      <c r="AET139" s="255"/>
      <c r="AEU139" s="255"/>
      <c r="AEV139" s="255"/>
      <c r="AEW139" s="255"/>
      <c r="AEX139" s="255"/>
      <c r="AEY139" s="255"/>
      <c r="AEZ139" s="255"/>
      <c r="AFA139" s="255"/>
      <c r="AFB139" s="255"/>
      <c r="AFC139" s="255"/>
      <c r="AFD139" s="255"/>
      <c r="AFE139" s="255"/>
      <c r="AFF139" s="255"/>
      <c r="AFG139" s="255"/>
      <c r="AFH139" s="255"/>
      <c r="AFI139" s="255"/>
      <c r="AFJ139" s="255"/>
      <c r="AFK139" s="255"/>
      <c r="AFL139" s="255"/>
      <c r="AFM139" s="255"/>
      <c r="AFN139" s="255"/>
      <c r="AFO139" s="255"/>
      <c r="AFP139" s="255"/>
      <c r="AFQ139" s="255"/>
      <c r="AFR139" s="255"/>
      <c r="AFS139" s="255"/>
      <c r="AFT139" s="255"/>
      <c r="AFU139" s="255"/>
      <c r="AFV139" s="255"/>
      <c r="AFW139" s="255"/>
      <c r="AFX139" s="255"/>
      <c r="AFY139" s="255"/>
      <c r="AFZ139" s="255"/>
      <c r="AGA139" s="255"/>
      <c r="AGB139" s="255"/>
      <c r="AGC139" s="255"/>
      <c r="AGD139" s="255"/>
      <c r="AGE139" s="255"/>
      <c r="AGF139" s="255"/>
      <c r="AGG139" s="255"/>
      <c r="AGH139" s="255"/>
      <c r="AGI139" s="255"/>
      <c r="AGJ139" s="255"/>
      <c r="AGK139" s="255"/>
      <c r="AGL139" s="255"/>
      <c r="AGM139" s="255"/>
      <c r="AGN139" s="255"/>
      <c r="AGO139" s="255"/>
      <c r="AGP139" s="255"/>
      <c r="AGQ139" s="255"/>
      <c r="AGR139" s="255"/>
      <c r="AGS139" s="255"/>
      <c r="AGT139" s="255"/>
      <c r="AGU139" s="255"/>
      <c r="AGV139" s="255"/>
      <c r="AGW139" s="255"/>
      <c r="AGX139" s="255"/>
      <c r="AGY139" s="255"/>
      <c r="AGZ139" s="255"/>
      <c r="AHA139" s="255"/>
      <c r="AHB139" s="255"/>
      <c r="AHC139" s="255"/>
      <c r="AHD139" s="255"/>
      <c r="AHE139" s="255"/>
      <c r="AHF139" s="255"/>
      <c r="AHG139" s="255"/>
      <c r="AHH139" s="255"/>
      <c r="AHI139" s="255"/>
      <c r="AHJ139" s="255"/>
      <c r="AHK139" s="255"/>
      <c r="AHL139" s="255"/>
      <c r="AHM139" s="255"/>
      <c r="AHN139" s="255"/>
      <c r="AHO139" s="255"/>
      <c r="AHP139" s="255"/>
      <c r="AHQ139" s="255"/>
      <c r="AHR139" s="255"/>
      <c r="AHS139" s="255"/>
      <c r="AHT139" s="255"/>
      <c r="AHU139" s="255"/>
      <c r="AHV139" s="255"/>
      <c r="AHW139" s="255"/>
      <c r="AHX139" s="255"/>
      <c r="AHY139" s="255"/>
      <c r="AHZ139" s="255"/>
      <c r="AIA139" s="255"/>
      <c r="AIB139" s="255"/>
      <c r="AIC139" s="255"/>
      <c r="AID139" s="255"/>
      <c r="AIE139" s="255"/>
      <c r="AIF139" s="255"/>
      <c r="AIG139" s="255"/>
      <c r="AIH139" s="255"/>
      <c r="AII139" s="255"/>
      <c r="AIJ139" s="255"/>
      <c r="AIK139" s="255"/>
      <c r="AIL139" s="255"/>
      <c r="AIM139" s="255"/>
      <c r="AIN139" s="255"/>
      <c r="AIO139" s="255"/>
      <c r="AIP139" s="255"/>
      <c r="AIQ139" s="255"/>
      <c r="AIR139" s="255"/>
      <c r="AIS139" s="255"/>
      <c r="AIT139" s="255"/>
      <c r="AIU139" s="255"/>
      <c r="AIV139" s="255"/>
      <c r="AIW139" s="255"/>
      <c r="AIX139" s="255"/>
      <c r="AIY139" s="255"/>
      <c r="AIZ139" s="255"/>
      <c r="AJA139" s="255"/>
      <c r="AJB139" s="255"/>
      <c r="AJC139" s="255"/>
      <c r="AJD139" s="255"/>
      <c r="AJE139" s="255"/>
      <c r="AJF139" s="255"/>
      <c r="AJG139" s="255"/>
      <c r="AJH139" s="255"/>
      <c r="AJI139" s="255"/>
      <c r="AJJ139" s="255"/>
      <c r="AJK139" s="255"/>
      <c r="AJL139" s="255"/>
      <c r="AJM139" s="255"/>
      <c r="AJN139" s="255"/>
      <c r="AJO139" s="255"/>
      <c r="AJP139" s="255"/>
      <c r="AJQ139" s="255"/>
      <c r="AJR139" s="255"/>
      <c r="AJS139" s="255"/>
      <c r="AJT139" s="255"/>
      <c r="AJU139" s="255"/>
      <c r="AJV139" s="255"/>
      <c r="AJW139" s="255"/>
      <c r="AJX139" s="255"/>
      <c r="AJY139" s="255"/>
      <c r="AJZ139" s="255"/>
      <c r="AKA139" s="255"/>
      <c r="AKB139" s="255"/>
      <c r="AKC139" s="255"/>
      <c r="AKD139" s="255"/>
      <c r="AKE139" s="255"/>
      <c r="AKF139" s="255"/>
      <c r="AKG139" s="255"/>
      <c r="AKH139" s="255"/>
      <c r="AKI139" s="255"/>
      <c r="AKJ139" s="255"/>
      <c r="AKK139" s="255"/>
      <c r="AKL139" s="255"/>
      <c r="AKM139" s="255"/>
      <c r="AKN139" s="255"/>
      <c r="AKO139" s="255"/>
      <c r="AKP139" s="255"/>
      <c r="AKQ139" s="255"/>
      <c r="AKR139" s="255"/>
      <c r="AKS139" s="255"/>
      <c r="AKT139" s="255"/>
      <c r="AKU139" s="255"/>
      <c r="AKV139" s="255"/>
      <c r="AKW139" s="255"/>
      <c r="AKX139" s="255"/>
      <c r="AKY139" s="255"/>
      <c r="AKZ139" s="255"/>
      <c r="ALA139" s="255"/>
      <c r="ALB139" s="255"/>
      <c r="ALC139" s="255"/>
      <c r="ALD139" s="255"/>
      <c r="ALE139" s="42"/>
      <c r="ALF139" s="42"/>
      <c r="ALG139" s="42"/>
      <c r="ALH139" s="42"/>
      <c r="ALI139" s="42"/>
      <c r="ALJ139" s="42"/>
      <c r="ALK139" s="42"/>
      <c r="ALL139" s="42"/>
      <c r="ALM139" s="42"/>
    </row>
    <row r="140" spans="1:1001" s="191" customFormat="1" ht="12.75" customHeight="1">
      <c r="A140" s="680" t="s">
        <v>7103</v>
      </c>
      <c r="B140" s="680"/>
      <c r="C140" s="680"/>
      <c r="D140" s="680"/>
      <c r="E140" s="680"/>
      <c r="F140" s="680"/>
      <c r="G140" s="680"/>
      <c r="H140" s="680"/>
      <c r="I140" s="680"/>
      <c r="J140" s="577">
        <f>SUMPRODUCT($E$11:$E$136,$G$11:$G$136)+SUMPRODUCT($E$11:$E$136,$H$11:$H$136)</f>
        <v>170208.22875748287</v>
      </c>
      <c r="K140" s="255"/>
      <c r="L140" s="255"/>
      <c r="M140" s="255"/>
      <c r="N140" s="255"/>
      <c r="O140" s="255"/>
      <c r="P140" s="255"/>
      <c r="Q140" s="255"/>
      <c r="R140" s="255"/>
      <c r="S140" s="255"/>
      <c r="T140" s="255"/>
      <c r="U140" s="255"/>
      <c r="V140" s="255"/>
      <c r="W140" s="255"/>
      <c r="X140" s="255"/>
      <c r="Y140" s="255"/>
      <c r="Z140" s="255"/>
      <c r="AA140" s="255"/>
      <c r="AB140" s="255"/>
      <c r="AC140" s="255"/>
      <c r="AD140" s="255"/>
      <c r="AE140" s="255"/>
      <c r="AF140" s="255"/>
      <c r="AG140" s="255"/>
      <c r="AH140" s="255"/>
      <c r="AI140" s="255"/>
      <c r="AJ140" s="255"/>
      <c r="AK140" s="255"/>
      <c r="AL140" s="255"/>
      <c r="AM140" s="255"/>
      <c r="AN140" s="255"/>
      <c r="AO140" s="255"/>
      <c r="AP140" s="255"/>
      <c r="AQ140" s="255"/>
      <c r="AR140" s="255"/>
      <c r="AS140" s="255"/>
      <c r="AT140" s="255"/>
      <c r="AU140" s="255"/>
      <c r="AV140" s="255"/>
      <c r="AW140" s="255"/>
      <c r="AX140" s="255"/>
      <c r="AY140" s="255"/>
      <c r="AZ140" s="255"/>
      <c r="BA140" s="255"/>
      <c r="BB140" s="255"/>
      <c r="BC140" s="255"/>
      <c r="BD140" s="255"/>
      <c r="BE140" s="255"/>
      <c r="BF140" s="255"/>
      <c r="BG140" s="255"/>
      <c r="BH140" s="255"/>
      <c r="BI140" s="255"/>
      <c r="BJ140" s="255"/>
      <c r="BK140" s="255"/>
      <c r="BL140" s="255"/>
      <c r="BM140" s="255"/>
      <c r="BN140" s="255"/>
      <c r="BO140" s="255"/>
      <c r="BP140" s="255"/>
      <c r="BQ140" s="255"/>
      <c r="BR140" s="255"/>
      <c r="BS140" s="255"/>
      <c r="BT140" s="255"/>
      <c r="BU140" s="255"/>
      <c r="BV140" s="255"/>
      <c r="BW140" s="255"/>
      <c r="BX140" s="255"/>
      <c r="BY140" s="255"/>
      <c r="BZ140" s="255"/>
      <c r="CA140" s="255"/>
      <c r="CB140" s="255"/>
      <c r="CC140" s="255"/>
      <c r="CD140" s="255"/>
      <c r="CE140" s="255"/>
      <c r="CF140" s="255"/>
      <c r="CG140" s="255"/>
      <c r="CH140" s="255"/>
      <c r="CI140" s="255"/>
      <c r="CJ140" s="255"/>
      <c r="CK140" s="255"/>
      <c r="CL140" s="255"/>
      <c r="CM140" s="255"/>
      <c r="CN140" s="255"/>
      <c r="CO140" s="255"/>
      <c r="CP140" s="255"/>
      <c r="CQ140" s="255"/>
      <c r="CR140" s="255"/>
      <c r="CS140" s="255"/>
      <c r="CT140" s="255"/>
      <c r="CU140" s="255"/>
      <c r="CV140" s="255"/>
      <c r="CW140" s="255"/>
      <c r="CX140" s="255"/>
      <c r="CY140" s="255"/>
      <c r="CZ140" s="255"/>
      <c r="DA140" s="255"/>
      <c r="DB140" s="255"/>
      <c r="DC140" s="255"/>
      <c r="DD140" s="255"/>
      <c r="DE140" s="255"/>
      <c r="DF140" s="255"/>
      <c r="DG140" s="255"/>
      <c r="DH140" s="255"/>
      <c r="DI140" s="255"/>
      <c r="DJ140" s="255"/>
      <c r="DK140" s="255"/>
      <c r="DL140" s="255"/>
      <c r="DM140" s="255"/>
      <c r="DN140" s="255"/>
      <c r="DO140" s="255"/>
      <c r="DP140" s="255"/>
      <c r="DQ140" s="255"/>
      <c r="DR140" s="255"/>
      <c r="DS140" s="255"/>
      <c r="DT140" s="255"/>
      <c r="DU140" s="255"/>
      <c r="DV140" s="255"/>
      <c r="DW140" s="255"/>
      <c r="DX140" s="255"/>
      <c r="DY140" s="255"/>
      <c r="DZ140" s="255"/>
      <c r="EA140" s="255"/>
      <c r="EB140" s="255"/>
      <c r="EC140" s="255"/>
      <c r="ED140" s="255"/>
      <c r="EE140" s="255"/>
      <c r="EF140" s="255"/>
      <c r="EG140" s="255"/>
      <c r="EH140" s="255"/>
      <c r="EI140" s="255"/>
      <c r="EJ140" s="255"/>
      <c r="EK140" s="255"/>
      <c r="EL140" s="255"/>
      <c r="EM140" s="255"/>
      <c r="EN140" s="255"/>
      <c r="EO140" s="255"/>
      <c r="EP140" s="255"/>
      <c r="EQ140" s="255"/>
      <c r="ER140" s="255"/>
      <c r="ES140" s="255"/>
      <c r="ET140" s="255"/>
      <c r="EU140" s="255"/>
      <c r="EV140" s="255"/>
      <c r="EW140" s="255"/>
      <c r="EX140" s="255"/>
      <c r="EY140" s="255"/>
      <c r="EZ140" s="255"/>
      <c r="FA140" s="255"/>
      <c r="FB140" s="255"/>
      <c r="FC140" s="255"/>
      <c r="FD140" s="255"/>
      <c r="FE140" s="255"/>
      <c r="FF140" s="255"/>
      <c r="FG140" s="255"/>
      <c r="FH140" s="255"/>
      <c r="FI140" s="255"/>
      <c r="FJ140" s="255"/>
      <c r="FK140" s="255"/>
      <c r="FL140" s="255"/>
      <c r="FM140" s="255"/>
      <c r="FN140" s="255"/>
      <c r="FO140" s="255"/>
      <c r="FP140" s="255"/>
      <c r="FQ140" s="255"/>
      <c r="FR140" s="255"/>
      <c r="FS140" s="255"/>
      <c r="FT140" s="255"/>
      <c r="FU140" s="255"/>
      <c r="FV140" s="255"/>
      <c r="FW140" s="255"/>
      <c r="FX140" s="255"/>
      <c r="FY140" s="255"/>
      <c r="FZ140" s="255"/>
      <c r="GA140" s="255"/>
      <c r="GB140" s="255"/>
      <c r="GC140" s="255"/>
      <c r="GD140" s="255"/>
      <c r="GE140" s="255"/>
      <c r="GF140" s="255"/>
      <c r="GG140" s="255"/>
      <c r="GH140" s="255"/>
      <c r="GI140" s="255"/>
      <c r="GJ140" s="255"/>
      <c r="GK140" s="255"/>
      <c r="GL140" s="255"/>
      <c r="GM140" s="255"/>
      <c r="GN140" s="255"/>
      <c r="GO140" s="255"/>
      <c r="GP140" s="255"/>
      <c r="GQ140" s="255"/>
      <c r="GR140" s="255"/>
      <c r="GS140" s="255"/>
      <c r="GT140" s="255"/>
      <c r="GU140" s="255"/>
      <c r="GV140" s="255"/>
      <c r="GW140" s="255"/>
      <c r="GX140" s="255"/>
      <c r="GY140" s="255"/>
      <c r="GZ140" s="255"/>
      <c r="HA140" s="255"/>
      <c r="HB140" s="255"/>
      <c r="HC140" s="255"/>
      <c r="HD140" s="255"/>
      <c r="HE140" s="255"/>
      <c r="HF140" s="255"/>
      <c r="HG140" s="255"/>
      <c r="HH140" s="255"/>
      <c r="HI140" s="255"/>
      <c r="HJ140" s="255"/>
      <c r="HK140" s="255"/>
      <c r="HL140" s="255"/>
      <c r="HM140" s="255"/>
      <c r="HN140" s="255"/>
      <c r="HO140" s="255"/>
      <c r="HP140" s="255"/>
      <c r="HQ140" s="255"/>
      <c r="HR140" s="255"/>
      <c r="HS140" s="255"/>
      <c r="HT140" s="255"/>
      <c r="HU140" s="255"/>
      <c r="HV140" s="255"/>
      <c r="HW140" s="255"/>
      <c r="HX140" s="255"/>
      <c r="HY140" s="255"/>
      <c r="HZ140" s="255"/>
      <c r="IA140" s="255"/>
      <c r="IB140" s="255"/>
      <c r="IC140" s="255"/>
      <c r="ID140" s="255"/>
      <c r="IE140" s="255"/>
      <c r="IF140" s="255"/>
      <c r="IG140" s="255"/>
      <c r="IH140" s="255"/>
      <c r="II140" s="255"/>
      <c r="IJ140" s="255"/>
      <c r="IK140" s="255"/>
      <c r="IL140" s="255"/>
      <c r="IM140" s="255"/>
      <c r="IN140" s="255"/>
      <c r="IO140" s="255"/>
      <c r="IP140" s="255"/>
      <c r="IQ140" s="255"/>
      <c r="IR140" s="255"/>
      <c r="IS140" s="255"/>
      <c r="IT140" s="255"/>
      <c r="IU140" s="255"/>
      <c r="IV140" s="255"/>
      <c r="IW140" s="255"/>
      <c r="IX140" s="255"/>
      <c r="IY140" s="255"/>
      <c r="IZ140" s="255"/>
      <c r="JA140" s="255"/>
      <c r="JB140" s="255"/>
      <c r="JC140" s="255"/>
      <c r="JD140" s="255"/>
      <c r="JE140" s="255"/>
      <c r="JF140" s="255"/>
      <c r="JG140" s="255"/>
      <c r="JH140" s="255"/>
      <c r="JI140" s="255"/>
      <c r="JJ140" s="255"/>
      <c r="JK140" s="255"/>
      <c r="JL140" s="255"/>
      <c r="JM140" s="255"/>
      <c r="JN140" s="255"/>
      <c r="JO140" s="255"/>
      <c r="JP140" s="255"/>
      <c r="JQ140" s="255"/>
      <c r="JR140" s="255"/>
      <c r="JS140" s="255"/>
      <c r="JT140" s="255"/>
      <c r="JU140" s="255"/>
      <c r="JV140" s="255"/>
      <c r="JW140" s="255"/>
      <c r="JX140" s="255"/>
      <c r="JY140" s="255"/>
      <c r="JZ140" s="255"/>
      <c r="KA140" s="255"/>
      <c r="KB140" s="255"/>
      <c r="KC140" s="255"/>
      <c r="KD140" s="255"/>
      <c r="KE140" s="255"/>
      <c r="KF140" s="255"/>
      <c r="KG140" s="255"/>
      <c r="KH140" s="255"/>
      <c r="KI140" s="255"/>
      <c r="KJ140" s="255"/>
      <c r="KK140" s="255"/>
      <c r="KL140" s="255"/>
      <c r="KM140" s="255"/>
      <c r="KN140" s="255"/>
      <c r="KO140" s="255"/>
      <c r="KP140" s="255"/>
      <c r="KQ140" s="255"/>
      <c r="KR140" s="255"/>
      <c r="KS140" s="255"/>
      <c r="KT140" s="255"/>
      <c r="KU140" s="255"/>
      <c r="KV140" s="255"/>
      <c r="KW140" s="255"/>
      <c r="KX140" s="255"/>
      <c r="KY140" s="255"/>
      <c r="KZ140" s="255"/>
      <c r="LA140" s="255"/>
      <c r="LB140" s="255"/>
      <c r="LC140" s="255"/>
      <c r="LD140" s="255"/>
      <c r="LE140" s="255"/>
      <c r="LF140" s="255"/>
      <c r="LG140" s="255"/>
      <c r="LH140" s="255"/>
      <c r="LI140" s="255"/>
      <c r="LJ140" s="255"/>
      <c r="LK140" s="255"/>
      <c r="LL140" s="255"/>
      <c r="LM140" s="255"/>
      <c r="LN140" s="255"/>
      <c r="LO140" s="255"/>
      <c r="LP140" s="255"/>
      <c r="LQ140" s="255"/>
      <c r="LR140" s="255"/>
      <c r="LS140" s="255"/>
      <c r="LT140" s="255"/>
      <c r="LU140" s="255"/>
      <c r="LV140" s="255"/>
      <c r="LW140" s="255"/>
      <c r="LX140" s="255"/>
      <c r="LY140" s="255"/>
      <c r="LZ140" s="255"/>
      <c r="MA140" s="255"/>
      <c r="MB140" s="255"/>
      <c r="MC140" s="255"/>
      <c r="MD140" s="255"/>
      <c r="ME140" s="255"/>
      <c r="MF140" s="255"/>
      <c r="MG140" s="255"/>
      <c r="MH140" s="255"/>
      <c r="MI140" s="255"/>
      <c r="MJ140" s="255"/>
      <c r="MK140" s="255"/>
      <c r="ML140" s="255"/>
      <c r="MM140" s="255"/>
      <c r="MN140" s="255"/>
      <c r="MO140" s="255"/>
      <c r="MP140" s="255"/>
      <c r="MQ140" s="255"/>
      <c r="MR140" s="255"/>
      <c r="MS140" s="255"/>
      <c r="MT140" s="255"/>
      <c r="MU140" s="255"/>
      <c r="MV140" s="255"/>
      <c r="MW140" s="255"/>
      <c r="MX140" s="255"/>
      <c r="MY140" s="255"/>
      <c r="MZ140" s="255"/>
      <c r="NA140" s="255"/>
      <c r="NB140" s="255"/>
      <c r="NC140" s="255"/>
      <c r="ND140" s="255"/>
      <c r="NE140" s="255"/>
      <c r="NF140" s="255"/>
      <c r="NG140" s="255"/>
      <c r="NH140" s="255"/>
      <c r="NI140" s="255"/>
      <c r="NJ140" s="255"/>
      <c r="NK140" s="255"/>
      <c r="NL140" s="255"/>
      <c r="NM140" s="255"/>
      <c r="NN140" s="255"/>
      <c r="NO140" s="255"/>
      <c r="NP140" s="255"/>
      <c r="NQ140" s="255"/>
      <c r="NR140" s="255"/>
      <c r="NS140" s="255"/>
      <c r="NT140" s="255"/>
      <c r="NU140" s="255"/>
      <c r="NV140" s="255"/>
      <c r="NW140" s="255"/>
      <c r="NX140" s="255"/>
      <c r="NY140" s="255"/>
      <c r="NZ140" s="255"/>
      <c r="OA140" s="255"/>
      <c r="OB140" s="255"/>
      <c r="OC140" s="255"/>
      <c r="OD140" s="255"/>
      <c r="OE140" s="255"/>
      <c r="OF140" s="255"/>
      <c r="OG140" s="255"/>
      <c r="OH140" s="255"/>
      <c r="OI140" s="255"/>
      <c r="OJ140" s="255"/>
      <c r="OK140" s="255"/>
      <c r="OL140" s="255"/>
      <c r="OM140" s="255"/>
      <c r="ON140" s="255"/>
      <c r="OO140" s="255"/>
      <c r="OP140" s="255"/>
      <c r="OQ140" s="255"/>
      <c r="OR140" s="255"/>
      <c r="OS140" s="255"/>
      <c r="OT140" s="255"/>
      <c r="OU140" s="255"/>
      <c r="OV140" s="255"/>
      <c r="OW140" s="255"/>
      <c r="OX140" s="255"/>
      <c r="OY140" s="255"/>
      <c r="OZ140" s="255"/>
      <c r="PA140" s="255"/>
      <c r="PB140" s="255"/>
      <c r="PC140" s="255"/>
      <c r="PD140" s="255"/>
      <c r="PE140" s="255"/>
      <c r="PF140" s="255"/>
      <c r="PG140" s="255"/>
      <c r="PH140" s="255"/>
      <c r="PI140" s="255"/>
      <c r="PJ140" s="255"/>
      <c r="PK140" s="255"/>
      <c r="PL140" s="255"/>
      <c r="PM140" s="255"/>
      <c r="PN140" s="255"/>
      <c r="PO140" s="255"/>
      <c r="PP140" s="255"/>
      <c r="PQ140" s="255"/>
      <c r="PR140" s="255"/>
      <c r="PS140" s="255"/>
      <c r="PT140" s="255"/>
      <c r="PU140" s="255"/>
      <c r="PV140" s="255"/>
      <c r="PW140" s="255"/>
      <c r="PX140" s="255"/>
      <c r="PY140" s="255"/>
      <c r="PZ140" s="255"/>
      <c r="QA140" s="255"/>
      <c r="QB140" s="255"/>
      <c r="QC140" s="255"/>
      <c r="QD140" s="255"/>
      <c r="QE140" s="255"/>
      <c r="QF140" s="255"/>
      <c r="QG140" s="255"/>
      <c r="QH140" s="255"/>
      <c r="QI140" s="255"/>
      <c r="QJ140" s="255"/>
      <c r="QK140" s="255"/>
      <c r="QL140" s="255"/>
      <c r="QM140" s="255"/>
      <c r="QN140" s="255"/>
      <c r="QO140" s="255"/>
      <c r="QP140" s="255"/>
      <c r="QQ140" s="255"/>
      <c r="QR140" s="255"/>
      <c r="QS140" s="255"/>
      <c r="QT140" s="255"/>
      <c r="QU140" s="255"/>
      <c r="QV140" s="255"/>
      <c r="QW140" s="255"/>
      <c r="QX140" s="255"/>
      <c r="QY140" s="255"/>
      <c r="QZ140" s="255"/>
      <c r="RA140" s="255"/>
      <c r="RB140" s="255"/>
      <c r="RC140" s="255"/>
      <c r="RD140" s="255"/>
      <c r="RE140" s="255"/>
      <c r="RF140" s="255"/>
      <c r="RG140" s="255"/>
      <c r="RH140" s="255"/>
      <c r="RI140" s="255"/>
      <c r="RJ140" s="255"/>
      <c r="RK140" s="255"/>
      <c r="RL140" s="255"/>
      <c r="RM140" s="255"/>
      <c r="RN140" s="255"/>
      <c r="RO140" s="255"/>
      <c r="RP140" s="255"/>
      <c r="RQ140" s="255"/>
      <c r="RR140" s="255"/>
      <c r="RS140" s="255"/>
      <c r="RT140" s="255"/>
      <c r="RU140" s="255"/>
      <c r="RV140" s="255"/>
      <c r="RW140" s="255"/>
      <c r="RX140" s="255"/>
      <c r="RY140" s="255"/>
      <c r="RZ140" s="255"/>
      <c r="SA140" s="255"/>
      <c r="SB140" s="255"/>
      <c r="SC140" s="255"/>
      <c r="SD140" s="255"/>
      <c r="SE140" s="255"/>
      <c r="SF140" s="255"/>
      <c r="SG140" s="255"/>
      <c r="SH140" s="255"/>
      <c r="SI140" s="255"/>
      <c r="SJ140" s="255"/>
      <c r="SK140" s="255"/>
      <c r="SL140" s="255"/>
      <c r="SM140" s="255"/>
      <c r="SN140" s="255"/>
      <c r="SO140" s="255"/>
      <c r="SP140" s="255"/>
      <c r="SQ140" s="255"/>
      <c r="SR140" s="255"/>
      <c r="SS140" s="255"/>
      <c r="ST140" s="255"/>
      <c r="SU140" s="255"/>
      <c r="SV140" s="255"/>
      <c r="SW140" s="255"/>
      <c r="SX140" s="255"/>
      <c r="SY140" s="255"/>
      <c r="SZ140" s="255"/>
      <c r="TA140" s="255"/>
      <c r="TB140" s="255"/>
      <c r="TC140" s="255"/>
      <c r="TD140" s="255"/>
      <c r="TE140" s="255"/>
      <c r="TF140" s="255"/>
      <c r="TG140" s="255"/>
      <c r="TH140" s="255"/>
      <c r="TI140" s="255"/>
      <c r="TJ140" s="255"/>
      <c r="TK140" s="255"/>
      <c r="TL140" s="255"/>
      <c r="TM140" s="255"/>
      <c r="TN140" s="255"/>
      <c r="TO140" s="255"/>
      <c r="TP140" s="255"/>
      <c r="TQ140" s="255"/>
      <c r="TR140" s="255"/>
      <c r="TS140" s="255"/>
      <c r="TT140" s="255"/>
      <c r="TU140" s="255"/>
      <c r="TV140" s="255"/>
      <c r="TW140" s="255"/>
      <c r="TX140" s="255"/>
      <c r="TY140" s="255"/>
      <c r="TZ140" s="255"/>
      <c r="UA140" s="255"/>
      <c r="UB140" s="255"/>
      <c r="UC140" s="255"/>
      <c r="UD140" s="255"/>
      <c r="UE140" s="255"/>
      <c r="UF140" s="255"/>
      <c r="UG140" s="255"/>
      <c r="UH140" s="255"/>
      <c r="UI140" s="255"/>
      <c r="UJ140" s="255"/>
      <c r="UK140" s="255"/>
      <c r="UL140" s="255"/>
      <c r="UM140" s="255"/>
      <c r="UN140" s="255"/>
      <c r="UO140" s="255"/>
      <c r="UP140" s="255"/>
      <c r="UQ140" s="255"/>
      <c r="UR140" s="255"/>
      <c r="US140" s="255"/>
      <c r="UT140" s="255"/>
      <c r="UU140" s="255"/>
      <c r="UV140" s="255"/>
      <c r="UW140" s="255"/>
      <c r="UX140" s="255"/>
      <c r="UY140" s="255"/>
      <c r="UZ140" s="255"/>
      <c r="VA140" s="255"/>
      <c r="VB140" s="255"/>
      <c r="VC140" s="255"/>
      <c r="VD140" s="255"/>
      <c r="VE140" s="255"/>
      <c r="VF140" s="255"/>
      <c r="VG140" s="255"/>
      <c r="VH140" s="255"/>
      <c r="VI140" s="255"/>
      <c r="VJ140" s="255"/>
      <c r="VK140" s="255"/>
      <c r="VL140" s="255"/>
      <c r="VM140" s="255"/>
      <c r="VN140" s="255"/>
      <c r="VO140" s="255"/>
      <c r="VP140" s="255"/>
      <c r="VQ140" s="255"/>
      <c r="VR140" s="255"/>
      <c r="VS140" s="255"/>
      <c r="VT140" s="255"/>
      <c r="VU140" s="255"/>
      <c r="VV140" s="255"/>
      <c r="VW140" s="255"/>
      <c r="VX140" s="255"/>
      <c r="VY140" s="255"/>
      <c r="VZ140" s="255"/>
      <c r="WA140" s="255"/>
      <c r="WB140" s="255"/>
      <c r="WC140" s="255"/>
      <c r="WD140" s="255"/>
      <c r="WE140" s="255"/>
      <c r="WF140" s="255"/>
      <c r="WG140" s="255"/>
      <c r="WH140" s="255"/>
      <c r="WI140" s="255"/>
      <c r="WJ140" s="255"/>
      <c r="WK140" s="255"/>
      <c r="WL140" s="255"/>
      <c r="WM140" s="255"/>
      <c r="WN140" s="255"/>
      <c r="WO140" s="255"/>
      <c r="WP140" s="255"/>
      <c r="WQ140" s="255"/>
      <c r="WR140" s="255"/>
      <c r="WS140" s="255"/>
      <c r="WT140" s="255"/>
      <c r="WU140" s="255"/>
      <c r="WV140" s="255"/>
      <c r="WW140" s="255"/>
      <c r="WX140" s="255"/>
      <c r="WY140" s="255"/>
      <c r="WZ140" s="255"/>
      <c r="XA140" s="255"/>
      <c r="XB140" s="255"/>
      <c r="XC140" s="255"/>
      <c r="XD140" s="255"/>
      <c r="XE140" s="255"/>
      <c r="XF140" s="255"/>
      <c r="XG140" s="255"/>
      <c r="XH140" s="255"/>
      <c r="XI140" s="255"/>
      <c r="XJ140" s="255"/>
      <c r="XK140" s="255"/>
      <c r="XL140" s="255"/>
      <c r="XM140" s="255"/>
      <c r="XN140" s="255"/>
      <c r="XO140" s="255"/>
      <c r="XP140" s="255"/>
      <c r="XQ140" s="255"/>
      <c r="XR140" s="255"/>
      <c r="XS140" s="255"/>
      <c r="XT140" s="255"/>
      <c r="XU140" s="255"/>
      <c r="XV140" s="255"/>
      <c r="XW140" s="255"/>
      <c r="XX140" s="255"/>
      <c r="XY140" s="255"/>
      <c r="XZ140" s="255"/>
      <c r="YA140" s="255"/>
      <c r="YB140" s="255"/>
      <c r="YC140" s="255"/>
      <c r="YD140" s="255"/>
      <c r="YE140" s="255"/>
      <c r="YF140" s="255"/>
      <c r="YG140" s="255"/>
      <c r="YH140" s="255"/>
      <c r="YI140" s="255"/>
      <c r="YJ140" s="255"/>
      <c r="YK140" s="255"/>
      <c r="YL140" s="255"/>
      <c r="YM140" s="255"/>
      <c r="YN140" s="255"/>
      <c r="YO140" s="255"/>
      <c r="YP140" s="255"/>
      <c r="YQ140" s="255"/>
      <c r="YR140" s="255"/>
      <c r="YS140" s="255"/>
      <c r="YT140" s="255"/>
      <c r="YU140" s="255"/>
      <c r="YV140" s="255"/>
      <c r="YW140" s="255"/>
      <c r="YX140" s="255"/>
      <c r="YY140" s="255"/>
      <c r="YZ140" s="255"/>
      <c r="ZA140" s="255"/>
      <c r="ZB140" s="255"/>
      <c r="ZC140" s="255"/>
      <c r="ZD140" s="255"/>
      <c r="ZE140" s="255"/>
      <c r="ZF140" s="255"/>
      <c r="ZG140" s="255"/>
      <c r="ZH140" s="255"/>
      <c r="ZI140" s="255"/>
      <c r="ZJ140" s="255"/>
      <c r="ZK140" s="255"/>
      <c r="ZL140" s="255"/>
      <c r="ZM140" s="255"/>
      <c r="ZN140" s="255"/>
      <c r="ZO140" s="255"/>
      <c r="ZP140" s="255"/>
      <c r="ZQ140" s="255"/>
      <c r="ZR140" s="255"/>
      <c r="ZS140" s="255"/>
      <c r="ZT140" s="255"/>
      <c r="ZU140" s="255"/>
      <c r="ZV140" s="255"/>
      <c r="ZW140" s="255"/>
      <c r="ZX140" s="255"/>
      <c r="ZY140" s="255"/>
      <c r="ZZ140" s="255"/>
      <c r="AAA140" s="255"/>
      <c r="AAB140" s="255"/>
      <c r="AAC140" s="255"/>
      <c r="AAD140" s="255"/>
      <c r="AAE140" s="255"/>
      <c r="AAF140" s="255"/>
      <c r="AAG140" s="255"/>
      <c r="AAH140" s="255"/>
      <c r="AAI140" s="255"/>
      <c r="AAJ140" s="255"/>
      <c r="AAK140" s="255"/>
      <c r="AAL140" s="255"/>
      <c r="AAM140" s="255"/>
      <c r="AAN140" s="255"/>
      <c r="AAO140" s="255"/>
      <c r="AAP140" s="255"/>
      <c r="AAQ140" s="255"/>
      <c r="AAR140" s="255"/>
      <c r="AAS140" s="255"/>
      <c r="AAT140" s="255"/>
      <c r="AAU140" s="255"/>
      <c r="AAV140" s="255"/>
      <c r="AAW140" s="255"/>
      <c r="AAX140" s="255"/>
      <c r="AAY140" s="255"/>
      <c r="AAZ140" s="255"/>
      <c r="ABA140" s="255"/>
      <c r="ABB140" s="255"/>
      <c r="ABC140" s="255"/>
      <c r="ABD140" s="255"/>
      <c r="ABE140" s="255"/>
      <c r="ABF140" s="255"/>
      <c r="ABG140" s="255"/>
      <c r="ABH140" s="255"/>
      <c r="ABI140" s="255"/>
      <c r="ABJ140" s="255"/>
      <c r="ABK140" s="255"/>
      <c r="ABL140" s="255"/>
      <c r="ABM140" s="255"/>
      <c r="ABN140" s="255"/>
      <c r="ABO140" s="255"/>
      <c r="ABP140" s="255"/>
      <c r="ABQ140" s="255"/>
      <c r="ABR140" s="255"/>
      <c r="ABS140" s="255"/>
      <c r="ABT140" s="255"/>
      <c r="ABU140" s="255"/>
      <c r="ABV140" s="255"/>
      <c r="ABW140" s="255"/>
      <c r="ABX140" s="255"/>
      <c r="ABY140" s="255"/>
      <c r="ABZ140" s="255"/>
      <c r="ACA140" s="255"/>
      <c r="ACB140" s="255"/>
      <c r="ACC140" s="255"/>
      <c r="ACD140" s="255"/>
      <c r="ACE140" s="255"/>
      <c r="ACF140" s="255"/>
      <c r="ACG140" s="255"/>
      <c r="ACH140" s="255"/>
      <c r="ACI140" s="255"/>
      <c r="ACJ140" s="255"/>
      <c r="ACK140" s="255"/>
      <c r="ACL140" s="255"/>
      <c r="ACM140" s="255"/>
      <c r="ACN140" s="255"/>
      <c r="ACO140" s="255"/>
      <c r="ACP140" s="255"/>
      <c r="ACQ140" s="255"/>
      <c r="ACR140" s="255"/>
      <c r="ACS140" s="255"/>
      <c r="ACT140" s="255"/>
      <c r="ACU140" s="255"/>
      <c r="ACV140" s="255"/>
      <c r="ACW140" s="255"/>
      <c r="ACX140" s="255"/>
      <c r="ACY140" s="255"/>
      <c r="ACZ140" s="255"/>
      <c r="ADA140" s="255"/>
      <c r="ADB140" s="255"/>
      <c r="ADC140" s="255"/>
      <c r="ADD140" s="255"/>
      <c r="ADE140" s="255"/>
      <c r="ADF140" s="255"/>
      <c r="ADG140" s="255"/>
      <c r="ADH140" s="255"/>
      <c r="ADI140" s="255"/>
      <c r="ADJ140" s="255"/>
      <c r="ADK140" s="255"/>
      <c r="ADL140" s="255"/>
      <c r="ADM140" s="255"/>
      <c r="ADN140" s="255"/>
      <c r="ADO140" s="255"/>
      <c r="ADP140" s="255"/>
      <c r="ADQ140" s="255"/>
      <c r="ADR140" s="255"/>
      <c r="ADS140" s="255"/>
      <c r="ADT140" s="255"/>
      <c r="ADU140" s="255"/>
      <c r="ADV140" s="255"/>
      <c r="ADW140" s="255"/>
      <c r="ADX140" s="255"/>
      <c r="ADY140" s="255"/>
      <c r="ADZ140" s="255"/>
      <c r="AEA140" s="255"/>
      <c r="AEB140" s="255"/>
      <c r="AEC140" s="255"/>
      <c r="AED140" s="255"/>
      <c r="AEE140" s="255"/>
      <c r="AEF140" s="255"/>
      <c r="AEG140" s="255"/>
      <c r="AEH140" s="255"/>
      <c r="AEI140" s="255"/>
      <c r="AEJ140" s="255"/>
      <c r="AEK140" s="255"/>
      <c r="AEL140" s="255"/>
      <c r="AEM140" s="255"/>
      <c r="AEN140" s="255"/>
      <c r="AEO140" s="255"/>
      <c r="AEP140" s="255"/>
      <c r="AEQ140" s="255"/>
      <c r="AER140" s="255"/>
      <c r="AES140" s="255"/>
      <c r="AET140" s="255"/>
      <c r="AEU140" s="255"/>
      <c r="AEV140" s="255"/>
      <c r="AEW140" s="255"/>
      <c r="AEX140" s="255"/>
      <c r="AEY140" s="255"/>
      <c r="AEZ140" s="255"/>
      <c r="AFA140" s="255"/>
      <c r="AFB140" s="255"/>
      <c r="AFC140" s="255"/>
      <c r="AFD140" s="255"/>
      <c r="AFE140" s="255"/>
      <c r="AFF140" s="255"/>
      <c r="AFG140" s="255"/>
      <c r="AFH140" s="255"/>
      <c r="AFI140" s="255"/>
      <c r="AFJ140" s="255"/>
      <c r="AFK140" s="255"/>
      <c r="AFL140" s="255"/>
      <c r="AFM140" s="255"/>
      <c r="AFN140" s="255"/>
      <c r="AFO140" s="255"/>
      <c r="AFP140" s="255"/>
      <c r="AFQ140" s="255"/>
      <c r="AFR140" s="255"/>
      <c r="AFS140" s="255"/>
      <c r="AFT140" s="255"/>
      <c r="AFU140" s="255"/>
      <c r="AFV140" s="255"/>
      <c r="AFW140" s="255"/>
      <c r="AFX140" s="255"/>
      <c r="AFY140" s="255"/>
      <c r="AFZ140" s="255"/>
      <c r="AGA140" s="255"/>
      <c r="AGB140" s="255"/>
      <c r="AGC140" s="255"/>
      <c r="AGD140" s="255"/>
      <c r="AGE140" s="255"/>
      <c r="AGF140" s="255"/>
      <c r="AGG140" s="255"/>
      <c r="AGH140" s="255"/>
      <c r="AGI140" s="255"/>
      <c r="AGJ140" s="255"/>
      <c r="AGK140" s="255"/>
      <c r="AGL140" s="255"/>
      <c r="AGM140" s="255"/>
      <c r="AGN140" s="255"/>
      <c r="AGO140" s="255"/>
      <c r="AGP140" s="255"/>
      <c r="AGQ140" s="255"/>
      <c r="AGR140" s="255"/>
      <c r="AGS140" s="255"/>
      <c r="AGT140" s="255"/>
      <c r="AGU140" s="255"/>
      <c r="AGV140" s="255"/>
      <c r="AGW140" s="255"/>
      <c r="AGX140" s="255"/>
      <c r="AGY140" s="255"/>
      <c r="AGZ140" s="255"/>
      <c r="AHA140" s="255"/>
      <c r="AHB140" s="255"/>
      <c r="AHC140" s="255"/>
      <c r="AHD140" s="255"/>
      <c r="AHE140" s="255"/>
      <c r="AHF140" s="255"/>
      <c r="AHG140" s="255"/>
      <c r="AHH140" s="255"/>
      <c r="AHI140" s="255"/>
      <c r="AHJ140" s="255"/>
      <c r="AHK140" s="255"/>
      <c r="AHL140" s="255"/>
      <c r="AHM140" s="255"/>
      <c r="AHN140" s="255"/>
      <c r="AHO140" s="255"/>
      <c r="AHP140" s="255"/>
      <c r="AHQ140" s="255"/>
      <c r="AHR140" s="255"/>
      <c r="AHS140" s="255"/>
      <c r="AHT140" s="255"/>
      <c r="AHU140" s="255"/>
      <c r="AHV140" s="255"/>
      <c r="AHW140" s="255"/>
      <c r="AHX140" s="255"/>
      <c r="AHY140" s="255"/>
      <c r="AHZ140" s="255"/>
      <c r="AIA140" s="255"/>
      <c r="AIB140" s="255"/>
      <c r="AIC140" s="255"/>
      <c r="AID140" s="255"/>
      <c r="AIE140" s="255"/>
      <c r="AIF140" s="255"/>
      <c r="AIG140" s="255"/>
      <c r="AIH140" s="255"/>
      <c r="AII140" s="255"/>
      <c r="AIJ140" s="255"/>
      <c r="AIK140" s="255"/>
      <c r="AIL140" s="255"/>
      <c r="AIM140" s="255"/>
      <c r="AIN140" s="255"/>
      <c r="AIO140" s="255"/>
      <c r="AIP140" s="255"/>
      <c r="AIQ140" s="255"/>
      <c r="AIR140" s="255"/>
      <c r="AIS140" s="255"/>
      <c r="AIT140" s="255"/>
      <c r="AIU140" s="255"/>
      <c r="AIV140" s="255"/>
      <c r="AIW140" s="255"/>
      <c r="AIX140" s="255"/>
      <c r="AIY140" s="255"/>
      <c r="AIZ140" s="255"/>
      <c r="AJA140" s="255"/>
      <c r="AJB140" s="255"/>
      <c r="AJC140" s="255"/>
      <c r="AJD140" s="255"/>
      <c r="AJE140" s="255"/>
      <c r="AJF140" s="255"/>
      <c r="AJG140" s="255"/>
      <c r="AJH140" s="255"/>
      <c r="AJI140" s="255"/>
      <c r="AJJ140" s="255"/>
      <c r="AJK140" s="255"/>
      <c r="AJL140" s="255"/>
      <c r="AJM140" s="255"/>
      <c r="AJN140" s="255"/>
      <c r="AJO140" s="255"/>
      <c r="AJP140" s="255"/>
      <c r="AJQ140" s="255"/>
      <c r="AJR140" s="255"/>
      <c r="AJS140" s="255"/>
      <c r="AJT140" s="255"/>
      <c r="AJU140" s="255"/>
      <c r="AJV140" s="255"/>
      <c r="AJW140" s="255"/>
      <c r="AJX140" s="255"/>
      <c r="AJY140" s="255"/>
      <c r="AJZ140" s="255"/>
      <c r="AKA140" s="255"/>
      <c r="AKB140" s="255"/>
      <c r="AKC140" s="255"/>
      <c r="AKD140" s="255"/>
      <c r="AKE140" s="255"/>
      <c r="AKF140" s="255"/>
      <c r="AKG140" s="255"/>
      <c r="AKH140" s="255"/>
      <c r="AKI140" s="255"/>
      <c r="AKJ140" s="255"/>
      <c r="AKK140" s="255"/>
      <c r="AKL140" s="255"/>
      <c r="AKM140" s="255"/>
      <c r="AKN140" s="255"/>
      <c r="AKO140" s="255"/>
      <c r="AKP140" s="255"/>
      <c r="AKQ140" s="255"/>
      <c r="AKR140" s="255"/>
      <c r="AKS140" s="255"/>
      <c r="AKT140" s="255"/>
      <c r="AKU140" s="255"/>
      <c r="AKV140" s="255"/>
      <c r="AKW140" s="255"/>
      <c r="AKX140" s="255"/>
      <c r="AKY140" s="255"/>
      <c r="AKZ140" s="255"/>
      <c r="ALA140" s="255"/>
      <c r="ALB140" s="255"/>
      <c r="ALC140" s="255"/>
      <c r="ALD140" s="255"/>
      <c r="ALE140" s="42"/>
      <c r="ALF140" s="42"/>
      <c r="ALG140" s="42"/>
      <c r="ALH140" s="42"/>
      <c r="ALI140" s="42"/>
      <c r="ALJ140" s="42"/>
      <c r="ALK140" s="42"/>
      <c r="ALL140" s="42"/>
      <c r="ALM140" s="42"/>
    </row>
    <row r="141" spans="1:1001" ht="15">
      <c r="A141" s="680" t="s">
        <v>6928</v>
      </c>
      <c r="B141" s="695"/>
      <c r="C141" s="695"/>
      <c r="D141" s="695"/>
      <c r="E141" s="695"/>
      <c r="F141" s="695"/>
      <c r="G141" s="695"/>
      <c r="H141" s="695"/>
      <c r="I141" s="695"/>
      <c r="J141" s="281">
        <f>SUM(J137,J132,J126,J123,J119,J112,J109,J97,J94,J91,J67,J18,J15)</f>
        <v>228245.82940493981</v>
      </c>
      <c r="K141" s="255"/>
      <c r="L141" s="255"/>
      <c r="M141" s="255"/>
      <c r="N141" s="255"/>
      <c r="O141" s="255"/>
    </row>
    <row r="142" spans="1:1001">
      <c r="K142" s="255"/>
      <c r="L142" s="255"/>
      <c r="M142" s="255"/>
      <c r="N142" s="255"/>
      <c r="O142" s="255"/>
    </row>
    <row r="143" spans="1:1001">
      <c r="K143" s="255"/>
      <c r="L143" s="255"/>
      <c r="M143" s="255"/>
      <c r="N143" s="255"/>
      <c r="O143" s="255"/>
    </row>
    <row r="144" spans="1:1001">
      <c r="K144" s="255"/>
      <c r="L144" s="255"/>
      <c r="M144" s="255"/>
      <c r="N144" s="255"/>
      <c r="O144" s="255"/>
    </row>
    <row r="145" spans="11:15">
      <c r="K145" s="255"/>
      <c r="L145" s="255"/>
      <c r="M145" s="255"/>
      <c r="N145" s="255"/>
      <c r="O145" s="255"/>
    </row>
    <row r="146" spans="11:15">
      <c r="K146" s="255"/>
      <c r="L146" s="255"/>
      <c r="M146" s="255"/>
      <c r="N146" s="255"/>
      <c r="O146" s="255"/>
    </row>
    <row r="147" spans="11:15">
      <c r="K147" s="255"/>
      <c r="L147" s="255"/>
      <c r="M147" s="255"/>
      <c r="N147" s="255"/>
      <c r="O147" s="255"/>
    </row>
    <row r="148" spans="11:15">
      <c r="K148" s="255"/>
      <c r="L148" s="255"/>
      <c r="M148" s="255"/>
      <c r="N148" s="255"/>
      <c r="O148" s="255"/>
    </row>
    <row r="149" spans="11:15">
      <c r="K149" s="255"/>
      <c r="L149" s="255"/>
      <c r="M149" s="255"/>
      <c r="N149" s="255"/>
      <c r="O149" s="255"/>
    </row>
    <row r="150" spans="11:15">
      <c r="K150" s="255"/>
      <c r="L150" s="255"/>
      <c r="M150" s="255"/>
      <c r="N150" s="255"/>
      <c r="O150" s="255"/>
    </row>
    <row r="151" spans="11:15">
      <c r="K151" s="255"/>
      <c r="L151" s="255"/>
      <c r="M151" s="255"/>
      <c r="N151" s="255"/>
      <c r="O151" s="255"/>
    </row>
    <row r="152" spans="11:15">
      <c r="K152" s="255"/>
      <c r="L152" s="255"/>
      <c r="M152" s="255"/>
      <c r="N152" s="255"/>
      <c r="O152" s="255"/>
    </row>
    <row r="153" spans="11:15">
      <c r="K153" s="255"/>
      <c r="L153" s="255"/>
      <c r="M153" s="255"/>
      <c r="N153" s="255"/>
      <c r="O153" s="255"/>
    </row>
    <row r="154" spans="11:15">
      <c r="K154" s="255"/>
      <c r="L154" s="255"/>
      <c r="M154" s="255"/>
      <c r="N154" s="255"/>
      <c r="O154" s="255"/>
    </row>
    <row r="155" spans="11:15">
      <c r="K155" s="255"/>
      <c r="L155" s="255"/>
      <c r="M155" s="255"/>
      <c r="N155" s="255"/>
      <c r="O155" s="255"/>
    </row>
    <row r="156" spans="11:15">
      <c r="K156" s="255"/>
      <c r="L156" s="255"/>
      <c r="M156" s="255"/>
      <c r="N156" s="255"/>
      <c r="O156" s="255"/>
    </row>
    <row r="157" spans="11:15">
      <c r="K157" s="255"/>
      <c r="L157" s="255"/>
      <c r="M157" s="255"/>
      <c r="N157" s="255"/>
      <c r="O157" s="255"/>
    </row>
    <row r="158" spans="11:15">
      <c r="K158" s="255"/>
      <c r="L158" s="255"/>
      <c r="M158" s="255"/>
      <c r="N158" s="255"/>
      <c r="O158" s="255"/>
    </row>
    <row r="159" spans="11:15">
      <c r="K159" s="255"/>
      <c r="L159" s="255"/>
      <c r="M159" s="255"/>
      <c r="N159" s="255"/>
      <c r="O159" s="255"/>
    </row>
    <row r="160" spans="11:15">
      <c r="K160" s="255"/>
      <c r="L160" s="255"/>
      <c r="M160" s="255"/>
      <c r="N160" s="255"/>
      <c r="O160" s="255"/>
    </row>
    <row r="161" spans="11:15">
      <c r="K161" s="255"/>
      <c r="L161" s="255"/>
      <c r="M161" s="255"/>
      <c r="N161" s="255"/>
      <c r="O161" s="255"/>
    </row>
    <row r="162" spans="11:15">
      <c r="K162" s="255"/>
      <c r="L162" s="255"/>
      <c r="M162" s="255"/>
      <c r="N162" s="255"/>
      <c r="O162" s="255"/>
    </row>
    <row r="163" spans="11:15">
      <c r="K163" s="255"/>
      <c r="L163" s="255"/>
      <c r="M163" s="255"/>
      <c r="N163" s="255"/>
      <c r="O163" s="255"/>
    </row>
    <row r="164" spans="11:15">
      <c r="K164" s="255"/>
      <c r="L164" s="255"/>
      <c r="M164" s="255"/>
      <c r="N164" s="255"/>
      <c r="O164" s="255"/>
    </row>
    <row r="165" spans="11:15">
      <c r="K165" s="255"/>
      <c r="L165" s="255"/>
      <c r="M165" s="255"/>
      <c r="N165" s="255"/>
      <c r="O165" s="255"/>
    </row>
    <row r="166" spans="11:15">
      <c r="K166" s="255"/>
      <c r="L166" s="255"/>
      <c r="M166" s="255"/>
      <c r="N166" s="255"/>
      <c r="O166" s="255"/>
    </row>
    <row r="167" spans="11:15">
      <c r="K167" s="255"/>
      <c r="L167" s="255"/>
      <c r="M167" s="255"/>
      <c r="N167" s="255"/>
      <c r="O167" s="255"/>
    </row>
    <row r="168" spans="11:15">
      <c r="K168" s="255"/>
      <c r="L168" s="255"/>
      <c r="M168" s="255"/>
      <c r="N168" s="255"/>
      <c r="O168" s="255"/>
    </row>
    <row r="169" spans="11:15">
      <c r="K169" s="255"/>
      <c r="L169" s="255"/>
      <c r="M169" s="255"/>
      <c r="N169" s="255"/>
      <c r="O169" s="255"/>
    </row>
    <row r="170" spans="11:15">
      <c r="K170" s="255"/>
      <c r="L170" s="255"/>
      <c r="M170" s="255"/>
      <c r="N170" s="255"/>
      <c r="O170" s="255"/>
    </row>
    <row r="171" spans="11:15">
      <c r="K171" s="255"/>
      <c r="L171" s="255"/>
      <c r="M171" s="255"/>
      <c r="N171" s="255"/>
      <c r="O171" s="255"/>
    </row>
    <row r="172" spans="11:15">
      <c r="K172" s="255"/>
      <c r="L172" s="255"/>
      <c r="M172" s="255"/>
      <c r="N172" s="255"/>
      <c r="O172" s="255"/>
    </row>
    <row r="173" spans="11:15">
      <c r="K173" s="255"/>
      <c r="L173" s="255"/>
      <c r="M173" s="255"/>
      <c r="N173" s="255"/>
      <c r="O173" s="255"/>
    </row>
    <row r="174" spans="11:15">
      <c r="K174" s="255"/>
      <c r="L174" s="255"/>
      <c r="M174" s="255"/>
      <c r="N174" s="255"/>
      <c r="O174" s="255"/>
    </row>
    <row r="175" spans="11:15">
      <c r="K175" s="255"/>
      <c r="L175" s="255"/>
      <c r="M175" s="255"/>
      <c r="N175" s="255"/>
      <c r="O175" s="255"/>
    </row>
    <row r="176" spans="11:15">
      <c r="K176" s="255"/>
      <c r="L176" s="255"/>
      <c r="M176" s="255"/>
      <c r="N176" s="255"/>
      <c r="O176" s="255"/>
    </row>
    <row r="177" spans="11:15">
      <c r="K177" s="255"/>
      <c r="L177" s="255"/>
      <c r="M177" s="255"/>
      <c r="N177" s="255"/>
      <c r="O177" s="255"/>
    </row>
    <row r="178" spans="11:15">
      <c r="K178" s="255"/>
      <c r="L178" s="255"/>
      <c r="M178" s="255"/>
      <c r="N178" s="255"/>
      <c r="O178" s="255"/>
    </row>
    <row r="179" spans="11:15">
      <c r="K179" s="255"/>
      <c r="L179" s="255"/>
      <c r="M179" s="255"/>
      <c r="N179" s="255"/>
      <c r="O179" s="255"/>
    </row>
    <row r="180" spans="11:15">
      <c r="K180" s="255"/>
      <c r="L180" s="255"/>
      <c r="M180" s="255"/>
      <c r="N180" s="255"/>
      <c r="O180" s="255"/>
    </row>
    <row r="181" spans="11:15">
      <c r="K181" s="255"/>
      <c r="L181" s="255"/>
      <c r="M181" s="255"/>
      <c r="N181" s="255"/>
      <c r="O181" s="255"/>
    </row>
    <row r="182" spans="11:15">
      <c r="K182" s="255"/>
      <c r="L182" s="255"/>
      <c r="M182" s="255"/>
      <c r="N182" s="255"/>
      <c r="O182" s="255"/>
    </row>
    <row r="183" spans="11:15">
      <c r="K183" s="255"/>
      <c r="L183" s="255"/>
      <c r="M183" s="255"/>
      <c r="N183" s="255"/>
      <c r="O183" s="255"/>
    </row>
    <row r="184" spans="11:15">
      <c r="K184" s="255"/>
      <c r="L184" s="255"/>
      <c r="M184" s="255"/>
      <c r="N184" s="255"/>
      <c r="O184" s="255"/>
    </row>
    <row r="185" spans="11:15">
      <c r="K185" s="255"/>
      <c r="L185" s="255"/>
      <c r="M185" s="255"/>
      <c r="N185" s="255"/>
      <c r="O185" s="255"/>
    </row>
    <row r="186" spans="11:15">
      <c r="K186" s="255"/>
      <c r="L186" s="255"/>
      <c r="M186" s="255"/>
      <c r="N186" s="255"/>
      <c r="O186" s="255"/>
    </row>
    <row r="187" spans="11:15">
      <c r="K187" s="255"/>
      <c r="L187" s="255"/>
      <c r="M187" s="255"/>
      <c r="N187" s="255"/>
      <c r="O187" s="255"/>
    </row>
    <row r="188" spans="11:15">
      <c r="K188" s="255"/>
      <c r="L188" s="255"/>
      <c r="M188" s="255"/>
      <c r="N188" s="255"/>
      <c r="O188" s="255"/>
    </row>
    <row r="189" spans="11:15">
      <c r="K189" s="255"/>
      <c r="L189" s="255"/>
      <c r="M189" s="255"/>
      <c r="N189" s="255"/>
      <c r="O189" s="255"/>
    </row>
    <row r="190" spans="11:15">
      <c r="K190" s="255"/>
      <c r="L190" s="255"/>
      <c r="M190" s="255"/>
      <c r="N190" s="255"/>
      <c r="O190" s="255"/>
    </row>
    <row r="191" spans="11:15">
      <c r="K191" s="255"/>
      <c r="L191" s="255"/>
      <c r="M191" s="255"/>
      <c r="N191" s="255"/>
      <c r="O191" s="255"/>
    </row>
    <row r="192" spans="11:15">
      <c r="K192" s="255"/>
      <c r="L192" s="255"/>
      <c r="M192" s="255"/>
      <c r="N192" s="255"/>
      <c r="O192" s="255"/>
    </row>
    <row r="193" spans="11:15">
      <c r="K193" s="255"/>
      <c r="L193" s="255"/>
      <c r="M193" s="255"/>
      <c r="N193" s="255"/>
      <c r="O193" s="255"/>
    </row>
    <row r="194" spans="11:15">
      <c r="K194" s="255"/>
      <c r="L194" s="255"/>
      <c r="M194" s="255"/>
      <c r="N194" s="255"/>
      <c r="O194" s="255"/>
    </row>
    <row r="195" spans="11:15">
      <c r="K195" s="255"/>
      <c r="L195" s="255"/>
      <c r="M195" s="255"/>
      <c r="N195" s="255"/>
      <c r="O195" s="255"/>
    </row>
    <row r="196" spans="11:15">
      <c r="K196" s="255"/>
      <c r="L196" s="255"/>
      <c r="M196" s="255"/>
      <c r="N196" s="255"/>
      <c r="O196" s="255"/>
    </row>
    <row r="197" spans="11:15">
      <c r="K197" s="255"/>
      <c r="L197" s="255"/>
      <c r="M197" s="255"/>
      <c r="N197" s="255"/>
      <c r="O197" s="255"/>
    </row>
    <row r="198" spans="11:15">
      <c r="K198" s="255"/>
      <c r="L198" s="255"/>
      <c r="M198" s="255"/>
      <c r="N198" s="255"/>
      <c r="O198" s="255"/>
    </row>
    <row r="199" spans="11:15">
      <c r="K199" s="255"/>
      <c r="L199" s="255"/>
      <c r="M199" s="255"/>
      <c r="N199" s="255"/>
      <c r="O199" s="255"/>
    </row>
    <row r="200" spans="11:15">
      <c r="K200" s="255"/>
      <c r="L200" s="255"/>
      <c r="M200" s="255"/>
      <c r="N200" s="255"/>
      <c r="O200" s="255"/>
    </row>
    <row r="201" spans="11:15">
      <c r="K201" s="255"/>
      <c r="L201" s="255"/>
      <c r="M201" s="255"/>
      <c r="N201" s="255"/>
      <c r="O201" s="255"/>
    </row>
    <row r="202" spans="11:15">
      <c r="K202" s="255"/>
      <c r="L202" s="255"/>
      <c r="M202" s="255"/>
      <c r="N202" s="255"/>
      <c r="O202" s="255"/>
    </row>
    <row r="203" spans="11:15">
      <c r="K203" s="255"/>
      <c r="L203" s="255"/>
      <c r="M203" s="255"/>
      <c r="N203" s="255"/>
      <c r="O203" s="255"/>
    </row>
    <row r="204" spans="11:15">
      <c r="K204" s="255"/>
      <c r="L204" s="255"/>
      <c r="M204" s="255"/>
      <c r="N204" s="255"/>
      <c r="O204" s="255"/>
    </row>
    <row r="205" spans="11:15">
      <c r="K205" s="255"/>
      <c r="L205" s="255"/>
      <c r="M205" s="255"/>
      <c r="N205" s="255"/>
      <c r="O205" s="255"/>
    </row>
    <row r="206" spans="11:15">
      <c r="K206" s="255"/>
      <c r="L206" s="255"/>
      <c r="M206" s="255"/>
      <c r="N206" s="255"/>
      <c r="O206" s="255"/>
    </row>
    <row r="207" spans="11:15">
      <c r="K207" s="255"/>
      <c r="L207" s="255"/>
      <c r="M207" s="255"/>
      <c r="N207" s="255"/>
      <c r="O207" s="255"/>
    </row>
    <row r="208" spans="11:15">
      <c r="K208" s="255"/>
      <c r="L208" s="255"/>
      <c r="M208" s="255"/>
      <c r="N208" s="255"/>
      <c r="O208" s="255"/>
    </row>
    <row r="209" spans="11:15">
      <c r="K209" s="255"/>
      <c r="L209" s="255"/>
      <c r="M209" s="255"/>
      <c r="N209" s="255"/>
      <c r="O209" s="255"/>
    </row>
    <row r="210" spans="11:15">
      <c r="K210" s="255"/>
      <c r="L210" s="255"/>
      <c r="M210" s="255"/>
      <c r="N210" s="255"/>
      <c r="O210" s="255"/>
    </row>
    <row r="211" spans="11:15">
      <c r="K211" s="255"/>
      <c r="L211" s="255"/>
      <c r="M211" s="255"/>
      <c r="N211" s="255"/>
      <c r="O211" s="255"/>
    </row>
    <row r="212" spans="11:15">
      <c r="K212" s="255"/>
      <c r="L212" s="255"/>
      <c r="M212" s="255"/>
      <c r="N212" s="255"/>
      <c r="O212" s="255"/>
    </row>
    <row r="213" spans="11:15">
      <c r="K213" s="255"/>
      <c r="L213" s="255"/>
      <c r="M213" s="255"/>
      <c r="N213" s="255"/>
      <c r="O213" s="255"/>
    </row>
    <row r="214" spans="11:15">
      <c r="K214" s="255"/>
      <c r="L214" s="255"/>
      <c r="M214" s="255"/>
      <c r="N214" s="255"/>
      <c r="O214" s="255"/>
    </row>
    <row r="215" spans="11:15">
      <c r="K215" s="255"/>
      <c r="L215" s="255"/>
      <c r="M215" s="255"/>
      <c r="N215" s="255"/>
      <c r="O215" s="255"/>
    </row>
  </sheetData>
  <autoFilter ref="A12:J141" xr:uid="{00000000-0009-0000-0000-00000F000000}"/>
  <mergeCells count="17">
    <mergeCell ref="A140:I140"/>
    <mergeCell ref="C4:J4"/>
    <mergeCell ref="A94:I94"/>
    <mergeCell ref="A141:I141"/>
    <mergeCell ref="A15:I15"/>
    <mergeCell ref="A67:I67"/>
    <mergeCell ref="A91:I91"/>
    <mergeCell ref="A97:I97"/>
    <mergeCell ref="A109:I109"/>
    <mergeCell ref="A112:I112"/>
    <mergeCell ref="A119:I119"/>
    <mergeCell ref="A123:I123"/>
    <mergeCell ref="A126:I126"/>
    <mergeCell ref="A132:I132"/>
    <mergeCell ref="A137:I137"/>
    <mergeCell ref="A18:I18"/>
    <mergeCell ref="A139:I139"/>
  </mergeCells>
  <pageMargins left="0.43307086614173229" right="0.23622047244094491" top="0.31496062992125984" bottom="0.39370078740157483" header="0.31496062992125984" footer="0.15748031496062992"/>
  <pageSetup paperSize="9" scale="80" firstPageNumber="0" fitToHeight="0" orientation="landscape" r:id="rId1"/>
  <headerFooter>
    <oddFooter>&amp;CPágina &amp;P  de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186"/>
  <dimension ref="A1:IE430"/>
  <sheetViews>
    <sheetView topLeftCell="A221" zoomScale="85" zoomScaleNormal="85" workbookViewId="0">
      <selection activeCell="A235" sqref="A235"/>
    </sheetView>
  </sheetViews>
  <sheetFormatPr defaultColWidth="12.5703125" defaultRowHeight="12.75"/>
  <cols>
    <col min="1" max="1" width="11" style="114" customWidth="1"/>
    <col min="2" max="2" width="75.5703125" style="114" customWidth="1"/>
    <col min="3" max="3" width="8.7109375" style="117" bestFit="1" customWidth="1"/>
    <col min="4" max="4" width="21.42578125" style="118" customWidth="1"/>
    <col min="5" max="5" width="14.85546875" style="118" customWidth="1"/>
    <col min="6" max="6" width="17.140625" style="118" bestFit="1" customWidth="1"/>
    <col min="7" max="7" width="18.28515625" style="118" customWidth="1"/>
    <col min="8" max="8" width="12.5703125" style="113" hidden="1" customWidth="1"/>
    <col min="9" max="12" width="12.140625" style="113" hidden="1" customWidth="1"/>
    <col min="13" max="13" width="12.5703125" style="113" hidden="1" customWidth="1"/>
    <col min="14" max="17" width="12.140625" style="113" hidden="1" customWidth="1"/>
    <col min="18" max="239" width="12.140625" style="113" customWidth="1"/>
    <col min="240" max="246" width="12.5703125" style="114"/>
    <col min="247" max="247" width="12.42578125" style="114" customWidth="1"/>
    <col min="248" max="248" width="75.5703125" style="114" customWidth="1"/>
    <col min="249" max="249" width="10.42578125" style="114" customWidth="1"/>
    <col min="250" max="250" width="24.28515625" style="114" customWidth="1"/>
    <col min="251" max="251" width="13.5703125" style="114" customWidth="1"/>
    <col min="252" max="252" width="17.140625" style="114" bestFit="1" customWidth="1"/>
    <col min="253" max="253" width="18.28515625" style="114" customWidth="1"/>
    <col min="254" max="495" width="12.140625" style="114" customWidth="1"/>
    <col min="496" max="502" width="12.5703125" style="114"/>
    <col min="503" max="503" width="12.42578125" style="114" customWidth="1"/>
    <col min="504" max="504" width="75.5703125" style="114" customWidth="1"/>
    <col min="505" max="505" width="10.42578125" style="114" customWidth="1"/>
    <col min="506" max="506" width="24.28515625" style="114" customWidth="1"/>
    <col min="507" max="507" width="13.5703125" style="114" customWidth="1"/>
    <col min="508" max="508" width="17.140625" style="114" bestFit="1" customWidth="1"/>
    <col min="509" max="509" width="18.28515625" style="114" customWidth="1"/>
    <col min="510" max="751" width="12.140625" style="114" customWidth="1"/>
    <col min="752" max="758" width="12.5703125" style="114"/>
    <col min="759" max="759" width="12.42578125" style="114" customWidth="1"/>
    <col min="760" max="760" width="75.5703125" style="114" customWidth="1"/>
    <col min="761" max="761" width="10.42578125" style="114" customWidth="1"/>
    <col min="762" max="762" width="24.28515625" style="114" customWidth="1"/>
    <col min="763" max="763" width="13.5703125" style="114" customWidth="1"/>
    <col min="764" max="764" width="17.140625" style="114" bestFit="1" customWidth="1"/>
    <col min="765" max="765" width="18.28515625" style="114" customWidth="1"/>
    <col min="766" max="1007" width="12.140625" style="114" customWidth="1"/>
    <col min="1008" max="1014" width="12.5703125" style="114"/>
    <col min="1015" max="1015" width="12.42578125" style="114" customWidth="1"/>
    <col min="1016" max="1016" width="75.5703125" style="114" customWidth="1"/>
    <col min="1017" max="1017" width="10.42578125" style="114" customWidth="1"/>
    <col min="1018" max="1018" width="24.28515625" style="114" customWidth="1"/>
    <col min="1019" max="1019" width="13.5703125" style="114" customWidth="1"/>
    <col min="1020" max="1020" width="17.140625" style="114" bestFit="1" customWidth="1"/>
    <col min="1021" max="1021" width="18.28515625" style="114" customWidth="1"/>
    <col min="1022" max="1263" width="12.140625" style="114" customWidth="1"/>
    <col min="1264" max="1270" width="12.5703125" style="114"/>
    <col min="1271" max="1271" width="12.42578125" style="114" customWidth="1"/>
    <col min="1272" max="1272" width="75.5703125" style="114" customWidth="1"/>
    <col min="1273" max="1273" width="10.42578125" style="114" customWidth="1"/>
    <col min="1274" max="1274" width="24.28515625" style="114" customWidth="1"/>
    <col min="1275" max="1275" width="13.5703125" style="114" customWidth="1"/>
    <col min="1276" max="1276" width="17.140625" style="114" bestFit="1" customWidth="1"/>
    <col min="1277" max="1277" width="18.28515625" style="114" customWidth="1"/>
    <col min="1278" max="1519" width="12.140625" style="114" customWidth="1"/>
    <col min="1520" max="1526" width="12.5703125" style="114"/>
    <col min="1527" max="1527" width="12.42578125" style="114" customWidth="1"/>
    <col min="1528" max="1528" width="75.5703125" style="114" customWidth="1"/>
    <col min="1529" max="1529" width="10.42578125" style="114" customWidth="1"/>
    <col min="1530" max="1530" width="24.28515625" style="114" customWidth="1"/>
    <col min="1531" max="1531" width="13.5703125" style="114" customWidth="1"/>
    <col min="1532" max="1532" width="17.140625" style="114" bestFit="1" customWidth="1"/>
    <col min="1533" max="1533" width="18.28515625" style="114" customWidth="1"/>
    <col min="1534" max="1775" width="12.140625" style="114" customWidth="1"/>
    <col min="1776" max="1782" width="12.5703125" style="114"/>
    <col min="1783" max="1783" width="12.42578125" style="114" customWidth="1"/>
    <col min="1784" max="1784" width="75.5703125" style="114" customWidth="1"/>
    <col min="1785" max="1785" width="10.42578125" style="114" customWidth="1"/>
    <col min="1786" max="1786" width="24.28515625" style="114" customWidth="1"/>
    <col min="1787" max="1787" width="13.5703125" style="114" customWidth="1"/>
    <col min="1788" max="1788" width="17.140625" style="114" bestFit="1" customWidth="1"/>
    <col min="1789" max="1789" width="18.28515625" style="114" customWidth="1"/>
    <col min="1790" max="2031" width="12.140625" style="114" customWidth="1"/>
    <col min="2032" max="2038" width="12.5703125" style="114"/>
    <col min="2039" max="2039" width="12.42578125" style="114" customWidth="1"/>
    <col min="2040" max="2040" width="75.5703125" style="114" customWidth="1"/>
    <col min="2041" max="2041" width="10.42578125" style="114" customWidth="1"/>
    <col min="2042" max="2042" width="24.28515625" style="114" customWidth="1"/>
    <col min="2043" max="2043" width="13.5703125" style="114" customWidth="1"/>
    <col min="2044" max="2044" width="17.140625" style="114" bestFit="1" customWidth="1"/>
    <col min="2045" max="2045" width="18.28515625" style="114" customWidth="1"/>
    <col min="2046" max="2287" width="12.140625" style="114" customWidth="1"/>
    <col min="2288" max="2294" width="12.5703125" style="114"/>
    <col min="2295" max="2295" width="12.42578125" style="114" customWidth="1"/>
    <col min="2296" max="2296" width="75.5703125" style="114" customWidth="1"/>
    <col min="2297" max="2297" width="10.42578125" style="114" customWidth="1"/>
    <col min="2298" max="2298" width="24.28515625" style="114" customWidth="1"/>
    <col min="2299" max="2299" width="13.5703125" style="114" customWidth="1"/>
    <col min="2300" max="2300" width="17.140625" style="114" bestFit="1" customWidth="1"/>
    <col min="2301" max="2301" width="18.28515625" style="114" customWidth="1"/>
    <col min="2302" max="2543" width="12.140625" style="114" customWidth="1"/>
    <col min="2544" max="2550" width="12.5703125" style="114"/>
    <col min="2551" max="2551" width="12.42578125" style="114" customWidth="1"/>
    <col min="2552" max="2552" width="75.5703125" style="114" customWidth="1"/>
    <col min="2553" max="2553" width="10.42578125" style="114" customWidth="1"/>
    <col min="2554" max="2554" width="24.28515625" style="114" customWidth="1"/>
    <col min="2555" max="2555" width="13.5703125" style="114" customWidth="1"/>
    <col min="2556" max="2556" width="17.140625" style="114" bestFit="1" customWidth="1"/>
    <col min="2557" max="2557" width="18.28515625" style="114" customWidth="1"/>
    <col min="2558" max="2799" width="12.140625" style="114" customWidth="1"/>
    <col min="2800" max="2806" width="12.5703125" style="114"/>
    <col min="2807" max="2807" width="12.42578125" style="114" customWidth="1"/>
    <col min="2808" max="2808" width="75.5703125" style="114" customWidth="1"/>
    <col min="2809" max="2809" width="10.42578125" style="114" customWidth="1"/>
    <col min="2810" max="2810" width="24.28515625" style="114" customWidth="1"/>
    <col min="2811" max="2811" width="13.5703125" style="114" customWidth="1"/>
    <col min="2812" max="2812" width="17.140625" style="114" bestFit="1" customWidth="1"/>
    <col min="2813" max="2813" width="18.28515625" style="114" customWidth="1"/>
    <col min="2814" max="3055" width="12.140625" style="114" customWidth="1"/>
    <col min="3056" max="3062" width="12.5703125" style="114"/>
    <col min="3063" max="3063" width="12.42578125" style="114" customWidth="1"/>
    <col min="3064" max="3064" width="75.5703125" style="114" customWidth="1"/>
    <col min="3065" max="3065" width="10.42578125" style="114" customWidth="1"/>
    <col min="3066" max="3066" width="24.28515625" style="114" customWidth="1"/>
    <col min="3067" max="3067" width="13.5703125" style="114" customWidth="1"/>
    <col min="3068" max="3068" width="17.140625" style="114" bestFit="1" customWidth="1"/>
    <col min="3069" max="3069" width="18.28515625" style="114" customWidth="1"/>
    <col min="3070" max="3311" width="12.140625" style="114" customWidth="1"/>
    <col min="3312" max="3318" width="12.5703125" style="114"/>
    <col min="3319" max="3319" width="12.42578125" style="114" customWidth="1"/>
    <col min="3320" max="3320" width="75.5703125" style="114" customWidth="1"/>
    <col min="3321" max="3321" width="10.42578125" style="114" customWidth="1"/>
    <col min="3322" max="3322" width="24.28515625" style="114" customWidth="1"/>
    <col min="3323" max="3323" width="13.5703125" style="114" customWidth="1"/>
    <col min="3324" max="3324" width="17.140625" style="114" bestFit="1" customWidth="1"/>
    <col min="3325" max="3325" width="18.28515625" style="114" customWidth="1"/>
    <col min="3326" max="3567" width="12.140625" style="114" customWidth="1"/>
    <col min="3568" max="3574" width="12.5703125" style="114"/>
    <col min="3575" max="3575" width="12.42578125" style="114" customWidth="1"/>
    <col min="3576" max="3576" width="75.5703125" style="114" customWidth="1"/>
    <col min="3577" max="3577" width="10.42578125" style="114" customWidth="1"/>
    <col min="3578" max="3578" width="24.28515625" style="114" customWidth="1"/>
    <col min="3579" max="3579" width="13.5703125" style="114" customWidth="1"/>
    <col min="3580" max="3580" width="17.140625" style="114" bestFit="1" customWidth="1"/>
    <col min="3581" max="3581" width="18.28515625" style="114" customWidth="1"/>
    <col min="3582" max="3823" width="12.140625" style="114" customWidth="1"/>
    <col min="3824" max="3830" width="12.5703125" style="114"/>
    <col min="3831" max="3831" width="12.42578125" style="114" customWidth="1"/>
    <col min="3832" max="3832" width="75.5703125" style="114" customWidth="1"/>
    <col min="3833" max="3833" width="10.42578125" style="114" customWidth="1"/>
    <col min="3834" max="3834" width="24.28515625" style="114" customWidth="1"/>
    <col min="3835" max="3835" width="13.5703125" style="114" customWidth="1"/>
    <col min="3836" max="3836" width="17.140625" style="114" bestFit="1" customWidth="1"/>
    <col min="3837" max="3837" width="18.28515625" style="114" customWidth="1"/>
    <col min="3838" max="4079" width="12.140625" style="114" customWidth="1"/>
    <col min="4080" max="4086" width="12.5703125" style="114"/>
    <col min="4087" max="4087" width="12.42578125" style="114" customWidth="1"/>
    <col min="4088" max="4088" width="75.5703125" style="114" customWidth="1"/>
    <col min="4089" max="4089" width="10.42578125" style="114" customWidth="1"/>
    <col min="4090" max="4090" width="24.28515625" style="114" customWidth="1"/>
    <col min="4091" max="4091" width="13.5703125" style="114" customWidth="1"/>
    <col min="4092" max="4092" width="17.140625" style="114" bestFit="1" customWidth="1"/>
    <col min="4093" max="4093" width="18.28515625" style="114" customWidth="1"/>
    <col min="4094" max="4335" width="12.140625" style="114" customWidth="1"/>
    <col min="4336" max="4342" width="12.5703125" style="114"/>
    <col min="4343" max="4343" width="12.42578125" style="114" customWidth="1"/>
    <col min="4344" max="4344" width="75.5703125" style="114" customWidth="1"/>
    <col min="4345" max="4345" width="10.42578125" style="114" customWidth="1"/>
    <col min="4346" max="4346" width="24.28515625" style="114" customWidth="1"/>
    <col min="4347" max="4347" width="13.5703125" style="114" customWidth="1"/>
    <col min="4348" max="4348" width="17.140625" style="114" bestFit="1" customWidth="1"/>
    <col min="4349" max="4349" width="18.28515625" style="114" customWidth="1"/>
    <col min="4350" max="4591" width="12.140625" style="114" customWidth="1"/>
    <col min="4592" max="4598" width="12.5703125" style="114"/>
    <col min="4599" max="4599" width="12.42578125" style="114" customWidth="1"/>
    <col min="4600" max="4600" width="75.5703125" style="114" customWidth="1"/>
    <col min="4601" max="4601" width="10.42578125" style="114" customWidth="1"/>
    <col min="4602" max="4602" width="24.28515625" style="114" customWidth="1"/>
    <col min="4603" max="4603" width="13.5703125" style="114" customWidth="1"/>
    <col min="4604" max="4604" width="17.140625" style="114" bestFit="1" customWidth="1"/>
    <col min="4605" max="4605" width="18.28515625" style="114" customWidth="1"/>
    <col min="4606" max="4847" width="12.140625" style="114" customWidth="1"/>
    <col min="4848" max="4854" width="12.5703125" style="114"/>
    <col min="4855" max="4855" width="12.42578125" style="114" customWidth="1"/>
    <col min="4856" max="4856" width="75.5703125" style="114" customWidth="1"/>
    <col min="4857" max="4857" width="10.42578125" style="114" customWidth="1"/>
    <col min="4858" max="4858" width="24.28515625" style="114" customWidth="1"/>
    <col min="4859" max="4859" width="13.5703125" style="114" customWidth="1"/>
    <col min="4860" max="4860" width="17.140625" style="114" bestFit="1" customWidth="1"/>
    <col min="4861" max="4861" width="18.28515625" style="114" customWidth="1"/>
    <col min="4862" max="5103" width="12.140625" style="114" customWidth="1"/>
    <col min="5104" max="5110" width="12.5703125" style="114"/>
    <col min="5111" max="5111" width="12.42578125" style="114" customWidth="1"/>
    <col min="5112" max="5112" width="75.5703125" style="114" customWidth="1"/>
    <col min="5113" max="5113" width="10.42578125" style="114" customWidth="1"/>
    <col min="5114" max="5114" width="24.28515625" style="114" customWidth="1"/>
    <col min="5115" max="5115" width="13.5703125" style="114" customWidth="1"/>
    <col min="5116" max="5116" width="17.140625" style="114" bestFit="1" customWidth="1"/>
    <col min="5117" max="5117" width="18.28515625" style="114" customWidth="1"/>
    <col min="5118" max="5359" width="12.140625" style="114" customWidth="1"/>
    <col min="5360" max="5366" width="12.5703125" style="114"/>
    <col min="5367" max="5367" width="12.42578125" style="114" customWidth="1"/>
    <col min="5368" max="5368" width="75.5703125" style="114" customWidth="1"/>
    <col min="5369" max="5369" width="10.42578125" style="114" customWidth="1"/>
    <col min="5370" max="5370" width="24.28515625" style="114" customWidth="1"/>
    <col min="5371" max="5371" width="13.5703125" style="114" customWidth="1"/>
    <col min="5372" max="5372" width="17.140625" style="114" bestFit="1" customWidth="1"/>
    <col min="5373" max="5373" width="18.28515625" style="114" customWidth="1"/>
    <col min="5374" max="5615" width="12.140625" style="114" customWidth="1"/>
    <col min="5616" max="5622" width="12.5703125" style="114"/>
    <col min="5623" max="5623" width="12.42578125" style="114" customWidth="1"/>
    <col min="5624" max="5624" width="75.5703125" style="114" customWidth="1"/>
    <col min="5625" max="5625" width="10.42578125" style="114" customWidth="1"/>
    <col min="5626" max="5626" width="24.28515625" style="114" customWidth="1"/>
    <col min="5627" max="5627" width="13.5703125" style="114" customWidth="1"/>
    <col min="5628" max="5628" width="17.140625" style="114" bestFit="1" customWidth="1"/>
    <col min="5629" max="5629" width="18.28515625" style="114" customWidth="1"/>
    <col min="5630" max="5871" width="12.140625" style="114" customWidth="1"/>
    <col min="5872" max="5878" width="12.5703125" style="114"/>
    <col min="5879" max="5879" width="12.42578125" style="114" customWidth="1"/>
    <col min="5880" max="5880" width="75.5703125" style="114" customWidth="1"/>
    <col min="5881" max="5881" width="10.42578125" style="114" customWidth="1"/>
    <col min="5882" max="5882" width="24.28515625" style="114" customWidth="1"/>
    <col min="5883" max="5883" width="13.5703125" style="114" customWidth="1"/>
    <col min="5884" max="5884" width="17.140625" style="114" bestFit="1" customWidth="1"/>
    <col min="5885" max="5885" width="18.28515625" style="114" customWidth="1"/>
    <col min="5886" max="6127" width="12.140625" style="114" customWidth="1"/>
    <col min="6128" max="6134" width="12.5703125" style="114"/>
    <col min="6135" max="6135" width="12.42578125" style="114" customWidth="1"/>
    <col min="6136" max="6136" width="75.5703125" style="114" customWidth="1"/>
    <col min="6137" max="6137" width="10.42578125" style="114" customWidth="1"/>
    <col min="6138" max="6138" width="24.28515625" style="114" customWidth="1"/>
    <col min="6139" max="6139" width="13.5703125" style="114" customWidth="1"/>
    <col min="6140" max="6140" width="17.140625" style="114" bestFit="1" customWidth="1"/>
    <col min="6141" max="6141" width="18.28515625" style="114" customWidth="1"/>
    <col min="6142" max="6383" width="12.140625" style="114" customWidth="1"/>
    <col min="6384" max="6390" width="12.5703125" style="114"/>
    <col min="6391" max="6391" width="12.42578125" style="114" customWidth="1"/>
    <col min="6392" max="6392" width="75.5703125" style="114" customWidth="1"/>
    <col min="6393" max="6393" width="10.42578125" style="114" customWidth="1"/>
    <col min="6394" max="6394" width="24.28515625" style="114" customWidth="1"/>
    <col min="6395" max="6395" width="13.5703125" style="114" customWidth="1"/>
    <col min="6396" max="6396" width="17.140625" style="114" bestFit="1" customWidth="1"/>
    <col min="6397" max="6397" width="18.28515625" style="114" customWidth="1"/>
    <col min="6398" max="6639" width="12.140625" style="114" customWidth="1"/>
    <col min="6640" max="6646" width="12.5703125" style="114"/>
    <col min="6647" max="6647" width="12.42578125" style="114" customWidth="1"/>
    <col min="6648" max="6648" width="75.5703125" style="114" customWidth="1"/>
    <col min="6649" max="6649" width="10.42578125" style="114" customWidth="1"/>
    <col min="6650" max="6650" width="24.28515625" style="114" customWidth="1"/>
    <col min="6651" max="6651" width="13.5703125" style="114" customWidth="1"/>
    <col min="6652" max="6652" width="17.140625" style="114" bestFit="1" customWidth="1"/>
    <col min="6653" max="6653" width="18.28515625" style="114" customWidth="1"/>
    <col min="6654" max="6895" width="12.140625" style="114" customWidth="1"/>
    <col min="6896" max="6902" width="12.5703125" style="114"/>
    <col min="6903" max="6903" width="12.42578125" style="114" customWidth="1"/>
    <col min="6904" max="6904" width="75.5703125" style="114" customWidth="1"/>
    <col min="6905" max="6905" width="10.42578125" style="114" customWidth="1"/>
    <col min="6906" max="6906" width="24.28515625" style="114" customWidth="1"/>
    <col min="6907" max="6907" width="13.5703125" style="114" customWidth="1"/>
    <col min="6908" max="6908" width="17.140625" style="114" bestFit="1" customWidth="1"/>
    <col min="6909" max="6909" width="18.28515625" style="114" customWidth="1"/>
    <col min="6910" max="7151" width="12.140625" style="114" customWidth="1"/>
    <col min="7152" max="7158" width="12.5703125" style="114"/>
    <col min="7159" max="7159" width="12.42578125" style="114" customWidth="1"/>
    <col min="7160" max="7160" width="75.5703125" style="114" customWidth="1"/>
    <col min="7161" max="7161" width="10.42578125" style="114" customWidth="1"/>
    <col min="7162" max="7162" width="24.28515625" style="114" customWidth="1"/>
    <col min="7163" max="7163" width="13.5703125" style="114" customWidth="1"/>
    <col min="7164" max="7164" width="17.140625" style="114" bestFit="1" customWidth="1"/>
    <col min="7165" max="7165" width="18.28515625" style="114" customWidth="1"/>
    <col min="7166" max="7407" width="12.140625" style="114" customWidth="1"/>
    <col min="7408" max="7414" width="12.5703125" style="114"/>
    <col min="7415" max="7415" width="12.42578125" style="114" customWidth="1"/>
    <col min="7416" max="7416" width="75.5703125" style="114" customWidth="1"/>
    <col min="7417" max="7417" width="10.42578125" style="114" customWidth="1"/>
    <col min="7418" max="7418" width="24.28515625" style="114" customWidth="1"/>
    <col min="7419" max="7419" width="13.5703125" style="114" customWidth="1"/>
    <col min="7420" max="7420" width="17.140625" style="114" bestFit="1" customWidth="1"/>
    <col min="7421" max="7421" width="18.28515625" style="114" customWidth="1"/>
    <col min="7422" max="7663" width="12.140625" style="114" customWidth="1"/>
    <col min="7664" max="7670" width="12.5703125" style="114"/>
    <col min="7671" max="7671" width="12.42578125" style="114" customWidth="1"/>
    <col min="7672" max="7672" width="75.5703125" style="114" customWidth="1"/>
    <col min="7673" max="7673" width="10.42578125" style="114" customWidth="1"/>
    <col min="7674" max="7674" width="24.28515625" style="114" customWidth="1"/>
    <col min="7675" max="7675" width="13.5703125" style="114" customWidth="1"/>
    <col min="7676" max="7676" width="17.140625" style="114" bestFit="1" customWidth="1"/>
    <col min="7677" max="7677" width="18.28515625" style="114" customWidth="1"/>
    <col min="7678" max="7919" width="12.140625" style="114" customWidth="1"/>
    <col min="7920" max="7926" width="12.5703125" style="114"/>
    <col min="7927" max="7927" width="12.42578125" style="114" customWidth="1"/>
    <col min="7928" max="7928" width="75.5703125" style="114" customWidth="1"/>
    <col min="7929" max="7929" width="10.42578125" style="114" customWidth="1"/>
    <col min="7930" max="7930" width="24.28515625" style="114" customWidth="1"/>
    <col min="7931" max="7931" width="13.5703125" style="114" customWidth="1"/>
    <col min="7932" max="7932" width="17.140625" style="114" bestFit="1" customWidth="1"/>
    <col min="7933" max="7933" width="18.28515625" style="114" customWidth="1"/>
    <col min="7934" max="8175" width="12.140625" style="114" customWidth="1"/>
    <col min="8176" max="8182" width="12.5703125" style="114"/>
    <col min="8183" max="8183" width="12.42578125" style="114" customWidth="1"/>
    <col min="8184" max="8184" width="75.5703125" style="114" customWidth="1"/>
    <col min="8185" max="8185" width="10.42578125" style="114" customWidth="1"/>
    <col min="8186" max="8186" width="24.28515625" style="114" customWidth="1"/>
    <col min="8187" max="8187" width="13.5703125" style="114" customWidth="1"/>
    <col min="8188" max="8188" width="17.140625" style="114" bestFit="1" customWidth="1"/>
    <col min="8189" max="8189" width="18.28515625" style="114" customWidth="1"/>
    <col min="8190" max="8431" width="12.140625" style="114" customWidth="1"/>
    <col min="8432" max="8438" width="12.5703125" style="114"/>
    <col min="8439" max="8439" width="12.42578125" style="114" customWidth="1"/>
    <col min="8440" max="8440" width="75.5703125" style="114" customWidth="1"/>
    <col min="8441" max="8441" width="10.42578125" style="114" customWidth="1"/>
    <col min="8442" max="8442" width="24.28515625" style="114" customWidth="1"/>
    <col min="8443" max="8443" width="13.5703125" style="114" customWidth="1"/>
    <col min="8444" max="8444" width="17.140625" style="114" bestFit="1" customWidth="1"/>
    <col min="8445" max="8445" width="18.28515625" style="114" customWidth="1"/>
    <col min="8446" max="8687" width="12.140625" style="114" customWidth="1"/>
    <col min="8688" max="8694" width="12.5703125" style="114"/>
    <col min="8695" max="8695" width="12.42578125" style="114" customWidth="1"/>
    <col min="8696" max="8696" width="75.5703125" style="114" customWidth="1"/>
    <col min="8697" max="8697" width="10.42578125" style="114" customWidth="1"/>
    <col min="8698" max="8698" width="24.28515625" style="114" customWidth="1"/>
    <col min="8699" max="8699" width="13.5703125" style="114" customWidth="1"/>
    <col min="8700" max="8700" width="17.140625" style="114" bestFit="1" customWidth="1"/>
    <col min="8701" max="8701" width="18.28515625" style="114" customWidth="1"/>
    <col min="8702" max="8943" width="12.140625" style="114" customWidth="1"/>
    <col min="8944" max="8950" width="12.5703125" style="114"/>
    <col min="8951" max="8951" width="12.42578125" style="114" customWidth="1"/>
    <col min="8952" max="8952" width="75.5703125" style="114" customWidth="1"/>
    <col min="8953" max="8953" width="10.42578125" style="114" customWidth="1"/>
    <col min="8954" max="8954" width="24.28515625" style="114" customWidth="1"/>
    <col min="8955" max="8955" width="13.5703125" style="114" customWidth="1"/>
    <col min="8956" max="8956" width="17.140625" style="114" bestFit="1" customWidth="1"/>
    <col min="8957" max="8957" width="18.28515625" style="114" customWidth="1"/>
    <col min="8958" max="9199" width="12.140625" style="114" customWidth="1"/>
    <col min="9200" max="9206" width="12.5703125" style="114"/>
    <col min="9207" max="9207" width="12.42578125" style="114" customWidth="1"/>
    <col min="9208" max="9208" width="75.5703125" style="114" customWidth="1"/>
    <col min="9209" max="9209" width="10.42578125" style="114" customWidth="1"/>
    <col min="9210" max="9210" width="24.28515625" style="114" customWidth="1"/>
    <col min="9211" max="9211" width="13.5703125" style="114" customWidth="1"/>
    <col min="9212" max="9212" width="17.140625" style="114" bestFit="1" customWidth="1"/>
    <col min="9213" max="9213" width="18.28515625" style="114" customWidth="1"/>
    <col min="9214" max="9455" width="12.140625" style="114" customWidth="1"/>
    <col min="9456" max="9462" width="12.5703125" style="114"/>
    <col min="9463" max="9463" width="12.42578125" style="114" customWidth="1"/>
    <col min="9464" max="9464" width="75.5703125" style="114" customWidth="1"/>
    <col min="9465" max="9465" width="10.42578125" style="114" customWidth="1"/>
    <col min="9466" max="9466" width="24.28515625" style="114" customWidth="1"/>
    <col min="9467" max="9467" width="13.5703125" style="114" customWidth="1"/>
    <col min="9468" max="9468" width="17.140625" style="114" bestFit="1" customWidth="1"/>
    <col min="9469" max="9469" width="18.28515625" style="114" customWidth="1"/>
    <col min="9470" max="9711" width="12.140625" style="114" customWidth="1"/>
    <col min="9712" max="9718" width="12.5703125" style="114"/>
    <col min="9719" max="9719" width="12.42578125" style="114" customWidth="1"/>
    <col min="9720" max="9720" width="75.5703125" style="114" customWidth="1"/>
    <col min="9721" max="9721" width="10.42578125" style="114" customWidth="1"/>
    <col min="9722" max="9722" width="24.28515625" style="114" customWidth="1"/>
    <col min="9723" max="9723" width="13.5703125" style="114" customWidth="1"/>
    <col min="9724" max="9724" width="17.140625" style="114" bestFit="1" customWidth="1"/>
    <col min="9725" max="9725" width="18.28515625" style="114" customWidth="1"/>
    <col min="9726" max="9967" width="12.140625" style="114" customWidth="1"/>
    <col min="9968" max="9974" width="12.5703125" style="114"/>
    <col min="9975" max="9975" width="12.42578125" style="114" customWidth="1"/>
    <col min="9976" max="9976" width="75.5703125" style="114" customWidth="1"/>
    <col min="9977" max="9977" width="10.42578125" style="114" customWidth="1"/>
    <col min="9978" max="9978" width="24.28515625" style="114" customWidth="1"/>
    <col min="9979" max="9979" width="13.5703125" style="114" customWidth="1"/>
    <col min="9980" max="9980" width="17.140625" style="114" bestFit="1" customWidth="1"/>
    <col min="9981" max="9981" width="18.28515625" style="114" customWidth="1"/>
    <col min="9982" max="10223" width="12.140625" style="114" customWidth="1"/>
    <col min="10224" max="10230" width="12.5703125" style="114"/>
    <col min="10231" max="10231" width="12.42578125" style="114" customWidth="1"/>
    <col min="10232" max="10232" width="75.5703125" style="114" customWidth="1"/>
    <col min="10233" max="10233" width="10.42578125" style="114" customWidth="1"/>
    <col min="10234" max="10234" width="24.28515625" style="114" customWidth="1"/>
    <col min="10235" max="10235" width="13.5703125" style="114" customWidth="1"/>
    <col min="10236" max="10236" width="17.140625" style="114" bestFit="1" customWidth="1"/>
    <col min="10237" max="10237" width="18.28515625" style="114" customWidth="1"/>
    <col min="10238" max="10479" width="12.140625" style="114" customWidth="1"/>
    <col min="10480" max="10486" width="12.5703125" style="114"/>
    <col min="10487" max="10487" width="12.42578125" style="114" customWidth="1"/>
    <col min="10488" max="10488" width="75.5703125" style="114" customWidth="1"/>
    <col min="10489" max="10489" width="10.42578125" style="114" customWidth="1"/>
    <col min="10490" max="10490" width="24.28515625" style="114" customWidth="1"/>
    <col min="10491" max="10491" width="13.5703125" style="114" customWidth="1"/>
    <col min="10492" max="10492" width="17.140625" style="114" bestFit="1" customWidth="1"/>
    <col min="10493" max="10493" width="18.28515625" style="114" customWidth="1"/>
    <col min="10494" max="10735" width="12.140625" style="114" customWidth="1"/>
    <col min="10736" max="10742" width="12.5703125" style="114"/>
    <col min="10743" max="10743" width="12.42578125" style="114" customWidth="1"/>
    <col min="10744" max="10744" width="75.5703125" style="114" customWidth="1"/>
    <col min="10745" max="10745" width="10.42578125" style="114" customWidth="1"/>
    <col min="10746" max="10746" width="24.28515625" style="114" customWidth="1"/>
    <col min="10747" max="10747" width="13.5703125" style="114" customWidth="1"/>
    <col min="10748" max="10748" width="17.140625" style="114" bestFit="1" customWidth="1"/>
    <col min="10749" max="10749" width="18.28515625" style="114" customWidth="1"/>
    <col min="10750" max="10991" width="12.140625" style="114" customWidth="1"/>
    <col min="10992" max="10998" width="12.5703125" style="114"/>
    <col min="10999" max="10999" width="12.42578125" style="114" customWidth="1"/>
    <col min="11000" max="11000" width="75.5703125" style="114" customWidth="1"/>
    <col min="11001" max="11001" width="10.42578125" style="114" customWidth="1"/>
    <col min="11002" max="11002" width="24.28515625" style="114" customWidth="1"/>
    <col min="11003" max="11003" width="13.5703125" style="114" customWidth="1"/>
    <col min="11004" max="11004" width="17.140625" style="114" bestFit="1" customWidth="1"/>
    <col min="11005" max="11005" width="18.28515625" style="114" customWidth="1"/>
    <col min="11006" max="11247" width="12.140625" style="114" customWidth="1"/>
    <col min="11248" max="11254" width="12.5703125" style="114"/>
    <col min="11255" max="11255" width="12.42578125" style="114" customWidth="1"/>
    <col min="11256" max="11256" width="75.5703125" style="114" customWidth="1"/>
    <col min="11257" max="11257" width="10.42578125" style="114" customWidth="1"/>
    <col min="11258" max="11258" width="24.28515625" style="114" customWidth="1"/>
    <col min="11259" max="11259" width="13.5703125" style="114" customWidth="1"/>
    <col min="11260" max="11260" width="17.140625" style="114" bestFit="1" customWidth="1"/>
    <col min="11261" max="11261" width="18.28515625" style="114" customWidth="1"/>
    <col min="11262" max="11503" width="12.140625" style="114" customWidth="1"/>
    <col min="11504" max="11510" width="12.5703125" style="114"/>
    <col min="11511" max="11511" width="12.42578125" style="114" customWidth="1"/>
    <col min="11512" max="11512" width="75.5703125" style="114" customWidth="1"/>
    <col min="11513" max="11513" width="10.42578125" style="114" customWidth="1"/>
    <col min="11514" max="11514" width="24.28515625" style="114" customWidth="1"/>
    <col min="11515" max="11515" width="13.5703125" style="114" customWidth="1"/>
    <col min="11516" max="11516" width="17.140625" style="114" bestFit="1" customWidth="1"/>
    <col min="11517" max="11517" width="18.28515625" style="114" customWidth="1"/>
    <col min="11518" max="11759" width="12.140625" style="114" customWidth="1"/>
    <col min="11760" max="11766" width="12.5703125" style="114"/>
    <col min="11767" max="11767" width="12.42578125" style="114" customWidth="1"/>
    <col min="11768" max="11768" width="75.5703125" style="114" customWidth="1"/>
    <col min="11769" max="11769" width="10.42578125" style="114" customWidth="1"/>
    <col min="11770" max="11770" width="24.28515625" style="114" customWidth="1"/>
    <col min="11771" max="11771" width="13.5703125" style="114" customWidth="1"/>
    <col min="11772" max="11772" width="17.140625" style="114" bestFit="1" customWidth="1"/>
    <col min="11773" max="11773" width="18.28515625" style="114" customWidth="1"/>
    <col min="11774" max="12015" width="12.140625" style="114" customWidth="1"/>
    <col min="12016" max="12022" width="12.5703125" style="114"/>
    <col min="12023" max="12023" width="12.42578125" style="114" customWidth="1"/>
    <col min="12024" max="12024" width="75.5703125" style="114" customWidth="1"/>
    <col min="12025" max="12025" width="10.42578125" style="114" customWidth="1"/>
    <col min="12026" max="12026" width="24.28515625" style="114" customWidth="1"/>
    <col min="12027" max="12027" width="13.5703125" style="114" customWidth="1"/>
    <col min="12028" max="12028" width="17.140625" style="114" bestFit="1" customWidth="1"/>
    <col min="12029" max="12029" width="18.28515625" style="114" customWidth="1"/>
    <col min="12030" max="12271" width="12.140625" style="114" customWidth="1"/>
    <col min="12272" max="12278" width="12.5703125" style="114"/>
    <col min="12279" max="12279" width="12.42578125" style="114" customWidth="1"/>
    <col min="12280" max="12280" width="75.5703125" style="114" customWidth="1"/>
    <col min="12281" max="12281" width="10.42578125" style="114" customWidth="1"/>
    <col min="12282" max="12282" width="24.28515625" style="114" customWidth="1"/>
    <col min="12283" max="12283" width="13.5703125" style="114" customWidth="1"/>
    <col min="12284" max="12284" width="17.140625" style="114" bestFit="1" customWidth="1"/>
    <col min="12285" max="12285" width="18.28515625" style="114" customWidth="1"/>
    <col min="12286" max="12527" width="12.140625" style="114" customWidth="1"/>
    <col min="12528" max="12534" width="12.5703125" style="114"/>
    <col min="12535" max="12535" width="12.42578125" style="114" customWidth="1"/>
    <col min="12536" max="12536" width="75.5703125" style="114" customWidth="1"/>
    <col min="12537" max="12537" width="10.42578125" style="114" customWidth="1"/>
    <col min="12538" max="12538" width="24.28515625" style="114" customWidth="1"/>
    <col min="12539" max="12539" width="13.5703125" style="114" customWidth="1"/>
    <col min="12540" max="12540" width="17.140625" style="114" bestFit="1" customWidth="1"/>
    <col min="12541" max="12541" width="18.28515625" style="114" customWidth="1"/>
    <col min="12542" max="12783" width="12.140625" style="114" customWidth="1"/>
    <col min="12784" max="12790" width="12.5703125" style="114"/>
    <col min="12791" max="12791" width="12.42578125" style="114" customWidth="1"/>
    <col min="12792" max="12792" width="75.5703125" style="114" customWidth="1"/>
    <col min="12793" max="12793" width="10.42578125" style="114" customWidth="1"/>
    <col min="12794" max="12794" width="24.28515625" style="114" customWidth="1"/>
    <col min="12795" max="12795" width="13.5703125" style="114" customWidth="1"/>
    <col min="12796" max="12796" width="17.140625" style="114" bestFit="1" customWidth="1"/>
    <col min="12797" max="12797" width="18.28515625" style="114" customWidth="1"/>
    <col min="12798" max="13039" width="12.140625" style="114" customWidth="1"/>
    <col min="13040" max="13046" width="12.5703125" style="114"/>
    <col min="13047" max="13047" width="12.42578125" style="114" customWidth="1"/>
    <col min="13048" max="13048" width="75.5703125" style="114" customWidth="1"/>
    <col min="13049" max="13049" width="10.42578125" style="114" customWidth="1"/>
    <col min="13050" max="13050" width="24.28515625" style="114" customWidth="1"/>
    <col min="13051" max="13051" width="13.5703125" style="114" customWidth="1"/>
    <col min="13052" max="13052" width="17.140625" style="114" bestFit="1" customWidth="1"/>
    <col min="13053" max="13053" width="18.28515625" style="114" customWidth="1"/>
    <col min="13054" max="13295" width="12.140625" style="114" customWidth="1"/>
    <col min="13296" max="13302" width="12.5703125" style="114"/>
    <col min="13303" max="13303" width="12.42578125" style="114" customWidth="1"/>
    <col min="13304" max="13304" width="75.5703125" style="114" customWidth="1"/>
    <col min="13305" max="13305" width="10.42578125" style="114" customWidth="1"/>
    <col min="13306" max="13306" width="24.28515625" style="114" customWidth="1"/>
    <col min="13307" max="13307" width="13.5703125" style="114" customWidth="1"/>
    <col min="13308" max="13308" width="17.140625" style="114" bestFit="1" customWidth="1"/>
    <col min="13309" max="13309" width="18.28515625" style="114" customWidth="1"/>
    <col min="13310" max="13551" width="12.140625" style="114" customWidth="1"/>
    <col min="13552" max="13558" width="12.5703125" style="114"/>
    <col min="13559" max="13559" width="12.42578125" style="114" customWidth="1"/>
    <col min="13560" max="13560" width="75.5703125" style="114" customWidth="1"/>
    <col min="13561" max="13561" width="10.42578125" style="114" customWidth="1"/>
    <col min="13562" max="13562" width="24.28515625" style="114" customWidth="1"/>
    <col min="13563" max="13563" width="13.5703125" style="114" customWidth="1"/>
    <col min="13564" max="13564" width="17.140625" style="114" bestFit="1" customWidth="1"/>
    <col min="13565" max="13565" width="18.28515625" style="114" customWidth="1"/>
    <col min="13566" max="13807" width="12.140625" style="114" customWidth="1"/>
    <col min="13808" max="13814" width="12.5703125" style="114"/>
    <col min="13815" max="13815" width="12.42578125" style="114" customWidth="1"/>
    <col min="13816" max="13816" width="75.5703125" style="114" customWidth="1"/>
    <col min="13817" max="13817" width="10.42578125" style="114" customWidth="1"/>
    <col min="13818" max="13818" width="24.28515625" style="114" customWidth="1"/>
    <col min="13819" max="13819" width="13.5703125" style="114" customWidth="1"/>
    <col min="13820" max="13820" width="17.140625" style="114" bestFit="1" customWidth="1"/>
    <col min="13821" max="13821" width="18.28515625" style="114" customWidth="1"/>
    <col min="13822" max="14063" width="12.140625" style="114" customWidth="1"/>
    <col min="14064" max="14070" width="12.5703125" style="114"/>
    <col min="14071" max="14071" width="12.42578125" style="114" customWidth="1"/>
    <col min="14072" max="14072" width="75.5703125" style="114" customWidth="1"/>
    <col min="14073" max="14073" width="10.42578125" style="114" customWidth="1"/>
    <col min="14074" max="14074" width="24.28515625" style="114" customWidth="1"/>
    <col min="14075" max="14075" width="13.5703125" style="114" customWidth="1"/>
    <col min="14076" max="14076" width="17.140625" style="114" bestFit="1" customWidth="1"/>
    <col min="14077" max="14077" width="18.28515625" style="114" customWidth="1"/>
    <col min="14078" max="14319" width="12.140625" style="114" customWidth="1"/>
    <col min="14320" max="14326" width="12.5703125" style="114"/>
    <col min="14327" max="14327" width="12.42578125" style="114" customWidth="1"/>
    <col min="14328" max="14328" width="75.5703125" style="114" customWidth="1"/>
    <col min="14329" max="14329" width="10.42578125" style="114" customWidth="1"/>
    <col min="14330" max="14330" width="24.28515625" style="114" customWidth="1"/>
    <col min="14331" max="14331" width="13.5703125" style="114" customWidth="1"/>
    <col min="14332" max="14332" width="17.140625" style="114" bestFit="1" customWidth="1"/>
    <col min="14333" max="14333" width="18.28515625" style="114" customWidth="1"/>
    <col min="14334" max="14575" width="12.140625" style="114" customWidth="1"/>
    <col min="14576" max="14582" width="12.5703125" style="114"/>
    <col min="14583" max="14583" width="12.42578125" style="114" customWidth="1"/>
    <col min="14584" max="14584" width="75.5703125" style="114" customWidth="1"/>
    <col min="14585" max="14585" width="10.42578125" style="114" customWidth="1"/>
    <col min="14586" max="14586" width="24.28515625" style="114" customWidth="1"/>
    <col min="14587" max="14587" width="13.5703125" style="114" customWidth="1"/>
    <col min="14588" max="14588" width="17.140625" style="114" bestFit="1" customWidth="1"/>
    <col min="14589" max="14589" width="18.28515625" style="114" customWidth="1"/>
    <col min="14590" max="14831" width="12.140625" style="114" customWidth="1"/>
    <col min="14832" max="14838" width="12.5703125" style="114"/>
    <col min="14839" max="14839" width="12.42578125" style="114" customWidth="1"/>
    <col min="14840" max="14840" width="75.5703125" style="114" customWidth="1"/>
    <col min="14841" max="14841" width="10.42578125" style="114" customWidth="1"/>
    <col min="14842" max="14842" width="24.28515625" style="114" customWidth="1"/>
    <col min="14843" max="14843" width="13.5703125" style="114" customWidth="1"/>
    <col min="14844" max="14844" width="17.140625" style="114" bestFit="1" customWidth="1"/>
    <col min="14845" max="14845" width="18.28515625" style="114" customWidth="1"/>
    <col min="14846" max="15087" width="12.140625" style="114" customWidth="1"/>
    <col min="15088" max="15094" width="12.5703125" style="114"/>
    <col min="15095" max="15095" width="12.42578125" style="114" customWidth="1"/>
    <col min="15096" max="15096" width="75.5703125" style="114" customWidth="1"/>
    <col min="15097" max="15097" width="10.42578125" style="114" customWidth="1"/>
    <col min="15098" max="15098" width="24.28515625" style="114" customWidth="1"/>
    <col min="15099" max="15099" width="13.5703125" style="114" customWidth="1"/>
    <col min="15100" max="15100" width="17.140625" style="114" bestFit="1" customWidth="1"/>
    <col min="15101" max="15101" width="18.28515625" style="114" customWidth="1"/>
    <col min="15102" max="15343" width="12.140625" style="114" customWidth="1"/>
    <col min="15344" max="15350" width="12.5703125" style="114"/>
    <col min="15351" max="15351" width="12.42578125" style="114" customWidth="1"/>
    <col min="15352" max="15352" width="75.5703125" style="114" customWidth="1"/>
    <col min="15353" max="15353" width="10.42578125" style="114" customWidth="1"/>
    <col min="15354" max="15354" width="24.28515625" style="114" customWidth="1"/>
    <col min="15355" max="15355" width="13.5703125" style="114" customWidth="1"/>
    <col min="15356" max="15356" width="17.140625" style="114" bestFit="1" customWidth="1"/>
    <col min="15357" max="15357" width="18.28515625" style="114" customWidth="1"/>
    <col min="15358" max="15599" width="12.140625" style="114" customWidth="1"/>
    <col min="15600" max="15606" width="12.5703125" style="114"/>
    <col min="15607" max="15607" width="12.42578125" style="114" customWidth="1"/>
    <col min="15608" max="15608" width="75.5703125" style="114" customWidth="1"/>
    <col min="15609" max="15609" width="10.42578125" style="114" customWidth="1"/>
    <col min="15610" max="15610" width="24.28515625" style="114" customWidth="1"/>
    <col min="15611" max="15611" width="13.5703125" style="114" customWidth="1"/>
    <col min="15612" max="15612" width="17.140625" style="114" bestFit="1" customWidth="1"/>
    <col min="15613" max="15613" width="18.28515625" style="114" customWidth="1"/>
    <col min="15614" max="15855" width="12.140625" style="114" customWidth="1"/>
    <col min="15856" max="15862" width="12.5703125" style="114"/>
    <col min="15863" max="15863" width="12.42578125" style="114" customWidth="1"/>
    <col min="15864" max="15864" width="75.5703125" style="114" customWidth="1"/>
    <col min="15865" max="15865" width="10.42578125" style="114" customWidth="1"/>
    <col min="15866" max="15866" width="24.28515625" style="114" customWidth="1"/>
    <col min="15867" max="15867" width="13.5703125" style="114" customWidth="1"/>
    <col min="15868" max="15868" width="17.140625" style="114" bestFit="1" customWidth="1"/>
    <col min="15869" max="15869" width="18.28515625" style="114" customWidth="1"/>
    <col min="15870" max="16111" width="12.140625" style="114" customWidth="1"/>
    <col min="16112" max="16118" width="12.5703125" style="114"/>
    <col min="16119" max="16119" width="12.42578125" style="114" customWidth="1"/>
    <col min="16120" max="16120" width="75.5703125" style="114" customWidth="1"/>
    <col min="16121" max="16121" width="10.42578125" style="114" customWidth="1"/>
    <col min="16122" max="16122" width="24.28515625" style="114" customWidth="1"/>
    <col min="16123" max="16123" width="13.5703125" style="114" customWidth="1"/>
    <col min="16124" max="16124" width="17.140625" style="114" bestFit="1" customWidth="1"/>
    <col min="16125" max="16125" width="18.28515625" style="114" customWidth="1"/>
    <col min="16126" max="16367" width="12.140625" style="114" customWidth="1"/>
    <col min="16368" max="16384" width="12.5703125" style="114"/>
  </cols>
  <sheetData>
    <row r="1" spans="1:20" ht="12.75" hidden="1" customHeight="1">
      <c r="A1" s="701" t="s">
        <v>6924</v>
      </c>
      <c r="B1" s="701"/>
      <c r="C1" s="119"/>
      <c r="D1" s="120" t="s">
        <v>585</v>
      </c>
      <c r="E1" s="120" t="s">
        <v>586</v>
      </c>
      <c r="F1" s="120" t="s">
        <v>6288</v>
      </c>
      <c r="G1" s="120" t="s">
        <v>3</v>
      </c>
    </row>
    <row r="2" spans="1:20" ht="15.75" customHeight="1">
      <c r="A2" s="702" t="s">
        <v>6289</v>
      </c>
      <c r="B2" s="703" t="s">
        <v>1</v>
      </c>
      <c r="C2" s="704" t="s">
        <v>6925</v>
      </c>
      <c r="D2" s="700" t="s">
        <v>6290</v>
      </c>
      <c r="E2" s="700" t="s">
        <v>6291</v>
      </c>
      <c r="F2" s="700" t="s">
        <v>6292</v>
      </c>
      <c r="G2" s="700" t="s">
        <v>6948</v>
      </c>
      <c r="L2" s="116" t="s">
        <v>6958</v>
      </c>
      <c r="M2" s="113" t="s">
        <v>6959</v>
      </c>
      <c r="N2" s="113" t="s">
        <v>6960</v>
      </c>
      <c r="O2" s="113" t="s">
        <v>6961</v>
      </c>
    </row>
    <row r="3" spans="1:20" ht="15.75" customHeight="1">
      <c r="A3" s="702"/>
      <c r="B3" s="703"/>
      <c r="C3" s="704"/>
      <c r="D3" s="700"/>
      <c r="E3" s="700"/>
      <c r="F3" s="700"/>
      <c r="G3" s="700"/>
      <c r="H3" s="113" t="s">
        <v>6958</v>
      </c>
      <c r="I3" s="113" t="s">
        <v>6959</v>
      </c>
      <c r="J3" s="113" t="s">
        <v>6960</v>
      </c>
      <c r="K3" s="113" t="s">
        <v>6961</v>
      </c>
      <c r="L3" s="113">
        <f>COUNTIF(H4:H379,"falso")</f>
        <v>367</v>
      </c>
      <c r="M3" s="113">
        <f>COUNTIF(I4:I379,"falso")</f>
        <v>369</v>
      </c>
      <c r="N3" s="113">
        <f>COUNTIF(J4:J379,"falso")</f>
        <v>367</v>
      </c>
      <c r="O3" s="113">
        <f>COUNTIF(K4:K379,"falso")</f>
        <v>33</v>
      </c>
      <c r="P3" s="113">
        <f>COUNTIF(L4:L379,"falso")</f>
        <v>0</v>
      </c>
    </row>
    <row r="4" spans="1:20" ht="11.25">
      <c r="A4" s="121">
        <v>2</v>
      </c>
      <c r="B4" s="122" t="str">
        <f>VLOOKUP(A4,[1]INDICE!$A$4:$G$1000,2,0)</f>
        <v>JANELA METÁLICA CASE – J14/J15 – BASCULANTE – “100X40” CM</v>
      </c>
      <c r="C4" s="160" t="str">
        <f>VLOOKUP(A4,[1]INDICE!$A$4:$G$1000,3,0)</f>
        <v>M2</v>
      </c>
      <c r="D4" s="122">
        <f>VLOOKUP(A4,[1]INDICE!$A$4:$G$1000,4,0)</f>
        <v>134.02471</v>
      </c>
      <c r="E4" s="122">
        <f>VLOOKUP(A4,[1]INDICE!$A$4:$G$1000,5,0)</f>
        <v>253.4302035</v>
      </c>
      <c r="F4" s="122">
        <f>VLOOKUP(A4,[1]INDICE!$A$4:$G$1000,6,0)</f>
        <v>0</v>
      </c>
      <c r="G4" s="122">
        <f>VLOOKUP(A4,[1]INDICE!$A$4:$G$1000,7,0)</f>
        <v>387.45491349999998</v>
      </c>
      <c r="H4" s="116" t="b">
        <f>A4=[2]INDFILTRO!A4</f>
        <v>1</v>
      </c>
      <c r="I4" s="113" t="b">
        <f>B4=[2]INDFILTRO!B4</f>
        <v>1</v>
      </c>
      <c r="J4" s="113" t="b">
        <f>E4=[2]INDFILTRO!E4</f>
        <v>1</v>
      </c>
      <c r="K4" s="113" t="b">
        <f>F4=[2]INDFILTRO!F4</f>
        <v>1</v>
      </c>
      <c r="L4" s="116" t="str">
        <f>IF(D4+E4+F4=G4,"verdadeiro")</f>
        <v>verdadeiro</v>
      </c>
      <c r="M4" s="124">
        <f>A4</f>
        <v>2</v>
      </c>
      <c r="N4" s="116">
        <f>D4+E4</f>
        <v>387.45491349999998</v>
      </c>
      <c r="R4" s="113" t="b">
        <f>(D4+E4+F4)=G4</f>
        <v>1</v>
      </c>
    </row>
    <row r="5" spans="1:20" s="113" customFormat="1" ht="11.25">
      <c r="A5" s="121">
        <v>6</v>
      </c>
      <c r="B5" s="122" t="str">
        <f>VLOOKUP(A5,[1]INDICE!$A$4:$G$1000,2,0)</f>
        <v>CHAPA XADREZ ANTIDERRAPANTE NAS CANALETAS</v>
      </c>
      <c r="C5" s="160" t="str">
        <f>VLOOKUP(A5,[1]INDICE!$A$4:$G$1000,3,0)</f>
        <v>M2</v>
      </c>
      <c r="D5" s="122">
        <f>VLOOKUP(A5,[1]INDICE!$A$4:$G$1000,4,0)</f>
        <v>26.223134999999999</v>
      </c>
      <c r="E5" s="122">
        <f>VLOOKUP(A5,[1]INDICE!$A$4:$G$1000,5,0)</f>
        <v>818.82899999999995</v>
      </c>
      <c r="F5" s="122">
        <f>VLOOKUP(A5,[1]INDICE!$A$4:$G$1000,6,0)</f>
        <v>0</v>
      </c>
      <c r="G5" s="122">
        <f>VLOOKUP(A5,[1]INDICE!$A$4:$G$1000,7,0)</f>
        <v>845.05213499999991</v>
      </c>
      <c r="H5" s="116" t="b">
        <f>A5=[2]INDFILTRO!A5</f>
        <v>1</v>
      </c>
      <c r="I5" s="113" t="b">
        <f>B5=[2]INDFILTRO!B5</f>
        <v>1</v>
      </c>
      <c r="J5" s="113" t="b">
        <f>E5=[2]INDFILTRO!E5</f>
        <v>1</v>
      </c>
      <c r="K5" s="113" t="b">
        <f>F5=[2]INDFILTRO!F5</f>
        <v>1</v>
      </c>
      <c r="L5" s="116" t="str">
        <f t="shared" ref="L5:L69" si="0">IF(D5+E5+F5=G5,"verdadeiro")</f>
        <v>verdadeiro</v>
      </c>
      <c r="M5" s="124">
        <f t="shared" ref="M5:M69" si="1">A5</f>
        <v>6</v>
      </c>
      <c r="R5" s="253" t="b">
        <f t="shared" ref="R5:R68" si="2">(D5+E5+F5)=G5</f>
        <v>1</v>
      </c>
      <c r="S5" s="253"/>
      <c r="T5" s="253"/>
    </row>
    <row r="6" spans="1:20" s="113" customFormat="1" ht="11.25">
      <c r="A6" s="121">
        <v>7</v>
      </c>
      <c r="B6" s="122" t="str">
        <f>VLOOKUP(A6,[1]INDICE!$A$4:$G$1000,2,0)</f>
        <v>PORTA GRADE EM FERRO MECÂNICO - ALOJAMENTOS</v>
      </c>
      <c r="C6" s="160" t="str">
        <f>VLOOKUP(A6,[1]INDICE!$A$4:$G$1000,3,0)</f>
        <v>M2</v>
      </c>
      <c r="D6" s="122">
        <f>VLOOKUP(A6,[1]INDICE!$A$4:$G$1000,4,0)</f>
        <v>80.953409999999991</v>
      </c>
      <c r="E6" s="122">
        <f>VLOOKUP(A6,[1]INDICE!$A$4:$G$1000,5,0)</f>
        <v>1237.0324167439437</v>
      </c>
      <c r="F6" s="122">
        <f>VLOOKUP(A6,[1]INDICE!$A$4:$G$1000,6,0)</f>
        <v>0</v>
      </c>
      <c r="G6" s="122">
        <f>VLOOKUP(A6,[1]INDICE!$A$4:$G$1000,7,0)</f>
        <v>1317.9858267439438</v>
      </c>
      <c r="H6" s="116" t="b">
        <f>A6=[2]INDFILTRO!A6</f>
        <v>1</v>
      </c>
      <c r="I6" s="113" t="b">
        <f>B6=[2]INDFILTRO!B6</f>
        <v>0</v>
      </c>
      <c r="J6" s="113" t="b">
        <f>E6=[2]INDFILTRO!E6</f>
        <v>1</v>
      </c>
      <c r="K6" s="113" t="b">
        <f>F6=[2]INDFILTRO!F6</f>
        <v>1</v>
      </c>
      <c r="L6" s="116" t="str">
        <f t="shared" si="0"/>
        <v>verdadeiro</v>
      </c>
      <c r="M6" s="124">
        <f t="shared" si="1"/>
        <v>7</v>
      </c>
      <c r="R6" s="253" t="b">
        <f t="shared" si="2"/>
        <v>1</v>
      </c>
      <c r="S6" s="253"/>
      <c r="T6" s="253"/>
    </row>
    <row r="7" spans="1:20" s="113" customFormat="1" ht="11.25">
      <c r="A7" s="121">
        <v>8</v>
      </c>
      <c r="B7" s="122" t="str">
        <f>VLOOKUP(A7,[1]INDICE!$A$4:$G$1000,2,0)</f>
        <v>JANELA METÁLICA CASE – J16/J18/J19 – DUAS FOLHAS DE CORRER – “193X120” CM</v>
      </c>
      <c r="C7" s="160" t="str">
        <f>VLOOKUP(A7,[1]INDICE!$A$4:$G$1000,3,0)</f>
        <v>M2</v>
      </c>
      <c r="D7" s="122">
        <f>VLOOKUP(A7,[1]INDICE!$A$4:$G$1000,4,0)</f>
        <v>134.02471</v>
      </c>
      <c r="E7" s="122">
        <f>VLOOKUP(A7,[1]INDICE!$A$4:$G$1000,5,0)</f>
        <v>766.88476449999996</v>
      </c>
      <c r="F7" s="122">
        <f>VLOOKUP(A7,[1]INDICE!$A$4:$G$1000,6,0)</f>
        <v>0</v>
      </c>
      <c r="G7" s="122">
        <f>VLOOKUP(A7,[1]INDICE!$A$4:$G$1000,7,0)</f>
        <v>900.90947449999999</v>
      </c>
      <c r="H7" s="116" t="b">
        <f>A7=[2]INDFILTRO!A7</f>
        <v>1</v>
      </c>
      <c r="I7" s="113" t="b">
        <f>B7=[2]INDFILTRO!B7</f>
        <v>1</v>
      </c>
      <c r="J7" s="113" t="b">
        <f>E7=[2]INDFILTRO!E7</f>
        <v>1</v>
      </c>
      <c r="K7" s="113" t="b">
        <f>F7=[2]INDFILTRO!F7</f>
        <v>1</v>
      </c>
      <c r="L7" s="116" t="str">
        <f t="shared" si="0"/>
        <v>verdadeiro</v>
      </c>
      <c r="M7" s="124">
        <f t="shared" si="1"/>
        <v>8</v>
      </c>
      <c r="R7" s="253" t="b">
        <f t="shared" si="2"/>
        <v>1</v>
      </c>
      <c r="S7" s="253"/>
      <c r="T7" s="253"/>
    </row>
    <row r="8" spans="1:20" s="113" customFormat="1" ht="11.25">
      <c r="A8" s="121">
        <v>9</v>
      </c>
      <c r="B8" s="122" t="str">
        <f>VLOOKUP(A8,[1]INDICE!$A$4:$G$1000,2,0)</f>
        <v>PORTA METÁLICA CASE – P/P3/PS – UMA FOLHA – 90X210 CM</v>
      </c>
      <c r="C8" s="160" t="str">
        <f>VLOOKUP(A8,[1]INDICE!$A$4:$G$1000,3,0)</f>
        <v>M2</v>
      </c>
      <c r="D8" s="122">
        <f>VLOOKUP(A8,[1]INDICE!$A$4:$G$1000,4,0)</f>
        <v>47.084742999999996</v>
      </c>
      <c r="E8" s="122">
        <f>VLOOKUP(A8,[1]INDICE!$A$4:$G$1000,5,0)</f>
        <v>544.33859599999994</v>
      </c>
      <c r="F8" s="122">
        <f>VLOOKUP(A8,[1]INDICE!$A$4:$G$1000,6,0)</f>
        <v>0</v>
      </c>
      <c r="G8" s="122">
        <f>VLOOKUP(A8,[1]INDICE!$A$4:$G$1000,7,0)</f>
        <v>591.42333899999994</v>
      </c>
      <c r="H8" s="116" t="b">
        <f>A8=[2]INDFILTRO!A8</f>
        <v>1</v>
      </c>
      <c r="I8" s="113" t="b">
        <f>B8=[2]INDFILTRO!B8</f>
        <v>1</v>
      </c>
      <c r="J8" s="113" t="b">
        <f>E8=[2]INDFILTRO!E8</f>
        <v>1</v>
      </c>
      <c r="K8" s="113" t="b">
        <f>F8=[2]INDFILTRO!F8</f>
        <v>1</v>
      </c>
      <c r="L8" s="116" t="str">
        <f t="shared" si="0"/>
        <v>verdadeiro</v>
      </c>
      <c r="M8" s="124">
        <f t="shared" si="1"/>
        <v>9</v>
      </c>
      <c r="R8" s="253" t="b">
        <f t="shared" si="2"/>
        <v>1</v>
      </c>
      <c r="S8" s="253"/>
      <c r="T8" s="253"/>
    </row>
    <row r="9" spans="1:20" s="113" customFormat="1" ht="11.25">
      <c r="A9" s="121">
        <v>10</v>
      </c>
      <c r="B9" s="122" t="str">
        <f>VLOOKUP(A9,[1]INDICE!$A$4:$G$1000,2,0)</f>
        <v>PORTÃO METÁLICO CASE – P1 – UMA FOLHA CORRER – 400X460 CM</v>
      </c>
      <c r="C9" s="160" t="str">
        <f>VLOOKUP(A9,[1]INDICE!$A$4:$G$1000,3,0)</f>
        <v xml:space="preserve"> M²</v>
      </c>
      <c r="D9" s="122">
        <f>VLOOKUP(A9,[1]INDICE!$A$4:$G$1000,4,0)</f>
        <v>48.115469999999995</v>
      </c>
      <c r="E9" s="122">
        <f>VLOOKUP(A9,[1]INDICE!$A$4:$G$1000,5,0)</f>
        <v>560.53029023619638</v>
      </c>
      <c r="F9" s="122">
        <f>VLOOKUP(A9,[1]INDICE!$A$4:$G$1000,6,0)</f>
        <v>0</v>
      </c>
      <c r="G9" s="122">
        <f>VLOOKUP(A9,[1]INDICE!$A$4:$G$1000,7,0)</f>
        <v>608.64576023619634</v>
      </c>
      <c r="H9" s="116" t="b">
        <f>A9=[2]INDFILTRO!A9</f>
        <v>1</v>
      </c>
      <c r="I9" s="113" t="b">
        <f>B9=[2]INDFILTRO!B9</f>
        <v>1</v>
      </c>
      <c r="J9" s="113" t="b">
        <f>E9=[2]INDFILTRO!E9</f>
        <v>1</v>
      </c>
      <c r="K9" s="113" t="b">
        <f>F9=[2]INDFILTRO!F9</f>
        <v>1</v>
      </c>
      <c r="L9" s="116" t="str">
        <f t="shared" si="0"/>
        <v>verdadeiro</v>
      </c>
      <c r="M9" s="124">
        <f t="shared" si="1"/>
        <v>10</v>
      </c>
      <c r="R9" s="253" t="b">
        <f t="shared" si="2"/>
        <v>1</v>
      </c>
      <c r="S9" s="253"/>
      <c r="T9" s="253"/>
    </row>
    <row r="10" spans="1:20" s="113" customFormat="1" ht="11.25">
      <c r="A10" s="121">
        <v>11</v>
      </c>
      <c r="B10" s="122" t="str">
        <f>VLOOKUP(A10,[1]INDICE!$A$4:$G$1000,2,0)</f>
        <v>PORTA METÁLICA CASE – P2 – UMA FOLHA/ VENEZIANA – 100X210 CM</v>
      </c>
      <c r="C10" s="160" t="str">
        <f>VLOOKUP(A10,[1]INDICE!$A$4:$G$1000,3,0)</f>
        <v xml:space="preserve"> M²</v>
      </c>
      <c r="D10" s="122">
        <f>VLOOKUP(A10,[1]INDICE!$A$4:$G$1000,4,0)</f>
        <v>47.084742999999996</v>
      </c>
      <c r="E10" s="122">
        <f>VLOOKUP(A10,[1]INDICE!$A$4:$G$1000,5,0)</f>
        <v>706.08712179999986</v>
      </c>
      <c r="F10" s="122">
        <f>VLOOKUP(A10,[1]INDICE!$A$4:$G$1000,6,0)</f>
        <v>0</v>
      </c>
      <c r="G10" s="122">
        <f>VLOOKUP(A10,[1]INDICE!$A$4:$G$1000,7,0)</f>
        <v>753.17186479999987</v>
      </c>
      <c r="H10" s="116" t="b">
        <f>A10=[2]INDFILTRO!A10</f>
        <v>1</v>
      </c>
      <c r="I10" s="113" t="b">
        <f>B10=[2]INDFILTRO!B10</f>
        <v>1</v>
      </c>
      <c r="J10" s="113" t="b">
        <f>E10=[2]INDFILTRO!E10</f>
        <v>1</v>
      </c>
      <c r="K10" s="113" t="b">
        <f>F10=[2]INDFILTRO!F10</f>
        <v>1</v>
      </c>
      <c r="L10" s="116" t="str">
        <f t="shared" si="0"/>
        <v>verdadeiro</v>
      </c>
      <c r="M10" s="124">
        <f t="shared" si="1"/>
        <v>11</v>
      </c>
      <c r="R10" s="253" t="b">
        <f t="shared" si="2"/>
        <v>1</v>
      </c>
      <c r="S10" s="253"/>
      <c r="T10" s="253"/>
    </row>
    <row r="11" spans="1:20" s="113" customFormat="1" ht="11.25">
      <c r="A11" s="121">
        <v>12</v>
      </c>
      <c r="B11" s="122" t="str">
        <f>VLOOKUP(A11,[1]INDICE!$A$4:$G$1000,2,0)</f>
        <v>PORTA METÁLICA CASE – PG1/PG5 - 100X280 CM</v>
      </c>
      <c r="C11" s="160" t="str">
        <f>VLOOKUP(A11,[1]INDICE!$A$4:$G$1000,3,0)</f>
        <v>M2</v>
      </c>
      <c r="D11" s="122">
        <f>VLOOKUP(A11,[1]INDICE!$A$4:$G$1000,4,0)</f>
        <v>47.084742999999996</v>
      </c>
      <c r="E11" s="122">
        <f>VLOOKUP(A11,[1]INDICE!$A$4:$G$1000,5,0)</f>
        <v>545.27531650000003</v>
      </c>
      <c r="F11" s="122">
        <f>VLOOKUP(A11,[1]INDICE!$A$4:$G$1000,6,0)</f>
        <v>0</v>
      </c>
      <c r="G11" s="122">
        <f>VLOOKUP(A11,[1]INDICE!$A$4:$G$1000,7,0)</f>
        <v>592.36005950000003</v>
      </c>
      <c r="H11" s="116" t="b">
        <f>A11=[2]INDFILTRO!A11</f>
        <v>1</v>
      </c>
      <c r="I11" s="113" t="b">
        <f>B11=[2]INDFILTRO!B11</f>
        <v>0</v>
      </c>
      <c r="J11" s="113" t="b">
        <f>E11=[2]INDFILTRO!E11</f>
        <v>1</v>
      </c>
      <c r="K11" s="113" t="b">
        <f>F11=[2]INDFILTRO!F11</f>
        <v>1</v>
      </c>
      <c r="L11" s="116" t="str">
        <f t="shared" si="0"/>
        <v>verdadeiro</v>
      </c>
      <c r="M11" s="124">
        <f t="shared" si="1"/>
        <v>12</v>
      </c>
      <c r="R11" s="253" t="b">
        <f t="shared" si="2"/>
        <v>1</v>
      </c>
      <c r="S11" s="253"/>
      <c r="T11" s="253"/>
    </row>
    <row r="12" spans="1:20" s="113" customFormat="1" ht="11.25">
      <c r="A12" s="121">
        <v>14</v>
      </c>
      <c r="B12" s="122" t="str">
        <f>VLOOKUP(A12,[1]INDICE!$A$4:$G$1000,2,0)</f>
        <v>JANELA METÁLICA BASCULANTE (JF1/JF2/JF3/JF4/JF5)</v>
      </c>
      <c r="C12" s="160" t="str">
        <f>VLOOKUP(A12,[1]INDICE!$A$4:$G$1000,3,0)</f>
        <v>M2</v>
      </c>
      <c r="D12" s="122">
        <f>VLOOKUP(A12,[1]INDICE!$A$4:$G$1000,4,0)</f>
        <v>50.378795999999994</v>
      </c>
      <c r="E12" s="122">
        <f>VLOOKUP(A12,[1]INDICE!$A$4:$G$1000,5,0)</f>
        <v>224.70615700000002</v>
      </c>
      <c r="F12" s="122">
        <f>VLOOKUP(A12,[1]INDICE!$A$4:$G$1000,6,0)</f>
        <v>0</v>
      </c>
      <c r="G12" s="122">
        <f>VLOOKUP(A12,[1]INDICE!$A$4:$G$1000,7,0)</f>
        <v>275.08495300000004</v>
      </c>
      <c r="H12" s="116" t="b">
        <f>A12=[2]INDFILTRO!A12</f>
        <v>1</v>
      </c>
      <c r="I12" s="113" t="b">
        <f>B12=[2]INDFILTRO!B12</f>
        <v>1</v>
      </c>
      <c r="J12" s="113" t="b">
        <f>E12=[2]INDFILTRO!E12</f>
        <v>1</v>
      </c>
      <c r="K12" s="113" t="b">
        <f>F12=[2]INDFILTRO!F12</f>
        <v>1</v>
      </c>
      <c r="L12" s="116" t="str">
        <f t="shared" si="0"/>
        <v>verdadeiro</v>
      </c>
      <c r="M12" s="124">
        <f t="shared" si="1"/>
        <v>14</v>
      </c>
      <c r="R12" s="253" t="b">
        <f t="shared" si="2"/>
        <v>1</v>
      </c>
      <c r="S12" s="253"/>
      <c r="T12" s="253"/>
    </row>
    <row r="13" spans="1:20" s="113" customFormat="1" ht="11.25">
      <c r="A13" s="121">
        <v>21</v>
      </c>
      <c r="B13" s="122" t="str">
        <f>VLOOKUP(A13,[1]INDICE!$A$4:$G$1000,2,0)</f>
        <v>ALAMBRADO PARA BOLA (MISTO) PADRÃO</v>
      </c>
      <c r="C13" s="160" t="str">
        <f>VLOOKUP(A13,[1]INDICE!$A$4:$G$1000,3,0)</f>
        <v>M2</v>
      </c>
      <c r="D13" s="122">
        <f>VLOOKUP(A13,[1]INDICE!$A$4:$G$1000,4,0)</f>
        <v>2.7208919999999996</v>
      </c>
      <c r="E13" s="122">
        <f>VLOOKUP(A13,[1]INDICE!$A$4:$G$1000,5,0)</f>
        <v>57.019657999999993</v>
      </c>
      <c r="F13" s="122">
        <f>VLOOKUP(A13,[1]INDICE!$A$4:$G$1000,6,0)</f>
        <v>0</v>
      </c>
      <c r="G13" s="122">
        <f>VLOOKUP(A13,[1]INDICE!$A$4:$G$1000,7,0)</f>
        <v>59.740549999999992</v>
      </c>
      <c r="H13" s="116" t="b">
        <f>A13=[2]INDFILTRO!A13</f>
        <v>0</v>
      </c>
      <c r="I13" s="113" t="b">
        <f>B13=[2]INDFILTRO!B13</f>
        <v>0</v>
      </c>
      <c r="J13" s="113" t="b">
        <f>E13=[2]INDFILTRO!E13</f>
        <v>0</v>
      </c>
      <c r="K13" s="113" t="b">
        <f>F13=[2]INDFILTRO!F13</f>
        <v>1</v>
      </c>
      <c r="L13" s="116" t="str">
        <f t="shared" si="0"/>
        <v>verdadeiro</v>
      </c>
      <c r="M13" s="124">
        <f t="shared" si="1"/>
        <v>21</v>
      </c>
      <c r="R13" s="253" t="b">
        <f t="shared" si="2"/>
        <v>1</v>
      </c>
      <c r="S13" s="253"/>
      <c r="T13" s="253"/>
    </row>
    <row r="14" spans="1:20" s="113" customFormat="1" ht="11.25">
      <c r="A14" s="121">
        <v>24</v>
      </c>
      <c r="B14" s="122" t="str">
        <f>VLOOKUP(A14,[1]INDICE!$A$4:$G$1000,2,0)</f>
        <v>BARRA DE FERRO GALVANIZADO 3/4" - PARA CORTINA</v>
      </c>
      <c r="C14" s="160" t="str">
        <f>VLOOKUP(A14,[1]INDICE!$A$4:$G$1000,3,0)</f>
        <v xml:space="preserve"> M</v>
      </c>
      <c r="D14" s="122">
        <f>VLOOKUP(A14,[1]INDICE!$A$4:$G$1000,4,0)</f>
        <v>16.102499999999999</v>
      </c>
      <c r="E14" s="122">
        <f>VLOOKUP(A14,[1]INDICE!$A$4:$G$1000,5,0)</f>
        <v>14.746</v>
      </c>
      <c r="F14" s="122">
        <f>VLOOKUP(A14,[1]INDICE!$A$4:$G$1000,6,0)</f>
        <v>0</v>
      </c>
      <c r="G14" s="122">
        <f>VLOOKUP(A14,[1]INDICE!$A$4:$G$1000,7,0)</f>
        <v>30.848500000000001</v>
      </c>
      <c r="H14" s="116" t="b">
        <f>A14=[2]INDFILTRO!A14</f>
        <v>0</v>
      </c>
      <c r="I14" s="113" t="b">
        <f>B14=[2]INDFILTRO!B14</f>
        <v>0</v>
      </c>
      <c r="J14" s="113" t="b">
        <f>E14=[2]INDFILTRO!E14</f>
        <v>0</v>
      </c>
      <c r="K14" s="113" t="b">
        <f>F14=[2]INDFILTRO!F14</f>
        <v>1</v>
      </c>
      <c r="L14" s="116" t="str">
        <f t="shared" si="0"/>
        <v>verdadeiro</v>
      </c>
      <c r="M14" s="124">
        <f t="shared" si="1"/>
        <v>24</v>
      </c>
      <c r="R14" s="253" t="b">
        <f t="shared" si="2"/>
        <v>1</v>
      </c>
      <c r="S14" s="253"/>
      <c r="T14" s="253"/>
    </row>
    <row r="15" spans="1:20" s="113" customFormat="1" ht="11.25">
      <c r="A15" s="121">
        <v>30</v>
      </c>
      <c r="B15" s="122" t="str">
        <f>VLOOKUP(A15,[1]INDICE!$A$4:$G$1000,2,0)</f>
        <v>MUDAS DE PALMEIRA REAL H=1,50 M</v>
      </c>
      <c r="C15" s="160" t="str">
        <f>VLOOKUP(A15,[1]INDICE!$A$4:$G$1000,3,0)</f>
        <v>UN</v>
      </c>
      <c r="D15" s="122">
        <f>VLOOKUP(A15,[1]INDICE!$A$4:$G$1000,4,0)</f>
        <v>90.255889999999994</v>
      </c>
      <c r="E15" s="122">
        <f>VLOOKUP(A15,[1]INDICE!$A$4:$G$1000,5,0)</f>
        <v>51.72</v>
      </c>
      <c r="F15" s="122">
        <f>VLOOKUP(A15,[1]INDICE!$A$4:$G$1000,6,0)</f>
        <v>0</v>
      </c>
      <c r="G15" s="122">
        <f>VLOOKUP(A15,[1]INDICE!$A$4:$G$1000,7,0)</f>
        <v>141.97588999999999</v>
      </c>
      <c r="H15" s="116" t="b">
        <f>A15=[2]INDFILTRO!A15</f>
        <v>0</v>
      </c>
      <c r="I15" s="113" t="b">
        <f>B15=[2]INDFILTRO!B15</f>
        <v>0</v>
      </c>
      <c r="J15" s="113" t="b">
        <f>E15=[2]INDFILTRO!E15</f>
        <v>0</v>
      </c>
      <c r="K15" s="113" t="b">
        <f>F15=[2]INDFILTRO!F15</f>
        <v>1</v>
      </c>
      <c r="L15" s="116" t="str">
        <f t="shared" si="0"/>
        <v>verdadeiro</v>
      </c>
      <c r="M15" s="124">
        <f t="shared" si="1"/>
        <v>30</v>
      </c>
      <c r="R15" s="253" t="b">
        <f t="shared" si="2"/>
        <v>1</v>
      </c>
      <c r="S15" s="253"/>
      <c r="T15" s="253"/>
    </row>
    <row r="16" spans="1:20" s="113" customFormat="1" ht="11.25">
      <c r="A16" s="121">
        <v>31</v>
      </c>
      <c r="B16" s="122" t="str">
        <f>VLOOKUP(A16,[1]INDICE!$A$4:$G$1000,2,0)</f>
        <v>MUDAS DE OITI H=1,50 M</v>
      </c>
      <c r="C16" s="160" t="str">
        <f>VLOOKUP(A16,[1]INDICE!$A$4:$G$1000,3,0)</f>
        <v>UN</v>
      </c>
      <c r="D16" s="122">
        <f>VLOOKUP(A16,[1]INDICE!$A$4:$G$1000,4,0)</f>
        <v>14.794883999999998</v>
      </c>
      <c r="E16" s="122">
        <f>VLOOKUP(A16,[1]INDICE!$A$4:$G$1000,5,0)</f>
        <v>25.51</v>
      </c>
      <c r="F16" s="122">
        <f>VLOOKUP(A16,[1]INDICE!$A$4:$G$1000,6,0)</f>
        <v>0</v>
      </c>
      <c r="G16" s="122">
        <f>VLOOKUP(A16,[1]INDICE!$A$4:$G$1000,7,0)</f>
        <v>40.304884000000001</v>
      </c>
      <c r="H16" s="116" t="b">
        <f>A16=[2]INDFILTRO!A16</f>
        <v>0</v>
      </c>
      <c r="I16" s="113" t="b">
        <f>B16=[2]INDFILTRO!B16</f>
        <v>0</v>
      </c>
      <c r="J16" s="113" t="b">
        <f>E16=[2]INDFILTRO!E16</f>
        <v>0</v>
      </c>
      <c r="K16" s="113" t="b">
        <f>F16=[2]INDFILTRO!F16</f>
        <v>1</v>
      </c>
      <c r="L16" s="116" t="str">
        <f t="shared" si="0"/>
        <v>verdadeiro</v>
      </c>
      <c r="M16" s="124">
        <f t="shared" si="1"/>
        <v>31</v>
      </c>
      <c r="R16" s="253" t="b">
        <f t="shared" si="2"/>
        <v>1</v>
      </c>
      <c r="S16" s="253"/>
      <c r="T16" s="253"/>
    </row>
    <row r="17" spans="1:20" s="113" customFormat="1" ht="11.25">
      <c r="A17" s="121">
        <v>32</v>
      </c>
      <c r="B17" s="122" t="str">
        <f>VLOOKUP(A17,[1]INDICE!$A$4:$G$1000,2,0)</f>
        <v>MUDAS DE PINGO DE OURO</v>
      </c>
      <c r="C17" s="160" t="str">
        <f>VLOOKUP(A17,[1]INDICE!$A$4:$G$1000,3,0)</f>
        <v>UN</v>
      </c>
      <c r="D17" s="122">
        <f>VLOOKUP(A17,[1]INDICE!$A$4:$G$1000,4,0)</f>
        <v>2.072168</v>
      </c>
      <c r="E17" s="122">
        <f>VLOOKUP(A17,[1]INDICE!$A$4:$G$1000,5,0)</f>
        <v>1.24</v>
      </c>
      <c r="F17" s="122">
        <f>VLOOKUP(A17,[1]INDICE!$A$4:$G$1000,6,0)</f>
        <v>0</v>
      </c>
      <c r="G17" s="122">
        <f>VLOOKUP(A17,[1]INDICE!$A$4:$G$1000,7,0)</f>
        <v>3.3121679999999998</v>
      </c>
      <c r="H17" s="116" t="b">
        <f>A17=[2]INDFILTRO!A17</f>
        <v>0</v>
      </c>
      <c r="I17" s="113" t="b">
        <f>B17=[2]INDFILTRO!B17</f>
        <v>0</v>
      </c>
      <c r="J17" s="113" t="b">
        <f>E17=[2]INDFILTRO!E17</f>
        <v>0</v>
      </c>
      <c r="K17" s="113" t="b">
        <f>F17=[2]INDFILTRO!F17</f>
        <v>1</v>
      </c>
      <c r="L17" s="116" t="str">
        <f t="shared" si="0"/>
        <v>verdadeiro</v>
      </c>
      <c r="M17" s="124">
        <f t="shared" si="1"/>
        <v>32</v>
      </c>
      <c r="R17" s="253" t="b">
        <f t="shared" si="2"/>
        <v>1</v>
      </c>
      <c r="S17" s="253"/>
      <c r="T17" s="253"/>
    </row>
    <row r="18" spans="1:20" s="113" customFormat="1" ht="22.5">
      <c r="A18" s="121">
        <v>37</v>
      </c>
      <c r="B18" s="122" t="str">
        <f>VLOOKUP(A18,[1]INDICE!$A$4:$G$1000,2,0)</f>
        <v>LOCAÇÃO DE PRAÇA, QUADRA, IMPLANTAÇÃO UTILIZANDO CAVALETE, INCLUSIVE PIQUET COM TESTEMUNHA</v>
      </c>
      <c r="C18" s="160" t="str">
        <f>VLOOKUP(A18,[1]INDICE!$A$4:$G$1000,3,0)</f>
        <v>M2</v>
      </c>
      <c r="D18" s="122">
        <f>VLOOKUP(A18,[1]INDICE!$A$4:$G$1000,4,0)</f>
        <v>2.117407</v>
      </c>
      <c r="E18" s="122">
        <f>VLOOKUP(A18,[1]INDICE!$A$4:$G$1000,5,0)</f>
        <v>0.20551599999999998</v>
      </c>
      <c r="F18" s="122">
        <f>VLOOKUP(A18,[1]INDICE!$A$4:$G$1000,6,0)</f>
        <v>0</v>
      </c>
      <c r="G18" s="122">
        <f>VLOOKUP(A18,[1]INDICE!$A$4:$G$1000,7,0)</f>
        <v>2.3229229999999998</v>
      </c>
      <c r="H18" s="116" t="b">
        <f>A18=[2]INDFILTRO!A18</f>
        <v>0</v>
      </c>
      <c r="I18" s="113" t="b">
        <f>B18=[2]INDFILTRO!B18</f>
        <v>0</v>
      </c>
      <c r="J18" s="113" t="b">
        <f>E18=[2]INDFILTRO!E18</f>
        <v>0</v>
      </c>
      <c r="K18" s="113" t="b">
        <f>F18=[2]INDFILTRO!F18</f>
        <v>1</v>
      </c>
      <c r="L18" s="116" t="str">
        <f t="shared" si="0"/>
        <v>verdadeiro</v>
      </c>
      <c r="M18" s="124">
        <f t="shared" si="1"/>
        <v>37</v>
      </c>
      <c r="R18" s="253" t="b">
        <f t="shared" si="2"/>
        <v>1</v>
      </c>
      <c r="S18" s="253"/>
      <c r="T18" s="253"/>
    </row>
    <row r="19" spans="1:20" s="113" customFormat="1" ht="11.25">
      <c r="A19" s="121">
        <v>38</v>
      </c>
      <c r="B19" s="122" t="str">
        <f>VLOOKUP(A19,[1]INDICE!$A$4:$G$1000,2,0)</f>
        <v>PORTA METÁLICA CASE – PG4 - 150X280 CM</v>
      </c>
      <c r="C19" s="160" t="str">
        <f>VLOOKUP(A19,[1]INDICE!$A$4:$G$1000,3,0)</f>
        <v xml:space="preserve"> M²</v>
      </c>
      <c r="D19" s="122">
        <f>VLOOKUP(A19,[1]INDICE!$A$4:$G$1000,4,0)</f>
        <v>47.084742999999996</v>
      </c>
      <c r="E19" s="122">
        <f>VLOOKUP(A19,[1]INDICE!$A$4:$G$1000,5,0)</f>
        <v>571.59619580000003</v>
      </c>
      <c r="F19" s="122">
        <f>VLOOKUP(A19,[1]INDICE!$A$4:$G$1000,6,0)</f>
        <v>0</v>
      </c>
      <c r="G19" s="122">
        <f>VLOOKUP(A19,[1]INDICE!$A$4:$G$1000,7,0)</f>
        <v>618.68093880000004</v>
      </c>
      <c r="H19" s="116" t="b">
        <f>A19=[2]INDFILTRO!A19</f>
        <v>0</v>
      </c>
      <c r="I19" s="113" t="b">
        <f>B19=[2]INDFILTRO!B19</f>
        <v>0</v>
      </c>
      <c r="J19" s="113" t="b">
        <f>E19=[2]INDFILTRO!E19</f>
        <v>0</v>
      </c>
      <c r="K19" s="113" t="b">
        <f>F19=[2]INDFILTRO!F19</f>
        <v>1</v>
      </c>
      <c r="L19" s="116" t="str">
        <f t="shared" si="0"/>
        <v>verdadeiro</v>
      </c>
      <c r="M19" s="124">
        <f t="shared" si="1"/>
        <v>38</v>
      </c>
      <c r="R19" s="253" t="b">
        <f t="shared" si="2"/>
        <v>1</v>
      </c>
      <c r="S19" s="253"/>
      <c r="T19" s="253"/>
    </row>
    <row r="20" spans="1:20" s="113" customFormat="1" ht="11.25">
      <c r="A20" s="121">
        <v>40</v>
      </c>
      <c r="B20" s="122" t="str">
        <f>VLOOKUP(A20,[1]INDICE!$A$4:$G$1000,2,0)</f>
        <v>MURO DE CANALETA H=3 M</v>
      </c>
      <c r="C20" s="160" t="str">
        <f>VLOOKUP(A20,[1]INDICE!$A$4:$G$1000,3,0)</f>
        <v>M</v>
      </c>
      <c r="D20" s="122">
        <f>VLOOKUP(A20,[1]INDICE!$A$4:$G$1000,4,0)</f>
        <v>395.41216799999995</v>
      </c>
      <c r="E20" s="122">
        <f>VLOOKUP(A20,[1]INDICE!$A$4:$G$1000,5,0)</f>
        <v>675.8391170000001</v>
      </c>
      <c r="F20" s="122">
        <f>VLOOKUP(A20,[1]INDICE!$A$4:$G$1000,6,0)</f>
        <v>291.79666100000003</v>
      </c>
      <c r="G20" s="122">
        <f>VLOOKUP(A20,[1]INDICE!$A$4:$G$1000,7,0)</f>
        <v>1363.0479460000001</v>
      </c>
      <c r="H20" s="116" t="b">
        <f>A20=[2]INDFILTRO!A20</f>
        <v>0</v>
      </c>
      <c r="I20" s="113" t="b">
        <f>B20=[2]INDFILTRO!B20</f>
        <v>0</v>
      </c>
      <c r="J20" s="113" t="b">
        <f>E20=[2]INDFILTRO!E20</f>
        <v>0</v>
      </c>
      <c r="K20" s="113" t="b">
        <f>F20=[2]INDFILTRO!F20</f>
        <v>0</v>
      </c>
      <c r="L20" s="116" t="str">
        <f t="shared" si="0"/>
        <v>verdadeiro</v>
      </c>
      <c r="M20" s="124">
        <f t="shared" si="1"/>
        <v>40</v>
      </c>
      <c r="R20" s="253" t="b">
        <f t="shared" si="2"/>
        <v>1</v>
      </c>
      <c r="S20" s="253"/>
      <c r="T20" s="253"/>
    </row>
    <row r="21" spans="1:20" s="113" customFormat="1" ht="11.25">
      <c r="A21" s="121">
        <v>41</v>
      </c>
      <c r="B21" s="122" t="str">
        <f>VLOOKUP(A21,[1]INDICE!$A$4:$G$1000,2,0)</f>
        <v>CAIXA DE PASSAGEM 70X70X80 CM FUNDO DE BRITA SEM TAMPA</v>
      </c>
      <c r="C21" s="160" t="str">
        <f>VLOOKUP(A21,[1]INDICE!$A$4:$G$1000,3,0)</f>
        <v>UN</v>
      </c>
      <c r="D21" s="122">
        <f>VLOOKUP(A21,[1]INDICE!$A$4:$G$1000,4,0)</f>
        <v>308.72905900000001</v>
      </c>
      <c r="E21" s="122">
        <f>VLOOKUP(A21,[1]INDICE!$A$4:$G$1000,5,0)</f>
        <v>181.59303067598</v>
      </c>
      <c r="F21" s="122">
        <f>VLOOKUP(A21,[1]INDICE!$A$4:$G$1000,6,0)</f>
        <v>0</v>
      </c>
      <c r="G21" s="122">
        <f>VLOOKUP(A21,[1]INDICE!$A$4:$G$1000,7,0)</f>
        <v>490.32208967598001</v>
      </c>
      <c r="H21" s="116" t="b">
        <f>A21=[2]INDFILTRO!A21</f>
        <v>0</v>
      </c>
      <c r="I21" s="113" t="b">
        <f>B21=[2]INDFILTRO!B21</f>
        <v>0</v>
      </c>
      <c r="J21" s="113" t="b">
        <f>E21=[2]INDFILTRO!E21</f>
        <v>0</v>
      </c>
      <c r="K21" s="113" t="b">
        <f>F21=[2]INDFILTRO!F21</f>
        <v>1</v>
      </c>
      <c r="L21" s="116" t="str">
        <f t="shared" si="0"/>
        <v>verdadeiro</v>
      </c>
      <c r="M21" s="124">
        <f t="shared" si="1"/>
        <v>41</v>
      </c>
      <c r="R21" s="253" t="b">
        <f t="shared" si="2"/>
        <v>1</v>
      </c>
      <c r="S21" s="253"/>
      <c r="T21" s="253"/>
    </row>
    <row r="22" spans="1:20" s="113" customFormat="1" ht="11.25">
      <c r="A22" s="121">
        <v>42</v>
      </c>
      <c r="B22" s="122" t="str">
        <f>VLOOKUP(A22,[1]INDICE!$A$4:$G$1000,2,0)</f>
        <v>SOLDA EXOTÉRMICA TAMANHO 115G</v>
      </c>
      <c r="C22" s="160" t="str">
        <f>VLOOKUP(A22,[1]INDICE!$A$4:$G$1000,3,0)</f>
        <v>UN</v>
      </c>
      <c r="D22" s="122">
        <f>VLOOKUP(A22,[1]INDICE!$A$4:$G$1000,4,0)</f>
        <v>2.1414880000000003</v>
      </c>
      <c r="E22" s="122">
        <f>VLOOKUP(A22,[1]INDICE!$A$4:$G$1000,5,0)</f>
        <v>7.91</v>
      </c>
      <c r="F22" s="122">
        <f>VLOOKUP(A22,[1]INDICE!$A$4:$G$1000,6,0)</f>
        <v>0</v>
      </c>
      <c r="G22" s="122">
        <f>VLOOKUP(A22,[1]INDICE!$A$4:$G$1000,7,0)</f>
        <v>10.051488000000001</v>
      </c>
      <c r="H22" s="116" t="b">
        <f>A22=[2]INDFILTRO!A22</f>
        <v>0</v>
      </c>
      <c r="I22" s="113" t="b">
        <f>B22=[2]INDFILTRO!B22</f>
        <v>0</v>
      </c>
      <c r="J22" s="113" t="b">
        <f>E22=[2]INDFILTRO!E22</f>
        <v>0</v>
      </c>
      <c r="K22" s="113" t="b">
        <f>F22=[2]INDFILTRO!F22</f>
        <v>1</v>
      </c>
      <c r="L22" s="116" t="str">
        <f t="shared" si="0"/>
        <v>verdadeiro</v>
      </c>
      <c r="M22" s="124">
        <f t="shared" si="1"/>
        <v>42</v>
      </c>
      <c r="R22" s="253" t="b">
        <f t="shared" si="2"/>
        <v>1</v>
      </c>
      <c r="S22" s="253"/>
      <c r="T22" s="253"/>
    </row>
    <row r="23" spans="1:20" s="113" customFormat="1" ht="11.25">
      <c r="A23" s="121">
        <v>45</v>
      </c>
      <c r="B23" s="122" t="str">
        <f>VLOOKUP(A23,[1]INDICE!$A$4:$G$1000,2,0)</f>
        <v>CABO RGC 59-75 OHMS</v>
      </c>
      <c r="C23" s="160" t="str">
        <f>VLOOKUP(A23,[1]INDICE!$A$4:$G$1000,3,0)</f>
        <v>M</v>
      </c>
      <c r="D23" s="122">
        <f>VLOOKUP(A23,[1]INDICE!$A$4:$G$1000,4,0)</f>
        <v>2.7041000000000004</v>
      </c>
      <c r="E23" s="122">
        <f>VLOOKUP(A23,[1]INDICE!$A$4:$G$1000,5,0)</f>
        <v>1.2036</v>
      </c>
      <c r="F23" s="122">
        <f>VLOOKUP(A23,[1]INDICE!$A$4:$G$1000,6,0)</f>
        <v>0</v>
      </c>
      <c r="G23" s="122">
        <f>VLOOKUP(A23,[1]INDICE!$A$4:$G$1000,7,0)</f>
        <v>3.9077000000000002</v>
      </c>
      <c r="H23" s="116" t="b">
        <f>A23=[2]INDFILTRO!A23</f>
        <v>0</v>
      </c>
      <c r="I23" s="113" t="b">
        <f>B23=[2]INDFILTRO!B23</f>
        <v>0</v>
      </c>
      <c r="J23" s="113" t="b">
        <f>E23=[2]INDFILTRO!E23</f>
        <v>0</v>
      </c>
      <c r="K23" s="113" t="b">
        <f>F23=[2]INDFILTRO!F23</f>
        <v>1</v>
      </c>
      <c r="L23" s="116" t="str">
        <f t="shared" si="0"/>
        <v>verdadeiro</v>
      </c>
      <c r="M23" s="124">
        <f t="shared" si="1"/>
        <v>45</v>
      </c>
      <c r="R23" s="253" t="b">
        <f t="shared" si="2"/>
        <v>1</v>
      </c>
      <c r="S23" s="253"/>
      <c r="T23" s="253"/>
    </row>
    <row r="24" spans="1:20" s="113" customFormat="1" ht="11.25">
      <c r="A24" s="121">
        <v>50</v>
      </c>
      <c r="B24" s="122" t="str">
        <f>VLOOKUP(A24,[1]INDICE!$A$4:$G$1000,2,0)</f>
        <v>PARAFUSO P/BUCHA S-7</v>
      </c>
      <c r="C24" s="160" t="str">
        <f>VLOOKUP(A24,[1]INDICE!$A$4:$G$1000,3,0)</f>
        <v>UN</v>
      </c>
      <c r="D24" s="122">
        <f>VLOOKUP(A24,[1]INDICE!$A$4:$G$1000,4,0)</f>
        <v>0.38629999999999998</v>
      </c>
      <c r="E24" s="122">
        <f>VLOOKUP(A24,[1]INDICE!$A$4:$G$1000,5,0)</f>
        <v>2.57</v>
      </c>
      <c r="F24" s="122">
        <f>VLOOKUP(A24,[1]INDICE!$A$4:$G$1000,6,0)</f>
        <v>0</v>
      </c>
      <c r="G24" s="122">
        <f>VLOOKUP(A24,[1]INDICE!$A$4:$G$1000,7,0)</f>
        <v>2.9562999999999997</v>
      </c>
      <c r="H24" s="116" t="b">
        <f>A24=[2]INDFILTRO!A24</f>
        <v>0</v>
      </c>
      <c r="I24" s="113" t="b">
        <f>B24=[2]INDFILTRO!B24</f>
        <v>0</v>
      </c>
      <c r="J24" s="113" t="b">
        <f>E24=[2]INDFILTRO!E24</f>
        <v>0</v>
      </c>
      <c r="K24" s="113" t="b">
        <f>F24=[2]INDFILTRO!F24</f>
        <v>1</v>
      </c>
      <c r="L24" s="116" t="str">
        <f t="shared" si="0"/>
        <v>verdadeiro</v>
      </c>
      <c r="M24" s="124">
        <f t="shared" si="1"/>
        <v>50</v>
      </c>
      <c r="R24" s="253" t="b">
        <f t="shared" si="2"/>
        <v>1</v>
      </c>
      <c r="S24" s="253"/>
      <c r="T24" s="253"/>
    </row>
    <row r="25" spans="1:20" s="113" customFormat="1" ht="22.5">
      <c r="A25" s="121">
        <v>63</v>
      </c>
      <c r="B25" s="122" t="str">
        <f>VLOOKUP(A25,[1]INDICE!$A$4:$G$1000,2,0)</f>
        <v>PORTÃO METÁLICO DO TIPO NYLOFOR 3D OU EQUIVALENTE (3,50X 2,03 M) DE CORRER COM MOTOR SEMI INDUSTRIAL/ CREMALHEIRA / 2 CONTROLES REMOTOS</v>
      </c>
      <c r="C25" s="160" t="str">
        <f>VLOOKUP(A25,[1]INDICE!$A$4:$G$1000,3,0)</f>
        <v>UN</v>
      </c>
      <c r="D25" s="122">
        <f>VLOOKUP(A25,[1]INDICE!$A$4:$G$1000,4,0)</f>
        <v>205.22735899999998</v>
      </c>
      <c r="E25" s="122">
        <f>VLOOKUP(A25,[1]INDICE!$A$4:$G$1000,5,0)</f>
        <v>5581.5300000000007</v>
      </c>
      <c r="F25" s="122">
        <f>VLOOKUP(A25,[1]INDICE!$A$4:$G$1000,6,0)</f>
        <v>0</v>
      </c>
      <c r="G25" s="122">
        <f>VLOOKUP(A25,[1]INDICE!$A$4:$G$1000,7,0)</f>
        <v>5786.7573590000011</v>
      </c>
      <c r="H25" s="116" t="b">
        <f>A25=[2]INDFILTRO!A25</f>
        <v>0</v>
      </c>
      <c r="I25" s="113" t="b">
        <f>B25=[2]INDFILTRO!B25</f>
        <v>0</v>
      </c>
      <c r="J25" s="113" t="b">
        <f>E25=[2]INDFILTRO!E25</f>
        <v>0</v>
      </c>
      <c r="K25" s="113" t="b">
        <f>F25=[2]INDFILTRO!F25</f>
        <v>1</v>
      </c>
      <c r="L25" s="116"/>
      <c r="M25" s="124">
        <f t="shared" si="1"/>
        <v>63</v>
      </c>
      <c r="R25" s="253" t="b">
        <f t="shared" si="2"/>
        <v>1</v>
      </c>
      <c r="S25" s="253"/>
      <c r="T25" s="253"/>
    </row>
    <row r="26" spans="1:20" s="113" customFormat="1" ht="11.25">
      <c r="A26" s="121">
        <v>64</v>
      </c>
      <c r="B26" s="122" t="str">
        <f>VLOOKUP(A26,[1]INDICE!$A$4:$G$1000,2,0)</f>
        <v>PORTÃO METÁLICO DO TIPO NYLOFOR 3D OU EQUIVALENTE (1,00 X 2,03 M) DE ABRIR</v>
      </c>
      <c r="C26" s="160" t="str">
        <f>VLOOKUP(A26,[1]INDICE!$A$4:$G$1000,3,0)</f>
        <v>UN</v>
      </c>
      <c r="D26" s="122">
        <f>VLOOKUP(A26,[1]INDICE!$A$4:$G$1000,4,0)</f>
        <v>0</v>
      </c>
      <c r="E26" s="122">
        <f>VLOOKUP(A26,[1]INDICE!$A$4:$G$1000,5,0)</f>
        <v>1101.8666666666666</v>
      </c>
      <c r="F26" s="122">
        <f>VLOOKUP(A26,[1]INDICE!$A$4:$G$1000,6,0)</f>
        <v>0</v>
      </c>
      <c r="G26" s="122">
        <f>VLOOKUP(A26,[1]INDICE!$A$4:$G$1000,7,0)</f>
        <v>1101.8666666666666</v>
      </c>
      <c r="H26" s="116" t="b">
        <f>A26=[2]INDFILTRO!A26</f>
        <v>0</v>
      </c>
      <c r="I26" s="113" t="b">
        <f>B26=[3]INDFILTRO!B25</f>
        <v>0</v>
      </c>
      <c r="J26" s="113" t="b">
        <f>E26=[2]INDFILTRO!E26</f>
        <v>0</v>
      </c>
      <c r="K26" s="113" t="b">
        <f>F26=[2]INDFILTRO!F26</f>
        <v>1</v>
      </c>
      <c r="L26" s="116" t="str">
        <f t="shared" si="0"/>
        <v>verdadeiro</v>
      </c>
      <c r="M26" s="124">
        <f t="shared" si="1"/>
        <v>64</v>
      </c>
      <c r="R26" s="253" t="b">
        <f t="shared" si="2"/>
        <v>1</v>
      </c>
      <c r="S26" s="253"/>
      <c r="T26" s="253"/>
    </row>
    <row r="27" spans="1:20" s="113" customFormat="1" ht="11.25">
      <c r="A27" s="121">
        <v>65</v>
      </c>
      <c r="B27" s="122" t="str">
        <f>VLOOKUP(A27,[1]INDICE!$A$4:$G$1000,2,0)</f>
        <v>GRADIL METÁLICO TIPO NYLOFOR 3D H=2,03 M</v>
      </c>
      <c r="C27" s="160" t="str">
        <f>VLOOKUP(A27,[1]INDICE!$A$4:$G$1000,3,0)</f>
        <v>M</v>
      </c>
      <c r="D27" s="122">
        <f>VLOOKUP(A27,[1]INDICE!$A$4:$G$1000,4,0)</f>
        <v>64.198791999999997</v>
      </c>
      <c r="E27" s="122">
        <f>VLOOKUP(A27,[1]INDICE!$A$4:$G$1000,5,0)</f>
        <v>893.09490399999981</v>
      </c>
      <c r="F27" s="122">
        <f>VLOOKUP(A27,[1]INDICE!$A$4:$G$1000,6,0)</f>
        <v>0</v>
      </c>
      <c r="G27" s="122">
        <f>VLOOKUP(A27,[1]INDICE!$A$4:$G$1000,7,0)</f>
        <v>957.29369599999984</v>
      </c>
      <c r="H27" s="116" t="b">
        <f>A27=[2]INDFILTRO!A27</f>
        <v>0</v>
      </c>
      <c r="I27" s="113" t="b">
        <f>B27=[3]INDFILTRO!B26</f>
        <v>0</v>
      </c>
      <c r="J27" s="113" t="b">
        <f>E27=[2]INDFILTRO!E27</f>
        <v>0</v>
      </c>
      <c r="K27" s="113" t="b">
        <f>F27=[2]INDFILTRO!F27</f>
        <v>0</v>
      </c>
      <c r="L27" s="116" t="str">
        <f t="shared" si="0"/>
        <v>verdadeiro</v>
      </c>
      <c r="M27" s="124">
        <f t="shared" si="1"/>
        <v>65</v>
      </c>
      <c r="R27" s="253" t="b">
        <f t="shared" si="2"/>
        <v>1</v>
      </c>
      <c r="S27" s="253"/>
      <c r="T27" s="253"/>
    </row>
    <row r="28" spans="1:20" s="113" customFormat="1" ht="11.25">
      <c r="A28" s="123">
        <v>72</v>
      </c>
      <c r="B28" s="122" t="str">
        <f>VLOOKUP(A28,[1]INDICE!$A$4:$G$1000,2,0)</f>
        <v>ASFALTO PARA TRÁFEGO LEVE</v>
      </c>
      <c r="C28" s="160" t="str">
        <f>VLOOKUP(A28,[1]INDICE!$A$4:$G$1000,3,0)</f>
        <v xml:space="preserve"> M²</v>
      </c>
      <c r="D28" s="122">
        <f>VLOOKUP(A28,[1]INDICE!$A$4:$G$1000,4,0)</f>
        <v>0</v>
      </c>
      <c r="E28" s="122">
        <f>VLOOKUP(A28,[1]INDICE!$A$4:$G$1000,5,0)</f>
        <v>0</v>
      </c>
      <c r="F28" s="122">
        <f>VLOOKUP(A28,[1]INDICE!$A$4:$G$1000,6,0)</f>
        <v>28251.4182</v>
      </c>
      <c r="G28" s="122">
        <f>VLOOKUP(A28,[1]INDICE!$A$4:$G$1000,7,0)</f>
        <v>28251.4182</v>
      </c>
      <c r="H28" s="116" t="b">
        <f>A28=[2]INDFILTRO!A28</f>
        <v>0</v>
      </c>
      <c r="I28" s="113" t="b">
        <f>B28=[3]INDFILTRO!B27</f>
        <v>0</v>
      </c>
      <c r="J28" s="113" t="b">
        <f>E28=[2]INDFILTRO!E28</f>
        <v>0</v>
      </c>
      <c r="K28" s="113" t="b">
        <f>F28=[2]INDFILTRO!F28</f>
        <v>0</v>
      </c>
      <c r="L28" s="116" t="str">
        <f t="shared" si="0"/>
        <v>verdadeiro</v>
      </c>
      <c r="M28" s="124">
        <f t="shared" si="1"/>
        <v>72</v>
      </c>
      <c r="R28" s="253" t="b">
        <f t="shared" si="2"/>
        <v>1</v>
      </c>
      <c r="S28" s="253"/>
      <c r="T28" s="253"/>
    </row>
    <row r="29" spans="1:20" s="113" customFormat="1" ht="11.25">
      <c r="A29" s="123">
        <v>73</v>
      </c>
      <c r="B29" s="122" t="str">
        <f>VLOOKUP(A29,[1]INDICE!$A$4:$G$1000,2,0)</f>
        <v>TRAVES EM FERRO GALVANIZADO PARA CAMPO DE FUTEBOL (ASSENT/PINTADAS) - 7,56X2,56M</v>
      </c>
      <c r="C29" s="160" t="str">
        <f>VLOOKUP(A29,[1]INDICE!$A$4:$G$1000,3,0)</f>
        <v>CJ</v>
      </c>
      <c r="D29" s="122">
        <f>VLOOKUP(A29,[1]INDICE!$A$4:$G$1000,4,0)</f>
        <v>713.47351800000001</v>
      </c>
      <c r="E29" s="122">
        <f>VLOOKUP(A29,[1]INDICE!$A$4:$G$1000,5,0)</f>
        <v>6204.8318659999986</v>
      </c>
      <c r="F29" s="122">
        <f>VLOOKUP(A29,[1]INDICE!$A$4:$G$1000,6,0)</f>
        <v>0</v>
      </c>
      <c r="G29" s="122">
        <f>VLOOKUP(A29,[1]INDICE!$A$4:$G$1000,7,0)</f>
        <v>6918.3053839999984</v>
      </c>
      <c r="H29" s="116" t="b">
        <f>A29=[2]INDFILTRO!A29</f>
        <v>0</v>
      </c>
      <c r="I29" s="113" t="b">
        <f>B29=[3]INDFILTRO!B28</f>
        <v>0</v>
      </c>
      <c r="J29" s="113" t="b">
        <f>E29=[2]INDFILTRO!E29</f>
        <v>0</v>
      </c>
      <c r="K29" s="113" t="b">
        <f>F29=[2]INDFILTRO!F29</f>
        <v>1</v>
      </c>
      <c r="L29" s="116" t="str">
        <f t="shared" si="0"/>
        <v>verdadeiro</v>
      </c>
      <c r="M29" s="124">
        <f t="shared" si="1"/>
        <v>73</v>
      </c>
      <c r="R29" s="253" t="b">
        <f t="shared" si="2"/>
        <v>1</v>
      </c>
      <c r="S29" s="253"/>
      <c r="T29" s="253"/>
    </row>
    <row r="30" spans="1:20" s="113" customFormat="1" ht="11.25">
      <c r="A30" s="121">
        <v>96</v>
      </c>
      <c r="B30" s="122" t="str">
        <f>VLOOKUP(A30,[1]INDICE!$A$4:$G$1000,2,0)</f>
        <v>PORTA METÁLICA CASE – PG3 - 200X210 CM</v>
      </c>
      <c r="C30" s="160" t="str">
        <f>VLOOKUP(A30,[1]INDICE!$A$4:$G$1000,3,0)</f>
        <v>M2</v>
      </c>
      <c r="D30" s="122">
        <f>VLOOKUP(A30,[1]INDICE!$A$4:$G$1000,4,0)</f>
        <v>47.084742999999996</v>
      </c>
      <c r="E30" s="122">
        <f>VLOOKUP(A30,[1]INDICE!$A$4:$G$1000,5,0)</f>
        <v>474.43686159999993</v>
      </c>
      <c r="F30" s="122">
        <f>VLOOKUP(A30,[1]INDICE!$A$4:$G$1000,6,0)</f>
        <v>0</v>
      </c>
      <c r="G30" s="122">
        <f>VLOOKUP(A30,[1]INDICE!$A$4:$G$1000,7,0)</f>
        <v>521.52160459999993</v>
      </c>
      <c r="H30" s="116" t="b">
        <f>A30=[2]INDFILTRO!A30</f>
        <v>0</v>
      </c>
      <c r="I30" s="113" t="b">
        <f>B30=[3]INDFILTRO!B29</f>
        <v>0</v>
      </c>
      <c r="J30" s="113" t="b">
        <f>E30=[2]INDFILTRO!E30</f>
        <v>0</v>
      </c>
      <c r="K30" s="113" t="b">
        <f>F30=[2]INDFILTRO!F30</f>
        <v>1</v>
      </c>
      <c r="L30" s="116" t="str">
        <f t="shared" si="0"/>
        <v>verdadeiro</v>
      </c>
      <c r="M30" s="124">
        <f t="shared" si="1"/>
        <v>96</v>
      </c>
      <c r="R30" s="253" t="b">
        <f t="shared" si="2"/>
        <v>1</v>
      </c>
      <c r="S30" s="253"/>
      <c r="T30" s="253"/>
    </row>
    <row r="31" spans="1:20" s="113" customFormat="1" ht="11.25">
      <c r="A31" s="123">
        <v>104</v>
      </c>
      <c r="B31" s="122" t="str">
        <f>VLOOKUP(A31,[1]INDICE!$A$4:$G$1000,2,0)</f>
        <v>BRISE DE AÇO PREENCHIDO C/ CONCRETO 30 MPA</v>
      </c>
      <c r="C31" s="160" t="str">
        <f>VLOOKUP(A31,[1]INDICE!$A$4:$G$1000,3,0)</f>
        <v>M</v>
      </c>
      <c r="D31" s="122">
        <f>VLOOKUP(A31,[1]INDICE!$A$4:$G$1000,4,0)</f>
        <v>11.255039</v>
      </c>
      <c r="E31" s="122">
        <f>VLOOKUP(A31,[1]INDICE!$A$4:$G$1000,5,0)</f>
        <v>145.113471</v>
      </c>
      <c r="F31" s="122">
        <f>VLOOKUP(A31,[1]INDICE!$A$4:$G$1000,6,0)</f>
        <v>0</v>
      </c>
      <c r="G31" s="122">
        <f>VLOOKUP(A31,[1]INDICE!$A$4:$G$1000,7,0)</f>
        <v>156.36851000000001</v>
      </c>
      <c r="H31" s="116" t="b">
        <f>A31=[2]INDFILTRO!A31</f>
        <v>0</v>
      </c>
      <c r="I31" s="113" t="b">
        <f>B31=[3]INDFILTRO!B30</f>
        <v>0</v>
      </c>
      <c r="J31" s="113" t="b">
        <f>E31=[2]INDFILTRO!E31</f>
        <v>0</v>
      </c>
      <c r="K31" s="113" t="b">
        <f>F31=[2]INDFILTRO!F31</f>
        <v>1</v>
      </c>
      <c r="L31" s="116" t="str">
        <f t="shared" si="0"/>
        <v>verdadeiro</v>
      </c>
      <c r="M31" s="124">
        <f t="shared" si="1"/>
        <v>104</v>
      </c>
      <c r="R31" s="253" t="b">
        <f t="shared" si="2"/>
        <v>1</v>
      </c>
      <c r="S31" s="253"/>
      <c r="T31" s="253"/>
    </row>
    <row r="32" spans="1:20" s="113" customFormat="1" ht="11.25">
      <c r="A32" s="123">
        <v>106</v>
      </c>
      <c r="B32" s="122" t="str">
        <f>VLOOKUP(A32,[1]INDICE!$A$4:$G$1000,2,0)</f>
        <v>PORTA METÁLICA CASE – P5 - 140X210 CM</v>
      </c>
      <c r="C32" s="160" t="str">
        <f>VLOOKUP(A32,[1]INDICE!$A$4:$G$1000,3,0)</f>
        <v>M2</v>
      </c>
      <c r="D32" s="122">
        <f>VLOOKUP(A32,[1]INDICE!$A$4:$G$1000,4,0)</f>
        <v>47.084742999999996</v>
      </c>
      <c r="E32" s="122">
        <f>VLOOKUP(A32,[1]INDICE!$A$4:$G$1000,5,0)</f>
        <v>550.82830999999987</v>
      </c>
      <c r="F32" s="122">
        <f>VLOOKUP(A32,[1]INDICE!$A$4:$G$1000,6,0)</f>
        <v>0</v>
      </c>
      <c r="G32" s="122">
        <f>VLOOKUP(A32,[1]INDICE!$A$4:$G$1000,7,0)</f>
        <v>597.91305299999988</v>
      </c>
      <c r="H32" s="116" t="b">
        <f>A32=[2]INDFILTRO!A32</f>
        <v>0</v>
      </c>
      <c r="I32" s="113" t="b">
        <f>B32=[3]INDFILTRO!B31</f>
        <v>0</v>
      </c>
      <c r="J32" s="113" t="b">
        <f>E32=[2]INDFILTRO!E32</f>
        <v>0</v>
      </c>
      <c r="K32" s="113" t="b">
        <f>F32=[2]INDFILTRO!F32</f>
        <v>1</v>
      </c>
      <c r="L32" s="116" t="str">
        <f t="shared" si="0"/>
        <v>verdadeiro</v>
      </c>
      <c r="M32" s="124">
        <f t="shared" si="1"/>
        <v>106</v>
      </c>
      <c r="R32" s="253" t="b">
        <f t="shared" si="2"/>
        <v>1</v>
      </c>
      <c r="S32" s="253"/>
      <c r="T32" s="253"/>
    </row>
    <row r="33" spans="1:20" s="113" customFormat="1" ht="11.25">
      <c r="A33" s="121">
        <v>107</v>
      </c>
      <c r="B33" s="122" t="str">
        <f>VLOOKUP(A33,[1]INDICE!$A$4:$G$1000,2,0)</f>
        <v>PORTA METÁLICA CASE – P4 - 60X180 CM</v>
      </c>
      <c r="C33" s="160" t="str">
        <f>VLOOKUP(A33,[1]INDICE!$A$4:$G$1000,3,0)</f>
        <v>M2</v>
      </c>
      <c r="D33" s="122">
        <f>VLOOKUP(A33,[1]INDICE!$A$4:$G$1000,4,0)</f>
        <v>47.084742999999996</v>
      </c>
      <c r="E33" s="122">
        <f>VLOOKUP(A33,[1]INDICE!$A$4:$G$1000,5,0)</f>
        <v>433.56921126595739</v>
      </c>
      <c r="F33" s="122">
        <f>VLOOKUP(A33,[1]INDICE!$A$4:$G$1000,6,0)</f>
        <v>0</v>
      </c>
      <c r="G33" s="122">
        <f>VLOOKUP(A33,[1]INDICE!$A$4:$G$1000,7,0)</f>
        <v>480.6539542659574</v>
      </c>
      <c r="H33" s="116" t="b">
        <f>A33=[2]INDFILTRO!A33</f>
        <v>0</v>
      </c>
      <c r="I33" s="113" t="b">
        <f>B33=[3]INDFILTRO!B32</f>
        <v>0</v>
      </c>
      <c r="J33" s="113" t="b">
        <f>E33=[2]INDFILTRO!E33</f>
        <v>0</v>
      </c>
      <c r="K33" s="113" t="b">
        <f>F33=[2]INDFILTRO!F33</f>
        <v>0</v>
      </c>
      <c r="L33" s="116" t="str">
        <f>IF(D33+E33+F33=G33,"verdadeiro")</f>
        <v>verdadeiro</v>
      </c>
      <c r="M33" s="124">
        <f t="shared" si="1"/>
        <v>107</v>
      </c>
      <c r="R33" s="253" t="b">
        <f t="shared" si="2"/>
        <v>1</v>
      </c>
      <c r="S33" s="253"/>
      <c r="T33" s="253"/>
    </row>
    <row r="34" spans="1:20" s="113" customFormat="1" ht="11.25">
      <c r="A34" s="121">
        <v>111</v>
      </c>
      <c r="B34" s="122" t="str">
        <f>VLOOKUP(A34,[1]INDICE!$A$4:$G$1000,2,0)</f>
        <v>MOBILIZAÇÃO/DESMOBILIZAÇÃO</v>
      </c>
      <c r="C34" s="160" t="str">
        <f>VLOOKUP(A34,[1]INDICE!$A$4:$G$1000,3,0)</f>
        <v>VG</v>
      </c>
      <c r="D34" s="122">
        <f>VLOOKUP(A34,[1]INDICE!$A$4:$G$1000,4,0)</f>
        <v>185.599152</v>
      </c>
      <c r="E34" s="122">
        <f>VLOOKUP(A34,[1]INDICE!$A$4:$G$1000,5,0)</f>
        <v>0</v>
      </c>
      <c r="F34" s="122">
        <f>VLOOKUP(A34,[1]INDICE!$A$4:$G$1000,6,0)</f>
        <v>2131.2565298795184</v>
      </c>
      <c r="G34" s="122">
        <f>VLOOKUP(A34,[1]INDICE!$A$4:$G$1000,7,0)</f>
        <v>2316.8556818795187</v>
      </c>
      <c r="H34" s="116" t="b">
        <f>A34=[2]INDFILTRO!A34</f>
        <v>0</v>
      </c>
      <c r="I34" s="113" t="b">
        <f>B34=[3]INDFILTRO!B33</f>
        <v>0</v>
      </c>
      <c r="J34" s="113" t="b">
        <f>E34=[2]INDFILTRO!E34</f>
        <v>0</v>
      </c>
      <c r="K34" s="113" t="b">
        <f>F34=[2]INDFILTRO!F34</f>
        <v>0</v>
      </c>
      <c r="L34" s="116" t="str">
        <f t="shared" si="0"/>
        <v>verdadeiro</v>
      </c>
      <c r="M34" s="124">
        <f t="shared" si="1"/>
        <v>111</v>
      </c>
      <c r="R34" s="253" t="b">
        <f t="shared" si="2"/>
        <v>1</v>
      </c>
      <c r="S34" s="253"/>
      <c r="T34" s="253"/>
    </row>
    <row r="35" spans="1:20" s="113" customFormat="1" ht="11.25">
      <c r="A35" s="121">
        <v>136</v>
      </c>
      <c r="B35" s="122" t="str">
        <f>VLOOKUP(A35,[1]INDICE!$A$4:$G$1000,2,0)</f>
        <v>POTENCIÔMETRO PARA SISTEMA DE SONORIZAÇÃO</v>
      </c>
      <c r="C35" s="160" t="str">
        <f>VLOOKUP(A35,[1]INDICE!$A$4:$G$1000,3,0)</f>
        <v>UN</v>
      </c>
      <c r="D35" s="122">
        <f>VLOOKUP(A35,[1]INDICE!$A$4:$G$1000,4,0)</f>
        <v>9.8699650000000005</v>
      </c>
      <c r="E35" s="122">
        <f>VLOOKUP(A35,[1]INDICE!$A$4:$G$1000,5,0)</f>
        <v>4.53</v>
      </c>
      <c r="F35" s="122">
        <f>VLOOKUP(A35,[1]INDICE!$A$4:$G$1000,6,0)</f>
        <v>0</v>
      </c>
      <c r="G35" s="122">
        <f>VLOOKUP(A35,[1]INDICE!$A$4:$G$1000,7,0)</f>
        <v>14.399965000000002</v>
      </c>
      <c r="H35" s="116" t="b">
        <f>A35=[2]INDFILTRO!A35</f>
        <v>0</v>
      </c>
      <c r="I35" s="113" t="b">
        <f>B35=[3]INDFILTRO!B34</f>
        <v>0</v>
      </c>
      <c r="J35" s="113" t="b">
        <f>E35=[2]INDFILTRO!E35</f>
        <v>0</v>
      </c>
      <c r="K35" s="113" t="b">
        <f>F35=[2]INDFILTRO!F35</f>
        <v>0</v>
      </c>
      <c r="L35" s="116" t="str">
        <f t="shared" si="0"/>
        <v>verdadeiro</v>
      </c>
      <c r="M35" s="124">
        <f t="shared" si="1"/>
        <v>136</v>
      </c>
      <c r="R35" s="253" t="b">
        <f t="shared" si="2"/>
        <v>1</v>
      </c>
      <c r="S35" s="253"/>
      <c r="T35" s="253"/>
    </row>
    <row r="36" spans="1:20" s="113" customFormat="1" ht="11.25">
      <c r="A36" s="121">
        <v>137</v>
      </c>
      <c r="B36" s="122" t="str">
        <f>VLOOKUP(A36,[1]INDICE!$A$4:$G$1000,2,0)</f>
        <v>CAMA DE CONCRETO MACIÇO 100X235X40CM EMASSADA E PINTADA FCK 15 MPA</v>
      </c>
      <c r="C36" s="160" t="str">
        <f>VLOOKUP(A36,[1]INDICE!$A$4:$G$1000,3,0)</f>
        <v>UN</v>
      </c>
      <c r="D36" s="122">
        <f>VLOOKUP(A36,[1]INDICE!$A$4:$G$1000,4,0)</f>
        <v>339.84103400000004</v>
      </c>
      <c r="E36" s="122">
        <f>VLOOKUP(A36,[1]INDICE!$A$4:$G$1000,5,0)</f>
        <v>417.01884000000001</v>
      </c>
      <c r="F36" s="122">
        <f>VLOOKUP(A36,[1]INDICE!$A$4:$G$1000,6,0)</f>
        <v>3.8030539999999999</v>
      </c>
      <c r="G36" s="122">
        <f>VLOOKUP(A36,[1]INDICE!$A$4:$G$1000,7,0)</f>
        <v>760.66292799999997</v>
      </c>
      <c r="H36" s="116" t="b">
        <f>A36=[2]INDFILTRO!A36</f>
        <v>0</v>
      </c>
      <c r="I36" s="113" t="b">
        <f>B36=[3]INDFILTRO!B35</f>
        <v>0</v>
      </c>
      <c r="J36" s="113" t="b">
        <f>E36=[2]INDFILTRO!E36</f>
        <v>0</v>
      </c>
      <c r="K36" s="113" t="b">
        <f>F36=[2]INDFILTRO!F36</f>
        <v>0</v>
      </c>
      <c r="L36" s="116" t="str">
        <f t="shared" si="0"/>
        <v>verdadeiro</v>
      </c>
      <c r="M36" s="124">
        <f t="shared" si="1"/>
        <v>137</v>
      </c>
      <c r="R36" s="253" t="b">
        <f t="shared" si="2"/>
        <v>1</v>
      </c>
      <c r="S36" s="253"/>
      <c r="T36" s="253"/>
    </row>
    <row r="37" spans="1:20" s="113" customFormat="1" ht="11.25">
      <c r="A37" s="121">
        <v>139</v>
      </c>
      <c r="B37" s="122" t="str">
        <f>VLOOKUP(A37,[1]INDICE!$A$4:$G$1000,2,0)</f>
        <v>BANCO DE CONCRETO POLIDO 2,0 X 0,4M</v>
      </c>
      <c r="C37" s="160" t="str">
        <f>VLOOKUP(A37,[1]INDICE!$A$4:$G$1000,3,0)</f>
        <v>UN</v>
      </c>
      <c r="D37" s="122">
        <f>VLOOKUP(A37,[1]INDICE!$A$4:$G$1000,4,0)</f>
        <v>90.359330000000014</v>
      </c>
      <c r="E37" s="122">
        <f>VLOOKUP(A37,[1]INDICE!$A$4:$G$1000,5,0)</f>
        <v>134.753849</v>
      </c>
      <c r="F37" s="122">
        <f>VLOOKUP(A37,[1]INDICE!$A$4:$G$1000,6,0)</f>
        <v>1.3320070000000002</v>
      </c>
      <c r="G37" s="122">
        <f>VLOOKUP(A37,[1]INDICE!$A$4:$G$1000,7,0)</f>
        <v>226.44518600000001</v>
      </c>
      <c r="H37" s="116" t="b">
        <f>A37=[2]INDFILTRO!A37</f>
        <v>0</v>
      </c>
      <c r="I37" s="113" t="b">
        <f>B37=[3]INDFILTRO!B36</f>
        <v>0</v>
      </c>
      <c r="J37" s="113" t="b">
        <f>E37=[2]INDFILTRO!E37</f>
        <v>0</v>
      </c>
      <c r="K37" s="113" t="b">
        <f>F37=[2]INDFILTRO!F37</f>
        <v>0</v>
      </c>
      <c r="L37" s="116" t="str">
        <f t="shared" si="0"/>
        <v>verdadeiro</v>
      </c>
      <c r="M37" s="124">
        <f t="shared" si="1"/>
        <v>139</v>
      </c>
      <c r="R37" s="253" t="b">
        <f t="shared" si="2"/>
        <v>1</v>
      </c>
      <c r="S37" s="253"/>
      <c r="T37" s="253"/>
    </row>
    <row r="38" spans="1:20" s="113" customFormat="1" ht="11.25">
      <c r="A38" s="121">
        <v>141</v>
      </c>
      <c r="B38" s="122" t="str">
        <f>VLOOKUP(A38,[1]INDICE!$A$4:$G$1000,2,0)</f>
        <v>BANCO DE CONCRETO POLIDO 1,20 X 0,40M</v>
      </c>
      <c r="C38" s="160" t="str">
        <f>VLOOKUP(A38,[1]INDICE!$A$4:$G$1000,3,0)</f>
        <v>UN</v>
      </c>
      <c r="D38" s="122">
        <f>VLOOKUP(A38,[1]INDICE!$A$4:$G$1000,4,0)</f>
        <v>68.73098499999999</v>
      </c>
      <c r="E38" s="122">
        <f>VLOOKUP(A38,[1]INDICE!$A$4:$G$1000,5,0)</f>
        <v>81.858417000000003</v>
      </c>
      <c r="F38" s="122">
        <f>VLOOKUP(A38,[1]INDICE!$A$4:$G$1000,6,0)</f>
        <v>0.84754700000000005</v>
      </c>
      <c r="G38" s="122">
        <f>VLOOKUP(A38,[1]INDICE!$A$4:$G$1000,7,0)</f>
        <v>151.436949</v>
      </c>
      <c r="H38" s="116" t="b">
        <f>A38=[2]INDFILTRO!A38</f>
        <v>0</v>
      </c>
      <c r="I38" s="113" t="b">
        <f>B38=[3]INDFILTRO!B37</f>
        <v>0</v>
      </c>
      <c r="J38" s="113" t="b">
        <f>E38=[2]INDFILTRO!E38</f>
        <v>0</v>
      </c>
      <c r="K38" s="113" t="b">
        <f>F38=[2]INDFILTRO!F38</f>
        <v>0</v>
      </c>
      <c r="L38" s="116" t="str">
        <f t="shared" si="0"/>
        <v>verdadeiro</v>
      </c>
      <c r="M38" s="124">
        <f t="shared" si="1"/>
        <v>141</v>
      </c>
      <c r="R38" s="253" t="b">
        <f t="shared" si="2"/>
        <v>1</v>
      </c>
      <c r="S38" s="253"/>
      <c r="T38" s="253"/>
    </row>
    <row r="39" spans="1:20" s="113" customFormat="1" ht="11.25">
      <c r="A39" s="121">
        <v>142</v>
      </c>
      <c r="B39" s="122" t="str">
        <f>VLOOKUP(A39,[1]INDICE!$A$4:$G$1000,2,0)</f>
        <v>ENVELOPAMENTO VASO FCK 15 MPA</v>
      </c>
      <c r="C39" s="160" t="str">
        <f>VLOOKUP(A39,[1]INDICE!$A$4:$G$1000,3,0)</f>
        <v>UN</v>
      </c>
      <c r="D39" s="122">
        <f>VLOOKUP(A39,[1]INDICE!$A$4:$G$1000,4,0)</f>
        <v>51.823134000000003</v>
      </c>
      <c r="E39" s="122">
        <f>VLOOKUP(A39,[1]INDICE!$A$4:$G$1000,5,0)</f>
        <v>24.876719000000001</v>
      </c>
      <c r="F39" s="122">
        <f>VLOOKUP(A39,[1]INDICE!$A$4:$G$1000,6,0)</f>
        <v>0.66736799999999996</v>
      </c>
      <c r="G39" s="122">
        <f>VLOOKUP(A39,[1]INDICE!$A$4:$G$1000,7,0)</f>
        <v>77.367221000000001</v>
      </c>
      <c r="H39" s="116" t="b">
        <f>A39=[2]INDFILTRO!A39</f>
        <v>0</v>
      </c>
      <c r="I39" s="113" t="b">
        <f>B39=[3]INDFILTRO!B38</f>
        <v>0</v>
      </c>
      <c r="J39" s="113" t="b">
        <f>E39=[2]INDFILTRO!E39</f>
        <v>0</v>
      </c>
      <c r="K39" s="113" t="b">
        <f>F39=[2]INDFILTRO!F39</f>
        <v>0</v>
      </c>
      <c r="L39" s="116" t="str">
        <f t="shared" si="0"/>
        <v>verdadeiro</v>
      </c>
      <c r="M39" s="124">
        <f t="shared" si="1"/>
        <v>142</v>
      </c>
      <c r="R39" s="253" t="b">
        <f t="shared" si="2"/>
        <v>1</v>
      </c>
      <c r="S39" s="253"/>
      <c r="T39" s="253"/>
    </row>
    <row r="40" spans="1:20" s="113" customFormat="1" ht="11.25">
      <c r="A40" s="121">
        <v>143</v>
      </c>
      <c r="B40" s="122" t="str">
        <f>VLOOKUP(A40,[1]INDICE!$A$4:$G$1000,2,0)</f>
        <v>ENVELOPAMENTO LAVATÓRIO FCK 15 MPA</v>
      </c>
      <c r="C40" s="160" t="str">
        <f>VLOOKUP(A40,[1]INDICE!$A$4:$G$1000,3,0)</f>
        <v>M2</v>
      </c>
      <c r="D40" s="122">
        <f>VLOOKUP(A40,[1]INDICE!$A$4:$G$1000,4,0)</f>
        <v>113.53423500000001</v>
      </c>
      <c r="E40" s="122">
        <f>VLOOKUP(A40,[1]INDICE!$A$4:$G$1000,5,0)</f>
        <v>72.938625000000002</v>
      </c>
      <c r="F40" s="122">
        <f>VLOOKUP(A40,[1]INDICE!$A$4:$G$1000,6,0)</f>
        <v>1.4497949999999999</v>
      </c>
      <c r="G40" s="122">
        <f>VLOOKUP(A40,[1]INDICE!$A$4:$G$1000,7,0)</f>
        <v>187.92265500000002</v>
      </c>
      <c r="H40" s="116" t="b">
        <f>A40=[2]INDFILTRO!A40</f>
        <v>0</v>
      </c>
      <c r="I40" s="113" t="b">
        <f>B40=[3]INDFILTRO!B39</f>
        <v>0</v>
      </c>
      <c r="J40" s="113" t="b">
        <f>E40=[2]INDFILTRO!E40</f>
        <v>0</v>
      </c>
      <c r="K40" s="113" t="b">
        <f>F40=[2]INDFILTRO!F40</f>
        <v>0</v>
      </c>
      <c r="L40" s="116" t="str">
        <f t="shared" si="0"/>
        <v>verdadeiro</v>
      </c>
      <c r="M40" s="124">
        <f t="shared" si="1"/>
        <v>143</v>
      </c>
      <c r="R40" s="253" t="b">
        <f t="shared" si="2"/>
        <v>1</v>
      </c>
      <c r="S40" s="253"/>
      <c r="T40" s="253"/>
    </row>
    <row r="41" spans="1:20" s="113" customFormat="1" ht="11.25">
      <c r="A41" s="121">
        <v>144</v>
      </c>
      <c r="B41" s="122" t="str">
        <f>VLOOKUP(A41,[1]INDICE!$A$4:$G$1000,2,0)</f>
        <v>PORTA METÁLICA CASE – PcD - 90X210 CM</v>
      </c>
      <c r="C41" s="160" t="str">
        <f>VLOOKUP(A41,[1]INDICE!$A$4:$G$1000,3,0)</f>
        <v>M2</v>
      </c>
      <c r="D41" s="122">
        <f>VLOOKUP(A41,[1]INDICE!$A$4:$G$1000,4,0)</f>
        <v>47.084742999999996</v>
      </c>
      <c r="E41" s="122">
        <f>VLOOKUP(A41,[1]INDICE!$A$4:$G$1000,5,0)</f>
        <v>410.39035100000001</v>
      </c>
      <c r="F41" s="122">
        <f>VLOOKUP(A41,[1]INDICE!$A$4:$G$1000,6,0)</f>
        <v>0</v>
      </c>
      <c r="G41" s="122">
        <f>VLOOKUP(A41,[1]INDICE!$A$4:$G$1000,7,0)</f>
        <v>457.47509400000001</v>
      </c>
      <c r="H41" s="116" t="b">
        <f>A41=[2]INDFILTRO!A41</f>
        <v>0</v>
      </c>
      <c r="I41" s="113" t="b">
        <f>B41=[3]INDFILTRO!B40</f>
        <v>0</v>
      </c>
      <c r="J41" s="113" t="b">
        <f>E41=[2]INDFILTRO!E41</f>
        <v>0</v>
      </c>
      <c r="K41" s="113" t="b">
        <f>F41=[2]INDFILTRO!F41</f>
        <v>1</v>
      </c>
      <c r="L41" s="116" t="str">
        <f t="shared" si="0"/>
        <v>verdadeiro</v>
      </c>
      <c r="M41" s="124">
        <f t="shared" si="1"/>
        <v>144</v>
      </c>
      <c r="R41" s="253" t="b">
        <f t="shared" si="2"/>
        <v>1</v>
      </c>
      <c r="S41" s="253"/>
      <c r="T41" s="253"/>
    </row>
    <row r="42" spans="1:20" s="113" customFormat="1" ht="11.25">
      <c r="A42" s="121">
        <v>146</v>
      </c>
      <c r="B42" s="122" t="str">
        <f>VLOOKUP(A42,[1]INDICE!$A$4:$G$1000,2,0)</f>
        <v>PORTA METÁLICA CASE – PS - 1 FOLHA 80X210 CM</v>
      </c>
      <c r="C42" s="160" t="str">
        <f>VLOOKUP(A42,[1]INDICE!$A$4:$G$1000,3,0)</f>
        <v>M2</v>
      </c>
      <c r="D42" s="122">
        <f>VLOOKUP(A42,[1]INDICE!$A$4:$G$1000,4,0)</f>
        <v>47.084742999999996</v>
      </c>
      <c r="E42" s="122">
        <f>VLOOKUP(A42,[1]INDICE!$A$4:$G$1000,5,0)</f>
        <v>314.37935849999997</v>
      </c>
      <c r="F42" s="122">
        <f>VLOOKUP(A42,[1]INDICE!$A$4:$G$1000,6,0)</f>
        <v>0</v>
      </c>
      <c r="G42" s="122">
        <f>VLOOKUP(A42,[1]INDICE!$A$4:$G$1000,7,0)</f>
        <v>361.46410149999997</v>
      </c>
      <c r="H42" s="116" t="b">
        <f>A42=[2]INDFILTRO!A42</f>
        <v>0</v>
      </c>
      <c r="I42" s="113" t="b">
        <f>B42=[3]INDFILTRO!B41</f>
        <v>0</v>
      </c>
      <c r="J42" s="113" t="b">
        <f>E42=[2]INDFILTRO!E42</f>
        <v>0</v>
      </c>
      <c r="K42" s="113" t="b">
        <f>F42=[2]INDFILTRO!F42</f>
        <v>0</v>
      </c>
      <c r="L42" s="116" t="str">
        <f t="shared" si="0"/>
        <v>verdadeiro</v>
      </c>
      <c r="M42" s="124">
        <f t="shared" si="1"/>
        <v>146</v>
      </c>
      <c r="R42" s="253" t="b">
        <f t="shared" si="2"/>
        <v>1</v>
      </c>
      <c r="S42" s="253"/>
      <c r="T42" s="253"/>
    </row>
    <row r="43" spans="1:20" s="113" customFormat="1" ht="12">
      <c r="A43" s="121">
        <v>149</v>
      </c>
      <c r="B43" s="122" t="str">
        <f>VLOOKUP(A43,[1]INDICE!$A$4:$G$1000,2,0)</f>
        <v>COBERTURA CURVADA EM POLICARBONATO 6MM, ESTRUTURA EM PERFIL METÁLICO 2,0 X 4,3M</v>
      </c>
      <c r="C43" s="160" t="str">
        <f>VLOOKUP(A43,[1]INDICE!$A$4:$G$1000,3,0)</f>
        <v>M2</v>
      </c>
      <c r="D43" s="122">
        <f>VLOOKUP(A43,[1]INDICE!$A$4:$G$1000,4,0)</f>
        <v>3.9206639999999999</v>
      </c>
      <c r="E43" s="122">
        <f>VLOOKUP(A43,[1]INDICE!$A$4:$G$1000,5,0)</f>
        <v>230.43469116402116</v>
      </c>
      <c r="F43" s="122">
        <f>VLOOKUP(A43,[1]INDICE!$A$4:$G$1000,6,0)</f>
        <v>0</v>
      </c>
      <c r="G43" s="122">
        <f>VLOOKUP(A43,[1]INDICE!$A$4:$G$1000,7,0)</f>
        <v>234.35535516402115</v>
      </c>
      <c r="H43" s="161" t="b">
        <f>A43=[2]INDFILTRO!A43</f>
        <v>0</v>
      </c>
      <c r="I43" s="162" t="b">
        <f>B43=[3]INDFILTRO!B42</f>
        <v>0</v>
      </c>
      <c r="J43" s="162" t="b">
        <f>E43=[2]INDFILTRO!E43</f>
        <v>0</v>
      </c>
      <c r="K43" s="113" t="b">
        <f>F43=[2]INDFILTRO!F43</f>
        <v>0</v>
      </c>
      <c r="L43" s="116" t="str">
        <f t="shared" si="0"/>
        <v>verdadeiro</v>
      </c>
      <c r="M43" s="124">
        <f t="shared" si="1"/>
        <v>149</v>
      </c>
      <c r="R43" s="253" t="b">
        <f t="shared" si="2"/>
        <v>1</v>
      </c>
      <c r="S43" s="253"/>
      <c r="T43" s="253"/>
    </row>
    <row r="44" spans="1:20" s="113" customFormat="1" ht="11.25">
      <c r="A44" s="121">
        <v>150</v>
      </c>
      <c r="B44" s="122" t="str">
        <f>VLOOKUP(A44,[1]INDICE!$A$4:$G$1000,2,0)</f>
        <v>CHUVEIRO ANTIVANDALISMO C/ÁLVULA</v>
      </c>
      <c r="C44" s="160" t="str">
        <f>VLOOKUP(A44,[1]INDICE!$A$4:$G$1000,3,0)</f>
        <v>UM</v>
      </c>
      <c r="D44" s="122">
        <f>VLOOKUP(A44,[1]INDICE!$A$4:$G$1000,4,0)</f>
        <v>43.860960000000006</v>
      </c>
      <c r="E44" s="122">
        <f>VLOOKUP(A44,[1]INDICE!$A$4:$G$1000,5,0)</f>
        <v>770.23320000000001</v>
      </c>
      <c r="F44" s="122">
        <f>VLOOKUP(A44,[1]INDICE!$A$4:$G$1000,6,0)</f>
        <v>0</v>
      </c>
      <c r="G44" s="122">
        <f>VLOOKUP(A44,[1]INDICE!$A$4:$G$1000,7,0)</f>
        <v>814.09415999999999</v>
      </c>
      <c r="H44" s="116" t="b">
        <f>A44=[2]INDFILTRO!A44</f>
        <v>0</v>
      </c>
      <c r="I44" s="113" t="b">
        <f>B44=[3]INDFILTRO!B43</f>
        <v>0</v>
      </c>
      <c r="J44" s="113" t="b">
        <f>E44=[2]INDFILTRO!E44</f>
        <v>0</v>
      </c>
      <c r="K44" s="113" t="b">
        <f>F44=[2]INDFILTRO!F44</f>
        <v>0</v>
      </c>
      <c r="L44" s="116" t="str">
        <f t="shared" si="0"/>
        <v>verdadeiro</v>
      </c>
      <c r="M44" s="124">
        <f t="shared" si="1"/>
        <v>150</v>
      </c>
      <c r="R44" s="253" t="b">
        <f t="shared" si="2"/>
        <v>1</v>
      </c>
      <c r="S44" s="253"/>
      <c r="T44" s="253"/>
    </row>
    <row r="45" spans="1:20" s="113" customFormat="1" ht="11.25">
      <c r="A45" s="121">
        <v>151</v>
      </c>
      <c r="B45" s="122" t="str">
        <f>VLOOKUP(A45,[1]INDICE!$A$4:$G$1000,2,0)</f>
        <v>PORTÃO EM TELA ARAME FºGº Nº 12 #2, MOLDURAS TUBO DE AÇO FºGº</v>
      </c>
      <c r="C45" s="160" t="str">
        <f>VLOOKUP(A45,[1]INDICE!$A$4:$G$1000,3,0)</f>
        <v>M2</v>
      </c>
      <c r="D45" s="122">
        <f>VLOOKUP(A45,[1]INDICE!$A$4:$G$1000,4,0)</f>
        <v>48.115469999999995</v>
      </c>
      <c r="E45" s="122">
        <f>VLOOKUP(A45,[1]INDICE!$A$4:$G$1000,5,0)</f>
        <v>394.87861899999996</v>
      </c>
      <c r="F45" s="122">
        <f>VLOOKUP(A45,[1]INDICE!$A$4:$G$1000,6,0)</f>
        <v>1.4512700000000001</v>
      </c>
      <c r="G45" s="122">
        <f>VLOOKUP(A45,[1]INDICE!$A$4:$G$1000,7,0)</f>
        <v>444.445359</v>
      </c>
      <c r="H45" s="116" t="b">
        <f>A45=[2]INDFILTRO!A45</f>
        <v>0</v>
      </c>
      <c r="I45" s="113" t="b">
        <f>B45=[3]INDFILTRO!B44</f>
        <v>0</v>
      </c>
      <c r="J45" s="113" t="b">
        <f>E45=[2]INDFILTRO!E45</f>
        <v>0</v>
      </c>
      <c r="K45" s="113" t="b">
        <f>F45=[2]INDFILTRO!F45</f>
        <v>0</v>
      </c>
      <c r="L45" s="116" t="str">
        <f t="shared" si="0"/>
        <v>verdadeiro</v>
      </c>
      <c r="M45" s="124">
        <f t="shared" si="1"/>
        <v>151</v>
      </c>
      <c r="R45" s="253" t="b">
        <f t="shared" si="2"/>
        <v>1</v>
      </c>
      <c r="S45" s="253"/>
      <c r="T45" s="253"/>
    </row>
    <row r="46" spans="1:20" s="113" customFormat="1" ht="11.25">
      <c r="A46" s="121">
        <v>152</v>
      </c>
      <c r="B46" s="122" t="str">
        <f>VLOOKUP(A46,[1]INDICE!$A$4:$G$1000,2,0)</f>
        <v>PORTA METÁLICA CASE – P – UMA FOLHA – 80X210 CM</v>
      </c>
      <c r="C46" s="160" t="str">
        <f>VLOOKUP(A46,[1]INDICE!$A$4:$G$1000,3,0)</f>
        <v>M2</v>
      </c>
      <c r="D46" s="122">
        <f>VLOOKUP(A46,[1]INDICE!$A$4:$G$1000,4,0)</f>
        <v>47.084742999999996</v>
      </c>
      <c r="E46" s="122">
        <f>VLOOKUP(A46,[1]INDICE!$A$4:$G$1000,5,0)</f>
        <v>486.76612480000006</v>
      </c>
      <c r="F46" s="122">
        <f>VLOOKUP(A46,[1]INDICE!$A$4:$G$1000,6,0)</f>
        <v>0</v>
      </c>
      <c r="G46" s="122">
        <f>VLOOKUP(A46,[1]INDICE!$A$4:$G$1000,7,0)</f>
        <v>533.85086780000006</v>
      </c>
      <c r="H46" s="116" t="b">
        <f>A46=[2]INDFILTRO!A46</f>
        <v>0</v>
      </c>
      <c r="I46" s="113" t="b">
        <f>B46=[3]INDFILTRO!B45</f>
        <v>0</v>
      </c>
      <c r="J46" s="113" t="b">
        <f>E46=[2]INDFILTRO!E46</f>
        <v>0</v>
      </c>
      <c r="K46" s="113" t="b">
        <f>F46=[2]INDFILTRO!F46</f>
        <v>1</v>
      </c>
      <c r="L46" s="116" t="str">
        <f t="shared" si="0"/>
        <v>verdadeiro</v>
      </c>
      <c r="M46" s="124">
        <f t="shared" si="1"/>
        <v>152</v>
      </c>
      <c r="R46" s="253" t="b">
        <f t="shared" si="2"/>
        <v>1</v>
      </c>
      <c r="S46" s="253"/>
      <c r="T46" s="253"/>
    </row>
    <row r="47" spans="1:20" s="113" customFormat="1" ht="11.25">
      <c r="A47" s="121">
        <v>153</v>
      </c>
      <c r="B47" s="122" t="str">
        <f>VLOOKUP(A47,[1]INDICE!$A$4:$G$1000,2,0)</f>
        <v>PORTA METÁLICA CASE – P3 – UMA FOLHA – 70X210 CM</v>
      </c>
      <c r="C47" s="160" t="str">
        <f>VLOOKUP(A47,[1]INDICE!$A$4:$G$1000,3,0)</f>
        <v>M2</v>
      </c>
      <c r="D47" s="122">
        <f>VLOOKUP(A47,[1]INDICE!$A$4:$G$1000,4,0)</f>
        <v>47.084742999999996</v>
      </c>
      <c r="E47" s="122">
        <f>VLOOKUP(A47,[1]INDICE!$A$4:$G$1000,5,0)</f>
        <v>436.37288639999997</v>
      </c>
      <c r="F47" s="122">
        <f>VLOOKUP(A47,[1]INDICE!$A$4:$G$1000,6,0)</f>
        <v>0</v>
      </c>
      <c r="G47" s="122">
        <f>VLOOKUP(A47,[1]INDICE!$A$4:$G$1000,7,0)</f>
        <v>483.45762939999997</v>
      </c>
      <c r="H47" s="116" t="b">
        <f>A47=[2]INDFILTRO!A47</f>
        <v>0</v>
      </c>
      <c r="I47" s="113" t="b">
        <f>B47=[3]INDFILTRO!B46</f>
        <v>0</v>
      </c>
      <c r="J47" s="113" t="b">
        <f>E47=[2]INDFILTRO!E47</f>
        <v>0</v>
      </c>
      <c r="K47" s="113" t="b">
        <f>F47=[2]INDFILTRO!F47</f>
        <v>1</v>
      </c>
      <c r="L47" s="116" t="str">
        <f t="shared" si="0"/>
        <v>verdadeiro</v>
      </c>
      <c r="M47" s="124">
        <f t="shared" si="1"/>
        <v>153</v>
      </c>
      <c r="R47" s="253" t="b">
        <f t="shared" si="2"/>
        <v>1</v>
      </c>
      <c r="S47" s="253"/>
      <c r="T47" s="253"/>
    </row>
    <row r="48" spans="1:20" s="113" customFormat="1" ht="11.25">
      <c r="A48" s="121">
        <v>155</v>
      </c>
      <c r="B48" s="122" t="str">
        <f>VLOOKUP(A48,[1]INDICE!$A$4:$G$1000,2,0)</f>
        <v>JANELA DE AÇO TIPO CORRER/BASCULANTE/VIDRO J -180X170 CM</v>
      </c>
      <c r="C48" s="160" t="str">
        <f>VLOOKUP(A48,[1]INDICE!$A$4:$G$1000,3,0)</f>
        <v>M2</v>
      </c>
      <c r="D48" s="122">
        <f>VLOOKUP(A48,[1]INDICE!$A$4:$G$1000,4,0)</f>
        <v>134.02471</v>
      </c>
      <c r="E48" s="122">
        <f>VLOOKUP(A48,[1]INDICE!$A$4:$G$1000,5,0)</f>
        <v>491.46804150000008</v>
      </c>
      <c r="F48" s="122">
        <f>VLOOKUP(A48,[1]INDICE!$A$4:$G$1000,6,0)</f>
        <v>0</v>
      </c>
      <c r="G48" s="122">
        <f>VLOOKUP(A48,[1]INDICE!$A$4:$G$1000,7,0)</f>
        <v>625.49275150000005</v>
      </c>
      <c r="H48" s="116" t="b">
        <f>A48=[2]INDFILTRO!A48</f>
        <v>0</v>
      </c>
      <c r="I48" s="113" t="b">
        <f>B48=[3]INDFILTRO!B47</f>
        <v>0</v>
      </c>
      <c r="J48" s="113" t="b">
        <f>E48=[2]INDFILTRO!E48</f>
        <v>0</v>
      </c>
      <c r="K48" s="113" t="b">
        <f>F48=[2]INDFILTRO!F48</f>
        <v>1</v>
      </c>
      <c r="L48" s="116" t="str">
        <f t="shared" si="0"/>
        <v>verdadeiro</v>
      </c>
      <c r="M48" s="124">
        <f t="shared" si="1"/>
        <v>155</v>
      </c>
      <c r="R48" s="253" t="b">
        <f t="shared" si="2"/>
        <v>1</v>
      </c>
      <c r="S48" s="253"/>
      <c r="T48" s="253"/>
    </row>
    <row r="49" spans="1:20" s="113" customFormat="1" ht="11.25">
      <c r="A49" s="121">
        <v>156</v>
      </c>
      <c r="B49" s="122" t="str">
        <f>VLOOKUP(A49,[1]INDICE!$A$4:$G$1000,2,0)</f>
        <v>JANELA DE AÇO TIPO CORRER/BASCULANTE/VIDRO J8/J9/J10/J11/J12/J13/J17/J20 - 200X70 CM</v>
      </c>
      <c r="C49" s="160" t="str">
        <f>VLOOKUP(A49,[1]INDICE!$A$4:$G$1000,3,0)</f>
        <v>M2</v>
      </c>
      <c r="D49" s="122">
        <f>VLOOKUP(A49,[1]INDICE!$A$4:$G$1000,4,0)</f>
        <v>134.02471</v>
      </c>
      <c r="E49" s="122">
        <f>VLOOKUP(A49,[1]INDICE!$A$4:$G$1000,5,0)</f>
        <v>503.49081699999999</v>
      </c>
      <c r="F49" s="122">
        <f>VLOOKUP(A49,[1]INDICE!$A$4:$G$1000,6,0)</f>
        <v>0</v>
      </c>
      <c r="G49" s="122">
        <f>VLOOKUP(A49,[1]INDICE!$A$4:$G$1000,7,0)</f>
        <v>637.51552700000002</v>
      </c>
      <c r="H49" s="116" t="b">
        <f>A49=[2]INDFILTRO!A49</f>
        <v>0</v>
      </c>
      <c r="I49" s="113" t="b">
        <f>B49=[3]INDFILTRO!B48</f>
        <v>0</v>
      </c>
      <c r="J49" s="113" t="b">
        <f>E49=[2]INDFILTRO!E49</f>
        <v>0</v>
      </c>
      <c r="K49" s="113" t="b">
        <f>F49=[2]INDFILTRO!F49</f>
        <v>1</v>
      </c>
      <c r="L49" s="116" t="str">
        <f t="shared" si="0"/>
        <v>verdadeiro</v>
      </c>
      <c r="M49" s="124">
        <f t="shared" si="1"/>
        <v>156</v>
      </c>
      <c r="R49" s="253" t="b">
        <f t="shared" si="2"/>
        <v>1</v>
      </c>
      <c r="S49" s="253"/>
      <c r="T49" s="253"/>
    </row>
    <row r="50" spans="1:20" s="113" customFormat="1" ht="11.25">
      <c r="A50" s="121">
        <v>157</v>
      </c>
      <c r="B50" s="122" t="str">
        <f>VLOOKUP(A50,[1]INDICE!$A$4:$G$1000,2,0)</f>
        <v>JANELA DE AÇO TIPO CORRER/BASCULANTE/VIDRO J3/J5/J6 - 120X70 CM</v>
      </c>
      <c r="C50" s="160" t="str">
        <f>VLOOKUP(A50,[1]INDICE!$A$4:$G$1000,3,0)</f>
        <v>M2</v>
      </c>
      <c r="D50" s="122">
        <f>VLOOKUP(A50,[1]INDICE!$A$4:$G$1000,4,0)</f>
        <v>134.02471</v>
      </c>
      <c r="E50" s="122">
        <f>VLOOKUP(A50,[1]INDICE!$A$4:$G$1000,5,0)</f>
        <v>624.43732750000015</v>
      </c>
      <c r="F50" s="122">
        <f>VLOOKUP(A50,[1]INDICE!$A$4:$G$1000,6,0)</f>
        <v>0</v>
      </c>
      <c r="G50" s="122">
        <f>VLOOKUP(A50,[1]INDICE!$A$4:$G$1000,7,0)</f>
        <v>758.46203750000018</v>
      </c>
      <c r="H50" s="116" t="b">
        <f>A50=[2]INDFILTRO!A50</f>
        <v>0</v>
      </c>
      <c r="I50" s="113" t="b">
        <f>B50=[3]INDFILTRO!B49</f>
        <v>0</v>
      </c>
      <c r="J50" s="113" t="b">
        <f>E50=[2]INDFILTRO!E50</f>
        <v>0</v>
      </c>
      <c r="K50" s="113" t="b">
        <f>F50=[2]INDFILTRO!F50</f>
        <v>1</v>
      </c>
      <c r="L50" s="116" t="str">
        <f t="shared" si="0"/>
        <v>verdadeiro</v>
      </c>
      <c r="M50" s="124">
        <f t="shared" si="1"/>
        <v>157</v>
      </c>
      <c r="R50" s="253" t="b">
        <f t="shared" si="2"/>
        <v>1</v>
      </c>
      <c r="S50" s="253"/>
      <c r="T50" s="253"/>
    </row>
    <row r="51" spans="1:20" s="113" customFormat="1" ht="11.25">
      <c r="A51" s="121">
        <v>158</v>
      </c>
      <c r="B51" s="122" t="str">
        <f>VLOOKUP(A51,[1]INDICE!$A$4:$G$1000,2,0)</f>
        <v>PORTA METÁLICA CASE – PG– UMA FOLHA – 80X210 CM</v>
      </c>
      <c r="C51" s="160" t="str">
        <f>VLOOKUP(A51,[1]INDICE!$A$4:$G$1000,3,0)</f>
        <v>M2</v>
      </c>
      <c r="D51" s="122">
        <f>VLOOKUP(A51,[1]INDICE!$A$4:$G$1000,4,0)</f>
        <v>47.084742999999996</v>
      </c>
      <c r="E51" s="122">
        <f>VLOOKUP(A51,[1]INDICE!$A$4:$G$1000,5,0)</f>
        <v>784.72375579999994</v>
      </c>
      <c r="F51" s="122">
        <f>VLOOKUP(A51,[1]INDICE!$A$4:$G$1000,6,0)</f>
        <v>0</v>
      </c>
      <c r="G51" s="122">
        <f>VLOOKUP(A51,[1]INDICE!$A$4:$G$1000,7,0)</f>
        <v>831.80849879999994</v>
      </c>
      <c r="H51" s="116" t="b">
        <f>A51=[2]INDFILTRO!A51</f>
        <v>0</v>
      </c>
      <c r="I51" s="113" t="b">
        <f>B51=[3]INDFILTRO!B50</f>
        <v>0</v>
      </c>
      <c r="J51" s="113" t="b">
        <f>E51=[2]INDFILTRO!E51</f>
        <v>0</v>
      </c>
      <c r="K51" s="113" t="b">
        <f>F51=[2]INDFILTRO!F51</f>
        <v>1</v>
      </c>
      <c r="L51" s="116" t="str">
        <f t="shared" si="0"/>
        <v>verdadeiro</v>
      </c>
      <c r="M51" s="124">
        <f t="shared" si="1"/>
        <v>158</v>
      </c>
      <c r="R51" s="253" t="b">
        <f t="shared" si="2"/>
        <v>1</v>
      </c>
      <c r="S51" s="253"/>
      <c r="T51" s="253"/>
    </row>
    <row r="52" spans="1:20" s="113" customFormat="1" ht="11.25">
      <c r="A52" s="121">
        <v>159</v>
      </c>
      <c r="B52" s="122" t="str">
        <f>VLOOKUP(A52,[1]INDICE!$A$4:$G$1000,2,0)</f>
        <v>PORTA METÁLICA CASE – PG– UMA FOLHA – 90X210 CM</v>
      </c>
      <c r="C52" s="160" t="str">
        <f>VLOOKUP(A52,[1]INDICE!$A$4:$G$1000,3,0)</f>
        <v>M2</v>
      </c>
      <c r="D52" s="122">
        <f>VLOOKUP(A52,[1]INDICE!$A$4:$G$1000,4,0)</f>
        <v>47.084742999999996</v>
      </c>
      <c r="E52" s="122">
        <f>VLOOKUP(A52,[1]INDICE!$A$4:$G$1000,5,0)</f>
        <v>784.72375579999994</v>
      </c>
      <c r="F52" s="122">
        <f>VLOOKUP(A52,[1]INDICE!$A$4:$G$1000,6,0)</f>
        <v>0</v>
      </c>
      <c r="G52" s="122">
        <f>VLOOKUP(A52,[1]INDICE!$A$4:$G$1000,7,0)</f>
        <v>831.80849879999994</v>
      </c>
      <c r="H52" s="116" t="b">
        <f>A52=[2]INDFILTRO!A52</f>
        <v>0</v>
      </c>
      <c r="I52" s="113" t="b">
        <f>B52=[3]INDFILTRO!B51</f>
        <v>0</v>
      </c>
      <c r="J52" s="113" t="b">
        <f>E52=[2]INDFILTRO!E52</f>
        <v>0</v>
      </c>
      <c r="K52" s="113" t="b">
        <f>F52=[2]INDFILTRO!F52</f>
        <v>1</v>
      </c>
      <c r="L52" s="116" t="str">
        <f t="shared" si="0"/>
        <v>verdadeiro</v>
      </c>
      <c r="M52" s="124">
        <f t="shared" si="1"/>
        <v>159</v>
      </c>
      <c r="R52" s="253" t="b">
        <f t="shared" si="2"/>
        <v>1</v>
      </c>
      <c r="S52" s="253"/>
      <c r="T52" s="253"/>
    </row>
    <row r="53" spans="1:20" s="113" customFormat="1" ht="11.25">
      <c r="A53" s="121">
        <v>160</v>
      </c>
      <c r="B53" s="122" t="str">
        <f>VLOOKUP(A53,[1]INDICE!$A$4:$G$1000,2,0)</f>
        <v>PORTA METÁLICA CASE – PG2– UMA FOLHA – 230X210 CM</v>
      </c>
      <c r="C53" s="160" t="str">
        <f>VLOOKUP(A53,[1]INDICE!$A$4:$G$1000,3,0)</f>
        <v>M2</v>
      </c>
      <c r="D53" s="122">
        <f>VLOOKUP(A53,[1]INDICE!$A$4:$G$1000,4,0)</f>
        <v>47.084742999999996</v>
      </c>
      <c r="E53" s="122">
        <f>VLOOKUP(A53,[1]INDICE!$A$4:$G$1000,5,0)</f>
        <v>530.43523979999998</v>
      </c>
      <c r="F53" s="122">
        <f>VLOOKUP(A53,[1]INDICE!$A$4:$G$1000,6,0)</f>
        <v>0</v>
      </c>
      <c r="G53" s="122">
        <f>VLOOKUP(A53,[1]INDICE!$A$4:$G$1000,7,0)</f>
        <v>577.51998279999998</v>
      </c>
      <c r="H53" s="116" t="b">
        <f>A53=[2]INDFILTRO!A53</f>
        <v>0</v>
      </c>
      <c r="I53" s="113" t="b">
        <f>B53=[3]INDFILTRO!B52</f>
        <v>0</v>
      </c>
      <c r="J53" s="113" t="b">
        <f>E53=[2]INDFILTRO!E53</f>
        <v>0</v>
      </c>
      <c r="K53" s="113" t="b">
        <f>F53=[2]INDFILTRO!F53</f>
        <v>1</v>
      </c>
      <c r="L53" s="116" t="str">
        <f t="shared" si="0"/>
        <v>verdadeiro</v>
      </c>
      <c r="M53" s="124">
        <f t="shared" si="1"/>
        <v>160</v>
      </c>
      <c r="R53" s="253" t="b">
        <f t="shared" si="2"/>
        <v>1</v>
      </c>
      <c r="S53" s="253"/>
      <c r="T53" s="253"/>
    </row>
    <row r="54" spans="1:20" s="113" customFormat="1" ht="11.25">
      <c r="A54" s="121">
        <v>161</v>
      </c>
      <c r="B54" s="122" t="str">
        <f>VLOOKUP(A54,[1]INDICE!$A$4:$G$1000,2,0)</f>
        <v>PORTA METÁLICA CASE – PG4– UMA FOLHA – 150X280 CM</v>
      </c>
      <c r="C54" s="160" t="str">
        <f>VLOOKUP(A54,[1]INDICE!$A$4:$G$1000,3,0)</f>
        <v>M2</v>
      </c>
      <c r="D54" s="122">
        <f>VLOOKUP(A54,[1]INDICE!$A$4:$G$1000,4,0)</f>
        <v>47.084742999999996</v>
      </c>
      <c r="E54" s="122">
        <f>VLOOKUP(A54,[1]INDICE!$A$4:$G$1000,5,0)</f>
        <v>632.3175258</v>
      </c>
      <c r="F54" s="122">
        <f>VLOOKUP(A54,[1]INDICE!$A$4:$G$1000,6,0)</f>
        <v>0</v>
      </c>
      <c r="G54" s="122">
        <f>VLOOKUP(A54,[1]INDICE!$A$4:$G$1000,7,0)</f>
        <v>679.4022688</v>
      </c>
      <c r="H54" s="116" t="b">
        <f>A54=[2]INDFILTRO!A54</f>
        <v>0</v>
      </c>
      <c r="I54" s="113" t="b">
        <f>B54=[3]INDFILTRO!B53</f>
        <v>0</v>
      </c>
      <c r="J54" s="113" t="b">
        <f>E54=[2]INDFILTRO!E54</f>
        <v>0</v>
      </c>
      <c r="K54" s="113" t="b">
        <f>F54=[2]INDFILTRO!F54</f>
        <v>1</v>
      </c>
      <c r="L54" s="116" t="str">
        <f t="shared" si="0"/>
        <v>verdadeiro</v>
      </c>
      <c r="M54" s="124">
        <f t="shared" si="1"/>
        <v>161</v>
      </c>
      <c r="R54" s="253" t="b">
        <f t="shared" si="2"/>
        <v>1</v>
      </c>
      <c r="S54" s="253"/>
      <c r="T54" s="253"/>
    </row>
    <row r="55" spans="1:20" s="113" customFormat="1" ht="11.25">
      <c r="A55" s="121">
        <v>163</v>
      </c>
      <c r="B55" s="122" t="str">
        <f>VLOOKUP(A55,[1]INDICE!$A$4:$G$1000,2,0)</f>
        <v>CORRENTE DE AÇO D= 4,2MM, Nº10, P/SUSPENÇÃO DE LUMINÁRIAS</v>
      </c>
      <c r="C55" s="160" t="str">
        <f>VLOOKUP(A55,[1]INDICE!$A$4:$G$1000,3,0)</f>
        <v>M</v>
      </c>
      <c r="D55" s="122">
        <f>VLOOKUP(A55,[1]INDICE!$A$4:$G$1000,4,0)</f>
        <v>12.462038</v>
      </c>
      <c r="E55" s="122">
        <f>VLOOKUP(A55,[1]INDICE!$A$4:$G$1000,5,0)</f>
        <v>113.66784</v>
      </c>
      <c r="F55" s="122">
        <f>VLOOKUP(A55,[1]INDICE!$A$4:$G$1000,6,0)</f>
        <v>0</v>
      </c>
      <c r="G55" s="122">
        <f>VLOOKUP(A55,[1]INDICE!$A$4:$G$1000,7,0)</f>
        <v>126.12987799999999</v>
      </c>
      <c r="H55" s="116" t="b">
        <f>A55=[2]INDFILTRO!A55</f>
        <v>0</v>
      </c>
      <c r="I55" s="113" t="b">
        <f>B55=[3]INDFILTRO!B54</f>
        <v>0</v>
      </c>
      <c r="J55" s="113" t="b">
        <f>E55=[2]INDFILTRO!E55</f>
        <v>0</v>
      </c>
      <c r="K55" s="113" t="b">
        <f>F55=[2]INDFILTRO!F55</f>
        <v>1</v>
      </c>
      <c r="L55" s="116" t="str">
        <f t="shared" si="0"/>
        <v>verdadeiro</v>
      </c>
      <c r="M55" s="124">
        <f t="shared" si="1"/>
        <v>163</v>
      </c>
      <c r="R55" s="253" t="b">
        <f t="shared" si="2"/>
        <v>1</v>
      </c>
      <c r="S55" s="253"/>
      <c r="T55" s="253"/>
    </row>
    <row r="56" spans="1:20" s="113" customFormat="1" ht="11.25">
      <c r="A56" s="121">
        <v>165</v>
      </c>
      <c r="B56" s="122" t="str">
        <f>VLOOKUP(A56,[1]INDICE!$A$4:$G$1000,2,0)</f>
        <v>SUPORTE P/LUMINÁRIA CHAPA DE AÇO DE 2" X 1/8"</v>
      </c>
      <c r="C56" s="160" t="str">
        <f>VLOOKUP(A56,[1]INDICE!$A$4:$G$1000,3,0)</f>
        <v>UN</v>
      </c>
      <c r="D56" s="122">
        <f>VLOOKUP(A56,[1]INDICE!$A$4:$G$1000,4,0)</f>
        <v>9.6574999999999989</v>
      </c>
      <c r="E56" s="122">
        <f>VLOOKUP(A56,[1]INDICE!$A$4:$G$1000,5,0)</f>
        <v>6.8588499999999994</v>
      </c>
      <c r="F56" s="122">
        <f>VLOOKUP(A56,[1]INDICE!$A$4:$G$1000,6,0)</f>
        <v>0</v>
      </c>
      <c r="G56" s="122">
        <f>VLOOKUP(A56,[1]INDICE!$A$4:$G$1000,7,0)</f>
        <v>16.516349999999999</v>
      </c>
      <c r="H56" s="116" t="b">
        <f>A56=[2]INDFILTRO!A56</f>
        <v>0</v>
      </c>
      <c r="I56" s="113" t="b">
        <f>B56=[3]INDFILTRO!B55</f>
        <v>0</v>
      </c>
      <c r="J56" s="113" t="b">
        <f>E56=[2]INDFILTRO!E56</f>
        <v>0</v>
      </c>
      <c r="K56" s="113" t="b">
        <f>F56=[2]INDFILTRO!F56</f>
        <v>1</v>
      </c>
      <c r="L56" s="116" t="str">
        <f t="shared" si="0"/>
        <v>verdadeiro</v>
      </c>
      <c r="M56" s="124">
        <f t="shared" si="1"/>
        <v>165</v>
      </c>
      <c r="R56" s="253" t="b">
        <f t="shared" si="2"/>
        <v>1</v>
      </c>
      <c r="S56" s="253"/>
      <c r="T56" s="253"/>
    </row>
    <row r="57" spans="1:20" s="113" customFormat="1" ht="22.5">
      <c r="A57" s="121">
        <v>166</v>
      </c>
      <c r="B57" s="122" t="str">
        <f>VLOOKUP(A57,[1]INDICE!$A$4:$G$1000,2,0)</f>
        <v>LOCAÇÃO DA OBRA, EXECUÇÃO DE GABARITO SEM REAPROVEITAMENTO, INCLUSO PINTURA (FACE INTERNA DO RIPÃO 15CM) E PIQUETE COM TESTEMUNHA</v>
      </c>
      <c r="C57" s="160" t="str">
        <f>VLOOKUP(A57,[1]INDICE!$A$4:$G$1000,3,0)</f>
        <v>M2</v>
      </c>
      <c r="D57" s="122">
        <f>VLOOKUP(A57,[1]INDICE!$A$4:$G$1000,4,0)</f>
        <v>1.6903229999999998</v>
      </c>
      <c r="E57" s="122">
        <f>VLOOKUP(A57,[1]INDICE!$A$4:$G$1000,5,0)</f>
        <v>2.6440060000000001</v>
      </c>
      <c r="F57" s="122">
        <f>VLOOKUP(A57,[1]INDICE!$A$4:$G$1000,6,0)</f>
        <v>0</v>
      </c>
      <c r="G57" s="122">
        <f>VLOOKUP(A57,[1]INDICE!$A$4:$G$1000,7,0)</f>
        <v>4.3343290000000003</v>
      </c>
      <c r="H57" s="116" t="b">
        <f>A57=[2]INDFILTRO!A57</f>
        <v>0</v>
      </c>
      <c r="I57" s="113" t="b">
        <f>B57=[3]INDFILTRO!B56</f>
        <v>0</v>
      </c>
      <c r="J57" s="113" t="b">
        <f>E57=[2]INDFILTRO!E57</f>
        <v>0</v>
      </c>
      <c r="K57" s="113" t="b">
        <f>F57=[2]INDFILTRO!F57</f>
        <v>1</v>
      </c>
      <c r="L57" s="116" t="str">
        <f t="shared" si="0"/>
        <v>verdadeiro</v>
      </c>
      <c r="M57" s="124">
        <f t="shared" si="1"/>
        <v>166</v>
      </c>
      <c r="R57" s="253" t="b">
        <f t="shared" si="2"/>
        <v>1</v>
      </c>
      <c r="S57" s="253"/>
      <c r="T57" s="253"/>
    </row>
    <row r="58" spans="1:20" s="113" customFormat="1" ht="11.25">
      <c r="A58" s="121">
        <v>167</v>
      </c>
      <c r="B58" s="122" t="str">
        <f>VLOOKUP(A58,[1]INDICE!$A$4:$G$1000,2,0)</f>
        <v>BARRACÃO DE OBRAS P/ALOJAMENTO/ESCRITÓRIO</v>
      </c>
      <c r="C58" s="160" t="str">
        <f>VLOOKUP(A58,[1]INDICE!$A$4:$G$1000,3,0)</f>
        <v>M2</v>
      </c>
      <c r="D58" s="122">
        <f>VLOOKUP(A58,[1]INDICE!$A$4:$G$1000,4,0)</f>
        <v>61.638916999999999</v>
      </c>
      <c r="E58" s="122">
        <f>VLOOKUP(A58,[1]INDICE!$A$4:$G$1000,5,0)</f>
        <v>168.12102499999995</v>
      </c>
      <c r="F58" s="122">
        <f>VLOOKUP(A58,[1]INDICE!$A$4:$G$1000,6,0)</f>
        <v>0</v>
      </c>
      <c r="G58" s="122">
        <f>VLOOKUP(A58,[1]INDICE!$A$4:$G$1000,7,0)</f>
        <v>229.75994199999994</v>
      </c>
      <c r="H58" s="116" t="b">
        <f>A58=[2]INDFILTRO!A58</f>
        <v>0</v>
      </c>
      <c r="I58" s="113" t="b">
        <f>B58=[3]INDFILTRO!B57</f>
        <v>0</v>
      </c>
      <c r="J58" s="113" t="b">
        <f>E58=[2]INDFILTRO!E58</f>
        <v>0</v>
      </c>
      <c r="K58" s="113" t="b">
        <f>F58=[2]INDFILTRO!F58</f>
        <v>1</v>
      </c>
      <c r="L58" s="116" t="str">
        <f t="shared" si="0"/>
        <v>verdadeiro</v>
      </c>
      <c r="M58" s="124">
        <f t="shared" si="1"/>
        <v>167</v>
      </c>
      <c r="R58" s="253" t="b">
        <f t="shared" si="2"/>
        <v>1</v>
      </c>
      <c r="S58" s="253"/>
      <c r="T58" s="253"/>
    </row>
    <row r="59" spans="1:20" s="113" customFormat="1" ht="11.25">
      <c r="A59" s="121">
        <v>168</v>
      </c>
      <c r="B59" s="122" t="str">
        <f>VLOOKUP(A59,[1]INDICE!$A$4:$G$1000,2,0)</f>
        <v>PLACA DE OBRA EM CHAPA DE AÇO GALVANIZADA</v>
      </c>
      <c r="C59" s="160" t="str">
        <f>VLOOKUP(A59,[1]INDICE!$A$4:$G$1000,3,0)</f>
        <v>M2</v>
      </c>
      <c r="D59" s="122">
        <f>VLOOKUP(A59,[1]INDICE!$A$4:$G$1000,4,0)</f>
        <v>3.557544</v>
      </c>
      <c r="E59" s="122">
        <f>VLOOKUP(A59,[1]INDICE!$A$4:$G$1000,5,0)</f>
        <v>143.12637000000001</v>
      </c>
      <c r="F59" s="122">
        <f>VLOOKUP(A59,[1]INDICE!$A$4:$G$1000,6,0)</f>
        <v>0</v>
      </c>
      <c r="G59" s="122">
        <f>VLOOKUP(A59,[1]INDICE!$A$4:$G$1000,7,0)</f>
        <v>146.68391400000002</v>
      </c>
      <c r="H59" s="116" t="b">
        <f>A59=[2]INDFILTRO!A59</f>
        <v>0</v>
      </c>
      <c r="I59" s="113" t="b">
        <f>B59=[3]INDFILTRO!B58</f>
        <v>0</v>
      </c>
      <c r="J59" s="113" t="b">
        <f>E59=[2]INDFILTRO!E59</f>
        <v>0</v>
      </c>
      <c r="K59" s="113" t="b">
        <f>F59=[2]INDFILTRO!F59</f>
        <v>1</v>
      </c>
      <c r="L59" s="116" t="str">
        <f t="shared" si="0"/>
        <v>verdadeiro</v>
      </c>
      <c r="M59" s="124">
        <f t="shared" si="1"/>
        <v>168</v>
      </c>
      <c r="R59" s="253" t="b">
        <f t="shared" si="2"/>
        <v>1</v>
      </c>
      <c r="S59" s="253"/>
      <c r="T59" s="253"/>
    </row>
    <row r="60" spans="1:20" s="113" customFormat="1" ht="11.25">
      <c r="A60" s="121">
        <v>171</v>
      </c>
      <c r="B60" s="122" t="str">
        <f>VLOOKUP(A60,[1]INDICE!$A$4:$G$1000,2,0)</f>
        <v>TRAÇO DE CONCRETO</v>
      </c>
      <c r="C60" s="160" t="str">
        <f>VLOOKUP(A60,[1]INDICE!$A$4:$G$1000,3,0)</f>
        <v>UN</v>
      </c>
      <c r="D60" s="122">
        <f>VLOOKUP(A60,[1]INDICE!$A$4:$G$1000,4,0)</f>
        <v>0</v>
      </c>
      <c r="E60" s="122">
        <f>VLOOKUP(A60,[1]INDICE!$A$4:$G$1000,5,0)</f>
        <v>842.24</v>
      </c>
      <c r="F60" s="122">
        <f>VLOOKUP(A60,[1]INDICE!$A$4:$G$1000,6,0)</f>
        <v>0</v>
      </c>
      <c r="G60" s="122">
        <f>VLOOKUP(A60,[1]INDICE!$A$4:$G$1000,7,0)</f>
        <v>842.24</v>
      </c>
      <c r="H60" s="116" t="b">
        <f>A60=[2]INDFILTRO!A60</f>
        <v>0</v>
      </c>
      <c r="I60" s="113" t="b">
        <f>B60=[3]INDFILTRO!B59</f>
        <v>0</v>
      </c>
      <c r="J60" s="113" t="b">
        <f>E60=[2]INDFILTRO!E60</f>
        <v>0</v>
      </c>
      <c r="K60" s="113" t="b">
        <f>F60=[2]INDFILTRO!F60</f>
        <v>1</v>
      </c>
      <c r="L60" s="116" t="str">
        <f t="shared" si="0"/>
        <v>verdadeiro</v>
      </c>
      <c r="M60" s="124">
        <f t="shared" si="1"/>
        <v>171</v>
      </c>
      <c r="R60" s="253" t="b">
        <f t="shared" si="2"/>
        <v>1</v>
      </c>
      <c r="S60" s="253"/>
      <c r="T60" s="253"/>
    </row>
    <row r="61" spans="1:20" s="113" customFormat="1" ht="11.25">
      <c r="A61" s="121">
        <v>172</v>
      </c>
      <c r="B61" s="122" t="str">
        <f>VLOOKUP(A61,[1]INDICE!$A$4:$G$1000,2,0)</f>
        <v>CORPO DE PROVA</v>
      </c>
      <c r="C61" s="160" t="str">
        <f>VLOOKUP(A61,[1]INDICE!$A$4:$G$1000,3,0)</f>
        <v>UN</v>
      </c>
      <c r="D61" s="122">
        <f>VLOOKUP(A61,[1]INDICE!$A$4:$G$1000,4,0)</f>
        <v>0</v>
      </c>
      <c r="E61" s="122">
        <f>VLOOKUP(A61,[1]INDICE!$A$4:$G$1000,5,0)</f>
        <v>10.8</v>
      </c>
      <c r="F61" s="122">
        <f>VLOOKUP(A61,[1]INDICE!$A$4:$G$1000,6,0)</f>
        <v>0</v>
      </c>
      <c r="G61" s="122">
        <f>VLOOKUP(A61,[1]INDICE!$A$4:$G$1000,7,0)</f>
        <v>10.8</v>
      </c>
      <c r="H61" s="116" t="b">
        <f>A61=[2]INDFILTRO!A61</f>
        <v>0</v>
      </c>
      <c r="I61" s="113" t="b">
        <f>B61=[3]INDFILTRO!B60</f>
        <v>0</v>
      </c>
      <c r="J61" s="113" t="b">
        <f>E61=[2]INDFILTRO!E61</f>
        <v>0</v>
      </c>
      <c r="K61" s="113" t="b">
        <f>F61=[2]INDFILTRO!F61</f>
        <v>1</v>
      </c>
      <c r="L61" s="116" t="str">
        <f t="shared" si="0"/>
        <v>verdadeiro</v>
      </c>
      <c r="M61" s="124">
        <f t="shared" si="1"/>
        <v>172</v>
      </c>
      <c r="R61" s="253" t="b">
        <f t="shared" si="2"/>
        <v>1</v>
      </c>
      <c r="S61" s="253"/>
      <c r="T61" s="253"/>
    </row>
    <row r="62" spans="1:20" s="113" customFormat="1" ht="11.25">
      <c r="A62" s="121">
        <v>174</v>
      </c>
      <c r="B62" s="122" t="str">
        <f>VLOOKUP(A62,[1]INDICE!$A$4:$G$1000,2,0)</f>
        <v>CAIXA P/QUADRO DE COMANDO METÁLICA DE SOBREPOR 80 X70 X 20CM</v>
      </c>
      <c r="C62" s="160" t="str">
        <f>VLOOKUP(A62,[1]INDICE!$A$4:$G$1000,3,0)</f>
        <v>UN</v>
      </c>
      <c r="D62" s="122">
        <f>VLOOKUP(A62,[1]INDICE!$A$4:$G$1000,4,0)</f>
        <v>13.365979999999999</v>
      </c>
      <c r="E62" s="122">
        <f>VLOOKUP(A62,[1]INDICE!$A$4:$G$1000,5,0)</f>
        <v>265.54000000000002</v>
      </c>
      <c r="F62" s="122">
        <f>VLOOKUP(A62,[1]INDICE!$A$4:$G$1000,6,0)</f>
        <v>0</v>
      </c>
      <c r="G62" s="122">
        <f>VLOOKUP(A62,[1]INDICE!$A$4:$G$1000,7,0)</f>
        <v>278.90598</v>
      </c>
      <c r="H62" s="116" t="b">
        <f>A62=[2]INDFILTRO!A62</f>
        <v>0</v>
      </c>
      <c r="I62" s="113" t="b">
        <f>B62=[3]INDFILTRO!B61</f>
        <v>0</v>
      </c>
      <c r="J62" s="113" t="b">
        <f>E62=[2]INDFILTRO!E62</f>
        <v>0</v>
      </c>
      <c r="K62" s="113" t="b">
        <f>F62=[2]INDFILTRO!F62</f>
        <v>1</v>
      </c>
      <c r="L62" s="116" t="str">
        <f t="shared" si="0"/>
        <v>verdadeiro</v>
      </c>
      <c r="M62" s="124">
        <f t="shared" si="1"/>
        <v>174</v>
      </c>
      <c r="R62" s="253" t="b">
        <f t="shared" si="2"/>
        <v>1</v>
      </c>
      <c r="S62" s="253"/>
      <c r="T62" s="253"/>
    </row>
    <row r="63" spans="1:20" s="113" customFormat="1" ht="11.25">
      <c r="A63" s="121">
        <v>175</v>
      </c>
      <c r="B63" s="122" t="str">
        <f>VLOOKUP(A63,[1]INDICE!$A$4:$G$1000,2,0)</f>
        <v>DISJUNTOR TRIPOLAR DE 300 A 350A</v>
      </c>
      <c r="C63" s="160" t="str">
        <f>VLOOKUP(A63,[1]INDICE!$A$4:$G$1000,3,0)</f>
        <v>UN</v>
      </c>
      <c r="D63" s="122">
        <f>VLOOKUP(A63,[1]INDICE!$A$4:$G$1000,4,0)</f>
        <v>34.766999999999996</v>
      </c>
      <c r="E63" s="122">
        <f>VLOOKUP(A63,[1]INDICE!$A$4:$G$1000,5,0)</f>
        <v>1180.74</v>
      </c>
      <c r="F63" s="122">
        <f>VLOOKUP(A63,[1]INDICE!$A$4:$G$1000,6,0)</f>
        <v>0</v>
      </c>
      <c r="G63" s="122">
        <f>VLOOKUP(A63,[1]INDICE!$A$4:$G$1000,7,0)</f>
        <v>1215.5070000000001</v>
      </c>
      <c r="H63" s="116" t="b">
        <f>A63=[2]INDFILTRO!A63</f>
        <v>0</v>
      </c>
      <c r="I63" s="113" t="b">
        <f>B63=[3]INDFILTRO!B62</f>
        <v>0</v>
      </c>
      <c r="J63" s="113" t="b">
        <f>E63=[2]INDFILTRO!E63</f>
        <v>0</v>
      </c>
      <c r="K63" s="113" t="b">
        <f>F63=[2]INDFILTRO!F63</f>
        <v>1</v>
      </c>
      <c r="L63" s="116" t="str">
        <f t="shared" si="0"/>
        <v>verdadeiro</v>
      </c>
      <c r="M63" s="124">
        <f t="shared" si="1"/>
        <v>175</v>
      </c>
      <c r="R63" s="253" t="b">
        <f t="shared" si="2"/>
        <v>1</v>
      </c>
      <c r="S63" s="253"/>
      <c r="T63" s="253"/>
    </row>
    <row r="64" spans="1:20" s="113" customFormat="1" ht="11.25">
      <c r="A64" s="121">
        <v>176</v>
      </c>
      <c r="B64" s="122" t="str">
        <f>VLOOKUP(A64,[1]INDICE!$A$4:$G$1000,2,0)</f>
        <v>TERMINAL DE COMPRESSÃO P/CABO 10MM2</v>
      </c>
      <c r="C64" s="160" t="str">
        <f>VLOOKUP(A64,[1]INDICE!$A$4:$G$1000,3,0)</f>
        <v>UN</v>
      </c>
      <c r="D64" s="122">
        <f>VLOOKUP(A64,[1]INDICE!$A$4:$G$1000,4,0)</f>
        <v>13.520499999999998</v>
      </c>
      <c r="E64" s="122">
        <f>VLOOKUP(A64,[1]INDICE!$A$4:$G$1000,5,0)</f>
        <v>2.92</v>
      </c>
      <c r="F64" s="122">
        <f>VLOOKUP(A64,[1]INDICE!$A$4:$G$1000,6,0)</f>
        <v>0</v>
      </c>
      <c r="G64" s="122">
        <f>VLOOKUP(A64,[1]INDICE!$A$4:$G$1000,7,0)</f>
        <v>16.4405</v>
      </c>
      <c r="H64" s="116" t="b">
        <f>A64=[2]INDFILTRO!A64</f>
        <v>0</v>
      </c>
      <c r="I64" s="113" t="b">
        <f>B64=[3]INDFILTRO!B63</f>
        <v>0</v>
      </c>
      <c r="J64" s="113" t="b">
        <f>E64=[2]INDFILTRO!E64</f>
        <v>0</v>
      </c>
      <c r="K64" s="113" t="b">
        <f>F64=[2]INDFILTRO!F64</f>
        <v>1</v>
      </c>
      <c r="L64" s="116" t="str">
        <f t="shared" si="0"/>
        <v>verdadeiro</v>
      </c>
      <c r="M64" s="124">
        <f t="shared" si="1"/>
        <v>176</v>
      </c>
      <c r="R64" s="253" t="b">
        <f t="shared" si="2"/>
        <v>1</v>
      </c>
      <c r="S64" s="253"/>
      <c r="T64" s="253"/>
    </row>
    <row r="65" spans="1:20" s="113" customFormat="1" ht="11.25">
      <c r="A65" s="121">
        <v>180</v>
      </c>
      <c r="B65" s="122" t="str">
        <f>VLOOKUP(A65,[1]INDICE!$A$4:$G$1000,2,0)</f>
        <v>CAIXA P/QUADRO DE COMANDO METÁLICA DE SOBREPOR 40 X 40 X 15 CM</v>
      </c>
      <c r="C65" s="160" t="str">
        <f>VLOOKUP(A65,[1]INDICE!$A$4:$G$1000,3,0)</f>
        <v>UN</v>
      </c>
      <c r="D65" s="122">
        <f>VLOOKUP(A65,[1]INDICE!$A$4:$G$1000,4,0)</f>
        <v>13.365979999999999</v>
      </c>
      <c r="E65" s="122">
        <f>VLOOKUP(A65,[1]INDICE!$A$4:$G$1000,5,0)</f>
        <v>86.84</v>
      </c>
      <c r="F65" s="122">
        <f>VLOOKUP(A65,[1]INDICE!$A$4:$G$1000,6,0)</f>
        <v>0</v>
      </c>
      <c r="G65" s="122">
        <f>VLOOKUP(A65,[1]INDICE!$A$4:$G$1000,7,0)</f>
        <v>100.20598</v>
      </c>
      <c r="H65" s="116" t="b">
        <f>A65=[2]INDFILTRO!A65</f>
        <v>0</v>
      </c>
      <c r="I65" s="113" t="b">
        <f>B65=[3]INDFILTRO!B64</f>
        <v>0</v>
      </c>
      <c r="J65" s="113" t="b">
        <f>E65=[2]INDFILTRO!E65</f>
        <v>0</v>
      </c>
      <c r="K65" s="113" t="b">
        <f>F65=[2]INDFILTRO!F65</f>
        <v>1</v>
      </c>
      <c r="L65" s="116" t="str">
        <f t="shared" si="0"/>
        <v>verdadeiro</v>
      </c>
      <c r="M65" s="124">
        <f t="shared" si="1"/>
        <v>180</v>
      </c>
      <c r="R65" s="253" t="b">
        <f t="shared" si="2"/>
        <v>1</v>
      </c>
      <c r="S65" s="253"/>
      <c r="T65" s="253"/>
    </row>
    <row r="66" spans="1:20" s="113" customFormat="1" ht="11.25">
      <c r="A66" s="121">
        <v>181</v>
      </c>
      <c r="B66" s="122" t="str">
        <f>VLOOKUP(A66,[1]INDICE!$A$4:$G$1000,2,0)</f>
        <v>TERMINAL DE COMPRESSÃO PARA CABO DE 50MM2</v>
      </c>
      <c r="C66" s="160" t="str">
        <f>VLOOKUP(A66,[1]INDICE!$A$4:$G$1000,3,0)</f>
        <v>UN</v>
      </c>
      <c r="D66" s="122">
        <f>VLOOKUP(A66,[1]INDICE!$A$4:$G$1000,4,0)</f>
        <v>15.452</v>
      </c>
      <c r="E66" s="122">
        <f>VLOOKUP(A66,[1]INDICE!$A$4:$G$1000,5,0)</f>
        <v>5.07</v>
      </c>
      <c r="F66" s="122">
        <f>VLOOKUP(A66,[1]INDICE!$A$4:$G$1000,6,0)</f>
        <v>0</v>
      </c>
      <c r="G66" s="122">
        <f>VLOOKUP(A66,[1]INDICE!$A$4:$G$1000,7,0)</f>
        <v>20.521999999999998</v>
      </c>
      <c r="H66" s="116" t="b">
        <f>A66=[2]INDFILTRO!A66</f>
        <v>0</v>
      </c>
      <c r="I66" s="113" t="b">
        <f>B66=[3]INDFILTRO!B65</f>
        <v>0</v>
      </c>
      <c r="J66" s="113" t="b">
        <f>E66=[2]INDFILTRO!E66</f>
        <v>0</v>
      </c>
      <c r="K66" s="113" t="b">
        <f>F66=[2]INDFILTRO!F66</f>
        <v>1</v>
      </c>
      <c r="L66" s="116" t="str">
        <f t="shared" si="0"/>
        <v>verdadeiro</v>
      </c>
      <c r="M66" s="124">
        <f t="shared" si="1"/>
        <v>181</v>
      </c>
      <c r="R66" s="253" t="b">
        <f t="shared" si="2"/>
        <v>1</v>
      </c>
      <c r="S66" s="253"/>
      <c r="T66" s="253"/>
    </row>
    <row r="67" spans="1:20" s="113" customFormat="1" ht="11.25">
      <c r="A67" s="121">
        <v>188</v>
      </c>
      <c r="B67" s="122" t="str">
        <f>VLOOKUP(A67,[1]INDICE!$A$4:$G$1000,2,0)</f>
        <v>TERMINAL DE COMPRESSÃO P/CABO 120MM2</v>
      </c>
      <c r="C67" s="160" t="str">
        <f>VLOOKUP(A67,[1]INDICE!$A$4:$G$1000,3,0)</f>
        <v>UN</v>
      </c>
      <c r="D67" s="122">
        <f>VLOOKUP(A67,[1]INDICE!$A$4:$G$1000,4,0)</f>
        <v>17.383499999999998</v>
      </c>
      <c r="E67" s="122">
        <f>VLOOKUP(A67,[1]INDICE!$A$4:$G$1000,5,0)</f>
        <v>13.66</v>
      </c>
      <c r="F67" s="122">
        <f>VLOOKUP(A67,[1]INDICE!$A$4:$G$1000,6,0)</f>
        <v>0</v>
      </c>
      <c r="G67" s="122">
        <f>VLOOKUP(A67,[1]INDICE!$A$4:$G$1000,7,0)</f>
        <v>31.043499999999998</v>
      </c>
      <c r="H67" s="116" t="b">
        <f>A67=[2]INDFILTRO!A67</f>
        <v>0</v>
      </c>
      <c r="I67" s="113" t="b">
        <f>B67=[3]INDFILTRO!B66</f>
        <v>0</v>
      </c>
      <c r="J67" s="113" t="b">
        <f>E67=[2]INDFILTRO!E67</f>
        <v>0</v>
      </c>
      <c r="K67" s="113" t="b">
        <f>F67=[2]INDFILTRO!F67</f>
        <v>1</v>
      </c>
      <c r="L67" s="116" t="str">
        <f t="shared" si="0"/>
        <v>verdadeiro</v>
      </c>
      <c r="M67" s="124">
        <f t="shared" si="1"/>
        <v>188</v>
      </c>
      <c r="R67" s="253" t="b">
        <f t="shared" si="2"/>
        <v>1</v>
      </c>
      <c r="S67" s="253"/>
      <c r="T67" s="253"/>
    </row>
    <row r="68" spans="1:20" s="113" customFormat="1" ht="11.25">
      <c r="A68" s="121">
        <v>192</v>
      </c>
      <c r="B68" s="122" t="str">
        <f>VLOOKUP(A68,[1]INDICE!$A$4:$G$1000,2,0)</f>
        <v>CAIXA METÁLICA PARA MEDIDOR POLIFÁSICO</v>
      </c>
      <c r="C68" s="160" t="str">
        <f>VLOOKUP(A68,[1]INDICE!$A$4:$G$1000,3,0)</f>
        <v>UN</v>
      </c>
      <c r="D68" s="122">
        <f>VLOOKUP(A68,[1]INDICE!$A$4:$G$1000,4,0)</f>
        <v>30.544899999999998</v>
      </c>
      <c r="E68" s="122">
        <f>VLOOKUP(A68,[1]INDICE!$A$4:$G$1000,5,0)</f>
        <v>199.53900000000002</v>
      </c>
      <c r="F68" s="122">
        <f>VLOOKUP(A68,[1]INDICE!$A$4:$G$1000,6,0)</f>
        <v>0</v>
      </c>
      <c r="G68" s="122">
        <f>VLOOKUP(A68,[1]INDICE!$A$4:$G$1000,7,0)</f>
        <v>230.08390000000003</v>
      </c>
      <c r="H68" s="116" t="b">
        <f>A68=[2]INDFILTRO!A68</f>
        <v>0</v>
      </c>
      <c r="I68" s="113" t="b">
        <f>B68=[3]INDFILTRO!B67</f>
        <v>0</v>
      </c>
      <c r="J68" s="113" t="b">
        <f>E68=[2]INDFILTRO!E68</f>
        <v>0</v>
      </c>
      <c r="K68" s="113" t="b">
        <f>F68=[2]INDFILTRO!F68</f>
        <v>1</v>
      </c>
      <c r="L68" s="116" t="str">
        <f t="shared" si="0"/>
        <v>verdadeiro</v>
      </c>
      <c r="M68" s="124">
        <f t="shared" si="1"/>
        <v>192</v>
      </c>
      <c r="R68" s="253" t="b">
        <f t="shared" si="2"/>
        <v>1</v>
      </c>
      <c r="S68" s="253"/>
      <c r="T68" s="253"/>
    </row>
    <row r="69" spans="1:20" s="113" customFormat="1" ht="11.25">
      <c r="A69" s="121">
        <v>227</v>
      </c>
      <c r="B69" s="122" t="str">
        <f>VLOOKUP(A69,[1]INDICE!$A$4:$G$1000,2,0)</f>
        <v>GRADE METÁLICA PARA J1/J7/J16 – 180X136 CM</v>
      </c>
      <c r="C69" s="160" t="str">
        <f>VLOOKUP(A69,[1]INDICE!$A$4:$G$1000,3,0)</f>
        <v>M2</v>
      </c>
      <c r="D69" s="122">
        <f>VLOOKUP(A69,[1]INDICE!$A$4:$G$1000,4,0)</f>
        <v>39.801400000000001</v>
      </c>
      <c r="E69" s="122">
        <f>VLOOKUP(A69,[1]INDICE!$A$4:$G$1000,5,0)</f>
        <v>135.8090602</v>
      </c>
      <c r="F69" s="122">
        <f>VLOOKUP(A69,[1]INDICE!$A$4:$G$1000,6,0)</f>
        <v>0</v>
      </c>
      <c r="G69" s="122">
        <f>VLOOKUP(A69,[1]INDICE!$A$4:$G$1000,7,0)</f>
        <v>175.61046020000001</v>
      </c>
      <c r="H69" s="116" t="b">
        <f>A69=[2]INDFILTRO!A69</f>
        <v>0</v>
      </c>
      <c r="I69" s="113" t="b">
        <f>B69=[3]INDFILTRO!B68</f>
        <v>0</v>
      </c>
      <c r="J69" s="113" t="b">
        <f>E69=[2]INDFILTRO!E69</f>
        <v>0</v>
      </c>
      <c r="K69" s="113" t="b">
        <f>F69=[2]INDFILTRO!F69</f>
        <v>1</v>
      </c>
      <c r="L69" s="116" t="str">
        <f t="shared" si="0"/>
        <v>verdadeiro</v>
      </c>
      <c r="M69" s="124">
        <f t="shared" si="1"/>
        <v>227</v>
      </c>
      <c r="R69" s="253" t="b">
        <f t="shared" ref="R69:R132" si="3">(D69+E69+F69)=G69</f>
        <v>1</v>
      </c>
      <c r="S69" s="253"/>
      <c r="T69" s="253"/>
    </row>
    <row r="70" spans="1:20" s="113" customFormat="1" ht="11.25">
      <c r="A70" s="121">
        <v>230</v>
      </c>
      <c r="B70" s="122" t="str">
        <f>VLOOKUP(A70,[1]INDICE!$A$4:$G$1000,2,0)</f>
        <v>PINTURA ESMALTE ESQUADRIAS METÁLICAS</v>
      </c>
      <c r="C70" s="160" t="str">
        <f>VLOOKUP(A70,[1]INDICE!$A$4:$G$1000,3,0)</f>
        <v>M2</v>
      </c>
      <c r="D70" s="122">
        <f>VLOOKUP(A70,[1]INDICE!$A$4:$G$1000,4,0)</f>
        <v>15.073703000000002</v>
      </c>
      <c r="E70" s="122">
        <f>VLOOKUP(A70,[1]INDICE!$A$4:$G$1000,5,0)</f>
        <v>7.2764049999999996</v>
      </c>
      <c r="F70" s="122">
        <f>VLOOKUP(A70,[1]INDICE!$A$4:$G$1000,6,0)</f>
        <v>0</v>
      </c>
      <c r="G70" s="122">
        <f>VLOOKUP(A70,[1]INDICE!$A$4:$G$1000,7,0)</f>
        <v>22.350108000000002</v>
      </c>
      <c r="H70" s="116" t="b">
        <f>A70=[2]INDFILTRO!A70</f>
        <v>0</v>
      </c>
      <c r="I70" s="113" t="b">
        <f>B70=[3]INDFILTRO!B69</f>
        <v>0</v>
      </c>
      <c r="J70" s="113" t="b">
        <f>E70=[2]INDFILTRO!E70</f>
        <v>0</v>
      </c>
      <c r="K70" s="113" t="b">
        <f>F70=[2]INDFILTRO!F70</f>
        <v>1</v>
      </c>
      <c r="L70" s="116" t="str">
        <f t="shared" ref="L70:L133" si="4">IF(D70+E70+F70=G70,"verdadeiro")</f>
        <v>verdadeiro</v>
      </c>
      <c r="M70" s="124">
        <f t="shared" ref="M70:M133" si="5">A70</f>
        <v>230</v>
      </c>
      <c r="R70" s="253" t="b">
        <f t="shared" si="3"/>
        <v>1</v>
      </c>
      <c r="S70" s="253"/>
      <c r="T70" s="253"/>
    </row>
    <row r="71" spans="1:20" s="113" customFormat="1" ht="11.25">
      <c r="A71" s="121">
        <v>231</v>
      </c>
      <c r="B71" s="122" t="str">
        <f>VLOOKUP(A71,[1]INDICE!$A$4:$G$1000,2,0)</f>
        <v>MASTROS PARA BANDEIRAS EM FERRO GALVANIZADO (ASSENTADOS/PINTADOS) - 3 UNIDADES</v>
      </c>
      <c r="C71" s="160" t="str">
        <f>VLOOKUP(A71,[1]INDICE!$A$4:$G$1000,3,0)</f>
        <v>CJ</v>
      </c>
      <c r="D71" s="122">
        <f>VLOOKUP(A71,[1]INDICE!$A$4:$G$1000,4,0)</f>
        <v>104.94967700000001</v>
      </c>
      <c r="E71" s="122">
        <f>VLOOKUP(A71,[1]INDICE!$A$4:$G$1000,5,0)</f>
        <v>922.46763899999985</v>
      </c>
      <c r="F71" s="122">
        <f>VLOOKUP(A71,[1]INDICE!$A$4:$G$1000,6,0)</f>
        <v>0</v>
      </c>
      <c r="G71" s="122">
        <f>VLOOKUP(A71,[1]INDICE!$A$4:$G$1000,7,0)</f>
        <v>1027.4173159999998</v>
      </c>
      <c r="H71" s="116" t="b">
        <f>A71=[2]INDFILTRO!A71</f>
        <v>0</v>
      </c>
      <c r="I71" s="113" t="b">
        <f>B71=[3]INDFILTRO!B70</f>
        <v>0</v>
      </c>
      <c r="J71" s="113" t="b">
        <f>E71=[2]INDFILTRO!E71</f>
        <v>0</v>
      </c>
      <c r="K71" s="113" t="b">
        <f>F71=[2]INDFILTRO!F71</f>
        <v>1</v>
      </c>
      <c r="L71" s="116" t="str">
        <f t="shared" si="4"/>
        <v>verdadeiro</v>
      </c>
      <c r="M71" s="124">
        <f t="shared" si="5"/>
        <v>231</v>
      </c>
      <c r="R71" s="253" t="b">
        <f t="shared" si="3"/>
        <v>1</v>
      </c>
      <c r="S71" s="253"/>
      <c r="T71" s="253"/>
    </row>
    <row r="72" spans="1:20" s="113" customFormat="1" ht="11.25">
      <c r="A72" s="121">
        <v>232</v>
      </c>
      <c r="B72" s="122" t="str">
        <f>VLOOKUP(A72,[1]INDICE!$A$4:$G$1000,2,0)</f>
        <v>PLACA DE INAUGURAÇÃO AÇO ESCOVADO 60 X 120 CM</v>
      </c>
      <c r="C72" s="160" t="str">
        <f>VLOOKUP(A72,[1]INDICE!$A$4:$G$1000,3,0)</f>
        <v>UN</v>
      </c>
      <c r="D72" s="122">
        <f>VLOOKUP(A72,[1]INDICE!$A$4:$G$1000,4,0)</f>
        <v>5.4249999999999998</v>
      </c>
      <c r="E72" s="122">
        <f>VLOOKUP(A72,[1]INDICE!$A$4:$G$1000,5,0)</f>
        <v>1058.8400000000001</v>
      </c>
      <c r="F72" s="122">
        <f>VLOOKUP(A72,[1]INDICE!$A$4:$G$1000,6,0)</f>
        <v>0</v>
      </c>
      <c r="G72" s="122">
        <f>VLOOKUP(A72,[1]INDICE!$A$4:$G$1000,7,0)</f>
        <v>1064.2650000000001</v>
      </c>
      <c r="H72" s="116" t="b">
        <f>A72=[2]INDFILTRO!A72</f>
        <v>0</v>
      </c>
      <c r="I72" s="113" t="b">
        <f>B72=[3]INDFILTRO!B71</f>
        <v>0</v>
      </c>
      <c r="J72" s="113" t="b">
        <f>E72=[2]INDFILTRO!E72</f>
        <v>0</v>
      </c>
      <c r="K72" s="113" t="b">
        <f>F72=[2]INDFILTRO!F72</f>
        <v>1</v>
      </c>
      <c r="L72" s="116" t="str">
        <f t="shared" si="4"/>
        <v>verdadeiro</v>
      </c>
      <c r="M72" s="124">
        <f t="shared" si="5"/>
        <v>232</v>
      </c>
      <c r="R72" s="253" t="b">
        <f t="shared" si="3"/>
        <v>1</v>
      </c>
      <c r="S72" s="253"/>
      <c r="T72" s="253"/>
    </row>
    <row r="73" spans="1:20" s="113" customFormat="1" ht="11.25">
      <c r="A73" s="123">
        <v>235</v>
      </c>
      <c r="B73" s="122" t="str">
        <f>VLOOKUP(A73,[1]INDICE!$A$4:$G$1000,2,0)</f>
        <v>PALMEIRA ARECA BAMBÚ – H 3,00 MT</v>
      </c>
      <c r="C73" s="160" t="str">
        <f>VLOOKUP(A73,[1]INDICE!$A$4:$G$1000,3,0)</f>
        <v>UN</v>
      </c>
      <c r="D73" s="122">
        <f>VLOOKUP(A73,[1]INDICE!$A$4:$G$1000,4,0)</f>
        <v>88.744889999999998</v>
      </c>
      <c r="E73" s="122">
        <f>VLOOKUP(A73,[1]INDICE!$A$4:$G$1000,5,0)</f>
        <v>102.5</v>
      </c>
      <c r="F73" s="122">
        <f>VLOOKUP(A73,[1]INDICE!$A$4:$G$1000,6,0)</f>
        <v>0</v>
      </c>
      <c r="G73" s="122">
        <f>VLOOKUP(A73,[1]INDICE!$A$4:$G$1000,7,0)</f>
        <v>191.24489</v>
      </c>
      <c r="H73" s="116" t="b">
        <f>A73=[2]INDFILTRO!A73</f>
        <v>0</v>
      </c>
      <c r="I73" s="113" t="b">
        <f>B73=[3]INDFILTRO!B72</f>
        <v>0</v>
      </c>
      <c r="J73" s="113" t="b">
        <f>E73=[2]INDFILTRO!E73</f>
        <v>0</v>
      </c>
      <c r="K73" s="113" t="b">
        <f>F73=[2]INDFILTRO!F73</f>
        <v>1</v>
      </c>
      <c r="L73" s="116" t="str">
        <f t="shared" si="4"/>
        <v>verdadeiro</v>
      </c>
      <c r="M73" s="124">
        <f t="shared" si="5"/>
        <v>235</v>
      </c>
      <c r="R73" s="253" t="b">
        <f t="shared" si="3"/>
        <v>1</v>
      </c>
      <c r="S73" s="253"/>
      <c r="T73" s="253"/>
    </row>
    <row r="74" spans="1:20" s="113" customFormat="1" ht="11.25">
      <c r="A74" s="121">
        <v>239</v>
      </c>
      <c r="B74" s="122" t="str">
        <f>VLOOKUP(A74,[1]INDICE!$A$4:$G$1000,2,0)</f>
        <v>ANDAIME FACHADEIRO</v>
      </c>
      <c r="C74" s="160" t="str">
        <f>VLOOKUP(A74,[1]INDICE!$A$4:$G$1000,3,0)</f>
        <v>M2</v>
      </c>
      <c r="D74" s="122">
        <f>VLOOKUP(A74,[1]INDICE!$A$4:$G$1000,4,0)</f>
        <v>4.5304000000000002</v>
      </c>
      <c r="E74" s="122">
        <f>VLOOKUP(A74,[1]INDICE!$A$4:$G$1000,5,0)</f>
        <v>4.1097000000000001</v>
      </c>
      <c r="F74" s="122">
        <f>VLOOKUP(A74,[1]INDICE!$A$4:$G$1000,6,0)</f>
        <v>0</v>
      </c>
      <c r="G74" s="122">
        <f>VLOOKUP(A74,[1]INDICE!$A$4:$G$1000,7,0)</f>
        <v>8.6401000000000003</v>
      </c>
      <c r="H74" s="116" t="b">
        <f>A74=[2]INDFILTRO!A74</f>
        <v>0</v>
      </c>
      <c r="I74" s="113" t="b">
        <f>B74=[3]INDFILTRO!B73</f>
        <v>0</v>
      </c>
      <c r="J74" s="113" t="b">
        <f>E74=[2]INDFILTRO!E74</f>
        <v>0</v>
      </c>
      <c r="K74" s="113" t="b">
        <f>F74=[2]INDFILTRO!F74</f>
        <v>1</v>
      </c>
      <c r="L74" s="116" t="str">
        <f t="shared" si="4"/>
        <v>verdadeiro</v>
      </c>
      <c r="M74" s="124">
        <f t="shared" si="5"/>
        <v>239</v>
      </c>
      <c r="R74" s="253" t="b">
        <f t="shared" si="3"/>
        <v>1</v>
      </c>
      <c r="S74" s="253"/>
      <c r="T74" s="253"/>
    </row>
    <row r="75" spans="1:20" s="113" customFormat="1" ht="11.25">
      <c r="A75" s="121">
        <v>244</v>
      </c>
      <c r="B75" s="122" t="str">
        <f>VLOOKUP(A75,[1]INDICE!$A$4:$G$1000,2,0)</f>
        <v>ARAME GALVANIZADO 12 BWG, D = 2,76 MM (0,048 KG/M) OU 14 BWG, D = 2,11 MM (0,026KG/M)</v>
      </c>
      <c r="C75" s="160" t="str">
        <f>VLOOKUP(A75,[1]INDICE!$A$4:$G$1000,3,0)</f>
        <v>KG</v>
      </c>
      <c r="D75" s="122">
        <f>VLOOKUP(A75,[1]INDICE!$A$4:$G$1000,4,0)</f>
        <v>35.025821000000001</v>
      </c>
      <c r="E75" s="122">
        <f>VLOOKUP(A75,[1]INDICE!$A$4:$G$1000,5,0)</f>
        <v>15</v>
      </c>
      <c r="F75" s="122">
        <f>VLOOKUP(A75,[1]INDICE!$A$4:$G$1000,6,0)</f>
        <v>0</v>
      </c>
      <c r="G75" s="122">
        <f>VLOOKUP(A75,[1]INDICE!$A$4:$G$1000,7,0)</f>
        <v>50.025821000000001</v>
      </c>
      <c r="H75" s="116" t="b">
        <f>A75=[2]INDFILTRO!A75</f>
        <v>0</v>
      </c>
      <c r="I75" s="113" t="b">
        <f>B75=[3]INDFILTRO!B74</f>
        <v>0</v>
      </c>
      <c r="J75" s="113" t="b">
        <f>E75=[2]INDFILTRO!E75</f>
        <v>0</v>
      </c>
      <c r="K75" s="113" t="b">
        <f>F75=[2]INDFILTRO!F75</f>
        <v>1</v>
      </c>
      <c r="L75" s="116" t="str">
        <f t="shared" si="4"/>
        <v>verdadeiro</v>
      </c>
      <c r="M75" s="124">
        <f t="shared" si="5"/>
        <v>244</v>
      </c>
      <c r="R75" s="253" t="b">
        <f t="shared" si="3"/>
        <v>1</v>
      </c>
      <c r="S75" s="253"/>
      <c r="T75" s="253"/>
    </row>
    <row r="76" spans="1:20" s="113" customFormat="1" ht="11.25">
      <c r="A76" s="121">
        <v>246</v>
      </c>
      <c r="B76" s="122" t="str">
        <f>VLOOKUP(A76,[1]INDICE!$A$4:$G$1000,2,0)</f>
        <v>BUCHA E ARRUELA METALICA DIAM. 4"</v>
      </c>
      <c r="C76" s="160" t="str">
        <f>VLOOKUP(A76,[1]INDICE!$A$4:$G$1000,3,0)</f>
        <v>UN</v>
      </c>
      <c r="D76" s="122">
        <f>VLOOKUP(A76,[1]INDICE!$A$4:$G$1000,4,0)</f>
        <v>9.6574999999999989</v>
      </c>
      <c r="E76" s="122">
        <f>VLOOKUP(A76,[1]INDICE!$A$4:$G$1000,5,0)</f>
        <v>5.79</v>
      </c>
      <c r="F76" s="122">
        <f>VLOOKUP(A76,[1]INDICE!$A$4:$G$1000,6,0)</f>
        <v>0</v>
      </c>
      <c r="G76" s="122">
        <f>VLOOKUP(A76,[1]INDICE!$A$4:$G$1000,7,0)</f>
        <v>15.447499999999998</v>
      </c>
      <c r="H76" s="116" t="b">
        <f>A76=[2]INDFILTRO!A76</f>
        <v>0</v>
      </c>
      <c r="I76" s="113" t="b">
        <f>B76=[3]INDFILTRO!B75</f>
        <v>0</v>
      </c>
      <c r="J76" s="113" t="b">
        <f>E76=[2]INDFILTRO!E76</f>
        <v>0</v>
      </c>
      <c r="K76" s="113" t="b">
        <f>F76=[2]INDFILTRO!F76</f>
        <v>1</v>
      </c>
      <c r="L76" s="116" t="str">
        <f t="shared" si="4"/>
        <v>verdadeiro</v>
      </c>
      <c r="M76" s="124">
        <f t="shared" si="5"/>
        <v>246</v>
      </c>
      <c r="R76" s="253" t="b">
        <f t="shared" si="3"/>
        <v>1</v>
      </c>
      <c r="S76" s="253"/>
      <c r="T76" s="253"/>
    </row>
    <row r="77" spans="1:20" s="113" customFormat="1" ht="11.25">
      <c r="A77" s="121">
        <v>250</v>
      </c>
      <c r="B77" s="122" t="str">
        <f>VLOOKUP(A77,[1]INDICE!$A$4:$G$1000,2,0)</f>
        <v>CURVA 90 GRAUS DE FERRO GALVANIZADO, COM ROSCA BSP FEMEA, DE 4"</v>
      </c>
      <c r="C77" s="160" t="str">
        <f>VLOOKUP(A77,[1]INDICE!$A$4:$G$1000,3,0)</f>
        <v>UN</v>
      </c>
      <c r="D77" s="122">
        <f>VLOOKUP(A77,[1]INDICE!$A$4:$G$1000,4,0)</f>
        <v>69.533999999999992</v>
      </c>
      <c r="E77" s="122">
        <f>VLOOKUP(A77,[1]INDICE!$A$4:$G$1000,5,0)</f>
        <v>434.54</v>
      </c>
      <c r="F77" s="122">
        <f>VLOOKUP(A77,[1]INDICE!$A$4:$G$1000,6,0)</f>
        <v>0</v>
      </c>
      <c r="G77" s="122">
        <f>VLOOKUP(A77,[1]INDICE!$A$4:$G$1000,7,0)</f>
        <v>504.07400000000001</v>
      </c>
      <c r="H77" s="116" t="b">
        <f>A77=[2]INDFILTRO!A77</f>
        <v>0</v>
      </c>
      <c r="I77" s="113" t="b">
        <f>B77=[3]INDFILTRO!B76</f>
        <v>0</v>
      </c>
      <c r="J77" s="113" t="b">
        <f>E77=[2]INDFILTRO!E77</f>
        <v>0</v>
      </c>
      <c r="K77" s="113" t="b">
        <f>F77=[2]INDFILTRO!F77</f>
        <v>1</v>
      </c>
      <c r="L77" s="116" t="str">
        <f t="shared" si="4"/>
        <v>verdadeiro</v>
      </c>
      <c r="M77" s="124">
        <f t="shared" si="5"/>
        <v>250</v>
      </c>
      <c r="R77" s="253" t="b">
        <f t="shared" si="3"/>
        <v>1</v>
      </c>
      <c r="S77" s="253"/>
      <c r="T77" s="253"/>
    </row>
    <row r="78" spans="1:20" s="113" customFormat="1" ht="11.25">
      <c r="A78" s="121">
        <v>251</v>
      </c>
      <c r="B78" s="122" t="str">
        <f>VLOOKUP(A78,[1]INDICE!$A$4:$G$1000,2,0)</f>
        <v>PORCA OLHAL EM ACO GALVANIZADO, DIAMETRO NOMINAL DE 16 MM</v>
      </c>
      <c r="C78" s="160" t="str">
        <f>VLOOKUP(A78,[1]INDICE!$A$4:$G$1000,3,0)</f>
        <v>UN</v>
      </c>
      <c r="D78" s="122">
        <f>VLOOKUP(A78,[1]INDICE!$A$4:$G$1000,4,0)</f>
        <v>11.588999999999999</v>
      </c>
      <c r="E78" s="122">
        <f>VLOOKUP(A78,[1]INDICE!$A$4:$G$1000,5,0)</f>
        <v>7.85</v>
      </c>
      <c r="F78" s="122">
        <f>VLOOKUP(A78,[1]INDICE!$A$4:$G$1000,6,0)</f>
        <v>0</v>
      </c>
      <c r="G78" s="122">
        <f>VLOOKUP(A78,[1]INDICE!$A$4:$G$1000,7,0)</f>
        <v>19.439</v>
      </c>
      <c r="H78" s="116" t="b">
        <f>A78=[2]INDFILTRO!A78</f>
        <v>0</v>
      </c>
      <c r="I78" s="113" t="b">
        <f>B78=[3]INDFILTRO!B77</f>
        <v>0</v>
      </c>
      <c r="J78" s="113" t="b">
        <f>E78=[2]INDFILTRO!E78</f>
        <v>0</v>
      </c>
      <c r="K78" s="113" t="b">
        <f>F78=[2]INDFILTRO!F78</f>
        <v>1</v>
      </c>
      <c r="L78" s="116" t="str">
        <f t="shared" si="4"/>
        <v>verdadeiro</v>
      </c>
      <c r="M78" s="124">
        <f t="shared" si="5"/>
        <v>251</v>
      </c>
      <c r="R78" s="253" t="b">
        <f t="shared" si="3"/>
        <v>1</v>
      </c>
      <c r="S78" s="253"/>
      <c r="T78" s="253"/>
    </row>
    <row r="79" spans="1:20" s="113" customFormat="1" ht="22.5">
      <c r="A79" s="121">
        <v>255</v>
      </c>
      <c r="B79" s="122" t="str">
        <f>VLOOKUP(A79,[1]INDICE!$A$4:$G$1000,2,0)</f>
        <v xml:space="preserve">PARA-RAIOS DE DISTRIBUICAO, TENSAO NOMINAL 15 KV, CORRENTE NOMINAL DE DESCARGA 5 KA
</v>
      </c>
      <c r="C79" s="160" t="str">
        <f>VLOOKUP(A79,[1]INDICE!$A$4:$G$1000,3,0)</f>
        <v>UN</v>
      </c>
      <c r="D79" s="122">
        <f>VLOOKUP(A79,[1]INDICE!$A$4:$G$1000,4,0)</f>
        <v>57.945</v>
      </c>
      <c r="E79" s="122">
        <f>VLOOKUP(A79,[1]INDICE!$A$4:$G$1000,5,0)</f>
        <v>228.45</v>
      </c>
      <c r="F79" s="122">
        <f>VLOOKUP(A79,[1]INDICE!$A$4:$G$1000,6,0)</f>
        <v>0</v>
      </c>
      <c r="G79" s="122">
        <f>VLOOKUP(A79,[1]INDICE!$A$4:$G$1000,7,0)</f>
        <v>286.39499999999998</v>
      </c>
      <c r="H79" s="116" t="b">
        <f>A79=[2]INDFILTRO!A79</f>
        <v>0</v>
      </c>
      <c r="I79" s="113" t="b">
        <f>B79=[3]INDFILTRO!B78</f>
        <v>0</v>
      </c>
      <c r="J79" s="113" t="b">
        <f>E79=[2]INDFILTRO!E79</f>
        <v>0</v>
      </c>
      <c r="K79" s="113" t="b">
        <f>F79=[2]INDFILTRO!F79</f>
        <v>1</v>
      </c>
      <c r="L79" s="116" t="str">
        <f t="shared" si="4"/>
        <v>verdadeiro</v>
      </c>
      <c r="M79" s="124">
        <f t="shared" si="5"/>
        <v>255</v>
      </c>
      <c r="R79" s="253" t="b">
        <f t="shared" si="3"/>
        <v>1</v>
      </c>
      <c r="S79" s="253"/>
      <c r="T79" s="253"/>
    </row>
    <row r="80" spans="1:20" s="113" customFormat="1" ht="11.25">
      <c r="A80" s="121">
        <v>257</v>
      </c>
      <c r="B80" s="122" t="str">
        <f>VLOOKUP(A80,[1]INDICE!$A$4:$G$1000,2,0)</f>
        <v>BUCHA DE REDUCAO DE PVC, SOLDAVEL, CURTA, COM 60 X 50 MM, PARA AGUA FRIA PREDIAL</v>
      </c>
      <c r="C80" s="160" t="str">
        <f>VLOOKUP(A80,[1]INDICE!$A$4:$G$1000,3,0)</f>
        <v>UN</v>
      </c>
      <c r="D80" s="122">
        <f>VLOOKUP(A80,[1]INDICE!$A$4:$G$1000,4,0)</f>
        <v>6.7392000000000003</v>
      </c>
      <c r="E80" s="122">
        <f>VLOOKUP(A80,[1]INDICE!$A$4:$G$1000,5,0)</f>
        <v>4.4000000000000004</v>
      </c>
      <c r="F80" s="122">
        <f>VLOOKUP(A80,[1]INDICE!$A$4:$G$1000,6,0)</f>
        <v>0</v>
      </c>
      <c r="G80" s="122">
        <f>VLOOKUP(A80,[1]INDICE!$A$4:$G$1000,7,0)</f>
        <v>11.139200000000001</v>
      </c>
      <c r="H80" s="116" t="b">
        <f>A80=[2]INDFILTRO!A80</f>
        <v>0</v>
      </c>
      <c r="I80" s="113" t="b">
        <f>B80=[3]INDFILTRO!B79</f>
        <v>0</v>
      </c>
      <c r="J80" s="113" t="b">
        <f>E80=[2]INDFILTRO!E80</f>
        <v>0</v>
      </c>
      <c r="K80" s="113" t="b">
        <f>F80=[2]INDFILTRO!F80</f>
        <v>1</v>
      </c>
      <c r="L80" s="116" t="str">
        <f t="shared" si="4"/>
        <v>verdadeiro</v>
      </c>
      <c r="M80" s="124">
        <f t="shared" si="5"/>
        <v>257</v>
      </c>
      <c r="R80" s="253" t="b">
        <f t="shared" si="3"/>
        <v>1</v>
      </c>
      <c r="S80" s="253"/>
      <c r="T80" s="253"/>
    </row>
    <row r="81" spans="1:20" s="113" customFormat="1" ht="22.5">
      <c r="A81" s="121">
        <v>258</v>
      </c>
      <c r="B81" s="122" t="str">
        <f>VLOOKUP(A81,[1]INDICE!$A$4:$G$1000,2,0)</f>
        <v>BUCHA DE REDUCAO DE PVC, SOLDAVEL, CURTA, COM 75 X 60 MM, PARA AGUA FRIA UN 13,27
PREDIAL</v>
      </c>
      <c r="C81" s="160" t="str">
        <f>VLOOKUP(A81,[1]INDICE!$A$4:$G$1000,3,0)</f>
        <v>UN</v>
      </c>
      <c r="D81" s="122">
        <f>VLOOKUP(A81,[1]INDICE!$A$4:$G$1000,4,0)</f>
        <v>6.9264000000000001</v>
      </c>
      <c r="E81" s="122">
        <f>VLOOKUP(A81,[1]INDICE!$A$4:$G$1000,5,0)</f>
        <v>13.27</v>
      </c>
      <c r="F81" s="122">
        <f>VLOOKUP(A81,[1]INDICE!$A$4:$G$1000,6,0)</f>
        <v>0</v>
      </c>
      <c r="G81" s="122">
        <f>VLOOKUP(A81,[1]INDICE!$A$4:$G$1000,7,0)</f>
        <v>20.196400000000001</v>
      </c>
      <c r="H81" s="116" t="b">
        <f>A81=[2]INDFILTRO!A81</f>
        <v>0</v>
      </c>
      <c r="I81" s="113" t="b">
        <f>B81=[3]INDFILTRO!B80</f>
        <v>0</v>
      </c>
      <c r="J81" s="113" t="b">
        <f>E81=[2]INDFILTRO!E81</f>
        <v>0</v>
      </c>
      <c r="K81" s="113" t="b">
        <f>F81=[2]INDFILTRO!F81</f>
        <v>1</v>
      </c>
      <c r="L81" s="116" t="str">
        <f t="shared" si="4"/>
        <v>verdadeiro</v>
      </c>
      <c r="M81" s="124">
        <f t="shared" si="5"/>
        <v>258</v>
      </c>
      <c r="R81" s="253" t="b">
        <f t="shared" si="3"/>
        <v>1</v>
      </c>
      <c r="S81" s="253"/>
      <c r="T81" s="253"/>
    </row>
    <row r="82" spans="1:20" s="113" customFormat="1" ht="11.25">
      <c r="A82" s="121">
        <v>267</v>
      </c>
      <c r="B82" s="122" t="str">
        <f>VLOOKUP(A82,[1]INDICE!$A$4:$G$1000,2,0)</f>
        <v>REGISTRO GLOBO ANGULAR 2.1/2"</v>
      </c>
      <c r="C82" s="160" t="str">
        <f>VLOOKUP(A82,[1]INDICE!$A$4:$G$1000,3,0)</f>
        <v>UN</v>
      </c>
      <c r="D82" s="122">
        <f>VLOOKUP(A82,[1]INDICE!$A$4:$G$1000,4,0)</f>
        <v>18.72</v>
      </c>
      <c r="E82" s="122">
        <f>VLOOKUP(A82,[1]INDICE!$A$4:$G$1000,5,0)</f>
        <v>183.9</v>
      </c>
      <c r="F82" s="122">
        <f>VLOOKUP(A82,[1]INDICE!$A$4:$G$1000,6,0)</f>
        <v>0</v>
      </c>
      <c r="G82" s="122">
        <f>VLOOKUP(A82,[1]INDICE!$A$4:$G$1000,7,0)</f>
        <v>202.62</v>
      </c>
      <c r="H82" s="116" t="b">
        <f>A82=[2]INDFILTRO!A82</f>
        <v>0</v>
      </c>
      <c r="I82" s="113" t="b">
        <f>B82=[3]INDFILTRO!B81</f>
        <v>0</v>
      </c>
      <c r="J82" s="113" t="b">
        <f>E82=[2]INDFILTRO!E82</f>
        <v>0</v>
      </c>
      <c r="K82" s="113" t="b">
        <f>F82=[2]INDFILTRO!F82</f>
        <v>1</v>
      </c>
      <c r="L82" s="116" t="str">
        <f t="shared" si="4"/>
        <v>verdadeiro</v>
      </c>
      <c r="M82" s="124">
        <f t="shared" si="5"/>
        <v>267</v>
      </c>
      <c r="R82" s="253" t="b">
        <f t="shared" si="3"/>
        <v>1</v>
      </c>
      <c r="S82" s="253"/>
      <c r="T82" s="253"/>
    </row>
    <row r="83" spans="1:20" s="113" customFormat="1" ht="11.25">
      <c r="A83" s="121">
        <v>272</v>
      </c>
      <c r="B83" s="122" t="str">
        <f>VLOOKUP(A83,[1]INDICE!$A$4:$G$1000,2,0)</f>
        <v>TÊ DE FERRO GALVANIZADO 90º X 2 1/2"</v>
      </c>
      <c r="C83" s="160" t="str">
        <f>VLOOKUP(A83,[1]INDICE!$A$4:$G$1000,3,0)</f>
        <v>UM</v>
      </c>
      <c r="D83" s="122">
        <f>VLOOKUP(A83,[1]INDICE!$A$4:$G$1000,4,0)</f>
        <v>34.819200000000002</v>
      </c>
      <c r="E83" s="122">
        <f>VLOOKUP(A83,[1]INDICE!$A$4:$G$1000,5,0)</f>
        <v>79.56</v>
      </c>
      <c r="F83" s="122">
        <f>VLOOKUP(A83,[1]INDICE!$A$4:$G$1000,6,0)</f>
        <v>0</v>
      </c>
      <c r="G83" s="122">
        <f>VLOOKUP(A83,[1]INDICE!$A$4:$G$1000,7,0)</f>
        <v>114.3792</v>
      </c>
      <c r="H83" s="116" t="b">
        <f>A83=[2]INDFILTRO!A83</f>
        <v>0</v>
      </c>
      <c r="I83" s="113" t="b">
        <f>B83=[3]INDFILTRO!B82</f>
        <v>0</v>
      </c>
      <c r="J83" s="113" t="b">
        <f>E83=[2]INDFILTRO!E83</f>
        <v>0</v>
      </c>
      <c r="K83" s="113" t="b">
        <f>F83=[2]INDFILTRO!F83</f>
        <v>1</v>
      </c>
      <c r="L83" s="116" t="str">
        <f t="shared" si="4"/>
        <v>verdadeiro</v>
      </c>
      <c r="M83" s="124">
        <f t="shared" si="5"/>
        <v>272</v>
      </c>
      <c r="R83" s="253" t="b">
        <f t="shared" si="3"/>
        <v>1</v>
      </c>
      <c r="S83" s="253"/>
      <c r="T83" s="253"/>
    </row>
    <row r="84" spans="1:20" s="113" customFormat="1" ht="11.25">
      <c r="A84" s="121">
        <v>273</v>
      </c>
      <c r="B84" s="122" t="str">
        <f>VLOOKUP(A84,[1]INDICE!$A$4:$G$1000,2,0)</f>
        <v>VÁLVULA DE RETENÇÃO VERTICAL 2.1/2"</v>
      </c>
      <c r="C84" s="160" t="str">
        <f>VLOOKUP(A84,[1]INDICE!$A$4:$G$1000,3,0)</f>
        <v>UN</v>
      </c>
      <c r="D84" s="122">
        <f>VLOOKUP(A84,[1]INDICE!$A$4:$G$1000,4,0)</f>
        <v>43.055999999999997</v>
      </c>
      <c r="E84" s="122">
        <f>VLOOKUP(A84,[1]INDICE!$A$4:$G$1000,5,0)</f>
        <v>164.27</v>
      </c>
      <c r="F84" s="122">
        <f>VLOOKUP(A84,[1]INDICE!$A$4:$G$1000,6,0)</f>
        <v>0</v>
      </c>
      <c r="G84" s="122">
        <f>VLOOKUP(A84,[1]INDICE!$A$4:$G$1000,7,0)</f>
        <v>207.32600000000002</v>
      </c>
      <c r="H84" s="116" t="b">
        <f>A84=[2]INDFILTRO!A84</f>
        <v>0</v>
      </c>
      <c r="I84" s="113" t="b">
        <f>B84=[3]INDFILTRO!B83</f>
        <v>0</v>
      </c>
      <c r="J84" s="113" t="b">
        <f>E84=[2]INDFILTRO!E84</f>
        <v>0</v>
      </c>
      <c r="K84" s="113" t="b">
        <f>F84=[2]INDFILTRO!F84</f>
        <v>1</v>
      </c>
      <c r="L84" s="116" t="str">
        <f t="shared" si="4"/>
        <v>verdadeiro</v>
      </c>
      <c r="M84" s="124">
        <f t="shared" si="5"/>
        <v>273</v>
      </c>
      <c r="R84" s="253" t="b">
        <f t="shared" si="3"/>
        <v>1</v>
      </c>
      <c r="S84" s="253"/>
      <c r="T84" s="253"/>
    </row>
    <row r="85" spans="1:20" s="113" customFormat="1" ht="11.25">
      <c r="A85" s="121">
        <v>275</v>
      </c>
      <c r="B85" s="122" t="str">
        <f>VLOOKUP(A85,[1]INDICE!$A$4:$G$1000,2,0)</f>
        <v>ACIONADOR MANUAL DE DETECÇÃO E ALARME</v>
      </c>
      <c r="C85" s="160" t="str">
        <f>VLOOKUP(A85,[1]INDICE!$A$4:$G$1000,3,0)</f>
        <v>UM</v>
      </c>
      <c r="D85" s="122">
        <f>VLOOKUP(A85,[1]INDICE!$A$4:$G$1000,4,0)</f>
        <v>19.314999999999998</v>
      </c>
      <c r="E85" s="122">
        <f>VLOOKUP(A85,[1]INDICE!$A$4:$G$1000,5,0)</f>
        <v>63.963333333333331</v>
      </c>
      <c r="F85" s="122">
        <f>VLOOKUP(A85,[1]INDICE!$A$4:$G$1000,6,0)</f>
        <v>0</v>
      </c>
      <c r="G85" s="122">
        <f>VLOOKUP(A85,[1]INDICE!$A$4:$G$1000,7,0)</f>
        <v>83.278333333333336</v>
      </c>
      <c r="H85" s="116" t="b">
        <f>A85=[2]INDFILTRO!A85</f>
        <v>0</v>
      </c>
      <c r="I85" s="113" t="b">
        <f>B85=[3]INDFILTRO!B84</f>
        <v>0</v>
      </c>
      <c r="J85" s="113" t="b">
        <f>E85=[2]INDFILTRO!E85</f>
        <v>0</v>
      </c>
      <c r="K85" s="113" t="b">
        <f>F85=[2]INDFILTRO!F85</f>
        <v>1</v>
      </c>
      <c r="L85" s="116" t="str">
        <f t="shared" si="4"/>
        <v>verdadeiro</v>
      </c>
      <c r="M85" s="124">
        <f t="shared" si="5"/>
        <v>275</v>
      </c>
      <c r="R85" s="253" t="b">
        <f t="shared" si="3"/>
        <v>1</v>
      </c>
      <c r="S85" s="253"/>
      <c r="T85" s="253"/>
    </row>
    <row r="86" spans="1:20" s="113" customFormat="1" ht="11.25">
      <c r="A86" s="121">
        <v>291</v>
      </c>
      <c r="B86" s="122" t="str">
        <f>VLOOKUP(A86,[1]INDICE!$A$4:$G$1000,2,0)</f>
        <v>CONSUMO DE ENERGIA ELÉTRICA</v>
      </c>
      <c r="C86" s="160" t="str">
        <f>VLOOKUP(A86,[1]INDICE!$A$4:$G$1000,3,0)</f>
        <v>KWH</v>
      </c>
      <c r="D86" s="122">
        <f>VLOOKUP(A86,[1]INDICE!$A$4:$G$1000,4,0)</f>
        <v>0</v>
      </c>
      <c r="E86" s="122">
        <f>VLOOKUP(A86,[1]INDICE!$A$4:$G$1000,5,0)</f>
        <v>0.86</v>
      </c>
      <c r="F86" s="122">
        <f>VLOOKUP(A86,[1]INDICE!$A$4:$G$1000,6,0)</f>
        <v>0</v>
      </c>
      <c r="G86" s="122">
        <f>VLOOKUP(A86,[1]INDICE!$A$4:$G$1000,7,0)</f>
        <v>0.86</v>
      </c>
      <c r="H86" s="116" t="b">
        <f>A86=[2]INDFILTRO!A86</f>
        <v>0</v>
      </c>
      <c r="I86" s="113" t="b">
        <f>B86=[3]INDFILTRO!B85</f>
        <v>0</v>
      </c>
      <c r="J86" s="113" t="b">
        <f>E86=[2]INDFILTRO!E86</f>
        <v>0</v>
      </c>
      <c r="K86" s="113" t="b">
        <f>F86=[2]INDFILTRO!F86</f>
        <v>1</v>
      </c>
      <c r="L86" s="116" t="str">
        <f t="shared" si="4"/>
        <v>verdadeiro</v>
      </c>
      <c r="M86" s="124">
        <f t="shared" si="5"/>
        <v>291</v>
      </c>
      <c r="R86" s="253" t="b">
        <f t="shared" si="3"/>
        <v>1</v>
      </c>
      <c r="S86" s="253"/>
      <c r="T86" s="253"/>
    </row>
    <row r="87" spans="1:20" s="113" customFormat="1" ht="22.5">
      <c r="A87" s="121">
        <v>300</v>
      </c>
      <c r="B87" s="122" t="str">
        <f>VLOOKUP(A87,[1]INDICE!$A$4:$G$1000,2,0)</f>
        <v>LOCAÇÃO DE PRAÇA, QUADRA, IMPLANTAÇÃO UTILIZANDO CAVALETE, INCLUSO PIQUETE COM TESTEMUNHA</v>
      </c>
      <c r="C87" s="160" t="str">
        <f>VLOOKUP(A87,[1]INDICE!$A$4:$G$1000,3,0)</f>
        <v>M2</v>
      </c>
      <c r="D87" s="122">
        <f>VLOOKUP(A87,[1]INDICE!$A$4:$G$1000,4,0)</f>
        <v>0.118199</v>
      </c>
      <c r="E87" s="122">
        <f>VLOOKUP(A87,[1]INDICE!$A$4:$G$1000,5,0)</f>
        <v>0.20551599999999998</v>
      </c>
      <c r="F87" s="122">
        <f>VLOOKUP(A87,[1]INDICE!$A$4:$G$1000,6,0)</f>
        <v>0</v>
      </c>
      <c r="G87" s="122">
        <f>VLOOKUP(A87,[1]INDICE!$A$4:$G$1000,7,0)</f>
        <v>0.32371499999999997</v>
      </c>
      <c r="H87" s="116" t="b">
        <f>A87=[2]INDFILTRO!A87</f>
        <v>0</v>
      </c>
      <c r="I87" s="113" t="b">
        <f>B87=[3]INDFILTRO!B86</f>
        <v>0</v>
      </c>
      <c r="J87" s="113" t="b">
        <f>E87=[2]INDFILTRO!E87</f>
        <v>0</v>
      </c>
      <c r="K87" s="113" t="b">
        <f>F87=[2]INDFILTRO!F87</f>
        <v>1</v>
      </c>
      <c r="L87" s="116" t="str">
        <f t="shared" si="4"/>
        <v>verdadeiro</v>
      </c>
      <c r="M87" s="124">
        <f t="shared" si="5"/>
        <v>300</v>
      </c>
      <c r="R87" s="253" t="b">
        <f t="shared" si="3"/>
        <v>1</v>
      </c>
      <c r="S87" s="253"/>
      <c r="T87" s="253"/>
    </row>
    <row r="88" spans="1:20" s="113" customFormat="1" ht="11.25">
      <c r="A88" s="121">
        <v>301</v>
      </c>
      <c r="B88" s="122" t="str">
        <f>VLOOKUP(A88,[1]INDICE!$A$4:$G$1000,2,0)</f>
        <v>TRANSPORTE DE ENTULHO EM CAÇAMBA ESTACIONÁRIA INCLUSO A CARGA MANUAL</v>
      </c>
      <c r="C88" s="160" t="str">
        <f>VLOOKUP(A88,[1]INDICE!$A$4:$G$1000,3,0)</f>
        <v>M3</v>
      </c>
      <c r="D88" s="122">
        <f>VLOOKUP(A88,[1]INDICE!$A$4:$G$1000,4,0)</f>
        <v>9.8215000000000003</v>
      </c>
      <c r="E88" s="122">
        <f>VLOOKUP(A88,[1]INDICE!$A$4:$G$1000,5,0)</f>
        <v>50.39</v>
      </c>
      <c r="F88" s="122">
        <f>VLOOKUP(A88,[1]INDICE!$A$4:$G$1000,6,0)</f>
        <v>0</v>
      </c>
      <c r="G88" s="122">
        <f>VLOOKUP(A88,[1]INDICE!$A$4:$G$1000,7,0)</f>
        <v>60.211500000000001</v>
      </c>
      <c r="H88" s="116" t="b">
        <f>A88=[2]INDFILTRO!A88</f>
        <v>0</v>
      </c>
      <c r="I88" s="113" t="b">
        <f>B88=[3]INDFILTRO!B87</f>
        <v>0</v>
      </c>
      <c r="J88" s="113" t="b">
        <f>E88=[2]INDFILTRO!E88</f>
        <v>0</v>
      </c>
      <c r="K88" s="113" t="b">
        <f>F88=[2]INDFILTRO!F88</f>
        <v>1</v>
      </c>
      <c r="L88" s="116" t="str">
        <f t="shared" si="4"/>
        <v>verdadeiro</v>
      </c>
      <c r="M88" s="124">
        <f t="shared" si="5"/>
        <v>301</v>
      </c>
      <c r="R88" s="253" t="b">
        <f t="shared" si="3"/>
        <v>1</v>
      </c>
      <c r="S88" s="253"/>
      <c r="T88" s="253"/>
    </row>
    <row r="89" spans="1:20" s="113" customFormat="1" ht="11.25">
      <c r="A89" s="121">
        <v>302</v>
      </c>
      <c r="B89" s="122" t="str">
        <f>VLOOKUP(A89,[1]INDICE!$A$4:$G$1000,2,0)</f>
        <v>APILOAMENTO</v>
      </c>
      <c r="C89" s="160" t="str">
        <f>VLOOKUP(A89,[1]INDICE!$A$4:$G$1000,3,0)</f>
        <v>M2</v>
      </c>
      <c r="D89" s="122">
        <f>VLOOKUP(A89,[1]INDICE!$A$4:$G$1000,4,0)</f>
        <v>6.0440000000000005</v>
      </c>
      <c r="E89" s="122">
        <f>VLOOKUP(A89,[1]INDICE!$A$4:$G$1000,5,0)</f>
        <v>0</v>
      </c>
      <c r="F89" s="122">
        <f>VLOOKUP(A89,[1]INDICE!$A$4:$G$1000,6,0)</f>
        <v>0</v>
      </c>
      <c r="G89" s="122">
        <f>VLOOKUP(A89,[1]INDICE!$A$4:$G$1000,7,0)</f>
        <v>6.0440000000000005</v>
      </c>
      <c r="H89" s="116" t="b">
        <f>A89=[2]INDFILTRO!A89</f>
        <v>0</v>
      </c>
      <c r="I89" s="113" t="b">
        <f>B89=[3]INDFILTRO!B88</f>
        <v>0</v>
      </c>
      <c r="J89" s="113" t="b">
        <f>E89=[2]INDFILTRO!E89</f>
        <v>0</v>
      </c>
      <c r="K89" s="113" t="b">
        <f>F89=[2]INDFILTRO!F89</f>
        <v>1</v>
      </c>
      <c r="L89" s="116" t="str">
        <f t="shared" si="4"/>
        <v>verdadeiro</v>
      </c>
      <c r="M89" s="124">
        <f t="shared" si="5"/>
        <v>302</v>
      </c>
      <c r="R89" s="253" t="b">
        <f t="shared" si="3"/>
        <v>1</v>
      </c>
      <c r="S89" s="253"/>
      <c r="T89" s="253"/>
    </row>
    <row r="90" spans="1:20" s="113" customFormat="1" ht="11.25">
      <c r="A90" s="121">
        <v>303</v>
      </c>
      <c r="B90" s="122" t="str">
        <f>VLOOKUP(A90,[1]INDICE!$A$4:$G$1000,2,0)</f>
        <v>ATERRO INTERNO SEM APILOAMENTO</v>
      </c>
      <c r="C90" s="160" t="str">
        <f>VLOOKUP(A90,[1]INDICE!$A$4:$G$1000,3,0)</f>
        <v>M3</v>
      </c>
      <c r="D90" s="122">
        <f>VLOOKUP(A90,[1]INDICE!$A$4:$G$1000,4,0)</f>
        <v>30.22</v>
      </c>
      <c r="E90" s="122">
        <f>VLOOKUP(A90,[1]INDICE!$A$4:$G$1000,5,0)</f>
        <v>0</v>
      </c>
      <c r="F90" s="122">
        <f>VLOOKUP(A90,[1]INDICE!$A$4:$G$1000,6,0)</f>
        <v>0</v>
      </c>
      <c r="G90" s="122">
        <f>VLOOKUP(A90,[1]INDICE!$A$4:$G$1000,7,0)</f>
        <v>30.22</v>
      </c>
      <c r="H90" s="116" t="b">
        <f>A90=[2]INDFILTRO!A90</f>
        <v>0</v>
      </c>
      <c r="I90" s="113" t="b">
        <f>B90=[3]INDFILTRO!B89</f>
        <v>0</v>
      </c>
      <c r="J90" s="113" t="b">
        <f>E90=[2]INDFILTRO!E90</f>
        <v>0</v>
      </c>
      <c r="K90" s="113" t="b">
        <f>F90=[2]INDFILTRO!F90</f>
        <v>1</v>
      </c>
      <c r="L90" s="116" t="str">
        <f t="shared" si="4"/>
        <v>verdadeiro</v>
      </c>
      <c r="M90" s="124">
        <f t="shared" si="5"/>
        <v>303</v>
      </c>
      <c r="R90" s="253" t="b">
        <f t="shared" si="3"/>
        <v>1</v>
      </c>
      <c r="S90" s="253"/>
      <c r="T90" s="253"/>
    </row>
    <row r="91" spans="1:20" s="113" customFormat="1" ht="11.25">
      <c r="A91" s="121">
        <v>304</v>
      </c>
      <c r="B91" s="122" t="str">
        <f>VLOOKUP(A91,[1]INDICE!$A$4:$G$1000,2,0)</f>
        <v>TRANSPORTE DE MATERIAL ESCAVADO</v>
      </c>
      <c r="C91" s="160" t="str">
        <f>VLOOKUP(A91,[1]INDICE!$A$4:$G$1000,3,0)</f>
        <v>M3XKM</v>
      </c>
      <c r="D91" s="122">
        <f>VLOOKUP(A91,[1]INDICE!$A$4:$G$1000,4,0)</f>
        <v>0</v>
      </c>
      <c r="E91" s="122">
        <f>VLOOKUP(A91,[1]INDICE!$A$4:$G$1000,5,0)</f>
        <v>1.56</v>
      </c>
      <c r="F91" s="122">
        <f>VLOOKUP(A91,[1]INDICE!$A$4:$G$1000,6,0)</f>
        <v>0</v>
      </c>
      <c r="G91" s="122">
        <f>VLOOKUP(A91,[1]INDICE!$A$4:$G$1000,7,0)</f>
        <v>1.56</v>
      </c>
      <c r="H91" s="116" t="b">
        <f>A91=[2]INDFILTRO!A91</f>
        <v>0</v>
      </c>
      <c r="I91" s="113" t="b">
        <f>B91=[3]INDFILTRO!B90</f>
        <v>0</v>
      </c>
      <c r="J91" s="113" t="b">
        <f>E91=[2]INDFILTRO!E91</f>
        <v>0</v>
      </c>
      <c r="K91" s="113" t="b">
        <f>F91=[2]INDFILTRO!F91</f>
        <v>1</v>
      </c>
      <c r="L91" s="116" t="str">
        <f t="shared" si="4"/>
        <v>verdadeiro</v>
      </c>
      <c r="M91" s="124">
        <f t="shared" si="5"/>
        <v>304</v>
      </c>
      <c r="R91" s="253" t="b">
        <f t="shared" si="3"/>
        <v>1</v>
      </c>
      <c r="S91" s="253"/>
      <c r="T91" s="253"/>
    </row>
    <row r="92" spans="1:20" s="113" customFormat="1" ht="22.5">
      <c r="A92" s="121">
        <v>305</v>
      </c>
      <c r="B92" s="122" t="str">
        <f>VLOOKUP(A92,[1]INDICE!$A$4:$G$1000,2,0)</f>
        <v>REGULARIZAÇÃO DO TERRENO SEM APILOAMENTO COM TRANSPORTE MANUAL DE TERRA ESCAVADA</v>
      </c>
      <c r="C92" s="160" t="str">
        <f>VLOOKUP(A92,[1]INDICE!$A$4:$G$1000,3,0)</f>
        <v>M2</v>
      </c>
      <c r="D92" s="122">
        <f>VLOOKUP(A92,[1]INDICE!$A$4:$G$1000,4,0)</f>
        <v>2.842123</v>
      </c>
      <c r="E92" s="122">
        <f>VLOOKUP(A92,[1]INDICE!$A$4:$G$1000,5,0)</f>
        <v>0</v>
      </c>
      <c r="F92" s="122">
        <f>VLOOKUP(A92,[1]INDICE!$A$4:$G$1000,6,0)</f>
        <v>0</v>
      </c>
      <c r="G92" s="122">
        <f>VLOOKUP(A92,[1]INDICE!$A$4:$G$1000,7,0)</f>
        <v>2.842123</v>
      </c>
      <c r="H92" s="116" t="b">
        <f>A92=[2]INDFILTRO!A92</f>
        <v>0</v>
      </c>
      <c r="I92" s="113" t="b">
        <f>B92=[3]INDFILTRO!B91</f>
        <v>0</v>
      </c>
      <c r="J92" s="113" t="b">
        <f>E92=[2]INDFILTRO!E92</f>
        <v>0</v>
      </c>
      <c r="K92" s="113" t="b">
        <f>F92=[2]INDFILTRO!F92</f>
        <v>1</v>
      </c>
      <c r="L92" s="116" t="str">
        <f t="shared" si="4"/>
        <v>verdadeiro</v>
      </c>
      <c r="M92" s="124">
        <f t="shared" si="5"/>
        <v>305</v>
      </c>
      <c r="R92" s="253" t="b">
        <f t="shared" si="3"/>
        <v>1</v>
      </c>
      <c r="S92" s="253"/>
      <c r="T92" s="253"/>
    </row>
    <row r="93" spans="1:20" s="113" customFormat="1" ht="11.25">
      <c r="A93" s="121">
        <v>307</v>
      </c>
      <c r="B93" s="122" t="str">
        <f>VLOOKUP(A93,[1]INDICE!$A$4:$G$1000,2,0)</f>
        <v>FORMA CHAPA COMPENSADA 12MM – VIGA/PILAR U=3X (OBRAS CIVIS)</v>
      </c>
      <c r="C93" s="160" t="str">
        <f>VLOOKUP(A93,[1]INDICE!$A$4:$G$1000,3,0)</f>
        <v>M2</v>
      </c>
      <c r="D93" s="122">
        <f>VLOOKUP(A93,[1]INDICE!$A$4:$G$1000,4,0)</f>
        <v>49.396500000000003</v>
      </c>
      <c r="E93" s="122">
        <f>VLOOKUP(A93,[1]INDICE!$A$4:$G$1000,5,0)</f>
        <v>30.385095041322312</v>
      </c>
      <c r="F93" s="122">
        <f>VLOOKUP(A93,[1]INDICE!$A$4:$G$1000,6,0)</f>
        <v>0</v>
      </c>
      <c r="G93" s="122">
        <f>VLOOKUP(A93,[1]INDICE!$A$4:$G$1000,7,0)</f>
        <v>79.781595041322319</v>
      </c>
      <c r="H93" s="116" t="b">
        <f>A93=[2]INDFILTRO!A93</f>
        <v>0</v>
      </c>
      <c r="I93" s="113" t="b">
        <f>B93=[3]INDFILTRO!B92</f>
        <v>0</v>
      </c>
      <c r="J93" s="113" t="b">
        <f>E93=[2]INDFILTRO!E93</f>
        <v>0</v>
      </c>
      <c r="K93" s="113" t="b">
        <f>F93=[2]INDFILTRO!F93</f>
        <v>1</v>
      </c>
      <c r="L93" s="116" t="str">
        <f t="shared" si="4"/>
        <v>verdadeiro</v>
      </c>
      <c r="M93" s="124">
        <f t="shared" si="5"/>
        <v>307</v>
      </c>
      <c r="R93" s="253" t="b">
        <f t="shared" si="3"/>
        <v>1</v>
      </c>
      <c r="S93" s="253"/>
      <c r="T93" s="253"/>
    </row>
    <row r="94" spans="1:20" s="113" customFormat="1" ht="11.25">
      <c r="A94" s="121">
        <v>308</v>
      </c>
      <c r="B94" s="122" t="str">
        <f>VLOOKUP(A94,[1]INDICE!$A$4:$G$1000,2,0)</f>
        <v>LAJE TRELIÇADA COM ENCHIMENTO EM EPS E CAP ESP. 4CM</v>
      </c>
      <c r="C94" s="160" t="str">
        <f>VLOOKUP(A94,[1]INDICE!$A$4:$G$1000,3,0)</f>
        <v>M2</v>
      </c>
      <c r="D94" s="122">
        <f>VLOOKUP(A94,[1]INDICE!$A$4:$G$1000,4,0)</f>
        <v>12.489490000000002</v>
      </c>
      <c r="E94" s="122">
        <f>VLOOKUP(A94,[1]INDICE!$A$4:$G$1000,5,0)</f>
        <v>114.6722</v>
      </c>
      <c r="F94" s="122">
        <f>VLOOKUP(A94,[1]INDICE!$A$4:$G$1000,6,0)</f>
        <v>0</v>
      </c>
      <c r="G94" s="122">
        <f>VLOOKUP(A94,[1]INDICE!$A$4:$G$1000,7,0)</f>
        <v>127.16169000000001</v>
      </c>
      <c r="H94" s="116" t="b">
        <f>A94=[2]INDFILTRO!A94</f>
        <v>0</v>
      </c>
      <c r="I94" s="113" t="b">
        <f>B94=[3]INDFILTRO!B93</f>
        <v>0</v>
      </c>
      <c r="J94" s="113" t="b">
        <f>E94=[2]INDFILTRO!E94</f>
        <v>0</v>
      </c>
      <c r="K94" s="113" t="b">
        <f>F94=[2]INDFILTRO!F94</f>
        <v>1</v>
      </c>
      <c r="L94" s="116" t="str">
        <f t="shared" si="4"/>
        <v>verdadeiro</v>
      </c>
      <c r="M94" s="124">
        <f t="shared" si="5"/>
        <v>308</v>
      </c>
      <c r="R94" s="253" t="b">
        <f t="shared" si="3"/>
        <v>1</v>
      </c>
      <c r="S94" s="253"/>
      <c r="T94" s="253"/>
    </row>
    <row r="95" spans="1:20" s="113" customFormat="1" ht="11.25">
      <c r="A95" s="121">
        <v>309</v>
      </c>
      <c r="B95" s="122" t="str">
        <f>VLOOKUP(A95,[1]INDICE!$A$4:$G$1000,2,0)</f>
        <v>VERGA/CONTRAVERGA EM CONCRETO ARMADO CK=20MPA</v>
      </c>
      <c r="C95" s="160" t="str">
        <f>VLOOKUP(A95,[1]INDICE!$A$4:$G$1000,3,0)</f>
        <v>M3</v>
      </c>
      <c r="D95" s="122">
        <f>VLOOKUP(A95,[1]INDICE!$A$4:$G$1000,4,0)</f>
        <v>773.423723</v>
      </c>
      <c r="E95" s="122">
        <f>VLOOKUP(A95,[1]INDICE!$A$4:$G$1000,5,0)</f>
        <v>1566.03586</v>
      </c>
      <c r="F95" s="122">
        <f>VLOOKUP(A95,[1]INDICE!$A$4:$G$1000,6,0)</f>
        <v>0</v>
      </c>
      <c r="G95" s="122">
        <f>VLOOKUP(A95,[1]INDICE!$A$4:$G$1000,7,0)</f>
        <v>2339.4595829999998</v>
      </c>
      <c r="H95" s="116" t="b">
        <f>A95=[2]INDFILTRO!A95</f>
        <v>0</v>
      </c>
      <c r="I95" s="113" t="b">
        <f>B95=[3]INDFILTRO!B94</f>
        <v>0</v>
      </c>
      <c r="J95" s="113" t="b">
        <f>E95=[2]INDFILTRO!E95</f>
        <v>0</v>
      </c>
      <c r="K95" s="113" t="b">
        <f>F95=[2]INDFILTRO!F95</f>
        <v>1</v>
      </c>
      <c r="L95" s="116" t="str">
        <f t="shared" si="4"/>
        <v>verdadeiro</v>
      </c>
      <c r="M95" s="124">
        <f t="shared" si="5"/>
        <v>309</v>
      </c>
      <c r="R95" s="253" t="b">
        <f t="shared" si="3"/>
        <v>1</v>
      </c>
      <c r="S95" s="253"/>
      <c r="T95" s="253"/>
    </row>
    <row r="96" spans="1:20" s="113" customFormat="1" ht="11.25">
      <c r="A96" s="121">
        <v>311</v>
      </c>
      <c r="B96" s="122" t="str">
        <f>VLOOKUP(A96,[1]INDICE!$A$4:$G$1000,2,0)</f>
        <v>LASTRO DE BRITA</v>
      </c>
      <c r="C96" s="160" t="str">
        <f>VLOOKUP(A96,[1]INDICE!$A$4:$G$1000,3,0)</f>
        <v>M3</v>
      </c>
      <c r="D96" s="122">
        <f>VLOOKUP(A96,[1]INDICE!$A$4:$G$1000,4,0)</f>
        <v>30.22</v>
      </c>
      <c r="E96" s="122">
        <f>VLOOKUP(A96,[1]INDICE!$A$4:$G$1000,5,0)</f>
        <v>110.328</v>
      </c>
      <c r="F96" s="122">
        <f>VLOOKUP(A96,[1]INDICE!$A$4:$G$1000,6,0)</f>
        <v>0</v>
      </c>
      <c r="G96" s="122">
        <f>VLOOKUP(A96,[1]INDICE!$A$4:$G$1000,7,0)</f>
        <v>140.548</v>
      </c>
      <c r="H96" s="116" t="b">
        <f>A96=[2]INDFILTRO!A96</f>
        <v>0</v>
      </c>
      <c r="I96" s="113" t="b">
        <f>B96=[3]INDFILTRO!B95</f>
        <v>0</v>
      </c>
      <c r="J96" s="113" t="b">
        <f>E96=[2]INDFILTRO!E96</f>
        <v>0</v>
      </c>
      <c r="K96" s="113" t="b">
        <f>F96=[2]INDFILTRO!F96</f>
        <v>1</v>
      </c>
      <c r="L96" s="116" t="str">
        <f t="shared" si="4"/>
        <v>verdadeiro</v>
      </c>
      <c r="M96" s="124">
        <f t="shared" si="5"/>
        <v>311</v>
      </c>
      <c r="R96" s="253" t="b">
        <f t="shared" si="3"/>
        <v>1</v>
      </c>
      <c r="S96" s="253"/>
      <c r="T96" s="253"/>
    </row>
    <row r="97" spans="1:20" s="113" customFormat="1" ht="11.25">
      <c r="A97" s="121">
        <v>312</v>
      </c>
      <c r="B97" s="122" t="str">
        <f>VLOOKUP(A97,[1]INDICE!$A$4:$G$1000,2,0)</f>
        <v>BUCHA E ARRUELA METÁLICA ¾''</v>
      </c>
      <c r="C97" s="160" t="str">
        <f>VLOOKUP(A97,[1]INDICE!$A$4:$G$1000,3,0)</f>
        <v>PR</v>
      </c>
      <c r="D97" s="122">
        <f>VLOOKUP(A97,[1]INDICE!$A$4:$G$1000,4,0)</f>
        <v>0.38629999999999998</v>
      </c>
      <c r="E97" s="122">
        <f>VLOOKUP(A97,[1]INDICE!$A$4:$G$1000,5,0)</f>
        <v>1.1299999999999999</v>
      </c>
      <c r="F97" s="122">
        <f>VLOOKUP(A97,[1]INDICE!$A$4:$G$1000,6,0)</f>
        <v>0</v>
      </c>
      <c r="G97" s="122">
        <f>VLOOKUP(A97,[1]INDICE!$A$4:$G$1000,7,0)</f>
        <v>1.5162999999999998</v>
      </c>
      <c r="H97" s="116" t="b">
        <f>A97=[2]INDFILTRO!A97</f>
        <v>0</v>
      </c>
      <c r="I97" s="113" t="b">
        <f>B97=[3]INDFILTRO!B96</f>
        <v>0</v>
      </c>
      <c r="J97" s="113" t="b">
        <f>E97=[2]INDFILTRO!E97</f>
        <v>0</v>
      </c>
      <c r="K97" s="113" t="b">
        <f>F97=[2]INDFILTRO!F97</f>
        <v>1</v>
      </c>
      <c r="L97" s="116" t="str">
        <f t="shared" si="4"/>
        <v>verdadeiro</v>
      </c>
      <c r="M97" s="124">
        <f t="shared" si="5"/>
        <v>312</v>
      </c>
      <c r="R97" s="253" t="b">
        <f t="shared" si="3"/>
        <v>1</v>
      </c>
      <c r="S97" s="253"/>
      <c r="T97" s="253"/>
    </row>
    <row r="98" spans="1:20" s="113" customFormat="1" ht="11.25">
      <c r="A98" s="121">
        <v>313</v>
      </c>
      <c r="B98" s="122" t="str">
        <f>VLOOKUP(A98,[1]INDICE!$A$4:$G$1000,2,0)</f>
        <v>BUCHA E ARRUELA METÁLICA 1.1/2''</v>
      </c>
      <c r="C98" s="160" t="str">
        <f>VLOOKUP(A98,[1]INDICE!$A$4:$G$1000,3,0)</f>
        <v>PR</v>
      </c>
      <c r="D98" s="122">
        <f>VLOOKUP(A98,[1]INDICE!$A$4:$G$1000,4,0)</f>
        <v>1.5451999999999999</v>
      </c>
      <c r="E98" s="122">
        <f>VLOOKUP(A98,[1]INDICE!$A$4:$G$1000,5,0)</f>
        <v>2.54</v>
      </c>
      <c r="F98" s="122">
        <f>VLOOKUP(A98,[1]INDICE!$A$4:$G$1000,6,0)</f>
        <v>0</v>
      </c>
      <c r="G98" s="122">
        <f>VLOOKUP(A98,[1]INDICE!$A$4:$G$1000,7,0)</f>
        <v>4.0852000000000004</v>
      </c>
      <c r="H98" s="116" t="b">
        <f>A98=[2]INDFILTRO!A98</f>
        <v>0</v>
      </c>
      <c r="I98" s="113" t="b">
        <f>B98=[3]INDFILTRO!B97</f>
        <v>0</v>
      </c>
      <c r="J98" s="113" t="b">
        <f>E98=[2]INDFILTRO!E98</f>
        <v>0</v>
      </c>
      <c r="K98" s="113" t="b">
        <f>F98=[2]INDFILTRO!F98</f>
        <v>1</v>
      </c>
      <c r="L98" s="116" t="str">
        <f t="shared" si="4"/>
        <v>verdadeiro</v>
      </c>
      <c r="M98" s="124">
        <f t="shared" si="5"/>
        <v>313</v>
      </c>
      <c r="R98" s="253" t="b">
        <f t="shared" si="3"/>
        <v>1</v>
      </c>
      <c r="S98" s="253"/>
      <c r="T98" s="253"/>
    </row>
    <row r="99" spans="1:20" s="113" customFormat="1" ht="11.25">
      <c r="A99" s="121">
        <v>315</v>
      </c>
      <c r="B99" s="122" t="str">
        <f>VLOOKUP(A99,[1]INDICE!$A$4:$G$1000,2,0)</f>
        <v>LUMINÁRIA HERMÉTICA IP-65, PARA 02 LÂMPADAS</v>
      </c>
      <c r="C99" s="160" t="str">
        <f>VLOOKUP(A99,[1]INDICE!$A$4:$G$1000,3,0)</f>
        <v>UN</v>
      </c>
      <c r="D99" s="122">
        <f>VLOOKUP(A99,[1]INDICE!$A$4:$G$1000,4,0)</f>
        <v>25.132678000000002</v>
      </c>
      <c r="E99" s="122">
        <f>VLOOKUP(A99,[1]INDICE!$A$4:$G$1000,5,0)</f>
        <v>107.03</v>
      </c>
      <c r="F99" s="122">
        <f>VLOOKUP(A99,[1]INDICE!$A$4:$G$1000,6,0)</f>
        <v>0</v>
      </c>
      <c r="G99" s="122">
        <f>VLOOKUP(A99,[1]INDICE!$A$4:$G$1000,7,0)</f>
        <v>132.162678</v>
      </c>
      <c r="H99" s="116" t="b">
        <f>A99=[2]INDFILTRO!A99</f>
        <v>0</v>
      </c>
      <c r="I99" s="113" t="b">
        <f>B99=[3]INDFILTRO!B98</f>
        <v>0</v>
      </c>
      <c r="J99" s="113" t="b">
        <f>E99=[2]INDFILTRO!E99</f>
        <v>0</v>
      </c>
      <c r="K99" s="113" t="b">
        <f>F99=[2]INDFILTRO!F99</f>
        <v>1</v>
      </c>
      <c r="L99" s="116" t="str">
        <f t="shared" si="4"/>
        <v>verdadeiro</v>
      </c>
      <c r="M99" s="124">
        <f t="shared" si="5"/>
        <v>315</v>
      </c>
      <c r="R99" s="253" t="b">
        <f t="shared" si="3"/>
        <v>1</v>
      </c>
      <c r="S99" s="253"/>
      <c r="T99" s="253"/>
    </row>
    <row r="100" spans="1:20" s="113" customFormat="1" ht="11.25">
      <c r="A100" s="121">
        <v>319</v>
      </c>
      <c r="B100" s="122" t="str">
        <f>VLOOKUP(A100,[1]INDICE!$A$4:$G$1000,2,0)</f>
        <v>BUCHA E ARRUELA METÁLICA 1''</v>
      </c>
      <c r="C100" s="160" t="str">
        <f>VLOOKUP(A100,[1]INDICE!$A$4:$G$1000,3,0)</f>
        <v>PR</v>
      </c>
      <c r="D100" s="122">
        <f>VLOOKUP(A100,[1]INDICE!$A$4:$G$1000,4,0)</f>
        <v>0.38629999999999998</v>
      </c>
      <c r="E100" s="122">
        <f>VLOOKUP(A100,[1]INDICE!$A$4:$G$1000,5,0)</f>
        <v>1.4</v>
      </c>
      <c r="F100" s="122">
        <f>VLOOKUP(A100,[1]INDICE!$A$4:$G$1000,6,0)</f>
        <v>0</v>
      </c>
      <c r="G100" s="122">
        <f>VLOOKUP(A100,[1]INDICE!$A$4:$G$1000,7,0)</f>
        <v>1.7862999999999998</v>
      </c>
      <c r="H100" s="116" t="b">
        <f>A100=[2]INDFILTRO!A100</f>
        <v>0</v>
      </c>
      <c r="I100" s="113" t="b">
        <f>B100=[3]INDFILTRO!B99</f>
        <v>0</v>
      </c>
      <c r="J100" s="113" t="b">
        <f>E100=[2]INDFILTRO!E100</f>
        <v>0</v>
      </c>
      <c r="K100" s="113" t="b">
        <f>F100=[2]INDFILTRO!F100</f>
        <v>1</v>
      </c>
      <c r="L100" s="116" t="str">
        <f t="shared" si="4"/>
        <v>verdadeiro</v>
      </c>
      <c r="M100" s="124">
        <f t="shared" si="5"/>
        <v>319</v>
      </c>
      <c r="R100" s="253" t="b">
        <f t="shared" si="3"/>
        <v>1</v>
      </c>
      <c r="S100" s="253"/>
      <c r="T100" s="253"/>
    </row>
    <row r="101" spans="1:20" s="113" customFormat="1" ht="11.25">
      <c r="A101" s="121">
        <v>320</v>
      </c>
      <c r="B101" s="122" t="str">
        <f>VLOOKUP(A101,[1]INDICE!$A$4:$G$1000,2,0)</f>
        <v>CAIXA DE PASSAGEM 35X60X50CM FUNDO DE CONCRETO PARA TAMPA R1</v>
      </c>
      <c r="C101" s="160" t="str">
        <f>VLOOKUP(A101,[1]INDICE!$A$4:$G$1000,3,0)</f>
        <v>UN</v>
      </c>
      <c r="D101" s="122">
        <f>VLOOKUP(A101,[1]INDICE!$A$4:$G$1000,4,0)</f>
        <v>154.60165099999998</v>
      </c>
      <c r="E101" s="122">
        <f>VLOOKUP(A101,[1]INDICE!$A$4:$G$1000,5,0)</f>
        <v>104.76597111570248</v>
      </c>
      <c r="F101" s="122">
        <f>VLOOKUP(A101,[1]INDICE!$A$4:$G$1000,6,0)</f>
        <v>0</v>
      </c>
      <c r="G101" s="122">
        <f>VLOOKUP(A101,[1]INDICE!$A$4:$G$1000,7,0)</f>
        <v>259.36762211570249</v>
      </c>
      <c r="H101" s="116" t="b">
        <f>A101=[2]INDFILTRO!A101</f>
        <v>0</v>
      </c>
      <c r="I101" s="113" t="b">
        <f>B101=[3]INDFILTRO!B100</f>
        <v>0</v>
      </c>
      <c r="J101" s="113" t="b">
        <f>E101=[2]INDFILTRO!E101</f>
        <v>0</v>
      </c>
      <c r="K101" s="113" t="b">
        <f>F101=[2]INDFILTRO!F101</f>
        <v>1</v>
      </c>
      <c r="L101" s="116" t="str">
        <f t="shared" si="4"/>
        <v>verdadeiro</v>
      </c>
      <c r="M101" s="124">
        <f t="shared" si="5"/>
        <v>320</v>
      </c>
      <c r="R101" s="253" t="b">
        <f t="shared" si="3"/>
        <v>1</v>
      </c>
      <c r="S101" s="253"/>
      <c r="T101" s="253"/>
    </row>
    <row r="102" spans="1:20" s="113" customFormat="1" ht="11.25">
      <c r="A102" s="121">
        <v>321</v>
      </c>
      <c r="B102" s="122" t="str">
        <f>VLOOKUP(A102,[1]INDICE!$A$4:$G$1000,2,0)</f>
        <v>CAIXA DE PASSAGEM 107x52x50CM FUNDO DE CONCRETO PARA TAMPA R3</v>
      </c>
      <c r="C102" s="160" t="str">
        <f>VLOOKUP(A102,[1]INDICE!$A$4:$G$1000,3,0)</f>
        <v>UN</v>
      </c>
      <c r="D102" s="122">
        <f>VLOOKUP(A102,[1]INDICE!$A$4:$G$1000,4,0)</f>
        <v>241.23335899999998</v>
      </c>
      <c r="E102" s="122">
        <f>VLOOKUP(A102,[1]INDICE!$A$4:$G$1000,5,0)</f>
        <v>159.78428238842974</v>
      </c>
      <c r="F102" s="122">
        <f>VLOOKUP(A102,[1]INDICE!$A$4:$G$1000,6,0)</f>
        <v>0</v>
      </c>
      <c r="G102" s="122">
        <f>VLOOKUP(A102,[1]INDICE!$A$4:$G$1000,7,0)</f>
        <v>401.01764138842975</v>
      </c>
      <c r="H102" s="116" t="b">
        <f>A102=[2]INDFILTRO!A102</f>
        <v>0</v>
      </c>
      <c r="I102" s="113" t="b">
        <f>B102=[3]INDFILTRO!B101</f>
        <v>0</v>
      </c>
      <c r="J102" s="113" t="b">
        <f>E102=[2]INDFILTRO!E102</f>
        <v>0</v>
      </c>
      <c r="K102" s="113" t="b">
        <f>F102=[2]INDFILTRO!F102</f>
        <v>1</v>
      </c>
      <c r="L102" s="116" t="str">
        <f t="shared" si="4"/>
        <v>verdadeiro</v>
      </c>
      <c r="M102" s="124">
        <f t="shared" si="5"/>
        <v>321</v>
      </c>
      <c r="R102" s="253" t="b">
        <f t="shared" si="3"/>
        <v>1</v>
      </c>
      <c r="S102" s="253"/>
      <c r="T102" s="253"/>
    </row>
    <row r="103" spans="1:20" s="113" customFormat="1" ht="11.25">
      <c r="A103" s="121">
        <v>322</v>
      </c>
      <c r="B103" s="122" t="str">
        <f>VLOOKUP(A103,[1]INDICE!$A$4:$G$1000,2,0)</f>
        <v>MEIA SABONETEIRA EM LOUÇA DE EMBUTIR</v>
      </c>
      <c r="C103" s="160" t="str">
        <f>VLOOKUP(A103,[1]INDICE!$A$4:$G$1000,3,0)</f>
        <v>UN</v>
      </c>
      <c r="D103" s="122">
        <f>VLOOKUP(A103,[1]INDICE!$A$4:$G$1000,4,0)</f>
        <v>18.365000000000002</v>
      </c>
      <c r="E103" s="122">
        <f>VLOOKUP(A103,[1]INDICE!$A$4:$G$1000,5,0)</f>
        <v>19.385999999999999</v>
      </c>
      <c r="F103" s="122">
        <f>VLOOKUP(A103,[1]INDICE!$A$4:$G$1000,6,0)</f>
        <v>0</v>
      </c>
      <c r="G103" s="122">
        <f>VLOOKUP(A103,[1]INDICE!$A$4:$G$1000,7,0)</f>
        <v>37.751000000000005</v>
      </c>
      <c r="H103" s="116" t="b">
        <f>A103=[2]INDFILTRO!A103</f>
        <v>0</v>
      </c>
      <c r="I103" s="113" t="b">
        <f>B103=[3]INDFILTRO!B102</f>
        <v>0</v>
      </c>
      <c r="J103" s="113" t="b">
        <f>E103=[2]INDFILTRO!E103</f>
        <v>0</v>
      </c>
      <c r="K103" s="113" t="b">
        <f>F103=[2]INDFILTRO!F103</f>
        <v>1</v>
      </c>
      <c r="L103" s="116" t="str">
        <f t="shared" si="4"/>
        <v>verdadeiro</v>
      </c>
      <c r="M103" s="124">
        <f t="shared" si="5"/>
        <v>322</v>
      </c>
      <c r="R103" s="253" t="b">
        <f t="shared" si="3"/>
        <v>1</v>
      </c>
      <c r="S103" s="253"/>
      <c r="T103" s="253"/>
    </row>
    <row r="104" spans="1:20" s="113" customFormat="1" ht="11.25">
      <c r="A104" s="121">
        <v>323</v>
      </c>
      <c r="B104" s="122" t="str">
        <f>VLOOKUP(A104,[1]INDICE!$A$4:$G$1000,2,0)</f>
        <v>TUBO PARA VÁLVULA DE DESCARGA CURTO 1.1/4''</v>
      </c>
      <c r="C104" s="160" t="str">
        <f>VLOOKUP(A104,[1]INDICE!$A$4:$G$1000,3,0)</f>
        <v>UN</v>
      </c>
      <c r="D104" s="122">
        <f>VLOOKUP(A104,[1]INDICE!$A$4:$G$1000,4,0)</f>
        <v>11.9808</v>
      </c>
      <c r="E104" s="122">
        <f>VLOOKUP(A104,[1]INDICE!$A$4:$G$1000,5,0)</f>
        <v>5.94</v>
      </c>
      <c r="F104" s="122">
        <f>VLOOKUP(A104,[1]INDICE!$A$4:$G$1000,6,0)</f>
        <v>0</v>
      </c>
      <c r="G104" s="122">
        <f>VLOOKUP(A104,[1]INDICE!$A$4:$G$1000,7,0)</f>
        <v>17.9208</v>
      </c>
      <c r="H104" s="116" t="b">
        <f>A104=[2]INDFILTRO!A104</f>
        <v>0</v>
      </c>
      <c r="I104" s="113" t="b">
        <f>B104=[3]INDFILTRO!B103</f>
        <v>0</v>
      </c>
      <c r="J104" s="113" t="b">
        <f>E104=[2]INDFILTRO!E104</f>
        <v>0</v>
      </c>
      <c r="K104" s="113" t="b">
        <f>F104=[2]INDFILTRO!F104</f>
        <v>1</v>
      </c>
      <c r="L104" s="116" t="str">
        <f t="shared" si="4"/>
        <v>verdadeiro</v>
      </c>
      <c r="M104" s="124">
        <f t="shared" si="5"/>
        <v>323</v>
      </c>
      <c r="R104" s="253" t="b">
        <f t="shared" si="3"/>
        <v>1</v>
      </c>
      <c r="S104" s="253"/>
      <c r="T104" s="253"/>
    </row>
    <row r="105" spans="1:20" s="113" customFormat="1" ht="11.25">
      <c r="A105" s="121">
        <v>324</v>
      </c>
      <c r="B105" s="122" t="str">
        <f>VLOOKUP(A105,[1]INDICE!$A$4:$G$1000,2,0)</f>
        <v>TUBO DE LIGAÇÃO PVC CROMADO 1.1/2'' – ESPUDE (ENTRADA)</v>
      </c>
      <c r="C105" s="160" t="str">
        <f>VLOOKUP(A105,[1]INDICE!$A$4:$G$1000,3,0)</f>
        <v>UN</v>
      </c>
      <c r="D105" s="122">
        <f>VLOOKUP(A105,[1]INDICE!$A$4:$G$1000,4,0)</f>
        <v>5.2416</v>
      </c>
      <c r="E105" s="122">
        <f>VLOOKUP(A105,[1]INDICE!$A$4:$G$1000,5,0)</f>
        <v>5.89</v>
      </c>
      <c r="F105" s="122">
        <f>VLOOKUP(A105,[1]INDICE!$A$4:$G$1000,6,0)</f>
        <v>0</v>
      </c>
      <c r="G105" s="122">
        <f>VLOOKUP(A105,[1]INDICE!$A$4:$G$1000,7,0)</f>
        <v>11.131599999999999</v>
      </c>
      <c r="H105" s="116" t="b">
        <f>A105=[2]INDFILTRO!A105</f>
        <v>0</v>
      </c>
      <c r="I105" s="113" t="b">
        <f>B105=[3]INDFILTRO!B104</f>
        <v>0</v>
      </c>
      <c r="J105" s="113" t="b">
        <f>E105=[2]INDFILTRO!E105</f>
        <v>0</v>
      </c>
      <c r="K105" s="113" t="b">
        <f>F105=[2]INDFILTRO!F105</f>
        <v>1</v>
      </c>
      <c r="L105" s="116" t="str">
        <f t="shared" si="4"/>
        <v>verdadeiro</v>
      </c>
      <c r="M105" s="124">
        <f t="shared" si="5"/>
        <v>324</v>
      </c>
      <c r="R105" s="253" t="b">
        <f t="shared" si="3"/>
        <v>1</v>
      </c>
      <c r="S105" s="253"/>
      <c r="T105" s="253"/>
    </row>
    <row r="106" spans="1:20" s="113" customFormat="1" ht="11.25">
      <c r="A106" s="121">
        <v>326</v>
      </c>
      <c r="B106" s="122" t="str">
        <f>VLOOKUP(A106,[1]INDICE!$A$4:$G$1000,2,0)</f>
        <v>BUCHA DE REDUÇÃO, SOLDÁVEL LONGA, 50MM X 25MM</v>
      </c>
      <c r="C106" s="160" t="str">
        <f>VLOOKUP(A106,[1]INDICE!$A$4:$G$1000,3,0)</f>
        <v>UN</v>
      </c>
      <c r="D106" s="122">
        <f>VLOOKUP(A106,[1]INDICE!$A$4:$G$1000,4,0)</f>
        <v>5.2416</v>
      </c>
      <c r="E106" s="122">
        <f>VLOOKUP(A106,[1]INDICE!$A$4:$G$1000,5,0)</f>
        <v>3.39</v>
      </c>
      <c r="F106" s="122">
        <f>VLOOKUP(A106,[1]INDICE!$A$4:$G$1000,6,0)</f>
        <v>0</v>
      </c>
      <c r="G106" s="122">
        <f>VLOOKUP(A106,[1]INDICE!$A$4:$G$1000,7,0)</f>
        <v>8.6316000000000006</v>
      </c>
      <c r="H106" s="116" t="b">
        <f>A106=[2]INDFILTRO!A106</f>
        <v>0</v>
      </c>
      <c r="I106" s="113" t="b">
        <f>B106=[3]INDFILTRO!B105</f>
        <v>0</v>
      </c>
      <c r="J106" s="113" t="b">
        <f>E106=[2]INDFILTRO!E106</f>
        <v>0</v>
      </c>
      <c r="K106" s="113" t="b">
        <f>F106=[2]INDFILTRO!F106</f>
        <v>1</v>
      </c>
      <c r="L106" s="116" t="str">
        <f t="shared" si="4"/>
        <v>verdadeiro</v>
      </c>
      <c r="M106" s="124">
        <f t="shared" si="5"/>
        <v>326</v>
      </c>
      <c r="R106" s="253" t="b">
        <f t="shared" si="3"/>
        <v>1</v>
      </c>
      <c r="S106" s="253"/>
      <c r="T106" s="253"/>
    </row>
    <row r="107" spans="1:20" s="113" customFormat="1" ht="11.25">
      <c r="A107" s="121">
        <v>328</v>
      </c>
      <c r="B107" s="122" t="str">
        <f>VLOOKUP(A107,[1]INDICE!$A$4:$G$1000,2,0)</f>
        <v>CAIXA SIFONADA 150 X 150 X 50MM</v>
      </c>
      <c r="C107" s="160" t="str">
        <f>VLOOKUP(A107,[1]INDICE!$A$4:$G$1000,3,0)</f>
        <v>UN</v>
      </c>
      <c r="D107" s="122">
        <f>VLOOKUP(A107,[1]INDICE!$A$4:$G$1000,4,0)</f>
        <v>8.2368000000000006</v>
      </c>
      <c r="E107" s="122">
        <f>VLOOKUP(A107,[1]INDICE!$A$4:$G$1000,5,0)</f>
        <v>27.16</v>
      </c>
      <c r="F107" s="122">
        <f>VLOOKUP(A107,[1]INDICE!$A$4:$G$1000,6,0)</f>
        <v>0</v>
      </c>
      <c r="G107" s="122">
        <f>VLOOKUP(A107,[1]INDICE!$A$4:$G$1000,7,0)</f>
        <v>35.396799999999999</v>
      </c>
      <c r="H107" s="116" t="b">
        <f>A107=[2]INDFILTRO!A107</f>
        <v>0</v>
      </c>
      <c r="I107" s="113" t="b">
        <f>B107=[3]INDFILTRO!B106</f>
        <v>0</v>
      </c>
      <c r="J107" s="113" t="b">
        <f>E107=[2]INDFILTRO!E107</f>
        <v>0</v>
      </c>
      <c r="K107" s="113" t="b">
        <f>F107=[2]INDFILTRO!F107</f>
        <v>1</v>
      </c>
      <c r="L107" s="116" t="str">
        <f t="shared" si="4"/>
        <v>verdadeiro</v>
      </c>
      <c r="M107" s="124">
        <f t="shared" si="5"/>
        <v>328</v>
      </c>
      <c r="R107" s="253" t="b">
        <f t="shared" si="3"/>
        <v>1</v>
      </c>
      <c r="S107" s="253"/>
      <c r="T107" s="253"/>
    </row>
    <row r="108" spans="1:20" s="113" customFormat="1" ht="11.25">
      <c r="A108" s="121">
        <v>334</v>
      </c>
      <c r="B108" s="122" t="str">
        <f>VLOOKUP(A108,[1]INDICE!$A$4:$G$1000,2,0)</f>
        <v>VÁLVULA DE DESCARGA DUPLO ACIONAMENTO COM ACABAMENTO ANTI-VANDALISMO</v>
      </c>
      <c r="C108" s="160" t="str">
        <f>VLOOKUP(A108,[1]INDICE!$A$4:$G$1000,3,0)</f>
        <v>UN</v>
      </c>
      <c r="D108" s="122">
        <f>VLOOKUP(A108,[1]INDICE!$A$4:$G$1000,4,0)</f>
        <v>60.95232</v>
      </c>
      <c r="E108" s="122">
        <f>VLOOKUP(A108,[1]INDICE!$A$4:$G$1000,5,0)</f>
        <v>188.76320000000001</v>
      </c>
      <c r="F108" s="122">
        <f>VLOOKUP(A108,[1]INDICE!$A$4:$G$1000,6,0)</f>
        <v>0</v>
      </c>
      <c r="G108" s="122">
        <f>VLOOKUP(A108,[1]INDICE!$A$4:$G$1000,7,0)</f>
        <v>249.71552000000003</v>
      </c>
      <c r="H108" s="116" t="b">
        <f>A108=[2]INDFILTRO!A108</f>
        <v>0</v>
      </c>
      <c r="I108" s="113" t="b">
        <f>B108=[3]INDFILTRO!B107</f>
        <v>0</v>
      </c>
      <c r="J108" s="113" t="b">
        <f>E108=[2]INDFILTRO!E108</f>
        <v>0</v>
      </c>
      <c r="K108" s="113" t="b">
        <f>F108=[2]INDFILTRO!F108</f>
        <v>1</v>
      </c>
      <c r="L108" s="116" t="str">
        <f t="shared" si="4"/>
        <v>verdadeiro</v>
      </c>
      <c r="M108" s="124">
        <f t="shared" si="5"/>
        <v>334</v>
      </c>
      <c r="R108" s="253" t="b">
        <f t="shared" si="3"/>
        <v>1</v>
      </c>
      <c r="S108" s="253"/>
      <c r="T108" s="253"/>
    </row>
    <row r="109" spans="1:20" s="113" customFormat="1" ht="11.25">
      <c r="A109" s="121">
        <v>336</v>
      </c>
      <c r="B109" s="122" t="str">
        <f>VLOOKUP(A109,[1]INDICE!$A$4:$G$1000,2,0)</f>
        <v>TERMINAL DE VENTILAÇÃO DIAM. 50MM</v>
      </c>
      <c r="C109" s="160" t="str">
        <f>VLOOKUP(A109,[1]INDICE!$A$4:$G$1000,3,0)</f>
        <v>UN</v>
      </c>
      <c r="D109" s="122">
        <f>VLOOKUP(A109,[1]INDICE!$A$4:$G$1000,4,0)</f>
        <v>2.6208</v>
      </c>
      <c r="E109" s="122">
        <f>VLOOKUP(A109,[1]INDICE!$A$4:$G$1000,5,0)</f>
        <v>4.6500000000000004</v>
      </c>
      <c r="F109" s="122">
        <f>VLOOKUP(A109,[1]INDICE!$A$4:$G$1000,6,0)</f>
        <v>0</v>
      </c>
      <c r="G109" s="122">
        <f>VLOOKUP(A109,[1]INDICE!$A$4:$G$1000,7,0)</f>
        <v>7.2708000000000004</v>
      </c>
      <c r="H109" s="116" t="b">
        <f>A109=[2]INDFILTRO!A109</f>
        <v>0</v>
      </c>
      <c r="I109" s="113" t="b">
        <f>B109=[3]INDFILTRO!B108</f>
        <v>0</v>
      </c>
      <c r="J109" s="113" t="b">
        <f>E109=[2]INDFILTRO!E109</f>
        <v>0</v>
      </c>
      <c r="K109" s="113" t="b">
        <f>F109=[2]INDFILTRO!F109</f>
        <v>1</v>
      </c>
      <c r="L109" s="116" t="str">
        <f t="shared" si="4"/>
        <v>verdadeiro</v>
      </c>
      <c r="M109" s="124">
        <f t="shared" si="5"/>
        <v>336</v>
      </c>
      <c r="R109" s="253" t="b">
        <f t="shared" si="3"/>
        <v>1</v>
      </c>
      <c r="S109" s="253"/>
      <c r="T109" s="253"/>
    </row>
    <row r="110" spans="1:20" s="113" customFormat="1" ht="11.25">
      <c r="A110" s="121">
        <v>338</v>
      </c>
      <c r="B110" s="122" t="str">
        <f>VLOOKUP(A110,[1]INDICE!$A$4:$G$1000,2,0)</f>
        <v>REGULARIZAÇÃO (1:3), ESP. 2CM</v>
      </c>
      <c r="C110" s="160" t="str">
        <f>VLOOKUP(A110,[1]INDICE!$A$4:$G$1000,3,0)</f>
        <v>M2</v>
      </c>
      <c r="D110" s="122">
        <f>VLOOKUP(A110,[1]INDICE!$A$4:$G$1000,4,0)</f>
        <v>11.511982</v>
      </c>
      <c r="E110" s="122">
        <f>VLOOKUP(A110,[1]INDICE!$A$4:$G$1000,5,0)</f>
        <v>8.7818570000000005</v>
      </c>
      <c r="F110" s="122">
        <f>VLOOKUP(A110,[1]INDICE!$A$4:$G$1000,6,0)</f>
        <v>0</v>
      </c>
      <c r="G110" s="122">
        <f>VLOOKUP(A110,[1]INDICE!$A$4:$G$1000,7,0)</f>
        <v>20.293838999999998</v>
      </c>
      <c r="H110" s="116" t="b">
        <f>A110=[2]INDFILTRO!A110</f>
        <v>0</v>
      </c>
      <c r="I110" s="113" t="b">
        <f>B110=[3]INDFILTRO!B109</f>
        <v>0</v>
      </c>
      <c r="J110" s="113" t="b">
        <f>E110=[2]INDFILTRO!E110</f>
        <v>0</v>
      </c>
      <c r="K110" s="113" t="b">
        <f>F110=[2]INDFILTRO!F110</f>
        <v>1</v>
      </c>
      <c r="L110" s="116" t="str">
        <f t="shared" si="4"/>
        <v>verdadeiro</v>
      </c>
      <c r="M110" s="124">
        <f t="shared" si="5"/>
        <v>338</v>
      </c>
      <c r="R110" s="253" t="b">
        <f t="shared" si="3"/>
        <v>1</v>
      </c>
      <c r="S110" s="253"/>
      <c r="T110" s="253"/>
    </row>
    <row r="111" spans="1:20" s="113" customFormat="1" ht="11.25">
      <c r="A111" s="121">
        <v>339</v>
      </c>
      <c r="B111" s="122" t="str">
        <f>VLOOKUP(A111,[1]INDICE!$A$4:$G$1000,2,0)</f>
        <v>MANTA AUTO-PROTEGIDA ALUMÍNIO TIPO III-B</v>
      </c>
      <c r="C111" s="160" t="str">
        <f>VLOOKUP(A111,[1]INDICE!$A$4:$G$1000,3,0)</f>
        <v>M2</v>
      </c>
      <c r="D111" s="122">
        <f>VLOOKUP(A111,[1]INDICE!$A$4:$G$1000,4,0)</f>
        <v>24.752519999999997</v>
      </c>
      <c r="E111" s="122">
        <f>VLOOKUP(A111,[1]INDICE!$A$4:$G$1000,5,0)</f>
        <v>47.200200000000002</v>
      </c>
      <c r="F111" s="122">
        <f>VLOOKUP(A111,[1]INDICE!$A$4:$G$1000,6,0)</f>
        <v>0</v>
      </c>
      <c r="G111" s="122">
        <f>VLOOKUP(A111,[1]INDICE!$A$4:$G$1000,7,0)</f>
        <v>71.952719999999999</v>
      </c>
      <c r="H111" s="116" t="b">
        <f>A111=[2]INDFILTRO!A111</f>
        <v>0</v>
      </c>
      <c r="I111" s="113" t="b">
        <f>B111=[3]INDFILTRO!B110</f>
        <v>0</v>
      </c>
      <c r="J111" s="113" t="b">
        <f>E111=[2]INDFILTRO!E111</f>
        <v>0</v>
      </c>
      <c r="K111" s="113" t="b">
        <f>F111=[2]INDFILTRO!F111</f>
        <v>1</v>
      </c>
      <c r="L111" s="116" t="str">
        <f t="shared" si="4"/>
        <v>verdadeiro</v>
      </c>
      <c r="M111" s="124">
        <f t="shared" si="5"/>
        <v>339</v>
      </c>
      <c r="R111" s="253" t="b">
        <f t="shared" si="3"/>
        <v>1</v>
      </c>
      <c r="S111" s="253"/>
      <c r="T111" s="253"/>
    </row>
    <row r="112" spans="1:20" s="113" customFormat="1" ht="11.25">
      <c r="A112" s="121">
        <v>340</v>
      </c>
      <c r="B112" s="122" t="str">
        <f>VLOOKUP(A112,[1]INDICE!$A$4:$G$1000,2,0)</f>
        <v>MASTIQUE A BASE DE POLIURETANO COM PRÉVIO PREPARO E TRATAMENTO DA SUPERFÍCIE</v>
      </c>
      <c r="C112" s="160" t="str">
        <f>VLOOKUP(A112,[1]INDICE!$A$4:$G$1000,3,0)</f>
        <v>CM3</v>
      </c>
      <c r="D112" s="122">
        <f>VLOOKUP(A112,[1]INDICE!$A$4:$G$1000,4,0)</f>
        <v>8.6940000000000003E-2</v>
      </c>
      <c r="E112" s="122">
        <f>VLOOKUP(A112,[1]INDICE!$A$4:$G$1000,5,0)</f>
        <v>8.7484000000000006E-2</v>
      </c>
      <c r="F112" s="122">
        <f>VLOOKUP(A112,[1]INDICE!$A$4:$G$1000,6,0)</f>
        <v>0</v>
      </c>
      <c r="G112" s="122">
        <f>VLOOKUP(A112,[1]INDICE!$A$4:$G$1000,7,0)</f>
        <v>0.17442400000000002</v>
      </c>
      <c r="H112" s="116" t="b">
        <f>A112=[2]INDFILTRO!A112</f>
        <v>0</v>
      </c>
      <c r="I112" s="113" t="b">
        <f>B112=[3]INDFILTRO!B111</f>
        <v>0</v>
      </c>
      <c r="J112" s="113" t="b">
        <f>E112=[2]INDFILTRO!E112</f>
        <v>0</v>
      </c>
      <c r="K112" s="113" t="b">
        <f>F112=[2]INDFILTRO!F112</f>
        <v>1</v>
      </c>
      <c r="L112" s="116" t="str">
        <f t="shared" si="4"/>
        <v>verdadeiro</v>
      </c>
      <c r="M112" s="124">
        <f t="shared" si="5"/>
        <v>340</v>
      </c>
      <c r="R112" s="253" t="b">
        <f t="shared" si="3"/>
        <v>1</v>
      </c>
      <c r="S112" s="253"/>
      <c r="T112" s="253"/>
    </row>
    <row r="113" spans="1:20" s="113" customFormat="1" ht="11.25">
      <c r="A113" s="121">
        <v>341</v>
      </c>
      <c r="B113" s="122" t="str">
        <f>VLOOKUP(A113,[1]INDICE!$A$4:$G$1000,2,0)</f>
        <v>ESTRUTURA METÁLICA SAC 300</v>
      </c>
      <c r="C113" s="160" t="str">
        <f>VLOOKUP(A113,[1]INDICE!$A$4:$G$1000,3,0)</f>
        <v>KG</v>
      </c>
      <c r="D113" s="122">
        <f>VLOOKUP(A113,[1]INDICE!$A$4:$G$1000,4,0)</f>
        <v>0</v>
      </c>
      <c r="E113" s="122">
        <f>VLOOKUP(A113,[1]INDICE!$A$4:$G$1000,5,0)</f>
        <v>14.124000000000001</v>
      </c>
      <c r="F113" s="122">
        <f>VLOOKUP(A113,[1]INDICE!$A$4:$G$1000,6,0)</f>
        <v>0</v>
      </c>
      <c r="G113" s="122">
        <f>VLOOKUP(A113,[1]INDICE!$A$4:$G$1000,7,0)</f>
        <v>14.124000000000001</v>
      </c>
      <c r="H113" s="116" t="b">
        <f>A113=[2]INDFILTRO!A113</f>
        <v>0</v>
      </c>
      <c r="I113" s="113" t="b">
        <f>B113=[3]INDFILTRO!B112</f>
        <v>0</v>
      </c>
      <c r="J113" s="113" t="b">
        <f>E113=[2]INDFILTRO!E113</f>
        <v>0</v>
      </c>
      <c r="K113" s="113" t="b">
        <f>F113=[2]INDFILTRO!F113</f>
        <v>1</v>
      </c>
      <c r="L113" s="116" t="str">
        <f t="shared" si="4"/>
        <v>verdadeiro</v>
      </c>
      <c r="M113" s="124">
        <f t="shared" si="5"/>
        <v>341</v>
      </c>
      <c r="R113" s="253" t="b">
        <f t="shared" si="3"/>
        <v>1</v>
      </c>
      <c r="S113" s="253"/>
      <c r="T113" s="253"/>
    </row>
    <row r="114" spans="1:20" s="113" customFormat="1" ht="11.25">
      <c r="A114" s="121">
        <v>342</v>
      </c>
      <c r="B114" s="122" t="str">
        <f>VLOOKUP(A114,[1]INDICE!$A$4:$G$1000,2,0)</f>
        <v>CALHA DE CHAPA GALVANIZADA Nº 26, 60CM</v>
      </c>
      <c r="C114" s="160" t="str">
        <f>VLOOKUP(A114,[1]INDICE!$A$4:$G$1000,3,0)</f>
        <v>M</v>
      </c>
      <c r="D114" s="122">
        <f>VLOOKUP(A114,[1]INDICE!$A$4:$G$1000,4,0)</f>
        <v>39.185000000000002</v>
      </c>
      <c r="E114" s="122">
        <f>VLOOKUP(A114,[1]INDICE!$A$4:$G$1000,5,0)</f>
        <v>20.28</v>
      </c>
      <c r="F114" s="122">
        <f>VLOOKUP(A114,[1]INDICE!$A$4:$G$1000,6,0)</f>
        <v>0</v>
      </c>
      <c r="G114" s="122">
        <f>VLOOKUP(A114,[1]INDICE!$A$4:$G$1000,7,0)</f>
        <v>59.465000000000003</v>
      </c>
      <c r="H114" s="116" t="b">
        <f>A114=[2]INDFILTRO!A114</f>
        <v>0</v>
      </c>
      <c r="I114" s="113" t="b">
        <f>B114=[3]INDFILTRO!B113</f>
        <v>0</v>
      </c>
      <c r="J114" s="113" t="b">
        <f>E114=[2]INDFILTRO!E114</f>
        <v>0</v>
      </c>
      <c r="K114" s="113" t="b">
        <f>F114=[2]INDFILTRO!F114</f>
        <v>1</v>
      </c>
      <c r="L114" s="116" t="str">
        <f t="shared" si="4"/>
        <v>verdadeiro</v>
      </c>
      <c r="M114" s="124">
        <f t="shared" si="5"/>
        <v>342</v>
      </c>
      <c r="R114" s="253" t="b">
        <f t="shared" si="3"/>
        <v>1</v>
      </c>
      <c r="S114" s="253"/>
      <c r="T114" s="253"/>
    </row>
    <row r="115" spans="1:20" s="113" customFormat="1" ht="11.25">
      <c r="A115" s="121">
        <v>343</v>
      </c>
      <c r="B115" s="122" t="str">
        <f>VLOOKUP(A115,[1]INDICE!$A$4:$G$1000,2,0)</f>
        <v>RUFO DE CHAPA GALVANIZADA</v>
      </c>
      <c r="C115" s="160" t="str">
        <f>VLOOKUP(A115,[1]INDICE!$A$4:$G$1000,3,0)</f>
        <v>M</v>
      </c>
      <c r="D115" s="122">
        <f>VLOOKUP(A115,[1]INDICE!$A$4:$G$1000,4,0)</f>
        <v>18.405000000000001</v>
      </c>
      <c r="E115" s="122">
        <f>VLOOKUP(A115,[1]INDICE!$A$4:$G$1000,5,0)</f>
        <v>15.034979999999999</v>
      </c>
      <c r="F115" s="122">
        <f>VLOOKUP(A115,[1]INDICE!$A$4:$G$1000,6,0)</f>
        <v>0</v>
      </c>
      <c r="G115" s="122">
        <f>VLOOKUP(A115,[1]INDICE!$A$4:$G$1000,7,0)</f>
        <v>33.439979999999998</v>
      </c>
      <c r="H115" s="116" t="b">
        <f>A115=[2]INDFILTRO!A115</f>
        <v>0</v>
      </c>
      <c r="I115" s="113" t="b">
        <f>B115=[3]INDFILTRO!B114</f>
        <v>0</v>
      </c>
      <c r="J115" s="113" t="b">
        <f>E115=[2]INDFILTRO!E115</f>
        <v>0</v>
      </c>
      <c r="K115" s="113" t="b">
        <f>F115=[2]INDFILTRO!F115</f>
        <v>1</v>
      </c>
      <c r="L115" s="116" t="str">
        <f t="shared" si="4"/>
        <v>verdadeiro</v>
      </c>
      <c r="M115" s="124">
        <f t="shared" si="5"/>
        <v>343</v>
      </c>
      <c r="R115" s="253" t="b">
        <f t="shared" si="3"/>
        <v>1</v>
      </c>
      <c r="S115" s="253"/>
      <c r="T115" s="253"/>
    </row>
    <row r="116" spans="1:20" s="113" customFormat="1" ht="11.25">
      <c r="A116" s="121">
        <v>344</v>
      </c>
      <c r="B116" s="122" t="str">
        <f>VLOOKUP(A116,[1]INDICE!$A$4:$G$1000,2,0)</f>
        <v>CUMEEIRA PARA TELHA GALVANIZADA TRAPEZOIDAL, 0,5MM</v>
      </c>
      <c r="C116" s="160" t="str">
        <f>VLOOKUP(A116,[1]INDICE!$A$4:$G$1000,3,0)</f>
        <v>M</v>
      </c>
      <c r="D116" s="122">
        <f>VLOOKUP(A116,[1]INDICE!$A$4:$G$1000,4,0)</f>
        <v>3.0528</v>
      </c>
      <c r="E116" s="122">
        <f>VLOOKUP(A116,[1]INDICE!$A$4:$G$1000,5,0)</f>
        <v>17.917200000000001</v>
      </c>
      <c r="F116" s="122">
        <f>VLOOKUP(A116,[1]INDICE!$A$4:$G$1000,6,0)</f>
        <v>0</v>
      </c>
      <c r="G116" s="122">
        <f>VLOOKUP(A116,[1]INDICE!$A$4:$G$1000,7,0)</f>
        <v>20.970000000000002</v>
      </c>
      <c r="H116" s="116" t="b">
        <f>A116=[2]INDFILTRO!A116</f>
        <v>0</v>
      </c>
      <c r="I116" s="113" t="b">
        <f>B116=[3]INDFILTRO!B115</f>
        <v>0</v>
      </c>
      <c r="J116" s="113" t="b">
        <f>E116=[2]INDFILTRO!E116</f>
        <v>0</v>
      </c>
      <c r="K116" s="113" t="b">
        <f>F116=[2]INDFILTRO!F116</f>
        <v>1</v>
      </c>
      <c r="L116" s="116" t="str">
        <f t="shared" si="4"/>
        <v>verdadeiro</v>
      </c>
      <c r="M116" s="124">
        <f t="shared" si="5"/>
        <v>344</v>
      </c>
      <c r="R116" s="253" t="b">
        <f t="shared" si="3"/>
        <v>1</v>
      </c>
      <c r="S116" s="253"/>
      <c r="T116" s="253"/>
    </row>
    <row r="117" spans="1:20" s="113" customFormat="1" ht="33.75">
      <c r="A117" s="121">
        <v>345</v>
      </c>
      <c r="B117" s="122" t="str">
        <f>VLOOKUP(A117,[1]INDICE!$A$4:$G$1000,2,0)</f>
        <v>KIT DE PORTA DE MADEIRA PARA PINTURA, SEMI-OCA (LEVE OU MÉDIA), PADRÃO MÉDIO, 110 X 210CM, ESPESSURA DE 3,5CM, ITENS INCLUSOS: DOBRADIÇAS, MONTAGEM E INSTALAÇÃO DO BATENTE, FECHADURA COM EXECUÇÃO DO FURO – FORNECIMENTO E INSTALAÇÃO</v>
      </c>
      <c r="C117" s="160" t="str">
        <f>VLOOKUP(A117,[1]INDICE!$A$4:$G$1000,3,0)</f>
        <v>UN</v>
      </c>
      <c r="D117" s="122">
        <f>VLOOKUP(A117,[1]INDICE!$A$4:$G$1000,4,0)</f>
        <v>162.94344500000003</v>
      </c>
      <c r="E117" s="122">
        <f>VLOOKUP(A117,[1]INDICE!$A$4:$G$1000,5,0)</f>
        <v>777.60460899999987</v>
      </c>
      <c r="F117" s="122">
        <f>VLOOKUP(A117,[1]INDICE!$A$4:$G$1000,6,0)</f>
        <v>0</v>
      </c>
      <c r="G117" s="122">
        <f>VLOOKUP(A117,[1]INDICE!$A$4:$G$1000,7,0)</f>
        <v>940.54805399999987</v>
      </c>
      <c r="H117" s="116" t="b">
        <f>A117=[2]INDFILTRO!A117</f>
        <v>0</v>
      </c>
      <c r="I117" s="113" t="b">
        <f>B117=[3]INDFILTRO!B116</f>
        <v>0</v>
      </c>
      <c r="J117" s="113" t="b">
        <f>E117=[2]INDFILTRO!E117</f>
        <v>0</v>
      </c>
      <c r="K117" s="113" t="b">
        <f>F117=[2]INDFILTRO!F117</f>
        <v>1</v>
      </c>
      <c r="L117" s="116" t="str">
        <f t="shared" si="4"/>
        <v>verdadeiro</v>
      </c>
      <c r="M117" s="124">
        <f t="shared" si="5"/>
        <v>345</v>
      </c>
      <c r="R117" s="253" t="b">
        <f t="shared" si="3"/>
        <v>1</v>
      </c>
      <c r="S117" s="253"/>
      <c r="T117" s="253"/>
    </row>
    <row r="118" spans="1:20" s="113" customFormat="1" ht="22.5">
      <c r="A118" s="121">
        <v>347</v>
      </c>
      <c r="B118" s="122" t="str">
        <f>VLOOKUP(A118,[1]INDICE!$A$4:$G$1000,2,0)</f>
        <v>MOLDURA TIPO “U” INVERTIDO EM ARGAMASSA COM 2CM DE ESPESSURA TIPO PINGADEIRA EM MURO/PLATIBANDA (A PARTE VETICAL DESCE 2,5CM)</v>
      </c>
      <c r="C118" s="160" t="str">
        <f>VLOOKUP(A118,[1]INDICE!$A$4:$G$1000,3,0)</f>
        <v>M2</v>
      </c>
      <c r="D118" s="122">
        <f>VLOOKUP(A118,[1]INDICE!$A$4:$G$1000,4,0)</f>
        <v>48.24633</v>
      </c>
      <c r="E118" s="122">
        <f>VLOOKUP(A118,[1]INDICE!$A$4:$G$1000,5,0)</f>
        <v>15.812080000000002</v>
      </c>
      <c r="F118" s="122">
        <f>VLOOKUP(A118,[1]INDICE!$A$4:$G$1000,6,0)</f>
        <v>0</v>
      </c>
      <c r="G118" s="122">
        <f>VLOOKUP(A118,[1]INDICE!$A$4:$G$1000,7,0)</f>
        <v>64.058410000000009</v>
      </c>
      <c r="H118" s="116" t="b">
        <f>A118=[2]INDFILTRO!A118</f>
        <v>0</v>
      </c>
      <c r="I118" s="113" t="b">
        <f>B118=[3]INDFILTRO!B117</f>
        <v>0</v>
      </c>
      <c r="J118" s="113" t="b">
        <f>E118=[2]INDFILTRO!E118</f>
        <v>0</v>
      </c>
      <c r="K118" s="113" t="b">
        <f>F118=[2]INDFILTRO!F118</f>
        <v>1</v>
      </c>
      <c r="L118" s="116" t="str">
        <f t="shared" si="4"/>
        <v>verdadeiro</v>
      </c>
      <c r="M118" s="124">
        <f t="shared" si="5"/>
        <v>347</v>
      </c>
      <c r="R118" s="253" t="b">
        <f t="shared" si="3"/>
        <v>1</v>
      </c>
      <c r="S118" s="253"/>
      <c r="T118" s="253"/>
    </row>
    <row r="119" spans="1:20" s="113" customFormat="1" ht="22.5">
      <c r="A119" s="121">
        <v>348</v>
      </c>
      <c r="B119" s="122" t="str">
        <f>VLOOKUP(A119,[1]INDICE!$A$4:$G$1000,2,0)</f>
        <v>PASSEIO DE PROTEÇÃO EM CONCRETO DESEMPENADO 5CM (1:2,5:3,5) (INCLUSO ESPELHO DE 30CM/ESCAVAÇÃO/REATERRO/APILOAMENTO/ATERRO INTERNO)</v>
      </c>
      <c r="C119" s="160" t="str">
        <f>VLOOKUP(A119,[1]INDICE!$A$4:$G$1000,3,0)</f>
        <v>M2</v>
      </c>
      <c r="D119" s="122">
        <f>VLOOKUP(A119,[1]INDICE!$A$4:$G$1000,4,0)</f>
        <v>43.421984000000002</v>
      </c>
      <c r="E119" s="122">
        <f>VLOOKUP(A119,[1]INDICE!$A$4:$G$1000,5,0)</f>
        <v>31.570292999999999</v>
      </c>
      <c r="F119" s="122">
        <f>VLOOKUP(A119,[1]INDICE!$A$4:$G$1000,6,0)</f>
        <v>0</v>
      </c>
      <c r="G119" s="122">
        <f>VLOOKUP(A119,[1]INDICE!$A$4:$G$1000,7,0)</f>
        <v>74.992277000000001</v>
      </c>
      <c r="H119" s="116" t="b">
        <f>A119=[2]INDFILTRO!A119</f>
        <v>0</v>
      </c>
      <c r="I119" s="113" t="b">
        <f>B119=[3]INDFILTRO!B118</f>
        <v>0</v>
      </c>
      <c r="J119" s="113" t="b">
        <f>E119=[2]INDFILTRO!E119</f>
        <v>0</v>
      </c>
      <c r="K119" s="113" t="b">
        <f>F119=[2]INDFILTRO!F119</f>
        <v>1</v>
      </c>
      <c r="L119" s="116" t="str">
        <f t="shared" si="4"/>
        <v>verdadeiro</v>
      </c>
      <c r="M119" s="124">
        <f t="shared" si="5"/>
        <v>348</v>
      </c>
      <c r="R119" s="253" t="b">
        <f t="shared" si="3"/>
        <v>1</v>
      </c>
      <c r="S119" s="253"/>
      <c r="T119" s="253"/>
    </row>
    <row r="120" spans="1:20" s="113" customFormat="1" ht="11.25">
      <c r="A120" s="121">
        <v>349</v>
      </c>
      <c r="B120" s="122" t="str">
        <f>VLOOKUP(A120,[1]INDICE!$A$4:$G$1000,2,0)</f>
        <v>PISO EM CONCRETO DESEMPENADO 5CM (1:2,5:3,5)</v>
      </c>
      <c r="C120" s="160" t="str">
        <f>VLOOKUP(A120,[1]INDICE!$A$4:$G$1000,3,0)</f>
        <v>M2</v>
      </c>
      <c r="D120" s="122">
        <f>VLOOKUP(A120,[1]INDICE!$A$4:$G$1000,4,0)</f>
        <v>14.561212999999999</v>
      </c>
      <c r="E120" s="122">
        <f>VLOOKUP(A120,[1]INDICE!$A$4:$G$1000,5,0)</f>
        <v>15.349762</v>
      </c>
      <c r="F120" s="122">
        <f>VLOOKUP(A120,[1]INDICE!$A$4:$G$1000,6,0)</f>
        <v>0</v>
      </c>
      <c r="G120" s="122">
        <f>VLOOKUP(A120,[1]INDICE!$A$4:$G$1000,7,0)</f>
        <v>29.910975000000001</v>
      </c>
      <c r="H120" s="116" t="b">
        <f>A120=[2]INDFILTRO!A120</f>
        <v>0</v>
      </c>
      <c r="I120" s="113" t="b">
        <f>B120=[3]INDFILTRO!B119</f>
        <v>0</v>
      </c>
      <c r="J120" s="113" t="b">
        <f>E120=[2]INDFILTRO!E120</f>
        <v>0</v>
      </c>
      <c r="K120" s="113" t="b">
        <f>F120=[2]INDFILTRO!F120</f>
        <v>1</v>
      </c>
      <c r="L120" s="116" t="str">
        <f t="shared" si="4"/>
        <v>verdadeiro</v>
      </c>
      <c r="M120" s="124">
        <f t="shared" si="5"/>
        <v>349</v>
      </c>
      <c r="R120" s="253" t="b">
        <f t="shared" si="3"/>
        <v>1</v>
      </c>
      <c r="S120" s="253"/>
      <c r="T120" s="253"/>
    </row>
    <row r="121" spans="1:20" s="113" customFormat="1" ht="11.25">
      <c r="A121" s="121">
        <v>350</v>
      </c>
      <c r="B121" s="122" t="str">
        <f>VLOOKUP(A121,[1]INDICE!$A$4:$G$1000,2,0)</f>
        <v>GRANITINA 8MM FUNDIDA COM CONTRAPISO, ESP. 2CM E JUNTA PLÁSTICA 27MM</v>
      </c>
      <c r="C121" s="160" t="str">
        <f>VLOOKUP(A121,[1]INDICE!$A$4:$G$1000,3,0)</f>
        <v>M2</v>
      </c>
      <c r="D121" s="122">
        <f>VLOOKUP(A121,[1]INDICE!$A$4:$G$1000,4,0)</f>
        <v>19.118230999999998</v>
      </c>
      <c r="E121" s="122">
        <f>VLOOKUP(A121,[1]INDICE!$A$4:$G$1000,5,0)</f>
        <v>97.538049999999998</v>
      </c>
      <c r="F121" s="122">
        <f>VLOOKUP(A121,[1]INDICE!$A$4:$G$1000,6,0)</f>
        <v>0</v>
      </c>
      <c r="G121" s="122">
        <f>VLOOKUP(A121,[1]INDICE!$A$4:$G$1000,7,0)</f>
        <v>116.65628099999999</v>
      </c>
      <c r="H121" s="116" t="b">
        <f>A121=[2]INDFILTRO!A121</f>
        <v>0</v>
      </c>
      <c r="I121" s="113" t="b">
        <f>B121=[3]INDFILTRO!B120</f>
        <v>0</v>
      </c>
      <c r="J121" s="113" t="b">
        <f>E121=[2]INDFILTRO!E121</f>
        <v>0</v>
      </c>
      <c r="K121" s="113" t="b">
        <f>F121=[2]INDFILTRO!F121</f>
        <v>1</v>
      </c>
      <c r="L121" s="116" t="str">
        <f t="shared" si="4"/>
        <v>verdadeiro</v>
      </c>
      <c r="M121" s="124">
        <f t="shared" si="5"/>
        <v>350</v>
      </c>
      <c r="R121" s="253" t="b">
        <f t="shared" si="3"/>
        <v>1</v>
      </c>
      <c r="S121" s="253"/>
      <c r="T121" s="253"/>
    </row>
    <row r="122" spans="1:20" s="113" customFormat="1" ht="11.25">
      <c r="A122" s="121">
        <v>351</v>
      </c>
      <c r="B122" s="122" t="str">
        <f>VLOOKUP(A122,[1]INDICE!$A$4:$G$1000,2,0)</f>
        <v>RODAPÉ FUNDIDO DE GRANITINA 7CM</v>
      </c>
      <c r="C122" s="160" t="str">
        <f>VLOOKUP(A122,[1]INDICE!$A$4:$G$1000,3,0)</f>
        <v>M</v>
      </c>
      <c r="D122" s="122">
        <f>VLOOKUP(A122,[1]INDICE!$A$4:$G$1000,4,0)</f>
        <v>0</v>
      </c>
      <c r="E122" s="122">
        <f>VLOOKUP(A122,[1]INDICE!$A$4:$G$1000,5,0)</f>
        <v>20.94</v>
      </c>
      <c r="F122" s="122">
        <f>VLOOKUP(A122,[1]INDICE!$A$4:$G$1000,6,0)</f>
        <v>0</v>
      </c>
      <c r="G122" s="122">
        <f>VLOOKUP(A122,[1]INDICE!$A$4:$G$1000,7,0)</f>
        <v>20.94</v>
      </c>
      <c r="H122" s="116" t="b">
        <f>A122=[2]INDFILTRO!A122</f>
        <v>0</v>
      </c>
      <c r="I122" s="113" t="b">
        <f>B122=[3]INDFILTRO!B121</f>
        <v>0</v>
      </c>
      <c r="J122" s="113" t="b">
        <f>E122=[2]INDFILTRO!E122</f>
        <v>0</v>
      </c>
      <c r="K122" s="113" t="b">
        <f>F122=[2]INDFILTRO!F122</f>
        <v>1</v>
      </c>
      <c r="L122" s="116" t="str">
        <f t="shared" si="4"/>
        <v>verdadeiro</v>
      </c>
      <c r="M122" s="124">
        <f t="shared" si="5"/>
        <v>351</v>
      </c>
      <c r="R122" s="253" t="b">
        <f t="shared" si="3"/>
        <v>1</v>
      </c>
      <c r="S122" s="253"/>
      <c r="T122" s="253"/>
    </row>
    <row r="123" spans="1:20" s="113" customFormat="1" ht="11.25">
      <c r="A123" s="121">
        <v>352</v>
      </c>
      <c r="B123" s="122" t="str">
        <f>VLOOKUP(A123,[1]INDICE!$A$4:$G$1000,2,0)</f>
        <v>BARRA DE APOIO EM AÇO INOX – 40CM</v>
      </c>
      <c r="C123" s="160" t="str">
        <f>VLOOKUP(A123,[1]INDICE!$A$4:$G$1000,3,0)</f>
        <v>UN</v>
      </c>
      <c r="D123" s="122">
        <f>VLOOKUP(A123,[1]INDICE!$A$4:$G$1000,4,0)</f>
        <v>13.103999999999999</v>
      </c>
      <c r="E123" s="122">
        <f>VLOOKUP(A123,[1]INDICE!$A$4:$G$1000,5,0)</f>
        <v>103.69</v>
      </c>
      <c r="F123" s="122">
        <f>VLOOKUP(A123,[1]INDICE!$A$4:$G$1000,6,0)</f>
        <v>0</v>
      </c>
      <c r="G123" s="122">
        <f>VLOOKUP(A123,[1]INDICE!$A$4:$G$1000,7,0)</f>
        <v>116.794</v>
      </c>
      <c r="H123" s="116" t="b">
        <f>A123=[2]INDFILTRO!A123</f>
        <v>0</v>
      </c>
      <c r="I123" s="113" t="b">
        <f>B123=[3]INDFILTRO!B122</f>
        <v>0</v>
      </c>
      <c r="J123" s="113" t="b">
        <f>E123=[2]INDFILTRO!E123</f>
        <v>0</v>
      </c>
      <c r="K123" s="113" t="b">
        <f>F123=[2]INDFILTRO!F123</f>
        <v>1</v>
      </c>
      <c r="L123" s="116" t="str">
        <f t="shared" si="4"/>
        <v>verdadeiro</v>
      </c>
      <c r="M123" s="124">
        <f t="shared" si="5"/>
        <v>352</v>
      </c>
      <c r="R123" s="253" t="b">
        <f t="shared" si="3"/>
        <v>1</v>
      </c>
      <c r="S123" s="253"/>
      <c r="T123" s="253"/>
    </row>
    <row r="124" spans="1:20" s="113" customFormat="1" ht="11.25">
      <c r="A124" s="121">
        <v>353</v>
      </c>
      <c r="B124" s="122" t="str">
        <f>VLOOKUP(A124,[1]INDICE!$A$4:$G$1000,2,0)</f>
        <v>BATE CARTEIRA</v>
      </c>
      <c r="C124" s="160" t="str">
        <f>VLOOKUP(A124,[1]INDICE!$A$4:$G$1000,3,0)</f>
        <v>M</v>
      </c>
      <c r="D124" s="122">
        <f>VLOOKUP(A124,[1]INDICE!$A$4:$G$1000,4,0)</f>
        <v>15.581209999999999</v>
      </c>
      <c r="E124" s="122">
        <f>VLOOKUP(A124,[1]INDICE!$A$4:$G$1000,5,0)</f>
        <v>15.275206000000001</v>
      </c>
      <c r="F124" s="122">
        <f>VLOOKUP(A124,[1]INDICE!$A$4:$G$1000,6,0)</f>
        <v>0</v>
      </c>
      <c r="G124" s="122">
        <f>VLOOKUP(A124,[1]INDICE!$A$4:$G$1000,7,0)</f>
        <v>30.856415999999999</v>
      </c>
      <c r="H124" s="116" t="b">
        <f>A124=[2]INDFILTRO!A124</f>
        <v>0</v>
      </c>
      <c r="I124" s="113" t="b">
        <f>B124=[3]INDFILTRO!B123</f>
        <v>0</v>
      </c>
      <c r="J124" s="113" t="b">
        <f>E124=[2]INDFILTRO!E124</f>
        <v>0</v>
      </c>
      <c r="K124" s="113" t="b">
        <f>F124=[2]INDFILTRO!F124</f>
        <v>1</v>
      </c>
      <c r="L124" s="116" t="str">
        <f t="shared" si="4"/>
        <v>verdadeiro</v>
      </c>
      <c r="M124" s="124">
        <f t="shared" si="5"/>
        <v>353</v>
      </c>
      <c r="R124" s="253" t="b">
        <f t="shared" si="3"/>
        <v>1</v>
      </c>
      <c r="S124" s="253"/>
      <c r="T124" s="253"/>
    </row>
    <row r="125" spans="1:20" s="113" customFormat="1" ht="11.25">
      <c r="A125" s="121">
        <v>354</v>
      </c>
      <c r="B125" s="122" t="str">
        <f>VLOOKUP(A125,[1]INDICE!$A$4:$G$1000,2,0)</f>
        <v>BATE MACA</v>
      </c>
      <c r="C125" s="160" t="str">
        <f>VLOOKUP(A125,[1]INDICE!$A$4:$G$1000,3,0)</f>
        <v>M</v>
      </c>
      <c r="D125" s="122">
        <f>VLOOKUP(A125,[1]INDICE!$A$4:$G$1000,4,0)</f>
        <v>15.581209999999999</v>
      </c>
      <c r="E125" s="122">
        <f>VLOOKUP(A125,[1]INDICE!$A$4:$G$1000,5,0)</f>
        <v>15.662903999999999</v>
      </c>
      <c r="F125" s="122">
        <f>VLOOKUP(A125,[1]INDICE!$A$4:$G$1000,6,0)</f>
        <v>0</v>
      </c>
      <c r="G125" s="122">
        <f>VLOOKUP(A125,[1]INDICE!$A$4:$G$1000,7,0)</f>
        <v>31.244113999999996</v>
      </c>
      <c r="H125" s="116" t="b">
        <f>A125=[2]INDFILTRO!A125</f>
        <v>0</v>
      </c>
      <c r="I125" s="113" t="b">
        <f>B125=[3]INDFILTRO!B124</f>
        <v>0</v>
      </c>
      <c r="J125" s="113" t="b">
        <f>E125=[2]INDFILTRO!E125</f>
        <v>0</v>
      </c>
      <c r="K125" s="113" t="b">
        <f>F125=[2]INDFILTRO!F125</f>
        <v>1</v>
      </c>
      <c r="L125" s="116" t="str">
        <f t="shared" si="4"/>
        <v>verdadeiro</v>
      </c>
      <c r="M125" s="124">
        <f t="shared" si="5"/>
        <v>354</v>
      </c>
      <c r="R125" s="253" t="b">
        <f t="shared" si="3"/>
        <v>1</v>
      </c>
      <c r="S125" s="253"/>
      <c r="T125" s="253"/>
    </row>
    <row r="126" spans="1:20" s="113" customFormat="1" ht="11.25">
      <c r="A126" s="121">
        <v>355</v>
      </c>
      <c r="B126" s="122" t="str">
        <f>VLOOKUP(A126,[1]INDICE!$A$4:$G$1000,2,0)</f>
        <v>PRATELEIRA EST. CAIBRO 4+1, TÁBUAS APARELHADAS E ENVERNIZADAS</v>
      </c>
      <c r="C126" s="160" t="str">
        <f>VLOOKUP(A126,[1]INDICE!$A$4:$G$1000,3,0)</f>
        <v>M</v>
      </c>
      <c r="D126" s="122">
        <f>VLOOKUP(A126,[1]INDICE!$A$4:$G$1000,4,0)</f>
        <v>153.93822700000001</v>
      </c>
      <c r="E126" s="122">
        <f>VLOOKUP(A126,[1]INDICE!$A$4:$G$1000,5,0)</f>
        <v>187.35803200000001</v>
      </c>
      <c r="F126" s="122">
        <f>VLOOKUP(A126,[1]INDICE!$A$4:$G$1000,6,0)</f>
        <v>0</v>
      </c>
      <c r="G126" s="122">
        <f>VLOOKUP(A126,[1]INDICE!$A$4:$G$1000,7,0)</f>
        <v>341.29625900000002</v>
      </c>
      <c r="H126" s="116" t="b">
        <f>A126=[2]INDFILTRO!A126</f>
        <v>0</v>
      </c>
      <c r="I126" s="113" t="b">
        <f>B126=[3]INDFILTRO!B125</f>
        <v>0</v>
      </c>
      <c r="J126" s="113" t="b">
        <f>E126=[2]INDFILTRO!E126</f>
        <v>0</v>
      </c>
      <c r="K126" s="113" t="b">
        <f>F126=[2]INDFILTRO!F126</f>
        <v>1</v>
      </c>
      <c r="L126" s="116" t="str">
        <f t="shared" si="4"/>
        <v>verdadeiro</v>
      </c>
      <c r="M126" s="124">
        <f t="shared" si="5"/>
        <v>355</v>
      </c>
      <c r="R126" s="253" t="b">
        <f t="shared" si="3"/>
        <v>1</v>
      </c>
      <c r="S126" s="253"/>
      <c r="T126" s="253"/>
    </row>
    <row r="127" spans="1:20" s="113" customFormat="1" ht="11.25">
      <c r="A127" s="121">
        <v>356</v>
      </c>
      <c r="B127" s="122" t="str">
        <f>VLOOKUP(A127,[1]INDICE!$A$4:$G$1000,2,0)</f>
        <v>TÁBUA APARELHADA PARA GUICHÊ</v>
      </c>
      <c r="C127" s="160" t="str">
        <f>VLOOKUP(A127,[1]INDICE!$A$4:$G$1000,3,0)</f>
        <v>M</v>
      </c>
      <c r="D127" s="122">
        <f>VLOOKUP(A127,[1]INDICE!$A$4:$G$1000,4,0)</f>
        <v>104.734392</v>
      </c>
      <c r="E127" s="122">
        <f>VLOOKUP(A127,[1]INDICE!$A$4:$G$1000,5,0)</f>
        <v>80.704067000000009</v>
      </c>
      <c r="F127" s="122">
        <f>VLOOKUP(A127,[1]INDICE!$A$4:$G$1000,6,0)</f>
        <v>0</v>
      </c>
      <c r="G127" s="122">
        <f>VLOOKUP(A127,[1]INDICE!$A$4:$G$1000,7,0)</f>
        <v>185.43845900000002</v>
      </c>
      <c r="H127" s="116" t="b">
        <f>A127=[2]INDFILTRO!A127</f>
        <v>0</v>
      </c>
      <c r="I127" s="113" t="b">
        <f>B127=[3]INDFILTRO!B126</f>
        <v>0</v>
      </c>
      <c r="J127" s="113" t="b">
        <f>E127=[2]INDFILTRO!E127</f>
        <v>0</v>
      </c>
      <c r="K127" s="113" t="b">
        <f>F127=[2]INDFILTRO!F127</f>
        <v>1</v>
      </c>
      <c r="L127" s="116" t="str">
        <f t="shared" si="4"/>
        <v>verdadeiro</v>
      </c>
      <c r="M127" s="124">
        <f t="shared" si="5"/>
        <v>356</v>
      </c>
      <c r="R127" s="253" t="b">
        <f t="shared" si="3"/>
        <v>1</v>
      </c>
      <c r="S127" s="253"/>
      <c r="T127" s="253"/>
    </row>
    <row r="128" spans="1:20" s="113" customFormat="1" ht="11.25">
      <c r="A128" s="121">
        <v>357</v>
      </c>
      <c r="B128" s="122" t="str">
        <f>VLOOKUP(A128,[1]INDICE!$A$4:$G$1000,2,0)</f>
        <v>PINTURA LATÉX ACRÍLICA, TRÊS DEMÃOS COM SELADOR</v>
      </c>
      <c r="C128" s="160" t="str">
        <f>VLOOKUP(A128,[1]INDICE!$A$4:$G$1000,3,0)</f>
        <v>M2</v>
      </c>
      <c r="D128" s="122">
        <f>VLOOKUP(A128,[1]INDICE!$A$4:$G$1000,4,0)</f>
        <v>9.3322149999999997</v>
      </c>
      <c r="E128" s="122">
        <f>VLOOKUP(A128,[1]INDICE!$A$4:$G$1000,5,0)</f>
        <v>4.28932</v>
      </c>
      <c r="F128" s="122">
        <f>VLOOKUP(A128,[1]INDICE!$A$4:$G$1000,6,0)</f>
        <v>0</v>
      </c>
      <c r="G128" s="122">
        <f>VLOOKUP(A128,[1]INDICE!$A$4:$G$1000,7,0)</f>
        <v>13.621535</v>
      </c>
      <c r="H128" s="116" t="b">
        <f>A128=[2]INDFILTRO!A128</f>
        <v>0</v>
      </c>
      <c r="I128" s="113" t="b">
        <f>B128=[3]INDFILTRO!B127</f>
        <v>0</v>
      </c>
      <c r="J128" s="113" t="b">
        <f>E128=[2]INDFILTRO!E128</f>
        <v>0</v>
      </c>
      <c r="K128" s="113" t="b">
        <f>F128=[2]INDFILTRO!F128</f>
        <v>1</v>
      </c>
      <c r="L128" s="116" t="str">
        <f t="shared" si="4"/>
        <v>verdadeiro</v>
      </c>
      <c r="M128" s="124">
        <f t="shared" si="5"/>
        <v>357</v>
      </c>
      <c r="R128" s="253" t="b">
        <f t="shared" si="3"/>
        <v>1</v>
      </c>
      <c r="S128" s="253"/>
      <c r="T128" s="253"/>
    </row>
    <row r="129" spans="1:20" s="113" customFormat="1" ht="11.25">
      <c r="A129" s="121">
        <v>359</v>
      </c>
      <c r="B129" s="122" t="str">
        <f>VLOOKUP(A129,[1]INDICE!$A$4:$G$1000,2,0)</f>
        <v>EMASSAMENTO/ÓLEO ESQUADRIAS DE MADEIRA</v>
      </c>
      <c r="C129" s="160" t="str">
        <f>VLOOKUP(A129,[1]INDICE!$A$4:$G$1000,3,0)</f>
        <v>M2</v>
      </c>
      <c r="D129" s="122">
        <f>VLOOKUP(A129,[1]INDICE!$A$4:$G$1000,4,0)</f>
        <v>12.426500000000001</v>
      </c>
      <c r="E129" s="122">
        <f>VLOOKUP(A129,[1]INDICE!$A$4:$G$1000,5,0)</f>
        <v>4.6935000000000002</v>
      </c>
      <c r="F129" s="122">
        <f>VLOOKUP(A129,[1]INDICE!$A$4:$G$1000,6,0)</f>
        <v>0</v>
      </c>
      <c r="G129" s="122">
        <f>VLOOKUP(A129,[1]INDICE!$A$4:$G$1000,7,0)</f>
        <v>17.12</v>
      </c>
      <c r="H129" s="116" t="b">
        <f>A129=[2]INDFILTRO!A129</f>
        <v>0</v>
      </c>
      <c r="I129" s="113" t="b">
        <f>B129=[3]INDFILTRO!B128</f>
        <v>0</v>
      </c>
      <c r="J129" s="113" t="b">
        <f>E129=[2]INDFILTRO!E129</f>
        <v>0</v>
      </c>
      <c r="K129" s="113" t="b">
        <f>F129=[2]INDFILTRO!F129</f>
        <v>1</v>
      </c>
      <c r="L129" s="116" t="str">
        <f t="shared" si="4"/>
        <v>verdadeiro</v>
      </c>
      <c r="M129" s="124">
        <f t="shared" si="5"/>
        <v>359</v>
      </c>
      <c r="R129" s="253" t="b">
        <f t="shared" si="3"/>
        <v>1</v>
      </c>
      <c r="S129" s="253"/>
      <c r="T129" s="253"/>
    </row>
    <row r="130" spans="1:20" s="113" customFormat="1" ht="11.25">
      <c r="A130" s="121">
        <v>360</v>
      </c>
      <c r="B130" s="122" t="str">
        <f>VLOOKUP(A130,[1]INDICE!$A$4:$G$1000,2,0)</f>
        <v>PINTURA ESMALTE/ESQUADRIA DE FERRO COM FUNDO ANTI-CORROSIVO</v>
      </c>
      <c r="C130" s="160" t="str">
        <f>VLOOKUP(A130,[1]INDICE!$A$4:$G$1000,3,0)</f>
        <v>M2</v>
      </c>
      <c r="D130" s="122">
        <f>VLOOKUP(A130,[1]INDICE!$A$4:$G$1000,4,0)</f>
        <v>15.847708000000001</v>
      </c>
      <c r="E130" s="122">
        <f>VLOOKUP(A130,[1]INDICE!$A$4:$G$1000,5,0)</f>
        <v>6.5686479999999996</v>
      </c>
      <c r="F130" s="122">
        <f>VLOOKUP(A130,[1]INDICE!$A$4:$G$1000,6,0)</f>
        <v>0</v>
      </c>
      <c r="G130" s="122">
        <f>VLOOKUP(A130,[1]INDICE!$A$4:$G$1000,7,0)</f>
        <v>22.416356</v>
      </c>
      <c r="H130" s="116" t="b">
        <f>A130=[2]INDFILTRO!A130</f>
        <v>0</v>
      </c>
      <c r="I130" s="113" t="b">
        <f>B130=[3]INDFILTRO!B129</f>
        <v>0</v>
      </c>
      <c r="J130" s="113" t="b">
        <f>E130=[2]INDFILTRO!E130</f>
        <v>0</v>
      </c>
      <c r="K130" s="113" t="b">
        <f>F130=[2]INDFILTRO!F130</f>
        <v>1</v>
      </c>
      <c r="L130" s="116" t="str">
        <f t="shared" si="4"/>
        <v>verdadeiro</v>
      </c>
      <c r="M130" s="124">
        <f t="shared" si="5"/>
        <v>360</v>
      </c>
      <c r="R130" s="253" t="b">
        <f t="shared" si="3"/>
        <v>1</v>
      </c>
      <c r="S130" s="253"/>
      <c r="T130" s="253"/>
    </row>
    <row r="131" spans="1:20" s="113" customFormat="1" ht="11.25">
      <c r="A131" s="121">
        <v>361</v>
      </c>
      <c r="B131" s="122" t="str">
        <f>VLOOKUP(A131,[1]INDICE!$A$4:$G$1000,2,0)</f>
        <v>PINTURA ALQUÍDICA BRILHANTE DUPLA FUNÇÃO, DUAS DEMÃOS, 50 MÍCRONS</v>
      </c>
      <c r="C131" s="160" t="str">
        <f>VLOOKUP(A131,[1]INDICE!$A$4:$G$1000,3,0)</f>
        <v>M2</v>
      </c>
      <c r="D131" s="122">
        <f>VLOOKUP(A131,[1]INDICE!$A$4:$G$1000,4,0)</f>
        <v>4.2055000000000007</v>
      </c>
      <c r="E131" s="122">
        <f>VLOOKUP(A131,[1]INDICE!$A$4:$G$1000,5,0)</f>
        <v>6.6579670000000011</v>
      </c>
      <c r="F131" s="122">
        <f>VLOOKUP(A131,[1]INDICE!$A$4:$G$1000,6,0)</f>
        <v>0</v>
      </c>
      <c r="G131" s="122">
        <f>VLOOKUP(A131,[1]INDICE!$A$4:$G$1000,7,0)</f>
        <v>10.863467000000002</v>
      </c>
      <c r="H131" s="116" t="b">
        <f>A131=[2]INDFILTRO!A131</f>
        <v>0</v>
      </c>
      <c r="I131" s="113" t="b">
        <f>B131=[3]INDFILTRO!B130</f>
        <v>0</v>
      </c>
      <c r="J131" s="113" t="b">
        <f>E131=[2]INDFILTRO!E131</f>
        <v>0</v>
      </c>
      <c r="K131" s="113" t="b">
        <f>F131=[2]INDFILTRO!F131</f>
        <v>1</v>
      </c>
      <c r="L131" s="116" t="str">
        <f t="shared" si="4"/>
        <v>verdadeiro</v>
      </c>
      <c r="M131" s="124">
        <f t="shared" si="5"/>
        <v>361</v>
      </c>
      <c r="R131" s="253" t="b">
        <f t="shared" si="3"/>
        <v>1</v>
      </c>
      <c r="S131" s="253"/>
      <c r="T131" s="253"/>
    </row>
    <row r="132" spans="1:20" s="113" customFormat="1" ht="11.25">
      <c r="A132" s="121">
        <v>362</v>
      </c>
      <c r="B132" s="122" t="str">
        <f>VLOOKUP(A132,[1]INDICE!$A$4:$G$1000,2,0)</f>
        <v>LIMPEZA FINAL DA OBRA</v>
      </c>
      <c r="C132" s="160" t="str">
        <f>VLOOKUP(A132,[1]INDICE!$A$4:$G$1000,3,0)</f>
        <v>M2</v>
      </c>
      <c r="D132" s="122">
        <f>VLOOKUP(A132,[1]INDICE!$A$4:$G$1000,4,0)</f>
        <v>2.2664999999999997</v>
      </c>
      <c r="E132" s="122">
        <f>VLOOKUP(A132,[1]INDICE!$A$4:$G$1000,5,0)</f>
        <v>0.62687100000000007</v>
      </c>
      <c r="F132" s="122">
        <f>VLOOKUP(A132,[1]INDICE!$A$4:$G$1000,6,0)</f>
        <v>0</v>
      </c>
      <c r="G132" s="122">
        <f>VLOOKUP(A132,[1]INDICE!$A$4:$G$1000,7,0)</f>
        <v>2.8933709999999997</v>
      </c>
      <c r="H132" s="116" t="b">
        <f>A132=[2]INDFILTRO!A132</f>
        <v>0</v>
      </c>
      <c r="I132" s="113" t="b">
        <f>B132=[3]INDFILTRO!B131</f>
        <v>0</v>
      </c>
      <c r="J132" s="113" t="b">
        <f>E132=[2]INDFILTRO!E132</f>
        <v>0</v>
      </c>
      <c r="K132" s="113" t="b">
        <f>F132=[2]INDFILTRO!F132</f>
        <v>1</v>
      </c>
      <c r="L132" s="116" t="str">
        <f t="shared" si="4"/>
        <v>verdadeiro</v>
      </c>
      <c r="M132" s="124">
        <f t="shared" si="5"/>
        <v>362</v>
      </c>
      <c r="R132" s="253" t="b">
        <f t="shared" si="3"/>
        <v>1</v>
      </c>
      <c r="S132" s="253"/>
      <c r="T132" s="253"/>
    </row>
    <row r="133" spans="1:20" s="113" customFormat="1" ht="11.25">
      <c r="A133" s="121">
        <v>363</v>
      </c>
      <c r="B133" s="122" t="str">
        <f>VLOOKUP(A133,[1]INDICE!$A$4:$G$1000,2,0)</f>
        <v>SUPORTE PARA BANCADA EM FERRO “T” 1/8'' X 1.1/4''</v>
      </c>
      <c r="C133" s="160" t="str">
        <f>VLOOKUP(A133,[1]INDICE!$A$4:$G$1000,3,0)</f>
        <v>UN</v>
      </c>
      <c r="D133" s="122">
        <f>VLOOKUP(A133,[1]INDICE!$A$4:$G$1000,4,0)</f>
        <v>9.2025000000000006</v>
      </c>
      <c r="E133" s="122">
        <f>VLOOKUP(A133,[1]INDICE!$A$4:$G$1000,5,0)</f>
        <v>8.2471180000000004</v>
      </c>
      <c r="F133" s="122">
        <f>VLOOKUP(A133,[1]INDICE!$A$4:$G$1000,6,0)</f>
        <v>0</v>
      </c>
      <c r="G133" s="122">
        <f>VLOOKUP(A133,[1]INDICE!$A$4:$G$1000,7,0)</f>
        <v>17.449618000000001</v>
      </c>
      <c r="H133" s="116" t="b">
        <f>A133=[2]INDFILTRO!A133</f>
        <v>0</v>
      </c>
      <c r="I133" s="113" t="b">
        <f>B133=[3]INDFILTRO!B132</f>
        <v>0</v>
      </c>
      <c r="J133" s="113" t="b">
        <f>E133=[2]INDFILTRO!E133</f>
        <v>0</v>
      </c>
      <c r="K133" s="113" t="b">
        <f>F133=[2]INDFILTRO!F133</f>
        <v>1</v>
      </c>
      <c r="L133" s="116" t="str">
        <f t="shared" si="4"/>
        <v>verdadeiro</v>
      </c>
      <c r="M133" s="124">
        <f t="shared" si="5"/>
        <v>363</v>
      </c>
      <c r="R133" s="253" t="b">
        <f t="shared" ref="R133:R196" si="6">(D133+E133+F133)=G133</f>
        <v>1</v>
      </c>
      <c r="S133" s="253"/>
      <c r="T133" s="253"/>
    </row>
    <row r="134" spans="1:20" s="113" customFormat="1" ht="11.25">
      <c r="A134" s="121">
        <v>364</v>
      </c>
      <c r="B134" s="122" t="str">
        <f>VLOOKUP(A134,[1]INDICE!$A$4:$G$1000,2,0)</f>
        <v>BANCADA DE GRANITO COM ESPELHO</v>
      </c>
      <c r="C134" s="160" t="str">
        <f>VLOOKUP(A134,[1]INDICE!$A$4:$G$1000,3,0)</f>
        <v>M2</v>
      </c>
      <c r="D134" s="122">
        <f>VLOOKUP(A134,[1]INDICE!$A$4:$G$1000,4,0)</f>
        <v>52.764523999999994</v>
      </c>
      <c r="E134" s="122">
        <f>VLOOKUP(A134,[1]INDICE!$A$4:$G$1000,5,0)</f>
        <v>420.03860000000003</v>
      </c>
      <c r="F134" s="122">
        <f>VLOOKUP(A134,[1]INDICE!$A$4:$G$1000,6,0)</f>
        <v>0</v>
      </c>
      <c r="G134" s="122">
        <f>VLOOKUP(A134,[1]INDICE!$A$4:$G$1000,7,0)</f>
        <v>472.80312400000003</v>
      </c>
      <c r="H134" s="116" t="b">
        <f>A134=[2]INDFILTRO!A134</f>
        <v>0</v>
      </c>
      <c r="I134" s="113" t="b">
        <f>B134=[3]INDFILTRO!B133</f>
        <v>0</v>
      </c>
      <c r="J134" s="113" t="b">
        <f>E134=[2]INDFILTRO!E134</f>
        <v>0</v>
      </c>
      <c r="K134" s="113" t="b">
        <f>F134=[2]INDFILTRO!F134</f>
        <v>1</v>
      </c>
      <c r="L134" s="116" t="str">
        <f t="shared" ref="L134:L197" si="7">IF(D134+E134+F134=G134,"verdadeiro")</f>
        <v>verdadeiro</v>
      </c>
      <c r="M134" s="124">
        <f t="shared" ref="M134:M197" si="8">A134</f>
        <v>364</v>
      </c>
      <c r="R134" s="253" t="b">
        <f t="shared" si="6"/>
        <v>1</v>
      </c>
      <c r="S134" s="253"/>
      <c r="T134" s="253"/>
    </row>
    <row r="135" spans="1:20" s="113" customFormat="1" ht="11.25">
      <c r="A135" s="121">
        <v>365</v>
      </c>
      <c r="B135" s="122" t="str">
        <f>VLOOKUP(A135,[1]INDICE!$A$4:$G$1000,2,0)</f>
        <v>ESCAVAÇÃO MECANIZADA</v>
      </c>
      <c r="C135" s="160" t="str">
        <f>VLOOKUP(A135,[1]INDICE!$A$4:$G$1000,3,0)</f>
        <v>M3</v>
      </c>
      <c r="D135" s="122">
        <f>VLOOKUP(A135,[1]INDICE!$A$4:$G$1000,4,0)</f>
        <v>0</v>
      </c>
      <c r="E135" s="122">
        <f>VLOOKUP(A135,[1]INDICE!$A$4:$G$1000,5,0)</f>
        <v>1.29</v>
      </c>
      <c r="F135" s="122">
        <f>VLOOKUP(A135,[1]INDICE!$A$4:$G$1000,6,0)</f>
        <v>0</v>
      </c>
      <c r="G135" s="122">
        <f>VLOOKUP(A135,[1]INDICE!$A$4:$G$1000,7,0)</f>
        <v>1.29</v>
      </c>
      <c r="H135" s="116" t="b">
        <f>A135=[2]INDFILTRO!A135</f>
        <v>0</v>
      </c>
      <c r="I135" s="113" t="b">
        <f>B135=[3]INDFILTRO!B134</f>
        <v>0</v>
      </c>
      <c r="J135" s="113" t="b">
        <f>E135=[2]INDFILTRO!E135</f>
        <v>0</v>
      </c>
      <c r="K135" s="113" t="b">
        <f>F135=[2]INDFILTRO!F135</f>
        <v>1</v>
      </c>
      <c r="L135" s="116" t="str">
        <f t="shared" si="7"/>
        <v>verdadeiro</v>
      </c>
      <c r="M135" s="124">
        <f t="shared" si="8"/>
        <v>365</v>
      </c>
      <c r="R135" s="253" t="b">
        <f t="shared" si="6"/>
        <v>1</v>
      </c>
      <c r="S135" s="253"/>
      <c r="T135" s="253"/>
    </row>
    <row r="136" spans="1:20" s="113" customFormat="1" ht="11.25">
      <c r="A136" s="121">
        <v>366</v>
      </c>
      <c r="B136" s="122" t="str">
        <f>VLOOKUP(A136,[1]INDICE!$A$4:$G$1000,2,0)</f>
        <v>CARGA MECANIZADA</v>
      </c>
      <c r="C136" s="160" t="str">
        <f>VLOOKUP(A136,[1]INDICE!$A$4:$G$1000,3,0)</f>
        <v>M3</v>
      </c>
      <c r="D136" s="122">
        <f>VLOOKUP(A136,[1]INDICE!$A$4:$G$1000,4,0)</f>
        <v>0</v>
      </c>
      <c r="E136" s="122">
        <f>VLOOKUP(A136,[1]INDICE!$A$4:$G$1000,5,0)</f>
        <v>0.88</v>
      </c>
      <c r="F136" s="122">
        <f>VLOOKUP(A136,[1]INDICE!$A$4:$G$1000,6,0)</f>
        <v>0</v>
      </c>
      <c r="G136" s="122">
        <f>VLOOKUP(A136,[1]INDICE!$A$4:$G$1000,7,0)</f>
        <v>0.88</v>
      </c>
      <c r="H136" s="116" t="b">
        <f>A136=[2]INDFILTRO!A136</f>
        <v>0</v>
      </c>
      <c r="I136" s="113" t="b">
        <f>B136=[3]INDFILTRO!B135</f>
        <v>0</v>
      </c>
      <c r="J136" s="113" t="b">
        <f>E136=[2]INDFILTRO!E136</f>
        <v>0</v>
      </c>
      <c r="K136" s="113" t="b">
        <f>F136=[2]INDFILTRO!F136</f>
        <v>1</v>
      </c>
      <c r="L136" s="116" t="str">
        <f t="shared" si="7"/>
        <v>verdadeiro</v>
      </c>
      <c r="M136" s="124">
        <f t="shared" si="8"/>
        <v>366</v>
      </c>
      <c r="R136" s="253" t="b">
        <f t="shared" si="6"/>
        <v>1</v>
      </c>
      <c r="S136" s="253"/>
      <c r="T136" s="253"/>
    </row>
    <row r="137" spans="1:20" s="113" customFormat="1" ht="11.25">
      <c r="A137" s="121">
        <v>367</v>
      </c>
      <c r="B137" s="122" t="str">
        <f>VLOOKUP(A137,[1]INDICE!$A$4:$G$1000,2,0)</f>
        <v>INDENIZAÇÃO DE JAZIDA</v>
      </c>
      <c r="C137" s="160" t="str">
        <f>VLOOKUP(A137,[1]INDICE!$A$4:$G$1000,3,0)</f>
        <v>M3</v>
      </c>
      <c r="D137" s="122">
        <f>VLOOKUP(A137,[1]INDICE!$A$4:$G$1000,4,0)</f>
        <v>0</v>
      </c>
      <c r="E137" s="122">
        <f>VLOOKUP(A137,[1]INDICE!$A$4:$G$1000,5,0)</f>
        <v>5</v>
      </c>
      <c r="F137" s="122">
        <f>VLOOKUP(A137,[1]INDICE!$A$4:$G$1000,6,0)</f>
        <v>0</v>
      </c>
      <c r="G137" s="122">
        <f>VLOOKUP(A137,[1]INDICE!$A$4:$G$1000,7,0)</f>
        <v>5</v>
      </c>
      <c r="H137" s="116" t="b">
        <f>A137=[2]INDFILTRO!A137</f>
        <v>0</v>
      </c>
      <c r="I137" s="113" t="b">
        <f>B137=[3]INDFILTRO!B136</f>
        <v>0</v>
      </c>
      <c r="J137" s="113" t="b">
        <f>E137=[2]INDFILTRO!E137</f>
        <v>0</v>
      </c>
      <c r="K137" s="113" t="b">
        <f>F137=[2]INDFILTRO!F137</f>
        <v>1</v>
      </c>
      <c r="L137" s="116" t="str">
        <f t="shared" si="7"/>
        <v>verdadeiro</v>
      </c>
      <c r="M137" s="124">
        <f t="shared" si="8"/>
        <v>367</v>
      </c>
      <c r="R137" s="253" t="b">
        <f t="shared" si="6"/>
        <v>1</v>
      </c>
      <c r="S137" s="253"/>
      <c r="T137" s="253"/>
    </row>
    <row r="138" spans="1:20" s="113" customFormat="1" ht="11.25">
      <c r="A138" s="121">
        <v>368</v>
      </c>
      <c r="B138" s="122" t="str">
        <f>VLOOKUP(A138,[1]INDICE!$A$4:$G$1000,2,0)</f>
        <v>ESTACA A TRADO DIAM. 30CM S/ FERRO</v>
      </c>
      <c r="C138" s="160" t="str">
        <f>VLOOKUP(A138,[1]INDICE!$A$4:$G$1000,3,0)</f>
        <v>M</v>
      </c>
      <c r="D138" s="122">
        <f>VLOOKUP(A138,[1]INDICE!$A$4:$G$1000,4,0)</f>
        <v>42.231442000000001</v>
      </c>
      <c r="E138" s="122">
        <f>VLOOKUP(A138,[1]INDICE!$A$4:$G$1000,5,0)</f>
        <v>22.158317999999998</v>
      </c>
      <c r="F138" s="122">
        <f>VLOOKUP(A138,[1]INDICE!$A$4:$G$1000,6,0)</f>
        <v>0</v>
      </c>
      <c r="G138" s="122">
        <f>VLOOKUP(A138,[1]INDICE!$A$4:$G$1000,7,0)</f>
        <v>64.389759999999995</v>
      </c>
      <c r="H138" s="116" t="b">
        <f>A138=[2]INDFILTRO!A138</f>
        <v>0</v>
      </c>
      <c r="I138" s="113" t="b">
        <f>B138=[3]INDFILTRO!B137</f>
        <v>0</v>
      </c>
      <c r="J138" s="113" t="b">
        <f>E138=[2]INDFILTRO!E138</f>
        <v>0</v>
      </c>
      <c r="K138" s="113" t="b">
        <f>F138=[2]INDFILTRO!F138</f>
        <v>1</v>
      </c>
      <c r="L138" s="116" t="str">
        <f t="shared" si="7"/>
        <v>verdadeiro</v>
      </c>
      <c r="M138" s="124">
        <f t="shared" si="8"/>
        <v>368</v>
      </c>
      <c r="R138" s="253" t="b">
        <f t="shared" si="6"/>
        <v>1</v>
      </c>
      <c r="S138" s="253"/>
      <c r="T138" s="253"/>
    </row>
    <row r="139" spans="1:20" s="113" customFormat="1" ht="11.25">
      <c r="A139" s="121">
        <v>369</v>
      </c>
      <c r="B139" s="122" t="str">
        <f>VLOOKUP(A139,[1]INDICE!$A$4:$G$1000,2,0)</f>
        <v>LANÇAMENTO/APLICAÇÃO/ADENSAMENTO DE CONCRETO EM FUNDAÇÃO- (O.C.)</v>
      </c>
      <c r="C139" s="160" t="str">
        <f>VLOOKUP(A139,[1]INDICE!$A$4:$G$1000,3,0)</f>
        <v>M3</v>
      </c>
      <c r="D139" s="122">
        <f>VLOOKUP(A139,[1]INDICE!$A$4:$G$1000,4,0)</f>
        <v>43.226987999999999</v>
      </c>
      <c r="E139" s="122">
        <f>VLOOKUP(A139,[1]INDICE!$A$4:$G$1000,5,0)</f>
        <v>7.6725000000000002E-2</v>
      </c>
      <c r="F139" s="122">
        <f>VLOOKUP(A139,[1]INDICE!$A$4:$G$1000,6,0)</f>
        <v>0</v>
      </c>
      <c r="G139" s="122">
        <f>VLOOKUP(A139,[1]INDICE!$A$4:$G$1000,7,0)</f>
        <v>43.303713000000002</v>
      </c>
      <c r="H139" s="116" t="b">
        <f>A139=[2]INDFILTRO!A139</f>
        <v>0</v>
      </c>
      <c r="I139" s="113" t="b">
        <f>B139=[3]INDFILTRO!B138</f>
        <v>0</v>
      </c>
      <c r="J139" s="113" t="b">
        <f>E139=[2]INDFILTRO!E139</f>
        <v>0</v>
      </c>
      <c r="K139" s="113" t="b">
        <f>F139=[2]INDFILTRO!F139</f>
        <v>1</v>
      </c>
      <c r="L139" s="116" t="str">
        <f t="shared" si="7"/>
        <v>verdadeiro</v>
      </c>
      <c r="M139" s="124">
        <f t="shared" si="8"/>
        <v>369</v>
      </c>
      <c r="R139" s="253" t="b">
        <f t="shared" si="6"/>
        <v>1</v>
      </c>
      <c r="S139" s="253"/>
      <c r="T139" s="253"/>
    </row>
    <row r="140" spans="1:20" s="113" customFormat="1" ht="11.25">
      <c r="A140" s="121">
        <v>370</v>
      </c>
      <c r="B140" s="122" t="str">
        <f>VLOOKUP(A140,[1]INDICE!$A$4:$G$1000,2,0)</f>
        <v>BUCHA E ARRUELA METÁLICA 2''</v>
      </c>
      <c r="C140" s="160" t="str">
        <f>VLOOKUP(A140,[1]INDICE!$A$4:$G$1000,3,0)</f>
        <v>PR</v>
      </c>
      <c r="D140" s="122">
        <f>VLOOKUP(A140,[1]INDICE!$A$4:$G$1000,4,0)</f>
        <v>2.3178000000000001</v>
      </c>
      <c r="E140" s="122">
        <f>VLOOKUP(A140,[1]INDICE!$A$4:$G$1000,5,0)</f>
        <v>4.82</v>
      </c>
      <c r="F140" s="122">
        <f>VLOOKUP(A140,[1]INDICE!$A$4:$G$1000,6,0)</f>
        <v>0</v>
      </c>
      <c r="G140" s="122">
        <f>VLOOKUP(A140,[1]INDICE!$A$4:$G$1000,7,0)</f>
        <v>7.1378000000000004</v>
      </c>
      <c r="H140" s="116" t="b">
        <f>A140=[2]INDFILTRO!A140</f>
        <v>0</v>
      </c>
      <c r="I140" s="113" t="b">
        <f>B140=[3]INDFILTRO!B139</f>
        <v>0</v>
      </c>
      <c r="J140" s="113" t="b">
        <f>E140=[2]INDFILTRO!E140</f>
        <v>0</v>
      </c>
      <c r="K140" s="113" t="b">
        <f>F140=[2]INDFILTRO!F140</f>
        <v>1</v>
      </c>
      <c r="L140" s="116" t="str">
        <f t="shared" si="7"/>
        <v>verdadeiro</v>
      </c>
      <c r="M140" s="124">
        <f t="shared" si="8"/>
        <v>370</v>
      </c>
      <c r="R140" s="253" t="b">
        <f t="shared" si="6"/>
        <v>1</v>
      </c>
      <c r="S140" s="253"/>
      <c r="T140" s="253"/>
    </row>
    <row r="141" spans="1:20" s="113" customFormat="1" ht="11.25">
      <c r="A141" s="121">
        <v>373</v>
      </c>
      <c r="B141" s="122" t="str">
        <f>VLOOKUP(A141,[1]INDICE!$A$4:$G$1000,2,0)</f>
        <v>ELETRODUTO EM AÇO GALVANIZADO A FOGO DIÂMETRO 3" – PESADO</v>
      </c>
      <c r="C141" s="160" t="str">
        <f>VLOOKUP(A141,[1]INDICE!$A$4:$G$1000,3,0)</f>
        <v>M</v>
      </c>
      <c r="D141" s="122">
        <f>VLOOKUP(A141,[1]INDICE!$A$4:$G$1000,4,0)</f>
        <v>61.808</v>
      </c>
      <c r="E141" s="122">
        <f>VLOOKUP(A141,[1]INDICE!$A$4:$G$1000,5,0)</f>
        <v>52.94</v>
      </c>
      <c r="F141" s="122">
        <f>VLOOKUP(A141,[1]INDICE!$A$4:$G$1000,6,0)</f>
        <v>0</v>
      </c>
      <c r="G141" s="122">
        <f>VLOOKUP(A141,[1]INDICE!$A$4:$G$1000,7,0)</f>
        <v>114.74799999999999</v>
      </c>
      <c r="H141" s="116" t="b">
        <f>A141=[2]INDFILTRO!A141</f>
        <v>0</v>
      </c>
      <c r="I141" s="113" t="b">
        <f>B141=[3]INDFILTRO!B140</f>
        <v>0</v>
      </c>
      <c r="J141" s="113" t="b">
        <f>E141=[2]INDFILTRO!E141</f>
        <v>0</v>
      </c>
      <c r="K141" s="113" t="b">
        <f>F141=[2]INDFILTRO!F141</f>
        <v>1</v>
      </c>
      <c r="L141" s="116" t="str">
        <f t="shared" si="7"/>
        <v>verdadeiro</v>
      </c>
      <c r="M141" s="124">
        <f t="shared" si="8"/>
        <v>373</v>
      </c>
      <c r="R141" s="253" t="b">
        <f t="shared" si="6"/>
        <v>1</v>
      </c>
      <c r="S141" s="253"/>
      <c r="T141" s="253"/>
    </row>
    <row r="142" spans="1:20" s="113" customFormat="1" ht="11.25">
      <c r="A142" s="121">
        <v>374</v>
      </c>
      <c r="B142" s="122" t="str">
        <f>VLOOKUP(A142,[1]INDICE!$A$4:$G$1000,2,0)</f>
        <v>CABECOTE DE LIGA DE ALUMINIO DIAM. 3"</v>
      </c>
      <c r="C142" s="160" t="str">
        <f>VLOOKUP(A142,[1]INDICE!$A$4:$G$1000,3,0)</f>
        <v>UN</v>
      </c>
      <c r="D142" s="122">
        <f>VLOOKUP(A142,[1]INDICE!$A$4:$G$1000,4,0)</f>
        <v>16.610900000000001</v>
      </c>
      <c r="E142" s="122">
        <f>VLOOKUP(A142,[1]INDICE!$A$4:$G$1000,5,0)</f>
        <v>28.62</v>
      </c>
      <c r="F142" s="122">
        <f>VLOOKUP(A142,[1]INDICE!$A$4:$G$1000,6,0)</f>
        <v>0</v>
      </c>
      <c r="G142" s="122">
        <f>VLOOKUP(A142,[1]INDICE!$A$4:$G$1000,7,0)</f>
        <v>45.230900000000005</v>
      </c>
      <c r="H142" s="116" t="b">
        <f>A142=[2]INDFILTRO!A142</f>
        <v>0</v>
      </c>
      <c r="I142" s="113" t="b">
        <f>B142=[3]INDFILTRO!B141</f>
        <v>0</v>
      </c>
      <c r="J142" s="113" t="b">
        <f>E142=[2]INDFILTRO!E142</f>
        <v>0</v>
      </c>
      <c r="K142" s="113" t="b">
        <f>F142=[2]INDFILTRO!F142</f>
        <v>1</v>
      </c>
      <c r="L142" s="116" t="str">
        <f t="shared" si="7"/>
        <v>verdadeiro</v>
      </c>
      <c r="M142" s="124">
        <f t="shared" si="8"/>
        <v>374</v>
      </c>
      <c r="R142" s="253" t="b">
        <f t="shared" si="6"/>
        <v>1</v>
      </c>
      <c r="S142" s="253"/>
      <c r="T142" s="253"/>
    </row>
    <row r="143" spans="1:20" s="113" customFormat="1" ht="11.25">
      <c r="A143" s="121">
        <v>378</v>
      </c>
      <c r="B143" s="122" t="str">
        <f>VLOOKUP(A143,[1]INDICE!$A$4:$G$1000,2,0)</f>
        <v>GRELHA QUADRADA EM INOX SIMPLES, DIAM. 150MM</v>
      </c>
      <c r="C143" s="160" t="str">
        <f>VLOOKUP(A143,[1]INDICE!$A$4:$G$1000,3,0)</f>
        <v>UN</v>
      </c>
      <c r="D143" s="122">
        <f>VLOOKUP(A143,[1]INDICE!$A$4:$G$1000,4,0)</f>
        <v>2.9952000000000001</v>
      </c>
      <c r="E143" s="122">
        <f>VLOOKUP(A143,[1]INDICE!$A$4:$G$1000,5,0)</f>
        <v>23.76</v>
      </c>
      <c r="F143" s="122">
        <f>VLOOKUP(A143,[1]INDICE!$A$4:$G$1000,6,0)</f>
        <v>0</v>
      </c>
      <c r="G143" s="122">
        <f>VLOOKUP(A143,[1]INDICE!$A$4:$G$1000,7,0)</f>
        <v>26.755200000000002</v>
      </c>
      <c r="H143" s="116" t="b">
        <f>A143=[2]INDFILTRO!A143</f>
        <v>0</v>
      </c>
      <c r="I143" s="113" t="b">
        <f>B143=[3]INDFILTRO!B142</f>
        <v>0</v>
      </c>
      <c r="J143" s="113" t="b">
        <f>E143=[2]INDFILTRO!E143</f>
        <v>0</v>
      </c>
      <c r="K143" s="113" t="b">
        <f>F143=[2]INDFILTRO!F143</f>
        <v>1</v>
      </c>
      <c r="L143" s="116" t="str">
        <f t="shared" si="7"/>
        <v>verdadeiro</v>
      </c>
      <c r="M143" s="124">
        <f t="shared" si="8"/>
        <v>378</v>
      </c>
      <c r="R143" s="253" t="b">
        <f t="shared" si="6"/>
        <v>1</v>
      </c>
      <c r="S143" s="253"/>
      <c r="T143" s="253"/>
    </row>
    <row r="144" spans="1:20" s="113" customFormat="1" ht="22.5" customHeight="1">
      <c r="A144" s="121">
        <v>379</v>
      </c>
      <c r="B144" s="122" t="str">
        <f>VLOOKUP(A144,[1]INDICE!$A$4:$G$1000,2,0)</f>
        <v>PORTA GRELHA QUADRADA PVC CROMADO, DIAM. 150MM</v>
      </c>
      <c r="C144" s="160" t="str">
        <f>VLOOKUP(A144,[1]INDICE!$A$4:$G$1000,3,0)</f>
        <v>UN</v>
      </c>
      <c r="D144" s="122">
        <f>VLOOKUP(A144,[1]INDICE!$A$4:$G$1000,4,0)</f>
        <v>3.7440000000000002</v>
      </c>
      <c r="E144" s="122">
        <f>VLOOKUP(A144,[1]INDICE!$A$4:$G$1000,5,0)</f>
        <v>6.36</v>
      </c>
      <c r="F144" s="122">
        <f>VLOOKUP(A144,[1]INDICE!$A$4:$G$1000,6,0)</f>
        <v>0</v>
      </c>
      <c r="G144" s="122">
        <f>VLOOKUP(A144,[1]INDICE!$A$4:$G$1000,7,0)</f>
        <v>10.104000000000001</v>
      </c>
      <c r="H144" s="116" t="b">
        <f>A144=[2]INDFILTRO!A144</f>
        <v>0</v>
      </c>
      <c r="I144" s="113" t="b">
        <f>B144=[3]INDFILTRO!B143</f>
        <v>0</v>
      </c>
      <c r="J144" s="113" t="b">
        <f>E144=[2]INDFILTRO!E144</f>
        <v>0</v>
      </c>
      <c r="K144" s="113" t="b">
        <f>F144=[2]INDFILTRO!F144</f>
        <v>1</v>
      </c>
      <c r="L144" s="116" t="str">
        <f t="shared" si="7"/>
        <v>verdadeiro</v>
      </c>
      <c r="M144" s="124">
        <f t="shared" si="8"/>
        <v>379</v>
      </c>
      <c r="R144" s="253" t="b">
        <f t="shared" si="6"/>
        <v>1</v>
      </c>
      <c r="S144" s="253"/>
      <c r="T144" s="253"/>
    </row>
    <row r="145" spans="1:20" s="113" customFormat="1" ht="11.25">
      <c r="A145" s="121">
        <v>380</v>
      </c>
      <c r="B145" s="122" t="str">
        <f>VLOOKUP(A145,[1]INDICE!$A$4:$G$1000,2,0)</f>
        <v>ALARME SONORO LINHA ACESSIBILIDADE</v>
      </c>
      <c r="C145" s="160" t="str">
        <f>VLOOKUP(A145,[1]INDICE!$A$4:$G$1000,3,0)</f>
        <v>UN</v>
      </c>
      <c r="D145" s="122">
        <f>VLOOKUP(A145,[1]INDICE!$A$4:$G$1000,4,0)</f>
        <v>8.1122999999999994</v>
      </c>
      <c r="E145" s="122">
        <f>VLOOKUP(A145,[1]INDICE!$A$4:$G$1000,5,0)</f>
        <v>146.63</v>
      </c>
      <c r="F145" s="122">
        <f>VLOOKUP(A145,[1]INDICE!$A$4:$G$1000,6,0)</f>
        <v>0</v>
      </c>
      <c r="G145" s="122">
        <f>VLOOKUP(A145,[1]INDICE!$A$4:$G$1000,7,0)</f>
        <v>154.7423</v>
      </c>
      <c r="H145" s="116" t="b">
        <f>A145=[2]INDFILTRO!A145</f>
        <v>0</v>
      </c>
      <c r="I145" s="113" t="b">
        <f>B145=[3]INDFILTRO!B144</f>
        <v>0</v>
      </c>
      <c r="J145" s="113" t="b">
        <f>E145=[2]INDFILTRO!E145</f>
        <v>0</v>
      </c>
      <c r="K145" s="113" t="b">
        <f>F145=[2]INDFILTRO!F145</f>
        <v>1</v>
      </c>
      <c r="L145" s="116" t="str">
        <f t="shared" si="7"/>
        <v>verdadeiro</v>
      </c>
      <c r="M145" s="124">
        <f t="shared" si="8"/>
        <v>380</v>
      </c>
      <c r="R145" s="253" t="b">
        <f t="shared" si="6"/>
        <v>1</v>
      </c>
      <c r="S145" s="253"/>
      <c r="T145" s="253"/>
    </row>
    <row r="146" spans="1:20" s="113" customFormat="1" ht="11.25">
      <c r="A146" s="121">
        <v>382</v>
      </c>
      <c r="B146" s="122" t="str">
        <f>VLOOKUP(A146,[1]INDICE!$A$4:$G$1000,2,0)</f>
        <v>BANCO DE CONCRETO POLIDO BASE EM ALVENARIA REBOCADA E PINTADA - PADRÃO GOINFRA</v>
      </c>
      <c r="C146" s="160" t="str">
        <f>VLOOKUP(A146,[1]INDICE!$A$4:$G$1000,3,0)</f>
        <v>M</v>
      </c>
      <c r="D146" s="122">
        <f>VLOOKUP(A146,[1]INDICE!$A$4:$G$1000,4,0)</f>
        <v>118.09193099999999</v>
      </c>
      <c r="E146" s="122">
        <f>VLOOKUP(A146,[1]INDICE!$A$4:$G$1000,5,0)</f>
        <v>153.54687100000001</v>
      </c>
      <c r="F146" s="122">
        <f>VLOOKUP(A146,[1]INDICE!$A$4:$G$1000,6,0)</f>
        <v>0</v>
      </c>
      <c r="G146" s="122">
        <f>VLOOKUP(A146,[1]INDICE!$A$4:$G$1000,7,0)</f>
        <v>271.638802</v>
      </c>
      <c r="H146" s="116" t="b">
        <f>A146=[2]INDFILTRO!A146</f>
        <v>0</v>
      </c>
      <c r="I146" s="113" t="b">
        <f>B146=[3]INDFILTRO!B145</f>
        <v>0</v>
      </c>
      <c r="J146" s="113" t="b">
        <f>E146=[2]INDFILTRO!E146</f>
        <v>0</v>
      </c>
      <c r="K146" s="113" t="b">
        <f>F146=[2]INDFILTRO!F146</f>
        <v>1</v>
      </c>
      <c r="L146" s="116" t="str">
        <f t="shared" si="7"/>
        <v>verdadeiro</v>
      </c>
      <c r="M146" s="124">
        <f t="shared" si="8"/>
        <v>382</v>
      </c>
      <c r="R146" s="253" t="b">
        <f t="shared" si="6"/>
        <v>1</v>
      </c>
      <c r="S146" s="253"/>
      <c r="T146" s="253"/>
    </row>
    <row r="147" spans="1:20" s="113" customFormat="1" ht="11.25">
      <c r="A147" s="121">
        <v>383</v>
      </c>
      <c r="B147" s="122" t="str">
        <f>VLOOKUP(A147,[1]INDICE!$A$4:$G$1000,2,0)</f>
        <v>FUNDO ANTI-CORROSIVO PARA ESQUADRIAS METÁLICAS</v>
      </c>
      <c r="C147" s="160" t="str">
        <f>VLOOKUP(A147,[1]INDICE!$A$4:$G$1000,3,0)</f>
        <v>M2</v>
      </c>
      <c r="D147" s="122">
        <f>VLOOKUP(A147,[1]INDICE!$A$4:$G$1000,4,0)</f>
        <v>10.377149000000001</v>
      </c>
      <c r="E147" s="122">
        <f>VLOOKUP(A147,[1]INDICE!$A$4:$G$1000,5,0)</f>
        <v>3.831423</v>
      </c>
      <c r="F147" s="122">
        <f>VLOOKUP(A147,[1]INDICE!$A$4:$G$1000,6,0)</f>
        <v>0</v>
      </c>
      <c r="G147" s="122">
        <f>VLOOKUP(A147,[1]INDICE!$A$4:$G$1000,7,0)</f>
        <v>14.208572</v>
      </c>
      <c r="H147" s="116" t="b">
        <f>A147=[2]INDFILTRO!A147</f>
        <v>0</v>
      </c>
      <c r="I147" s="113" t="b">
        <f>B147=[3]INDFILTRO!B146</f>
        <v>0</v>
      </c>
      <c r="J147" s="113" t="b">
        <f>E147=[2]INDFILTRO!E147</f>
        <v>0</v>
      </c>
      <c r="K147" s="113" t="b">
        <f>F147=[2]INDFILTRO!F147</f>
        <v>1</v>
      </c>
      <c r="L147" s="116" t="str">
        <f t="shared" si="7"/>
        <v>verdadeiro</v>
      </c>
      <c r="M147" s="124">
        <f t="shared" si="8"/>
        <v>383</v>
      </c>
      <c r="R147" s="253" t="b">
        <f t="shared" si="6"/>
        <v>1</v>
      </c>
      <c r="S147" s="253"/>
      <c r="T147" s="253"/>
    </row>
    <row r="148" spans="1:20" s="113" customFormat="1" ht="11.25">
      <c r="A148" s="121">
        <v>384</v>
      </c>
      <c r="B148" s="122" t="str">
        <f>VLOOKUP(A148,[1]INDICE!$A$4:$G$1000,2,0)</f>
        <v>CHAVE MAGNÉTICA C/RELE REGULAGEM 10,5 – 16,5A</v>
      </c>
      <c r="C148" s="160" t="str">
        <f>VLOOKUP(A148,[1]INDICE!$A$4:$G$1000,3,0)</f>
        <v>UN</v>
      </c>
      <c r="D148" s="122">
        <f>VLOOKUP(A148,[1]INDICE!$A$4:$G$1000,4,0)</f>
        <v>54.081999999999994</v>
      </c>
      <c r="E148" s="122">
        <f>VLOOKUP(A148,[1]INDICE!$A$4:$G$1000,5,0)</f>
        <v>170.1</v>
      </c>
      <c r="F148" s="122">
        <f>VLOOKUP(A148,[1]INDICE!$A$4:$G$1000,6,0)</f>
        <v>0</v>
      </c>
      <c r="G148" s="122">
        <f>VLOOKUP(A148,[1]INDICE!$A$4:$G$1000,7,0)</f>
        <v>224.18199999999999</v>
      </c>
      <c r="H148" s="116" t="b">
        <f>A148=[2]INDFILTRO!A148</f>
        <v>0</v>
      </c>
      <c r="I148" s="113" t="b">
        <f>B148=[3]INDFILTRO!B147</f>
        <v>0</v>
      </c>
      <c r="J148" s="113" t="b">
        <f>E148=[2]INDFILTRO!E148</f>
        <v>0</v>
      </c>
      <c r="K148" s="113" t="b">
        <f>F148=[2]INDFILTRO!F148</f>
        <v>1</v>
      </c>
      <c r="L148" s="116" t="str">
        <f t="shared" si="7"/>
        <v>verdadeiro</v>
      </c>
      <c r="M148" s="124">
        <f t="shared" si="8"/>
        <v>384</v>
      </c>
      <c r="R148" s="253" t="b">
        <f t="shared" si="6"/>
        <v>1</v>
      </c>
      <c r="S148" s="253"/>
      <c r="T148" s="253"/>
    </row>
    <row r="149" spans="1:20" s="113" customFormat="1" ht="11.25">
      <c r="A149" s="121">
        <v>385</v>
      </c>
      <c r="B149" s="122" t="str">
        <f>VLOOKUP(A149,[1]INDICE!$A$4:$G$1000,2,0)</f>
        <v>CHAVE TRIPOLAR TIPO PACCO – 20A</v>
      </c>
      <c r="C149" s="160" t="str">
        <f>VLOOKUP(A149,[1]INDICE!$A$4:$G$1000,3,0)</f>
        <v>UN</v>
      </c>
      <c r="D149" s="122">
        <f>VLOOKUP(A149,[1]INDICE!$A$4:$G$1000,4,0)</f>
        <v>54.081999999999994</v>
      </c>
      <c r="E149" s="122">
        <f>VLOOKUP(A149,[1]INDICE!$A$4:$G$1000,5,0)</f>
        <v>103.98</v>
      </c>
      <c r="F149" s="122">
        <f>VLOOKUP(A149,[1]INDICE!$A$4:$G$1000,6,0)</f>
        <v>0</v>
      </c>
      <c r="G149" s="122">
        <f>VLOOKUP(A149,[1]INDICE!$A$4:$G$1000,7,0)</f>
        <v>158.06200000000001</v>
      </c>
      <c r="H149" s="116" t="b">
        <f>A149=[2]INDFILTRO!A149</f>
        <v>0</v>
      </c>
      <c r="I149" s="113" t="b">
        <f>B149=[3]INDFILTRO!B148</f>
        <v>0</v>
      </c>
      <c r="J149" s="113" t="b">
        <f>E149=[2]INDFILTRO!E149</f>
        <v>0</v>
      </c>
      <c r="K149" s="113" t="b">
        <f>F149=[2]INDFILTRO!F149</f>
        <v>1</v>
      </c>
      <c r="L149" s="116" t="str">
        <f t="shared" si="7"/>
        <v>verdadeiro</v>
      </c>
      <c r="M149" s="124">
        <f t="shared" si="8"/>
        <v>385</v>
      </c>
      <c r="R149" s="253" t="b">
        <f t="shared" si="6"/>
        <v>1</v>
      </c>
      <c r="S149" s="253"/>
      <c r="T149" s="253"/>
    </row>
    <row r="150" spans="1:20" s="113" customFormat="1" ht="11.25">
      <c r="A150" s="121">
        <v>387</v>
      </c>
      <c r="B150" s="122" t="str">
        <f>VLOOKUP(A150,[1]INDICE!$A$4:$G$1000,2,0)</f>
        <v>RODAPÉ DE MASSA</v>
      </c>
      <c r="C150" s="160" t="str">
        <f>VLOOKUP(A150,[1]INDICE!$A$4:$G$1000,3,0)</f>
        <v>M</v>
      </c>
      <c r="D150" s="122">
        <f>VLOOKUP(A150,[1]INDICE!$A$4:$G$1000,4,0)</f>
        <v>8.5980999999999987</v>
      </c>
      <c r="E150" s="122">
        <f>VLOOKUP(A150,[1]INDICE!$A$4:$G$1000,5,0)</f>
        <v>1.0431299999999999</v>
      </c>
      <c r="F150" s="122">
        <f>VLOOKUP(A150,[1]INDICE!$A$4:$G$1000,6,0)</f>
        <v>0</v>
      </c>
      <c r="G150" s="122">
        <f>VLOOKUP(A150,[1]INDICE!$A$4:$G$1000,7,0)</f>
        <v>9.6412299999999984</v>
      </c>
      <c r="H150" s="116" t="b">
        <f>A150=[2]INDFILTRO!A150</f>
        <v>0</v>
      </c>
      <c r="I150" s="113" t="b">
        <f>B150=[3]INDFILTRO!B149</f>
        <v>0</v>
      </c>
      <c r="J150" s="113" t="b">
        <f>E150=[2]INDFILTRO!E150</f>
        <v>0</v>
      </c>
      <c r="K150" s="113" t="b">
        <f>F150=[2]INDFILTRO!F150</f>
        <v>1</v>
      </c>
      <c r="L150" s="116" t="str">
        <f t="shared" si="7"/>
        <v>verdadeiro</v>
      </c>
      <c r="M150" s="124">
        <f t="shared" si="8"/>
        <v>387</v>
      </c>
      <c r="R150" s="253" t="b">
        <f t="shared" si="6"/>
        <v>1</v>
      </c>
      <c r="S150" s="253"/>
      <c r="T150" s="253"/>
    </row>
    <row r="151" spans="1:20" s="113" customFormat="1" ht="11.25">
      <c r="A151" s="121">
        <v>388</v>
      </c>
      <c r="B151" s="122" t="str">
        <f>VLOOKUP(A151,[1]INDICE!$A$4:$G$1000,2,0)</f>
        <v>BRAÇADEIRA METÁLICA TIPO “U”, DIAM. ¾''</v>
      </c>
      <c r="C151" s="160" t="str">
        <f>VLOOKUP(A151,[1]INDICE!$A$4:$G$1000,3,0)</f>
        <v>UN</v>
      </c>
      <c r="D151" s="122">
        <f>VLOOKUP(A151,[1]INDICE!$A$4:$G$1000,4,0)</f>
        <v>0.38629999999999998</v>
      </c>
      <c r="E151" s="122">
        <f>VLOOKUP(A151,[1]INDICE!$A$4:$G$1000,5,0)</f>
        <v>0.23</v>
      </c>
      <c r="F151" s="122">
        <f>VLOOKUP(A151,[1]INDICE!$A$4:$G$1000,6,0)</f>
        <v>0</v>
      </c>
      <c r="G151" s="122">
        <f>VLOOKUP(A151,[1]INDICE!$A$4:$G$1000,7,0)</f>
        <v>0.61629999999999996</v>
      </c>
      <c r="H151" s="116" t="b">
        <f>A151=[2]INDFILTRO!A151</f>
        <v>0</v>
      </c>
      <c r="I151" s="113" t="b">
        <f>B151=[3]INDFILTRO!B150</f>
        <v>0</v>
      </c>
      <c r="J151" s="113" t="b">
        <f>E151=[2]INDFILTRO!E151</f>
        <v>0</v>
      </c>
      <c r="K151" s="113" t="b">
        <f>F151=[2]INDFILTRO!F151</f>
        <v>1</v>
      </c>
      <c r="L151" s="116" t="str">
        <f t="shared" si="7"/>
        <v>verdadeiro</v>
      </c>
      <c r="M151" s="124">
        <f t="shared" si="8"/>
        <v>388</v>
      </c>
      <c r="R151" s="253" t="b">
        <f t="shared" si="6"/>
        <v>1</v>
      </c>
      <c r="S151" s="253"/>
      <c r="T151" s="253"/>
    </row>
    <row r="152" spans="1:20" s="113" customFormat="1" ht="11.25">
      <c r="A152" s="121">
        <v>389</v>
      </c>
      <c r="B152" s="122" t="str">
        <f>VLOOKUP(A152,[1]INDICE!$A$4:$G$1000,2,0)</f>
        <v>BRAÇADEIRA METÁLICA TIPO “U”, DIAM. 1''</v>
      </c>
      <c r="C152" s="160" t="str">
        <f>VLOOKUP(A152,[1]INDICE!$A$4:$G$1000,3,0)</f>
        <v>UN</v>
      </c>
      <c r="D152" s="122">
        <f>VLOOKUP(A152,[1]INDICE!$A$4:$G$1000,4,0)</f>
        <v>0.38629999999999998</v>
      </c>
      <c r="E152" s="122">
        <f>VLOOKUP(A152,[1]INDICE!$A$4:$G$1000,5,0)</f>
        <v>0.32</v>
      </c>
      <c r="F152" s="122">
        <f>VLOOKUP(A152,[1]INDICE!$A$4:$G$1000,6,0)</f>
        <v>0</v>
      </c>
      <c r="G152" s="122">
        <f>VLOOKUP(A152,[1]INDICE!$A$4:$G$1000,7,0)</f>
        <v>0.70629999999999993</v>
      </c>
      <c r="H152" s="116" t="b">
        <f>A152=[2]INDFILTRO!A152</f>
        <v>0</v>
      </c>
      <c r="I152" s="113" t="b">
        <f>B152=[3]INDFILTRO!B151</f>
        <v>0</v>
      </c>
      <c r="J152" s="113" t="b">
        <f>E152=[2]INDFILTRO!E152</f>
        <v>0</v>
      </c>
      <c r="K152" s="113" t="b">
        <f>F152=[2]INDFILTRO!F152</f>
        <v>1</v>
      </c>
      <c r="L152" s="116" t="str">
        <f t="shared" si="7"/>
        <v>verdadeiro</v>
      </c>
      <c r="M152" s="124">
        <f t="shared" si="8"/>
        <v>389</v>
      </c>
      <c r="R152" s="253" t="b">
        <f t="shared" si="6"/>
        <v>1</v>
      </c>
      <c r="S152" s="253"/>
      <c r="T152" s="253"/>
    </row>
    <row r="153" spans="1:20" s="113" customFormat="1" ht="11.25">
      <c r="A153" s="121">
        <v>391</v>
      </c>
      <c r="B153" s="122" t="str">
        <f>VLOOKUP(A153,[1]INDICE!$A$4:$G$1000,2,0)</f>
        <v>FITA DE AUTO FUSÃO, ROLO DE 10M</v>
      </c>
      <c r="C153" s="160" t="str">
        <f>VLOOKUP(A153,[1]INDICE!$A$4:$G$1000,3,0)</f>
        <v>UN</v>
      </c>
      <c r="D153" s="122">
        <f>VLOOKUP(A153,[1]INDICE!$A$4:$G$1000,4,0)</f>
        <v>7.726</v>
      </c>
      <c r="E153" s="122">
        <f>VLOOKUP(A153,[1]INDICE!$A$4:$G$1000,5,0)</f>
        <v>13.6</v>
      </c>
      <c r="F153" s="122">
        <f>VLOOKUP(A153,[1]INDICE!$A$4:$G$1000,6,0)</f>
        <v>0</v>
      </c>
      <c r="G153" s="122">
        <f>VLOOKUP(A153,[1]INDICE!$A$4:$G$1000,7,0)</f>
        <v>21.326000000000001</v>
      </c>
      <c r="H153" s="116" t="b">
        <f>A153=[2]INDFILTRO!A153</f>
        <v>0</v>
      </c>
      <c r="I153" s="113" t="b">
        <f>B153=[3]INDFILTRO!B152</f>
        <v>0</v>
      </c>
      <c r="J153" s="113" t="b">
        <f>E153=[2]INDFILTRO!E153</f>
        <v>0</v>
      </c>
      <c r="K153" s="113" t="b">
        <f>F153=[2]INDFILTRO!F153</f>
        <v>1</v>
      </c>
      <c r="L153" s="116" t="str">
        <f t="shared" si="7"/>
        <v>verdadeiro</v>
      </c>
      <c r="M153" s="124">
        <f t="shared" si="8"/>
        <v>391</v>
      </c>
      <c r="R153" s="253" t="b">
        <f t="shared" si="6"/>
        <v>1</v>
      </c>
      <c r="S153" s="253"/>
      <c r="T153" s="253"/>
    </row>
    <row r="154" spans="1:20" s="113" customFormat="1" ht="11.25">
      <c r="A154" s="121">
        <v>392</v>
      </c>
      <c r="B154" s="122" t="str">
        <f>VLOOKUP(A154,[1]INDICE!$A$4:$G$1000,2,0)</f>
        <v>CHAPA DE AÇO DE 2" X 1/8"</v>
      </c>
      <c r="C154" s="160" t="str">
        <f>VLOOKUP(A154,[1]INDICE!$A$4:$G$1000,3,0)</f>
        <v>UN</v>
      </c>
      <c r="D154" s="122">
        <f>VLOOKUP(A154,[1]INDICE!$A$4:$G$1000,4,0)</f>
        <v>9.6574999999999989</v>
      </c>
      <c r="E154" s="122">
        <f>VLOOKUP(A154,[1]INDICE!$A$4:$G$1000,5,0)</f>
        <v>31.730250000000002</v>
      </c>
      <c r="F154" s="122">
        <f>VLOOKUP(A154,[1]INDICE!$A$4:$G$1000,6,0)</f>
        <v>0</v>
      </c>
      <c r="G154" s="122">
        <f>VLOOKUP(A154,[1]INDICE!$A$4:$G$1000,7,0)</f>
        <v>41.387749999999997</v>
      </c>
      <c r="H154" s="116" t="b">
        <f>A154=[2]INDFILTRO!A154</f>
        <v>0</v>
      </c>
      <c r="I154" s="113" t="b">
        <f>B154=[3]INDFILTRO!B153</f>
        <v>0</v>
      </c>
      <c r="J154" s="113" t="b">
        <f>E154=[2]INDFILTRO!E154</f>
        <v>0</v>
      </c>
      <c r="K154" s="113" t="b">
        <f>F154=[2]INDFILTRO!F154</f>
        <v>1</v>
      </c>
      <c r="L154" s="116" t="str">
        <f t="shared" si="7"/>
        <v>verdadeiro</v>
      </c>
      <c r="M154" s="124">
        <f t="shared" si="8"/>
        <v>392</v>
      </c>
      <c r="R154" s="253" t="b">
        <f t="shared" si="6"/>
        <v>1</v>
      </c>
      <c r="S154" s="253"/>
      <c r="T154" s="253"/>
    </row>
    <row r="155" spans="1:20" s="113" customFormat="1" ht="22.5">
      <c r="A155" s="121">
        <v>393</v>
      </c>
      <c r="B155" s="122" t="str">
        <f>VLOOKUP(A155,[1]INDICE!$A$4:$G$1000,2,0)</f>
        <v>GAIOLA DE PROTEÇÃO DE FERRO CA-50 8,0MM COM PINTURA ANTI-OXIDANTE E ESMALTE SINTÉTICO 2 DEMÃOS</v>
      </c>
      <c r="C155" s="160" t="str">
        <f>VLOOKUP(A155,[1]INDICE!$A$4:$G$1000,3,0)</f>
        <v>UN</v>
      </c>
      <c r="D155" s="122">
        <f>VLOOKUP(A155,[1]INDICE!$A$4:$G$1000,4,0)</f>
        <v>77.777528719999992</v>
      </c>
      <c r="E155" s="122">
        <f>VLOOKUP(A155,[1]INDICE!$A$4:$G$1000,5,0)</f>
        <v>94.009558320000011</v>
      </c>
      <c r="F155" s="122">
        <f>VLOOKUP(A155,[1]INDICE!$A$4:$G$1000,6,0)</f>
        <v>0</v>
      </c>
      <c r="G155" s="122">
        <f>VLOOKUP(A155,[1]INDICE!$A$4:$G$1000,7,0)</f>
        <v>171.78708704000002</v>
      </c>
      <c r="H155" s="116" t="b">
        <f>A155=[2]INDFILTRO!A155</f>
        <v>0</v>
      </c>
      <c r="I155" s="113" t="b">
        <f>B155=[3]INDFILTRO!B154</f>
        <v>0</v>
      </c>
      <c r="J155" s="113" t="b">
        <f>E155=[2]INDFILTRO!E155</f>
        <v>0</v>
      </c>
      <c r="K155" s="113" t="b">
        <f>F155=[2]INDFILTRO!F155</f>
        <v>1</v>
      </c>
      <c r="L155" s="116" t="str">
        <f t="shared" si="7"/>
        <v>verdadeiro</v>
      </c>
      <c r="M155" s="124">
        <f t="shared" si="8"/>
        <v>393</v>
      </c>
      <c r="R155" s="253" t="b">
        <f t="shared" si="6"/>
        <v>1</v>
      </c>
      <c r="S155" s="253"/>
      <c r="T155" s="253"/>
    </row>
    <row r="156" spans="1:20" s="113" customFormat="1" ht="11.25">
      <c r="A156" s="121">
        <v>395</v>
      </c>
      <c r="B156" s="122" t="str">
        <f>VLOOKUP(A156,[1]INDICE!$A$4:$G$1000,2,0)</f>
        <v>BUCHA DE NYLON COM PARAFUSO S9</v>
      </c>
      <c r="C156" s="160" t="str">
        <f>VLOOKUP(A156,[1]INDICE!$A$4:$G$1000,3,0)</f>
        <v>UN</v>
      </c>
      <c r="D156" s="122">
        <f>VLOOKUP(A156,[1]INDICE!$A$4:$G$1000,4,0)</f>
        <v>1.3211460000000002</v>
      </c>
      <c r="E156" s="122">
        <f>VLOOKUP(A156,[1]INDICE!$A$4:$G$1000,5,0)</f>
        <v>0.33</v>
      </c>
      <c r="F156" s="122">
        <f>VLOOKUP(A156,[1]INDICE!$A$4:$G$1000,6,0)</f>
        <v>0</v>
      </c>
      <c r="G156" s="122">
        <f>VLOOKUP(A156,[1]INDICE!$A$4:$G$1000,7,0)</f>
        <v>1.6511460000000002</v>
      </c>
      <c r="H156" s="116" t="b">
        <f>A156=[2]INDFILTRO!A156</f>
        <v>0</v>
      </c>
      <c r="I156" s="113" t="b">
        <f>B156=[3]INDFILTRO!B155</f>
        <v>0</v>
      </c>
      <c r="J156" s="113" t="b">
        <f>E156=[2]INDFILTRO!E156</f>
        <v>0</v>
      </c>
      <c r="K156" s="113" t="b">
        <f>F156=[2]INDFILTRO!F156</f>
        <v>1</v>
      </c>
      <c r="L156" s="116" t="str">
        <f t="shared" si="7"/>
        <v>verdadeiro</v>
      </c>
      <c r="M156" s="124">
        <f t="shared" si="8"/>
        <v>395</v>
      </c>
      <c r="R156" s="253" t="b">
        <f t="shared" si="6"/>
        <v>1</v>
      </c>
      <c r="S156" s="253"/>
      <c r="T156" s="253"/>
    </row>
    <row r="157" spans="1:20" s="113" customFormat="1" ht="11.25">
      <c r="A157" s="121">
        <v>401</v>
      </c>
      <c r="B157" s="122" t="str">
        <f>VLOOKUP(A157,[1]INDICE!$A$4:$G$1000,2,0)</f>
        <v>TRAVAS FERRO GALVANIZADO PARA FUTEBOL DE SALÃO PINTADAS 3X2M – 2 UNIDADES</v>
      </c>
      <c r="C157" s="160" t="str">
        <f>VLOOKUP(A157,[1]INDICE!$A$4:$G$1000,3,0)</f>
        <v>CJ</v>
      </c>
      <c r="D157" s="122">
        <f>VLOOKUP(A157,[1]INDICE!$A$4:$G$1000,4,0)</f>
        <v>862.02168600000005</v>
      </c>
      <c r="E157" s="122">
        <f>VLOOKUP(A157,[1]INDICE!$A$4:$G$1000,5,0)</f>
        <v>1653.4237949999999</v>
      </c>
      <c r="F157" s="122">
        <f>VLOOKUP(A157,[1]INDICE!$A$4:$G$1000,6,0)</f>
        <v>0</v>
      </c>
      <c r="G157" s="122">
        <f>VLOOKUP(A157,[1]INDICE!$A$4:$G$1000,7,0)</f>
        <v>2515.4454809999997</v>
      </c>
      <c r="H157" s="116" t="b">
        <f>A157=[2]INDFILTRO!A157</f>
        <v>0</v>
      </c>
      <c r="I157" s="113" t="b">
        <f>B157=[3]INDFILTRO!B156</f>
        <v>0</v>
      </c>
      <c r="J157" s="113" t="b">
        <f>E157=[2]INDFILTRO!E157</f>
        <v>0</v>
      </c>
      <c r="K157" s="113" t="b">
        <f>F157=[2]INDFILTRO!F157</f>
        <v>1</v>
      </c>
      <c r="L157" s="116" t="str">
        <f t="shared" si="7"/>
        <v>verdadeiro</v>
      </c>
      <c r="M157" s="124">
        <f t="shared" si="8"/>
        <v>401</v>
      </c>
      <c r="R157" s="253" t="b">
        <f t="shared" si="6"/>
        <v>1</v>
      </c>
      <c r="S157" s="253"/>
      <c r="T157" s="253"/>
    </row>
    <row r="158" spans="1:20" s="113" customFormat="1" ht="22.5">
      <c r="A158" s="121">
        <v>402</v>
      </c>
      <c r="B158" s="122" t="str">
        <f>VLOOKUP(A158,[1]INDICE!$A$4:$G$1000,2,0)</f>
        <v>TABELA PARA BASQUETE ESTRUTURA METÁLICA E COMPENSADO (ASSENTADAS/PINTADAS) ARO METÁLICO – 2 UNIDADES</v>
      </c>
      <c r="C158" s="160" t="str">
        <f>VLOOKUP(A158,[1]INDICE!$A$4:$G$1000,3,0)</f>
        <v>CJ</v>
      </c>
      <c r="D158" s="122">
        <f>VLOOKUP(A158,[1]INDICE!$A$4:$G$1000,4,0)</f>
        <v>684.50040100000001</v>
      </c>
      <c r="E158" s="122">
        <f>VLOOKUP(A158,[1]INDICE!$A$4:$G$1000,5,0)</f>
        <v>2155.7322333000002</v>
      </c>
      <c r="F158" s="122">
        <f>VLOOKUP(A158,[1]INDICE!$A$4:$G$1000,6,0)</f>
        <v>0</v>
      </c>
      <c r="G158" s="122">
        <f>VLOOKUP(A158,[1]INDICE!$A$4:$G$1000,7,0)</f>
        <v>2840.2326343000004</v>
      </c>
      <c r="H158" s="116" t="b">
        <f>A158=[2]INDFILTRO!A158</f>
        <v>0</v>
      </c>
      <c r="I158" s="113" t="b">
        <f>B158=[3]INDFILTRO!B157</f>
        <v>0</v>
      </c>
      <c r="J158" s="113" t="b">
        <f>E158=[2]INDFILTRO!E158</f>
        <v>0</v>
      </c>
      <c r="K158" s="113" t="b">
        <f>F158=[2]INDFILTRO!F158</f>
        <v>1</v>
      </c>
      <c r="L158" s="116" t="str">
        <f t="shared" si="7"/>
        <v>verdadeiro</v>
      </c>
      <c r="M158" s="124">
        <f t="shared" si="8"/>
        <v>402</v>
      </c>
      <c r="R158" s="253" t="b">
        <f t="shared" si="6"/>
        <v>1</v>
      </c>
      <c r="S158" s="253"/>
      <c r="T158" s="253"/>
    </row>
    <row r="159" spans="1:20" s="113" customFormat="1" ht="11.25">
      <c r="A159" s="121">
        <v>403</v>
      </c>
      <c r="B159" s="122" t="str">
        <f>VLOOKUP(A159,[1]INDICE!$A$4:$G$1000,2,0)</f>
        <v>CONJUNTO PARA VOLEIBOL EM FERRO GALVANIZADO COM PINTURA (2 SUPORTES)</v>
      </c>
      <c r="C159" s="160" t="str">
        <f>VLOOKUP(A159,[1]INDICE!$A$4:$G$1000,3,0)</f>
        <v>CJ</v>
      </c>
      <c r="D159" s="122">
        <f>VLOOKUP(A159,[1]INDICE!$A$4:$G$1000,4,0)</f>
        <v>351.57651699999997</v>
      </c>
      <c r="E159" s="122">
        <f>VLOOKUP(A159,[1]INDICE!$A$4:$G$1000,5,0)</f>
        <v>722.32575800000018</v>
      </c>
      <c r="F159" s="122">
        <f>VLOOKUP(A159,[1]INDICE!$A$4:$G$1000,6,0)</f>
        <v>0</v>
      </c>
      <c r="G159" s="122">
        <f>VLOOKUP(A159,[1]INDICE!$A$4:$G$1000,7,0)</f>
        <v>1073.9022750000001</v>
      </c>
      <c r="H159" s="116" t="b">
        <f>A159=[2]INDFILTRO!A159</f>
        <v>0</v>
      </c>
      <c r="I159" s="113" t="b">
        <f>B159=[3]INDFILTRO!B158</f>
        <v>0</v>
      </c>
      <c r="J159" s="113" t="b">
        <f>E159=[2]INDFILTRO!E159</f>
        <v>0</v>
      </c>
      <c r="K159" s="113" t="b">
        <f>F159=[2]INDFILTRO!F159</f>
        <v>1</v>
      </c>
      <c r="L159" s="116" t="str">
        <f t="shared" si="7"/>
        <v>verdadeiro</v>
      </c>
      <c r="M159" s="124">
        <f t="shared" si="8"/>
        <v>403</v>
      </c>
      <c r="R159" s="253" t="b">
        <f t="shared" si="6"/>
        <v>1</v>
      </c>
      <c r="S159" s="253"/>
      <c r="T159" s="253"/>
    </row>
    <row r="160" spans="1:20" s="113" customFormat="1" ht="11.25">
      <c r="A160" s="121">
        <v>404</v>
      </c>
      <c r="B160" s="122" t="str">
        <f>VLOOKUP(A160,[1]INDICE!$A$4:$G$1000,2,0)</f>
        <v>GRELHA REDONDA CROMADA DIAM. 100MM</v>
      </c>
      <c r="C160" s="160" t="str">
        <f>VLOOKUP(A160,[1]INDICE!$A$4:$G$1000,3,0)</f>
        <v>UN</v>
      </c>
      <c r="D160" s="122">
        <f>VLOOKUP(A160,[1]INDICE!$A$4:$G$1000,4,0)</f>
        <v>2.9952000000000001</v>
      </c>
      <c r="E160" s="122">
        <f>VLOOKUP(A160,[1]INDICE!$A$4:$G$1000,5,0)</f>
        <v>11.88</v>
      </c>
      <c r="F160" s="122">
        <f>VLOOKUP(A160,[1]INDICE!$A$4:$G$1000,6,0)</f>
        <v>0</v>
      </c>
      <c r="G160" s="122">
        <f>VLOOKUP(A160,[1]INDICE!$A$4:$G$1000,7,0)</f>
        <v>14.875200000000001</v>
      </c>
      <c r="H160" s="116" t="b">
        <f>A160=[2]INDFILTRO!A160</f>
        <v>0</v>
      </c>
      <c r="I160" s="113" t="b">
        <f>B160=[3]INDFILTRO!B159</f>
        <v>0</v>
      </c>
      <c r="J160" s="113" t="b">
        <f>E160=[2]INDFILTRO!E160</f>
        <v>0</v>
      </c>
      <c r="K160" s="113" t="b">
        <f>F160=[2]INDFILTRO!F160</f>
        <v>1</v>
      </c>
      <c r="L160" s="116" t="str">
        <f t="shared" si="7"/>
        <v>verdadeiro</v>
      </c>
      <c r="M160" s="124">
        <f t="shared" si="8"/>
        <v>404</v>
      </c>
      <c r="R160" s="253" t="b">
        <f t="shared" si="6"/>
        <v>1</v>
      </c>
      <c r="S160" s="253"/>
      <c r="T160" s="253"/>
    </row>
    <row r="161" spans="1:20" s="113" customFormat="1" ht="11.25">
      <c r="A161" s="121">
        <v>405</v>
      </c>
      <c r="B161" s="122" t="str">
        <f>VLOOKUP(A161,[1]INDICE!$A$4:$G$1000,2,0)</f>
        <v>PORTA GRELHA QUADRADO PARA GRELHA QUADRADA DIAM. 100MM</v>
      </c>
      <c r="C161" s="160" t="str">
        <f>VLOOKUP(A161,[1]INDICE!$A$4:$G$1000,3,0)</f>
        <v>UN</v>
      </c>
      <c r="D161" s="122">
        <f>VLOOKUP(A161,[1]INDICE!$A$4:$G$1000,4,0)</f>
        <v>3.7440000000000002</v>
      </c>
      <c r="E161" s="122">
        <f>VLOOKUP(A161,[1]INDICE!$A$4:$G$1000,5,0)</f>
        <v>6.68</v>
      </c>
      <c r="F161" s="122">
        <f>VLOOKUP(A161,[1]INDICE!$A$4:$G$1000,6,0)</f>
        <v>0</v>
      </c>
      <c r="G161" s="122">
        <f>VLOOKUP(A161,[1]INDICE!$A$4:$G$1000,7,0)</f>
        <v>10.423999999999999</v>
      </c>
      <c r="H161" s="116" t="b">
        <f>A161=[2]INDFILTRO!A161</f>
        <v>0</v>
      </c>
      <c r="I161" s="113" t="b">
        <f>B161=[3]INDFILTRO!B160</f>
        <v>0</v>
      </c>
      <c r="J161" s="113" t="b">
        <f>E161=[2]INDFILTRO!E161</f>
        <v>0</v>
      </c>
      <c r="K161" s="113" t="b">
        <f>F161=[2]INDFILTRO!F161</f>
        <v>1</v>
      </c>
      <c r="L161" s="116" t="str">
        <f t="shared" si="7"/>
        <v>verdadeiro</v>
      </c>
      <c r="M161" s="124">
        <f t="shared" si="8"/>
        <v>405</v>
      </c>
      <c r="R161" s="253" t="b">
        <f t="shared" si="6"/>
        <v>1</v>
      </c>
      <c r="S161" s="253"/>
      <c r="T161" s="253"/>
    </row>
    <row r="162" spans="1:20" s="113" customFormat="1" ht="11.25">
      <c r="A162" s="121">
        <v>406</v>
      </c>
      <c r="B162" s="122" t="str">
        <f>VLOOKUP(A162,[1]INDICE!$A$4:$G$1000,2,0)</f>
        <v>BARRA LISA</v>
      </c>
      <c r="C162" s="160" t="str">
        <f>VLOOKUP(A162,[1]INDICE!$A$4:$G$1000,3,0)</f>
        <v>M2</v>
      </c>
      <c r="D162" s="122">
        <f>VLOOKUP(A162,[1]INDICE!$A$4:$G$1000,4,0)</f>
        <v>25.766999999999996</v>
      </c>
      <c r="E162" s="122">
        <f>VLOOKUP(A162,[1]INDICE!$A$4:$G$1000,5,0)</f>
        <v>11.186231000000001</v>
      </c>
      <c r="F162" s="122">
        <f>VLOOKUP(A162,[1]INDICE!$A$4:$G$1000,6,0)</f>
        <v>0</v>
      </c>
      <c r="G162" s="122">
        <f>VLOOKUP(A162,[1]INDICE!$A$4:$G$1000,7,0)</f>
        <v>36.953230999999995</v>
      </c>
      <c r="H162" s="116" t="b">
        <f>A162=[2]INDFILTRO!A162</f>
        <v>0</v>
      </c>
      <c r="I162" s="113" t="b">
        <f>B162=[3]INDFILTRO!B161</f>
        <v>0</v>
      </c>
      <c r="J162" s="113" t="b">
        <f>E162=[2]INDFILTRO!E162</f>
        <v>0</v>
      </c>
      <c r="K162" s="113" t="b">
        <f>F162=[2]INDFILTRO!F162</f>
        <v>1</v>
      </c>
      <c r="L162" s="116" t="str">
        <f t="shared" si="7"/>
        <v>verdadeiro</v>
      </c>
      <c r="M162" s="124">
        <f t="shared" si="8"/>
        <v>406</v>
      </c>
      <c r="R162" s="253" t="b">
        <f t="shared" si="6"/>
        <v>1</v>
      </c>
      <c r="S162" s="253"/>
      <c r="T162" s="253"/>
    </row>
    <row r="163" spans="1:20" s="113" customFormat="1" ht="11.25">
      <c r="A163" s="121">
        <v>407</v>
      </c>
      <c r="B163" s="122" t="str">
        <f>VLOOKUP(A163,[1]INDICE!$A$4:$G$1000,2,0)</f>
        <v>CADEADO 30MM</v>
      </c>
      <c r="C163" s="160" t="str">
        <f>VLOOKUP(A163,[1]INDICE!$A$4:$G$1000,3,0)</f>
        <v>UN</v>
      </c>
      <c r="D163" s="122">
        <f>VLOOKUP(A163,[1]INDICE!$A$4:$G$1000,4,0)</f>
        <v>0</v>
      </c>
      <c r="E163" s="122">
        <f>VLOOKUP(A163,[1]INDICE!$A$4:$G$1000,5,0)</f>
        <v>21.76</v>
      </c>
      <c r="F163" s="122">
        <f>VLOOKUP(A163,[1]INDICE!$A$4:$G$1000,6,0)</f>
        <v>0</v>
      </c>
      <c r="G163" s="122">
        <f>VLOOKUP(A163,[1]INDICE!$A$4:$G$1000,7,0)</f>
        <v>21.76</v>
      </c>
      <c r="H163" s="116" t="b">
        <f>A163=[2]INDFILTRO!A163</f>
        <v>0</v>
      </c>
      <c r="I163" s="113" t="b">
        <f>B163=[3]INDFILTRO!B162</f>
        <v>0</v>
      </c>
      <c r="J163" s="113" t="b">
        <f>E163=[2]INDFILTRO!E163</f>
        <v>0</v>
      </c>
      <c r="K163" s="113" t="b">
        <f>F163=[2]INDFILTRO!F163</f>
        <v>1</v>
      </c>
      <c r="L163" s="116" t="str">
        <f t="shared" si="7"/>
        <v>verdadeiro</v>
      </c>
      <c r="M163" s="124">
        <f t="shared" si="8"/>
        <v>407</v>
      </c>
      <c r="R163" s="253" t="b">
        <f t="shared" si="6"/>
        <v>1</v>
      </c>
      <c r="S163" s="253"/>
      <c r="T163" s="253"/>
    </row>
    <row r="164" spans="1:20" s="113" customFormat="1" ht="11.25">
      <c r="A164" s="121">
        <v>412</v>
      </c>
      <c r="B164" s="122" t="str">
        <f>VLOOKUP(A164,[1]INDICE!$A$4:$G$1000,2,0)</f>
        <v>GRELHA QUADRADA BRANCA DIAM. 150 MM</v>
      </c>
      <c r="C164" s="160" t="str">
        <f>VLOOKUP(A164,[1]INDICE!$A$4:$G$1000,3,0)</f>
        <v>UN</v>
      </c>
      <c r="D164" s="122">
        <f>VLOOKUP(A164,[1]INDICE!$A$4:$G$1000,4,0)</f>
        <v>2.9952000000000001</v>
      </c>
      <c r="E164" s="122">
        <f>VLOOKUP(A164,[1]INDICE!$A$4:$G$1000,5,0)</f>
        <v>3.64</v>
      </c>
      <c r="F164" s="122">
        <f>VLOOKUP(A164,[1]INDICE!$A$4:$G$1000,6,0)</f>
        <v>0</v>
      </c>
      <c r="G164" s="122">
        <f>VLOOKUP(A164,[1]INDICE!$A$4:$G$1000,7,0)</f>
        <v>6.6352000000000002</v>
      </c>
      <c r="H164" s="116" t="b">
        <f>A164=[2]INDFILTRO!A164</f>
        <v>0</v>
      </c>
      <c r="I164" s="113" t="b">
        <f>B164=[3]INDFILTRO!B163</f>
        <v>0</v>
      </c>
      <c r="J164" s="113" t="b">
        <f>E164=[2]INDFILTRO!E164</f>
        <v>0</v>
      </c>
      <c r="K164" s="113" t="b">
        <f>F164=[2]INDFILTRO!F164</f>
        <v>1</v>
      </c>
      <c r="L164" s="116" t="str">
        <f t="shared" si="7"/>
        <v>verdadeiro</v>
      </c>
      <c r="M164" s="124">
        <f t="shared" si="8"/>
        <v>412</v>
      </c>
      <c r="R164" s="253" t="b">
        <f t="shared" si="6"/>
        <v>1</v>
      </c>
      <c r="S164" s="253"/>
      <c r="T164" s="253"/>
    </row>
    <row r="165" spans="1:20" s="113" customFormat="1" ht="11.25">
      <c r="A165" s="121">
        <v>415</v>
      </c>
      <c r="B165" s="122" t="str">
        <f>VLOOKUP(A165,[1]INDICE!$A$4:$G$1000,2,0)</f>
        <v>DIVISÓRIA PAINEL E RODAPÉ SIMPLES, PERFIL EM ALUMÍNIO</v>
      </c>
      <c r="C165" s="160" t="str">
        <f>VLOOKUP(A165,[1]INDICE!$A$4:$G$1000,3,0)</f>
        <v>M2</v>
      </c>
      <c r="D165" s="122">
        <f>VLOOKUP(A165,[1]INDICE!$A$4:$G$1000,4,0)</f>
        <v>0.15109999999999998</v>
      </c>
      <c r="E165" s="122">
        <f>VLOOKUP(A165,[1]INDICE!$A$4:$G$1000,5,0)</f>
        <v>84.02</v>
      </c>
      <c r="F165" s="122">
        <f>VLOOKUP(A165,[1]INDICE!$A$4:$G$1000,6,0)</f>
        <v>0</v>
      </c>
      <c r="G165" s="122">
        <f>VLOOKUP(A165,[1]INDICE!$A$4:$G$1000,7,0)</f>
        <v>84.171099999999996</v>
      </c>
      <c r="H165" s="116" t="b">
        <f>A165=[2]INDFILTRO!A165</f>
        <v>0</v>
      </c>
      <c r="I165" s="113" t="b">
        <f>B165=[3]INDFILTRO!B164</f>
        <v>0</v>
      </c>
      <c r="J165" s="113" t="b">
        <f>E165=[2]INDFILTRO!E165</f>
        <v>0</v>
      </c>
      <c r="K165" s="113" t="b">
        <f>F165=[2]INDFILTRO!F165</f>
        <v>1</v>
      </c>
      <c r="L165" s="116" t="str">
        <f t="shared" si="7"/>
        <v>verdadeiro</v>
      </c>
      <c r="M165" s="124">
        <f t="shared" si="8"/>
        <v>415</v>
      </c>
      <c r="R165" s="253" t="b">
        <f t="shared" si="6"/>
        <v>1</v>
      </c>
      <c r="S165" s="253"/>
      <c r="T165" s="253"/>
    </row>
    <row r="166" spans="1:20" s="113" customFormat="1" ht="11.25">
      <c r="A166" s="121">
        <v>416</v>
      </c>
      <c r="B166" s="122" t="str">
        <f>VLOOKUP(A166,[1]INDICE!$A$4:$G$1000,2,0)</f>
        <v>FERRAGENS PARA PORTA DIVISÓRIA, PERFIL EM ALUMÍNIO</v>
      </c>
      <c r="C166" s="160" t="str">
        <f>VLOOKUP(A166,[1]INDICE!$A$4:$G$1000,3,0)</f>
        <v>UN</v>
      </c>
      <c r="D166" s="122">
        <f>VLOOKUP(A166,[1]INDICE!$A$4:$G$1000,4,0)</f>
        <v>0</v>
      </c>
      <c r="E166" s="122">
        <f>VLOOKUP(A166,[1]INDICE!$A$4:$G$1000,5,0)</f>
        <v>107.98</v>
      </c>
      <c r="F166" s="122">
        <f>VLOOKUP(A166,[1]INDICE!$A$4:$G$1000,6,0)</f>
        <v>0</v>
      </c>
      <c r="G166" s="122">
        <f>VLOOKUP(A166,[1]INDICE!$A$4:$G$1000,7,0)</f>
        <v>107.98</v>
      </c>
      <c r="H166" s="116" t="b">
        <f>A166=[2]INDFILTRO!A166</f>
        <v>0</v>
      </c>
      <c r="I166" s="113" t="b">
        <f>B166=[3]INDFILTRO!B165</f>
        <v>0</v>
      </c>
      <c r="J166" s="113" t="b">
        <f>E166=[2]INDFILTRO!E166</f>
        <v>0</v>
      </c>
      <c r="K166" s="113" t="b">
        <f>F166=[2]INDFILTRO!F166</f>
        <v>1</v>
      </c>
      <c r="L166" s="116" t="str">
        <f t="shared" si="7"/>
        <v>verdadeiro</v>
      </c>
      <c r="M166" s="124">
        <f t="shared" si="8"/>
        <v>416</v>
      </c>
      <c r="R166" s="253" t="b">
        <f t="shared" si="6"/>
        <v>1</v>
      </c>
      <c r="S166" s="253"/>
      <c r="T166" s="253"/>
    </row>
    <row r="167" spans="1:20" s="113" customFormat="1" ht="22.5">
      <c r="A167" s="121">
        <v>417</v>
      </c>
      <c r="B167" s="122" t="str">
        <f>VLOOKUP(A167,[1]INDICE!$A$4:$G$1000,2,0)</f>
        <v>EMBOÇO (ISOLANTE TÉRMICO E ACÚSTICO) COM VERMICULITA (1CI:2CH:1ARM:8,3333VERM) ESP.=3CM</v>
      </c>
      <c r="C167" s="160" t="str">
        <f>VLOOKUP(A167,[1]INDICE!$A$4:$G$1000,3,0)</f>
        <v>M2</v>
      </c>
      <c r="D167" s="122">
        <f>VLOOKUP(A167,[1]INDICE!$A$4:$G$1000,4,0)</f>
        <v>14.456771</v>
      </c>
      <c r="E167" s="122">
        <f>VLOOKUP(A167,[1]INDICE!$A$4:$G$1000,5,0)</f>
        <v>21.017659000000002</v>
      </c>
      <c r="F167" s="122">
        <f>VLOOKUP(A167,[1]INDICE!$A$4:$G$1000,6,0)</f>
        <v>0</v>
      </c>
      <c r="G167" s="122">
        <f>VLOOKUP(A167,[1]INDICE!$A$4:$G$1000,7,0)</f>
        <v>35.474429999999998</v>
      </c>
      <c r="H167" s="116" t="b">
        <f>A167=[2]INDFILTRO!A167</f>
        <v>0</v>
      </c>
      <c r="I167" s="113" t="b">
        <f>B167=[3]INDFILTRO!B166</f>
        <v>0</v>
      </c>
      <c r="J167" s="113" t="b">
        <f>E167=[2]INDFILTRO!E167</f>
        <v>0</v>
      </c>
      <c r="K167" s="113" t="b">
        <f>F167=[2]INDFILTRO!F167</f>
        <v>1</v>
      </c>
      <c r="L167" s="116" t="str">
        <f t="shared" si="7"/>
        <v>verdadeiro</v>
      </c>
      <c r="M167" s="124">
        <f t="shared" si="8"/>
        <v>417</v>
      </c>
      <c r="R167" s="253" t="b">
        <f t="shared" si="6"/>
        <v>1</v>
      </c>
      <c r="S167" s="253"/>
      <c r="T167" s="253"/>
    </row>
    <row r="168" spans="1:20" s="113" customFormat="1" ht="11.25">
      <c r="A168" s="121">
        <v>419</v>
      </c>
      <c r="B168" s="122" t="str">
        <f>VLOOKUP(A168,[1]INDICE!$A$4:$G$1000,2,0)</f>
        <v>PORTA ABRIR/VENEZIANA PF-4 C/FERRAGENS</v>
      </c>
      <c r="C168" s="160" t="str">
        <f>VLOOKUP(A168,[1]INDICE!$A$4:$G$1000,3,0)</f>
        <v>M2</v>
      </c>
      <c r="D168" s="122">
        <f>VLOOKUP(A168,[1]INDICE!$A$4:$G$1000,4,0)</f>
        <v>164.877015</v>
      </c>
      <c r="E168" s="122">
        <f>VLOOKUP(A168,[1]INDICE!$A$4:$G$1000,5,0)</f>
        <v>267.08872400000001</v>
      </c>
      <c r="F168" s="122">
        <f>VLOOKUP(A168,[1]INDICE!$A$4:$G$1000,6,0)</f>
        <v>0</v>
      </c>
      <c r="G168" s="122">
        <f>VLOOKUP(A168,[1]INDICE!$A$4:$G$1000,7,0)</f>
        <v>431.96573899999999</v>
      </c>
      <c r="H168" s="116" t="b">
        <f>A168=[2]INDFILTRO!A168</f>
        <v>0</v>
      </c>
      <c r="I168" s="113" t="b">
        <f>B168=[3]INDFILTRO!B167</f>
        <v>0</v>
      </c>
      <c r="J168" s="113" t="b">
        <f>E168=[2]INDFILTRO!E168</f>
        <v>0</v>
      </c>
      <c r="K168" s="113" t="b">
        <f>F168=[2]INDFILTRO!F168</f>
        <v>1</v>
      </c>
      <c r="L168" s="116" t="str">
        <f t="shared" si="7"/>
        <v>verdadeiro</v>
      </c>
      <c r="M168" s="124">
        <f t="shared" si="8"/>
        <v>419</v>
      </c>
      <c r="R168" s="253" t="b">
        <f t="shared" si="6"/>
        <v>1</v>
      </c>
      <c r="S168" s="253"/>
      <c r="T168" s="253"/>
    </row>
    <row r="169" spans="1:20" s="113" customFormat="1" ht="11.25">
      <c r="A169" s="121">
        <v>424</v>
      </c>
      <c r="B169" s="122" t="str">
        <f>VLOOKUP(A169,[1]INDICE!$A$4:$G$1000,2,0)</f>
        <v>LAVATÓRIO DE CANTO SEM COLUNA</v>
      </c>
      <c r="C169" s="160" t="str">
        <f>VLOOKUP(A169,[1]INDICE!$A$4:$G$1000,3,0)</f>
        <v>UN</v>
      </c>
      <c r="D169" s="122">
        <f>VLOOKUP(A169,[1]INDICE!$A$4:$G$1000,4,0)</f>
        <v>41.685797999999998</v>
      </c>
      <c r="E169" s="122">
        <f>VLOOKUP(A169,[1]INDICE!$A$4:$G$1000,5,0)</f>
        <v>166.574478</v>
      </c>
      <c r="F169" s="122">
        <f>VLOOKUP(A169,[1]INDICE!$A$4:$G$1000,6,0)</f>
        <v>0</v>
      </c>
      <c r="G169" s="122">
        <f>VLOOKUP(A169,[1]INDICE!$A$4:$G$1000,7,0)</f>
        <v>208.260276</v>
      </c>
      <c r="H169" s="116" t="b">
        <f>A169=[2]INDFILTRO!A169</f>
        <v>0</v>
      </c>
      <c r="I169" s="113" t="b">
        <f>B169=[3]INDFILTRO!B168</f>
        <v>0</v>
      </c>
      <c r="J169" s="113" t="b">
        <f>E169=[2]INDFILTRO!E169</f>
        <v>0</v>
      </c>
      <c r="K169" s="113" t="b">
        <f>F169=[2]INDFILTRO!F169</f>
        <v>1</v>
      </c>
      <c r="L169" s="116" t="str">
        <f t="shared" si="7"/>
        <v>verdadeiro</v>
      </c>
      <c r="M169" s="124">
        <f t="shared" si="8"/>
        <v>424</v>
      </c>
      <c r="R169" s="253" t="b">
        <f t="shared" si="6"/>
        <v>1</v>
      </c>
      <c r="S169" s="253"/>
      <c r="T169" s="253"/>
    </row>
    <row r="170" spans="1:20" s="113" customFormat="1" ht="11.25">
      <c r="A170" s="121">
        <v>427</v>
      </c>
      <c r="B170" s="122" t="str">
        <f>VLOOKUP(A170,[1]INDICE!$A$4:$G$1000,2,0)</f>
        <v>PORTA DE ABRIR EM CHAPA PF-1 COM FERRAGENS</v>
      </c>
      <c r="C170" s="160" t="str">
        <f>VLOOKUP(A170,[1]INDICE!$A$4:$G$1000,3,0)</f>
        <v>M2</v>
      </c>
      <c r="D170" s="122">
        <f>VLOOKUP(A170,[1]INDICE!$A$4:$G$1000,4,0)</f>
        <v>209.359869</v>
      </c>
      <c r="E170" s="122">
        <f>VLOOKUP(A170,[1]INDICE!$A$4:$G$1000,5,0)</f>
        <v>366.39710000000002</v>
      </c>
      <c r="F170" s="122">
        <f>VLOOKUP(A170,[1]INDICE!$A$4:$G$1000,6,0)</f>
        <v>0</v>
      </c>
      <c r="G170" s="122">
        <f>VLOOKUP(A170,[1]INDICE!$A$4:$G$1000,7,0)</f>
        <v>575.75696900000003</v>
      </c>
      <c r="H170" s="116" t="b">
        <f>A170=[2]INDFILTRO!A170</f>
        <v>0</v>
      </c>
      <c r="I170" s="113" t="b">
        <f>B170=[3]INDFILTRO!B169</f>
        <v>0</v>
      </c>
      <c r="J170" s="113" t="b">
        <f>E170=[2]INDFILTRO!E170</f>
        <v>0</v>
      </c>
      <c r="K170" s="113" t="b">
        <f>F170=[2]INDFILTRO!F170</f>
        <v>1</v>
      </c>
      <c r="L170" s="116" t="str">
        <f t="shared" si="7"/>
        <v>verdadeiro</v>
      </c>
      <c r="M170" s="124">
        <f t="shared" si="8"/>
        <v>427</v>
      </c>
      <c r="R170" s="253" t="b">
        <f t="shared" si="6"/>
        <v>1</v>
      </c>
      <c r="S170" s="253"/>
      <c r="T170" s="253"/>
    </row>
    <row r="171" spans="1:20" s="113" customFormat="1" ht="11.25">
      <c r="A171" s="121">
        <v>428</v>
      </c>
      <c r="B171" s="122" t="str">
        <f>VLOOKUP(A171,[1]INDICE!$A$4:$G$1000,2,0)</f>
        <v>ESQUADRIA BASCULANTE EM CHAPA J17, J18 e J19 C/FERRAGENS</v>
      </c>
      <c r="C171" s="160" t="str">
        <f>VLOOKUP(A171,[1]INDICE!$A$4:$G$1000,3,0)</f>
        <v>M2</v>
      </c>
      <c r="D171" s="122">
        <f>VLOOKUP(A171,[1]INDICE!$A$4:$G$1000,4,0)</f>
        <v>114.71309199999999</v>
      </c>
      <c r="E171" s="122">
        <f>VLOOKUP(A171,[1]INDICE!$A$4:$G$1000,5,0)</f>
        <v>146.74901199999999</v>
      </c>
      <c r="F171" s="122">
        <f>VLOOKUP(A171,[1]INDICE!$A$4:$G$1000,6,0)</f>
        <v>0</v>
      </c>
      <c r="G171" s="122">
        <f>VLOOKUP(A171,[1]INDICE!$A$4:$G$1000,7,0)</f>
        <v>261.46210399999995</v>
      </c>
      <c r="H171" s="116" t="b">
        <f>A171=[2]INDFILTRO!A171</f>
        <v>0</v>
      </c>
      <c r="I171" s="113" t="b">
        <f>B171=[3]INDFILTRO!B170</f>
        <v>0</v>
      </c>
      <c r="J171" s="113" t="b">
        <f>E171=[2]INDFILTRO!E171</f>
        <v>0</v>
      </c>
      <c r="K171" s="113" t="b">
        <f>F171=[2]INDFILTRO!F171</f>
        <v>1</v>
      </c>
      <c r="L171" s="116" t="str">
        <f t="shared" si="7"/>
        <v>verdadeiro</v>
      </c>
      <c r="M171" s="124">
        <f t="shared" si="8"/>
        <v>428</v>
      </c>
      <c r="R171" s="253" t="b">
        <f t="shared" si="6"/>
        <v>1</v>
      </c>
      <c r="S171" s="253"/>
      <c r="T171" s="253"/>
    </row>
    <row r="172" spans="1:20" s="113" customFormat="1" ht="22.5">
      <c r="A172" s="121">
        <v>431</v>
      </c>
      <c r="B172" s="122" t="str">
        <f>VLOOKUP(A172,[1]INDICE!$A$4:$G$1000,2,0)</f>
        <v>CENTRAL DE GÁS PADRÃO GOINFRA/2019 COMPLETA, EXCLUSO AS INSTALAÇÕES MECÂNICAS (2+2 CILINDRO P-45)</v>
      </c>
      <c r="C172" s="160" t="str">
        <f>VLOOKUP(A172,[1]INDICE!$A$4:$G$1000,3,0)</f>
        <v>UN</v>
      </c>
      <c r="D172" s="122">
        <f>VLOOKUP(A172,[1]INDICE!$A$4:$G$1000,4,0)</f>
        <v>5107.3470539999998</v>
      </c>
      <c r="E172" s="122">
        <f>VLOOKUP(A172,[1]INDICE!$A$4:$G$1000,5,0)</f>
        <v>4750.1083892148772</v>
      </c>
      <c r="F172" s="122">
        <f>VLOOKUP(A172,[1]INDICE!$A$4:$G$1000,6,0)</f>
        <v>0</v>
      </c>
      <c r="G172" s="122">
        <f>VLOOKUP(A172,[1]INDICE!$A$4:$G$1000,7,0)</f>
        <v>9857.4554432148761</v>
      </c>
      <c r="H172" s="116" t="b">
        <f>A172=[2]INDFILTRO!A172</f>
        <v>0</v>
      </c>
      <c r="I172" s="113" t="b">
        <f>B172=[3]INDFILTRO!B171</f>
        <v>0</v>
      </c>
      <c r="J172" s="113" t="b">
        <f>E172=[2]INDFILTRO!E172</f>
        <v>0</v>
      </c>
      <c r="K172" s="113" t="b">
        <f>F172=[2]INDFILTRO!F172</f>
        <v>1</v>
      </c>
      <c r="L172" s="116" t="str">
        <f t="shared" si="7"/>
        <v>verdadeiro</v>
      </c>
      <c r="M172" s="124">
        <f t="shared" si="8"/>
        <v>431</v>
      </c>
      <c r="R172" s="253" t="b">
        <f t="shared" si="6"/>
        <v>1</v>
      </c>
      <c r="S172" s="253"/>
      <c r="T172" s="253"/>
    </row>
    <row r="173" spans="1:20" s="113" customFormat="1" ht="22.5">
      <c r="A173" s="121">
        <v>432</v>
      </c>
      <c r="B173" s="122" t="str">
        <f>VLOOKUP(A173,[1]INDICE!$A$4:$G$1000,2,0)</f>
        <v>REGULADOR DE PRESSÃO PRIMEIRO ESTÁGIO, 8 KG/H, REGULÁVEL COM MANÔMETRO,PRESSÃO DE
ENTRADA 2 A 18 BAR E PRESSÃO DE SAÍDA 0,5 A 2 BAR, CONEXÕES DE ENTRADA E SAÍDA 1/4" NPT</v>
      </c>
      <c r="C173" s="160" t="str">
        <f>VLOOKUP(A173,[1]INDICE!$A$4:$G$1000,3,0)</f>
        <v>UN</v>
      </c>
      <c r="D173" s="122">
        <f>VLOOKUP(A173,[1]INDICE!$A$4:$G$1000,4,0)</f>
        <v>16.17408</v>
      </c>
      <c r="E173" s="122">
        <f>VLOOKUP(A173,[1]INDICE!$A$4:$G$1000,5,0)</f>
        <v>212.55</v>
      </c>
      <c r="F173" s="122">
        <f>VLOOKUP(A173,[1]INDICE!$A$4:$G$1000,6,0)</f>
        <v>0</v>
      </c>
      <c r="G173" s="122">
        <f>VLOOKUP(A173,[1]INDICE!$A$4:$G$1000,7,0)</f>
        <v>228.72408000000001</v>
      </c>
      <c r="H173" s="116" t="b">
        <f>A173=[2]INDFILTRO!A173</f>
        <v>0</v>
      </c>
      <c r="I173" s="113" t="b">
        <f>B173=[3]INDFILTRO!B172</f>
        <v>0</v>
      </c>
      <c r="J173" s="113" t="b">
        <f>E173=[2]INDFILTRO!E173</f>
        <v>0</v>
      </c>
      <c r="K173" s="113" t="b">
        <f>F173=[2]INDFILTRO!F173</f>
        <v>1</v>
      </c>
      <c r="L173" s="116" t="str">
        <f t="shared" si="7"/>
        <v>verdadeiro</v>
      </c>
      <c r="M173" s="124">
        <f t="shared" si="8"/>
        <v>432</v>
      </c>
      <c r="R173" s="253" t="b">
        <f t="shared" si="6"/>
        <v>1</v>
      </c>
      <c r="S173" s="253"/>
      <c r="T173" s="253"/>
    </row>
    <row r="174" spans="1:20" s="113" customFormat="1" ht="11.25">
      <c r="A174" s="121">
        <v>434</v>
      </c>
      <c r="B174" s="122" t="str">
        <f>VLOOKUP(A174,[1]INDICE!$A$4:$G$1000,2,0)</f>
        <v>TE DE FERRO MALEÁVEL GALVANIZADO 3/4" CLASSE 150 ROSCA NPT NBR 6926</v>
      </c>
      <c r="C174" s="160" t="str">
        <f>VLOOKUP(A174,[1]INDICE!$A$4:$G$1000,3,0)</f>
        <v>UN</v>
      </c>
      <c r="D174" s="122">
        <f>VLOOKUP(A174,[1]INDICE!$A$4:$G$1000,4,0)</f>
        <v>13.77792</v>
      </c>
      <c r="E174" s="122">
        <f>VLOOKUP(A174,[1]INDICE!$A$4:$G$1000,5,0)</f>
        <v>14.16</v>
      </c>
      <c r="F174" s="122">
        <f>VLOOKUP(A174,[1]INDICE!$A$4:$G$1000,6,0)</f>
        <v>0</v>
      </c>
      <c r="G174" s="122">
        <f>VLOOKUP(A174,[1]INDICE!$A$4:$G$1000,7,0)</f>
        <v>27.937919999999998</v>
      </c>
      <c r="H174" s="116" t="b">
        <f>A174=[2]INDFILTRO!A174</f>
        <v>0</v>
      </c>
      <c r="I174" s="113" t="b">
        <f>B174=[3]INDFILTRO!B173</f>
        <v>0</v>
      </c>
      <c r="J174" s="113" t="b">
        <f>E174=[2]INDFILTRO!E174</f>
        <v>0</v>
      </c>
      <c r="K174" s="113" t="b">
        <f>F174=[2]INDFILTRO!F174</f>
        <v>1</v>
      </c>
      <c r="L174" s="116" t="str">
        <f t="shared" si="7"/>
        <v>verdadeiro</v>
      </c>
      <c r="M174" s="124">
        <f t="shared" si="8"/>
        <v>434</v>
      </c>
      <c r="R174" s="253" t="b">
        <f t="shared" si="6"/>
        <v>1</v>
      </c>
      <c r="S174" s="253"/>
      <c r="T174" s="253"/>
    </row>
    <row r="175" spans="1:20" s="113" customFormat="1" ht="22.5">
      <c r="A175" s="121">
        <v>435</v>
      </c>
      <c r="B175" s="122" t="str">
        <f>VLOOKUP(A175,[1]INDICE!$A$4:$G$1000,2,0)</f>
        <v>LUVA REDUÇÃO DE FERRO MALEÁVEL GALVANIZADO 3/4" X 1/2", CLASSE 150, ROSCA NPT - NBR 6926</v>
      </c>
      <c r="C175" s="160" t="str">
        <f>VLOOKUP(A175,[1]INDICE!$A$4:$G$1000,3,0)</f>
        <v>UN</v>
      </c>
      <c r="D175" s="122">
        <f>VLOOKUP(A175,[1]INDICE!$A$4:$G$1000,4,0)</f>
        <v>5.9904000000000002</v>
      </c>
      <c r="E175" s="122">
        <f>VLOOKUP(A175,[1]INDICE!$A$4:$G$1000,5,0)</f>
        <v>6.09</v>
      </c>
      <c r="F175" s="122">
        <f>VLOOKUP(A175,[1]INDICE!$A$4:$G$1000,6,0)</f>
        <v>0</v>
      </c>
      <c r="G175" s="122">
        <f>VLOOKUP(A175,[1]INDICE!$A$4:$G$1000,7,0)</f>
        <v>12.080400000000001</v>
      </c>
      <c r="H175" s="116" t="b">
        <f>A175=[2]INDFILTRO!A175</f>
        <v>0</v>
      </c>
      <c r="I175" s="113" t="b">
        <f>B175=[3]INDFILTRO!B174</f>
        <v>0</v>
      </c>
      <c r="J175" s="113" t="b">
        <f>E175=[2]INDFILTRO!E175</f>
        <v>0</v>
      </c>
      <c r="K175" s="113" t="b">
        <f>F175=[2]INDFILTRO!F175</f>
        <v>1</v>
      </c>
      <c r="L175" s="116" t="str">
        <f t="shared" si="7"/>
        <v>verdadeiro</v>
      </c>
      <c r="M175" s="124">
        <f t="shared" si="8"/>
        <v>435</v>
      </c>
      <c r="R175" s="253" t="b">
        <f t="shared" si="6"/>
        <v>1</v>
      </c>
      <c r="S175" s="253"/>
      <c r="T175" s="253"/>
    </row>
    <row r="176" spans="1:20" s="113" customFormat="1" ht="22.5">
      <c r="A176" s="121">
        <v>436</v>
      </c>
      <c r="B176" s="122" t="str">
        <f>VLOOKUP(A176,[1]INDICE!$A$4:$G$1000,2,0)</f>
        <v>UNIÃO DE FERRO MALEÁVEL GALVANIZADO 3/4", ASSENTO BRONZE , CLASSE 150, ROSCA NPT – NBR 6926</v>
      </c>
      <c r="C176" s="160" t="str">
        <f>VLOOKUP(A176,[1]INDICE!$A$4:$G$1000,3,0)</f>
        <v>UN</v>
      </c>
      <c r="D176" s="122">
        <f>VLOOKUP(A176,[1]INDICE!$A$4:$G$1000,4,0)</f>
        <v>5.9904000000000002</v>
      </c>
      <c r="E176" s="122">
        <f>VLOOKUP(A176,[1]INDICE!$A$4:$G$1000,5,0)</f>
        <v>60.92</v>
      </c>
      <c r="F176" s="122">
        <f>VLOOKUP(A176,[1]INDICE!$A$4:$G$1000,6,0)</f>
        <v>0</v>
      </c>
      <c r="G176" s="122">
        <f>VLOOKUP(A176,[1]INDICE!$A$4:$G$1000,7,0)</f>
        <v>66.910399999999996</v>
      </c>
      <c r="H176" s="116" t="b">
        <f>A176=[2]INDFILTRO!A176</f>
        <v>0</v>
      </c>
      <c r="I176" s="113" t="b">
        <f>B176=[3]INDFILTRO!B175</f>
        <v>0</v>
      </c>
      <c r="J176" s="113" t="b">
        <f>E176=[2]INDFILTRO!E176</f>
        <v>0</v>
      </c>
      <c r="K176" s="113" t="b">
        <f>F176=[2]INDFILTRO!F176</f>
        <v>1</v>
      </c>
      <c r="L176" s="116" t="str">
        <f t="shared" si="7"/>
        <v>verdadeiro</v>
      </c>
      <c r="M176" s="124">
        <f t="shared" si="8"/>
        <v>436</v>
      </c>
      <c r="R176" s="253" t="b">
        <f t="shared" si="6"/>
        <v>1</v>
      </c>
      <c r="S176" s="253"/>
      <c r="T176" s="253"/>
    </row>
    <row r="177" spans="1:20" s="113" customFormat="1" ht="22.5">
      <c r="A177" s="121">
        <v>437</v>
      </c>
      <c r="B177" s="122" t="str">
        <f>VLOOKUP(A177,[1]INDICE!$A$4:$G$1000,2,0)</f>
        <v>VÁLVULA DE ESFERA TRIPARTIDA 3/4", PASSAGEM PLENA, ROSCA NPT, CLASSE 300 - NORMA ASME B16.35</v>
      </c>
      <c r="C177" s="160" t="str">
        <f>VLOOKUP(A177,[1]INDICE!$A$4:$G$1000,3,0)</f>
        <v>UN</v>
      </c>
      <c r="D177" s="122">
        <f>VLOOKUP(A177,[1]INDICE!$A$4:$G$1000,4,0)</f>
        <v>16.17408</v>
      </c>
      <c r="E177" s="122">
        <f>VLOOKUP(A177,[1]INDICE!$A$4:$G$1000,5,0)</f>
        <v>114.05</v>
      </c>
      <c r="F177" s="122">
        <f>VLOOKUP(A177,[1]INDICE!$A$4:$G$1000,6,0)</f>
        <v>0</v>
      </c>
      <c r="G177" s="122">
        <f>VLOOKUP(A177,[1]INDICE!$A$4:$G$1000,7,0)</f>
        <v>130.22407999999999</v>
      </c>
      <c r="H177" s="116" t="b">
        <f>A177=[2]INDFILTRO!A177</f>
        <v>0</v>
      </c>
      <c r="I177" s="113" t="b">
        <f>B177=[3]INDFILTRO!B176</f>
        <v>0</v>
      </c>
      <c r="J177" s="113" t="b">
        <f>E177=[2]INDFILTRO!E177</f>
        <v>0</v>
      </c>
      <c r="K177" s="113" t="b">
        <f>F177=[2]INDFILTRO!F177</f>
        <v>1</v>
      </c>
      <c r="L177" s="116" t="str">
        <f t="shared" si="7"/>
        <v>verdadeiro</v>
      </c>
      <c r="M177" s="124">
        <f t="shared" si="8"/>
        <v>437</v>
      </c>
      <c r="R177" s="253" t="b">
        <f t="shared" si="6"/>
        <v>1</v>
      </c>
      <c r="S177" s="253"/>
      <c r="T177" s="253"/>
    </row>
    <row r="178" spans="1:20" s="113" customFormat="1" ht="11.25">
      <c r="A178" s="121">
        <v>438</v>
      </c>
      <c r="B178" s="122" t="str">
        <f>VLOOKUP(A178,[1]INDICE!$A$4:$G$1000,2,0)</f>
        <v>VÁLVULA LATÃO P-13 NOVA ¾''</v>
      </c>
      <c r="C178" s="160" t="str">
        <f>VLOOKUP(A178,[1]INDICE!$A$4:$G$1000,3,0)</f>
        <v>UN</v>
      </c>
      <c r="D178" s="122">
        <f>VLOOKUP(A178,[1]INDICE!$A$4:$G$1000,4,0)</f>
        <v>16.17408</v>
      </c>
      <c r="E178" s="122">
        <f>VLOOKUP(A178,[1]INDICE!$A$4:$G$1000,5,0)</f>
        <v>21.74</v>
      </c>
      <c r="F178" s="122">
        <f>VLOOKUP(A178,[1]INDICE!$A$4:$G$1000,6,0)</f>
        <v>0</v>
      </c>
      <c r="G178" s="122">
        <f>VLOOKUP(A178,[1]INDICE!$A$4:$G$1000,7,0)</f>
        <v>37.914079999999998</v>
      </c>
      <c r="H178" s="116" t="b">
        <f>A178=[2]INDFILTRO!A178</f>
        <v>0</v>
      </c>
      <c r="I178" s="113" t="b">
        <f>B178=[3]INDFILTRO!B177</f>
        <v>0</v>
      </c>
      <c r="J178" s="113" t="b">
        <f>E178=[2]INDFILTRO!E178</f>
        <v>0</v>
      </c>
      <c r="K178" s="113" t="b">
        <f>F178=[2]INDFILTRO!F178</f>
        <v>1</v>
      </c>
      <c r="L178" s="116" t="str">
        <f t="shared" si="7"/>
        <v>verdadeiro</v>
      </c>
      <c r="M178" s="124">
        <f t="shared" si="8"/>
        <v>438</v>
      </c>
      <c r="R178" s="253" t="b">
        <f t="shared" si="6"/>
        <v>1</v>
      </c>
      <c r="S178" s="253"/>
      <c r="T178" s="253"/>
    </row>
    <row r="179" spans="1:20" s="113" customFormat="1" ht="11.25">
      <c r="A179" s="121">
        <v>439</v>
      </c>
      <c r="B179" s="122" t="str">
        <f>VLOOKUP(A179,[1]INDICE!$A$4:$G$1000,2,0)</f>
        <v>VÁLVULA DE RETENÇÃO EM LATÃO 7/16" NS (I) X 1/2" NPT (E)</v>
      </c>
      <c r="C179" s="160" t="str">
        <f>VLOOKUP(A179,[1]INDICE!$A$4:$G$1000,3,0)</f>
        <v>UN</v>
      </c>
      <c r="D179" s="122">
        <f>VLOOKUP(A179,[1]INDICE!$A$4:$G$1000,4,0)</f>
        <v>5.9904000000000002</v>
      </c>
      <c r="E179" s="122">
        <f>VLOOKUP(A179,[1]INDICE!$A$4:$G$1000,5,0)</f>
        <v>21.817805</v>
      </c>
      <c r="F179" s="122">
        <f>VLOOKUP(A179,[1]INDICE!$A$4:$G$1000,6,0)</f>
        <v>0</v>
      </c>
      <c r="G179" s="122">
        <f>VLOOKUP(A179,[1]INDICE!$A$4:$G$1000,7,0)</f>
        <v>27.808205000000001</v>
      </c>
      <c r="H179" s="116" t="b">
        <f>A179=[2]INDFILTRO!A179</f>
        <v>0</v>
      </c>
      <c r="I179" s="113" t="b">
        <f>B179=[3]INDFILTRO!B178</f>
        <v>0</v>
      </c>
      <c r="J179" s="113" t="b">
        <f>E179=[2]INDFILTRO!E179</f>
        <v>0</v>
      </c>
      <c r="K179" s="113" t="b">
        <f>F179=[2]INDFILTRO!F179</f>
        <v>1</v>
      </c>
      <c r="L179" s="116" t="str">
        <f t="shared" si="7"/>
        <v>verdadeiro</v>
      </c>
      <c r="M179" s="124">
        <f t="shared" si="8"/>
        <v>439</v>
      </c>
      <c r="R179" s="253" t="b">
        <f t="shared" si="6"/>
        <v>1</v>
      </c>
      <c r="S179" s="253"/>
      <c r="T179" s="253"/>
    </row>
    <row r="180" spans="1:20" s="113" customFormat="1" ht="11.25">
      <c r="A180" s="121">
        <v>440</v>
      </c>
      <c r="B180" s="122" t="str">
        <f>VLOOKUP(A180,[1]INDICE!$A$4:$G$1000,2,0)</f>
        <v>NIPLE DUPLO DE FERRO MALEÁVEL GALVANIZADO 3/4" CLASSE 300 ROSCA NPT - NBR 6926</v>
      </c>
      <c r="C180" s="160" t="str">
        <f>VLOOKUP(A180,[1]INDICE!$A$4:$G$1000,3,0)</f>
        <v>UN</v>
      </c>
      <c r="D180" s="122">
        <f>VLOOKUP(A180,[1]INDICE!$A$4:$G$1000,4,0)</f>
        <v>5.9904000000000002</v>
      </c>
      <c r="E180" s="122">
        <f>VLOOKUP(A180,[1]INDICE!$A$4:$G$1000,5,0)</f>
        <v>13.103415</v>
      </c>
      <c r="F180" s="122">
        <f>VLOOKUP(A180,[1]INDICE!$A$4:$G$1000,6,0)</f>
        <v>0</v>
      </c>
      <c r="G180" s="122">
        <f>VLOOKUP(A180,[1]INDICE!$A$4:$G$1000,7,0)</f>
        <v>19.093814999999999</v>
      </c>
      <c r="H180" s="116" t="b">
        <f>A180=[2]INDFILTRO!A180</f>
        <v>0</v>
      </c>
      <c r="I180" s="113" t="b">
        <f>B180=[3]INDFILTRO!B179</f>
        <v>0</v>
      </c>
      <c r="J180" s="113" t="b">
        <f>E180=[2]INDFILTRO!E180</f>
        <v>0</v>
      </c>
      <c r="K180" s="113" t="b">
        <f>F180=[2]INDFILTRO!F180</f>
        <v>1</v>
      </c>
      <c r="L180" s="116" t="str">
        <f t="shared" si="7"/>
        <v>verdadeiro</v>
      </c>
      <c r="M180" s="124">
        <f t="shared" si="8"/>
        <v>440</v>
      </c>
      <c r="R180" s="253" t="b">
        <f t="shared" si="6"/>
        <v>1</v>
      </c>
      <c r="S180" s="253"/>
      <c r="T180" s="253"/>
    </row>
    <row r="181" spans="1:20" s="113" customFormat="1" ht="11.25">
      <c r="A181" s="121">
        <v>441</v>
      </c>
      <c r="B181" s="122" t="str">
        <f>VLOOKUP(A181,[1]INDICE!$A$4:$G$1000,2,0)</f>
        <v>NIPLE DE LATÃO DE 3/4" NPT X 1/4" NPT</v>
      </c>
      <c r="C181" s="160" t="str">
        <f>VLOOKUP(A181,[1]INDICE!$A$4:$G$1000,3,0)</f>
        <v>UN</v>
      </c>
      <c r="D181" s="122">
        <f>VLOOKUP(A181,[1]INDICE!$A$4:$G$1000,4,0)</f>
        <v>5.9904000000000002</v>
      </c>
      <c r="E181" s="122">
        <f>VLOOKUP(A181,[1]INDICE!$A$4:$G$1000,5,0)</f>
        <v>15.09</v>
      </c>
      <c r="F181" s="122">
        <f>VLOOKUP(A181,[1]INDICE!$A$4:$G$1000,6,0)</f>
        <v>0</v>
      </c>
      <c r="G181" s="122">
        <f>VLOOKUP(A181,[1]INDICE!$A$4:$G$1000,7,0)</f>
        <v>21.080400000000001</v>
      </c>
      <c r="H181" s="116" t="b">
        <f>A181=[2]INDFILTRO!A181</f>
        <v>0</v>
      </c>
      <c r="I181" s="113" t="b">
        <f>B181=[3]INDFILTRO!B180</f>
        <v>0</v>
      </c>
      <c r="J181" s="113" t="b">
        <f>E181=[2]INDFILTRO!E181</f>
        <v>0</v>
      </c>
      <c r="K181" s="113" t="b">
        <f>F181=[2]INDFILTRO!F181</f>
        <v>1</v>
      </c>
      <c r="L181" s="116" t="str">
        <f t="shared" si="7"/>
        <v>verdadeiro</v>
      </c>
      <c r="M181" s="124">
        <f t="shared" si="8"/>
        <v>441</v>
      </c>
      <c r="R181" s="253" t="b">
        <f t="shared" si="6"/>
        <v>1</v>
      </c>
      <c r="S181" s="253"/>
      <c r="T181" s="253"/>
    </row>
    <row r="182" spans="1:20" s="113" customFormat="1" ht="11.25">
      <c r="A182" s="121">
        <v>442</v>
      </c>
      <c r="B182" s="122" t="str">
        <f>VLOOKUP(A182,[1]INDICE!$A$4:$G$1000,2,0)</f>
        <v>BUCHA RED.NPT DE 3/4" X 1/2" 300 LBS</v>
      </c>
      <c r="C182" s="160" t="str">
        <f>VLOOKUP(A182,[1]INDICE!$A$4:$G$1000,3,0)</f>
        <v>UN</v>
      </c>
      <c r="D182" s="122">
        <f>VLOOKUP(A182,[1]INDICE!$A$4:$G$1000,4,0)</f>
        <v>5.9904000000000002</v>
      </c>
      <c r="E182" s="122">
        <f>VLOOKUP(A182,[1]INDICE!$A$4:$G$1000,5,0)</f>
        <v>21.34</v>
      </c>
      <c r="F182" s="122">
        <f>VLOOKUP(A182,[1]INDICE!$A$4:$G$1000,6,0)</f>
        <v>0</v>
      </c>
      <c r="G182" s="122">
        <f>VLOOKUP(A182,[1]INDICE!$A$4:$G$1000,7,0)</f>
        <v>27.330400000000001</v>
      </c>
      <c r="H182" s="116" t="b">
        <f>A182=[2]INDFILTRO!A182</f>
        <v>0</v>
      </c>
      <c r="I182" s="113" t="b">
        <f>B182=[3]INDFILTRO!B181</f>
        <v>0</v>
      </c>
      <c r="J182" s="113" t="b">
        <f>E182=[2]INDFILTRO!E182</f>
        <v>0</v>
      </c>
      <c r="K182" s="113" t="b">
        <f>F182=[2]INDFILTRO!F182</f>
        <v>1</v>
      </c>
      <c r="L182" s="116" t="str">
        <f t="shared" si="7"/>
        <v>verdadeiro</v>
      </c>
      <c r="M182" s="124">
        <f t="shared" si="8"/>
        <v>442</v>
      </c>
      <c r="R182" s="253" t="b">
        <f t="shared" si="6"/>
        <v>1</v>
      </c>
      <c r="S182" s="253"/>
      <c r="T182" s="253"/>
    </row>
    <row r="183" spans="1:20" s="113" customFormat="1" ht="11.25">
      <c r="A183" s="121">
        <v>443</v>
      </c>
      <c r="B183" s="122" t="str">
        <f>VLOOKUP(A183,[1]INDICE!$A$4:$G$1000,2,0)</f>
        <v>BUCHA RED. M/F PRETA 3/4" X 1/2" NPT 300 LBS</v>
      </c>
      <c r="C183" s="160" t="str">
        <f>VLOOKUP(A183,[1]INDICE!$A$4:$G$1000,3,0)</f>
        <v>UN</v>
      </c>
      <c r="D183" s="122">
        <f>VLOOKUP(A183,[1]INDICE!$A$4:$G$1000,4,0)</f>
        <v>5.9904000000000002</v>
      </c>
      <c r="E183" s="122">
        <f>VLOOKUP(A183,[1]INDICE!$A$4:$G$1000,5,0)</f>
        <v>23.45</v>
      </c>
      <c r="F183" s="122">
        <f>VLOOKUP(A183,[1]INDICE!$A$4:$G$1000,6,0)</f>
        <v>0</v>
      </c>
      <c r="G183" s="122">
        <f>VLOOKUP(A183,[1]INDICE!$A$4:$G$1000,7,0)</f>
        <v>29.4404</v>
      </c>
      <c r="H183" s="116" t="b">
        <f>A183=[2]INDFILTRO!A183</f>
        <v>0</v>
      </c>
      <c r="I183" s="113" t="b">
        <f>B183=[3]INDFILTRO!B182</f>
        <v>0</v>
      </c>
      <c r="J183" s="113" t="b">
        <f>E183=[2]INDFILTRO!E183</f>
        <v>0</v>
      </c>
      <c r="K183" s="113" t="b">
        <f>F183=[2]INDFILTRO!F183</f>
        <v>1</v>
      </c>
      <c r="L183" s="116" t="str">
        <f t="shared" si="7"/>
        <v>verdadeiro</v>
      </c>
      <c r="M183" s="124">
        <f t="shared" si="8"/>
        <v>443</v>
      </c>
      <c r="R183" s="253" t="b">
        <f t="shared" si="6"/>
        <v>1</v>
      </c>
      <c r="S183" s="253"/>
      <c r="T183" s="253"/>
    </row>
    <row r="184" spans="1:20" s="113" customFormat="1" ht="11.25">
      <c r="A184" s="121">
        <v>444</v>
      </c>
      <c r="B184" s="122" t="str">
        <f>VLOOKUP(A184,[1]INDICE!$A$4:$G$1000,2,0)</f>
        <v>TAMPÃO 300PSI PRETO 3/4''</v>
      </c>
      <c r="C184" s="160" t="str">
        <f>VLOOKUP(A184,[1]INDICE!$A$4:$G$1000,3,0)</f>
        <v>UN</v>
      </c>
      <c r="D184" s="122">
        <f>VLOOKUP(A184,[1]INDICE!$A$4:$G$1000,4,0)</f>
        <v>3.7440000000000002</v>
      </c>
      <c r="E184" s="122">
        <f>VLOOKUP(A184,[1]INDICE!$A$4:$G$1000,5,0)</f>
        <v>13.89</v>
      </c>
      <c r="F184" s="122">
        <f>VLOOKUP(A184,[1]INDICE!$A$4:$G$1000,6,0)</f>
        <v>0</v>
      </c>
      <c r="G184" s="122">
        <f>VLOOKUP(A184,[1]INDICE!$A$4:$G$1000,7,0)</f>
        <v>17.634</v>
      </c>
      <c r="H184" s="116" t="b">
        <f>A184=[2]INDFILTRO!A184</f>
        <v>0</v>
      </c>
      <c r="I184" s="113" t="b">
        <f>B184=[3]INDFILTRO!B183</f>
        <v>0</v>
      </c>
      <c r="J184" s="113" t="b">
        <f>E184=[2]INDFILTRO!E184</f>
        <v>0</v>
      </c>
      <c r="K184" s="113" t="b">
        <f>F184=[2]INDFILTRO!F184</f>
        <v>1</v>
      </c>
      <c r="L184" s="116" t="str">
        <f t="shared" si="7"/>
        <v>verdadeiro</v>
      </c>
      <c r="M184" s="124">
        <f t="shared" si="8"/>
        <v>444</v>
      </c>
      <c r="R184" s="253" t="b">
        <f t="shared" si="6"/>
        <v>1</v>
      </c>
      <c r="S184" s="253"/>
      <c r="T184" s="253"/>
    </row>
    <row r="185" spans="1:20" s="113" customFormat="1" ht="11.25">
      <c r="A185" s="121">
        <v>445</v>
      </c>
      <c r="B185" s="122" t="str">
        <f>VLOOKUP(A185,[1]INDICE!$A$4:$G$1000,2,0)</f>
        <v>MANGOTE FLEXÍVEL PRETO 7/8'' X 7/16'' - 500MM</v>
      </c>
      <c r="C185" s="160" t="str">
        <f>VLOOKUP(A185,[1]INDICE!$A$4:$G$1000,3,0)</f>
        <v>UN</v>
      </c>
      <c r="D185" s="122">
        <f>VLOOKUP(A185,[1]INDICE!$A$4:$G$1000,4,0)</f>
        <v>14.976000000000001</v>
      </c>
      <c r="E185" s="122">
        <f>VLOOKUP(A185,[1]INDICE!$A$4:$G$1000,5,0)</f>
        <v>24.75</v>
      </c>
      <c r="F185" s="122">
        <f>VLOOKUP(A185,[1]INDICE!$A$4:$G$1000,6,0)</f>
        <v>0</v>
      </c>
      <c r="G185" s="122">
        <f>VLOOKUP(A185,[1]INDICE!$A$4:$G$1000,7,0)</f>
        <v>39.725999999999999</v>
      </c>
      <c r="H185" s="116" t="b">
        <f>A185=[2]INDFILTRO!A185</f>
        <v>0</v>
      </c>
      <c r="I185" s="113" t="b">
        <f>B185=[3]INDFILTRO!B184</f>
        <v>0</v>
      </c>
      <c r="J185" s="113" t="b">
        <f>E185=[2]INDFILTRO!E185</f>
        <v>0</v>
      </c>
      <c r="K185" s="113" t="b">
        <f>F185=[2]INDFILTRO!F185</f>
        <v>1</v>
      </c>
      <c r="L185" s="116" t="str">
        <f t="shared" si="7"/>
        <v>verdadeiro</v>
      </c>
      <c r="M185" s="124">
        <f t="shared" si="8"/>
        <v>445</v>
      </c>
      <c r="R185" s="253" t="b">
        <f t="shared" si="6"/>
        <v>1</v>
      </c>
      <c r="S185" s="253"/>
      <c r="T185" s="253"/>
    </row>
    <row r="186" spans="1:20" s="113" customFormat="1" ht="11.25">
      <c r="A186" s="121">
        <v>446</v>
      </c>
      <c r="B186" s="122" t="str">
        <f>VLOOKUP(A186,[1]INDICE!$A$4:$G$1000,2,0)</f>
        <v>BRAÇADEIRA METÁLICA TIPO "D" DIAM. 3/4''</v>
      </c>
      <c r="C186" s="160" t="str">
        <f>VLOOKUP(A186,[1]INDICE!$A$4:$G$1000,3,0)</f>
        <v>UN</v>
      </c>
      <c r="D186" s="122">
        <f>VLOOKUP(A186,[1]INDICE!$A$4:$G$1000,4,0)</f>
        <v>7.4880000000000004</v>
      </c>
      <c r="E186" s="122">
        <f>VLOOKUP(A186,[1]INDICE!$A$4:$G$1000,5,0)</f>
        <v>0.54</v>
      </c>
      <c r="F186" s="122">
        <f>VLOOKUP(A186,[1]INDICE!$A$4:$G$1000,6,0)</f>
        <v>0</v>
      </c>
      <c r="G186" s="122">
        <f>VLOOKUP(A186,[1]INDICE!$A$4:$G$1000,7,0)</f>
        <v>8.0280000000000005</v>
      </c>
      <c r="H186" s="116" t="b">
        <f>A186=[2]INDFILTRO!A186</f>
        <v>0</v>
      </c>
      <c r="I186" s="113" t="b">
        <f>B186=[3]INDFILTRO!B185</f>
        <v>0</v>
      </c>
      <c r="J186" s="113" t="b">
        <f>E186=[2]INDFILTRO!E186</f>
        <v>0</v>
      </c>
      <c r="K186" s="113" t="b">
        <f>F186=[2]INDFILTRO!F186</f>
        <v>1</v>
      </c>
      <c r="L186" s="116" t="str">
        <f t="shared" si="7"/>
        <v>verdadeiro</v>
      </c>
      <c r="M186" s="124">
        <f t="shared" si="8"/>
        <v>446</v>
      </c>
      <c r="R186" s="253" t="b">
        <f t="shared" si="6"/>
        <v>1</v>
      </c>
      <c r="S186" s="253"/>
      <c r="T186" s="253"/>
    </row>
    <row r="187" spans="1:20" s="113" customFormat="1" ht="11.25">
      <c r="A187" s="121">
        <v>447</v>
      </c>
      <c r="B187" s="122" t="str">
        <f>VLOOKUP(A187,[1]INDICE!$A$4:$G$1000,2,0)</f>
        <v>SUPORTE PARA COLETOR</v>
      </c>
      <c r="C187" s="160" t="str">
        <f>VLOOKUP(A187,[1]INDICE!$A$4:$G$1000,3,0)</f>
        <v>UN</v>
      </c>
      <c r="D187" s="122">
        <f>VLOOKUP(A187,[1]INDICE!$A$4:$G$1000,4,0)</f>
        <v>14.030925999999999</v>
      </c>
      <c r="E187" s="122">
        <f>VLOOKUP(A187,[1]INDICE!$A$4:$G$1000,5,0)</f>
        <v>6.2470800000000013</v>
      </c>
      <c r="F187" s="122">
        <f>VLOOKUP(A187,[1]INDICE!$A$4:$G$1000,6,0)</f>
        <v>0</v>
      </c>
      <c r="G187" s="122">
        <f>VLOOKUP(A187,[1]INDICE!$A$4:$G$1000,7,0)</f>
        <v>20.278006000000001</v>
      </c>
      <c r="H187" s="116" t="b">
        <f>A187=[2]INDFILTRO!A187</f>
        <v>0</v>
      </c>
      <c r="I187" s="113" t="b">
        <f>B187=[3]INDFILTRO!B186</f>
        <v>0</v>
      </c>
      <c r="J187" s="113" t="b">
        <f>E187=[2]INDFILTRO!E187</f>
        <v>0</v>
      </c>
      <c r="K187" s="113" t="b">
        <f>F187=[2]INDFILTRO!F187</f>
        <v>1</v>
      </c>
      <c r="L187" s="116" t="str">
        <f t="shared" si="7"/>
        <v>verdadeiro</v>
      </c>
      <c r="M187" s="124">
        <f t="shared" si="8"/>
        <v>447</v>
      </c>
      <c r="R187" s="253" t="b">
        <f t="shared" si="6"/>
        <v>1</v>
      </c>
      <c r="S187" s="253"/>
      <c r="T187" s="253"/>
    </row>
    <row r="188" spans="1:20" s="113" customFormat="1" ht="11.25">
      <c r="A188" s="121">
        <v>452</v>
      </c>
      <c r="B188" s="122" t="str">
        <f>VLOOKUP(A188,[1]INDICE!$A$4:$G$1000,2,0)</f>
        <v>CABO STP - 4 PARES</v>
      </c>
      <c r="C188" s="160" t="str">
        <f>VLOOKUP(A188,[1]INDICE!$A$4:$G$1000,3,0)</f>
        <v>M</v>
      </c>
      <c r="D188" s="122">
        <f>VLOOKUP(A188,[1]INDICE!$A$4:$G$1000,4,0)</f>
        <v>5.6438430000000004</v>
      </c>
      <c r="E188" s="122">
        <f>VLOOKUP(A188,[1]INDICE!$A$4:$G$1000,5,0)</f>
        <v>2.0033333333333334</v>
      </c>
      <c r="F188" s="122">
        <f>VLOOKUP(A188,[1]INDICE!$A$4:$G$1000,6,0)</f>
        <v>0</v>
      </c>
      <c r="G188" s="122">
        <f>VLOOKUP(A188,[1]INDICE!$A$4:$G$1000,7,0)</f>
        <v>7.6471763333333342</v>
      </c>
      <c r="H188" s="116" t="b">
        <f>A188=[2]INDFILTRO!A188</f>
        <v>0</v>
      </c>
      <c r="I188" s="113" t="b">
        <f>B188=[3]INDFILTRO!B187</f>
        <v>0</v>
      </c>
      <c r="J188" s="113" t="b">
        <f>E188=[2]INDFILTRO!E188</f>
        <v>0</v>
      </c>
      <c r="K188" s="113" t="b">
        <f>F188=[2]INDFILTRO!F188</f>
        <v>1</v>
      </c>
      <c r="L188" s="116" t="str">
        <f t="shared" si="7"/>
        <v>verdadeiro</v>
      </c>
      <c r="M188" s="124">
        <f t="shared" si="8"/>
        <v>452</v>
      </c>
      <c r="R188" s="253" t="b">
        <f t="shared" si="6"/>
        <v>1</v>
      </c>
      <c r="S188" s="253"/>
      <c r="T188" s="253"/>
    </row>
    <row r="189" spans="1:20" s="113" customFormat="1" ht="11.25">
      <c r="A189" s="121">
        <v>453</v>
      </c>
      <c r="B189" s="122" t="str">
        <f>VLOOKUP(A189,[1]INDICE!$A$4:$G$1000,2,0)</f>
        <v>CABO TELEFONICO CTP-APL-50, 50 PARES (USO EXTERNO)- FORNECIMENTO E INSTALAÇÃO</v>
      </c>
      <c r="C189" s="160" t="str">
        <f>VLOOKUP(A189,[1]INDICE!$A$4:$G$1000,3,0)</f>
        <v>M</v>
      </c>
      <c r="D189" s="122">
        <f>VLOOKUP(A189,[1]INDICE!$A$4:$G$1000,4,0)</f>
        <v>8.1702449999999995</v>
      </c>
      <c r="E189" s="122">
        <f>VLOOKUP(A189,[1]INDICE!$A$4:$G$1000,5,0)</f>
        <v>22.512000000000004</v>
      </c>
      <c r="F189" s="122">
        <f>VLOOKUP(A189,[1]INDICE!$A$4:$G$1000,6,0)</f>
        <v>0</v>
      </c>
      <c r="G189" s="122">
        <f>VLOOKUP(A189,[1]INDICE!$A$4:$G$1000,7,0)</f>
        <v>30.682245000000002</v>
      </c>
      <c r="H189" s="116" t="b">
        <f>A189=[2]INDFILTRO!A189</f>
        <v>0</v>
      </c>
      <c r="I189" s="113" t="b">
        <f>B189=[3]INDFILTRO!B188</f>
        <v>0</v>
      </c>
      <c r="J189" s="113" t="b">
        <f>E189=[2]INDFILTRO!E189</f>
        <v>0</v>
      </c>
      <c r="K189" s="113" t="b">
        <f>F189=[2]INDFILTRO!F189</f>
        <v>1</v>
      </c>
      <c r="L189" s="116" t="str">
        <f t="shared" si="7"/>
        <v>verdadeiro</v>
      </c>
      <c r="M189" s="124">
        <f t="shared" si="8"/>
        <v>453</v>
      </c>
      <c r="R189" s="253" t="b">
        <f t="shared" si="6"/>
        <v>1</v>
      </c>
      <c r="S189" s="253"/>
      <c r="T189" s="253"/>
    </row>
    <row r="190" spans="1:20" s="113" customFormat="1" ht="11.25">
      <c r="A190" s="121">
        <v>455</v>
      </c>
      <c r="B190" s="122" t="str">
        <f>VLOOKUP(A190,[1]INDICE!$A$4:$G$1000,2,0)</f>
        <v>CABEÇOTE DE LIGA DE ALUMÍNIO 3"</v>
      </c>
      <c r="C190" s="160" t="str">
        <f>VLOOKUP(A190,[1]INDICE!$A$4:$G$1000,3,0)</f>
        <v>UN</v>
      </c>
      <c r="D190" s="122">
        <f>VLOOKUP(A190,[1]INDICE!$A$4:$G$1000,4,0)</f>
        <v>16.610900000000001</v>
      </c>
      <c r="E190" s="122">
        <f>VLOOKUP(A190,[1]INDICE!$A$4:$G$1000,5,0)</f>
        <v>29.52</v>
      </c>
      <c r="F190" s="122">
        <f>VLOOKUP(A190,[1]INDICE!$A$4:$G$1000,6,0)</f>
        <v>0</v>
      </c>
      <c r="G190" s="122">
        <f>VLOOKUP(A190,[1]INDICE!$A$4:$G$1000,7,0)</f>
        <v>46.130899999999997</v>
      </c>
      <c r="H190" s="116" t="b">
        <f>A190=[2]INDFILTRO!A190</f>
        <v>0</v>
      </c>
      <c r="I190" s="113" t="b">
        <f>B190=[3]INDFILTRO!B189</f>
        <v>0</v>
      </c>
      <c r="J190" s="113" t="b">
        <f>E190=[2]INDFILTRO!E190</f>
        <v>0</v>
      </c>
      <c r="K190" s="113" t="b">
        <f>F190=[2]INDFILTRO!F190</f>
        <v>1</v>
      </c>
      <c r="L190" s="116" t="str">
        <f t="shared" si="7"/>
        <v>verdadeiro</v>
      </c>
      <c r="M190" s="124">
        <f t="shared" si="8"/>
        <v>455</v>
      </c>
      <c r="R190" s="253" t="b">
        <f t="shared" si="6"/>
        <v>1</v>
      </c>
      <c r="S190" s="253"/>
      <c r="T190" s="253"/>
    </row>
    <row r="191" spans="1:20" s="113" customFormat="1" ht="11.25">
      <c r="A191" s="121">
        <v>466</v>
      </c>
      <c r="B191" s="122" t="str">
        <f>VLOOKUP(A191,[1]INDICE!$A$4:$G$1000,2,0)</f>
        <v>SUPORTE PARA 4 PÉTALAS PARA LUMINÁRIA DE ILUMINAÇÃO PÚBLICA</v>
      </c>
      <c r="C191" s="160" t="str">
        <f>VLOOKUP(A191,[1]INDICE!$A$4:$G$1000,3,0)</f>
        <v>UN</v>
      </c>
      <c r="D191" s="122">
        <f>VLOOKUP(A191,[1]INDICE!$A$4:$G$1000,4,0)</f>
        <v>9.6574999999999989</v>
      </c>
      <c r="E191" s="122">
        <f>VLOOKUP(A191,[1]INDICE!$A$4:$G$1000,5,0)</f>
        <v>133.33000000000001</v>
      </c>
      <c r="F191" s="122">
        <f>VLOOKUP(A191,[1]INDICE!$A$4:$G$1000,6,0)</f>
        <v>0</v>
      </c>
      <c r="G191" s="122">
        <f>VLOOKUP(A191,[1]INDICE!$A$4:$G$1000,7,0)</f>
        <v>142.98750000000001</v>
      </c>
      <c r="H191" s="116" t="b">
        <f>A191=[2]INDFILTRO!A191</f>
        <v>0</v>
      </c>
      <c r="I191" s="113" t="b">
        <f>B191=[3]INDFILTRO!B190</f>
        <v>0</v>
      </c>
      <c r="J191" s="113" t="b">
        <f>E191=[2]INDFILTRO!E191</f>
        <v>0</v>
      </c>
      <c r="K191" s="113" t="b">
        <f>F191=[2]INDFILTRO!F191</f>
        <v>1</v>
      </c>
      <c r="L191" s="116" t="str">
        <f t="shared" si="7"/>
        <v>verdadeiro</v>
      </c>
      <c r="M191" s="124">
        <f t="shared" si="8"/>
        <v>466</v>
      </c>
      <c r="R191" s="253" t="b">
        <f t="shared" si="6"/>
        <v>1</v>
      </c>
      <c r="S191" s="253"/>
      <c r="T191" s="253"/>
    </row>
    <row r="192" spans="1:20" s="113" customFormat="1" ht="11.25">
      <c r="A192" s="121">
        <v>471</v>
      </c>
      <c r="B192" s="122" t="str">
        <f>VLOOKUP(A192,[1]INDICE!$A$4:$G$1000,2,0)</f>
        <v>CAIXA DE PASSAGEM 20X20X25 FUNDO BRITA COM TAMPA</v>
      </c>
      <c r="C192" s="160" t="str">
        <f>VLOOKUP(A192,[1]INDICE!$A$4:$G$1000,3,0)</f>
        <v>UN</v>
      </c>
      <c r="D192" s="122">
        <f>VLOOKUP(A192,[1]INDICE!$A$4:$G$1000,4,0)</f>
        <v>39.464161000000004</v>
      </c>
      <c r="E192" s="122">
        <f>VLOOKUP(A192,[1]INDICE!$A$4:$G$1000,5,0)</f>
        <v>28.903701999999999</v>
      </c>
      <c r="F192" s="122">
        <f>VLOOKUP(A192,[1]INDICE!$A$4:$G$1000,6,0)</f>
        <v>0</v>
      </c>
      <c r="G192" s="122">
        <f>VLOOKUP(A192,[1]INDICE!$A$4:$G$1000,7,0)</f>
        <v>68.367863</v>
      </c>
      <c r="H192" s="116" t="b">
        <f>A192=[2]INDFILTRO!A192</f>
        <v>0</v>
      </c>
      <c r="I192" s="113" t="b">
        <f>B192=[3]INDFILTRO!B191</f>
        <v>0</v>
      </c>
      <c r="J192" s="113" t="b">
        <f>E192=[2]INDFILTRO!E192</f>
        <v>0</v>
      </c>
      <c r="K192" s="113" t="b">
        <f>F192=[2]INDFILTRO!F192</f>
        <v>1</v>
      </c>
      <c r="L192" s="116" t="str">
        <f t="shared" si="7"/>
        <v>verdadeiro</v>
      </c>
      <c r="M192" s="124">
        <f t="shared" si="8"/>
        <v>471</v>
      </c>
      <c r="R192" s="253" t="b">
        <f t="shared" si="6"/>
        <v>1</v>
      </c>
      <c r="S192" s="253"/>
      <c r="T192" s="253"/>
    </row>
    <row r="193" spans="1:20" s="113" customFormat="1" ht="11.25">
      <c r="A193" s="121">
        <v>474</v>
      </c>
      <c r="B193" s="122" t="str">
        <f>VLOOKUP(A193,[1]INDICE!$A$4:$G$1000,2,0)</f>
        <v>INTERRUPTOR DIFERENCIAL DR 25A - 30MA</v>
      </c>
      <c r="C193" s="160" t="str">
        <f>VLOOKUP(A193,[1]INDICE!$A$4:$G$1000,3,0)</f>
        <v>UN</v>
      </c>
      <c r="D193" s="122">
        <f>VLOOKUP(A193,[1]INDICE!$A$4:$G$1000,4,0)</f>
        <v>23.177999999999997</v>
      </c>
      <c r="E193" s="122">
        <f>VLOOKUP(A193,[1]INDICE!$A$4:$G$1000,5,0)</f>
        <v>129.58000000000001</v>
      </c>
      <c r="F193" s="122">
        <f>VLOOKUP(A193,[1]INDICE!$A$4:$G$1000,6,0)</f>
        <v>0</v>
      </c>
      <c r="G193" s="122">
        <f>VLOOKUP(A193,[1]INDICE!$A$4:$G$1000,7,0)</f>
        <v>152.75800000000001</v>
      </c>
      <c r="H193" s="116" t="b">
        <f>A193=[2]INDFILTRO!A193</f>
        <v>0</v>
      </c>
      <c r="I193" s="113" t="b">
        <f>B193=[3]INDFILTRO!B192</f>
        <v>0</v>
      </c>
      <c r="J193" s="113" t="b">
        <f>E193=[2]INDFILTRO!E193</f>
        <v>0</v>
      </c>
      <c r="K193" s="113" t="b">
        <f>F193=[2]INDFILTRO!F193</f>
        <v>1</v>
      </c>
      <c r="L193" s="116" t="str">
        <f t="shared" si="7"/>
        <v>verdadeiro</v>
      </c>
      <c r="M193" s="124">
        <f t="shared" si="8"/>
        <v>474</v>
      </c>
      <c r="R193" s="253" t="b">
        <f t="shared" si="6"/>
        <v>1</v>
      </c>
      <c r="S193" s="253"/>
      <c r="T193" s="253"/>
    </row>
    <row r="194" spans="1:20" s="113" customFormat="1" ht="11.25">
      <c r="A194" s="121">
        <v>482</v>
      </c>
      <c r="B194" s="122" t="str">
        <f>VLOOKUP(A194,[1]INDICE!$A$4:$G$1000,2,0)</f>
        <v>PISO PODOTÁTIL CONCRETO 25X25 DIRECIONAL</v>
      </c>
      <c r="C194" s="160" t="str">
        <f>VLOOKUP(A194,[1]INDICE!$A$4:$G$1000,3,0)</f>
        <v>M2</v>
      </c>
      <c r="D194" s="122">
        <f>VLOOKUP(A194,[1]INDICE!$A$4:$G$1000,4,0)</f>
        <v>26.110093999999997</v>
      </c>
      <c r="E194" s="122">
        <f>VLOOKUP(A194,[1]INDICE!$A$4:$G$1000,5,0)</f>
        <v>65.552500000000009</v>
      </c>
      <c r="F194" s="122">
        <f>VLOOKUP(A194,[1]INDICE!$A$4:$G$1000,6,0)</f>
        <v>0</v>
      </c>
      <c r="G194" s="122">
        <f>VLOOKUP(A194,[1]INDICE!$A$4:$G$1000,7,0)</f>
        <v>91.662594000000013</v>
      </c>
      <c r="H194" s="116" t="b">
        <f>A194=[2]INDFILTRO!A194</f>
        <v>0</v>
      </c>
      <c r="I194" s="113" t="b">
        <f>B194=[3]INDFILTRO!B193</f>
        <v>0</v>
      </c>
      <c r="J194" s="113" t="b">
        <f>E194=[2]INDFILTRO!E194</f>
        <v>0</v>
      </c>
      <c r="K194" s="113" t="b">
        <f>F194=[2]INDFILTRO!F194</f>
        <v>1</v>
      </c>
      <c r="L194" s="116" t="str">
        <f t="shared" si="7"/>
        <v>verdadeiro</v>
      </c>
      <c r="M194" s="124">
        <f t="shared" si="8"/>
        <v>482</v>
      </c>
      <c r="R194" s="253" t="b">
        <f t="shared" si="6"/>
        <v>1</v>
      </c>
      <c r="S194" s="253"/>
      <c r="T194" s="253"/>
    </row>
    <row r="195" spans="1:20" s="113" customFormat="1" ht="11.25">
      <c r="A195" s="121">
        <v>491</v>
      </c>
      <c r="B195" s="122" t="str">
        <f>VLOOKUP(A195,[1]INDICE!$A$4:$G$1000,2,0)</f>
        <v>FECH.(ALAV.) LAFONTE 6236 I /8766- I18 IMAB OU EQUIV.</v>
      </c>
      <c r="C195" s="160" t="str">
        <f>VLOOKUP(A195,[1]INDICE!$A$4:$G$1000,3,0)</f>
        <v>UN</v>
      </c>
      <c r="D195" s="122">
        <f>VLOOKUP(A195,[1]INDICE!$A$4:$G$1000,4,0)</f>
        <v>27.16</v>
      </c>
      <c r="E195" s="122">
        <f>VLOOKUP(A195,[1]INDICE!$A$4:$G$1000,5,0)</f>
        <v>77.400000000000006</v>
      </c>
      <c r="F195" s="122">
        <f>VLOOKUP(A195,[1]INDICE!$A$4:$G$1000,6,0)</f>
        <v>0</v>
      </c>
      <c r="G195" s="122">
        <f>VLOOKUP(A195,[1]INDICE!$A$4:$G$1000,7,0)</f>
        <v>104.56</v>
      </c>
      <c r="H195" s="116" t="b">
        <f>A195=[2]INDFILTRO!A195</f>
        <v>0</v>
      </c>
      <c r="I195" s="113" t="b">
        <f>B195=[3]INDFILTRO!B194</f>
        <v>0</v>
      </c>
      <c r="J195" s="113" t="b">
        <f>E195=[2]INDFILTRO!E195</f>
        <v>0</v>
      </c>
      <c r="K195" s="113" t="b">
        <f>F195=[2]INDFILTRO!F195</f>
        <v>1</v>
      </c>
      <c r="L195" s="116" t="str">
        <f t="shared" si="7"/>
        <v>verdadeiro</v>
      </c>
      <c r="M195" s="124">
        <f t="shared" si="8"/>
        <v>491</v>
      </c>
      <c r="R195" s="253" t="b">
        <f t="shared" si="6"/>
        <v>1</v>
      </c>
      <c r="S195" s="253"/>
      <c r="T195" s="253"/>
    </row>
    <row r="196" spans="1:20" s="113" customFormat="1" ht="11.25">
      <c r="A196" s="121">
        <v>500</v>
      </c>
      <c r="B196" s="122" t="str">
        <f>VLOOKUP(A196,[1]INDICE!$A$4:$G$1000,2,0)</f>
        <v>ADAPTADOR CURTO C/BOLSA ROSCA P/REGISTRO, PVC, SOLDÁVEL 25MM X 3/4"</v>
      </c>
      <c r="C196" s="160" t="str">
        <f>VLOOKUP(A196,[1]INDICE!$A$4:$G$1000,3,0)</f>
        <v>UN</v>
      </c>
      <c r="D196" s="122">
        <f>VLOOKUP(A196,[1]INDICE!$A$4:$G$1000,4,0)</f>
        <v>3.3696000000000002</v>
      </c>
      <c r="E196" s="122">
        <f>VLOOKUP(A196,[1]INDICE!$A$4:$G$1000,5,0)</f>
        <v>0.86209999999999998</v>
      </c>
      <c r="F196" s="122">
        <f>VLOOKUP(A196,[1]INDICE!$A$4:$G$1000,6,0)</f>
        <v>0</v>
      </c>
      <c r="G196" s="122">
        <f>VLOOKUP(A196,[1]INDICE!$A$4:$G$1000,7,0)</f>
        <v>4.2317</v>
      </c>
      <c r="H196" s="116" t="b">
        <f>A196=[2]INDFILTRO!A196</f>
        <v>0</v>
      </c>
      <c r="I196" s="113" t="b">
        <f>B196=[3]INDFILTRO!B195</f>
        <v>0</v>
      </c>
      <c r="J196" s="113" t="b">
        <f>E196=[2]INDFILTRO!E196</f>
        <v>0</v>
      </c>
      <c r="K196" s="113" t="b">
        <f>F196=[2]INDFILTRO!F196</f>
        <v>1</v>
      </c>
      <c r="L196" s="116" t="str">
        <f t="shared" si="7"/>
        <v>verdadeiro</v>
      </c>
      <c r="M196" s="124">
        <f t="shared" si="8"/>
        <v>500</v>
      </c>
      <c r="R196" s="253" t="b">
        <f t="shared" si="6"/>
        <v>1</v>
      </c>
      <c r="S196" s="253"/>
      <c r="T196" s="253"/>
    </row>
    <row r="197" spans="1:20" s="113" customFormat="1" ht="11.25">
      <c r="A197" s="121">
        <v>504</v>
      </c>
      <c r="B197" s="122" t="str">
        <f>VLOOKUP(A197,[1]INDICE!$A$4:$G$1000,2,0)</f>
        <v>JOELHO REDUÇÃO 90º SOLD. C/BUCHA DE LATÃO 25X1/2"</v>
      </c>
      <c r="C197" s="160" t="str">
        <f>VLOOKUP(A197,[1]INDICE!$A$4:$G$1000,3,0)</f>
        <v>UN</v>
      </c>
      <c r="D197" s="122">
        <f>VLOOKUP(A197,[1]INDICE!$A$4:$G$1000,4,0)</f>
        <v>4.26816</v>
      </c>
      <c r="E197" s="122">
        <f>VLOOKUP(A197,[1]INDICE!$A$4:$G$1000,5,0)</f>
        <v>4.97</v>
      </c>
      <c r="F197" s="122">
        <f>VLOOKUP(A197,[1]INDICE!$A$4:$G$1000,6,0)</f>
        <v>0</v>
      </c>
      <c r="G197" s="122">
        <f>VLOOKUP(A197,[1]INDICE!$A$4:$G$1000,7,0)</f>
        <v>9.2381600000000006</v>
      </c>
      <c r="H197" s="116" t="b">
        <f>A197=[2]INDFILTRO!A197</f>
        <v>0</v>
      </c>
      <c r="I197" s="113" t="b">
        <f>B197=[3]INDFILTRO!B196</f>
        <v>0</v>
      </c>
      <c r="J197" s="113" t="b">
        <f>E197=[2]INDFILTRO!E197</f>
        <v>0</v>
      </c>
      <c r="K197" s="113" t="b">
        <f>F197=[2]INDFILTRO!F197</f>
        <v>1</v>
      </c>
      <c r="L197" s="116" t="str">
        <f t="shared" si="7"/>
        <v>verdadeiro</v>
      </c>
      <c r="M197" s="124">
        <f t="shared" si="8"/>
        <v>504</v>
      </c>
      <c r="R197" s="253" t="b">
        <f t="shared" ref="R197:R260" si="9">(D197+E197+F197)=G197</f>
        <v>1</v>
      </c>
      <c r="S197" s="253"/>
      <c r="T197" s="253"/>
    </row>
    <row r="198" spans="1:20" s="113" customFormat="1" ht="11.25">
      <c r="A198" s="121">
        <v>514</v>
      </c>
      <c r="B198" s="122" t="str">
        <f>VLOOKUP(A198,[1]INDICE!$A$4:$G$1000,2,0)</f>
        <v>ENVELOPAMENTO EM ALVERNARIA DE TUBOS DE DESCIDA 100MM</v>
      </c>
      <c r="C198" s="160" t="str">
        <f>VLOOKUP(A198,[1]INDICE!$A$4:$G$1000,3,0)</f>
        <v>M</v>
      </c>
      <c r="D198" s="122">
        <f>VLOOKUP(A198,[1]INDICE!$A$4:$G$1000,4,0)</f>
        <v>31.100598400000003</v>
      </c>
      <c r="E198" s="122">
        <f>VLOOKUP(A198,[1]INDICE!$A$4:$G$1000,5,0)</f>
        <v>14.166440000000001</v>
      </c>
      <c r="F198" s="122">
        <f>VLOOKUP(A198,[1]INDICE!$A$4:$G$1000,6,0)</f>
        <v>0</v>
      </c>
      <c r="G198" s="122">
        <f>VLOOKUP(A198,[1]INDICE!$A$4:$G$1000,7,0)</f>
        <v>45.267038400000004</v>
      </c>
      <c r="H198" s="116" t="b">
        <f>A198=[2]INDFILTRO!A198</f>
        <v>0</v>
      </c>
      <c r="I198" s="113" t="b">
        <f>B198=[3]INDFILTRO!B197</f>
        <v>0</v>
      </c>
      <c r="J198" s="113" t="b">
        <f>E198=[2]INDFILTRO!E198</f>
        <v>0</v>
      </c>
      <c r="K198" s="113" t="b">
        <f>F198=[2]INDFILTRO!F198</f>
        <v>1</v>
      </c>
      <c r="L198" s="116" t="str">
        <f t="shared" ref="L198:L261" si="10">IF(D198+E198+F198=G198,"verdadeiro")</f>
        <v>verdadeiro</v>
      </c>
      <c r="M198" s="124">
        <f t="shared" ref="M198:M261" si="11">A198</f>
        <v>514</v>
      </c>
      <c r="R198" s="253" t="b">
        <f t="shared" si="9"/>
        <v>1</v>
      </c>
      <c r="S198" s="253"/>
      <c r="T198" s="253"/>
    </row>
    <row r="199" spans="1:20" s="113" customFormat="1" ht="11.25">
      <c r="A199" s="121">
        <v>518</v>
      </c>
      <c r="B199" s="122" t="str">
        <f>VLOOKUP(A199,[1]INDICE!$A$4:$G$1000,2,0)</f>
        <v>DISJUNTOR MONOPOLAR DE 10 A 32A</v>
      </c>
      <c r="C199" s="160" t="str">
        <f>VLOOKUP(A199,[1]INDICE!$A$4:$G$1000,3,0)</f>
        <v>UN</v>
      </c>
      <c r="D199" s="122">
        <f>VLOOKUP(A199,[1]INDICE!$A$4:$G$1000,4,0)</f>
        <v>11.588999999999999</v>
      </c>
      <c r="E199" s="122">
        <f>VLOOKUP(A199,[1]INDICE!$A$4:$G$1000,5,0)</f>
        <v>8.41</v>
      </c>
      <c r="F199" s="122">
        <f>VLOOKUP(A199,[1]INDICE!$A$4:$G$1000,6,0)</f>
        <v>0</v>
      </c>
      <c r="G199" s="122">
        <f>VLOOKUP(A199,[1]INDICE!$A$4:$G$1000,7,0)</f>
        <v>19.998999999999999</v>
      </c>
      <c r="H199" s="116" t="b">
        <f>A199=[2]INDFILTRO!A199</f>
        <v>0</v>
      </c>
      <c r="I199" s="113" t="b">
        <f>B199=[3]INDFILTRO!B198</f>
        <v>0</v>
      </c>
      <c r="J199" s="113" t="b">
        <f>E199=[2]INDFILTRO!E199</f>
        <v>0</v>
      </c>
      <c r="K199" s="113" t="b">
        <f>F199=[2]INDFILTRO!F199</f>
        <v>1</v>
      </c>
      <c r="L199" s="116" t="str">
        <f t="shared" si="10"/>
        <v>verdadeiro</v>
      </c>
      <c r="M199" s="124">
        <f t="shared" si="11"/>
        <v>518</v>
      </c>
      <c r="R199" s="253" t="b">
        <f t="shared" si="9"/>
        <v>1</v>
      </c>
      <c r="S199" s="253"/>
      <c r="T199" s="253"/>
    </row>
    <row r="200" spans="1:20" s="113" customFormat="1" ht="33.75">
      <c r="A200" s="121">
        <v>524</v>
      </c>
      <c r="B200" s="122" t="str">
        <f>VLOOKUP(A200,[1]INDICE!$A$4:$G$1000,2,0)</f>
        <v>ABRIGO PARA HIDRANTE, 90X60X17CM, COM REGISTRO GLOBO ANGULAR 45 GRAUS 2 1/2", ADAPTADOR STORZ 2 1/2", MANGUEIRA DE INCÊNDIO 15M, REDUÇÃO 2 1/2" X 1 1/2" E ESGUICHO EM LATÃO 1 1/2"</v>
      </c>
      <c r="C200" s="160" t="str">
        <f>VLOOKUP(A200,[1]INDICE!$A$4:$G$1000,3,0)</f>
        <v>UN</v>
      </c>
      <c r="D200" s="122">
        <f>VLOOKUP(A200,[1]INDICE!$A$4:$G$1000,4,0)</f>
        <v>113.70528</v>
      </c>
      <c r="E200" s="122">
        <f>VLOOKUP(A200,[1]INDICE!$A$4:$G$1000,5,0)</f>
        <v>1778.98</v>
      </c>
      <c r="F200" s="122">
        <f>VLOOKUP(A200,[1]INDICE!$A$4:$G$1000,6,0)</f>
        <v>0</v>
      </c>
      <c r="G200" s="122">
        <f>VLOOKUP(A200,[1]INDICE!$A$4:$G$1000,7,0)</f>
        <v>1892.6852799999999</v>
      </c>
      <c r="H200" s="116" t="b">
        <f>A200=[2]INDFILTRO!A200</f>
        <v>0</v>
      </c>
      <c r="I200" s="113" t="b">
        <f>B200=[3]INDFILTRO!B199</f>
        <v>0</v>
      </c>
      <c r="J200" s="113" t="b">
        <f>E200=[2]INDFILTRO!E200</f>
        <v>0</v>
      </c>
      <c r="K200" s="113" t="b">
        <f>F200=[2]INDFILTRO!F200</f>
        <v>1</v>
      </c>
      <c r="L200" s="116" t="str">
        <f t="shared" si="10"/>
        <v>verdadeiro</v>
      </c>
      <c r="M200" s="124">
        <f t="shared" si="11"/>
        <v>524</v>
      </c>
      <c r="R200" s="253" t="b">
        <f t="shared" si="9"/>
        <v>1</v>
      </c>
      <c r="S200" s="253"/>
      <c r="T200" s="253"/>
    </row>
    <row r="201" spans="1:20" s="113" customFormat="1" ht="22.5">
      <c r="A201" s="121">
        <v>525</v>
      </c>
      <c r="B201" s="122" t="str">
        <f>VLOOKUP(A201,[1]INDICE!$A$4:$G$1000,2,0)</f>
        <v>ADEQUAÇÃO DO ABRIGO PARA HIDRANTE, 90X60X17CM, ADAPTADOR STORZ 2 1/2", MANGUEIRAS DE INCÊNDIO 15M, REDUÇÃO 2 1/2" X 1 1/2" E ESGUICHO EM LATÃO 1 1/2"</v>
      </c>
      <c r="C201" s="160" t="str">
        <f>VLOOKUP(A201,[1]INDICE!$A$4:$G$1000,3,0)</f>
        <v>UN</v>
      </c>
      <c r="D201" s="122">
        <f>VLOOKUP(A201,[1]INDICE!$A$4:$G$1000,4,0)</f>
        <v>83.476224000000002</v>
      </c>
      <c r="E201" s="122">
        <f>VLOOKUP(A201,[1]INDICE!$A$4:$G$1000,5,0)</f>
        <v>1306.4099999999999</v>
      </c>
      <c r="F201" s="122">
        <f>VLOOKUP(A201,[1]INDICE!$A$4:$G$1000,6,0)</f>
        <v>0</v>
      </c>
      <c r="G201" s="122">
        <f>VLOOKUP(A201,[1]INDICE!$A$4:$G$1000,7,0)</f>
        <v>1389.8862239999999</v>
      </c>
      <c r="H201" s="116" t="b">
        <f>A201=[2]INDFILTRO!A201</f>
        <v>0</v>
      </c>
      <c r="I201" s="113" t="b">
        <f>B201=[3]INDFILTRO!B200</f>
        <v>0</v>
      </c>
      <c r="J201" s="113" t="b">
        <f>E201=[2]INDFILTRO!E201</f>
        <v>0</v>
      </c>
      <c r="K201" s="113" t="b">
        <f>F201=[2]INDFILTRO!F201</f>
        <v>1</v>
      </c>
      <c r="L201" s="116" t="str">
        <f t="shared" si="10"/>
        <v>verdadeiro</v>
      </c>
      <c r="M201" s="124">
        <f t="shared" si="11"/>
        <v>525</v>
      </c>
      <c r="R201" s="253" t="b">
        <f t="shared" si="9"/>
        <v>1</v>
      </c>
      <c r="S201" s="253"/>
      <c r="T201" s="253"/>
    </row>
    <row r="202" spans="1:20" s="113" customFormat="1" ht="11.25">
      <c r="A202" s="121">
        <v>526</v>
      </c>
      <c r="B202" s="122" t="str">
        <f>VLOOKUP(A202,[1]INDICE!$A$4:$G$1000,2,0)</f>
        <v>CURVA 45 GRAUS DE FERRO GALVANIZADO, COM ROSCA BSP FEMEA, DE 2 1/2"</v>
      </c>
      <c r="C202" s="160" t="str">
        <f>VLOOKUP(A202,[1]INDICE!$A$4:$G$1000,3,0)</f>
        <v>UN</v>
      </c>
      <c r="D202" s="122">
        <f>VLOOKUP(A202,[1]INDICE!$A$4:$G$1000,4,0)</f>
        <v>23.175359999999998</v>
      </c>
      <c r="E202" s="122">
        <f>VLOOKUP(A202,[1]INDICE!$A$4:$G$1000,5,0)</f>
        <v>139.41</v>
      </c>
      <c r="F202" s="122">
        <f>VLOOKUP(A202,[1]INDICE!$A$4:$G$1000,6,0)</f>
        <v>0</v>
      </c>
      <c r="G202" s="122">
        <f>VLOOKUP(A202,[1]INDICE!$A$4:$G$1000,7,0)</f>
        <v>162.58535999999998</v>
      </c>
      <c r="H202" s="116" t="b">
        <f>A202=[2]INDFILTRO!A202</f>
        <v>0</v>
      </c>
      <c r="I202" s="113" t="b">
        <f>B202=[3]INDFILTRO!B201</f>
        <v>0</v>
      </c>
      <c r="J202" s="113" t="b">
        <f>E202=[2]INDFILTRO!E202</f>
        <v>0</v>
      </c>
      <c r="K202" s="113" t="b">
        <f>F202=[2]INDFILTRO!F202</f>
        <v>1</v>
      </c>
      <c r="L202" s="116" t="str">
        <f t="shared" si="10"/>
        <v>verdadeiro</v>
      </c>
      <c r="M202" s="124">
        <f t="shared" si="11"/>
        <v>526</v>
      </c>
      <c r="R202" s="253" t="b">
        <f t="shared" si="9"/>
        <v>1</v>
      </c>
      <c r="S202" s="253"/>
      <c r="T202" s="253"/>
    </row>
    <row r="203" spans="1:20" s="113" customFormat="1" ht="11.25">
      <c r="A203" s="121">
        <v>527</v>
      </c>
      <c r="B203" s="122" t="str">
        <f>VLOOKUP(A203,[1]INDICE!$A$4:$G$1000,2,0)</f>
        <v>NIPLE DE REDUCAO DE FERRO GALVANIZADO, COM ROSCA BSP, DE 2" X 1 1/2"</v>
      </c>
      <c r="C203" s="160" t="str">
        <f>VLOOKUP(A203,[1]INDICE!$A$4:$G$1000,3,0)</f>
        <v>UN</v>
      </c>
      <c r="D203" s="122">
        <f>VLOOKUP(A203,[1]INDICE!$A$4:$G$1000,4,0)</f>
        <v>23.175359999999998</v>
      </c>
      <c r="E203" s="122">
        <f>VLOOKUP(A203,[1]INDICE!$A$4:$G$1000,5,0)</f>
        <v>31.855</v>
      </c>
      <c r="F203" s="122">
        <f>VLOOKUP(A203,[1]INDICE!$A$4:$G$1000,6,0)</f>
        <v>0</v>
      </c>
      <c r="G203" s="122">
        <f>VLOOKUP(A203,[1]INDICE!$A$4:$G$1000,7,0)</f>
        <v>55.030360000000002</v>
      </c>
      <c r="H203" s="116" t="b">
        <f>A203=[2]INDFILTRO!A203</f>
        <v>0</v>
      </c>
      <c r="I203" s="113" t="b">
        <f>B203=[3]INDFILTRO!B202</f>
        <v>0</v>
      </c>
      <c r="J203" s="113" t="b">
        <f>E203=[2]INDFILTRO!E203</f>
        <v>0</v>
      </c>
      <c r="K203" s="113" t="b">
        <f>F203=[2]INDFILTRO!F203</f>
        <v>1</v>
      </c>
      <c r="L203" s="116" t="str">
        <f t="shared" si="10"/>
        <v>verdadeiro</v>
      </c>
      <c r="M203" s="124">
        <f t="shared" si="11"/>
        <v>527</v>
      </c>
      <c r="R203" s="253" t="b">
        <f t="shared" si="9"/>
        <v>1</v>
      </c>
      <c r="S203" s="253"/>
      <c r="T203" s="253"/>
    </row>
    <row r="204" spans="1:20" s="113" customFormat="1" ht="22.5">
      <c r="A204" s="121">
        <v>529</v>
      </c>
      <c r="B204" s="122" t="str">
        <f>VLOOKUP(A204,[1]INDICE!$A$4:$G$1000,2,0)</f>
        <v>TAMPAO COM CORRENTE, EM LATAO, ENGATE RAPIDO 2 1/2", PARA INSTALACAO PREDIAL DE COMBATE A INCENDIO</v>
      </c>
      <c r="C204" s="160" t="str">
        <f>VLOOKUP(A204,[1]INDICE!$A$4:$G$1000,3,0)</f>
        <v>UN</v>
      </c>
      <c r="D204" s="122">
        <f>VLOOKUP(A204,[1]INDICE!$A$4:$G$1000,4,0)</f>
        <v>5.6159999999999997</v>
      </c>
      <c r="E204" s="122">
        <f>VLOOKUP(A204,[1]INDICE!$A$4:$G$1000,5,0)</f>
        <v>94.28</v>
      </c>
      <c r="F204" s="122">
        <f>VLOOKUP(A204,[1]INDICE!$A$4:$G$1000,6,0)</f>
        <v>0</v>
      </c>
      <c r="G204" s="122">
        <f>VLOOKUP(A204,[1]INDICE!$A$4:$G$1000,7,0)</f>
        <v>99.896000000000001</v>
      </c>
      <c r="H204" s="116" t="b">
        <f>A204=[2]INDFILTRO!A204</f>
        <v>0</v>
      </c>
      <c r="I204" s="113" t="b">
        <f>B204=[3]INDFILTRO!B203</f>
        <v>0</v>
      </c>
      <c r="J204" s="113" t="b">
        <f>E204=[2]INDFILTRO!E204</f>
        <v>0</v>
      </c>
      <c r="K204" s="113" t="b">
        <f>F204=[2]INDFILTRO!F204</f>
        <v>1</v>
      </c>
      <c r="L204" s="116" t="str">
        <f t="shared" si="10"/>
        <v>verdadeiro</v>
      </c>
      <c r="M204" s="124">
        <f t="shared" si="11"/>
        <v>529</v>
      </c>
      <c r="R204" s="253" t="b">
        <f t="shared" si="9"/>
        <v>1</v>
      </c>
      <c r="S204" s="253"/>
      <c r="T204" s="253"/>
    </row>
    <row r="205" spans="1:20" s="113" customFormat="1" ht="22.5">
      <c r="A205" s="121">
        <v>530</v>
      </c>
      <c r="B205" s="122" t="str">
        <f>VLOOKUP(A205,[1]INDICE!$A$4:$G$1000,2,0)</f>
        <v>REDUCAO FIXA TIPO STORZ, ENGATE RAPIDO 2.1/2" X 1.1/2", EM LATAO, PARA INSTALACAO PREDIAL COMBATE A INCENDIO PREDIAL</v>
      </c>
      <c r="C205" s="160" t="str">
        <f>VLOOKUP(A205,[1]INDICE!$A$4:$G$1000,3,0)</f>
        <v>UN</v>
      </c>
      <c r="D205" s="122">
        <f>VLOOKUP(A205,[1]INDICE!$A$4:$G$1000,4,0)</f>
        <v>5.6159999999999997</v>
      </c>
      <c r="E205" s="122">
        <f>VLOOKUP(A205,[1]INDICE!$A$4:$G$1000,5,0)</f>
        <v>128.95999999999998</v>
      </c>
      <c r="F205" s="122">
        <f>VLOOKUP(A205,[1]INDICE!$A$4:$G$1000,6,0)</f>
        <v>0</v>
      </c>
      <c r="G205" s="122">
        <f>VLOOKUP(A205,[1]INDICE!$A$4:$G$1000,7,0)</f>
        <v>134.57599999999996</v>
      </c>
      <c r="H205" s="116" t="b">
        <f>A205=[2]INDFILTRO!A205</f>
        <v>0</v>
      </c>
      <c r="I205" s="113" t="b">
        <f>B205=[3]INDFILTRO!B204</f>
        <v>0</v>
      </c>
      <c r="J205" s="113" t="b">
        <f>E205=[2]INDFILTRO!E205</f>
        <v>0</v>
      </c>
      <c r="K205" s="113" t="b">
        <f>F205=[2]INDFILTRO!F205</f>
        <v>1</v>
      </c>
      <c r="L205" s="116" t="str">
        <f t="shared" si="10"/>
        <v>verdadeiro</v>
      </c>
      <c r="M205" s="124">
        <f t="shared" si="11"/>
        <v>530</v>
      </c>
      <c r="R205" s="253" t="b">
        <f t="shared" si="9"/>
        <v>1</v>
      </c>
      <c r="S205" s="253"/>
      <c r="T205" s="253"/>
    </row>
    <row r="206" spans="1:20" s="113" customFormat="1" ht="22.5">
      <c r="A206" s="121">
        <v>531</v>
      </c>
      <c r="B206" s="122" t="str">
        <f>VLOOKUP(A206,[1]INDICE!$A$4:$G$1000,2,0)</f>
        <v>TAMPAO COM CORRENTE, EM LATAO, ENGATE RAPIDO 1 1/2", PARA INSTALACAO PREDIAL DE COMBATE A INCENDIO</v>
      </c>
      <c r="C206" s="160" t="str">
        <f>VLOOKUP(A206,[1]INDICE!$A$4:$G$1000,3,0)</f>
        <v>UN</v>
      </c>
      <c r="D206" s="122">
        <f>VLOOKUP(A206,[1]INDICE!$A$4:$G$1000,4,0)</f>
        <v>5.6159999999999997</v>
      </c>
      <c r="E206" s="122">
        <f>VLOOKUP(A206,[1]INDICE!$A$4:$G$1000,5,0)</f>
        <v>70.28</v>
      </c>
      <c r="F206" s="122">
        <f>VLOOKUP(A206,[1]INDICE!$A$4:$G$1000,6,0)</f>
        <v>0</v>
      </c>
      <c r="G206" s="122">
        <f>VLOOKUP(A206,[1]INDICE!$A$4:$G$1000,7,0)</f>
        <v>75.896000000000001</v>
      </c>
      <c r="H206" s="116" t="b">
        <f>A206=[2]INDFILTRO!A206</f>
        <v>0</v>
      </c>
      <c r="I206" s="113" t="b">
        <f>B206=[3]INDFILTRO!B205</f>
        <v>0</v>
      </c>
      <c r="J206" s="113" t="b">
        <f>E206=[2]INDFILTRO!E206</f>
        <v>0</v>
      </c>
      <c r="K206" s="113" t="b">
        <f>F206=[2]INDFILTRO!F206</f>
        <v>1</v>
      </c>
      <c r="L206" s="116" t="str">
        <f t="shared" si="10"/>
        <v>verdadeiro</v>
      </c>
      <c r="M206" s="124">
        <f t="shared" si="11"/>
        <v>531</v>
      </c>
      <c r="R206" s="253" t="b">
        <f t="shared" si="9"/>
        <v>1</v>
      </c>
      <c r="S206" s="253"/>
      <c r="T206" s="253"/>
    </row>
    <row r="207" spans="1:20" s="113" customFormat="1" ht="11.25">
      <c r="A207" s="121">
        <v>532</v>
      </c>
      <c r="B207" s="122" t="str">
        <f>VLOOKUP(A207,[1]INDICE!$A$4:$G$1000,2,0)</f>
        <v>TAMPA FERRO FUNDIDO (INCENDIO) 40 X 60 CM</v>
      </c>
      <c r="C207" s="160" t="str">
        <f>VLOOKUP(A207,[1]INDICE!$A$4:$G$1000,3,0)</f>
        <v>UN</v>
      </c>
      <c r="D207" s="122">
        <f>VLOOKUP(A207,[1]INDICE!$A$4:$G$1000,4,0)</f>
        <v>53.43127097</v>
      </c>
      <c r="E207" s="122">
        <f>VLOOKUP(A207,[1]INDICE!$A$4:$G$1000,5,0)</f>
        <v>260.05094918600003</v>
      </c>
      <c r="F207" s="122">
        <f>VLOOKUP(A207,[1]INDICE!$A$4:$G$1000,6,0)</f>
        <v>0</v>
      </c>
      <c r="G207" s="122">
        <f>VLOOKUP(A207,[1]INDICE!$A$4:$G$1000,7,0)</f>
        <v>313.48222015600004</v>
      </c>
      <c r="H207" s="116" t="b">
        <f>A207=[2]INDFILTRO!A207</f>
        <v>0</v>
      </c>
      <c r="I207" s="113" t="b">
        <f>B207=[3]INDFILTRO!B206</f>
        <v>0</v>
      </c>
      <c r="J207" s="113" t="b">
        <f>E207=[2]INDFILTRO!E207</f>
        <v>0</v>
      </c>
      <c r="K207" s="113" t="b">
        <f>F207=[2]INDFILTRO!F207</f>
        <v>1</v>
      </c>
      <c r="L207" s="116" t="str">
        <f t="shared" si="10"/>
        <v>verdadeiro</v>
      </c>
      <c r="M207" s="124">
        <f t="shared" si="11"/>
        <v>532</v>
      </c>
      <c r="R207" s="253" t="b">
        <f t="shared" si="9"/>
        <v>1</v>
      </c>
      <c r="S207" s="253"/>
      <c r="T207" s="253"/>
    </row>
    <row r="208" spans="1:20" s="113" customFormat="1" ht="11.25">
      <c r="A208" s="121">
        <v>533</v>
      </c>
      <c r="B208" s="122" t="str">
        <f>VLOOKUP(A208,[1]INDICE!$A$4:$G$1000,2,0)</f>
        <v>BOMBA INCÊNDIO 7,5 CV TRIFÁSICA 220/380V BPI-22 R 2.1/2 POL 155 MM IR-3 SCHNEIDER</v>
      </c>
      <c r="C208" s="160" t="str">
        <f>VLOOKUP(A208,[1]INDICE!$A$4:$G$1000,3,0)</f>
        <v>UN</v>
      </c>
      <c r="D208" s="122">
        <f>VLOOKUP(A208,[1]INDICE!$A$4:$G$1000,4,0)</f>
        <v>299.52</v>
      </c>
      <c r="E208" s="122">
        <f>VLOOKUP(A208,[1]INDICE!$A$4:$G$1000,5,0)</f>
        <v>4588.42</v>
      </c>
      <c r="F208" s="122">
        <f>VLOOKUP(A208,[1]INDICE!$A$4:$G$1000,6,0)</f>
        <v>0</v>
      </c>
      <c r="G208" s="122">
        <f>VLOOKUP(A208,[1]INDICE!$A$4:$G$1000,7,0)</f>
        <v>4887.9400000000005</v>
      </c>
      <c r="H208" s="116" t="b">
        <f>A208=[2]INDFILTRO!A208</f>
        <v>0</v>
      </c>
      <c r="I208" s="113" t="b">
        <f>B208=[3]INDFILTRO!B207</f>
        <v>0</v>
      </c>
      <c r="J208" s="113" t="b">
        <f>E208=[2]INDFILTRO!E208</f>
        <v>0</v>
      </c>
      <c r="K208" s="113" t="b">
        <f>F208=[2]INDFILTRO!F208</f>
        <v>1</v>
      </c>
      <c r="L208" s="116" t="str">
        <f t="shared" si="10"/>
        <v>verdadeiro</v>
      </c>
      <c r="M208" s="124">
        <f t="shared" si="11"/>
        <v>533</v>
      </c>
      <c r="R208" s="253" t="b">
        <f t="shared" si="9"/>
        <v>1</v>
      </c>
      <c r="S208" s="253"/>
      <c r="T208" s="253"/>
    </row>
    <row r="209" spans="1:20" s="113" customFormat="1" ht="11.25">
      <c r="A209" s="121">
        <v>534</v>
      </c>
      <c r="B209" s="122" t="str">
        <f>VLOOKUP(A209,[1]INDICE!$A$4:$G$1000,2,0)</f>
        <v>TE 45 GRAUS DE FERRO GALVANIZADO, COM ROSCA BSP, DE 2 1/2"</v>
      </c>
      <c r="C209" s="160" t="str">
        <f>VLOOKUP(A209,[1]INDICE!$A$4:$G$1000,3,0)</f>
        <v>UN</v>
      </c>
      <c r="D209" s="122">
        <f>VLOOKUP(A209,[1]INDICE!$A$4:$G$1000,4,0)</f>
        <v>34.819200000000002</v>
      </c>
      <c r="E209" s="122">
        <f>VLOOKUP(A209,[1]INDICE!$A$4:$G$1000,5,0)</f>
        <v>180.001</v>
      </c>
      <c r="F209" s="122">
        <f>VLOOKUP(A209,[1]INDICE!$A$4:$G$1000,6,0)</f>
        <v>0</v>
      </c>
      <c r="G209" s="122">
        <f>VLOOKUP(A209,[1]INDICE!$A$4:$G$1000,7,0)</f>
        <v>214.8202</v>
      </c>
      <c r="H209" s="116" t="b">
        <f>A209=[2]INDFILTRO!A209</f>
        <v>0</v>
      </c>
      <c r="I209" s="113" t="b">
        <f>B209=[3]INDFILTRO!B208</f>
        <v>0</v>
      </c>
      <c r="J209" s="113" t="b">
        <f>E209=[2]INDFILTRO!E209</f>
        <v>0</v>
      </c>
      <c r="K209" s="113" t="b">
        <f>F209=[2]INDFILTRO!F209</f>
        <v>1</v>
      </c>
      <c r="L209" s="116" t="str">
        <f t="shared" si="10"/>
        <v>verdadeiro</v>
      </c>
      <c r="M209" s="124">
        <f t="shared" si="11"/>
        <v>534</v>
      </c>
      <c r="R209" s="253" t="b">
        <f t="shared" si="9"/>
        <v>1</v>
      </c>
      <c r="S209" s="253"/>
      <c r="T209" s="253"/>
    </row>
    <row r="210" spans="1:20" s="113" customFormat="1" ht="11.25">
      <c r="A210" s="121">
        <v>535</v>
      </c>
      <c r="B210" s="122" t="str">
        <f>VLOOKUP(A210,[1]INDICE!$A$4:$G$1000,2,0)</f>
        <v>UNIAO COM ASSENTO CONICO DE BRONZE, DIAMETRO 2 1/2"</v>
      </c>
      <c r="C210" s="160" t="str">
        <f>VLOOKUP(A210,[1]INDICE!$A$4:$G$1000,3,0)</f>
        <v>UN</v>
      </c>
      <c r="D210" s="122">
        <f>VLOOKUP(A210,[1]INDICE!$A$4:$G$1000,4,0)</f>
        <v>34.819200000000002</v>
      </c>
      <c r="E210" s="122">
        <f>VLOOKUP(A210,[1]INDICE!$A$4:$G$1000,5,0)</f>
        <v>180.15771999999998</v>
      </c>
      <c r="F210" s="122">
        <f>VLOOKUP(A210,[1]INDICE!$A$4:$G$1000,6,0)</f>
        <v>0</v>
      </c>
      <c r="G210" s="122">
        <f>VLOOKUP(A210,[1]INDICE!$A$4:$G$1000,7,0)</f>
        <v>214.97691999999998</v>
      </c>
      <c r="H210" s="116" t="b">
        <f>A210=[2]INDFILTRO!A210</f>
        <v>0</v>
      </c>
      <c r="I210" s="113" t="b">
        <f>B210=[3]INDFILTRO!B209</f>
        <v>0</v>
      </c>
      <c r="J210" s="113" t="b">
        <f>E210=[2]INDFILTRO!E210</f>
        <v>0</v>
      </c>
      <c r="K210" s="113" t="b">
        <f>F210=[2]INDFILTRO!F210</f>
        <v>1</v>
      </c>
      <c r="L210" s="116" t="str">
        <f t="shared" si="10"/>
        <v>verdadeiro</v>
      </c>
      <c r="M210" s="124">
        <f t="shared" si="11"/>
        <v>535</v>
      </c>
      <c r="R210" s="253" t="b">
        <f t="shared" si="9"/>
        <v>1</v>
      </c>
      <c r="S210" s="253"/>
      <c r="T210" s="253"/>
    </row>
    <row r="211" spans="1:20" s="113" customFormat="1" ht="11.25">
      <c r="A211" s="121">
        <v>536</v>
      </c>
      <c r="B211" s="122" t="str">
        <f>VLOOKUP(A211,[1]INDICE!$A$4:$G$1000,2,0)</f>
        <v>PARAFUSO SEXTAVADO D=1/4" X 5/8" COM BUCHA S-11</v>
      </c>
      <c r="C211" s="160" t="str">
        <f>VLOOKUP(A211,[1]INDICE!$A$4:$G$1000,3,0)</f>
        <v>UN</v>
      </c>
      <c r="D211" s="122">
        <f>VLOOKUP(A211,[1]INDICE!$A$4:$G$1000,4,0)</f>
        <v>1.027558</v>
      </c>
      <c r="E211" s="122">
        <f>VLOOKUP(A211,[1]INDICE!$A$4:$G$1000,5,0)</f>
        <v>0.48</v>
      </c>
      <c r="F211" s="122">
        <f>VLOOKUP(A211,[1]INDICE!$A$4:$G$1000,6,0)</f>
        <v>0</v>
      </c>
      <c r="G211" s="122">
        <f>VLOOKUP(A211,[1]INDICE!$A$4:$G$1000,7,0)</f>
        <v>1.507558</v>
      </c>
      <c r="H211" s="116" t="b">
        <f>A211=[2]INDFILTRO!A211</f>
        <v>0</v>
      </c>
      <c r="I211" s="113" t="b">
        <f>B211=[3]INDFILTRO!B210</f>
        <v>0</v>
      </c>
      <c r="J211" s="113" t="b">
        <f>E211=[2]INDFILTRO!E211</f>
        <v>0</v>
      </c>
      <c r="K211" s="113" t="b">
        <f>F211=[2]INDFILTRO!F211</f>
        <v>1</v>
      </c>
      <c r="L211" s="116" t="str">
        <f t="shared" si="10"/>
        <v>verdadeiro</v>
      </c>
      <c r="M211" s="124">
        <f t="shared" si="11"/>
        <v>536</v>
      </c>
      <c r="R211" s="253" t="b">
        <f t="shared" si="9"/>
        <v>1</v>
      </c>
      <c r="S211" s="253"/>
      <c r="T211" s="253"/>
    </row>
    <row r="212" spans="1:20" s="113" customFormat="1" ht="11.25">
      <c r="A212" s="121">
        <v>537</v>
      </c>
      <c r="B212" s="122" t="str">
        <f>VLOOKUP(A212,[1]INDICE!$A$4:$G$1000,2,0)</f>
        <v>ABRAÇADEIRA TIPO D 1" COM CUNHA</v>
      </c>
      <c r="C212" s="160" t="str">
        <f>VLOOKUP(A212,[1]INDICE!$A$4:$G$1000,3,0)</f>
        <v>UN</v>
      </c>
      <c r="D212" s="122">
        <f>VLOOKUP(A212,[1]INDICE!$A$4:$G$1000,4,0)</f>
        <v>0.38629999999999998</v>
      </c>
      <c r="E212" s="122">
        <f>VLOOKUP(A212,[1]INDICE!$A$4:$G$1000,5,0)</f>
        <v>0.56999999999999995</v>
      </c>
      <c r="F212" s="122">
        <f>VLOOKUP(A212,[1]INDICE!$A$4:$G$1000,6,0)</f>
        <v>0</v>
      </c>
      <c r="G212" s="122">
        <f>VLOOKUP(A212,[1]INDICE!$A$4:$G$1000,7,0)</f>
        <v>0.95629999999999993</v>
      </c>
      <c r="H212" s="116" t="b">
        <f>A212=[2]INDFILTRO!A212</f>
        <v>0</v>
      </c>
      <c r="I212" s="113" t="b">
        <f>B212=[3]INDFILTRO!B211</f>
        <v>0</v>
      </c>
      <c r="J212" s="113" t="b">
        <f>E212=[2]INDFILTRO!E212</f>
        <v>0</v>
      </c>
      <c r="K212" s="113" t="b">
        <f>F212=[2]INDFILTRO!F212</f>
        <v>1</v>
      </c>
      <c r="L212" s="116" t="str">
        <f t="shared" si="10"/>
        <v>verdadeiro</v>
      </c>
      <c r="M212" s="124">
        <f t="shared" si="11"/>
        <v>537</v>
      </c>
      <c r="R212" s="253" t="b">
        <f t="shared" si="9"/>
        <v>1</v>
      </c>
      <c r="S212" s="253"/>
      <c r="T212" s="253"/>
    </row>
    <row r="213" spans="1:20" s="113" customFormat="1" ht="11.25">
      <c r="A213" s="121">
        <v>538</v>
      </c>
      <c r="B213" s="122" t="str">
        <f>VLOOKUP(A213,[1]INDICE!$A$4:$G$1000,2,0)</f>
        <v>CAIXA DE INSPEÇÃO SUSPENSA</v>
      </c>
      <c r="C213" s="160" t="str">
        <f>VLOOKUP(A213,[1]INDICE!$A$4:$G$1000,3,0)</f>
        <v>UN</v>
      </c>
      <c r="D213" s="122">
        <f>VLOOKUP(A213,[1]INDICE!$A$4:$G$1000,4,0)</f>
        <v>5.7944999999999993</v>
      </c>
      <c r="E213" s="122">
        <f>VLOOKUP(A213,[1]INDICE!$A$4:$G$1000,5,0)</f>
        <v>76.625</v>
      </c>
      <c r="F213" s="122">
        <f>VLOOKUP(A213,[1]INDICE!$A$4:$G$1000,6,0)</f>
        <v>0</v>
      </c>
      <c r="G213" s="122">
        <f>VLOOKUP(A213,[1]INDICE!$A$4:$G$1000,7,0)</f>
        <v>82.419499999999999</v>
      </c>
      <c r="H213" s="116" t="b">
        <f>A213=[2]INDFILTRO!A213</f>
        <v>0</v>
      </c>
      <c r="I213" s="113" t="b">
        <f>B213=[3]INDFILTRO!B212</f>
        <v>0</v>
      </c>
      <c r="J213" s="113" t="b">
        <f>E213=[2]INDFILTRO!E213</f>
        <v>0</v>
      </c>
      <c r="K213" s="113" t="b">
        <f>F213=[2]INDFILTRO!F213</f>
        <v>1</v>
      </c>
      <c r="L213" s="116" t="str">
        <f t="shared" si="10"/>
        <v>verdadeiro</v>
      </c>
      <c r="M213" s="124">
        <f t="shared" si="11"/>
        <v>538</v>
      </c>
      <c r="R213" s="253" t="b">
        <f t="shared" si="9"/>
        <v>1</v>
      </c>
      <c r="S213" s="253"/>
      <c r="T213" s="253"/>
    </row>
    <row r="214" spans="1:20" s="113" customFormat="1" ht="11.25">
      <c r="A214" s="121">
        <v>639</v>
      </c>
      <c r="B214" s="122" t="str">
        <f>VLOOKUP(A214,[1]INDICE!$A$4:$G$1000,2,0)</f>
        <v>CONJUNTO PARA ESTAIS RÍGIDO + ABRAÇADEIRA 2" 3M</v>
      </c>
      <c r="C214" s="160" t="str">
        <f>VLOOKUP(A214,[1]INDICE!$A$4:$G$1000,3,0)</f>
        <v>UN</v>
      </c>
      <c r="D214" s="122">
        <f>VLOOKUP(A214,[1]INDICE!$A$4:$G$1000,4,0)</f>
        <v>18.001580000000001</v>
      </c>
      <c r="E214" s="122">
        <f>VLOOKUP(A214,[1]INDICE!$A$4:$G$1000,5,0)</f>
        <v>384.24</v>
      </c>
      <c r="F214" s="122">
        <f>VLOOKUP(A214,[1]INDICE!$A$4:$G$1000,6,0)</f>
        <v>0</v>
      </c>
      <c r="G214" s="122">
        <f>VLOOKUP(A214,[1]INDICE!$A$4:$G$1000,7,0)</f>
        <v>402.24158</v>
      </c>
      <c r="H214" s="116" t="b">
        <f>A214=[2]INDFILTRO!A214</f>
        <v>0</v>
      </c>
      <c r="I214" s="113" t="b">
        <f>B214=[3]INDFILTRO!B213</f>
        <v>0</v>
      </c>
      <c r="J214" s="113" t="b">
        <f>E214=[2]INDFILTRO!E214</f>
        <v>0</v>
      </c>
      <c r="K214" s="113" t="b">
        <f>F214=[2]INDFILTRO!F214</f>
        <v>1</v>
      </c>
      <c r="L214" s="116" t="str">
        <f t="shared" si="10"/>
        <v>verdadeiro</v>
      </c>
      <c r="M214" s="124">
        <f t="shared" si="11"/>
        <v>639</v>
      </c>
      <c r="R214" s="253" t="b">
        <f t="shared" si="9"/>
        <v>1</v>
      </c>
      <c r="S214" s="253"/>
      <c r="T214" s="253"/>
    </row>
    <row r="215" spans="1:20" s="113" customFormat="1" ht="11.25">
      <c r="A215" s="121">
        <v>640</v>
      </c>
      <c r="B215" s="122" t="str">
        <f>VLOOKUP(A215,[1]INDICE!$A$4:$G$1000,2,0)</f>
        <v>CONJUNTO PARA ESTAIS RÍGIDO + ABRAÇADEIRA 2" 3M</v>
      </c>
      <c r="C215" s="160" t="str">
        <f>VLOOKUP(A215,[1]INDICE!$A$4:$G$1000,3,0)</f>
        <v>UN</v>
      </c>
      <c r="D215" s="122">
        <f>VLOOKUP(A215,[1]INDICE!$A$4:$G$1000,4,0)</f>
        <v>12.462038</v>
      </c>
      <c r="E215" s="122">
        <f>VLOOKUP(A215,[1]INDICE!$A$4:$G$1000,5,0)</f>
        <v>222.64000000000001</v>
      </c>
      <c r="F215" s="122">
        <f>VLOOKUP(A215,[1]INDICE!$A$4:$G$1000,6,0)</f>
        <v>0</v>
      </c>
      <c r="G215" s="122">
        <f>VLOOKUP(A215,[1]INDICE!$A$4:$G$1000,7,0)</f>
        <v>235.10203800000002</v>
      </c>
      <c r="H215" s="116" t="b">
        <f>A215=[2]INDFILTRO!A215</f>
        <v>0</v>
      </c>
      <c r="I215" s="113" t="b">
        <f>B215=[3]INDFILTRO!B214</f>
        <v>0</v>
      </c>
      <c r="J215" s="113" t="b">
        <f>E215=[2]INDFILTRO!E215</f>
        <v>0</v>
      </c>
      <c r="K215" s="113" t="b">
        <f>F215=[2]INDFILTRO!F215</f>
        <v>1</v>
      </c>
      <c r="L215" s="116" t="str">
        <f t="shared" si="10"/>
        <v>verdadeiro</v>
      </c>
      <c r="M215" s="124">
        <f t="shared" si="11"/>
        <v>640</v>
      </c>
      <c r="R215" s="253" t="b">
        <f t="shared" si="9"/>
        <v>1</v>
      </c>
      <c r="S215" s="253"/>
      <c r="T215" s="253"/>
    </row>
    <row r="216" spans="1:20" s="113" customFormat="1" ht="11.25">
      <c r="A216" s="121">
        <v>541</v>
      </c>
      <c r="B216" s="122" t="str">
        <f>VLOOKUP(A216,[1]INDICE!$A$4:$G$1000,2,0)</f>
        <v>ABRACADEIRA-GUIA REFORCADA 2" DUAS DESCIDAS</v>
      </c>
      <c r="C216" s="160" t="str">
        <f>VLOOKUP(A216,[1]INDICE!$A$4:$G$1000,3,0)</f>
        <v>UN</v>
      </c>
      <c r="D216" s="122">
        <f>VLOOKUP(A216,[1]INDICE!$A$4:$G$1000,4,0)</f>
        <v>12.222532000000001</v>
      </c>
      <c r="E216" s="122">
        <f>VLOOKUP(A216,[1]INDICE!$A$4:$G$1000,5,0)</f>
        <v>63.305</v>
      </c>
      <c r="F216" s="122">
        <f>VLOOKUP(A216,[1]INDICE!$A$4:$G$1000,6,0)</f>
        <v>0</v>
      </c>
      <c r="G216" s="122">
        <f>VLOOKUP(A216,[1]INDICE!$A$4:$G$1000,7,0)</f>
        <v>75.527532000000008</v>
      </c>
      <c r="H216" s="116" t="b">
        <f>A216=[2]INDFILTRO!A216</f>
        <v>0</v>
      </c>
      <c r="I216" s="113" t="b">
        <f>B216=[3]INDFILTRO!B215</f>
        <v>0</v>
      </c>
      <c r="J216" s="113" t="b">
        <f>E216=[2]INDFILTRO!E216</f>
        <v>0</v>
      </c>
      <c r="K216" s="113" t="b">
        <f>F216=[2]INDFILTRO!F216</f>
        <v>1</v>
      </c>
      <c r="L216" s="116" t="str">
        <f t="shared" si="10"/>
        <v>verdadeiro</v>
      </c>
      <c r="M216" s="124">
        <f t="shared" si="11"/>
        <v>541</v>
      </c>
      <c r="R216" s="253" t="b">
        <f t="shared" si="9"/>
        <v>1</v>
      </c>
      <c r="S216" s="253"/>
      <c r="T216" s="253"/>
    </row>
    <row r="217" spans="1:20" s="113" customFormat="1" ht="11.25">
      <c r="A217" s="121">
        <v>542</v>
      </c>
      <c r="B217" s="122" t="str">
        <f>VLOOKUP(A217,[1]INDICE!$A$4:$G$1000,2,0)</f>
        <v>SUPORTE ISOLADOR SIMPLES PARA BEIRAL</v>
      </c>
      <c r="C217" s="160" t="str">
        <f>VLOOKUP(A217,[1]INDICE!$A$4:$G$1000,3,0)</f>
        <v>UN</v>
      </c>
      <c r="D217" s="122">
        <f>VLOOKUP(A217,[1]INDICE!$A$4:$G$1000,4,0)</f>
        <v>13.520499999999998</v>
      </c>
      <c r="E217" s="122">
        <f>VLOOKUP(A217,[1]INDICE!$A$4:$G$1000,5,0)</f>
        <v>52.99</v>
      </c>
      <c r="F217" s="122">
        <f>VLOOKUP(A217,[1]INDICE!$A$4:$G$1000,6,0)</f>
        <v>0</v>
      </c>
      <c r="G217" s="122">
        <f>VLOOKUP(A217,[1]INDICE!$A$4:$G$1000,7,0)</f>
        <v>66.510500000000008</v>
      </c>
      <c r="H217" s="116" t="b">
        <f>A217=[2]INDFILTRO!A217</f>
        <v>0</v>
      </c>
      <c r="I217" s="113" t="b">
        <f>B217=[3]INDFILTRO!B216</f>
        <v>0</v>
      </c>
      <c r="J217" s="113" t="b">
        <f>E217=[2]INDFILTRO!E217</f>
        <v>0</v>
      </c>
      <c r="K217" s="113" t="b">
        <f>F217=[2]INDFILTRO!F217</f>
        <v>1</v>
      </c>
      <c r="L217" s="116" t="str">
        <f t="shared" si="10"/>
        <v>verdadeiro</v>
      </c>
      <c r="M217" s="124">
        <f t="shared" si="11"/>
        <v>542</v>
      </c>
      <c r="R217" s="253" t="b">
        <f t="shared" si="9"/>
        <v>1</v>
      </c>
      <c r="S217" s="253"/>
      <c r="T217" s="253"/>
    </row>
    <row r="218" spans="1:20" s="113" customFormat="1" ht="11.25">
      <c r="A218" s="121">
        <v>543</v>
      </c>
      <c r="B218" s="122" t="str">
        <f>VLOOKUP(A218,[1]INDICE!$A$4:$G$1000,2,0)</f>
        <v>TERMINAL AÉREO 5/8" X 350MM</v>
      </c>
      <c r="C218" s="160" t="str">
        <f>VLOOKUP(A218,[1]INDICE!$A$4:$G$1000,3,0)</f>
        <v>UN</v>
      </c>
      <c r="D218" s="122">
        <f>VLOOKUP(A218,[1]INDICE!$A$4:$G$1000,4,0)</f>
        <v>13.520499999999998</v>
      </c>
      <c r="E218" s="122">
        <f>VLOOKUP(A218,[1]INDICE!$A$4:$G$1000,5,0)</f>
        <v>9.27</v>
      </c>
      <c r="F218" s="122">
        <f>VLOOKUP(A218,[1]INDICE!$A$4:$G$1000,6,0)</f>
        <v>0</v>
      </c>
      <c r="G218" s="122">
        <f>VLOOKUP(A218,[1]INDICE!$A$4:$G$1000,7,0)</f>
        <v>22.790499999999998</v>
      </c>
      <c r="H218" s="116" t="b">
        <f>A218=[2]INDFILTRO!A218</f>
        <v>0</v>
      </c>
      <c r="I218" s="113" t="b">
        <f>B218=[3]INDFILTRO!B217</f>
        <v>0</v>
      </c>
      <c r="J218" s="113" t="b">
        <f>E218=[2]INDFILTRO!E218</f>
        <v>0</v>
      </c>
      <c r="K218" s="113" t="b">
        <f>F218=[2]INDFILTRO!F218</f>
        <v>1</v>
      </c>
      <c r="L218" s="116" t="str">
        <f t="shared" si="10"/>
        <v>verdadeiro</v>
      </c>
      <c r="M218" s="124">
        <f t="shared" si="11"/>
        <v>543</v>
      </c>
      <c r="R218" s="253" t="b">
        <f t="shared" si="9"/>
        <v>1</v>
      </c>
      <c r="S218" s="253"/>
      <c r="T218" s="253"/>
    </row>
    <row r="219" spans="1:20" s="113" customFormat="1" ht="11.25">
      <c r="A219" s="121">
        <v>544</v>
      </c>
      <c r="B219" s="122" t="str">
        <f>VLOOKUP(A219,[1]INDICE!$A$4:$G$1000,2,0)</f>
        <v>MASTRO TELESCÓPICO 5M (4M X ∅ 2" + 1M X ∅ 1.1/2")</v>
      </c>
      <c r="C219" s="160" t="str">
        <f>VLOOKUP(A219,[1]INDICE!$A$4:$G$1000,3,0)</f>
        <v>UN</v>
      </c>
      <c r="D219" s="122">
        <f>VLOOKUP(A219,[1]INDICE!$A$4:$G$1000,4,0)</f>
        <v>21.645972999999998</v>
      </c>
      <c r="E219" s="122">
        <f>VLOOKUP(A219,[1]INDICE!$A$4:$G$1000,5,0)</f>
        <v>399.61157259999999</v>
      </c>
      <c r="F219" s="122">
        <f>VLOOKUP(A219,[1]INDICE!$A$4:$G$1000,6,0)</f>
        <v>0</v>
      </c>
      <c r="G219" s="122">
        <f>VLOOKUP(A219,[1]INDICE!$A$4:$G$1000,7,0)</f>
        <v>421.25754559999996</v>
      </c>
      <c r="H219" s="116" t="b">
        <f>A219=[2]INDFILTRO!A219</f>
        <v>0</v>
      </c>
      <c r="I219" s="113" t="b">
        <f>B219=[3]INDFILTRO!B218</f>
        <v>0</v>
      </c>
      <c r="J219" s="113" t="b">
        <f>E219=[2]INDFILTRO!E219</f>
        <v>0</v>
      </c>
      <c r="K219" s="113" t="b">
        <f>F219=[2]INDFILTRO!F219</f>
        <v>1</v>
      </c>
      <c r="L219" s="116" t="str">
        <f t="shared" si="10"/>
        <v>verdadeiro</v>
      </c>
      <c r="M219" s="124">
        <f t="shared" si="11"/>
        <v>544</v>
      </c>
      <c r="R219" s="253" t="b">
        <f t="shared" si="9"/>
        <v>1</v>
      </c>
      <c r="S219" s="253"/>
      <c r="T219" s="253"/>
    </row>
    <row r="220" spans="1:20" s="113" customFormat="1" ht="11.25">
      <c r="A220" s="121">
        <v>546</v>
      </c>
      <c r="B220" s="122" t="str">
        <f>VLOOKUP(A220,[1]INDICE!$A$4:$G$1000,2,0)</f>
        <v>FITA DE IDENTIFICAÇÃO</v>
      </c>
      <c r="C220" s="160" t="str">
        <f>VLOOKUP(A220,[1]INDICE!$A$4:$G$1000,3,0)</f>
        <v>UN</v>
      </c>
      <c r="D220" s="122">
        <f>VLOOKUP(A220,[1]INDICE!$A$4:$G$1000,4,0)</f>
        <v>0.77259999999999995</v>
      </c>
      <c r="E220" s="122">
        <f>VLOOKUP(A220,[1]INDICE!$A$4:$G$1000,5,0)</f>
        <v>0.56120000000000003</v>
      </c>
      <c r="F220" s="122">
        <f>VLOOKUP(A220,[1]INDICE!$A$4:$G$1000,6,0)</f>
        <v>0</v>
      </c>
      <c r="G220" s="122">
        <f>VLOOKUP(A220,[1]INDICE!$A$4:$G$1000,7,0)</f>
        <v>1.3338000000000001</v>
      </c>
      <c r="H220" s="116" t="b">
        <f>A220=[2]INDFILTRO!A220</f>
        <v>0</v>
      </c>
      <c r="I220" s="113" t="b">
        <f>B220=[3]INDFILTRO!B219</f>
        <v>0</v>
      </c>
      <c r="J220" s="113" t="b">
        <f>E220=[2]INDFILTRO!E220</f>
        <v>0</v>
      </c>
      <c r="K220" s="113" t="b">
        <f>F220=[2]INDFILTRO!F220</f>
        <v>1</v>
      </c>
      <c r="L220" s="116" t="str">
        <f t="shared" si="10"/>
        <v>verdadeiro</v>
      </c>
      <c r="M220" s="124">
        <f t="shared" si="11"/>
        <v>546</v>
      </c>
      <c r="R220" s="253" t="b">
        <f t="shared" si="9"/>
        <v>1</v>
      </c>
      <c r="S220" s="253"/>
      <c r="T220" s="253"/>
    </row>
    <row r="221" spans="1:20" s="113" customFormat="1" ht="22.5">
      <c r="A221" s="121">
        <v>547</v>
      </c>
      <c r="B221" s="122" t="str">
        <f>VLOOKUP(A221,[1]INDICE!$A$4:$G$1000,2,0)</f>
        <v>RODAPÉ BASE 129 X 44 X 2000 MM R-130 DA MOPA OU EQUIVALENTE DE MESMO PADRÃO DE QUALIDADE</v>
      </c>
      <c r="C221" s="160" t="str">
        <f>VLOOKUP(A221,[1]INDICE!$A$4:$G$1000,3,0)</f>
        <v>UN</v>
      </c>
      <c r="D221" s="122">
        <f>VLOOKUP(A221,[1]INDICE!$A$4:$G$1000,4,0)</f>
        <v>7.726</v>
      </c>
      <c r="E221" s="122">
        <f>VLOOKUP(A221,[1]INDICE!$A$4:$G$1000,5,0)</f>
        <v>90.01</v>
      </c>
      <c r="F221" s="122">
        <f>VLOOKUP(A221,[1]INDICE!$A$4:$G$1000,6,0)</f>
        <v>0</v>
      </c>
      <c r="G221" s="122">
        <f>VLOOKUP(A221,[1]INDICE!$A$4:$G$1000,7,0)</f>
        <v>97.736000000000004</v>
      </c>
      <c r="H221" s="116" t="b">
        <f>A221=[2]INDFILTRO!A221</f>
        <v>0</v>
      </c>
      <c r="I221" s="113" t="b">
        <f>B221=[3]INDFILTRO!B220</f>
        <v>0</v>
      </c>
      <c r="J221" s="113" t="b">
        <f>E221=[2]INDFILTRO!E221</f>
        <v>0</v>
      </c>
      <c r="K221" s="113" t="b">
        <f>F221=[2]INDFILTRO!F221</f>
        <v>1</v>
      </c>
      <c r="L221" s="116" t="str">
        <f t="shared" si="10"/>
        <v>verdadeiro</v>
      </c>
      <c r="M221" s="124">
        <f t="shared" si="11"/>
        <v>547</v>
      </c>
      <c r="R221" s="253" t="b">
        <f t="shared" si="9"/>
        <v>1</v>
      </c>
      <c r="S221" s="253"/>
      <c r="T221" s="253"/>
    </row>
    <row r="222" spans="1:20" s="113" customFormat="1" ht="11.25">
      <c r="A222" s="121">
        <v>548</v>
      </c>
      <c r="B222" s="122" t="str">
        <f>VLOOKUP(A222,[1]INDICE!$A$4:$G$1000,2,0)</f>
        <v>TOMADA LÓGICA RJ-45 CAT. 6 (LINHA X OU EQUIVALENTE) - 01 UN</v>
      </c>
      <c r="C222" s="160" t="str">
        <f>VLOOKUP(A222,[1]INDICE!$A$4:$G$1000,3,0)</f>
        <v>UN</v>
      </c>
      <c r="D222" s="122">
        <f>VLOOKUP(A222,[1]INDICE!$A$4:$G$1000,4,0)</f>
        <v>14.293099999999999</v>
      </c>
      <c r="E222" s="122">
        <f>VLOOKUP(A222,[1]INDICE!$A$4:$G$1000,5,0)</f>
        <v>12.69</v>
      </c>
      <c r="F222" s="122">
        <f>VLOOKUP(A222,[1]INDICE!$A$4:$G$1000,6,0)</f>
        <v>0</v>
      </c>
      <c r="G222" s="122">
        <f>VLOOKUP(A222,[1]INDICE!$A$4:$G$1000,7,0)</f>
        <v>26.9831</v>
      </c>
      <c r="H222" s="116" t="b">
        <f>A222=[2]INDFILTRO!A222</f>
        <v>0</v>
      </c>
      <c r="I222" s="113" t="b">
        <f>B222=[3]INDFILTRO!B221</f>
        <v>0</v>
      </c>
      <c r="J222" s="113" t="b">
        <f>E222=[2]INDFILTRO!E222</f>
        <v>0</v>
      </c>
      <c r="K222" s="113" t="b">
        <f>F222=[2]INDFILTRO!F222</f>
        <v>1</v>
      </c>
      <c r="L222" s="116" t="str">
        <f t="shared" si="10"/>
        <v>verdadeiro</v>
      </c>
      <c r="M222" s="124">
        <f t="shared" si="11"/>
        <v>548</v>
      </c>
      <c r="R222" s="253" t="b">
        <f t="shared" si="9"/>
        <v>1</v>
      </c>
      <c r="S222" s="253"/>
      <c r="T222" s="253"/>
    </row>
    <row r="223" spans="1:20" s="113" customFormat="1" ht="22.5">
      <c r="A223" s="121">
        <v>549</v>
      </c>
      <c r="B223" s="122" t="str">
        <f>VLOOKUP(A223,[1]INDICE!$A$4:$G$1000,2,0)</f>
        <v>SUPORTE DE TOMADA TELEFÔNICA TIPO RJ-45 2 POSIÇÕES 14,7x19,3mm - R-130 DA MOPA ou equivalente de mesmo padrão de qualidade</v>
      </c>
      <c r="C223" s="160" t="str">
        <f>VLOOKUP(A223,[1]INDICE!$A$4:$G$1000,3,0)</f>
        <v>UN</v>
      </c>
      <c r="D223" s="122">
        <f>VLOOKUP(A223,[1]INDICE!$A$4:$G$1000,4,0)</f>
        <v>3.863</v>
      </c>
      <c r="E223" s="122">
        <f>VLOOKUP(A223,[1]INDICE!$A$4:$G$1000,5,0)</f>
        <v>32.56</v>
      </c>
      <c r="F223" s="122">
        <f>VLOOKUP(A223,[1]INDICE!$A$4:$G$1000,6,0)</f>
        <v>0</v>
      </c>
      <c r="G223" s="122">
        <f>VLOOKUP(A223,[1]INDICE!$A$4:$G$1000,7,0)</f>
        <v>36.423000000000002</v>
      </c>
      <c r="H223" s="116" t="b">
        <f>A223=[2]INDFILTRO!A223</f>
        <v>0</v>
      </c>
      <c r="I223" s="113" t="b">
        <f>B223=[3]INDFILTRO!B222</f>
        <v>0</v>
      </c>
      <c r="J223" s="113" t="b">
        <f>E223=[2]INDFILTRO!E223</f>
        <v>0</v>
      </c>
      <c r="K223" s="113" t="b">
        <f>F223=[2]INDFILTRO!F223</f>
        <v>1</v>
      </c>
      <c r="L223" s="116" t="str">
        <f t="shared" si="10"/>
        <v>verdadeiro</v>
      </c>
      <c r="M223" s="124">
        <f t="shared" si="11"/>
        <v>549</v>
      </c>
      <c r="R223" s="253" t="b">
        <f t="shared" si="9"/>
        <v>1</v>
      </c>
      <c r="S223" s="253"/>
      <c r="T223" s="253"/>
    </row>
    <row r="224" spans="1:20" s="113" customFormat="1" ht="33.75">
      <c r="A224" s="121">
        <v>550</v>
      </c>
      <c r="B224" s="122" t="str">
        <f>VLOOKUP(A224,[1]INDICE!$A$4:$G$1000,2,0)</f>
        <v>RACK METÁLICO, DE PISO, PARA 32Urs, ESTRUTURA SOLDADA, COM 4 COLUNAS, TETO E BASE EM CHAPA DE AÇO, PINTURA ELETROSTÁTICA,FECHAMENTOS REMOVÍVEIS COM FECHO RÁPIDO, PORTA DE AÇO/ACRÍLICO FUMÊ, FECHO TIPO CREMONA, LATERAIS COM ALETAS DE VENTILAÇÃO.</v>
      </c>
      <c r="C224" s="160" t="str">
        <f>VLOOKUP(A224,[1]INDICE!$A$4:$G$1000,3,0)</f>
        <v>UN</v>
      </c>
      <c r="D224" s="122">
        <f>VLOOKUP(A224,[1]INDICE!$A$4:$G$1000,4,0)</f>
        <v>77.259999999999991</v>
      </c>
      <c r="E224" s="122">
        <f>VLOOKUP(A224,[1]INDICE!$A$4:$G$1000,5,0)</f>
        <v>3407.4533333333329</v>
      </c>
      <c r="F224" s="122">
        <f>VLOOKUP(A224,[1]INDICE!$A$4:$G$1000,6,0)</f>
        <v>0</v>
      </c>
      <c r="G224" s="122">
        <f>VLOOKUP(A224,[1]INDICE!$A$4:$G$1000,7,0)</f>
        <v>3484.7133333333331</v>
      </c>
      <c r="H224" s="116" t="b">
        <f>A224=[2]INDFILTRO!A224</f>
        <v>0</v>
      </c>
      <c r="I224" s="113" t="b">
        <f>B224=[3]INDFILTRO!B223</f>
        <v>0</v>
      </c>
      <c r="J224" s="113" t="b">
        <f>E224=[2]INDFILTRO!E224</f>
        <v>0</v>
      </c>
      <c r="K224" s="113" t="b">
        <f>F224=[2]INDFILTRO!F224</f>
        <v>1</v>
      </c>
      <c r="L224" s="116" t="str">
        <f t="shared" si="10"/>
        <v>verdadeiro</v>
      </c>
      <c r="M224" s="124">
        <f t="shared" si="11"/>
        <v>550</v>
      </c>
      <c r="R224" s="253" t="b">
        <f t="shared" si="9"/>
        <v>1</v>
      </c>
      <c r="S224" s="253"/>
      <c r="T224" s="253"/>
    </row>
    <row r="225" spans="1:20" s="113" customFormat="1" ht="11.25">
      <c r="A225" s="121">
        <v>552</v>
      </c>
      <c r="B225" s="122" t="str">
        <f>VLOOKUP(A225,[1]INDICE!$A$4:$G$1000,2,0)</f>
        <v>TAMPA CEGA PARA CONDULETE METÁLICO</v>
      </c>
      <c r="C225" s="160" t="str">
        <f>VLOOKUP(A225,[1]INDICE!$A$4:$G$1000,3,0)</f>
        <v>UN</v>
      </c>
      <c r="D225" s="122">
        <f>VLOOKUP(A225,[1]INDICE!$A$4:$G$1000,4,0)</f>
        <v>1.1589</v>
      </c>
      <c r="E225" s="122">
        <f>VLOOKUP(A225,[1]INDICE!$A$4:$G$1000,5,0)</f>
        <v>2.36</v>
      </c>
      <c r="F225" s="122">
        <f>VLOOKUP(A225,[1]INDICE!$A$4:$G$1000,6,0)</f>
        <v>0</v>
      </c>
      <c r="G225" s="122">
        <f>VLOOKUP(A225,[1]INDICE!$A$4:$G$1000,7,0)</f>
        <v>3.5188999999999999</v>
      </c>
      <c r="H225" s="116" t="b">
        <f>A225=[2]INDFILTRO!A225</f>
        <v>0</v>
      </c>
      <c r="I225" s="113" t="b">
        <f>B225=[3]INDFILTRO!B224</f>
        <v>0</v>
      </c>
      <c r="J225" s="113" t="b">
        <f>E225=[2]INDFILTRO!E225</f>
        <v>0</v>
      </c>
      <c r="K225" s="113" t="b">
        <f>F225=[2]INDFILTRO!F225</f>
        <v>1</v>
      </c>
      <c r="L225" s="116" t="str">
        <f t="shared" si="10"/>
        <v>verdadeiro</v>
      </c>
      <c r="M225" s="124">
        <f t="shared" si="11"/>
        <v>552</v>
      </c>
      <c r="R225" s="253" t="b">
        <f t="shared" si="9"/>
        <v>1</v>
      </c>
      <c r="S225" s="253"/>
      <c r="T225" s="253"/>
    </row>
    <row r="226" spans="1:20" s="113" customFormat="1" ht="11.25">
      <c r="A226" s="121">
        <v>553</v>
      </c>
      <c r="B226" s="122" t="str">
        <f>VLOOKUP(A226,[1]INDICE!$A$4:$G$1000,2,0)</f>
        <v>ADEQUAÇÃO DE VÃO EXISTENTE COM 80CM PARA PORTAS DE MADEIRA COM LARGURA DE 110CM</v>
      </c>
      <c r="C226" s="160" t="str">
        <f>VLOOKUP(A226,[1]INDICE!$A$4:$G$1000,3,0)</f>
        <v>UN</v>
      </c>
      <c r="D226" s="122">
        <f>VLOOKUP(A226,[1]INDICE!$A$4:$G$1000,4,0)</f>
        <v>58.154116999999999</v>
      </c>
      <c r="E226" s="122">
        <f>VLOOKUP(A226,[1]INDICE!$A$4:$G$1000,5,0)</f>
        <v>38.364512999999995</v>
      </c>
      <c r="F226" s="122">
        <f>VLOOKUP(A226,[1]INDICE!$A$4:$G$1000,6,0)</f>
        <v>0</v>
      </c>
      <c r="G226" s="122">
        <f>VLOOKUP(A226,[1]INDICE!$A$4:$G$1000,7,0)</f>
        <v>96.518630000000002</v>
      </c>
      <c r="H226" s="116" t="b">
        <f>A226=[2]INDFILTRO!A226</f>
        <v>0</v>
      </c>
      <c r="I226" s="113" t="b">
        <f>B226=[3]INDFILTRO!B225</f>
        <v>0</v>
      </c>
      <c r="J226" s="113" t="b">
        <f>E226=[2]INDFILTRO!E226</f>
        <v>0</v>
      </c>
      <c r="K226" s="113" t="b">
        <f>F226=[2]INDFILTRO!F226</f>
        <v>1</v>
      </c>
      <c r="L226" s="116" t="str">
        <f t="shared" si="10"/>
        <v>verdadeiro</v>
      </c>
      <c r="M226" s="124">
        <f t="shared" si="11"/>
        <v>553</v>
      </c>
      <c r="R226" s="253" t="b">
        <f t="shared" si="9"/>
        <v>1</v>
      </c>
      <c r="S226" s="253"/>
      <c r="T226" s="253"/>
    </row>
    <row r="227" spans="1:20" s="113" customFormat="1" ht="11.25">
      <c r="A227" s="121">
        <v>554</v>
      </c>
      <c r="B227" s="122" t="str">
        <f>VLOOKUP(A227,[1]INDICE!$A$4:$G$1000,2,0)</f>
        <v>DIVISOR EM "L" 2000 mm R-130 DA MOPA ou equivalente de mesmo padrão de qualidade</v>
      </c>
      <c r="C227" s="160" t="str">
        <f>VLOOKUP(A227,[1]INDICE!$A$4:$G$1000,3,0)</f>
        <v>M</v>
      </c>
      <c r="D227" s="122">
        <f>VLOOKUP(A227,[1]INDICE!$A$4:$G$1000,4,0)</f>
        <v>6.1807999999999996</v>
      </c>
      <c r="E227" s="122">
        <f>VLOOKUP(A227,[1]INDICE!$A$4:$G$1000,5,0)</f>
        <v>15.305</v>
      </c>
      <c r="F227" s="122">
        <f>VLOOKUP(A227,[1]INDICE!$A$4:$G$1000,6,0)</f>
        <v>0</v>
      </c>
      <c r="G227" s="122">
        <f>VLOOKUP(A227,[1]INDICE!$A$4:$G$1000,7,0)</f>
        <v>21.485799999999998</v>
      </c>
      <c r="H227" s="116" t="b">
        <f>A227=[2]INDFILTRO!A227</f>
        <v>0</v>
      </c>
      <c r="I227" s="113" t="b">
        <f>B227=[3]INDFILTRO!B226</f>
        <v>0</v>
      </c>
      <c r="J227" s="113" t="b">
        <f>E227=[2]INDFILTRO!E227</f>
        <v>0</v>
      </c>
      <c r="K227" s="113" t="b">
        <f>F227=[2]INDFILTRO!F227</f>
        <v>1</v>
      </c>
      <c r="L227" s="116" t="str">
        <f t="shared" si="10"/>
        <v>verdadeiro</v>
      </c>
      <c r="M227" s="124">
        <f t="shared" si="11"/>
        <v>554</v>
      </c>
      <c r="R227" s="253" t="b">
        <f t="shared" si="9"/>
        <v>1</v>
      </c>
      <c r="S227" s="253"/>
      <c r="T227" s="253"/>
    </row>
    <row r="228" spans="1:20" s="113" customFormat="1" ht="11.25">
      <c r="A228" s="121">
        <v>555</v>
      </c>
      <c r="B228" s="122" t="str">
        <f>VLOOKUP(A228,[1]INDICE!$A$4:$G$1000,2,0)</f>
        <v>GRADE PROTEÇÃO TIPO TIJOLINHO PARA PORTA</v>
      </c>
      <c r="C228" s="160" t="str">
        <f>VLOOKUP(A228,[1]INDICE!$A$4:$G$1000,3,0)</f>
        <v>UN</v>
      </c>
      <c r="D228" s="122">
        <f>VLOOKUP(A228,[1]INDICE!$A$4:$G$1000,4,0)</f>
        <v>78.058727000000005</v>
      </c>
      <c r="E228" s="122">
        <f>VLOOKUP(A228,[1]INDICE!$A$4:$G$1000,5,0)</f>
        <v>86.302238000000017</v>
      </c>
      <c r="F228" s="122">
        <f>VLOOKUP(A228,[1]INDICE!$A$4:$G$1000,6,0)</f>
        <v>0</v>
      </c>
      <c r="G228" s="122">
        <f>VLOOKUP(A228,[1]INDICE!$A$4:$G$1000,7,0)</f>
        <v>164.36096500000002</v>
      </c>
      <c r="H228" s="116" t="b">
        <f>A228=[2]INDFILTRO!A228</f>
        <v>0</v>
      </c>
      <c r="I228" s="113" t="b">
        <f>B228=[3]INDFILTRO!B227</f>
        <v>0</v>
      </c>
      <c r="J228" s="113" t="b">
        <f>E228=[2]INDFILTRO!E228</f>
        <v>0</v>
      </c>
      <c r="K228" s="113" t="b">
        <f>F228=[2]INDFILTRO!F228</f>
        <v>1</v>
      </c>
      <c r="L228" s="116" t="str">
        <f t="shared" si="10"/>
        <v>verdadeiro</v>
      </c>
      <c r="M228" s="124">
        <f t="shared" si="11"/>
        <v>555</v>
      </c>
      <c r="R228" s="253" t="b">
        <f t="shared" si="9"/>
        <v>1</v>
      </c>
      <c r="S228" s="253"/>
      <c r="T228" s="253"/>
    </row>
    <row r="229" spans="1:20" s="113" customFormat="1" ht="11.25">
      <c r="A229" s="121">
        <v>556</v>
      </c>
      <c r="B229" s="122" t="str">
        <f>VLOOKUP(A229,[1]INDICE!$A$4:$G$1000,2,0)</f>
        <v>CANALETA DE CONCRETO SEM GRELHA</v>
      </c>
      <c r="C229" s="160" t="str">
        <f>VLOOKUP(A229,[1]INDICE!$A$4:$G$1000,3,0)</f>
        <v>M</v>
      </c>
      <c r="D229" s="122">
        <f>VLOOKUP(A229,[1]INDICE!$A$4:$G$1000,4,0)</f>
        <v>197.67820800000004</v>
      </c>
      <c r="E229" s="122">
        <f>VLOOKUP(A229,[1]INDICE!$A$4:$G$1000,5,0)</f>
        <v>179.99077359999998</v>
      </c>
      <c r="F229" s="122">
        <f>VLOOKUP(A229,[1]INDICE!$A$4:$G$1000,6,0)</f>
        <v>0</v>
      </c>
      <c r="G229" s="122">
        <f>VLOOKUP(A229,[1]INDICE!$A$4:$G$1000,7,0)</f>
        <v>377.66898160000005</v>
      </c>
      <c r="H229" s="116" t="b">
        <f>A229=[2]INDFILTRO!A229</f>
        <v>0</v>
      </c>
      <c r="I229" s="113" t="b">
        <f>B229=[3]INDFILTRO!B228</f>
        <v>0</v>
      </c>
      <c r="J229" s="113" t="b">
        <f>E229=[2]INDFILTRO!E229</f>
        <v>0</v>
      </c>
      <c r="K229" s="113" t="b">
        <f>F229=[2]INDFILTRO!F229</f>
        <v>1</v>
      </c>
      <c r="L229" s="116" t="str">
        <f t="shared" si="10"/>
        <v>verdadeiro</v>
      </c>
      <c r="M229" s="124">
        <f t="shared" si="11"/>
        <v>556</v>
      </c>
      <c r="R229" s="253" t="b">
        <f t="shared" si="9"/>
        <v>1</v>
      </c>
      <c r="S229" s="253"/>
      <c r="T229" s="253"/>
    </row>
    <row r="230" spans="1:20" s="113" customFormat="1" ht="11.25">
      <c r="A230" s="121">
        <v>557</v>
      </c>
      <c r="B230" s="122" t="str">
        <f>VLOOKUP(A230,[1]INDICE!$A$4:$G$1000,2,0)</f>
        <v>CANALETA DE CONCRETO COM GRELHA DE CONCRETO</v>
      </c>
      <c r="C230" s="160" t="str">
        <f>VLOOKUP(A230,[1]INDICE!$A$4:$G$1000,3,0)</f>
        <v>M</v>
      </c>
      <c r="D230" s="122">
        <f>VLOOKUP(A230,[1]INDICE!$A$4:$G$1000,4,0)</f>
        <v>222.58093199999999</v>
      </c>
      <c r="E230" s="122">
        <f>VLOOKUP(A230,[1]INDICE!$A$4:$G$1000,5,0)</f>
        <v>200.40692099999998</v>
      </c>
      <c r="F230" s="122">
        <f>VLOOKUP(A230,[1]INDICE!$A$4:$G$1000,6,0)</f>
        <v>0</v>
      </c>
      <c r="G230" s="122">
        <f>VLOOKUP(A230,[1]INDICE!$A$4:$G$1000,7,0)</f>
        <v>422.98785299999997</v>
      </c>
      <c r="H230" s="116" t="b">
        <f>A230=[2]INDFILTRO!A230</f>
        <v>0</v>
      </c>
      <c r="I230" s="113" t="b">
        <f>B230=[3]INDFILTRO!B229</f>
        <v>0</v>
      </c>
      <c r="J230" s="113" t="b">
        <f>E230=[2]INDFILTRO!E230</f>
        <v>0</v>
      </c>
      <c r="K230" s="113" t="b">
        <f>F230=[2]INDFILTRO!F230</f>
        <v>1</v>
      </c>
      <c r="L230" s="116" t="str">
        <f t="shared" si="10"/>
        <v>verdadeiro</v>
      </c>
      <c r="M230" s="124">
        <f t="shared" si="11"/>
        <v>557</v>
      </c>
      <c r="R230" s="253" t="b">
        <f t="shared" si="9"/>
        <v>1</v>
      </c>
      <c r="S230" s="253"/>
      <c r="T230" s="253"/>
    </row>
    <row r="231" spans="1:20" s="113" customFormat="1" ht="11.25">
      <c r="A231" s="121">
        <v>558</v>
      </c>
      <c r="B231" s="122" t="str">
        <f>VLOOKUP(A231,[1]INDICE!$A$4:$G$1000,2,0)</f>
        <v>GRELHA METÁLICA PARA POÇO DE INFILTRAÇÃO</v>
      </c>
      <c r="C231" s="160" t="str">
        <f>VLOOKUP(A231,[1]INDICE!$A$4:$G$1000,3,0)</f>
        <v>M</v>
      </c>
      <c r="D231" s="122">
        <f>VLOOKUP(A231,[1]INDICE!$A$4:$G$1000,4,0)</f>
        <v>5.5214999999999996</v>
      </c>
      <c r="E231" s="122">
        <f>VLOOKUP(A231,[1]INDICE!$A$4:$G$1000,5,0)</f>
        <v>80.705725999999999</v>
      </c>
      <c r="F231" s="122">
        <f>VLOOKUP(A231,[1]INDICE!$A$4:$G$1000,6,0)</f>
        <v>0</v>
      </c>
      <c r="G231" s="122">
        <f>VLOOKUP(A231,[1]INDICE!$A$4:$G$1000,7,0)</f>
        <v>86.227226000000002</v>
      </c>
      <c r="H231" s="116" t="b">
        <f>A231=[2]INDFILTRO!A231</f>
        <v>0</v>
      </c>
      <c r="I231" s="113" t="b">
        <f>B231=[3]INDFILTRO!B230</f>
        <v>0</v>
      </c>
      <c r="J231" s="113" t="b">
        <f>E231=[2]INDFILTRO!E231</f>
        <v>0</v>
      </c>
      <c r="K231" s="113" t="b">
        <f>F231=[2]INDFILTRO!F231</f>
        <v>1</v>
      </c>
      <c r="L231" s="116" t="str">
        <f t="shared" si="10"/>
        <v>verdadeiro</v>
      </c>
      <c r="M231" s="124">
        <f t="shared" si="11"/>
        <v>558</v>
      </c>
      <c r="R231" s="253" t="b">
        <f t="shared" si="9"/>
        <v>1</v>
      </c>
      <c r="S231" s="253"/>
      <c r="T231" s="253"/>
    </row>
    <row r="232" spans="1:20" s="113" customFormat="1" ht="11.25">
      <c r="A232" s="121">
        <v>559</v>
      </c>
      <c r="B232" s="122" t="str">
        <f>VLOOKUP(A232,[1]INDICE!$A$4:$G$1000,2,0)</f>
        <v>PINTURA DE LOGOTIPO GOINFRA EM RESERVATÓRIO METÁLICO</v>
      </c>
      <c r="C232" s="160" t="str">
        <f>VLOOKUP(A232,[1]INDICE!$A$4:$G$1000,3,0)</f>
        <v>UN</v>
      </c>
      <c r="D232" s="122">
        <f>VLOOKUP(A232,[1]INDICE!$A$4:$G$1000,4,0)</f>
        <v>655.33666960000005</v>
      </c>
      <c r="E232" s="122">
        <f>VLOOKUP(A232,[1]INDICE!$A$4:$G$1000,5,0)</f>
        <v>108.89622159999999</v>
      </c>
      <c r="F232" s="122">
        <f>VLOOKUP(A232,[1]INDICE!$A$4:$G$1000,6,0)</f>
        <v>0</v>
      </c>
      <c r="G232" s="122">
        <f>VLOOKUP(A232,[1]INDICE!$A$4:$G$1000,7,0)</f>
        <v>764.23289120000004</v>
      </c>
      <c r="H232" s="116" t="b">
        <f>A232=[2]INDFILTRO!A232</f>
        <v>0</v>
      </c>
      <c r="I232" s="113" t="b">
        <f>B232=[3]INDFILTRO!B231</f>
        <v>0</v>
      </c>
      <c r="J232" s="113" t="b">
        <f>E232=[2]INDFILTRO!E232</f>
        <v>0</v>
      </c>
      <c r="K232" s="113" t="b">
        <f>F232=[2]INDFILTRO!F232</f>
        <v>1</v>
      </c>
      <c r="L232" s="116" t="str">
        <f t="shared" si="10"/>
        <v>verdadeiro</v>
      </c>
      <c r="M232" s="124">
        <f t="shared" si="11"/>
        <v>559</v>
      </c>
      <c r="R232" s="253" t="b">
        <f t="shared" si="9"/>
        <v>1</v>
      </c>
      <c r="S232" s="253"/>
      <c r="T232" s="253"/>
    </row>
    <row r="233" spans="1:20" s="113" customFormat="1" ht="11.25">
      <c r="A233" s="121">
        <v>560</v>
      </c>
      <c r="B233" s="122" t="str">
        <f>VLOOKUP(A233,[1]INDICE!$A$4:$G$1000,2,0)</f>
        <v>ESCAVAÇÃO E CARGA DE MATERIAL 1ª CATEGORIA (PAV. URB)</v>
      </c>
      <c r="C233" s="160" t="str">
        <f>VLOOKUP(A233,[1]INDICE!$A$4:$G$1000,3,0)</f>
        <v>M3</v>
      </c>
      <c r="D233" s="122">
        <f>VLOOKUP(A233,[1]INDICE!$A$4:$G$1000,4,0)</f>
        <v>0.42203258339798294</v>
      </c>
      <c r="E233" s="122">
        <f>VLOOKUP(A233,[1]INDICE!$A$4:$G$1000,5,0)</f>
        <v>0</v>
      </c>
      <c r="F233" s="122">
        <f>VLOOKUP(A233,[1]INDICE!$A$4:$G$1000,6,0)</f>
        <v>1.6559089733643653</v>
      </c>
      <c r="G233" s="122">
        <f>VLOOKUP(A233,[1]INDICE!$A$4:$G$1000,7,0)</f>
        <v>2.0779415567623483</v>
      </c>
      <c r="H233" s="116" t="b">
        <f>A233=[2]INDFILTRO!A233</f>
        <v>0</v>
      </c>
      <c r="I233" s="113" t="b">
        <f>B233=[3]INDFILTRO!B232</f>
        <v>0</v>
      </c>
      <c r="J233" s="113" t="b">
        <f>E233=[2]INDFILTRO!E233</f>
        <v>0</v>
      </c>
      <c r="K233" s="113" t="b">
        <f>F233=[2]INDFILTRO!F233</f>
        <v>0</v>
      </c>
      <c r="L233" s="116" t="str">
        <f t="shared" si="10"/>
        <v>verdadeiro</v>
      </c>
      <c r="M233" s="124">
        <f t="shared" si="11"/>
        <v>560</v>
      </c>
      <c r="R233" s="253" t="b">
        <f t="shared" si="9"/>
        <v>1</v>
      </c>
      <c r="S233" s="253"/>
      <c r="T233" s="253"/>
    </row>
    <row r="234" spans="1:20" s="113" customFormat="1" ht="11.25">
      <c r="A234" s="121">
        <v>561</v>
      </c>
      <c r="B234" s="122" t="str">
        <f>VLOOKUP(A234,[1]INDICE!$A$4:$G$1000,2,0)</f>
        <v>TRANSPORTE DE MAT. DE 1º CAT.-À CAMINHÃO (PAV.URB.)</v>
      </c>
      <c r="C234" s="160" t="str">
        <f>VLOOKUP(A234,[1]INDICE!$A$4:$G$1000,3,0)</f>
        <v>M3KM</v>
      </c>
      <c r="D234" s="122">
        <f>VLOOKUP(A234,[1]INDICE!$A$4:$G$1000,4,0)</f>
        <v>0</v>
      </c>
      <c r="E234" s="122">
        <f>VLOOKUP(A234,[1]INDICE!$A$4:$G$1000,5,0)</f>
        <v>0</v>
      </c>
      <c r="F234" s="122">
        <f>VLOOKUP(A234,[1]INDICE!$A$4:$G$1000,6,0)</f>
        <v>1.4094687387061799</v>
      </c>
      <c r="G234" s="122">
        <f>VLOOKUP(A234,[1]INDICE!$A$4:$G$1000,7,0)</f>
        <v>1.4094687387061799</v>
      </c>
      <c r="H234" s="116" t="b">
        <f>A234=[2]INDFILTRO!A234</f>
        <v>0</v>
      </c>
      <c r="I234" s="113" t="b">
        <f>B234=[3]INDFILTRO!B233</f>
        <v>0</v>
      </c>
      <c r="J234" s="113" t="b">
        <f>E234=[2]INDFILTRO!E234</f>
        <v>0</v>
      </c>
      <c r="K234" s="113" t="b">
        <f>F234=[2]INDFILTRO!F234</f>
        <v>0</v>
      </c>
      <c r="L234" s="116" t="str">
        <f t="shared" si="10"/>
        <v>verdadeiro</v>
      </c>
      <c r="M234" s="124">
        <f t="shared" si="11"/>
        <v>561</v>
      </c>
      <c r="R234" s="253" t="b">
        <f t="shared" si="9"/>
        <v>1</v>
      </c>
      <c r="S234" s="253"/>
      <c r="T234" s="253"/>
    </row>
    <row r="235" spans="1:20" s="113" customFormat="1" ht="11.25">
      <c r="A235" s="121">
        <v>562</v>
      </c>
      <c r="B235" s="122" t="str">
        <f>VLOOKUP(A235,[1]INDICE!$A$4:$G$1000,2,0)</f>
        <v>COMPACTAÇÃO A 100% DO PROCTOR NORMAL</v>
      </c>
      <c r="C235" s="160" t="str">
        <f>VLOOKUP(A235,[1]INDICE!$A$4:$G$1000,3,0)</f>
        <v>M3</v>
      </c>
      <c r="D235" s="122">
        <f>VLOOKUP(A235,[1]INDICE!$A$4:$G$1000,4,0)</f>
        <v>0.3874031346501195</v>
      </c>
      <c r="E235" s="122">
        <f>VLOOKUP(A235,[1]INDICE!$A$4:$G$1000,5,0)</f>
        <v>0</v>
      </c>
      <c r="F235" s="122">
        <f>VLOOKUP(A235,[1]INDICE!$A$4:$G$1000,6,0)</f>
        <v>2.620127017421197</v>
      </c>
      <c r="G235" s="122">
        <f>VLOOKUP(A235,[1]INDICE!$A$4:$G$1000,7,0)</f>
        <v>3.0075301520713165</v>
      </c>
      <c r="H235" s="116" t="b">
        <f>A235=[2]INDFILTRO!A235</f>
        <v>0</v>
      </c>
      <c r="I235" s="113" t="b">
        <f>B235=[3]INDFILTRO!B234</f>
        <v>0</v>
      </c>
      <c r="J235" s="113" t="b">
        <f>E235=[2]INDFILTRO!E235</f>
        <v>0</v>
      </c>
      <c r="K235" s="113" t="b">
        <f>F235=[2]INDFILTRO!F235</f>
        <v>0</v>
      </c>
      <c r="L235" s="116" t="str">
        <f t="shared" si="10"/>
        <v>verdadeiro</v>
      </c>
      <c r="M235" s="124">
        <f t="shared" si="11"/>
        <v>562</v>
      </c>
      <c r="R235" s="253" t="b">
        <f t="shared" si="9"/>
        <v>1</v>
      </c>
      <c r="S235" s="253"/>
      <c r="T235" s="253"/>
    </row>
    <row r="236" spans="1:20" s="113" customFormat="1" ht="11.25">
      <c r="A236" s="121">
        <v>563</v>
      </c>
      <c r="B236" s="122" t="str">
        <f>VLOOKUP(A236,[1]INDICE!$A$4:$G$1000,2,0)</f>
        <v>REGULARIZAÇÃO E COMPACTAÇÃO DO SUB-LEITO (PAV.URB.)</v>
      </c>
      <c r="C236" s="160" t="str">
        <f>VLOOKUP(A236,[1]INDICE!$A$4:$G$1000,3,0)</f>
        <v>M2</v>
      </c>
      <c r="D236" s="122">
        <f>VLOOKUP(A236,[1]INDICE!$A$4:$G$1000,4,0)</f>
        <v>0.23042521994134899</v>
      </c>
      <c r="E236" s="122">
        <f>VLOOKUP(A236,[1]INDICE!$A$4:$G$1000,5,0)</f>
        <v>0</v>
      </c>
      <c r="F236" s="122">
        <f>VLOOKUP(A236,[1]INDICE!$A$4:$G$1000,6,0)</f>
        <v>1.3550360703812316</v>
      </c>
      <c r="G236" s="122">
        <f>VLOOKUP(A236,[1]INDICE!$A$4:$G$1000,7,0)</f>
        <v>1.5854612903225807</v>
      </c>
      <c r="H236" s="116" t="b">
        <f>A236=[2]INDFILTRO!A236</f>
        <v>0</v>
      </c>
      <c r="I236" s="113" t="b">
        <f>B236=[3]INDFILTRO!B235</f>
        <v>0</v>
      </c>
      <c r="J236" s="113" t="b">
        <f>E236=[2]INDFILTRO!E236</f>
        <v>0</v>
      </c>
      <c r="K236" s="113" t="b">
        <f>F236=[2]INDFILTRO!F236</f>
        <v>0</v>
      </c>
      <c r="L236" s="116" t="str">
        <f t="shared" si="10"/>
        <v>verdadeiro</v>
      </c>
      <c r="M236" s="124">
        <f t="shared" si="11"/>
        <v>563</v>
      </c>
      <c r="R236" s="253" t="b">
        <f t="shared" si="9"/>
        <v>1</v>
      </c>
      <c r="S236" s="253"/>
      <c r="T236" s="253"/>
    </row>
    <row r="237" spans="1:20" s="113" customFormat="1" ht="11.25">
      <c r="A237" s="121">
        <v>564</v>
      </c>
      <c r="B237" s="122" t="str">
        <f>VLOOKUP(A237,[1]INDICE!$A$4:$G$1000,2,0)</f>
        <v>ESC. E CARGA DE MAT. DE JAZ-. C/ INDENIZ. (PAV.URB.)</v>
      </c>
      <c r="C237" s="160" t="str">
        <f>VLOOKUP(A237,[1]INDICE!$A$4:$G$1000,3,0)</f>
        <v>M3</v>
      </c>
      <c r="D237" s="122">
        <f>VLOOKUP(A237,[1]INDICE!$A$4:$G$1000,4,0)</f>
        <v>0.49454545454545451</v>
      </c>
      <c r="E237" s="122">
        <f>VLOOKUP(A237,[1]INDICE!$A$4:$G$1000,5,0)</f>
        <v>5</v>
      </c>
      <c r="F237" s="122">
        <f>VLOOKUP(A237,[1]INDICE!$A$4:$G$1000,6,0)</f>
        <v>3.1886054545454545</v>
      </c>
      <c r="G237" s="122">
        <f>VLOOKUP(A237,[1]INDICE!$A$4:$G$1000,7,0)</f>
        <v>8.6831509090909087</v>
      </c>
      <c r="H237" s="116" t="b">
        <f>A237=[2]INDFILTRO!A237</f>
        <v>0</v>
      </c>
      <c r="I237" s="113" t="b">
        <f>B237=[3]INDFILTRO!B236</f>
        <v>0</v>
      </c>
      <c r="J237" s="113" t="b">
        <f>E237=[2]INDFILTRO!E237</f>
        <v>0</v>
      </c>
      <c r="K237" s="113" t="b">
        <f>F237=[2]INDFILTRO!F237</f>
        <v>0</v>
      </c>
      <c r="L237" s="116" t="str">
        <f t="shared" si="10"/>
        <v>verdadeiro</v>
      </c>
      <c r="M237" s="124">
        <f t="shared" si="11"/>
        <v>564</v>
      </c>
      <c r="R237" s="253" t="b">
        <f t="shared" si="9"/>
        <v>1</v>
      </c>
      <c r="S237" s="253"/>
      <c r="T237" s="253"/>
    </row>
    <row r="238" spans="1:20" s="113" customFormat="1" ht="11.25">
      <c r="A238" s="121">
        <v>565</v>
      </c>
      <c r="B238" s="122" t="str">
        <f>VLOOKUP(A238,[1]INDICE!$A$4:$G$1000,2,0)</f>
        <v>TRANSPORTE DE MAT. DE JAZIDA-CASCALHO (PAV.URB.)</v>
      </c>
      <c r="C238" s="160" t="str">
        <f>VLOOKUP(A238,[1]INDICE!$A$4:$G$1000,3,0)</f>
        <v>M3KM</v>
      </c>
      <c r="D238" s="122">
        <f>VLOOKUP(A238,[1]INDICE!$A$4:$G$1000,4,0)</f>
        <v>0</v>
      </c>
      <c r="E238" s="122">
        <f>VLOOKUP(A238,[1]INDICE!$A$4:$G$1000,5,0)</f>
        <v>0</v>
      </c>
      <c r="F238" s="122">
        <f>VLOOKUP(A238,[1]INDICE!$A$4:$G$1000,6,0)</f>
        <v>1.4094687387061799</v>
      </c>
      <c r="G238" s="122">
        <f>VLOOKUP(A238,[1]INDICE!$A$4:$G$1000,7,0)</f>
        <v>1.4094687387061799</v>
      </c>
      <c r="H238" s="116" t="b">
        <f>A238=[2]INDFILTRO!A238</f>
        <v>0</v>
      </c>
      <c r="I238" s="113" t="b">
        <f>B238=[3]INDFILTRO!B237</f>
        <v>0</v>
      </c>
      <c r="J238" s="113" t="b">
        <f>E238=[2]INDFILTRO!E238</f>
        <v>0</v>
      </c>
      <c r="K238" s="113" t="b">
        <f>F238=[2]INDFILTRO!F238</f>
        <v>0</v>
      </c>
      <c r="L238" s="116" t="str">
        <f t="shared" si="10"/>
        <v>verdadeiro</v>
      </c>
      <c r="M238" s="124">
        <f t="shared" si="11"/>
        <v>565</v>
      </c>
      <c r="R238" s="253" t="b">
        <f t="shared" si="9"/>
        <v>1</v>
      </c>
      <c r="S238" s="253"/>
      <c r="T238" s="253"/>
    </row>
    <row r="239" spans="1:20" s="113" customFormat="1" ht="11.25">
      <c r="A239" s="121">
        <v>566</v>
      </c>
      <c r="B239" s="122" t="str">
        <f>VLOOKUP(A239,[1]INDICE!$A$4:$G$1000,2,0)</f>
        <v>ESTABILIZAÇÃO GRANULOMÉTRICA SEM MISTURA - REF.PROCTOR: 39 GOLPES (100% P.IM.)</v>
      </c>
      <c r="C239" s="160" t="str">
        <f>VLOOKUP(A239,[1]INDICE!$A$4:$G$1000,3,0)</f>
        <v>M2</v>
      </c>
      <c r="D239" s="122">
        <f>VLOOKUP(A239,[1]INDICE!$A$4:$G$1000,4,0)</f>
        <v>2.2793840351979888</v>
      </c>
      <c r="E239" s="122">
        <f>VLOOKUP(A239,[1]INDICE!$A$4:$G$1000,5,0)</f>
        <v>0</v>
      </c>
      <c r="F239" s="122">
        <f>VLOOKUP(A239,[1]INDICE!$A$4:$G$1000,6,0)</f>
        <v>7.5818877016551447</v>
      </c>
      <c r="G239" s="122">
        <f>VLOOKUP(A239,[1]INDICE!$A$4:$G$1000,7,0)</f>
        <v>9.8612717368531335</v>
      </c>
      <c r="H239" s="116" t="b">
        <f>A239=[2]INDFILTRO!A239</f>
        <v>0</v>
      </c>
      <c r="I239" s="113" t="b">
        <f>B239=[3]INDFILTRO!B238</f>
        <v>0</v>
      </c>
      <c r="J239" s="113" t="b">
        <f>E239=[2]INDFILTRO!E239</f>
        <v>0</v>
      </c>
      <c r="K239" s="113" t="b">
        <f>F239=[2]INDFILTRO!F239</f>
        <v>0</v>
      </c>
      <c r="L239" s="116" t="str">
        <f t="shared" si="10"/>
        <v>verdadeiro</v>
      </c>
      <c r="M239" s="124">
        <f t="shared" si="11"/>
        <v>566</v>
      </c>
      <c r="R239" s="253" t="b">
        <f t="shared" si="9"/>
        <v>1</v>
      </c>
      <c r="S239" s="253"/>
      <c r="T239" s="253"/>
    </row>
    <row r="240" spans="1:20" s="113" customFormat="1" ht="11.25">
      <c r="A240" s="121">
        <v>567</v>
      </c>
      <c r="B240" s="122" t="str">
        <f>VLOOKUP(A240,[1]INDICE!$A$4:$G$1000,2,0)</f>
        <v>IMPRIMAÇÃO (PAV. URB)</v>
      </c>
      <c r="C240" s="160" t="str">
        <f>VLOOKUP(A240,[1]INDICE!$A$4:$G$1000,3,0)</f>
        <v>M2</v>
      </c>
      <c r="D240" s="122">
        <f>VLOOKUP(A240,[1]INDICE!$A$4:$G$1000,4,0)</f>
        <v>0.1159813596491228</v>
      </c>
      <c r="E240" s="122">
        <f>VLOOKUP(A240,[1]INDICE!$A$4:$G$1000,5,0)</f>
        <v>0</v>
      </c>
      <c r="F240" s="122">
        <f>VLOOKUP(A240,[1]INDICE!$A$4:$G$1000,6,0)</f>
        <v>0.37066447368421046</v>
      </c>
      <c r="G240" s="122">
        <f>VLOOKUP(A240,[1]INDICE!$A$4:$G$1000,7,0)</f>
        <v>0.48664583333333328</v>
      </c>
      <c r="H240" s="116" t="b">
        <f>A240=[2]INDFILTRO!A240</f>
        <v>0</v>
      </c>
      <c r="I240" s="113" t="b">
        <f>B240=[3]INDFILTRO!B239</f>
        <v>0</v>
      </c>
      <c r="J240" s="113" t="b">
        <f>E240=[2]INDFILTRO!E240</f>
        <v>0</v>
      </c>
      <c r="K240" s="113" t="b">
        <f>F240=[2]INDFILTRO!F240</f>
        <v>0</v>
      </c>
      <c r="L240" s="116" t="str">
        <f t="shared" si="10"/>
        <v>verdadeiro</v>
      </c>
      <c r="M240" s="124">
        <f t="shared" si="11"/>
        <v>567</v>
      </c>
      <c r="R240" s="253" t="b">
        <f t="shared" si="9"/>
        <v>1</v>
      </c>
      <c r="S240" s="253"/>
      <c r="T240" s="253"/>
    </row>
    <row r="241" spans="1:20" s="113" customFormat="1" ht="11.25">
      <c r="A241" s="121">
        <v>568</v>
      </c>
      <c r="B241" s="122" t="str">
        <f>VLOOKUP(A241,[1]INDICE!$A$4:$G$1000,2,0)</f>
        <v>TRANSPORTE COMERCIAL DE AGREGADOS</v>
      </c>
      <c r="C241" s="160" t="str">
        <f>VLOOKUP(A241,[1]INDICE!$A$4:$G$1000,3,0)</f>
        <v>M3KM</v>
      </c>
      <c r="D241" s="122">
        <f>VLOOKUP(A241,[1]INDICE!$A$4:$G$1000,4,0)</f>
        <v>0</v>
      </c>
      <c r="E241" s="122">
        <f>VLOOKUP(A241,[1]INDICE!$A$4:$G$1000,5,0)</f>
        <v>0</v>
      </c>
      <c r="F241" s="122">
        <f>VLOOKUP(A241,[1]INDICE!$A$4:$G$1000,6,0)</f>
        <v>0.624</v>
      </c>
      <c r="G241" s="122">
        <f>VLOOKUP(A241,[1]INDICE!$A$4:$G$1000,7,0)</f>
        <v>0.624</v>
      </c>
      <c r="H241" s="116" t="b">
        <f>A241=[2]INDFILTRO!A241</f>
        <v>0</v>
      </c>
      <c r="I241" s="113" t="b">
        <f>B241=[3]INDFILTRO!B240</f>
        <v>0</v>
      </c>
      <c r="J241" s="113" t="b">
        <f>E241=[2]INDFILTRO!E241</f>
        <v>0</v>
      </c>
      <c r="K241" s="113" t="b">
        <f>F241=[2]INDFILTRO!F241</f>
        <v>0</v>
      </c>
      <c r="L241" s="116" t="str">
        <f t="shared" si="10"/>
        <v>verdadeiro</v>
      </c>
      <c r="M241" s="124">
        <f t="shared" si="11"/>
        <v>568</v>
      </c>
      <c r="R241" s="253" t="b">
        <f t="shared" si="9"/>
        <v>1</v>
      </c>
      <c r="S241" s="253"/>
      <c r="T241" s="253"/>
    </row>
    <row r="242" spans="1:20" s="113" customFormat="1" ht="11.25">
      <c r="A242" s="121">
        <v>569</v>
      </c>
      <c r="B242" s="122" t="str">
        <f>VLOOKUP(A242,[1]INDICE!$A$4:$G$1000,2,0)</f>
        <v>TRATAMENTO SUPERFICIAL DUPLO - TSD (BC) (PAV.URB.)</v>
      </c>
      <c r="C242" s="160" t="str">
        <f>VLOOKUP(A242,[1]INDICE!$A$4:$G$1000,3,0)</f>
        <v>M2</v>
      </c>
      <c r="D242" s="122">
        <f>VLOOKUP(A242,[1]INDICE!$A$4:$G$1000,4,0)</f>
        <v>0.87000000000000011</v>
      </c>
      <c r="E242" s="122">
        <f>VLOOKUP(A242,[1]INDICE!$A$4:$G$1000,5,0)</f>
        <v>1.404096</v>
      </c>
      <c r="F242" s="122">
        <f>VLOOKUP(A242,[1]INDICE!$A$4:$G$1000,6,0)</f>
        <v>2.9476161616161614</v>
      </c>
      <c r="G242" s="122">
        <f>VLOOKUP(A242,[1]INDICE!$A$4:$G$1000,7,0)</f>
        <v>5.2217121616161615</v>
      </c>
      <c r="H242" s="116" t="b">
        <f>A242=[2]INDFILTRO!A242</f>
        <v>0</v>
      </c>
      <c r="I242" s="113" t="b">
        <f>B242=[3]INDFILTRO!B241</f>
        <v>0</v>
      </c>
      <c r="J242" s="113" t="b">
        <f>E242=[2]INDFILTRO!E242</f>
        <v>0</v>
      </c>
      <c r="K242" s="113" t="b">
        <f>F242=[2]INDFILTRO!F242</f>
        <v>0</v>
      </c>
      <c r="L242" s="116" t="str">
        <f t="shared" si="10"/>
        <v>verdadeiro</v>
      </c>
      <c r="M242" s="124">
        <f t="shared" si="11"/>
        <v>569</v>
      </c>
      <c r="R242" s="253" t="b">
        <f t="shared" si="9"/>
        <v>1</v>
      </c>
      <c r="S242" s="253"/>
      <c r="T242" s="253"/>
    </row>
    <row r="243" spans="1:20" s="113" customFormat="1" ht="11.25">
      <c r="A243" s="121">
        <v>570</v>
      </c>
      <c r="B243" s="122" t="str">
        <f>VLOOKUP(A243,[1]INDICE!$A$4:$G$1000,2,0)</f>
        <v>CAPA SELANTE C/PÓ DE PEDRA (BC)</v>
      </c>
      <c r="C243" s="160" t="str">
        <f>VLOOKUP(A243,[1]INDICE!$A$4:$G$1000,3,0)</f>
        <v>M2</v>
      </c>
      <c r="D243" s="122">
        <f>VLOOKUP(A243,[1]INDICE!$A$4:$G$1000,4,0)</f>
        <v>0.28144124168514412</v>
      </c>
      <c r="E243" s="122">
        <f>VLOOKUP(A243,[1]INDICE!$A$4:$G$1000,5,0)</f>
        <v>0.19163999999999998</v>
      </c>
      <c r="F243" s="122">
        <f>VLOOKUP(A243,[1]INDICE!$A$4:$G$1000,6,0)</f>
        <v>1.0291614190687361</v>
      </c>
      <c r="G243" s="122">
        <f>VLOOKUP(A243,[1]INDICE!$A$4:$G$1000,7,0)</f>
        <v>1.5022426607538804</v>
      </c>
      <c r="H243" s="116" t="b">
        <f>A243=[2]INDFILTRO!A243</f>
        <v>0</v>
      </c>
      <c r="I243" s="113" t="b">
        <f>B243=[3]INDFILTRO!B242</f>
        <v>0</v>
      </c>
      <c r="J243" s="113" t="b">
        <f>E243=[2]INDFILTRO!E243</f>
        <v>0</v>
      </c>
      <c r="K243" s="113" t="b">
        <f>F243=[2]INDFILTRO!F243</f>
        <v>0</v>
      </c>
      <c r="L243" s="116" t="str">
        <f t="shared" si="10"/>
        <v>verdadeiro</v>
      </c>
      <c r="M243" s="124">
        <f t="shared" si="11"/>
        <v>570</v>
      </c>
      <c r="R243" s="253" t="b">
        <f t="shared" si="9"/>
        <v>1</v>
      </c>
      <c r="S243" s="253"/>
      <c r="T243" s="253"/>
    </row>
    <row r="244" spans="1:20" s="113" customFormat="1" ht="11.25">
      <c r="A244" s="121">
        <v>571</v>
      </c>
      <c r="B244" s="122" t="str">
        <f>VLOOKUP(A244,[1]INDICE!$A$4:$G$1000,2,0)</f>
        <v>CALÇADA EM CONCRETO DESEMPENADO 15MPa - ESPESSURA = 5cm (AC/BC)</v>
      </c>
      <c r="C244" s="160" t="str">
        <f>VLOOKUP(A244,[1]INDICE!$A$4:$G$1000,3,0)</f>
        <v>M2</v>
      </c>
      <c r="D244" s="122">
        <f>VLOOKUP(A244,[1]INDICE!$A$4:$G$1000,4,0)</f>
        <v>4.410432000000001</v>
      </c>
      <c r="E244" s="122">
        <f>VLOOKUP(A244,[1]INDICE!$A$4:$G$1000,5,0)</f>
        <v>24.975486500000002</v>
      </c>
      <c r="F244" s="122">
        <f>VLOOKUP(A244,[1]INDICE!$A$4:$G$1000,6,0)</f>
        <v>3.2439616000000004</v>
      </c>
      <c r="G244" s="122">
        <f>VLOOKUP(A244,[1]INDICE!$A$4:$G$1000,7,0)</f>
        <v>32.629880100000001</v>
      </c>
      <c r="H244" s="116" t="b">
        <f>A244=[2]INDFILTRO!A244</f>
        <v>0</v>
      </c>
      <c r="I244" s="113" t="b">
        <f>B244=[3]INDFILTRO!B243</f>
        <v>0</v>
      </c>
      <c r="J244" s="113" t="b">
        <f>E244=[2]INDFILTRO!E244</f>
        <v>0</v>
      </c>
      <c r="K244" s="113" t="b">
        <f>F244=[2]INDFILTRO!F244</f>
        <v>0</v>
      </c>
      <c r="L244" s="116" t="str">
        <f t="shared" si="10"/>
        <v>verdadeiro</v>
      </c>
      <c r="M244" s="124">
        <f t="shared" si="11"/>
        <v>571</v>
      </c>
      <c r="R244" s="253" t="b">
        <f t="shared" si="9"/>
        <v>1</v>
      </c>
      <c r="S244" s="253"/>
      <c r="T244" s="253"/>
    </row>
    <row r="245" spans="1:20" s="113" customFormat="1" ht="11.25">
      <c r="A245" s="121">
        <v>572</v>
      </c>
      <c r="B245" s="122" t="str">
        <f>VLOOKUP(A245,[1]INDICE!$A$4:$G$1000,2,0)</f>
        <v>CONFECÇÃO DE GUIAS</v>
      </c>
      <c r="C245" s="160" t="str">
        <f>VLOOKUP(A245,[1]INDICE!$A$4:$G$1000,3,0)</f>
        <v>M</v>
      </c>
      <c r="D245" s="122">
        <f>VLOOKUP(A245,[1]INDICE!$A$4:$G$1000,4,0)</f>
        <v>3.0491666666666668</v>
      </c>
      <c r="E245" s="122">
        <f>VLOOKUP(A245,[1]INDICE!$A$4:$G$1000,5,0)</f>
        <v>0.94920000000000015</v>
      </c>
      <c r="F245" s="122">
        <f>VLOOKUP(A245,[1]INDICE!$A$4:$G$1000,6,0)</f>
        <v>2.3824999999999998</v>
      </c>
      <c r="G245" s="122">
        <f>VLOOKUP(A245,[1]INDICE!$A$4:$G$1000,7,0)</f>
        <v>6.3808666666666669</v>
      </c>
      <c r="H245" s="116" t="b">
        <f>A245=[2]INDFILTRO!A245</f>
        <v>0</v>
      </c>
      <c r="I245" s="113" t="b">
        <f>B245=[3]INDFILTRO!B244</f>
        <v>0</v>
      </c>
      <c r="J245" s="113" t="b">
        <f>E245=[2]INDFILTRO!E245</f>
        <v>0</v>
      </c>
      <c r="K245" s="113" t="b">
        <f>F245=[2]INDFILTRO!F245</f>
        <v>0</v>
      </c>
      <c r="L245" s="116" t="str">
        <f t="shared" si="10"/>
        <v>verdadeiro</v>
      </c>
      <c r="M245" s="124">
        <f t="shared" si="11"/>
        <v>572</v>
      </c>
      <c r="R245" s="253" t="b">
        <f t="shared" si="9"/>
        <v>1</v>
      </c>
      <c r="S245" s="253"/>
      <c r="T245" s="253"/>
    </row>
    <row r="246" spans="1:20" s="113" customFormat="1" ht="11.25">
      <c r="A246" s="121">
        <v>573</v>
      </c>
      <c r="B246" s="122" t="str">
        <f>VLOOKUP(A246,[1]INDICE!$A$4:$G$1000,2,0)</f>
        <v>MEIO FIO COM SARJETA - MFC 03 (AC/BC)</v>
      </c>
      <c r="C246" s="160" t="str">
        <f>VLOOKUP(A246,[1]INDICE!$A$4:$G$1000,3,0)</f>
        <v>M</v>
      </c>
      <c r="D246" s="122">
        <f>VLOOKUP(A246,[1]INDICE!$A$4:$G$1000,4,0)</f>
        <v>0.82393272088624692</v>
      </c>
      <c r="E246" s="122">
        <f>VLOOKUP(A246,[1]INDICE!$A$4:$G$1000,5,0)</f>
        <v>19.317123127583997</v>
      </c>
      <c r="F246" s="122">
        <f>VLOOKUP(A246,[1]INDICE!$A$4:$G$1000,6,0)</f>
        <v>0.16441502296676574</v>
      </c>
      <c r="G246" s="122">
        <f>VLOOKUP(A246,[1]INDICE!$A$4:$G$1000,7,0)</f>
        <v>20.305470871437009</v>
      </c>
      <c r="H246" s="116" t="b">
        <f>A246=[2]INDFILTRO!A246</f>
        <v>0</v>
      </c>
      <c r="I246" s="113" t="b">
        <f>B246=[3]INDFILTRO!B245</f>
        <v>0</v>
      </c>
      <c r="J246" s="113" t="b">
        <f>E246=[2]INDFILTRO!E246</f>
        <v>0</v>
      </c>
      <c r="K246" s="113" t="b">
        <f>F246=[2]INDFILTRO!F246</f>
        <v>0</v>
      </c>
      <c r="L246" s="116" t="str">
        <f t="shared" si="10"/>
        <v>verdadeiro</v>
      </c>
      <c r="M246" s="124">
        <f t="shared" si="11"/>
        <v>573</v>
      </c>
      <c r="R246" s="253" t="b">
        <f t="shared" si="9"/>
        <v>1</v>
      </c>
      <c r="S246" s="253"/>
      <c r="T246" s="253"/>
    </row>
    <row r="247" spans="1:20" s="113" customFormat="1" ht="11.25">
      <c r="A247" s="121">
        <v>574</v>
      </c>
      <c r="B247" s="122" t="str">
        <f>VLOOKUP(A247,[1]INDICE!$A$4:$G$1000,2,0)</f>
        <v>CONCRETO FCK=15 MPA PARA DRENAGEM (AC/BC)</v>
      </c>
      <c r="C247" s="160" t="str">
        <f>VLOOKUP(A247,[1]INDICE!$A$4:$G$1000,3,0)</f>
        <v>M</v>
      </c>
      <c r="D247" s="122">
        <f>VLOOKUP(A247,[1]INDICE!$A$4:$G$1000,4,0)</f>
        <v>80.142658000000011</v>
      </c>
      <c r="E247" s="122">
        <f>VLOOKUP(A247,[1]INDICE!$A$4:$G$1000,5,0)</f>
        <v>315.47535999999997</v>
      </c>
      <c r="F247" s="122">
        <f>VLOOKUP(A247,[1]INDICE!$A$4:$G$1000,6,0)</f>
        <v>32.977770751999998</v>
      </c>
      <c r="G247" s="122">
        <f>VLOOKUP(A247,[1]INDICE!$A$4:$G$1000,7,0)</f>
        <v>428.59578875199998</v>
      </c>
      <c r="H247" s="116" t="b">
        <f>A247=[2]INDFILTRO!A247</f>
        <v>0</v>
      </c>
      <c r="I247" s="113" t="b">
        <f>B247=[3]INDFILTRO!B246</f>
        <v>0</v>
      </c>
      <c r="J247" s="113" t="b">
        <f>E247=[2]INDFILTRO!E247</f>
        <v>0</v>
      </c>
      <c r="K247" s="113" t="b">
        <f>F247=[2]INDFILTRO!F247</f>
        <v>0</v>
      </c>
      <c r="L247" s="116" t="str">
        <f t="shared" si="10"/>
        <v>verdadeiro</v>
      </c>
      <c r="M247" s="124">
        <f t="shared" si="11"/>
        <v>574</v>
      </c>
      <c r="R247" s="253" t="b">
        <f t="shared" si="9"/>
        <v>1</v>
      </c>
      <c r="S247" s="253"/>
      <c r="T247" s="253"/>
    </row>
    <row r="248" spans="1:20" s="113" customFormat="1" ht="11.25">
      <c r="A248" s="121">
        <v>575</v>
      </c>
      <c r="B248" s="122" t="str">
        <f>VLOOKUP(A248,[1]INDICE!$A$4:$G$1000,2,0)</f>
        <v>MEIO FIO SEM SARJETA - MFC05 (AC/BC)</v>
      </c>
      <c r="C248" s="160" t="str">
        <f>VLOOKUP(A248,[1]INDICE!$A$4:$G$1000,3,0)</f>
        <v>M</v>
      </c>
      <c r="D248" s="122">
        <f>VLOOKUP(A248,[1]INDICE!$A$4:$G$1000,4,0)</f>
        <v>0.66132617653437431</v>
      </c>
      <c r="E248" s="122">
        <f>VLOOKUP(A248,[1]INDICE!$A$4:$G$1000,5,0)</f>
        <v>15.361916817568</v>
      </c>
      <c r="F248" s="122">
        <f>VLOOKUP(A248,[1]INDICE!$A$4:$G$1000,6,0)</f>
        <v>0.1319670353502494</v>
      </c>
      <c r="G248" s="122">
        <f>VLOOKUP(A248,[1]INDICE!$A$4:$G$1000,7,0)</f>
        <v>16.155210029452622</v>
      </c>
      <c r="H248" s="116" t="b">
        <f>A248=[2]INDFILTRO!A248</f>
        <v>0</v>
      </c>
      <c r="I248" s="113" t="b">
        <f>B248=[3]INDFILTRO!B247</f>
        <v>0</v>
      </c>
      <c r="J248" s="113" t="b">
        <f>E248=[2]INDFILTRO!E248</f>
        <v>0</v>
      </c>
      <c r="K248" s="113" t="b">
        <f>F248=[2]INDFILTRO!F248</f>
        <v>0</v>
      </c>
      <c r="L248" s="116" t="str">
        <f t="shared" si="10"/>
        <v>verdadeiro</v>
      </c>
      <c r="M248" s="124">
        <f t="shared" si="11"/>
        <v>575</v>
      </c>
      <c r="R248" s="253" t="b">
        <f t="shared" si="9"/>
        <v>1</v>
      </c>
      <c r="S248" s="253"/>
      <c r="T248" s="253"/>
    </row>
    <row r="249" spans="1:20" s="113" customFormat="1" ht="11.25">
      <c r="A249" s="121">
        <v>576</v>
      </c>
      <c r="B249" s="122" t="str">
        <f>VLOOKUP(A249,[1]INDICE!$A$4:$G$1000,2,0)</f>
        <v>CAIXA DE PASSAGEM 30X30X40CM COM TAMPA E DRENO BRITA</v>
      </c>
      <c r="C249" s="160" t="str">
        <f>VLOOKUP(A249,[1]INDICE!$A$4:$G$1000,3,0)</f>
        <v>UN</v>
      </c>
      <c r="D249" s="122">
        <f>VLOOKUP(A249,[1]INDICE!$A$4:$G$1000,4,0)</f>
        <v>81.742997000000003</v>
      </c>
      <c r="E249" s="122">
        <f>VLOOKUP(A249,[1]INDICE!$A$4:$G$1000,5,0)</f>
        <v>65.410209000000009</v>
      </c>
      <c r="F249" s="122">
        <f>VLOOKUP(A249,[1]INDICE!$A$4:$G$1000,6,0)</f>
        <v>0</v>
      </c>
      <c r="G249" s="122">
        <f>VLOOKUP(A249,[1]INDICE!$A$4:$G$1000,7,0)</f>
        <v>147.15320600000001</v>
      </c>
      <c r="H249" s="116" t="b">
        <f>A249=[2]INDFILTRO!A249</f>
        <v>0</v>
      </c>
      <c r="I249" s="113" t="b">
        <f>B249=[3]INDFILTRO!B248</f>
        <v>0</v>
      </c>
      <c r="J249" s="113" t="b">
        <f>E249=[2]INDFILTRO!E249</f>
        <v>0</v>
      </c>
      <c r="K249" s="113" t="b">
        <f>F249=[2]INDFILTRO!F249</f>
        <v>1</v>
      </c>
      <c r="L249" s="116" t="str">
        <f t="shared" si="10"/>
        <v>verdadeiro</v>
      </c>
      <c r="M249" s="124">
        <f t="shared" si="11"/>
        <v>576</v>
      </c>
      <c r="R249" s="253" t="b">
        <f t="shared" si="9"/>
        <v>1</v>
      </c>
      <c r="S249" s="253"/>
      <c r="T249" s="253"/>
    </row>
    <row r="250" spans="1:20" s="113" customFormat="1" ht="22.5">
      <c r="A250" s="121">
        <v>577</v>
      </c>
      <c r="B250" s="122" t="str">
        <f>VLOOKUP(A250,[1]INDICE!$A$4:$G$1000,2,0)</f>
        <v>ALVENARIA DE CANALETA DE CONCRETO PREENCHIDO DE 9X19X19CM (ESPESSURA 9CM) DE PAREDES COM PREPARO EM BETONEIRA (CONCRETO FCK-20MPA)</v>
      </c>
      <c r="C250" s="160" t="str">
        <f>VLOOKUP(A250,[1]INDICE!$A$4:$G$1000,3,0)</f>
        <v>M2</v>
      </c>
      <c r="D250" s="122">
        <f>VLOOKUP(A250,[1]INDICE!$A$4:$G$1000,4,0)</f>
        <v>27.4408715</v>
      </c>
      <c r="E250" s="122">
        <f>VLOOKUP(A250,[1]INDICE!$A$4:$G$1000,5,0)</f>
        <v>40.801964999999996</v>
      </c>
      <c r="F250" s="122">
        <f>VLOOKUP(A250,[1]INDICE!$A$4:$G$1000,6,0)</f>
        <v>0</v>
      </c>
      <c r="G250" s="122">
        <f>VLOOKUP(A250,[1]INDICE!$A$4:$G$1000,7,0)</f>
        <v>68.242836499999996</v>
      </c>
      <c r="H250" s="116" t="b">
        <f>A250=[2]INDFILTRO!A250</f>
        <v>0</v>
      </c>
      <c r="I250" s="113" t="b">
        <f>B250=[3]INDFILTRO!B249</f>
        <v>0</v>
      </c>
      <c r="J250" s="113" t="b">
        <f>E250=[2]INDFILTRO!E250</f>
        <v>0</v>
      </c>
      <c r="K250" s="113" t="b">
        <f>F250=[2]INDFILTRO!F250</f>
        <v>1</v>
      </c>
      <c r="L250" s="116" t="str">
        <f t="shared" si="10"/>
        <v>verdadeiro</v>
      </c>
      <c r="M250" s="124">
        <f t="shared" si="11"/>
        <v>577</v>
      </c>
      <c r="R250" s="253" t="b">
        <f t="shared" si="9"/>
        <v>1</v>
      </c>
      <c r="S250" s="253"/>
      <c r="T250" s="253"/>
    </row>
    <row r="251" spans="1:20" s="113" customFormat="1" ht="33.75">
      <c r="A251" s="121">
        <v>610</v>
      </c>
      <c r="B251" s="122" t="str">
        <f>VLOOKUP(A251,[1]INDICE!$A$4:$G$1000,2,0)</f>
        <v>TELHAMENTO COM TELHA ONDULADA DE FIBROCIMENTO E = 8 MM, COM RECOBRIMENTO LATERAL DE 1 1/4 DE ONDA PARA TELHADO COM INCLINAÇÃO MÁXIMA DE 10°, COM ATÉ 2 ÁGUAS, INCLUSO IÇAMENTO.</v>
      </c>
      <c r="C251" s="160" t="str">
        <f>VLOOKUP(A251,[1]INDICE!$A$4:$G$1000,3,0)</f>
        <v>M2</v>
      </c>
      <c r="D251" s="122">
        <f>VLOOKUP(A251,[1]INDICE!$A$4:$G$1000,4,0)</f>
        <v>5.4586600000000001</v>
      </c>
      <c r="E251" s="122">
        <f>VLOOKUP(A251,[1]INDICE!$A$4:$G$1000,5,0)</f>
        <v>48.806269999999998</v>
      </c>
      <c r="F251" s="122">
        <f>VLOOKUP(A251,[1]INDICE!$A$4:$G$1000,6,0)</f>
        <v>0</v>
      </c>
      <c r="G251" s="122">
        <f>VLOOKUP(A251,[1]INDICE!$A$4:$G$1000,7,0)</f>
        <v>54.26493</v>
      </c>
      <c r="H251" s="116" t="b">
        <f>A251=[2]INDFILTRO!A251</f>
        <v>0</v>
      </c>
      <c r="I251" s="113" t="b">
        <f>B251=[3]INDFILTRO!B250</f>
        <v>0</v>
      </c>
      <c r="J251" s="113" t="b">
        <f>E251=[2]INDFILTRO!E251</f>
        <v>0</v>
      </c>
      <c r="K251" s="113" t="b">
        <f>F251=[2]INDFILTRO!F251</f>
        <v>1</v>
      </c>
      <c r="L251" s="116" t="str">
        <f t="shared" si="10"/>
        <v>verdadeiro</v>
      </c>
      <c r="M251" s="124">
        <f t="shared" si="11"/>
        <v>610</v>
      </c>
      <c r="R251" s="253" t="b">
        <f t="shared" si="9"/>
        <v>1</v>
      </c>
      <c r="S251" s="253"/>
      <c r="T251" s="253"/>
    </row>
    <row r="252" spans="1:20" s="113" customFormat="1" ht="11.25">
      <c r="A252" s="121">
        <v>616</v>
      </c>
      <c r="B252" s="122" t="str">
        <f>VLOOKUP(A252,[1]INDICE!$A$4:$G$1000,2,0)</f>
        <v>CABIDE TIPO GANCHO DE LOUÇA</v>
      </c>
      <c r="C252" s="160" t="str">
        <f>VLOOKUP(A252,[1]INDICE!$A$4:$G$1000,3,0)</f>
        <v>UN</v>
      </c>
      <c r="D252" s="122">
        <f>VLOOKUP(A252,[1]INDICE!$A$4:$G$1000,4,0)</f>
        <v>14.724</v>
      </c>
      <c r="E252" s="122">
        <f>VLOOKUP(A252,[1]INDICE!$A$4:$G$1000,5,0)</f>
        <v>13.601000000000001</v>
      </c>
      <c r="F252" s="122">
        <f>VLOOKUP(A252,[1]INDICE!$A$4:$G$1000,6,0)</f>
        <v>0</v>
      </c>
      <c r="G252" s="122">
        <f>VLOOKUP(A252,[1]INDICE!$A$4:$G$1000,7,0)</f>
        <v>28.325000000000003</v>
      </c>
      <c r="H252" s="116" t="b">
        <f>A252=[2]INDFILTRO!A252</f>
        <v>0</v>
      </c>
      <c r="I252" s="113" t="b">
        <f>B252=[3]INDFILTRO!B251</f>
        <v>0</v>
      </c>
      <c r="J252" s="113" t="b">
        <f>E252=[2]INDFILTRO!E252</f>
        <v>0</v>
      </c>
      <c r="K252" s="113" t="b">
        <f>F252=[2]INDFILTRO!F252</f>
        <v>1</v>
      </c>
      <c r="L252" s="116" t="str">
        <f t="shared" si="10"/>
        <v>verdadeiro</v>
      </c>
      <c r="M252" s="124">
        <f t="shared" si="11"/>
        <v>616</v>
      </c>
      <c r="R252" s="253" t="b">
        <f t="shared" si="9"/>
        <v>1</v>
      </c>
      <c r="S252" s="253"/>
      <c r="T252" s="253"/>
    </row>
    <row r="253" spans="1:20" s="113" customFormat="1" ht="11.25">
      <c r="A253" s="121">
        <v>618</v>
      </c>
      <c r="B253" s="122" t="str">
        <f>VLOOKUP(A253,[1]INDICE!$A$4:$G$1000,2,0)</f>
        <v>PORTA EM CHAPA P/WC - PRE-MOLD.PPM-4 C/FERRAGEM</v>
      </c>
      <c r="C253" s="160" t="str">
        <f>VLOOKUP(A253,[1]INDICE!$A$4:$G$1000,3,0)</f>
        <v>M2</v>
      </c>
      <c r="D253" s="122">
        <f>VLOOKUP(A253,[1]INDICE!$A$4:$G$1000,4,0)</f>
        <v>119.98615459999999</v>
      </c>
      <c r="E253" s="122">
        <f>VLOOKUP(A253,[1]INDICE!$A$4:$G$1000,5,0)</f>
        <v>207.95219399999996</v>
      </c>
      <c r="F253" s="122">
        <f>VLOOKUP(A253,[1]INDICE!$A$4:$G$1000,6,0)</f>
        <v>0</v>
      </c>
      <c r="G253" s="122">
        <f>VLOOKUP(A253,[1]INDICE!$A$4:$G$1000,7,0)</f>
        <v>327.93834859999993</v>
      </c>
      <c r="H253" s="116" t="b">
        <f>A253=[2]INDFILTRO!A253</f>
        <v>0</v>
      </c>
      <c r="I253" s="113" t="b">
        <f>B253=[3]INDFILTRO!B252</f>
        <v>0</v>
      </c>
      <c r="J253" s="113" t="b">
        <f>E253=[2]INDFILTRO!E253</f>
        <v>0</v>
      </c>
      <c r="K253" s="113" t="b">
        <f>F253=[2]INDFILTRO!F253</f>
        <v>1</v>
      </c>
      <c r="L253" s="116" t="str">
        <f t="shared" si="10"/>
        <v>verdadeiro</v>
      </c>
      <c r="M253" s="124">
        <f t="shared" si="11"/>
        <v>618</v>
      </c>
      <c r="R253" s="253" t="b">
        <f t="shared" si="9"/>
        <v>1</v>
      </c>
      <c r="S253" s="253"/>
      <c r="T253" s="253"/>
    </row>
    <row r="254" spans="1:20" s="113" customFormat="1" ht="11.25">
      <c r="A254" s="121">
        <v>625</v>
      </c>
      <c r="B254" s="122" t="str">
        <f>VLOOKUP(A254,[1]INDICE!$A$4:$G$1000,2,0)</f>
        <v>ARRUELA LISA D = 1/4"</v>
      </c>
      <c r="C254" s="160" t="str">
        <f>VLOOKUP(A254,[1]INDICE!$A$4:$G$1000,3,0)</f>
        <v>UN</v>
      </c>
      <c r="D254" s="122">
        <f>VLOOKUP(A254,[1]INDICE!$A$4:$G$1000,4,0)</f>
        <v>0</v>
      </c>
      <c r="E254" s="122">
        <f>VLOOKUP(A254,[1]INDICE!$A$4:$G$1000,5,0)</f>
        <v>0.04</v>
      </c>
      <c r="F254" s="122">
        <f>VLOOKUP(A254,[1]INDICE!$A$4:$G$1000,6,0)</f>
        <v>0</v>
      </c>
      <c r="G254" s="122">
        <f>VLOOKUP(A254,[1]INDICE!$A$4:$G$1000,7,0)</f>
        <v>0.04</v>
      </c>
      <c r="H254" s="116" t="b">
        <f>A254=[2]INDFILTRO!A254</f>
        <v>0</v>
      </c>
      <c r="I254" s="113" t="b">
        <f>B254=[3]INDFILTRO!B253</f>
        <v>0</v>
      </c>
      <c r="J254" s="113" t="b">
        <f>E254=[2]INDFILTRO!E254</f>
        <v>0</v>
      </c>
      <c r="K254" s="113" t="b">
        <f>F254=[2]INDFILTRO!F254</f>
        <v>1</v>
      </c>
      <c r="L254" s="116" t="str">
        <f t="shared" si="10"/>
        <v>verdadeiro</v>
      </c>
      <c r="M254" s="124">
        <f t="shared" si="11"/>
        <v>625</v>
      </c>
      <c r="R254" s="253" t="b">
        <f t="shared" si="9"/>
        <v>1</v>
      </c>
      <c r="S254" s="253"/>
      <c r="T254" s="253"/>
    </row>
    <row r="255" spans="1:20" s="113" customFormat="1" ht="11.25">
      <c r="A255" s="121">
        <v>701</v>
      </c>
      <c r="B255" s="122" t="str">
        <f>VLOOKUP(A255,[1]INDICE!$A$4:$G$1000,2,0)</f>
        <v>BRAÇO C AÇO GALVANIZADO , CONFORME NTD-18</v>
      </c>
      <c r="C255" s="160" t="str">
        <f>VLOOKUP(A255,[1]INDICE!$A$4:$G$1000,3,0)</f>
        <v>UN</v>
      </c>
      <c r="D255" s="122">
        <f>VLOOKUP(A255,[1]INDICE!$A$4:$G$1000,4,0)</f>
        <v>7.726</v>
      </c>
      <c r="E255" s="122">
        <f>VLOOKUP(A255,[1]INDICE!$A$4:$G$1000,5,0)</f>
        <v>113.48</v>
      </c>
      <c r="F255" s="122">
        <f>VLOOKUP(A255,[1]INDICE!$A$4:$G$1000,6,0)</f>
        <v>0</v>
      </c>
      <c r="G255" s="122">
        <f>VLOOKUP(A255,[1]INDICE!$A$4:$G$1000,7,0)</f>
        <v>121.206</v>
      </c>
      <c r="H255" s="116" t="b">
        <f>A255=[2]INDFILTRO!A255</f>
        <v>0</v>
      </c>
      <c r="I255" s="113" t="b">
        <f>B255=[3]INDFILTRO!B254</f>
        <v>0</v>
      </c>
      <c r="J255" s="113" t="b">
        <f>E255=[2]INDFILTRO!E255</f>
        <v>0</v>
      </c>
      <c r="K255" s="113" t="b">
        <f>F255=[2]INDFILTRO!F255</f>
        <v>1</v>
      </c>
      <c r="L255" s="116" t="str">
        <f t="shared" si="10"/>
        <v>verdadeiro</v>
      </c>
      <c r="M255" s="124">
        <f t="shared" si="11"/>
        <v>701</v>
      </c>
      <c r="R255" s="253" t="b">
        <f t="shared" si="9"/>
        <v>1</v>
      </c>
      <c r="S255" s="253"/>
      <c r="T255" s="253"/>
    </row>
    <row r="256" spans="1:20" s="113" customFormat="1" ht="11.25">
      <c r="A256" s="121">
        <v>702</v>
      </c>
      <c r="B256" s="122" t="str">
        <f>VLOOKUP(A256,[1]INDICE!$A$4:$G$1000,2,0)</f>
        <v>BUCHA DE NYLON S-7</v>
      </c>
      <c r="C256" s="160" t="str">
        <f>VLOOKUP(A256,[1]INDICE!$A$4:$G$1000,3,0)</f>
        <v>UN</v>
      </c>
      <c r="D256" s="122">
        <f>VLOOKUP(A256,[1]INDICE!$A$4:$G$1000,4,0)</f>
        <v>0.61807999999999996</v>
      </c>
      <c r="E256" s="122">
        <f>VLOOKUP(A256,[1]INDICE!$A$4:$G$1000,5,0)</f>
        <v>0.08</v>
      </c>
      <c r="F256" s="122">
        <f>VLOOKUP(A256,[1]INDICE!$A$4:$G$1000,6,0)</f>
        <v>0</v>
      </c>
      <c r="G256" s="122">
        <f>VLOOKUP(A256,[1]INDICE!$A$4:$G$1000,7,0)</f>
        <v>0.69807999999999992</v>
      </c>
      <c r="H256" s="116" t="b">
        <f>A256=[2]INDFILTRO!A256</f>
        <v>0</v>
      </c>
      <c r="I256" s="113" t="b">
        <f>B256=[3]INDFILTRO!B255</f>
        <v>0</v>
      </c>
      <c r="J256" s="113" t="b">
        <f>E256=[2]INDFILTRO!E256</f>
        <v>0</v>
      </c>
      <c r="K256" s="113" t="b">
        <f>F256=[2]INDFILTRO!F256</f>
        <v>1</v>
      </c>
      <c r="L256" s="116" t="str">
        <f t="shared" si="10"/>
        <v>verdadeiro</v>
      </c>
      <c r="M256" s="124">
        <f t="shared" si="11"/>
        <v>702</v>
      </c>
      <c r="R256" s="253" t="b">
        <f t="shared" si="9"/>
        <v>1</v>
      </c>
      <c r="S256" s="253"/>
      <c r="T256" s="253"/>
    </row>
    <row r="257" spans="1:20" s="113" customFormat="1" ht="11.25">
      <c r="A257" s="121">
        <v>704</v>
      </c>
      <c r="B257" s="122" t="str">
        <f>VLOOKUP(A257,[1]INDICE!$A$4:$G$1000,2,0)</f>
        <v>CABECOTE DE LIGA DE ALUMINIO DIAM. 4"</v>
      </c>
      <c r="C257" s="160" t="str">
        <f>VLOOKUP(A257,[1]INDICE!$A$4:$G$1000,3,0)</f>
        <v>UN</v>
      </c>
      <c r="D257" s="122">
        <f>VLOOKUP(A257,[1]INDICE!$A$4:$G$1000,4,0)</f>
        <v>21.246500000000005</v>
      </c>
      <c r="E257" s="122">
        <f>VLOOKUP(A257,[1]INDICE!$A$4:$G$1000,5,0)</f>
        <v>41.61</v>
      </c>
      <c r="F257" s="122">
        <f>VLOOKUP(A257,[1]INDICE!$A$4:$G$1000,6,0)</f>
        <v>0</v>
      </c>
      <c r="G257" s="122">
        <f>VLOOKUP(A257,[1]INDICE!$A$4:$G$1000,7,0)</f>
        <v>62.856500000000004</v>
      </c>
      <c r="H257" s="116" t="b">
        <f>A257=[2]INDFILTRO!A257</f>
        <v>0</v>
      </c>
      <c r="I257" s="113" t="b">
        <f>B257=[3]INDFILTRO!B256</f>
        <v>0</v>
      </c>
      <c r="J257" s="113" t="b">
        <f>E257=[2]INDFILTRO!E257</f>
        <v>0</v>
      </c>
      <c r="K257" s="113" t="b">
        <f>F257=[2]INDFILTRO!F257</f>
        <v>1</v>
      </c>
      <c r="L257" s="116" t="str">
        <f t="shared" si="10"/>
        <v>verdadeiro</v>
      </c>
      <c r="M257" s="124">
        <f t="shared" si="11"/>
        <v>704</v>
      </c>
      <c r="R257" s="253" t="b">
        <f t="shared" si="9"/>
        <v>1</v>
      </c>
      <c r="S257" s="253"/>
      <c r="T257" s="253"/>
    </row>
    <row r="258" spans="1:20" s="113" customFormat="1" ht="11.25">
      <c r="A258" s="121">
        <v>705</v>
      </c>
      <c r="B258" s="122" t="str">
        <f>VLOOKUP(A258,[1]INDICE!$A$4:$G$1000,2,0)</f>
        <v>CAIXA DE PASSAGEM - TAMPA EM CONCRETO ARMADO 25 MPA E=5CM</v>
      </c>
      <c r="C258" s="160" t="str">
        <f>VLOOKUP(A258,[1]INDICE!$A$4:$G$1000,3,0)</f>
        <v>m2</v>
      </c>
      <c r="D258" s="122">
        <f>VLOOKUP(A258,[1]INDICE!$A$4:$G$1000,4,0)</f>
        <v>20.327442000000001</v>
      </c>
      <c r="E258" s="122">
        <f>VLOOKUP(A258,[1]INDICE!$A$4:$G$1000,5,0)</f>
        <v>51.395687694214885</v>
      </c>
      <c r="F258" s="122">
        <f>VLOOKUP(A258,[1]INDICE!$A$4:$G$1000,6,0)</f>
        <v>0</v>
      </c>
      <c r="G258" s="122">
        <f>VLOOKUP(A258,[1]INDICE!$A$4:$G$1000,7,0)</f>
        <v>71.72312969421489</v>
      </c>
      <c r="H258" s="116" t="b">
        <f>A258=[2]INDFILTRO!A258</f>
        <v>0</v>
      </c>
      <c r="I258" s="113" t="b">
        <f>B258=[3]INDFILTRO!B257</f>
        <v>0</v>
      </c>
      <c r="J258" s="113" t="b">
        <f>E258=[2]INDFILTRO!E258</f>
        <v>0</v>
      </c>
      <c r="K258" s="113" t="b">
        <f>F258=[2]INDFILTRO!F258</f>
        <v>1</v>
      </c>
      <c r="L258" s="116" t="str">
        <f t="shared" si="10"/>
        <v>verdadeiro</v>
      </c>
      <c r="M258" s="124">
        <f t="shared" si="11"/>
        <v>705</v>
      </c>
      <c r="R258" s="253" t="b">
        <f t="shared" si="9"/>
        <v>1</v>
      </c>
      <c r="S258" s="253"/>
      <c r="T258" s="253"/>
    </row>
    <row r="259" spans="1:20" s="113" customFormat="1" ht="11.25">
      <c r="A259" s="121">
        <v>706</v>
      </c>
      <c r="B259" s="122" t="str">
        <f>VLOOKUP(A259,[1]INDICE!$A$4:$G$1000,2,0)</f>
        <v>CAIXA MET.HEXAGONAL P/ARANDELA (SEXTAVADA 3"X3")</v>
      </c>
      <c r="C259" s="160" t="str">
        <f>VLOOKUP(A259,[1]INDICE!$A$4:$G$1000,3,0)</f>
        <v>UN</v>
      </c>
      <c r="D259" s="122">
        <f>VLOOKUP(A259,[1]INDICE!$A$4:$G$1000,4,0)</f>
        <v>5.7944999999999993</v>
      </c>
      <c r="E259" s="122">
        <f>VLOOKUP(A259,[1]INDICE!$A$4:$G$1000,5,0)</f>
        <v>1.19</v>
      </c>
      <c r="F259" s="122">
        <f>VLOOKUP(A259,[1]INDICE!$A$4:$G$1000,6,0)</f>
        <v>0</v>
      </c>
      <c r="G259" s="122">
        <f>VLOOKUP(A259,[1]INDICE!$A$4:$G$1000,7,0)</f>
        <v>6.9844999999999988</v>
      </c>
      <c r="H259" s="116" t="b">
        <f>A259=[2]INDFILTRO!A259</f>
        <v>0</v>
      </c>
      <c r="I259" s="113" t="b">
        <f>B259=[3]INDFILTRO!B258</f>
        <v>0</v>
      </c>
      <c r="J259" s="113" t="b">
        <f>E259=[2]INDFILTRO!E259</f>
        <v>0</v>
      </c>
      <c r="K259" s="113" t="b">
        <f>F259=[2]INDFILTRO!F259</f>
        <v>1</v>
      </c>
      <c r="L259" s="116" t="str">
        <f t="shared" si="10"/>
        <v>verdadeiro</v>
      </c>
      <c r="M259" s="124">
        <f t="shared" si="11"/>
        <v>706</v>
      </c>
      <c r="R259" s="253" t="b">
        <f t="shared" si="9"/>
        <v>1</v>
      </c>
      <c r="S259" s="253"/>
      <c r="T259" s="253"/>
    </row>
    <row r="260" spans="1:20" s="113" customFormat="1" ht="11.25">
      <c r="A260" s="121">
        <v>707</v>
      </c>
      <c r="B260" s="122" t="str">
        <f>VLOOKUP(A260,[1]INDICE!$A$4:$G$1000,2,0)</f>
        <v>CAIXA METALICA OCTOGONAL FUNDO MOVEL, SIMPLES 2"</v>
      </c>
      <c r="C260" s="160" t="str">
        <f>VLOOKUP(A260,[1]INDICE!$A$4:$G$1000,3,0)</f>
        <v>UN</v>
      </c>
      <c r="D260" s="122">
        <f>VLOOKUP(A260,[1]INDICE!$A$4:$G$1000,4,0)</f>
        <v>5.7944999999999993</v>
      </c>
      <c r="E260" s="122">
        <f>VLOOKUP(A260,[1]INDICE!$A$4:$G$1000,5,0)</f>
        <v>2.36</v>
      </c>
      <c r="F260" s="122">
        <f>VLOOKUP(A260,[1]INDICE!$A$4:$G$1000,6,0)</f>
        <v>0</v>
      </c>
      <c r="G260" s="122">
        <f>VLOOKUP(A260,[1]INDICE!$A$4:$G$1000,7,0)</f>
        <v>8.1544999999999987</v>
      </c>
      <c r="H260" s="116" t="b">
        <f>A260=[2]INDFILTRO!A260</f>
        <v>0</v>
      </c>
      <c r="I260" s="113" t="b">
        <f>B260=[3]INDFILTRO!B259</f>
        <v>0</v>
      </c>
      <c r="J260" s="113" t="b">
        <f>E260=[2]INDFILTRO!E260</f>
        <v>0</v>
      </c>
      <c r="K260" s="113" t="b">
        <f>F260=[2]INDFILTRO!F260</f>
        <v>1</v>
      </c>
      <c r="L260" s="116" t="str">
        <f t="shared" si="10"/>
        <v>verdadeiro</v>
      </c>
      <c r="M260" s="124">
        <f t="shared" si="11"/>
        <v>707</v>
      </c>
      <c r="R260" s="253" t="b">
        <f t="shared" si="9"/>
        <v>1</v>
      </c>
      <c r="S260" s="253"/>
      <c r="T260" s="253"/>
    </row>
    <row r="261" spans="1:20" s="113" customFormat="1" ht="11.25">
      <c r="A261" s="121">
        <v>708</v>
      </c>
      <c r="B261" s="122" t="str">
        <f>VLOOKUP(A261,[1]INDICE!$A$4:$G$1000,2,0)</f>
        <v>CAIXA METÁLICA PARA PROTEÇÃO GERAL 1200X1000X310MM DE 500A A 800A</v>
      </c>
      <c r="C261" s="160" t="str">
        <f>VLOOKUP(A261,[1]INDICE!$A$4:$G$1000,3,0)</f>
        <v>UN</v>
      </c>
      <c r="D261" s="122">
        <f>VLOOKUP(A261,[1]INDICE!$A$4:$G$1000,4,0)</f>
        <v>78.840500000000006</v>
      </c>
      <c r="E261" s="122">
        <f>VLOOKUP(A261,[1]INDICE!$A$4:$G$1000,5,0)</f>
        <v>759.80719999999997</v>
      </c>
      <c r="F261" s="122">
        <f>VLOOKUP(A261,[1]INDICE!$A$4:$G$1000,6,0)</f>
        <v>0</v>
      </c>
      <c r="G261" s="122">
        <f>VLOOKUP(A261,[1]INDICE!$A$4:$G$1000,7,0)</f>
        <v>838.64769999999999</v>
      </c>
      <c r="H261" s="116" t="b">
        <f>A261=[2]INDFILTRO!A261</f>
        <v>0</v>
      </c>
      <c r="I261" s="113" t="b">
        <f>B261=[3]INDFILTRO!B260</f>
        <v>0</v>
      </c>
      <c r="J261" s="113" t="b">
        <f>E261=[2]INDFILTRO!E261</f>
        <v>0</v>
      </c>
      <c r="K261" s="113" t="b">
        <f>F261=[2]INDFILTRO!F261</f>
        <v>1</v>
      </c>
      <c r="L261" s="116" t="str">
        <f t="shared" si="10"/>
        <v>verdadeiro</v>
      </c>
      <c r="M261" s="124">
        <f t="shared" si="11"/>
        <v>708</v>
      </c>
      <c r="R261" s="253" t="b">
        <f t="shared" ref="R261:R324" si="12">(D261+E261+F261)=G261</f>
        <v>1</v>
      </c>
      <c r="S261" s="253"/>
      <c r="T261" s="253"/>
    </row>
    <row r="262" spans="1:20" s="113" customFormat="1" ht="11.25">
      <c r="A262" s="121">
        <v>709</v>
      </c>
      <c r="B262" s="122" t="str">
        <f>VLOOKUP(A262,[1]INDICE!$A$4:$G$1000,2,0)</f>
        <v>CAIXA METÁLICA PARA T.C. 1200X1000X310MM DE 500A A 800A</v>
      </c>
      <c r="C262" s="160" t="str">
        <f>VLOOKUP(A262,[1]INDICE!$A$4:$G$1000,3,0)</f>
        <v>UN</v>
      </c>
      <c r="D262" s="122">
        <f>VLOOKUP(A262,[1]INDICE!$A$4:$G$1000,4,0)</f>
        <v>78.840500000000006</v>
      </c>
      <c r="E262" s="122">
        <f>VLOOKUP(A262,[1]INDICE!$A$4:$G$1000,5,0)</f>
        <v>759.80719999999997</v>
      </c>
      <c r="F262" s="122">
        <f>VLOOKUP(A262,[1]INDICE!$A$4:$G$1000,6,0)</f>
        <v>0</v>
      </c>
      <c r="G262" s="122">
        <f>VLOOKUP(A262,[1]INDICE!$A$4:$G$1000,7,0)</f>
        <v>838.64769999999999</v>
      </c>
      <c r="H262" s="116" t="b">
        <f>A262=[2]INDFILTRO!A262</f>
        <v>0</v>
      </c>
      <c r="I262" s="113" t="b">
        <f>B262=[3]INDFILTRO!B261</f>
        <v>0</v>
      </c>
      <c r="J262" s="113" t="b">
        <f>E262=[2]INDFILTRO!E262</f>
        <v>0</v>
      </c>
      <c r="K262" s="113" t="b">
        <f>F262=[2]INDFILTRO!F262</f>
        <v>1</v>
      </c>
      <c r="L262" s="116" t="str">
        <f t="shared" ref="L262:L325" si="13">IF(D262+E262+F262=G262,"verdadeiro")</f>
        <v>verdadeiro</v>
      </c>
      <c r="M262" s="124">
        <f t="shared" ref="M262:M325" si="14">A262</f>
        <v>709</v>
      </c>
      <c r="R262" s="253" t="b">
        <f t="shared" si="12"/>
        <v>1</v>
      </c>
      <c r="S262" s="253"/>
      <c r="T262" s="253"/>
    </row>
    <row r="263" spans="1:20" s="113" customFormat="1" ht="11.25">
      <c r="A263" s="121">
        <v>710</v>
      </c>
      <c r="B263" s="122" t="str">
        <f>VLOOKUP(A263,[1]INDICE!$A$4:$G$1000,2,0)</f>
        <v>CAIXA DE PASSAGEM 80X80X110 CM FUNDO DE BRITA SEM TAMPA</v>
      </c>
      <c r="C263" s="160" t="str">
        <f>VLOOKUP(A263,[1]INDICE!$A$4:$G$1000,3,0)</f>
        <v>UN</v>
      </c>
      <c r="D263" s="122">
        <f>VLOOKUP(A263,[1]INDICE!$A$4:$G$1000,4,0)</f>
        <v>456.45756499999993</v>
      </c>
      <c r="E263" s="122">
        <f>VLOOKUP(A263,[1]INDICE!$A$4:$G$1000,5,0)</f>
        <v>274.25307299999997</v>
      </c>
      <c r="F263" s="122">
        <f>VLOOKUP(A263,[1]INDICE!$A$4:$G$1000,6,0)</f>
        <v>0</v>
      </c>
      <c r="G263" s="122">
        <f>VLOOKUP(A263,[1]INDICE!$A$4:$G$1000,7,0)</f>
        <v>730.7106379999999</v>
      </c>
      <c r="H263" s="116" t="b">
        <f>A263=[2]INDFILTRO!A263</f>
        <v>0</v>
      </c>
      <c r="I263" s="113" t="b">
        <f>B263=[3]INDFILTRO!B262</f>
        <v>0</v>
      </c>
      <c r="J263" s="113" t="b">
        <f>E263=[2]INDFILTRO!E263</f>
        <v>0</v>
      </c>
      <c r="K263" s="113" t="b">
        <f>F263=[2]INDFILTRO!F263</f>
        <v>1</v>
      </c>
      <c r="L263" s="116" t="str">
        <f t="shared" si="13"/>
        <v>verdadeiro</v>
      </c>
      <c r="M263" s="124">
        <f t="shared" si="14"/>
        <v>710</v>
      </c>
      <c r="R263" s="253" t="b">
        <f t="shared" si="12"/>
        <v>1</v>
      </c>
      <c r="S263" s="253"/>
      <c r="T263" s="253"/>
    </row>
    <row r="264" spans="1:20" s="113" customFormat="1" ht="11.25">
      <c r="A264" s="121">
        <v>711</v>
      </c>
      <c r="B264" s="122" t="str">
        <f>VLOOKUP(A264,[1]INDICE!$A$4:$G$1000,2,0)</f>
        <v>CANTONEIRA AUXILIAR PARA BRAÇO TIPO C</v>
      </c>
      <c r="C264" s="160" t="str">
        <f>VLOOKUP(A264,[1]INDICE!$A$4:$G$1000,3,0)</f>
        <v>UN</v>
      </c>
      <c r="D264" s="122">
        <f>VLOOKUP(A264,[1]INDICE!$A$4:$G$1000,4,0)</f>
        <v>3.863</v>
      </c>
      <c r="E264" s="122">
        <f>VLOOKUP(A264,[1]INDICE!$A$4:$G$1000,5,0)</f>
        <v>65.260000000000005</v>
      </c>
      <c r="F264" s="122">
        <f>VLOOKUP(A264,[1]INDICE!$A$4:$G$1000,6,0)</f>
        <v>0</v>
      </c>
      <c r="G264" s="122">
        <f>VLOOKUP(A264,[1]INDICE!$A$4:$G$1000,7,0)</f>
        <v>69.123000000000005</v>
      </c>
      <c r="H264" s="116" t="b">
        <f>A264=[2]INDFILTRO!A264</f>
        <v>0</v>
      </c>
      <c r="I264" s="113" t="b">
        <f>B264=[3]INDFILTRO!B263</f>
        <v>0</v>
      </c>
      <c r="J264" s="113" t="b">
        <f>E264=[2]INDFILTRO!E264</f>
        <v>0</v>
      </c>
      <c r="K264" s="113" t="b">
        <f>F264=[2]INDFILTRO!F264</f>
        <v>1</v>
      </c>
      <c r="L264" s="116" t="str">
        <f t="shared" si="13"/>
        <v>verdadeiro</v>
      </c>
      <c r="M264" s="124">
        <f t="shared" si="14"/>
        <v>711</v>
      </c>
      <c r="R264" s="253" t="b">
        <f t="shared" si="12"/>
        <v>1</v>
      </c>
      <c r="S264" s="253"/>
      <c r="T264" s="253"/>
    </row>
    <row r="265" spans="1:20" s="113" customFormat="1" ht="11.25">
      <c r="A265" s="121">
        <v>712</v>
      </c>
      <c r="B265" s="122" t="str">
        <f>VLOOKUP(A265,[1]INDICE!$A$4:$G$1000,2,0)</f>
        <v>CINTA DE ACO GALVANIZADO DIAM.230MM</v>
      </c>
      <c r="C265" s="160" t="str">
        <f>VLOOKUP(A265,[1]INDICE!$A$4:$G$1000,3,0)</f>
        <v>UN</v>
      </c>
      <c r="D265" s="122">
        <f>VLOOKUP(A265,[1]INDICE!$A$4:$G$1000,4,0)</f>
        <v>7.726</v>
      </c>
      <c r="E265" s="122">
        <f>VLOOKUP(A265,[1]INDICE!$A$4:$G$1000,5,0)</f>
        <v>29.35</v>
      </c>
      <c r="F265" s="122">
        <f>VLOOKUP(A265,[1]INDICE!$A$4:$G$1000,6,0)</f>
        <v>0</v>
      </c>
      <c r="G265" s="122">
        <f>VLOOKUP(A265,[1]INDICE!$A$4:$G$1000,7,0)</f>
        <v>37.076000000000001</v>
      </c>
      <c r="H265" s="116" t="b">
        <f>A265=[2]INDFILTRO!A265</f>
        <v>0</v>
      </c>
      <c r="I265" s="113" t="b">
        <f>B265=[3]INDFILTRO!B264</f>
        <v>0</v>
      </c>
      <c r="J265" s="113" t="b">
        <f>E265=[2]INDFILTRO!E265</f>
        <v>0</v>
      </c>
      <c r="K265" s="113" t="b">
        <f>F265=[2]INDFILTRO!F265</f>
        <v>1</v>
      </c>
      <c r="L265" s="116" t="str">
        <f t="shared" si="13"/>
        <v>verdadeiro</v>
      </c>
      <c r="M265" s="124">
        <f t="shared" si="14"/>
        <v>712</v>
      </c>
      <c r="R265" s="253" t="b">
        <f t="shared" si="12"/>
        <v>1</v>
      </c>
      <c r="S265" s="253"/>
      <c r="T265" s="253"/>
    </row>
    <row r="266" spans="1:20" s="113" customFormat="1" ht="11.25">
      <c r="A266" s="121">
        <v>713</v>
      </c>
      <c r="B266" s="122" t="str">
        <f>VLOOKUP(A266,[1]INDICE!$A$4:$G$1000,2,0)</f>
        <v>CONDULETE METÁLICO - CAIXA COM 5 ENTRADAS</v>
      </c>
      <c r="C266" s="160" t="str">
        <f>VLOOKUP(A266,[1]INDICE!$A$4:$G$1000,3,0)</f>
        <v>UN</v>
      </c>
      <c r="D266" s="122">
        <f>VLOOKUP(A266,[1]INDICE!$A$4:$G$1000,4,0)</f>
        <v>13.1342</v>
      </c>
      <c r="E266" s="122">
        <f>VLOOKUP(A266,[1]INDICE!$A$4:$G$1000,5,0)</f>
        <v>4.03</v>
      </c>
      <c r="F266" s="122">
        <f>VLOOKUP(A266,[1]INDICE!$A$4:$G$1000,6,0)</f>
        <v>0</v>
      </c>
      <c r="G266" s="122">
        <f>VLOOKUP(A266,[1]INDICE!$A$4:$G$1000,7,0)</f>
        <v>17.164200000000001</v>
      </c>
      <c r="H266" s="116" t="b">
        <f>A266=[2]INDFILTRO!A266</f>
        <v>0</v>
      </c>
      <c r="I266" s="113" t="b">
        <f>B266=[3]INDFILTRO!B265</f>
        <v>0</v>
      </c>
      <c r="J266" s="113" t="b">
        <f>E266=[2]INDFILTRO!E266</f>
        <v>0</v>
      </c>
      <c r="K266" s="113" t="b">
        <f>F266=[2]INDFILTRO!F266</f>
        <v>1</v>
      </c>
      <c r="L266" s="116" t="str">
        <f t="shared" si="13"/>
        <v>verdadeiro</v>
      </c>
      <c r="M266" s="124">
        <f t="shared" si="14"/>
        <v>713</v>
      </c>
      <c r="R266" s="253" t="b">
        <f t="shared" si="12"/>
        <v>1</v>
      </c>
      <c r="S266" s="253"/>
      <c r="T266" s="253"/>
    </row>
    <row r="267" spans="1:20" s="113" customFormat="1" ht="11.25">
      <c r="A267" s="121">
        <v>714</v>
      </c>
      <c r="B267" s="122" t="str">
        <f>VLOOKUP(A267,[1]INDICE!$A$4:$G$1000,2,0)</f>
        <v>CONECTOR DE COMPRESSÃO FORMATO H PARA CABO 25 A 70 MM2</v>
      </c>
      <c r="C267" s="160" t="str">
        <f>VLOOKUP(A267,[1]INDICE!$A$4:$G$1000,3,0)</f>
        <v>UN</v>
      </c>
      <c r="D267" s="122">
        <f>VLOOKUP(A267,[1]INDICE!$A$4:$G$1000,4,0)</f>
        <v>15.452</v>
      </c>
      <c r="E267" s="122">
        <f>VLOOKUP(A267,[1]INDICE!$A$4:$G$1000,5,0)</f>
        <v>5.0599999999999996</v>
      </c>
      <c r="F267" s="122">
        <f>VLOOKUP(A267,[1]INDICE!$A$4:$G$1000,6,0)</f>
        <v>0</v>
      </c>
      <c r="G267" s="122">
        <f>VLOOKUP(A267,[1]INDICE!$A$4:$G$1000,7,0)</f>
        <v>20.512</v>
      </c>
      <c r="H267" s="116" t="b">
        <f>A267=[2]INDFILTRO!A267</f>
        <v>0</v>
      </c>
      <c r="I267" s="113" t="b">
        <f>B267=[3]INDFILTRO!B266</f>
        <v>0</v>
      </c>
      <c r="J267" s="113" t="b">
        <f>E267=[2]INDFILTRO!E267</f>
        <v>0</v>
      </c>
      <c r="K267" s="113" t="b">
        <f>F267=[2]INDFILTRO!F267</f>
        <v>1</v>
      </c>
      <c r="L267" s="116" t="str">
        <f t="shared" si="13"/>
        <v>verdadeiro</v>
      </c>
      <c r="M267" s="124">
        <f t="shared" si="14"/>
        <v>714</v>
      </c>
      <c r="R267" s="253" t="b">
        <f t="shared" si="12"/>
        <v>1</v>
      </c>
      <c r="S267" s="253"/>
      <c r="T267" s="253"/>
    </row>
    <row r="268" spans="1:20" s="113" customFormat="1" ht="11.25">
      <c r="A268" s="121">
        <v>715</v>
      </c>
      <c r="B268" s="122" t="str">
        <f>VLOOKUP(A268,[1]INDICE!$A$4:$G$1000,2,0)</f>
        <v>CONECTOR TRIPOLAR EM PORCELANA PARA FIOS DE ATÉ 10MM2 (BORNES) 50A-250V (CHUVEIRO)</v>
      </c>
      <c r="C268" s="160" t="str">
        <f>VLOOKUP(A268,[1]INDICE!$A$4:$G$1000,3,0)</f>
        <v>UN</v>
      </c>
      <c r="D268" s="122">
        <f>VLOOKUP(A268,[1]INDICE!$A$4:$G$1000,4,0)</f>
        <v>11.2027</v>
      </c>
      <c r="E268" s="122">
        <f>VLOOKUP(A268,[1]INDICE!$A$4:$G$1000,5,0)</f>
        <v>2.4900000000000002</v>
      </c>
      <c r="F268" s="122">
        <f>VLOOKUP(A268,[1]INDICE!$A$4:$G$1000,6,0)</f>
        <v>0</v>
      </c>
      <c r="G268" s="122">
        <f>VLOOKUP(A268,[1]INDICE!$A$4:$G$1000,7,0)</f>
        <v>13.6927</v>
      </c>
      <c r="H268" s="116" t="b">
        <f>A268=[2]INDFILTRO!A268</f>
        <v>0</v>
      </c>
      <c r="I268" s="113" t="b">
        <f>B268=[3]INDFILTRO!B267</f>
        <v>0</v>
      </c>
      <c r="J268" s="113" t="b">
        <f>E268=[2]INDFILTRO!E268</f>
        <v>0</v>
      </c>
      <c r="K268" s="113" t="b">
        <f>F268=[2]INDFILTRO!F268</f>
        <v>1</v>
      </c>
      <c r="L268" s="116" t="str">
        <f t="shared" si="13"/>
        <v>verdadeiro</v>
      </c>
      <c r="M268" s="124">
        <f t="shared" si="14"/>
        <v>715</v>
      </c>
      <c r="R268" s="253" t="b">
        <f t="shared" si="12"/>
        <v>1</v>
      </c>
      <c r="S268" s="253"/>
      <c r="T268" s="253"/>
    </row>
    <row r="269" spans="1:20" s="113" customFormat="1" ht="11.25">
      <c r="A269" s="121">
        <v>716</v>
      </c>
      <c r="B269" s="122" t="str">
        <f>VLOOKUP(A269,[1]INDICE!$A$4:$G$1000,2,0)</f>
        <v>CURVA DE 90 GRAUS AÇO GALVANIZADO DIAM.3/4"</v>
      </c>
      <c r="C269" s="160" t="str">
        <f>VLOOKUP(A269,[1]INDICE!$A$4:$G$1000,3,0)</f>
        <v>UN</v>
      </c>
      <c r="D269" s="122">
        <f>VLOOKUP(A269,[1]INDICE!$A$4:$G$1000,4,0)</f>
        <v>5.0219000000000005</v>
      </c>
      <c r="E269" s="122">
        <f>VLOOKUP(A269,[1]INDICE!$A$4:$G$1000,5,0)</f>
        <v>3.29</v>
      </c>
      <c r="F269" s="122">
        <f>VLOOKUP(A269,[1]INDICE!$A$4:$G$1000,6,0)</f>
        <v>0</v>
      </c>
      <c r="G269" s="122">
        <f>VLOOKUP(A269,[1]INDICE!$A$4:$G$1000,7,0)</f>
        <v>8.3119000000000014</v>
      </c>
      <c r="H269" s="116" t="b">
        <f>A269=[2]INDFILTRO!A269</f>
        <v>0</v>
      </c>
      <c r="I269" s="113" t="b">
        <f>B269=[3]INDFILTRO!B268</f>
        <v>0</v>
      </c>
      <c r="J269" s="113" t="b">
        <f>E269=[2]INDFILTRO!E269</f>
        <v>0</v>
      </c>
      <c r="K269" s="113" t="b">
        <f>F269=[2]INDFILTRO!F269</f>
        <v>1</v>
      </c>
      <c r="L269" s="116" t="str">
        <f t="shared" si="13"/>
        <v>verdadeiro</v>
      </c>
      <c r="M269" s="124">
        <f t="shared" si="14"/>
        <v>716</v>
      </c>
      <c r="R269" s="253" t="b">
        <f t="shared" si="12"/>
        <v>1</v>
      </c>
      <c r="S269" s="253"/>
      <c r="T269" s="253"/>
    </row>
    <row r="270" spans="1:20" s="113" customFormat="1" ht="11.25">
      <c r="A270" s="121">
        <v>717</v>
      </c>
      <c r="B270" s="122" t="str">
        <f>VLOOKUP(A270,[1]INDICE!$A$4:$G$1000,2,0)</f>
        <v>CURVA DE 90 GRAUS AÇO GALVANIZADO DIÂMETRO 4"</v>
      </c>
      <c r="C270" s="160" t="str">
        <f>VLOOKUP(A270,[1]INDICE!$A$4:$G$1000,3,0)</f>
        <v>UN</v>
      </c>
      <c r="D270" s="122">
        <f>VLOOKUP(A270,[1]INDICE!$A$4:$G$1000,4,0)</f>
        <v>69.533999999999992</v>
      </c>
      <c r="E270" s="122">
        <f>VLOOKUP(A270,[1]INDICE!$A$4:$G$1000,5,0)</f>
        <v>102.73</v>
      </c>
      <c r="F270" s="122">
        <f>VLOOKUP(A270,[1]INDICE!$A$4:$G$1000,6,0)</f>
        <v>0</v>
      </c>
      <c r="G270" s="122">
        <f>VLOOKUP(A270,[1]INDICE!$A$4:$G$1000,7,0)</f>
        <v>172.26400000000001</v>
      </c>
      <c r="H270" s="116" t="b">
        <f>A270=[2]INDFILTRO!A270</f>
        <v>0</v>
      </c>
      <c r="I270" s="113" t="b">
        <f>B270=[3]INDFILTRO!B269</f>
        <v>0</v>
      </c>
      <c r="J270" s="113" t="b">
        <f>E270=[2]INDFILTRO!E270</f>
        <v>0</v>
      </c>
      <c r="K270" s="113" t="b">
        <f>F270=[2]INDFILTRO!F270</f>
        <v>1</v>
      </c>
      <c r="L270" s="116" t="str">
        <f t="shared" si="13"/>
        <v>verdadeiro</v>
      </c>
      <c r="M270" s="124">
        <f t="shared" si="14"/>
        <v>717</v>
      </c>
      <c r="R270" s="253" t="b">
        <f t="shared" si="12"/>
        <v>1</v>
      </c>
      <c r="S270" s="253"/>
      <c r="T270" s="253"/>
    </row>
    <row r="271" spans="1:20" s="113" customFormat="1" ht="11.25">
      <c r="A271" s="121">
        <v>718</v>
      </c>
      <c r="B271" s="122" t="str">
        <f>VLOOKUP(A271,[1]INDICE!$A$4:$G$1000,2,0)</f>
        <v>DISPOSITIVO DE PROTEÇÃO CONTRA SURTOS (D.P.S.) 275V DE 8 A 40KA</v>
      </c>
      <c r="C271" s="160" t="str">
        <f>VLOOKUP(A271,[1]INDICE!$A$4:$G$1000,3,0)</f>
        <v>UN</v>
      </c>
      <c r="D271" s="122">
        <f>VLOOKUP(A271,[1]INDICE!$A$4:$G$1000,4,0)</f>
        <v>38.629999999999995</v>
      </c>
      <c r="E271" s="122">
        <f>VLOOKUP(A271,[1]INDICE!$A$4:$G$1000,5,0)</f>
        <v>96.88</v>
      </c>
      <c r="F271" s="122">
        <f>VLOOKUP(A271,[1]INDICE!$A$4:$G$1000,6,0)</f>
        <v>0</v>
      </c>
      <c r="G271" s="122">
        <f>VLOOKUP(A271,[1]INDICE!$A$4:$G$1000,7,0)</f>
        <v>135.51</v>
      </c>
      <c r="H271" s="116" t="b">
        <f>A271=[2]INDFILTRO!A271</f>
        <v>0</v>
      </c>
      <c r="I271" s="113" t="b">
        <f>B271=[3]INDFILTRO!B270</f>
        <v>0</v>
      </c>
      <c r="J271" s="113" t="b">
        <f>E271=[2]INDFILTRO!E271</f>
        <v>0</v>
      </c>
      <c r="K271" s="113" t="b">
        <f>F271=[2]INDFILTRO!F271</f>
        <v>1</v>
      </c>
      <c r="L271" s="116" t="str">
        <f t="shared" si="13"/>
        <v>verdadeiro</v>
      </c>
      <c r="M271" s="124">
        <f t="shared" si="14"/>
        <v>718</v>
      </c>
      <c r="R271" s="253" t="b">
        <f t="shared" si="12"/>
        <v>1</v>
      </c>
      <c r="S271" s="253"/>
      <c r="T271" s="253"/>
    </row>
    <row r="272" spans="1:20" s="113" customFormat="1" ht="11.25">
      <c r="A272" s="121">
        <v>719</v>
      </c>
      <c r="B272" s="122" t="str">
        <f>VLOOKUP(A272,[1]INDICE!$A$4:$G$1000,2,0)</f>
        <v>ELETRODUTO EM AÇO GALVANIZADO A FOGO DIÂMETRO 3/4" - PESADO</v>
      </c>
      <c r="C272" s="160" t="str">
        <f>VLOOKUP(A272,[1]INDICE!$A$4:$G$1000,3,0)</f>
        <v>M</v>
      </c>
      <c r="D272" s="122">
        <f>VLOOKUP(A272,[1]INDICE!$A$4:$G$1000,4,0)</f>
        <v>11.588999999999999</v>
      </c>
      <c r="E272" s="122">
        <f>VLOOKUP(A272,[1]INDICE!$A$4:$G$1000,5,0)</f>
        <v>10.28</v>
      </c>
      <c r="F272" s="122">
        <f>VLOOKUP(A272,[1]INDICE!$A$4:$G$1000,6,0)</f>
        <v>0</v>
      </c>
      <c r="G272" s="122">
        <f>VLOOKUP(A272,[1]INDICE!$A$4:$G$1000,7,0)</f>
        <v>21.869</v>
      </c>
      <c r="H272" s="116" t="b">
        <f>A272=[2]INDFILTRO!A272</f>
        <v>0</v>
      </c>
      <c r="I272" s="113" t="b">
        <f>B272=[3]INDFILTRO!B271</f>
        <v>0</v>
      </c>
      <c r="J272" s="113" t="b">
        <f>E272=[2]INDFILTRO!E272</f>
        <v>0</v>
      </c>
      <c r="K272" s="113" t="b">
        <f>F272=[2]INDFILTRO!F272</f>
        <v>1</v>
      </c>
      <c r="L272" s="116" t="str">
        <f t="shared" si="13"/>
        <v>verdadeiro</v>
      </c>
      <c r="M272" s="124">
        <f t="shared" si="14"/>
        <v>719</v>
      </c>
      <c r="R272" s="253" t="b">
        <f t="shared" si="12"/>
        <v>1</v>
      </c>
      <c r="S272" s="253"/>
      <c r="T272" s="253"/>
    </row>
    <row r="273" spans="1:20" s="113" customFormat="1" ht="11.25">
      <c r="A273" s="121">
        <v>720</v>
      </c>
      <c r="B273" s="122" t="str">
        <f>VLOOKUP(A273,[1]INDICE!$A$4:$G$1000,2,0)</f>
        <v>ELETRODUTO EM AÇO GALVANIZADO A FOGO DIÂMETRO 4" - PESADO</v>
      </c>
      <c r="C273" s="160" t="str">
        <f>VLOOKUP(A273,[1]INDICE!$A$4:$G$1000,3,0)</f>
        <v>M</v>
      </c>
      <c r="D273" s="122">
        <f>VLOOKUP(A273,[1]INDICE!$A$4:$G$1000,4,0)</f>
        <v>77.259999999999991</v>
      </c>
      <c r="E273" s="122">
        <f>VLOOKUP(A273,[1]INDICE!$A$4:$G$1000,5,0)</f>
        <v>75.23</v>
      </c>
      <c r="F273" s="122">
        <f>VLOOKUP(A273,[1]INDICE!$A$4:$G$1000,6,0)</f>
        <v>0</v>
      </c>
      <c r="G273" s="122">
        <f>VLOOKUP(A273,[1]INDICE!$A$4:$G$1000,7,0)</f>
        <v>152.49</v>
      </c>
      <c r="H273" s="116" t="b">
        <f>A273=[2]INDFILTRO!A273</f>
        <v>0</v>
      </c>
      <c r="I273" s="113" t="b">
        <f>B273=[3]INDFILTRO!B272</f>
        <v>0</v>
      </c>
      <c r="J273" s="113" t="b">
        <f>E273=[2]INDFILTRO!E273</f>
        <v>0</v>
      </c>
      <c r="K273" s="113" t="b">
        <f>F273=[2]INDFILTRO!F273</f>
        <v>1</v>
      </c>
      <c r="L273" s="116" t="str">
        <f t="shared" si="13"/>
        <v>verdadeiro</v>
      </c>
      <c r="M273" s="124">
        <f t="shared" si="14"/>
        <v>720</v>
      </c>
      <c r="R273" s="253" t="b">
        <f t="shared" si="12"/>
        <v>1</v>
      </c>
      <c r="S273" s="253"/>
      <c r="T273" s="253"/>
    </row>
    <row r="274" spans="1:20" s="113" customFormat="1" ht="11.25">
      <c r="A274" s="121">
        <v>721</v>
      </c>
      <c r="B274" s="122" t="str">
        <f>VLOOKUP(A274,[1]INDICE!$A$4:$G$1000,2,0)</f>
        <v>FITA ISOLANTE, ROLO DE 10,00 M</v>
      </c>
      <c r="C274" s="160" t="str">
        <f>VLOOKUP(A274,[1]INDICE!$A$4:$G$1000,3,0)</f>
        <v>UN</v>
      </c>
      <c r="D274" s="122">
        <f>VLOOKUP(A274,[1]INDICE!$A$4:$G$1000,4,0)</f>
        <v>7.726</v>
      </c>
      <c r="E274" s="122">
        <f>VLOOKUP(A274,[1]INDICE!$A$4:$G$1000,5,0)</f>
        <v>6.43</v>
      </c>
      <c r="F274" s="122">
        <f>VLOOKUP(A274,[1]INDICE!$A$4:$G$1000,6,0)</f>
        <v>0</v>
      </c>
      <c r="G274" s="122">
        <f>VLOOKUP(A274,[1]INDICE!$A$4:$G$1000,7,0)</f>
        <v>14.155999999999999</v>
      </c>
      <c r="H274" s="116" t="b">
        <f>A274=[2]INDFILTRO!A274</f>
        <v>0</v>
      </c>
      <c r="I274" s="113" t="b">
        <f>B274=[3]INDFILTRO!B273</f>
        <v>0</v>
      </c>
      <c r="J274" s="113" t="b">
        <f>E274=[2]INDFILTRO!E274</f>
        <v>0</v>
      </c>
      <c r="K274" s="113" t="b">
        <f>F274=[2]INDFILTRO!F274</f>
        <v>1</v>
      </c>
      <c r="L274" s="116" t="str">
        <f t="shared" si="13"/>
        <v>verdadeiro</v>
      </c>
      <c r="M274" s="124">
        <f t="shared" si="14"/>
        <v>721</v>
      </c>
      <c r="R274" s="253" t="b">
        <f t="shared" si="12"/>
        <v>1</v>
      </c>
      <c r="S274" s="253"/>
      <c r="T274" s="253"/>
    </row>
    <row r="275" spans="1:20" s="113" customFormat="1" ht="11.25">
      <c r="A275" s="121">
        <v>722</v>
      </c>
      <c r="B275" s="122" t="str">
        <f>VLOOKUP(A275,[1]INDICE!$A$4:$G$1000,2,0)</f>
        <v>FITA ISOLANTE, ROLO DE 20,00 M</v>
      </c>
      <c r="C275" s="160" t="str">
        <f>VLOOKUP(A275,[1]INDICE!$A$4:$G$1000,3,0)</f>
        <v>UN</v>
      </c>
      <c r="D275" s="122">
        <f>VLOOKUP(A275,[1]INDICE!$A$4:$G$1000,4,0)</f>
        <v>15.452</v>
      </c>
      <c r="E275" s="122">
        <f>VLOOKUP(A275,[1]INDICE!$A$4:$G$1000,5,0)</f>
        <v>10</v>
      </c>
      <c r="F275" s="122">
        <f>VLOOKUP(A275,[1]INDICE!$A$4:$G$1000,6,0)</f>
        <v>0</v>
      </c>
      <c r="G275" s="122">
        <f>VLOOKUP(A275,[1]INDICE!$A$4:$G$1000,7,0)</f>
        <v>25.451999999999998</v>
      </c>
      <c r="H275" s="116" t="b">
        <f>A275=[2]INDFILTRO!A275</f>
        <v>0</v>
      </c>
      <c r="I275" s="113" t="b">
        <f>B275=[3]INDFILTRO!B274</f>
        <v>0</v>
      </c>
      <c r="J275" s="113" t="b">
        <f>E275=[2]INDFILTRO!E275</f>
        <v>0</v>
      </c>
      <c r="K275" s="113" t="b">
        <f>F275=[2]INDFILTRO!F275</f>
        <v>1</v>
      </c>
      <c r="L275" s="116" t="str">
        <f t="shared" si="13"/>
        <v>verdadeiro</v>
      </c>
      <c r="M275" s="124">
        <f t="shared" si="14"/>
        <v>722</v>
      </c>
      <c r="R275" s="253" t="b">
        <f t="shared" si="12"/>
        <v>1</v>
      </c>
      <c r="S275" s="253"/>
      <c r="T275" s="253"/>
    </row>
    <row r="276" spans="1:20" s="113" customFormat="1" ht="11.25">
      <c r="A276" s="121">
        <v>723</v>
      </c>
      <c r="B276" s="122" t="str">
        <f>VLOOKUP(A276,[1]INDICE!$A$4:$G$1000,2,0)</f>
        <v>GRAMPO DE ANCORAGEM POLIMÉRICO</v>
      </c>
      <c r="C276" s="160" t="str">
        <f>VLOOKUP(A276,[1]INDICE!$A$4:$G$1000,3,0)</f>
        <v>UN</v>
      </c>
      <c r="D276" s="122">
        <f>VLOOKUP(A276,[1]INDICE!$A$4:$G$1000,4,0)</f>
        <v>15.452</v>
      </c>
      <c r="E276" s="122">
        <f>VLOOKUP(A276,[1]INDICE!$A$4:$G$1000,5,0)</f>
        <v>29.4</v>
      </c>
      <c r="F276" s="122">
        <f>VLOOKUP(A276,[1]INDICE!$A$4:$G$1000,6,0)</f>
        <v>0</v>
      </c>
      <c r="G276" s="122">
        <f>VLOOKUP(A276,[1]INDICE!$A$4:$G$1000,7,0)</f>
        <v>44.851999999999997</v>
      </c>
      <c r="H276" s="116" t="b">
        <f>A276=[2]INDFILTRO!A276</f>
        <v>0</v>
      </c>
      <c r="I276" s="113" t="b">
        <f>B276=[3]INDFILTRO!B275</f>
        <v>0</v>
      </c>
      <c r="J276" s="113" t="b">
        <f>E276=[2]INDFILTRO!E276</f>
        <v>0</v>
      </c>
      <c r="K276" s="113" t="b">
        <f>F276=[2]INDFILTRO!F276</f>
        <v>1</v>
      </c>
      <c r="L276" s="116" t="str">
        <f t="shared" si="13"/>
        <v>verdadeiro</v>
      </c>
      <c r="M276" s="124">
        <f t="shared" si="14"/>
        <v>723</v>
      </c>
      <c r="R276" s="253" t="b">
        <f t="shared" si="12"/>
        <v>1</v>
      </c>
      <c r="S276" s="253"/>
      <c r="T276" s="253"/>
    </row>
    <row r="277" spans="1:20" s="113" customFormat="1" ht="11.25">
      <c r="A277" s="121">
        <v>724</v>
      </c>
      <c r="B277" s="122" t="str">
        <f>VLOOKUP(A277,[1]INDICE!$A$4:$G$1000,2,0)</f>
        <v>INTERRUPTOR DIFERENCIAL RESIDUAL (D.R.) TETRAPOLAR DE 40A-30mA</v>
      </c>
      <c r="C277" s="160" t="str">
        <f>VLOOKUP(A277,[1]INDICE!$A$4:$G$1000,3,0)</f>
        <v>UN</v>
      </c>
      <c r="D277" s="122">
        <f>VLOOKUP(A277,[1]INDICE!$A$4:$G$1000,4,0)</f>
        <v>38.629999999999995</v>
      </c>
      <c r="E277" s="122">
        <f>VLOOKUP(A277,[1]INDICE!$A$4:$G$1000,5,0)</f>
        <v>147.75</v>
      </c>
      <c r="F277" s="122">
        <f>VLOOKUP(A277,[1]INDICE!$A$4:$G$1000,6,0)</f>
        <v>0</v>
      </c>
      <c r="G277" s="122">
        <f>VLOOKUP(A277,[1]INDICE!$A$4:$G$1000,7,0)</f>
        <v>186.38</v>
      </c>
      <c r="H277" s="116" t="b">
        <f>A277=[2]INDFILTRO!A277</f>
        <v>0</v>
      </c>
      <c r="I277" s="113" t="b">
        <f>B277=[3]INDFILTRO!B276</f>
        <v>0</v>
      </c>
      <c r="J277" s="113" t="b">
        <f>E277=[2]INDFILTRO!E277</f>
        <v>0</v>
      </c>
      <c r="K277" s="113" t="b">
        <f>F277=[2]INDFILTRO!F277</f>
        <v>1</v>
      </c>
      <c r="L277" s="116" t="str">
        <f t="shared" si="13"/>
        <v>verdadeiro</v>
      </c>
      <c r="M277" s="124">
        <f t="shared" si="14"/>
        <v>724</v>
      </c>
      <c r="R277" s="253" t="b">
        <f t="shared" si="12"/>
        <v>1</v>
      </c>
      <c r="S277" s="253"/>
      <c r="T277" s="253"/>
    </row>
    <row r="278" spans="1:20" s="113" customFormat="1" ht="11.25">
      <c r="A278" s="121">
        <v>725</v>
      </c>
      <c r="B278" s="122" t="str">
        <f>VLOOKUP(A278,[1]INDICE!$A$4:$G$1000,2,0)</f>
        <v>ISOLADOR DE ANCORAGEM POLIMÉRICO 15KV</v>
      </c>
      <c r="C278" s="160" t="str">
        <f>VLOOKUP(A278,[1]INDICE!$A$4:$G$1000,3,0)</f>
        <v>UN</v>
      </c>
      <c r="D278" s="122">
        <f>VLOOKUP(A278,[1]INDICE!$A$4:$G$1000,4,0)</f>
        <v>7.726</v>
      </c>
      <c r="E278" s="122">
        <f>VLOOKUP(A278,[1]INDICE!$A$4:$G$1000,5,0)</f>
        <v>46.94</v>
      </c>
      <c r="F278" s="122">
        <f>VLOOKUP(A278,[1]INDICE!$A$4:$G$1000,6,0)</f>
        <v>0</v>
      </c>
      <c r="G278" s="122">
        <f>VLOOKUP(A278,[1]INDICE!$A$4:$G$1000,7,0)</f>
        <v>54.665999999999997</v>
      </c>
      <c r="H278" s="116" t="b">
        <f>A278=[2]INDFILTRO!A278</f>
        <v>0</v>
      </c>
      <c r="I278" s="113" t="b">
        <f>B278=[3]INDFILTRO!B277</f>
        <v>0</v>
      </c>
      <c r="J278" s="113" t="b">
        <f>E278=[2]INDFILTRO!E278</f>
        <v>0</v>
      </c>
      <c r="K278" s="113" t="b">
        <f>F278=[2]INDFILTRO!F278</f>
        <v>1</v>
      </c>
      <c r="L278" s="116" t="str">
        <f t="shared" si="13"/>
        <v>verdadeiro</v>
      </c>
      <c r="M278" s="124">
        <f t="shared" si="14"/>
        <v>725</v>
      </c>
      <c r="R278" s="253" t="b">
        <f t="shared" si="12"/>
        <v>1</v>
      </c>
      <c r="S278" s="253"/>
      <c r="T278" s="253"/>
    </row>
    <row r="279" spans="1:20" s="113" customFormat="1" ht="11.25">
      <c r="A279" s="121">
        <v>726</v>
      </c>
      <c r="B279" s="122" t="str">
        <f>VLOOKUP(A279,[1]INDICE!$A$4:$G$1000,2,0)</f>
        <v>LUVA EM AÇO GALVANIZADO DIÂMETRO 4"</v>
      </c>
      <c r="C279" s="160" t="str">
        <f>VLOOKUP(A279,[1]INDICE!$A$4:$G$1000,3,0)</f>
        <v>UN</v>
      </c>
      <c r="D279" s="122">
        <f>VLOOKUP(A279,[1]INDICE!$A$4:$G$1000,4,0)</f>
        <v>21.246500000000005</v>
      </c>
      <c r="E279" s="122">
        <f>VLOOKUP(A279,[1]INDICE!$A$4:$G$1000,5,0)</f>
        <v>18.079999999999998</v>
      </c>
      <c r="F279" s="122">
        <f>VLOOKUP(A279,[1]INDICE!$A$4:$G$1000,6,0)</f>
        <v>0</v>
      </c>
      <c r="G279" s="122">
        <f>VLOOKUP(A279,[1]INDICE!$A$4:$G$1000,7,0)</f>
        <v>39.326500000000003</v>
      </c>
      <c r="H279" s="116" t="b">
        <f>A279=[2]INDFILTRO!A279</f>
        <v>0</v>
      </c>
      <c r="I279" s="113" t="b">
        <f>B279=[3]INDFILTRO!B278</f>
        <v>0</v>
      </c>
      <c r="J279" s="113" t="b">
        <f>E279=[2]INDFILTRO!E279</f>
        <v>0</v>
      </c>
      <c r="K279" s="113" t="b">
        <f>F279=[2]INDFILTRO!F279</f>
        <v>1</v>
      </c>
      <c r="L279" s="116" t="str">
        <f t="shared" si="13"/>
        <v>verdadeiro</v>
      </c>
      <c r="M279" s="124">
        <f t="shared" si="14"/>
        <v>726</v>
      </c>
      <c r="R279" s="253" t="b">
        <f t="shared" si="12"/>
        <v>1</v>
      </c>
      <c r="S279" s="253"/>
      <c r="T279" s="253"/>
    </row>
    <row r="280" spans="1:20" s="113" customFormat="1" ht="11.25">
      <c r="A280" s="121">
        <v>727</v>
      </c>
      <c r="B280" s="122" t="str">
        <f>VLOOKUP(A280,[1]INDICE!$A$4:$G$1000,2,0)</f>
        <v>LUMINARIA PARA JARDIM C/POSTE 2,5M, BASE CONC. E 02 GLOBOS/LEITOSOS</v>
      </c>
      <c r="C280" s="160" t="str">
        <f>VLOOKUP(A280,[1]INDICE!$A$4:$G$1000,3,0)</f>
        <v>UN</v>
      </c>
      <c r="D280" s="122">
        <f>VLOOKUP(A280,[1]INDICE!$A$4:$G$1000,4,0)</f>
        <v>112.92670400000002</v>
      </c>
      <c r="E280" s="122">
        <f>VLOOKUP(A280,[1]INDICE!$A$4:$G$1000,5,0)</f>
        <v>480.118448</v>
      </c>
      <c r="F280" s="122">
        <f>VLOOKUP(A280,[1]INDICE!$A$4:$G$1000,6,0)</f>
        <v>0</v>
      </c>
      <c r="G280" s="122">
        <f>VLOOKUP(A280,[1]INDICE!$A$4:$G$1000,7,0)</f>
        <v>593.04515200000003</v>
      </c>
      <c r="H280" s="116" t="b">
        <f>A280=[2]INDFILTRO!A280</f>
        <v>0</v>
      </c>
      <c r="I280" s="113" t="b">
        <f>B280=[3]INDFILTRO!B279</f>
        <v>0</v>
      </c>
      <c r="J280" s="113" t="b">
        <f>E280=[2]INDFILTRO!E280</f>
        <v>0</v>
      </c>
      <c r="K280" s="113" t="b">
        <f>F280=[2]INDFILTRO!F280</f>
        <v>1</v>
      </c>
      <c r="L280" s="116" t="str">
        <f t="shared" si="13"/>
        <v>verdadeiro</v>
      </c>
      <c r="M280" s="124">
        <f t="shared" si="14"/>
        <v>727</v>
      </c>
      <c r="R280" s="253" t="b">
        <f t="shared" si="12"/>
        <v>1</v>
      </c>
      <c r="S280" s="253"/>
      <c r="T280" s="253"/>
    </row>
    <row r="281" spans="1:20" s="113" customFormat="1" ht="11.25">
      <c r="A281" s="121">
        <v>728</v>
      </c>
      <c r="B281" s="122" t="str">
        <f>VLOOKUP(A281,[1]INDICE!$A$4:$G$1000,2,0)</f>
        <v>MANILHA-SAPATILHA EM AÇO GALVANIZADO</v>
      </c>
      <c r="C281" s="160" t="str">
        <f>VLOOKUP(A281,[1]INDICE!$A$4:$G$1000,3,0)</f>
        <v>UN</v>
      </c>
      <c r="D281" s="122">
        <f>VLOOKUP(A281,[1]INDICE!$A$4:$G$1000,4,0)</f>
        <v>15.452</v>
      </c>
      <c r="E281" s="122">
        <f>VLOOKUP(A281,[1]INDICE!$A$4:$G$1000,5,0)</f>
        <v>10.69</v>
      </c>
      <c r="F281" s="122">
        <f>VLOOKUP(A281,[1]INDICE!$A$4:$G$1000,6,0)</f>
        <v>0</v>
      </c>
      <c r="G281" s="122">
        <f>VLOOKUP(A281,[1]INDICE!$A$4:$G$1000,7,0)</f>
        <v>26.141999999999999</v>
      </c>
      <c r="H281" s="116" t="b">
        <f>A281=[2]INDFILTRO!A281</f>
        <v>0</v>
      </c>
      <c r="I281" s="113" t="b">
        <f>B281=[3]INDFILTRO!B280</f>
        <v>0</v>
      </c>
      <c r="J281" s="113" t="b">
        <f>E281=[2]INDFILTRO!E281</f>
        <v>0</v>
      </c>
      <c r="K281" s="113" t="b">
        <f>F281=[2]INDFILTRO!F281</f>
        <v>1</v>
      </c>
      <c r="L281" s="116" t="str">
        <f t="shared" si="13"/>
        <v>verdadeiro</v>
      </c>
      <c r="M281" s="124">
        <f t="shared" si="14"/>
        <v>728</v>
      </c>
      <c r="R281" s="253" t="b">
        <f t="shared" si="12"/>
        <v>1</v>
      </c>
      <c r="S281" s="253"/>
      <c r="T281" s="253"/>
    </row>
    <row r="282" spans="1:20" s="113" customFormat="1" ht="22.5">
      <c r="A282" s="121">
        <v>729</v>
      </c>
      <c r="B282" s="122" t="str">
        <f>VLOOKUP(A282,[1]INDICE!$A$4:$G$1000,2,0)</f>
        <v>MURETA MEDIÇÃO ALVEN. 1 1/2 V.(35CM) REBOC.C/PINTURA ACRÍL. E LAJE CONC. 20MPA MALHA 8.0MM CADA 10CM REVEST.C/ARGAMASSA 1:3 C/ IMPERMEABILIZANTE</v>
      </c>
      <c r="C282" s="160" t="str">
        <f>VLOOKUP(A282,[1]INDICE!$A$4:$G$1000,3,0)</f>
        <v>M2</v>
      </c>
      <c r="D282" s="122">
        <f>VLOOKUP(A282,[1]INDICE!$A$4:$G$1000,4,0)</f>
        <v>208.25929999999997</v>
      </c>
      <c r="E282" s="122">
        <f>VLOOKUP(A282,[1]INDICE!$A$4:$G$1000,5,0)</f>
        <v>225.85207107438018</v>
      </c>
      <c r="F282" s="122">
        <f>VLOOKUP(A282,[1]INDICE!$A$4:$G$1000,6,0)</f>
        <v>0</v>
      </c>
      <c r="G282" s="122">
        <f>VLOOKUP(A282,[1]INDICE!$A$4:$G$1000,7,0)</f>
        <v>434.11137107438014</v>
      </c>
      <c r="H282" s="116" t="b">
        <f>A282=[2]INDFILTRO!A282</f>
        <v>0</v>
      </c>
      <c r="I282" s="113" t="b">
        <f>B282=[3]INDFILTRO!B281</f>
        <v>0</v>
      </c>
      <c r="J282" s="113" t="b">
        <f>E282=[2]INDFILTRO!E282</f>
        <v>0</v>
      </c>
      <c r="K282" s="113" t="b">
        <f>F282=[2]INDFILTRO!F282</f>
        <v>1</v>
      </c>
      <c r="L282" s="116" t="str">
        <f t="shared" si="13"/>
        <v>verdadeiro</v>
      </c>
      <c r="M282" s="124">
        <f t="shared" si="14"/>
        <v>729</v>
      </c>
      <c r="R282" s="253" t="b">
        <f t="shared" si="12"/>
        <v>1</v>
      </c>
      <c r="S282" s="253"/>
      <c r="T282" s="253"/>
    </row>
    <row r="283" spans="1:20" s="113" customFormat="1" ht="11.25">
      <c r="A283" s="121">
        <v>730</v>
      </c>
      <c r="B283" s="122" t="str">
        <f>VLOOKUP(A283,[1]INDICE!$A$4:$G$1000,2,0)</f>
        <v>NIPLE METALICO Fo.Zo. DIAMETRO 1 1/4"</v>
      </c>
      <c r="C283" s="160" t="str">
        <f>VLOOKUP(A283,[1]INDICE!$A$4:$G$1000,3,0)</f>
        <v>UN</v>
      </c>
      <c r="D283" s="122">
        <f>VLOOKUP(A283,[1]INDICE!$A$4:$G$1000,4,0)</f>
        <v>3.863</v>
      </c>
      <c r="E283" s="122">
        <f>VLOOKUP(A283,[1]INDICE!$A$4:$G$1000,5,0)</f>
        <v>10.220000000000001</v>
      </c>
      <c r="F283" s="122">
        <f>VLOOKUP(A283,[1]INDICE!$A$4:$G$1000,6,0)</f>
        <v>0</v>
      </c>
      <c r="G283" s="122">
        <f>VLOOKUP(A283,[1]INDICE!$A$4:$G$1000,7,0)</f>
        <v>14.083</v>
      </c>
      <c r="H283" s="116" t="b">
        <f>A283=[2]INDFILTRO!A283</f>
        <v>0</v>
      </c>
      <c r="I283" s="113" t="b">
        <f>B283=[3]INDFILTRO!B282</f>
        <v>0</v>
      </c>
      <c r="J283" s="113" t="b">
        <f>E283=[2]INDFILTRO!E283</f>
        <v>0</v>
      </c>
      <c r="K283" s="113" t="b">
        <f>F283=[2]INDFILTRO!F283</f>
        <v>1</v>
      </c>
      <c r="L283" s="116" t="str">
        <f t="shared" si="13"/>
        <v>verdadeiro</v>
      </c>
      <c r="M283" s="124">
        <f t="shared" si="14"/>
        <v>730</v>
      </c>
      <c r="R283" s="253" t="b">
        <f t="shared" si="12"/>
        <v>1</v>
      </c>
      <c r="S283" s="253"/>
      <c r="T283" s="253"/>
    </row>
    <row r="284" spans="1:20" s="113" customFormat="1" ht="11.25">
      <c r="A284" s="121">
        <v>731</v>
      </c>
      <c r="B284" s="122" t="str">
        <f>VLOOKUP(A284,[1]INDICE!$A$4:$G$1000,2,0)</f>
        <v>NIPLE METALICO Fo.Zo. DIAMETRO 4"</v>
      </c>
      <c r="C284" s="160" t="str">
        <f>VLOOKUP(A284,[1]INDICE!$A$4:$G$1000,3,0)</f>
        <v>UN</v>
      </c>
      <c r="D284" s="122">
        <f>VLOOKUP(A284,[1]INDICE!$A$4:$G$1000,4,0)</f>
        <v>21.246500000000005</v>
      </c>
      <c r="E284" s="122">
        <f>VLOOKUP(A284,[1]INDICE!$A$4:$G$1000,5,0)</f>
        <v>84.63</v>
      </c>
      <c r="F284" s="122">
        <f>VLOOKUP(A284,[1]INDICE!$A$4:$G$1000,6,0)</f>
        <v>0</v>
      </c>
      <c r="G284" s="122">
        <f>VLOOKUP(A284,[1]INDICE!$A$4:$G$1000,7,0)</f>
        <v>105.87649999999999</v>
      </c>
      <c r="H284" s="116" t="b">
        <f>A284=[2]INDFILTRO!A284</f>
        <v>0</v>
      </c>
      <c r="I284" s="113" t="b">
        <f>B284=[3]INDFILTRO!B283</f>
        <v>0</v>
      </c>
      <c r="J284" s="113" t="b">
        <f>E284=[2]INDFILTRO!E284</f>
        <v>0</v>
      </c>
      <c r="K284" s="113" t="b">
        <f>F284=[2]INDFILTRO!F284</f>
        <v>1</v>
      </c>
      <c r="L284" s="116" t="str">
        <f t="shared" si="13"/>
        <v>verdadeiro</v>
      </c>
      <c r="M284" s="124">
        <f t="shared" si="14"/>
        <v>731</v>
      </c>
      <c r="R284" s="253" t="b">
        <f t="shared" si="12"/>
        <v>1</v>
      </c>
      <c r="S284" s="253"/>
      <c r="T284" s="253"/>
    </row>
    <row r="285" spans="1:20" s="113" customFormat="1" ht="11.25">
      <c r="A285" s="121">
        <v>732</v>
      </c>
      <c r="B285" s="122" t="str">
        <f>VLOOKUP(A285,[1]INDICE!$A$4:$G$1000,2,0)</f>
        <v>OLHAL PARA PARAFUSO</v>
      </c>
      <c r="C285" s="160" t="str">
        <f>VLOOKUP(A285,[1]INDICE!$A$4:$G$1000,3,0)</f>
        <v>UN</v>
      </c>
      <c r="D285" s="122">
        <f>VLOOKUP(A285,[1]INDICE!$A$4:$G$1000,4,0)</f>
        <v>11.588999999999999</v>
      </c>
      <c r="E285" s="122">
        <f>VLOOKUP(A285,[1]INDICE!$A$4:$G$1000,5,0)</f>
        <v>8.73</v>
      </c>
      <c r="F285" s="122">
        <f>VLOOKUP(A285,[1]INDICE!$A$4:$G$1000,6,0)</f>
        <v>0</v>
      </c>
      <c r="G285" s="122">
        <f>VLOOKUP(A285,[1]INDICE!$A$4:$G$1000,7,0)</f>
        <v>20.318999999999999</v>
      </c>
      <c r="H285" s="116" t="b">
        <f>A285=[2]INDFILTRO!A285</f>
        <v>0</v>
      </c>
      <c r="I285" s="113" t="b">
        <f>B285=[3]INDFILTRO!B284</f>
        <v>0</v>
      </c>
      <c r="J285" s="113" t="b">
        <f>E285=[2]INDFILTRO!E285</f>
        <v>0</v>
      </c>
      <c r="K285" s="113" t="b">
        <f>F285=[2]INDFILTRO!F285</f>
        <v>1</v>
      </c>
      <c r="L285" s="116" t="str">
        <f t="shared" si="13"/>
        <v>verdadeiro</v>
      </c>
      <c r="M285" s="124">
        <f t="shared" si="14"/>
        <v>732</v>
      </c>
      <c r="R285" s="253" t="b">
        <f t="shared" si="12"/>
        <v>1</v>
      </c>
      <c r="S285" s="253"/>
      <c r="T285" s="253"/>
    </row>
    <row r="286" spans="1:20" s="113" customFormat="1" ht="22.5">
      <c r="A286" s="121">
        <v>733</v>
      </c>
      <c r="B286" s="122" t="str">
        <f>VLOOKUP(A286,[1]INDICE!$A$4:$G$1000,2,0)</f>
        <v>PARA RAIOS DISTRIBUIDOR POLIMÉRICO ÓXIDO DE ZINCO S/CENTELHADOR C/ DESLIGAMENTO AUTOMÁTICO 15KV,10KA</v>
      </c>
      <c r="C286" s="160" t="str">
        <f>VLOOKUP(A286,[1]INDICE!$A$4:$G$1000,3,0)</f>
        <v>UN</v>
      </c>
      <c r="D286" s="122">
        <f>VLOOKUP(A286,[1]INDICE!$A$4:$G$1000,4,0)</f>
        <v>57.945</v>
      </c>
      <c r="E286" s="122">
        <f>VLOOKUP(A286,[1]INDICE!$A$4:$G$1000,5,0)</f>
        <v>172.73</v>
      </c>
      <c r="F286" s="122">
        <f>VLOOKUP(A286,[1]INDICE!$A$4:$G$1000,6,0)</f>
        <v>0</v>
      </c>
      <c r="G286" s="122">
        <f>VLOOKUP(A286,[1]INDICE!$A$4:$G$1000,7,0)</f>
        <v>230.67499999999998</v>
      </c>
      <c r="H286" s="116" t="b">
        <f>A286=[2]INDFILTRO!A286</f>
        <v>0</v>
      </c>
      <c r="I286" s="113" t="b">
        <f>B286=[3]INDFILTRO!B285</f>
        <v>0</v>
      </c>
      <c r="J286" s="113" t="b">
        <f>E286=[2]INDFILTRO!E286</f>
        <v>0</v>
      </c>
      <c r="K286" s="113" t="b">
        <f>F286=[2]INDFILTRO!F286</f>
        <v>1</v>
      </c>
      <c r="L286" s="116" t="str">
        <f t="shared" si="13"/>
        <v>verdadeiro</v>
      </c>
      <c r="M286" s="124">
        <f t="shared" si="14"/>
        <v>733</v>
      </c>
      <c r="R286" s="253" t="b">
        <f t="shared" si="12"/>
        <v>1</v>
      </c>
      <c r="S286" s="253"/>
      <c r="T286" s="253"/>
    </row>
    <row r="287" spans="1:20" s="113" customFormat="1" ht="21.75" customHeight="1">
      <c r="A287" s="121">
        <v>735</v>
      </c>
      <c r="B287" s="122" t="str">
        <f>VLOOKUP(A287,[1]INDICE!$A$4:$G$1000,2,0)</f>
        <v>POSTE - FUNDAÇÃO EM CONCRETO SIMPLES DA BASE DOS POSTES 11/600 PARA TRAFO ( DIAM. 1000MM)</v>
      </c>
      <c r="C287" s="160" t="str">
        <f>VLOOKUP(A287,[1]INDICE!$A$4:$G$1000,3,0)</f>
        <v>M</v>
      </c>
      <c r="D287" s="122">
        <f>VLOOKUP(A287,[1]INDICE!$A$4:$G$1000,4,0)</f>
        <v>377.86340000000001</v>
      </c>
      <c r="E287" s="122">
        <f>VLOOKUP(A287,[1]INDICE!$A$4:$G$1000,5,0)</f>
        <v>223.879605</v>
      </c>
      <c r="F287" s="122">
        <f>VLOOKUP(A287,[1]INDICE!$A$4:$G$1000,6,0)</f>
        <v>0</v>
      </c>
      <c r="G287" s="122">
        <f>VLOOKUP(A287,[1]INDICE!$A$4:$G$1000,7,0)</f>
        <v>601.74300500000004</v>
      </c>
      <c r="H287" s="116" t="b">
        <f>A287=[2]INDFILTRO!A287</f>
        <v>0</v>
      </c>
      <c r="I287" s="113" t="b">
        <f>B287=[3]INDFILTRO!B286</f>
        <v>0</v>
      </c>
      <c r="J287" s="113" t="b">
        <f>E287=[2]INDFILTRO!E287</f>
        <v>0</v>
      </c>
      <c r="K287" s="113" t="b">
        <f>F287=[2]INDFILTRO!F287</f>
        <v>1</v>
      </c>
      <c r="L287" s="116" t="str">
        <f t="shared" si="13"/>
        <v>verdadeiro</v>
      </c>
      <c r="M287" s="124">
        <f t="shared" si="14"/>
        <v>735</v>
      </c>
      <c r="R287" s="253" t="b">
        <f t="shared" si="12"/>
        <v>1</v>
      </c>
      <c r="S287" s="253"/>
      <c r="T287" s="253"/>
    </row>
    <row r="288" spans="1:20" s="113" customFormat="1" ht="11.25">
      <c r="A288" s="121">
        <v>736</v>
      </c>
      <c r="B288" s="122" t="str">
        <f>VLOOKUP(A288,[1]INDICE!$A$4:$G$1000,2,0)</f>
        <v>POSTE/TRAFO - CAMINHÃO MUNCK 12 TON. (MÍNIMO 4H/DIA)</v>
      </c>
      <c r="C288" s="160" t="str">
        <f>VLOOKUP(A288,[1]INDICE!$A$4:$G$1000,3,0)</f>
        <v>H</v>
      </c>
      <c r="D288" s="122">
        <f>VLOOKUP(A288,[1]INDICE!$A$4:$G$1000,4,0)</f>
        <v>0</v>
      </c>
      <c r="E288" s="122">
        <f>VLOOKUP(A288,[1]INDICE!$A$4:$G$1000,5,0)</f>
        <v>140</v>
      </c>
      <c r="F288" s="122">
        <f>VLOOKUP(A288,[1]INDICE!$A$4:$G$1000,6,0)</f>
        <v>0</v>
      </c>
      <c r="G288" s="122">
        <f>VLOOKUP(A288,[1]INDICE!$A$4:$G$1000,7,0)</f>
        <v>140</v>
      </c>
      <c r="H288" s="116" t="b">
        <f>A288=[2]INDFILTRO!A288</f>
        <v>0</v>
      </c>
      <c r="I288" s="113" t="b">
        <f>B288=[3]INDFILTRO!B287</f>
        <v>0</v>
      </c>
      <c r="J288" s="113" t="b">
        <f>E288=[2]INDFILTRO!E288</f>
        <v>0</v>
      </c>
      <c r="K288" s="113" t="b">
        <f>F288=[2]INDFILTRO!F288</f>
        <v>1</v>
      </c>
      <c r="L288" s="116" t="str">
        <f t="shared" si="13"/>
        <v>verdadeiro</v>
      </c>
      <c r="M288" s="124">
        <f t="shared" si="14"/>
        <v>736</v>
      </c>
      <c r="R288" s="253" t="b">
        <f t="shared" si="12"/>
        <v>1</v>
      </c>
      <c r="S288" s="253"/>
      <c r="T288" s="253"/>
    </row>
    <row r="289" spans="1:20" s="113" customFormat="1" ht="11.25">
      <c r="A289" s="121">
        <v>737</v>
      </c>
      <c r="B289" s="122" t="str">
        <f>VLOOKUP(A289,[1]INDICE!$A$4:$G$1000,2,0)</f>
        <v>PROTETOR PARA PARA-RAIO POLIMÉRICO</v>
      </c>
      <c r="C289" s="160" t="str">
        <f>VLOOKUP(A289,[1]INDICE!$A$4:$G$1000,3,0)</f>
        <v>UN</v>
      </c>
      <c r="D289" s="122">
        <f>VLOOKUP(A289,[1]INDICE!$A$4:$G$1000,4,0)</f>
        <v>0.57945000000000002</v>
      </c>
      <c r="E289" s="122">
        <f>VLOOKUP(A289,[1]INDICE!$A$4:$G$1000,5,0)</f>
        <v>16.73</v>
      </c>
      <c r="F289" s="122">
        <f>VLOOKUP(A289,[1]INDICE!$A$4:$G$1000,6,0)</f>
        <v>0</v>
      </c>
      <c r="G289" s="122">
        <f>VLOOKUP(A289,[1]INDICE!$A$4:$G$1000,7,0)</f>
        <v>17.309450000000002</v>
      </c>
      <c r="H289" s="116" t="b">
        <f>A289=[2]INDFILTRO!A289</f>
        <v>0</v>
      </c>
      <c r="I289" s="113" t="b">
        <f>B289=[3]INDFILTRO!B288</f>
        <v>0</v>
      </c>
      <c r="J289" s="113" t="b">
        <f>E289=[2]INDFILTRO!E289</f>
        <v>0</v>
      </c>
      <c r="K289" s="113" t="b">
        <f>F289=[2]INDFILTRO!F289</f>
        <v>1</v>
      </c>
      <c r="L289" s="116" t="str">
        <f t="shared" si="13"/>
        <v>verdadeiro</v>
      </c>
      <c r="M289" s="124">
        <f t="shared" si="14"/>
        <v>737</v>
      </c>
      <c r="R289" s="253" t="b">
        <f t="shared" si="12"/>
        <v>1</v>
      </c>
      <c r="S289" s="253"/>
      <c r="T289" s="253"/>
    </row>
    <row r="290" spans="1:20" s="113" customFormat="1" ht="11.25">
      <c r="A290" s="121">
        <v>738</v>
      </c>
      <c r="B290" s="122" t="str">
        <f>VLOOKUP(A290,[1]INDICE!$A$4:$G$1000,2,0)</f>
        <v>QUADRO DE DISTRIBUIÇÃO DE EMBUTIR EM PVC CB 24E - 80A</v>
      </c>
      <c r="C290" s="160" t="str">
        <f>VLOOKUP(A290,[1]INDICE!$A$4:$G$1000,3,0)</f>
        <v>UN</v>
      </c>
      <c r="D290" s="122">
        <f>VLOOKUP(A290,[1]INDICE!$A$4:$G$1000,4,0)</f>
        <v>115.89</v>
      </c>
      <c r="E290" s="122">
        <f>VLOOKUP(A290,[1]INDICE!$A$4:$G$1000,5,0)</f>
        <v>16.73</v>
      </c>
      <c r="F290" s="122">
        <f>VLOOKUP(A290,[1]INDICE!$A$4:$G$1000,6,0)</f>
        <v>0</v>
      </c>
      <c r="G290" s="122">
        <f>VLOOKUP(A290,[1]INDICE!$A$4:$G$1000,7,0)</f>
        <v>132.62</v>
      </c>
      <c r="H290" s="116" t="b">
        <f>A290=[2]INDFILTRO!A290</f>
        <v>0</v>
      </c>
      <c r="I290" s="113" t="b">
        <f>B290=[3]INDFILTRO!B289</f>
        <v>0</v>
      </c>
      <c r="J290" s="113" t="b">
        <f>E290=[2]INDFILTRO!E290</f>
        <v>0</v>
      </c>
      <c r="K290" s="113" t="b">
        <f>F290=[2]INDFILTRO!F290</f>
        <v>1</v>
      </c>
      <c r="L290" s="116" t="str">
        <f t="shared" si="13"/>
        <v>verdadeiro</v>
      </c>
      <c r="M290" s="124">
        <f t="shared" si="14"/>
        <v>738</v>
      </c>
      <c r="R290" s="253" t="b">
        <f t="shared" si="12"/>
        <v>1</v>
      </c>
      <c r="S290" s="253"/>
      <c r="T290" s="253"/>
    </row>
    <row r="291" spans="1:20" s="113" customFormat="1" ht="11.25">
      <c r="A291" s="121">
        <v>739</v>
      </c>
      <c r="B291" s="122" t="str">
        <f>VLOOKUP(A291,[1]INDICE!$A$4:$G$1000,2,0)</f>
        <v>QUADRO DE DISTRIBUIÇÃO DE EMBUTIR EM PVC CB 48E - 80A</v>
      </c>
      <c r="C291" s="160" t="str">
        <f>VLOOKUP(A291,[1]INDICE!$A$4:$G$1000,3,0)</f>
        <v>UN</v>
      </c>
      <c r="D291" s="122">
        <f>VLOOKUP(A291,[1]INDICE!$A$4:$G$1000,4,0)</f>
        <v>231.78</v>
      </c>
      <c r="E291" s="122">
        <f>VLOOKUP(A291,[1]INDICE!$A$4:$G$1000,5,0)</f>
        <v>334.71</v>
      </c>
      <c r="F291" s="122">
        <f>VLOOKUP(A291,[1]INDICE!$A$4:$G$1000,6,0)</f>
        <v>0</v>
      </c>
      <c r="G291" s="122">
        <f>VLOOKUP(A291,[1]INDICE!$A$4:$G$1000,7,0)</f>
        <v>566.49</v>
      </c>
      <c r="H291" s="116" t="b">
        <f>A291=[2]INDFILTRO!A291</f>
        <v>0</v>
      </c>
      <c r="I291" s="113" t="b">
        <f>B291=[3]INDFILTRO!B290</f>
        <v>0</v>
      </c>
      <c r="J291" s="113" t="b">
        <f>E291=[2]INDFILTRO!E291</f>
        <v>0</v>
      </c>
      <c r="K291" s="113" t="b">
        <f>F291=[2]INDFILTRO!F291</f>
        <v>1</v>
      </c>
      <c r="L291" s="116" t="str">
        <f t="shared" si="13"/>
        <v>verdadeiro</v>
      </c>
      <c r="M291" s="124">
        <f t="shared" si="14"/>
        <v>739</v>
      </c>
      <c r="R291" s="253" t="b">
        <f t="shared" si="12"/>
        <v>1</v>
      </c>
      <c r="S291" s="253"/>
      <c r="T291" s="253"/>
    </row>
    <row r="292" spans="1:20" s="113" customFormat="1" ht="11.25">
      <c r="A292" s="121">
        <v>740</v>
      </c>
      <c r="B292" s="122" t="str">
        <f>VLOOKUP(A292,[1]INDICE!$A$4:$G$1000,2,0)</f>
        <v>QUADRO DE DISTRIBUIÇÃO DE EMBUTIR METÁLICO CB-24E - 150A</v>
      </c>
      <c r="C292" s="160" t="str">
        <f>VLOOKUP(A292,[1]INDICE!$A$4:$G$1000,3,0)</f>
        <v>UN</v>
      </c>
      <c r="D292" s="122">
        <f>VLOOKUP(A292,[1]INDICE!$A$4:$G$1000,4,0)</f>
        <v>115.89</v>
      </c>
      <c r="E292" s="122">
        <f>VLOOKUP(A292,[1]INDICE!$A$4:$G$1000,5,0)</f>
        <v>422.04</v>
      </c>
      <c r="F292" s="122">
        <f>VLOOKUP(A292,[1]INDICE!$A$4:$G$1000,6,0)</f>
        <v>0</v>
      </c>
      <c r="G292" s="122">
        <f>VLOOKUP(A292,[1]INDICE!$A$4:$G$1000,7,0)</f>
        <v>537.93000000000006</v>
      </c>
      <c r="H292" s="116" t="b">
        <f>A292=[2]INDFILTRO!A292</f>
        <v>0</v>
      </c>
      <c r="I292" s="113" t="b">
        <f>B292=[3]INDFILTRO!B291</f>
        <v>0</v>
      </c>
      <c r="J292" s="113" t="b">
        <f>E292=[2]INDFILTRO!E292</f>
        <v>0</v>
      </c>
      <c r="K292" s="113" t="b">
        <f>F292=[2]INDFILTRO!F292</f>
        <v>1</v>
      </c>
      <c r="L292" s="116" t="str">
        <f t="shared" si="13"/>
        <v>verdadeiro</v>
      </c>
      <c r="M292" s="124">
        <f t="shared" si="14"/>
        <v>740</v>
      </c>
      <c r="R292" s="253" t="b">
        <f t="shared" si="12"/>
        <v>1</v>
      </c>
      <c r="S292" s="253"/>
      <c r="T292" s="253"/>
    </row>
    <row r="293" spans="1:20" s="113" customFormat="1" ht="11.25">
      <c r="A293" s="121">
        <v>741</v>
      </c>
      <c r="B293" s="122" t="str">
        <f>VLOOKUP(A293,[1]INDICE!$A$4:$G$1000,2,0)</f>
        <v>QUADRO DE DISTRIBUIÇÃO DE EMBUTIR METÁLICO CB-34E - 150A</v>
      </c>
      <c r="C293" s="160" t="str">
        <f>VLOOKUP(A293,[1]INDICE!$A$4:$G$1000,3,0)</f>
        <v>UN</v>
      </c>
      <c r="D293" s="122">
        <f>VLOOKUP(A293,[1]INDICE!$A$4:$G$1000,4,0)</f>
        <v>154.51999999999998</v>
      </c>
      <c r="E293" s="122">
        <f>VLOOKUP(A293,[1]INDICE!$A$4:$G$1000,5,0)</f>
        <v>444.37</v>
      </c>
      <c r="F293" s="122">
        <f>VLOOKUP(A293,[1]INDICE!$A$4:$G$1000,6,0)</f>
        <v>0</v>
      </c>
      <c r="G293" s="122">
        <f>VLOOKUP(A293,[1]INDICE!$A$4:$G$1000,7,0)</f>
        <v>598.89</v>
      </c>
      <c r="H293" s="116" t="b">
        <f>A293=[2]INDFILTRO!A293</f>
        <v>0</v>
      </c>
      <c r="I293" s="113" t="b">
        <f>B293=[3]INDFILTRO!B292</f>
        <v>0</v>
      </c>
      <c r="J293" s="113" t="b">
        <f>E293=[2]INDFILTRO!E293</f>
        <v>0</v>
      </c>
      <c r="K293" s="113" t="b">
        <f>F293=[2]INDFILTRO!F293</f>
        <v>1</v>
      </c>
      <c r="L293" s="116" t="str">
        <f t="shared" si="13"/>
        <v>verdadeiro</v>
      </c>
      <c r="M293" s="124">
        <f t="shared" si="14"/>
        <v>741</v>
      </c>
      <c r="R293" s="253" t="b">
        <f t="shared" si="12"/>
        <v>1</v>
      </c>
      <c r="S293" s="253"/>
      <c r="T293" s="253"/>
    </row>
    <row r="294" spans="1:20" s="113" customFormat="1" ht="11.25">
      <c r="A294" s="121">
        <v>742</v>
      </c>
      <c r="B294" s="122" t="str">
        <f>VLOOKUP(A294,[1]INDICE!$A$4:$G$1000,2,0)</f>
        <v>SAPATILHA DE AÇO GALVANIZADO PARA POSTE COM TRANSFORMADOR</v>
      </c>
      <c r="C294" s="160" t="str">
        <f>VLOOKUP(A294,[1]INDICE!$A$4:$G$1000,3,0)</f>
        <v>UN</v>
      </c>
      <c r="D294" s="122">
        <f>VLOOKUP(A294,[1]INDICE!$A$4:$G$1000,4,0)</f>
        <v>15.452</v>
      </c>
      <c r="E294" s="122">
        <f>VLOOKUP(A294,[1]INDICE!$A$4:$G$1000,5,0)</f>
        <v>2.67</v>
      </c>
      <c r="F294" s="122">
        <f>VLOOKUP(A294,[1]INDICE!$A$4:$G$1000,6,0)</f>
        <v>0</v>
      </c>
      <c r="G294" s="122">
        <f>VLOOKUP(A294,[1]INDICE!$A$4:$G$1000,7,0)</f>
        <v>18.122</v>
      </c>
      <c r="H294" s="116" t="b">
        <f>A294=[2]INDFILTRO!A294</f>
        <v>0</v>
      </c>
      <c r="I294" s="113" t="b">
        <f>B294=[3]INDFILTRO!B293</f>
        <v>0</v>
      </c>
      <c r="J294" s="113" t="b">
        <f>E294=[2]INDFILTRO!E294</f>
        <v>0</v>
      </c>
      <c r="K294" s="113" t="b">
        <f>F294=[2]INDFILTRO!F294</f>
        <v>1</v>
      </c>
      <c r="L294" s="116" t="str">
        <f t="shared" si="13"/>
        <v>verdadeiro</v>
      </c>
      <c r="M294" s="124">
        <f t="shared" si="14"/>
        <v>742</v>
      </c>
      <c r="R294" s="253" t="b">
        <f t="shared" si="12"/>
        <v>1</v>
      </c>
      <c r="S294" s="253"/>
      <c r="T294" s="253"/>
    </row>
    <row r="295" spans="1:20" s="113" customFormat="1" ht="11.25">
      <c r="A295" s="121">
        <v>744</v>
      </c>
      <c r="B295" s="122" t="str">
        <f>VLOOKUP(A295,[1]INDICE!$A$4:$G$1000,2,0)</f>
        <v>SUPORTE Z COMPLETO</v>
      </c>
      <c r="C295" s="160" t="str">
        <f>VLOOKUP(A295,[1]INDICE!$A$4:$G$1000,3,0)</f>
        <v>UN</v>
      </c>
      <c r="D295" s="122">
        <f>VLOOKUP(A295,[1]INDICE!$A$4:$G$1000,4,0)</f>
        <v>15.452</v>
      </c>
      <c r="E295" s="122">
        <f>VLOOKUP(A295,[1]INDICE!$A$4:$G$1000,5,0)</f>
        <v>25.66</v>
      </c>
      <c r="F295" s="122">
        <f>VLOOKUP(A295,[1]INDICE!$A$4:$G$1000,6,0)</f>
        <v>0</v>
      </c>
      <c r="G295" s="122">
        <f>VLOOKUP(A295,[1]INDICE!$A$4:$G$1000,7,0)</f>
        <v>41.112000000000002</v>
      </c>
      <c r="H295" s="116" t="b">
        <f>A295=[2]INDFILTRO!A295</f>
        <v>0</v>
      </c>
      <c r="I295" s="113" t="b">
        <f>B295=[3]INDFILTRO!B294</f>
        <v>0</v>
      </c>
      <c r="J295" s="113" t="b">
        <f>E295=[2]INDFILTRO!E295</f>
        <v>0</v>
      </c>
      <c r="K295" s="113" t="b">
        <f>F295=[2]INDFILTRO!F295</f>
        <v>1</v>
      </c>
      <c r="L295" s="116" t="str">
        <f t="shared" si="13"/>
        <v>verdadeiro</v>
      </c>
      <c r="M295" s="124">
        <f t="shared" si="14"/>
        <v>744</v>
      </c>
      <c r="R295" s="253" t="b">
        <f t="shared" si="12"/>
        <v>1</v>
      </c>
      <c r="S295" s="253"/>
      <c r="T295" s="253"/>
    </row>
    <row r="296" spans="1:20" s="113" customFormat="1" ht="11.25">
      <c r="A296" s="121">
        <v>745</v>
      </c>
      <c r="B296" s="122" t="str">
        <f>VLOOKUP(A296,[1]INDICE!$A$4:$G$1000,2,0)</f>
        <v>TERMINAL DE PRESSAO 2,5MM3</v>
      </c>
      <c r="C296" s="160" t="str">
        <f>VLOOKUP(A296,[1]INDICE!$A$4:$G$1000,3,0)</f>
        <v>UN</v>
      </c>
      <c r="D296" s="122">
        <f>VLOOKUP(A296,[1]INDICE!$A$4:$G$1000,4,0)</f>
        <v>11.588999999999999</v>
      </c>
      <c r="E296" s="122">
        <f>VLOOKUP(A296,[1]INDICE!$A$4:$G$1000,5,0)</f>
        <v>0.32</v>
      </c>
      <c r="F296" s="122">
        <f>VLOOKUP(A296,[1]INDICE!$A$4:$G$1000,6,0)</f>
        <v>0</v>
      </c>
      <c r="G296" s="122">
        <f>VLOOKUP(A296,[1]INDICE!$A$4:$G$1000,7,0)</f>
        <v>11.908999999999999</v>
      </c>
      <c r="H296" s="116" t="b">
        <f>A296=[2]INDFILTRO!A296</f>
        <v>0</v>
      </c>
      <c r="I296" s="113" t="b">
        <f>B296=[3]INDFILTRO!B295</f>
        <v>0</v>
      </c>
      <c r="J296" s="113" t="b">
        <f>E296=[2]INDFILTRO!E296</f>
        <v>0</v>
      </c>
      <c r="K296" s="113" t="b">
        <f>F296=[2]INDFILTRO!F296</f>
        <v>1</v>
      </c>
      <c r="L296" s="116" t="str">
        <f t="shared" si="13"/>
        <v>verdadeiro</v>
      </c>
      <c r="M296" s="124">
        <f t="shared" si="14"/>
        <v>745</v>
      </c>
      <c r="R296" s="253" t="b">
        <f t="shared" si="12"/>
        <v>1</v>
      </c>
      <c r="S296" s="253"/>
      <c r="T296" s="253"/>
    </row>
    <row r="297" spans="1:20" s="113" customFormat="1" ht="11.25">
      <c r="A297" s="121">
        <v>746</v>
      </c>
      <c r="B297" s="122" t="str">
        <f>VLOOKUP(A297,[1]INDICE!$A$4:$G$1000,2,0)</f>
        <v>TERMINAL DE PRESSAO 16MM3</v>
      </c>
      <c r="C297" s="160" t="str">
        <f>VLOOKUP(A297,[1]INDICE!$A$4:$G$1000,3,0)</f>
        <v>UN</v>
      </c>
      <c r="D297" s="122">
        <f>VLOOKUP(A297,[1]INDICE!$A$4:$G$1000,4,0)</f>
        <v>13.520499999999998</v>
      </c>
      <c r="E297" s="122">
        <f>VLOOKUP(A297,[1]INDICE!$A$4:$G$1000,5,0)</f>
        <v>2.87</v>
      </c>
      <c r="F297" s="122">
        <f>VLOOKUP(A297,[1]INDICE!$A$4:$G$1000,6,0)</f>
        <v>0</v>
      </c>
      <c r="G297" s="122">
        <f>VLOOKUP(A297,[1]INDICE!$A$4:$G$1000,7,0)</f>
        <v>16.390499999999999</v>
      </c>
      <c r="H297" s="116" t="b">
        <f>A297=[2]INDFILTRO!A297</f>
        <v>0</v>
      </c>
      <c r="I297" s="113" t="b">
        <f>B297=[3]INDFILTRO!B296</f>
        <v>0</v>
      </c>
      <c r="J297" s="113" t="b">
        <f>E297=[2]INDFILTRO!E297</f>
        <v>0</v>
      </c>
      <c r="K297" s="113" t="b">
        <f>F297=[2]INDFILTRO!F297</f>
        <v>1</v>
      </c>
      <c r="L297" s="116" t="str">
        <f t="shared" si="13"/>
        <v>verdadeiro</v>
      </c>
      <c r="M297" s="124">
        <f t="shared" si="14"/>
        <v>746</v>
      </c>
      <c r="R297" s="253" t="b">
        <f t="shared" si="12"/>
        <v>1</v>
      </c>
      <c r="S297" s="253"/>
      <c r="T297" s="253"/>
    </row>
    <row r="298" spans="1:20" s="113" customFormat="1" ht="24.75" customHeight="1">
      <c r="A298" s="121">
        <v>747</v>
      </c>
      <c r="B298" s="122" t="str">
        <f>VLOOKUP(A298,[1]INDICE!$A$4:$G$1000,2,0)</f>
        <v>TERMINAL DE PRESSAO 95MM3</v>
      </c>
      <c r="C298" s="160" t="str">
        <f>VLOOKUP(A298,[1]INDICE!$A$4:$G$1000,3,0)</f>
        <v>UN</v>
      </c>
      <c r="D298" s="122">
        <f>VLOOKUP(A298,[1]INDICE!$A$4:$G$1000,4,0)</f>
        <v>17.383499999999998</v>
      </c>
      <c r="E298" s="122">
        <f>VLOOKUP(A298,[1]INDICE!$A$4:$G$1000,5,0)</f>
        <v>9.2100000000000009</v>
      </c>
      <c r="F298" s="122">
        <f>VLOOKUP(A298,[1]INDICE!$A$4:$G$1000,6,0)</f>
        <v>0</v>
      </c>
      <c r="G298" s="122">
        <f>VLOOKUP(A298,[1]INDICE!$A$4:$G$1000,7,0)</f>
        <v>26.593499999999999</v>
      </c>
      <c r="H298" s="116" t="b">
        <f>A298=[2]INDFILTRO!A298</f>
        <v>0</v>
      </c>
      <c r="I298" s="113" t="b">
        <f>B298=[3]INDFILTRO!B297</f>
        <v>0</v>
      </c>
      <c r="J298" s="113" t="b">
        <f>E298=[2]INDFILTRO!E298</f>
        <v>0</v>
      </c>
      <c r="K298" s="113" t="b">
        <f>F298=[2]INDFILTRO!F298</f>
        <v>1</v>
      </c>
      <c r="L298" s="116" t="str">
        <f t="shared" si="13"/>
        <v>verdadeiro</v>
      </c>
      <c r="M298" s="124">
        <f t="shared" si="14"/>
        <v>747</v>
      </c>
      <c r="R298" s="253" t="b">
        <f t="shared" si="12"/>
        <v>1</v>
      </c>
      <c r="S298" s="253"/>
      <c r="T298" s="253"/>
    </row>
    <row r="299" spans="1:20" s="113" customFormat="1" ht="11.25">
      <c r="A299" s="121">
        <v>748</v>
      </c>
      <c r="B299" s="122" t="str">
        <f>VLOOKUP(A299,[1]INDICE!$A$4:$G$1000,2,0)</f>
        <v>TOMADA HEXAGONAL 2P + T - 20A - 250V (LINHA X OU EQUIVALENTE)</v>
      </c>
      <c r="C299" s="160" t="str">
        <f>VLOOKUP(A299,[1]INDICE!$A$4:$G$1000,3,0)</f>
        <v>UN</v>
      </c>
      <c r="D299" s="122">
        <f>VLOOKUP(A299,[1]INDICE!$A$4:$G$1000,4,0)</f>
        <v>11.2027</v>
      </c>
      <c r="E299" s="122">
        <f>VLOOKUP(A299,[1]INDICE!$A$4:$G$1000,5,0)</f>
        <v>10.58</v>
      </c>
      <c r="F299" s="122">
        <f>VLOOKUP(A299,[1]INDICE!$A$4:$G$1000,6,0)</f>
        <v>0</v>
      </c>
      <c r="G299" s="122">
        <f>VLOOKUP(A299,[1]INDICE!$A$4:$G$1000,7,0)</f>
        <v>21.782699999999998</v>
      </c>
      <c r="H299" s="116" t="b">
        <f>A299=[2]INDFILTRO!A299</f>
        <v>0</v>
      </c>
      <c r="I299" s="113" t="b">
        <f>B299=[3]INDFILTRO!B298</f>
        <v>0</v>
      </c>
      <c r="J299" s="113" t="b">
        <f>E299=[2]INDFILTRO!E299</f>
        <v>0</v>
      </c>
      <c r="K299" s="113" t="b">
        <f>F299=[2]INDFILTRO!F299</f>
        <v>1</v>
      </c>
      <c r="L299" s="116" t="str">
        <f t="shared" si="13"/>
        <v>verdadeiro</v>
      </c>
      <c r="M299" s="124">
        <f t="shared" si="14"/>
        <v>748</v>
      </c>
      <c r="R299" s="253" t="b">
        <f t="shared" si="12"/>
        <v>1</v>
      </c>
      <c r="S299" s="253"/>
      <c r="T299" s="253"/>
    </row>
    <row r="300" spans="1:20" s="113" customFormat="1" ht="11.25">
      <c r="A300" s="121">
        <v>749</v>
      </c>
      <c r="B300" s="122" t="str">
        <f>VLOOKUP(A300,[1]INDICE!$A$4:$G$1000,2,0)</f>
        <v>TRANSFORMADOR DE CORRENTE RELAÇÃO 600:5 A</v>
      </c>
      <c r="C300" s="160" t="str">
        <f>VLOOKUP(A300,[1]INDICE!$A$4:$G$1000,3,0)</f>
        <v>UN</v>
      </c>
      <c r="D300" s="122">
        <f>VLOOKUP(A300,[1]INDICE!$A$4:$G$1000,4,0)</f>
        <v>12.875378999999999</v>
      </c>
      <c r="E300" s="122">
        <f>VLOOKUP(A300,[1]INDICE!$A$4:$G$1000,5,0)</f>
        <v>74.92</v>
      </c>
      <c r="F300" s="122">
        <f>VLOOKUP(A300,[1]INDICE!$A$4:$G$1000,6,0)</f>
        <v>0</v>
      </c>
      <c r="G300" s="122">
        <f>VLOOKUP(A300,[1]INDICE!$A$4:$G$1000,7,0)</f>
        <v>87.795378999999997</v>
      </c>
      <c r="H300" s="116" t="b">
        <f>A300=[2]INDFILTRO!A300</f>
        <v>0</v>
      </c>
      <c r="I300" s="113" t="b">
        <f>B300=[3]INDFILTRO!B299</f>
        <v>0</v>
      </c>
      <c r="J300" s="113" t="b">
        <f>E300=[2]INDFILTRO!E300</f>
        <v>0</v>
      </c>
      <c r="K300" s="113" t="b">
        <f>F300=[2]INDFILTRO!F300</f>
        <v>1</v>
      </c>
      <c r="L300" s="116" t="str">
        <f t="shared" si="13"/>
        <v>verdadeiro</v>
      </c>
      <c r="M300" s="124">
        <f t="shared" si="14"/>
        <v>749</v>
      </c>
      <c r="R300" s="253" t="b">
        <f t="shared" si="12"/>
        <v>1</v>
      </c>
      <c r="S300" s="253"/>
      <c r="T300" s="253"/>
    </row>
    <row r="301" spans="1:20" s="113" customFormat="1" ht="11.25">
      <c r="A301" s="121">
        <v>750</v>
      </c>
      <c r="B301" s="122" t="str">
        <f>VLOOKUP(A301,[1]INDICE!$A$4:$G$1000,2,0)</f>
        <v>TAMPA CEGA PARA CONDULETE METÁLICO</v>
      </c>
      <c r="C301" s="160" t="str">
        <f>VLOOKUP(A301,[1]INDICE!$A$4:$G$1000,3,0)</f>
        <v>UN</v>
      </c>
      <c r="D301" s="122">
        <f>VLOOKUP(A301,[1]INDICE!$A$4:$G$1000,4,0)</f>
        <v>1.1589</v>
      </c>
      <c r="E301" s="122">
        <f>VLOOKUP(A301,[1]INDICE!$A$4:$G$1000,5,0)</f>
        <v>2.11</v>
      </c>
      <c r="F301" s="122">
        <f>VLOOKUP(A301,[1]INDICE!$A$4:$G$1000,6,0)</f>
        <v>0</v>
      </c>
      <c r="G301" s="122">
        <f>VLOOKUP(A301,[1]INDICE!$A$4:$G$1000,7,0)</f>
        <v>3.2688999999999999</v>
      </c>
      <c r="H301" s="116" t="b">
        <f>A301=[2]INDFILTRO!A301</f>
        <v>0</v>
      </c>
      <c r="I301" s="113" t="b">
        <f>B301=[3]INDFILTRO!B300</f>
        <v>0</v>
      </c>
      <c r="J301" s="113" t="b">
        <f>E301=[2]INDFILTRO!E301</f>
        <v>0</v>
      </c>
      <c r="K301" s="113" t="b">
        <f>F301=[2]INDFILTRO!F301</f>
        <v>1</v>
      </c>
      <c r="L301" s="116" t="str">
        <f t="shared" si="13"/>
        <v>verdadeiro</v>
      </c>
      <c r="M301" s="124">
        <f t="shared" si="14"/>
        <v>750</v>
      </c>
      <c r="R301" s="253" t="b">
        <f t="shared" si="12"/>
        <v>1</v>
      </c>
      <c r="S301" s="253"/>
      <c r="T301" s="253"/>
    </row>
    <row r="302" spans="1:20" s="113" customFormat="1" ht="11.25">
      <c r="A302" s="121">
        <v>751</v>
      </c>
      <c r="B302" s="122" t="str">
        <f>VLOOKUP(A302,[1]INDICE!$A$4:$G$1000,2,0)</f>
        <v>TAMPA CEGA PLÁSTICA 4"X2" COM FURO CENTRAL (PARA TV/SOM...)</v>
      </c>
      <c r="C302" s="160" t="str">
        <f>VLOOKUP(A302,[1]INDICE!$A$4:$G$1000,3,0)</f>
        <v>UN</v>
      </c>
      <c r="D302" s="122">
        <f>VLOOKUP(A302,[1]INDICE!$A$4:$G$1000,4,0)</f>
        <v>1.1589</v>
      </c>
      <c r="E302" s="122">
        <f>VLOOKUP(A302,[1]INDICE!$A$4:$G$1000,5,0)</f>
        <v>1.55</v>
      </c>
      <c r="F302" s="122">
        <f>VLOOKUP(A302,[1]INDICE!$A$4:$G$1000,6,0)</f>
        <v>0</v>
      </c>
      <c r="G302" s="122">
        <f>VLOOKUP(A302,[1]INDICE!$A$4:$G$1000,7,0)</f>
        <v>2.7088999999999999</v>
      </c>
      <c r="H302" s="116" t="b">
        <f>A302=[2]INDFILTRO!A302</f>
        <v>0</v>
      </c>
      <c r="I302" s="113" t="b">
        <f>B302=[3]INDFILTRO!B301</f>
        <v>0</v>
      </c>
      <c r="J302" s="113" t="b">
        <f>E302=[2]INDFILTRO!E302</f>
        <v>0</v>
      </c>
      <c r="K302" s="113" t="b">
        <f>F302=[2]INDFILTRO!F302</f>
        <v>1</v>
      </c>
      <c r="L302" s="116" t="str">
        <f t="shared" si="13"/>
        <v>verdadeiro</v>
      </c>
      <c r="M302" s="124">
        <f t="shared" si="14"/>
        <v>751</v>
      </c>
      <c r="R302" s="253" t="b">
        <f t="shared" si="12"/>
        <v>1</v>
      </c>
      <c r="S302" s="253"/>
      <c r="T302" s="253"/>
    </row>
    <row r="303" spans="1:20" s="113" customFormat="1" ht="11.25">
      <c r="A303" s="121">
        <v>752</v>
      </c>
      <c r="B303" s="122" t="str">
        <f>VLOOKUP(A303,[1]INDICE!$A$4:$G$1000,2,0)</f>
        <v>TAMPA PARA CONDULETE METÁLICO PARA 1 INTERRUPTOR</v>
      </c>
      <c r="C303" s="160" t="str">
        <f>VLOOKUP(A303,[1]INDICE!$A$4:$G$1000,3,0)</f>
        <v>UN</v>
      </c>
      <c r="D303" s="122">
        <f>VLOOKUP(A303,[1]INDICE!$A$4:$G$1000,4,0)</f>
        <v>1.1589</v>
      </c>
      <c r="E303" s="122">
        <f>VLOOKUP(A303,[1]INDICE!$A$4:$G$1000,5,0)</f>
        <v>2.04</v>
      </c>
      <c r="F303" s="122">
        <f>VLOOKUP(A303,[1]INDICE!$A$4:$G$1000,6,0)</f>
        <v>0</v>
      </c>
      <c r="G303" s="122">
        <f>VLOOKUP(A303,[1]INDICE!$A$4:$G$1000,7,0)</f>
        <v>3.1989000000000001</v>
      </c>
      <c r="H303" s="116" t="b">
        <f>A303=[2]INDFILTRO!A303</f>
        <v>0</v>
      </c>
      <c r="I303" s="113" t="b">
        <f>B303=[3]INDFILTRO!B302</f>
        <v>0</v>
      </c>
      <c r="J303" s="113" t="b">
        <f>E303=[2]INDFILTRO!E303</f>
        <v>0</v>
      </c>
      <c r="K303" s="113" t="b">
        <f>F303=[2]INDFILTRO!F303</f>
        <v>1</v>
      </c>
      <c r="L303" s="116" t="str">
        <f t="shared" si="13"/>
        <v>verdadeiro</v>
      </c>
      <c r="M303" s="124">
        <f t="shared" si="14"/>
        <v>752</v>
      </c>
      <c r="R303" s="253" t="b">
        <f t="shared" si="12"/>
        <v>1</v>
      </c>
      <c r="S303" s="253"/>
      <c r="T303" s="253"/>
    </row>
    <row r="304" spans="1:20" s="113" customFormat="1" ht="11.25">
      <c r="A304" s="121">
        <v>753</v>
      </c>
      <c r="B304" s="122" t="str">
        <f>VLOOKUP(A304,[1]INDICE!$A$4:$G$1000,2,0)</f>
        <v>TAMPA PARA CONDULETE METÁLICO PARA 1 TOMADA</v>
      </c>
      <c r="C304" s="160" t="str">
        <f>VLOOKUP(A304,[1]INDICE!$A$4:$G$1000,3,0)</f>
        <v>UN</v>
      </c>
      <c r="D304" s="122">
        <f>VLOOKUP(A304,[1]INDICE!$A$4:$G$1000,4,0)</f>
        <v>1.1589</v>
      </c>
      <c r="E304" s="122">
        <f>VLOOKUP(A304,[1]INDICE!$A$4:$G$1000,5,0)</f>
        <v>2.04</v>
      </c>
      <c r="F304" s="122">
        <f>VLOOKUP(A304,[1]INDICE!$A$4:$G$1000,6,0)</f>
        <v>0</v>
      </c>
      <c r="G304" s="122">
        <f>VLOOKUP(A304,[1]INDICE!$A$4:$G$1000,7,0)</f>
        <v>3.1989000000000001</v>
      </c>
      <c r="H304" s="116" t="b">
        <f>A304=[2]INDFILTRO!A304</f>
        <v>0</v>
      </c>
      <c r="I304" s="113" t="b">
        <f>B304=[3]INDFILTRO!B303</f>
        <v>0</v>
      </c>
      <c r="J304" s="113" t="b">
        <f>E304=[2]INDFILTRO!E304</f>
        <v>0</v>
      </c>
      <c r="K304" s="113" t="b">
        <f>F304=[2]INDFILTRO!F304</f>
        <v>1</v>
      </c>
      <c r="L304" s="116" t="str">
        <f t="shared" si="13"/>
        <v>verdadeiro</v>
      </c>
      <c r="M304" s="124">
        <f t="shared" si="14"/>
        <v>753</v>
      </c>
      <c r="R304" s="253" t="b">
        <f t="shared" si="12"/>
        <v>1</v>
      </c>
      <c r="S304" s="253"/>
      <c r="T304" s="253"/>
    </row>
    <row r="305" spans="1:20" s="113" customFormat="1" ht="11.25">
      <c r="A305" s="121">
        <v>754</v>
      </c>
      <c r="B305" s="122" t="str">
        <f>VLOOKUP(A305,[1]INDICE!$A$4:$G$1000,2,0)</f>
        <v>SUPORTE DE AÇO GALVANIZADO PARA FIXAÇÃO DO PÁRA-RAIO POLIMÉRICO</v>
      </c>
      <c r="C305" s="160" t="str">
        <f>VLOOKUP(A305,[1]INDICE!$A$4:$G$1000,3,0)</f>
        <v>UN</v>
      </c>
      <c r="D305" s="122">
        <f>VLOOKUP(A305,[1]INDICE!$A$4:$G$1000,4,0)</f>
        <v>15.452</v>
      </c>
      <c r="E305" s="122">
        <f>VLOOKUP(A305,[1]INDICE!$A$4:$G$1000,5,0)</f>
        <v>29.55</v>
      </c>
      <c r="F305" s="122">
        <f>VLOOKUP(A305,[1]INDICE!$A$4:$G$1000,6,0)</f>
        <v>0</v>
      </c>
      <c r="G305" s="122">
        <f>VLOOKUP(A305,[1]INDICE!$A$4:$G$1000,7,0)</f>
        <v>45.002000000000002</v>
      </c>
      <c r="H305" s="116" t="b">
        <f>A305=[2]INDFILTRO!A305</f>
        <v>0</v>
      </c>
      <c r="I305" s="113" t="b">
        <f>B305=[3]INDFILTRO!B304</f>
        <v>0</v>
      </c>
      <c r="J305" s="113" t="b">
        <f>E305=[2]INDFILTRO!E305</f>
        <v>0</v>
      </c>
      <c r="K305" s="113" t="b">
        <f>F305=[2]INDFILTRO!F305</f>
        <v>1</v>
      </c>
      <c r="L305" s="116" t="str">
        <f t="shared" si="13"/>
        <v>verdadeiro</v>
      </c>
      <c r="M305" s="124">
        <f t="shared" si="14"/>
        <v>754</v>
      </c>
      <c r="R305" s="253" t="b">
        <f t="shared" si="12"/>
        <v>1</v>
      </c>
      <c r="S305" s="253"/>
      <c r="T305" s="253"/>
    </row>
    <row r="306" spans="1:20" s="113" customFormat="1" ht="22.5">
      <c r="A306" s="121">
        <v>755</v>
      </c>
      <c r="B306" s="122" t="str">
        <f>VLOOKUP(A306,[1]INDICE!$A$4:$G$1000,2,0)</f>
        <v>POSTE CONICO CONTINUO EM ACO GALVANIZADO, RETO, ENGASTADO, H = 9 M, DIAMETRO INFERIOR = *145* MM</v>
      </c>
      <c r="C306" s="160" t="str">
        <f>VLOOKUP(A306,[1]INDICE!$A$4:$G$1000,3,0)</f>
        <v>UN</v>
      </c>
      <c r="D306" s="122">
        <f>VLOOKUP(A306,[1]INDICE!$A$4:$G$1000,4,0)</f>
        <v>24.250617999999999</v>
      </c>
      <c r="E306" s="122">
        <f>VLOOKUP(A306,[1]INDICE!$A$4:$G$1000,5,0)</f>
        <v>1355.796724</v>
      </c>
      <c r="F306" s="122">
        <f>VLOOKUP(A306,[1]INDICE!$A$4:$G$1000,6,0)</f>
        <v>0</v>
      </c>
      <c r="G306" s="122">
        <f>VLOOKUP(A306,[1]INDICE!$A$4:$G$1000,7,0)</f>
        <v>1380.0473420000001</v>
      </c>
      <c r="H306" s="116" t="b">
        <f>A306=[2]INDFILTRO!A306</f>
        <v>0</v>
      </c>
      <c r="I306" s="113" t="b">
        <f>B306=[3]INDFILTRO!B305</f>
        <v>0</v>
      </c>
      <c r="J306" s="113" t="b">
        <f>E306=[2]INDFILTRO!E306</f>
        <v>0</v>
      </c>
      <c r="K306" s="113" t="b">
        <f>F306=[2]INDFILTRO!F306</f>
        <v>1</v>
      </c>
      <c r="L306" s="116" t="str">
        <f t="shared" si="13"/>
        <v>verdadeiro</v>
      </c>
      <c r="M306" s="124">
        <f t="shared" si="14"/>
        <v>755</v>
      </c>
      <c r="R306" s="253" t="b">
        <f t="shared" si="12"/>
        <v>1</v>
      </c>
      <c r="S306" s="253"/>
      <c r="T306" s="253"/>
    </row>
    <row r="307" spans="1:20" s="113" customFormat="1" ht="11.25">
      <c r="A307" s="121">
        <v>756</v>
      </c>
      <c r="B307" s="122" t="str">
        <f>VLOOKUP(A307,[1]INDICE!$A$4:$G$1000,2,0)</f>
        <v>LUMINARIA LED REFLETOR RETANGULAR BIVOLT, LUZ BRANCA, 50 W</v>
      </c>
      <c r="C307" s="160" t="str">
        <f>VLOOKUP(A307,[1]INDICE!$A$4:$G$1000,3,0)</f>
        <v>UN</v>
      </c>
      <c r="D307" s="122">
        <f>VLOOKUP(A307,[1]INDICE!$A$4:$G$1000,4,0)</f>
        <v>12.462038</v>
      </c>
      <c r="E307" s="122">
        <f>VLOOKUP(A307,[1]INDICE!$A$4:$G$1000,5,0)</f>
        <v>52.39</v>
      </c>
      <c r="F307" s="122">
        <f>VLOOKUP(A307,[1]INDICE!$A$4:$G$1000,6,0)</f>
        <v>0</v>
      </c>
      <c r="G307" s="122">
        <f>VLOOKUP(A307,[1]INDICE!$A$4:$G$1000,7,0)</f>
        <v>64.852037999999993</v>
      </c>
      <c r="H307" s="116" t="b">
        <f>A307=[2]INDFILTRO!A307</f>
        <v>0</v>
      </c>
      <c r="I307" s="113" t="b">
        <f>B307=[3]INDFILTRO!B306</f>
        <v>0</v>
      </c>
      <c r="J307" s="113" t="b">
        <f>E307=[2]INDFILTRO!E307</f>
        <v>0</v>
      </c>
      <c r="K307" s="113" t="b">
        <f>F307=[2]INDFILTRO!F307</f>
        <v>1</v>
      </c>
      <c r="L307" s="116" t="str">
        <f t="shared" si="13"/>
        <v>verdadeiro</v>
      </c>
      <c r="M307" s="124">
        <f t="shared" si="14"/>
        <v>756</v>
      </c>
      <c r="R307" s="253" t="b">
        <f t="shared" si="12"/>
        <v>1</v>
      </c>
      <c r="S307" s="253"/>
      <c r="T307" s="253"/>
    </row>
    <row r="308" spans="1:20" s="113" customFormat="1" ht="11.25">
      <c r="A308" s="121">
        <v>757</v>
      </c>
      <c r="B308" s="122" t="str">
        <f>VLOOKUP(A308,[1]INDICE!$A$4:$G$1000,2,0)</f>
        <v>INTERRUPTOR 1 SEÇÃO (LINHA X OU EQUIVALENTE)</v>
      </c>
      <c r="C308" s="160" t="str">
        <f>VLOOKUP(A308,[1]INDICE!$A$4:$G$1000,3,0)</f>
        <v>UN</v>
      </c>
      <c r="D308" s="122">
        <f>VLOOKUP(A308,[1]INDICE!$A$4:$G$1000,4,0)</f>
        <v>8.1122999999999994</v>
      </c>
      <c r="E308" s="122">
        <f>VLOOKUP(A308,[1]INDICE!$A$4:$G$1000,5,0)</f>
        <v>5.72</v>
      </c>
      <c r="F308" s="122">
        <f>VLOOKUP(A308,[1]INDICE!$A$4:$G$1000,6,0)</f>
        <v>0</v>
      </c>
      <c r="G308" s="122">
        <f>VLOOKUP(A308,[1]INDICE!$A$4:$G$1000,7,0)</f>
        <v>13.8323</v>
      </c>
      <c r="H308" s="116" t="b">
        <f>A308=[2]INDFILTRO!A308</f>
        <v>0</v>
      </c>
      <c r="I308" s="113" t="b">
        <f>B308=[3]INDFILTRO!B307</f>
        <v>0</v>
      </c>
      <c r="J308" s="113" t="b">
        <f>E308=[2]INDFILTRO!E308</f>
        <v>0</v>
      </c>
      <c r="K308" s="113" t="b">
        <f>F308=[2]INDFILTRO!F308</f>
        <v>1</v>
      </c>
      <c r="L308" s="116" t="str">
        <f t="shared" si="13"/>
        <v>verdadeiro</v>
      </c>
      <c r="M308" s="124">
        <f t="shared" si="14"/>
        <v>757</v>
      </c>
      <c r="R308" s="253" t="b">
        <f t="shared" si="12"/>
        <v>1</v>
      </c>
      <c r="S308" s="253"/>
      <c r="T308" s="253"/>
    </row>
    <row r="309" spans="1:20" s="113" customFormat="1" ht="11.25">
      <c r="A309" s="121">
        <v>758</v>
      </c>
      <c r="B309" s="122" t="str">
        <f>VLOOKUP(A309,[1]INDICE!$A$4:$G$1000,2,0)</f>
        <v>TOMADA HEXAGONAL 2P+T - 10A - 250V (LINHA X OU EQUIVALENTE)</v>
      </c>
      <c r="C309" s="160" t="str">
        <f>VLOOKUP(A309,[1]INDICE!$A$4:$G$1000,3,0)</f>
        <v>UN</v>
      </c>
      <c r="D309" s="122">
        <f>VLOOKUP(A309,[1]INDICE!$A$4:$G$1000,4,0)</f>
        <v>11.2027</v>
      </c>
      <c r="E309" s="122">
        <f>VLOOKUP(A309,[1]INDICE!$A$4:$G$1000,5,0)</f>
        <v>8.51</v>
      </c>
      <c r="F309" s="122">
        <f>VLOOKUP(A309,[1]INDICE!$A$4:$G$1000,6,0)</f>
        <v>0</v>
      </c>
      <c r="G309" s="122">
        <f>VLOOKUP(A309,[1]INDICE!$A$4:$G$1000,7,0)</f>
        <v>19.712699999999998</v>
      </c>
      <c r="H309" s="116" t="b">
        <f>A309=[2]INDFILTRO!A309</f>
        <v>0</v>
      </c>
      <c r="I309" s="113" t="b">
        <f>B309=[3]INDFILTRO!B308</f>
        <v>0</v>
      </c>
      <c r="J309" s="113" t="b">
        <f>E309=[2]INDFILTRO!E309</f>
        <v>0</v>
      </c>
      <c r="K309" s="113" t="b">
        <f>F309=[2]INDFILTRO!F309</f>
        <v>1</v>
      </c>
      <c r="L309" s="116" t="str">
        <f t="shared" si="13"/>
        <v>verdadeiro</v>
      </c>
      <c r="M309" s="124">
        <f t="shared" si="14"/>
        <v>758</v>
      </c>
      <c r="R309" s="253" t="b">
        <f t="shared" si="12"/>
        <v>1</v>
      </c>
      <c r="S309" s="253"/>
      <c r="T309" s="253"/>
    </row>
    <row r="310" spans="1:20" s="113" customFormat="1" ht="22.5">
      <c r="A310" s="121">
        <v>759</v>
      </c>
      <c r="B310" s="122" t="str">
        <f>VLOOKUP(A310,[1]INDICE!$A$4:$G$1000,2,0)</f>
        <v>LUMINÁRIA LED PARA GINÁSIO / QUADRA 200W - REFERÊNCIA WAMPA TECNOWATT OU EQUIVALENTE</v>
      </c>
      <c r="C310" s="160" t="str">
        <f>VLOOKUP(A310,[1]INDICE!$A$4:$G$1000,3,0)</f>
        <v>UN</v>
      </c>
      <c r="D310" s="122">
        <f>VLOOKUP(A310,[1]INDICE!$A$4:$G$1000,4,0)</f>
        <v>12.462038</v>
      </c>
      <c r="E310" s="122">
        <f>VLOOKUP(A310,[1]INDICE!$A$4:$G$1000,5,0)</f>
        <v>574.71669999999995</v>
      </c>
      <c r="F310" s="122">
        <f>VLOOKUP(A310,[1]INDICE!$A$4:$G$1000,6,0)</f>
        <v>0</v>
      </c>
      <c r="G310" s="122">
        <f>VLOOKUP(A310,[1]INDICE!$A$4:$G$1000,7,0)</f>
        <v>587.17873799999995</v>
      </c>
      <c r="H310" s="116" t="b">
        <f>A310=[2]INDFILTRO!A310</f>
        <v>0</v>
      </c>
      <c r="I310" s="113" t="b">
        <f>B310=[3]INDFILTRO!B309</f>
        <v>0</v>
      </c>
      <c r="J310" s="113" t="b">
        <f>E310=[2]INDFILTRO!E310</f>
        <v>0</v>
      </c>
      <c r="K310" s="113" t="b">
        <f>F310=[2]INDFILTRO!F310</f>
        <v>1</v>
      </c>
      <c r="L310" s="116" t="str">
        <f t="shared" si="13"/>
        <v>verdadeiro</v>
      </c>
      <c r="M310" s="124">
        <f t="shared" si="14"/>
        <v>759</v>
      </c>
      <c r="R310" s="253" t="b">
        <f t="shared" si="12"/>
        <v>1</v>
      </c>
      <c r="S310" s="253"/>
      <c r="T310" s="253"/>
    </row>
    <row r="311" spans="1:20" s="113" customFormat="1" ht="11.25">
      <c r="A311" s="121">
        <v>760</v>
      </c>
      <c r="B311" s="122" t="str">
        <f>VLOOKUP(A311,[1]INDICE!$A$4:$G$1000,2,0)</f>
        <v>LAMPADA LED 18 W BIVOLT BRANCA, FORMATO TRADICIONAL (BASE E27)</v>
      </c>
      <c r="C311" s="160" t="str">
        <f>VLOOKUP(A311,[1]INDICE!$A$4:$G$1000,3,0)</f>
        <v>UN</v>
      </c>
      <c r="D311" s="122">
        <f>VLOOKUP(A311,[1]INDICE!$A$4:$G$1000,4,0)</f>
        <v>3.0903999999999998</v>
      </c>
      <c r="E311" s="122">
        <f>VLOOKUP(A311,[1]INDICE!$A$4:$G$1000,5,0)</f>
        <v>23.94</v>
      </c>
      <c r="F311" s="122">
        <f>VLOOKUP(A311,[1]INDICE!$A$4:$G$1000,6,0)</f>
        <v>0</v>
      </c>
      <c r="G311" s="122">
        <f>VLOOKUP(A311,[1]INDICE!$A$4:$G$1000,7,0)</f>
        <v>27.0304</v>
      </c>
      <c r="H311" s="116" t="b">
        <f>A311=[2]INDFILTRO!A311</f>
        <v>0</v>
      </c>
      <c r="I311" s="113" t="b">
        <f>B311=[3]INDFILTRO!B310</f>
        <v>0</v>
      </c>
      <c r="J311" s="113" t="b">
        <f>E311=[2]INDFILTRO!E311</f>
        <v>0</v>
      </c>
      <c r="K311" s="113" t="b">
        <f>F311=[2]INDFILTRO!F311</f>
        <v>1</v>
      </c>
      <c r="L311" s="116" t="str">
        <f t="shared" si="13"/>
        <v>verdadeiro</v>
      </c>
      <c r="M311" s="124">
        <f t="shared" si="14"/>
        <v>760</v>
      </c>
      <c r="R311" s="253" t="b">
        <f t="shared" si="12"/>
        <v>1</v>
      </c>
      <c r="S311" s="253"/>
      <c r="T311" s="253"/>
    </row>
    <row r="312" spans="1:20" s="113" customFormat="1" ht="11.25">
      <c r="A312" s="121">
        <v>761</v>
      </c>
      <c r="B312" s="122" t="str">
        <f>VLOOKUP(A312,[1]INDICE!$A$4:$G$1000,2,0)</f>
        <v>DISJUNTOR TRIPOLAR 500A</v>
      </c>
      <c r="C312" s="160" t="str">
        <f>VLOOKUP(A312,[1]INDICE!$A$4:$G$1000,3,0)</f>
        <v>UN</v>
      </c>
      <c r="D312" s="122">
        <f>VLOOKUP(A312,[1]INDICE!$A$4:$G$1000,4,0)</f>
        <v>34.766999999999996</v>
      </c>
      <c r="E312" s="122">
        <f>VLOOKUP(A312,[1]INDICE!$A$4:$G$1000,5,0)</f>
        <v>2358.81</v>
      </c>
      <c r="F312" s="122">
        <f>VLOOKUP(A312,[1]INDICE!$A$4:$G$1000,6,0)</f>
        <v>0</v>
      </c>
      <c r="G312" s="122">
        <f>VLOOKUP(A312,[1]INDICE!$A$4:$G$1000,7,0)</f>
        <v>2393.5769999999998</v>
      </c>
      <c r="H312" s="116" t="b">
        <f>A312=[2]INDFILTRO!A312</f>
        <v>0</v>
      </c>
      <c r="I312" s="113" t="b">
        <f>B312=[3]INDFILTRO!B311</f>
        <v>0</v>
      </c>
      <c r="J312" s="113" t="b">
        <f>E312=[2]INDFILTRO!E312</f>
        <v>0</v>
      </c>
      <c r="K312" s="113" t="b">
        <f>F312=[2]INDFILTRO!F312</f>
        <v>1</v>
      </c>
      <c r="L312" s="116" t="str">
        <f t="shared" si="13"/>
        <v>verdadeiro</v>
      </c>
      <c r="M312" s="124">
        <f t="shared" si="14"/>
        <v>761</v>
      </c>
      <c r="R312" s="253" t="b">
        <f t="shared" si="12"/>
        <v>1</v>
      </c>
      <c r="S312" s="253"/>
      <c r="T312" s="253"/>
    </row>
    <row r="313" spans="1:20" s="113" customFormat="1" ht="11.25">
      <c r="A313" s="121">
        <v>762</v>
      </c>
      <c r="B313" s="122" t="str">
        <f>VLOOKUP(A313,[1]INDICE!$A$4:$G$1000,2,0)</f>
        <v>BARRA DE COBRE 2 1/2" X 3/16"</v>
      </c>
      <c r="C313" s="160" t="str">
        <f>VLOOKUP(A313,[1]INDICE!$A$4:$G$1000,3,0)</f>
        <v>M</v>
      </c>
      <c r="D313" s="122">
        <f>VLOOKUP(A313,[1]INDICE!$A$4:$G$1000,4,0)</f>
        <v>25.882100000000001</v>
      </c>
      <c r="E313" s="122">
        <f>VLOOKUP(A313,[1]INDICE!$A$4:$G$1000,5,0)</f>
        <v>271.39409999999998</v>
      </c>
      <c r="F313" s="122">
        <f>VLOOKUP(A313,[1]INDICE!$A$4:$G$1000,6,0)</f>
        <v>0</v>
      </c>
      <c r="G313" s="122">
        <f>VLOOKUP(A313,[1]INDICE!$A$4:$G$1000,7,0)</f>
        <v>297.27619999999996</v>
      </c>
      <c r="H313" s="116" t="b">
        <f>A313=[2]INDFILTRO!A313</f>
        <v>0</v>
      </c>
      <c r="I313" s="113" t="b">
        <f>B313=[3]INDFILTRO!B312</f>
        <v>0</v>
      </c>
      <c r="J313" s="113" t="b">
        <f>E313=[2]INDFILTRO!E313</f>
        <v>0</v>
      </c>
      <c r="K313" s="113" t="b">
        <f>F313=[2]INDFILTRO!F313</f>
        <v>1</v>
      </c>
      <c r="L313" s="116" t="str">
        <f t="shared" si="13"/>
        <v>verdadeiro</v>
      </c>
      <c r="M313" s="124">
        <f t="shared" si="14"/>
        <v>762</v>
      </c>
      <c r="R313" s="253" t="b">
        <f t="shared" si="12"/>
        <v>1</v>
      </c>
      <c r="S313" s="253"/>
      <c r="T313" s="253"/>
    </row>
    <row r="314" spans="1:20" s="113" customFormat="1" ht="11.25">
      <c r="A314" s="121">
        <v>763</v>
      </c>
      <c r="B314" s="122" t="str">
        <f>VLOOKUP(A314,[1]INDICE!$A$4:$G$1000,2,0)</f>
        <v>BARRA DE COBRE 1.1/2" X 1/4"</v>
      </c>
      <c r="C314" s="160" t="str">
        <f>VLOOKUP(A314,[1]INDICE!$A$4:$G$1000,3,0)</f>
        <v>M</v>
      </c>
      <c r="D314" s="122">
        <f>VLOOKUP(A314,[1]INDICE!$A$4:$G$1000,4,0)</f>
        <v>25.882100000000001</v>
      </c>
      <c r="E314" s="122">
        <f>VLOOKUP(A314,[1]INDICE!$A$4:$G$1000,5,0)</f>
        <v>216.9135</v>
      </c>
      <c r="F314" s="122">
        <f>VLOOKUP(A314,[1]INDICE!$A$4:$G$1000,6,0)</f>
        <v>0</v>
      </c>
      <c r="G314" s="122">
        <f>VLOOKUP(A314,[1]INDICE!$A$4:$G$1000,7,0)</f>
        <v>242.79560000000001</v>
      </c>
      <c r="H314" s="116" t="b">
        <f>A314=[2]INDFILTRO!A314</f>
        <v>0</v>
      </c>
      <c r="I314" s="113" t="b">
        <f>B314=[3]INDFILTRO!B313</f>
        <v>0</v>
      </c>
      <c r="J314" s="113" t="b">
        <f>E314=[2]INDFILTRO!E314</f>
        <v>0</v>
      </c>
      <c r="K314" s="113" t="b">
        <f>F314=[2]INDFILTRO!F314</f>
        <v>1</v>
      </c>
      <c r="L314" s="116" t="str">
        <f t="shared" si="13"/>
        <v>verdadeiro</v>
      </c>
      <c r="M314" s="124">
        <f t="shared" si="14"/>
        <v>763</v>
      </c>
      <c r="R314" s="253" t="b">
        <f t="shared" si="12"/>
        <v>1</v>
      </c>
      <c r="S314" s="253"/>
      <c r="T314" s="253"/>
    </row>
    <row r="315" spans="1:20" s="113" customFormat="1" ht="11.25">
      <c r="A315" s="121">
        <v>764</v>
      </c>
      <c r="B315" s="122" t="str">
        <f>VLOOKUP(A315,[1]INDICE!$A$4:$G$1000,2,0)</f>
        <v>BARRA DE COBRE 4" X 1/4"</v>
      </c>
      <c r="C315" s="160" t="str">
        <f>VLOOKUP(A315,[1]INDICE!$A$4:$G$1000,3,0)</f>
        <v>M</v>
      </c>
      <c r="D315" s="122">
        <f>VLOOKUP(A315,[1]INDICE!$A$4:$G$1000,4,0)</f>
        <v>25.882100000000001</v>
      </c>
      <c r="E315" s="122">
        <f>VLOOKUP(A315,[1]INDICE!$A$4:$G$1000,5,0)</f>
        <v>579.10860000000002</v>
      </c>
      <c r="F315" s="122">
        <f>VLOOKUP(A315,[1]INDICE!$A$4:$G$1000,6,0)</f>
        <v>0</v>
      </c>
      <c r="G315" s="122">
        <f>VLOOKUP(A315,[1]INDICE!$A$4:$G$1000,7,0)</f>
        <v>604.99070000000006</v>
      </c>
      <c r="H315" s="116" t="b">
        <f>A315=[2]INDFILTRO!A315</f>
        <v>0</v>
      </c>
      <c r="I315" s="113" t="b">
        <f>B315=[3]INDFILTRO!B314</f>
        <v>0</v>
      </c>
      <c r="J315" s="113" t="b">
        <f>E315=[2]INDFILTRO!E315</f>
        <v>0</v>
      </c>
      <c r="K315" s="113" t="b">
        <f>F315=[2]INDFILTRO!F315</f>
        <v>1</v>
      </c>
      <c r="L315" s="116" t="str">
        <f t="shared" si="13"/>
        <v>verdadeiro</v>
      </c>
      <c r="M315" s="124">
        <f t="shared" si="14"/>
        <v>764</v>
      </c>
      <c r="R315" s="253" t="b">
        <f t="shared" si="12"/>
        <v>1</v>
      </c>
      <c r="S315" s="253"/>
      <c r="T315" s="253"/>
    </row>
    <row r="316" spans="1:20" s="113" customFormat="1" ht="11.25">
      <c r="A316" s="121">
        <v>765</v>
      </c>
      <c r="B316" s="122" t="str">
        <f>VLOOKUP(A316,[1]INDICE!$A$4:$G$1000,2,0)</f>
        <v>DISPOSITIVO DE PROTEÇÃO CONTRA SURTOS (D.P.S.) 275V 40 KA</v>
      </c>
      <c r="C316" s="160" t="str">
        <f>VLOOKUP(A316,[1]INDICE!$A$4:$G$1000,3,0)</f>
        <v>UN</v>
      </c>
      <c r="D316" s="122">
        <f>VLOOKUP(A316,[1]INDICE!$A$4:$G$1000,4,0)</f>
        <v>38.629999999999995</v>
      </c>
      <c r="E316" s="122">
        <f>VLOOKUP(A316,[1]INDICE!$A$4:$G$1000,5,0)</f>
        <v>96.88</v>
      </c>
      <c r="F316" s="122">
        <f>VLOOKUP(A316,[1]INDICE!$A$4:$G$1000,6,0)</f>
        <v>0</v>
      </c>
      <c r="G316" s="122">
        <f>VLOOKUP(A316,[1]INDICE!$A$4:$G$1000,7,0)</f>
        <v>135.51</v>
      </c>
      <c r="H316" s="116" t="b">
        <f>A316=[2]INDFILTRO!A316</f>
        <v>0</v>
      </c>
      <c r="I316" s="113" t="b">
        <f>B316=[3]INDFILTRO!B315</f>
        <v>0</v>
      </c>
      <c r="J316" s="113" t="b">
        <f>E316=[2]INDFILTRO!E316</f>
        <v>0</v>
      </c>
      <c r="K316" s="113" t="b">
        <f>F316=[2]INDFILTRO!F316</f>
        <v>1</v>
      </c>
      <c r="L316" s="116" t="str">
        <f t="shared" si="13"/>
        <v>verdadeiro</v>
      </c>
      <c r="M316" s="124">
        <f t="shared" si="14"/>
        <v>765</v>
      </c>
      <c r="R316" s="253" t="b">
        <f t="shared" si="12"/>
        <v>1</v>
      </c>
      <c r="S316" s="253"/>
      <c r="T316" s="253"/>
    </row>
    <row r="317" spans="1:20" s="113" customFormat="1" ht="11.25">
      <c r="A317" s="121">
        <v>766</v>
      </c>
      <c r="B317" s="122" t="str">
        <f>VLOOKUP(A317,[1]INDICE!$A$4:$G$1000,2,0)</f>
        <v>PLACA DE COBRE 200X40X10 MM</v>
      </c>
      <c r="C317" s="160" t="str">
        <f>VLOOKUP(A317,[1]INDICE!$A$4:$G$1000,3,0)</f>
        <v>UN</v>
      </c>
      <c r="D317" s="122">
        <f>VLOOKUP(A317,[1]INDICE!$A$4:$G$1000,4,0)</f>
        <v>25.882100000000001</v>
      </c>
      <c r="E317" s="122">
        <f>VLOOKUP(A317,[1]INDICE!$A$4:$G$1000,5,0)</f>
        <v>71.852324472000006</v>
      </c>
      <c r="F317" s="122">
        <f>VLOOKUP(A317,[1]INDICE!$A$4:$G$1000,6,0)</f>
        <v>0</v>
      </c>
      <c r="G317" s="122">
        <f>VLOOKUP(A317,[1]INDICE!$A$4:$G$1000,7,0)</f>
        <v>97.734424472000001</v>
      </c>
      <c r="H317" s="116" t="b">
        <f>A317=[2]INDFILTRO!A317</f>
        <v>0</v>
      </c>
      <c r="I317" s="113" t="b">
        <f>B317=[3]INDFILTRO!B316</f>
        <v>0</v>
      </c>
      <c r="J317" s="113" t="b">
        <f>E317=[2]INDFILTRO!E317</f>
        <v>0</v>
      </c>
      <c r="K317" s="113" t="b">
        <f>F317=[2]INDFILTRO!F317</f>
        <v>1</v>
      </c>
      <c r="L317" s="116" t="str">
        <f t="shared" si="13"/>
        <v>verdadeiro</v>
      </c>
      <c r="M317" s="124">
        <f t="shared" si="14"/>
        <v>766</v>
      </c>
      <c r="R317" s="253" t="b">
        <f t="shared" si="12"/>
        <v>1</v>
      </c>
      <c r="S317" s="253"/>
      <c r="T317" s="253"/>
    </row>
    <row r="318" spans="1:20" s="113" customFormat="1" ht="11.25">
      <c r="A318" s="121">
        <v>767</v>
      </c>
      <c r="B318" s="122" t="str">
        <f>VLOOKUP(A318,[1]INDICE!$A$4:$G$1000,2,0)</f>
        <v>CAIXA DE PASSAGEM 110X110X110 CM FUNDO DE BRITA SEM TAMPA</v>
      </c>
      <c r="C318" s="160" t="str">
        <f>VLOOKUP(A318,[1]INDICE!$A$4:$G$1000,3,0)</f>
        <v>UN</v>
      </c>
      <c r="D318" s="122">
        <f>VLOOKUP(A318,[1]INDICE!$A$4:$G$1000,4,0)</f>
        <v>576.4461</v>
      </c>
      <c r="E318" s="122">
        <f>VLOOKUP(A318,[1]INDICE!$A$4:$G$1000,5,0)</f>
        <v>311.57200799999998</v>
      </c>
      <c r="F318" s="122">
        <f>VLOOKUP(A318,[1]INDICE!$A$4:$G$1000,6,0)</f>
        <v>0</v>
      </c>
      <c r="G318" s="122">
        <f>VLOOKUP(A318,[1]INDICE!$A$4:$G$1000,7,0)</f>
        <v>888.01810799999998</v>
      </c>
      <c r="H318" s="116" t="b">
        <f>A318=[2]INDFILTRO!A318</f>
        <v>0</v>
      </c>
      <c r="I318" s="113" t="b">
        <f>B318=[3]INDFILTRO!B317</f>
        <v>0</v>
      </c>
      <c r="J318" s="113" t="b">
        <f>E318=[2]INDFILTRO!E318</f>
        <v>0</v>
      </c>
      <c r="K318" s="113" t="b">
        <f>F318=[2]INDFILTRO!F318</f>
        <v>1</v>
      </c>
      <c r="L318" s="116" t="str">
        <f t="shared" si="13"/>
        <v>verdadeiro</v>
      </c>
      <c r="M318" s="124">
        <f t="shared" si="14"/>
        <v>767</v>
      </c>
      <c r="R318" s="253" t="b">
        <f t="shared" si="12"/>
        <v>1</v>
      </c>
      <c r="S318" s="253"/>
      <c r="T318" s="253"/>
    </row>
    <row r="319" spans="1:20" s="113" customFormat="1" ht="11.25">
      <c r="A319" s="121">
        <v>768</v>
      </c>
      <c r="B319" s="122" t="str">
        <f>VLOOKUP(A319,[1]INDICE!$A$4:$G$1000,2,0)</f>
        <v>TERMINAL DE PRESSAO 185 MM3</v>
      </c>
      <c r="C319" s="160" t="str">
        <f>VLOOKUP(A319,[1]INDICE!$A$4:$G$1000,3,0)</f>
        <v>UN</v>
      </c>
      <c r="D319" s="122">
        <f>VLOOKUP(A319,[1]INDICE!$A$4:$G$1000,4,0)</f>
        <v>21.246500000000005</v>
      </c>
      <c r="E319" s="122">
        <f>VLOOKUP(A319,[1]INDICE!$A$4:$G$1000,5,0)</f>
        <v>26.6967</v>
      </c>
      <c r="F319" s="122">
        <f>VLOOKUP(A319,[1]INDICE!$A$4:$G$1000,6,0)</f>
        <v>0</v>
      </c>
      <c r="G319" s="122">
        <f>VLOOKUP(A319,[1]INDICE!$A$4:$G$1000,7,0)</f>
        <v>47.943200000000004</v>
      </c>
      <c r="H319" s="116" t="b">
        <f>A319=[2]INDFILTRO!A319</f>
        <v>0</v>
      </c>
      <c r="I319" s="113" t="b">
        <f>B319=[3]INDFILTRO!B318</f>
        <v>0</v>
      </c>
      <c r="J319" s="113" t="b">
        <f>E319=[2]INDFILTRO!E319</f>
        <v>0</v>
      </c>
      <c r="K319" s="113" t="b">
        <f>F319=[2]INDFILTRO!F319</f>
        <v>1</v>
      </c>
      <c r="L319" s="116" t="str">
        <f t="shared" si="13"/>
        <v>verdadeiro</v>
      </c>
      <c r="M319" s="124">
        <f t="shared" si="14"/>
        <v>768</v>
      </c>
      <c r="R319" s="253" t="b">
        <f t="shared" si="12"/>
        <v>1</v>
      </c>
      <c r="S319" s="253"/>
      <c r="T319" s="253"/>
    </row>
    <row r="320" spans="1:20" s="113" customFormat="1" ht="11.25">
      <c r="A320" s="121">
        <v>769</v>
      </c>
      <c r="B320" s="122" t="str">
        <f>VLOOKUP(A320,[1]INDICE!$A$4:$G$1000,2,0)</f>
        <v>PARAFUSO CABEÇA ABAULADA M16x45MM COM ARUELA QUADRADA E PORCA</v>
      </c>
      <c r="C320" s="160" t="str">
        <f>VLOOKUP(A320,[1]INDICE!$A$4:$G$1000,3,0)</f>
        <v>UN</v>
      </c>
      <c r="D320" s="122">
        <f>VLOOKUP(A320,[1]INDICE!$A$4:$G$1000,4,0)</f>
        <v>0.25495799999999996</v>
      </c>
      <c r="E320" s="122">
        <f>VLOOKUP(A320,[1]INDICE!$A$4:$G$1000,5,0)</f>
        <v>2.66</v>
      </c>
      <c r="F320" s="122">
        <f>VLOOKUP(A320,[1]INDICE!$A$4:$G$1000,6,0)</f>
        <v>0</v>
      </c>
      <c r="G320" s="122">
        <f>VLOOKUP(A320,[1]INDICE!$A$4:$G$1000,7,0)</f>
        <v>2.9149579999999999</v>
      </c>
      <c r="H320" s="116" t="b">
        <f>A320=[2]INDFILTRO!A320</f>
        <v>0</v>
      </c>
      <c r="I320" s="113" t="b">
        <f>B320=[3]INDFILTRO!B319</f>
        <v>0</v>
      </c>
      <c r="J320" s="113" t="b">
        <f>E320=[2]INDFILTRO!E320</f>
        <v>0</v>
      </c>
      <c r="K320" s="113" t="b">
        <f>F320=[2]INDFILTRO!F320</f>
        <v>1</v>
      </c>
      <c r="L320" s="116" t="str">
        <f t="shared" si="13"/>
        <v>verdadeiro</v>
      </c>
      <c r="M320" s="124">
        <f t="shared" si="14"/>
        <v>769</v>
      </c>
      <c r="R320" s="253" t="b">
        <f t="shared" si="12"/>
        <v>1</v>
      </c>
      <c r="S320" s="253"/>
      <c r="T320" s="253"/>
    </row>
    <row r="321" spans="1:20" s="113" customFormat="1" ht="11.25">
      <c r="A321" s="121">
        <v>770</v>
      </c>
      <c r="B321" s="122" t="str">
        <f>VLOOKUP(A321,[1]INDICE!$A$4:$G$1000,2,0)</f>
        <v>PARAFUSO CABEÇA QUADRADA M16x150MM COM ARRUELA QUADRADA E PORCA</v>
      </c>
      <c r="C321" s="160" t="str">
        <f>VLOOKUP(A321,[1]INDICE!$A$4:$G$1000,3,0)</f>
        <v>UN</v>
      </c>
      <c r="D321" s="122">
        <f>VLOOKUP(A321,[1]INDICE!$A$4:$G$1000,4,0)</f>
        <v>0.25495799999999996</v>
      </c>
      <c r="E321" s="122">
        <f>VLOOKUP(A321,[1]INDICE!$A$4:$G$1000,5,0)</f>
        <v>4.4400000000000004</v>
      </c>
      <c r="F321" s="122">
        <f>VLOOKUP(A321,[1]INDICE!$A$4:$G$1000,6,0)</f>
        <v>0</v>
      </c>
      <c r="G321" s="122">
        <f>VLOOKUP(A321,[1]INDICE!$A$4:$G$1000,7,0)</f>
        <v>4.6949580000000006</v>
      </c>
      <c r="H321" s="116" t="b">
        <f>A321=[2]INDFILTRO!A321</f>
        <v>0</v>
      </c>
      <c r="I321" s="113" t="b">
        <f>B321=[3]INDFILTRO!B320</f>
        <v>0</v>
      </c>
      <c r="J321" s="113" t="b">
        <f>E321=[2]INDFILTRO!E321</f>
        <v>0</v>
      </c>
      <c r="K321" s="113" t="b">
        <f>F321=[2]INDFILTRO!F321</f>
        <v>1</v>
      </c>
      <c r="L321" s="116" t="str">
        <f t="shared" si="13"/>
        <v>verdadeiro</v>
      </c>
      <c r="M321" s="124">
        <f t="shared" si="14"/>
        <v>770</v>
      </c>
      <c r="R321" s="253" t="b">
        <f t="shared" si="12"/>
        <v>1</v>
      </c>
      <c r="S321" s="253"/>
      <c r="T321" s="253"/>
    </row>
    <row r="322" spans="1:20" s="113" customFormat="1" ht="11.25">
      <c r="A322" s="121">
        <v>771</v>
      </c>
      <c r="B322" s="122" t="str">
        <f>VLOOKUP(A322,[1]INDICE!$A$4:$G$1000,2,0)</f>
        <v>BASE METÁLICA PARA MASTRO 2"</v>
      </c>
      <c r="C322" s="160" t="str">
        <f>VLOOKUP(A322,[1]INDICE!$A$4:$G$1000,3,0)</f>
        <v>UN</v>
      </c>
      <c r="D322" s="122">
        <f>VLOOKUP(A322,[1]INDICE!$A$4:$G$1000,4,0)</f>
        <v>51.505378999999991</v>
      </c>
      <c r="E322" s="122">
        <f>VLOOKUP(A322,[1]INDICE!$A$4:$G$1000,5,0)</f>
        <v>65.47</v>
      </c>
      <c r="F322" s="122">
        <f>VLOOKUP(A322,[1]INDICE!$A$4:$G$1000,6,0)</f>
        <v>0</v>
      </c>
      <c r="G322" s="122">
        <f>VLOOKUP(A322,[1]INDICE!$A$4:$G$1000,7,0)</f>
        <v>116.97537899999999</v>
      </c>
      <c r="H322" s="116" t="b">
        <f>A322=[2]INDFILTRO!A322</f>
        <v>0</v>
      </c>
      <c r="I322" s="113" t="b">
        <f>B322=[3]INDFILTRO!B321</f>
        <v>0</v>
      </c>
      <c r="J322" s="113" t="b">
        <f>E322=[2]INDFILTRO!E322</f>
        <v>0</v>
      </c>
      <c r="K322" s="113" t="b">
        <f>F322=[2]INDFILTRO!F322</f>
        <v>1</v>
      </c>
      <c r="L322" s="116" t="str">
        <f t="shared" si="13"/>
        <v>verdadeiro</v>
      </c>
      <c r="M322" s="124">
        <f t="shared" si="14"/>
        <v>771</v>
      </c>
      <c r="R322" s="253" t="b">
        <f t="shared" si="12"/>
        <v>1</v>
      </c>
      <c r="S322" s="253"/>
      <c r="T322" s="253"/>
    </row>
    <row r="323" spans="1:20" s="113" customFormat="1" ht="11.25">
      <c r="A323" s="121">
        <v>772</v>
      </c>
      <c r="B323" s="122" t="str">
        <f>VLOOKUP(A323,[1]INDICE!$A$4:$G$1000,2,0)</f>
        <v>DISJUNTOR DIFERENCIAL RESIDUAL (DDR) 50A - 30mA</v>
      </c>
      <c r="C323" s="160" t="str">
        <f>VLOOKUP(A323,[1]INDICE!$A$4:$G$1000,3,0)</f>
        <v>UN</v>
      </c>
      <c r="D323" s="122">
        <f>VLOOKUP(A323,[1]INDICE!$A$4:$G$1000,4,0)</f>
        <v>23.177999999999997</v>
      </c>
      <c r="E323" s="122">
        <f>VLOOKUP(A323,[1]INDICE!$A$4:$G$1000,5,0)</f>
        <v>265.68</v>
      </c>
      <c r="F323" s="122">
        <f>VLOOKUP(A323,[1]INDICE!$A$4:$G$1000,6,0)</f>
        <v>0</v>
      </c>
      <c r="G323" s="122">
        <f>VLOOKUP(A323,[1]INDICE!$A$4:$G$1000,7,0)</f>
        <v>288.858</v>
      </c>
      <c r="H323" s="116" t="b">
        <f>A323=[2]INDFILTRO!A323</f>
        <v>0</v>
      </c>
      <c r="I323" s="113" t="b">
        <f>B323=[3]INDFILTRO!B322</f>
        <v>0</v>
      </c>
      <c r="J323" s="113" t="b">
        <f>E323=[2]INDFILTRO!E323</f>
        <v>0</v>
      </c>
      <c r="K323" s="113" t="b">
        <f>F323=[2]INDFILTRO!F323</f>
        <v>1</v>
      </c>
      <c r="L323" s="116" t="str">
        <f t="shared" si="13"/>
        <v>verdadeiro</v>
      </c>
      <c r="M323" s="124">
        <f t="shared" si="14"/>
        <v>772</v>
      </c>
      <c r="R323" s="253" t="b">
        <f t="shared" si="12"/>
        <v>1</v>
      </c>
      <c r="S323" s="253"/>
      <c r="T323" s="253"/>
    </row>
    <row r="324" spans="1:20" s="113" customFormat="1" ht="11.25">
      <c r="A324" s="121">
        <v>776</v>
      </c>
      <c r="B324" s="122" t="str">
        <f>VLOOKUP(A324,[1]INDICE!$A$4:$G$1000,2,0)</f>
        <v>SUPORTE ISOLADOR SIMPLES</v>
      </c>
      <c r="C324" s="160" t="str">
        <f>VLOOKUP(A324,[1]INDICE!$A$4:$G$1000,3,0)</f>
        <v>UN</v>
      </c>
      <c r="D324" s="122">
        <f>VLOOKUP(A324,[1]INDICE!$A$4:$G$1000,4,0)</f>
        <v>13.520499999999998</v>
      </c>
      <c r="E324" s="122">
        <f>VLOOKUP(A324,[1]INDICE!$A$4:$G$1000,5,0)</f>
        <v>5.38</v>
      </c>
      <c r="F324" s="122">
        <f>VLOOKUP(A324,[1]INDICE!$A$4:$G$1000,6,0)</f>
        <v>0</v>
      </c>
      <c r="G324" s="122">
        <f>VLOOKUP(A324,[1]INDICE!$A$4:$G$1000,7,0)</f>
        <v>18.900499999999997</v>
      </c>
      <c r="H324" s="116" t="b">
        <f>A324=[2]INDFILTRO!A324</f>
        <v>0</v>
      </c>
      <c r="I324" s="113" t="b">
        <f>B324=[3]INDFILTRO!B323</f>
        <v>0</v>
      </c>
      <c r="J324" s="113" t="b">
        <f>E324=[2]INDFILTRO!E324</f>
        <v>0</v>
      </c>
      <c r="K324" s="113" t="b">
        <f>F324=[2]INDFILTRO!F324</f>
        <v>1</v>
      </c>
      <c r="L324" s="116" t="str">
        <f t="shared" si="13"/>
        <v>verdadeiro</v>
      </c>
      <c r="M324" s="124">
        <f t="shared" si="14"/>
        <v>776</v>
      </c>
      <c r="R324" s="253" t="b">
        <f t="shared" si="12"/>
        <v>1</v>
      </c>
      <c r="S324" s="253"/>
      <c r="T324" s="253"/>
    </row>
    <row r="325" spans="1:20" s="113" customFormat="1" ht="11.25">
      <c r="A325" s="121">
        <v>777</v>
      </c>
      <c r="B325" s="122" t="str">
        <f>VLOOKUP(A325,[1]INDICE!$A$4:$G$1000,2,0)</f>
        <v>QUADRO DE DISTRIBUIÇÃO DE EMBUTIR METÁLICO CB 20E - 100A</v>
      </c>
      <c r="C325" s="160" t="str">
        <f>VLOOKUP(A325,[1]INDICE!$A$4:$G$1000,3,0)</f>
        <v>UN</v>
      </c>
      <c r="D325" s="122">
        <f>VLOOKUP(A325,[1]INDICE!$A$4:$G$1000,4,0)</f>
        <v>115.89</v>
      </c>
      <c r="E325" s="122">
        <f>VLOOKUP(A325,[1]INDICE!$A$4:$G$1000,5,0)</f>
        <v>366.2166666666667</v>
      </c>
      <c r="F325" s="122">
        <f>VLOOKUP(A325,[1]INDICE!$A$4:$G$1000,6,0)</f>
        <v>0</v>
      </c>
      <c r="G325" s="122">
        <f>VLOOKUP(A325,[1]INDICE!$A$4:$G$1000,7,0)</f>
        <v>482.10666666666668</v>
      </c>
      <c r="H325" s="116" t="b">
        <f>A325=[2]INDFILTRO!A325</f>
        <v>0</v>
      </c>
      <c r="I325" s="113" t="b">
        <f>B325=[3]INDFILTRO!B324</f>
        <v>0</v>
      </c>
      <c r="J325" s="113" t="b">
        <f>E325=[2]INDFILTRO!E325</f>
        <v>0</v>
      </c>
      <c r="K325" s="113" t="b">
        <f>F325=[2]INDFILTRO!F325</f>
        <v>1</v>
      </c>
      <c r="L325" s="116" t="str">
        <f t="shared" si="13"/>
        <v>verdadeiro</v>
      </c>
      <c r="M325" s="124">
        <f t="shared" si="14"/>
        <v>777</v>
      </c>
      <c r="R325" s="253" t="b">
        <f t="shared" ref="R325:R388" si="15">(D325+E325+F325)=G325</f>
        <v>1</v>
      </c>
      <c r="S325" s="253"/>
      <c r="T325" s="253"/>
    </row>
    <row r="326" spans="1:20" s="113" customFormat="1" ht="11.25">
      <c r="A326" s="121">
        <v>778</v>
      </c>
      <c r="B326" s="122" t="str">
        <f>VLOOKUP(A326,[1]INDICE!$A$4:$G$1000,2,0)</f>
        <v>QUADRO DE DISTRIBUIÇÃO DE EMBUTIR METÁLICO CB-70E - 225A</v>
      </c>
      <c r="C326" s="160" t="str">
        <f>VLOOKUP(A326,[1]INDICE!$A$4:$G$1000,3,0)</f>
        <v>UN</v>
      </c>
      <c r="D326" s="122">
        <f>VLOOKUP(A326,[1]INDICE!$A$4:$G$1000,4,0)</f>
        <v>231.78</v>
      </c>
      <c r="E326" s="122">
        <f>VLOOKUP(A326,[1]INDICE!$A$4:$G$1000,5,0)</f>
        <v>787.78</v>
      </c>
      <c r="F326" s="122">
        <f>VLOOKUP(A326,[1]INDICE!$A$4:$G$1000,6,0)</f>
        <v>0</v>
      </c>
      <c r="G326" s="122">
        <f>VLOOKUP(A326,[1]INDICE!$A$4:$G$1000,7,0)</f>
        <v>1019.56</v>
      </c>
      <c r="H326" s="116" t="b">
        <f>A326=[2]INDFILTRO!A326</f>
        <v>0</v>
      </c>
      <c r="I326" s="113" t="b">
        <f>B326=[3]INDFILTRO!B325</f>
        <v>0</v>
      </c>
      <c r="J326" s="113" t="b">
        <f>E326=[2]INDFILTRO!E326</f>
        <v>0</v>
      </c>
      <c r="K326" s="113" t="b">
        <f>F326=[2]INDFILTRO!F326</f>
        <v>1</v>
      </c>
      <c r="L326" s="116" t="str">
        <f t="shared" ref="L326:L379" si="16">IF(D326+E326+F326=G326,"verdadeiro")</f>
        <v>verdadeiro</v>
      </c>
      <c r="M326" s="124">
        <f t="shared" ref="M326:M389" si="17">A326</f>
        <v>778</v>
      </c>
      <c r="R326" s="253" t="b">
        <f t="shared" si="15"/>
        <v>1</v>
      </c>
      <c r="S326" s="253"/>
      <c r="T326" s="253"/>
    </row>
    <row r="327" spans="1:20" s="113" customFormat="1" ht="11.25">
      <c r="A327" s="121">
        <v>779</v>
      </c>
      <c r="B327" s="122" t="str">
        <f>VLOOKUP(A327,[1]INDICE!$A$4:$G$1000,2,0)</f>
        <v>INTERRUPTOR DIFERENCIAL RESIDUAL (DR) BIPOLAR 25A - 30mA</v>
      </c>
      <c r="C327" s="160" t="str">
        <f>VLOOKUP(A327,[1]INDICE!$A$4:$G$1000,3,0)</f>
        <v>UN</v>
      </c>
      <c r="D327" s="122">
        <f>VLOOKUP(A327,[1]INDICE!$A$4:$G$1000,4,0)</f>
        <v>23.177999999999997</v>
      </c>
      <c r="E327" s="122">
        <f>VLOOKUP(A327,[1]INDICE!$A$4:$G$1000,5,0)</f>
        <v>129.58000000000001</v>
      </c>
      <c r="F327" s="122">
        <f>VLOOKUP(A327,[1]INDICE!$A$4:$G$1000,6,0)</f>
        <v>0</v>
      </c>
      <c r="G327" s="122">
        <f>VLOOKUP(A327,[1]INDICE!$A$4:$G$1000,7,0)</f>
        <v>152.75800000000001</v>
      </c>
      <c r="H327" s="116" t="b">
        <f>A327=[2]INDFILTRO!A327</f>
        <v>0</v>
      </c>
      <c r="I327" s="113" t="b">
        <f>B327=[3]INDFILTRO!B326</f>
        <v>0</v>
      </c>
      <c r="J327" s="113" t="b">
        <f>E327=[2]INDFILTRO!E327</f>
        <v>0</v>
      </c>
      <c r="K327" s="113" t="b">
        <f>F327=[2]INDFILTRO!F327</f>
        <v>0</v>
      </c>
      <c r="L327" s="116" t="str">
        <f t="shared" si="16"/>
        <v>verdadeiro</v>
      </c>
      <c r="M327" s="124">
        <f t="shared" si="17"/>
        <v>779</v>
      </c>
      <c r="R327" s="253" t="b">
        <f t="shared" si="15"/>
        <v>1</v>
      </c>
      <c r="S327" s="253"/>
      <c r="T327" s="253"/>
    </row>
    <row r="328" spans="1:20" s="113" customFormat="1" ht="11.25">
      <c r="A328" s="121">
        <v>780</v>
      </c>
      <c r="B328" s="122" t="str">
        <f>VLOOKUP(A328,[1]INDICE!$A$4:$G$1000,2,0)</f>
        <v>INTERRUPTOR DIFERENCIAL RESIDUAL (DR) BIPOLAR 40A - 30mA</v>
      </c>
      <c r="C328" s="160" t="str">
        <f>VLOOKUP(A328,[1]INDICE!$A$4:$G$1000,3,0)</f>
        <v>UN</v>
      </c>
      <c r="D328" s="122">
        <f>VLOOKUP(A328,[1]INDICE!$A$4:$G$1000,4,0)</f>
        <v>34.766999999999996</v>
      </c>
      <c r="E328" s="122">
        <f>VLOOKUP(A328,[1]INDICE!$A$4:$G$1000,5,0)</f>
        <v>131.88999999999999</v>
      </c>
      <c r="F328" s="122">
        <f>VLOOKUP(A328,[1]INDICE!$A$4:$G$1000,6,0)</f>
        <v>0</v>
      </c>
      <c r="G328" s="122">
        <f>VLOOKUP(A328,[1]INDICE!$A$4:$G$1000,7,0)</f>
        <v>166.65699999999998</v>
      </c>
      <c r="H328" s="116" t="b">
        <f>A328=[2]INDFILTRO!A328</f>
        <v>0</v>
      </c>
      <c r="I328" s="113" t="b">
        <f>B328=[3]INDFILTRO!B327</f>
        <v>0</v>
      </c>
      <c r="J328" s="113" t="b">
        <f>E328=[2]INDFILTRO!E328</f>
        <v>0</v>
      </c>
      <c r="K328" s="113" t="b">
        <f>F328=[2]INDFILTRO!F328</f>
        <v>1</v>
      </c>
      <c r="L328" s="116" t="str">
        <f t="shared" si="16"/>
        <v>verdadeiro</v>
      </c>
      <c r="M328" s="124">
        <f t="shared" si="17"/>
        <v>780</v>
      </c>
      <c r="R328" s="253" t="b">
        <f t="shared" si="15"/>
        <v>1</v>
      </c>
      <c r="S328" s="253"/>
      <c r="T328" s="253"/>
    </row>
    <row r="329" spans="1:20" s="113" customFormat="1" ht="11.25">
      <c r="A329" s="121">
        <v>781</v>
      </c>
      <c r="B329" s="122" t="str">
        <f>VLOOKUP(A329,[1]INDICE!$A$4:$G$1000,2,0)</f>
        <v>ARRUELA LISA D=1/4"</v>
      </c>
      <c r="C329" s="160" t="str">
        <f>VLOOKUP(A329,[1]INDICE!$A$4:$G$1000,3,0)</f>
        <v>UN</v>
      </c>
      <c r="D329" s="122">
        <f>VLOOKUP(A329,[1]INDICE!$A$4:$G$1000,4,0)</f>
        <v>0</v>
      </c>
      <c r="E329" s="122">
        <f>VLOOKUP(A329,[1]INDICE!$A$4:$G$1000,5,0)</f>
        <v>0.04</v>
      </c>
      <c r="F329" s="122">
        <f>VLOOKUP(A329,[1]INDICE!$A$4:$G$1000,6,0)</f>
        <v>0</v>
      </c>
      <c r="G329" s="122">
        <f>VLOOKUP(A329,[1]INDICE!$A$4:$G$1000,7,0)</f>
        <v>0.04</v>
      </c>
      <c r="H329" s="116" t="b">
        <f>A329=[2]INDFILTRO!A329</f>
        <v>0</v>
      </c>
      <c r="I329" s="113" t="b">
        <f>B329=[3]INDFILTRO!B328</f>
        <v>0</v>
      </c>
      <c r="J329" s="113" t="b">
        <f>E329=[2]INDFILTRO!E329</f>
        <v>0</v>
      </c>
      <c r="K329" s="113" t="b">
        <f>F329=[2]INDFILTRO!F329</f>
        <v>1</v>
      </c>
      <c r="L329" s="116" t="str">
        <f t="shared" si="16"/>
        <v>verdadeiro</v>
      </c>
      <c r="M329" s="124">
        <f t="shared" si="17"/>
        <v>781</v>
      </c>
      <c r="R329" s="253" t="b">
        <f t="shared" si="15"/>
        <v>1</v>
      </c>
      <c r="S329" s="253"/>
      <c r="T329" s="253"/>
    </row>
    <row r="330" spans="1:20" s="113" customFormat="1" ht="11.25">
      <c r="A330" s="121">
        <v>784</v>
      </c>
      <c r="B330" s="122" t="str">
        <f>VLOOKUP(A330,[1]INDICE!$A$4:$G$1000,2,0)</f>
        <v>TORNEIRA DE JARDIM COM BICO PARA MANGUEIRA DIÂMETRO DE 1/2" E 3/4"</v>
      </c>
      <c r="C330" s="160" t="str">
        <f>VLOOKUP(A330,[1]INDICE!$A$4:$G$1000,3,0)</f>
        <v>UN</v>
      </c>
      <c r="D330" s="122">
        <f>VLOOKUP(A330,[1]INDICE!$A$4:$G$1000,4,0)</f>
        <v>7.4880000000000004</v>
      </c>
      <c r="E330" s="122">
        <f>VLOOKUP(A330,[1]INDICE!$A$4:$G$1000,5,0)</f>
        <v>47.52</v>
      </c>
      <c r="F330" s="122">
        <f>VLOOKUP(A330,[1]INDICE!$A$4:$G$1000,6,0)</f>
        <v>0</v>
      </c>
      <c r="G330" s="122">
        <f>VLOOKUP(A330,[1]INDICE!$A$4:$G$1000,7,0)</f>
        <v>55.008000000000003</v>
      </c>
      <c r="H330" s="116" t="b">
        <f>A330=[2]INDFILTRO!A330</f>
        <v>0</v>
      </c>
      <c r="I330" s="113" t="b">
        <f>B330=[3]INDFILTRO!B329</f>
        <v>0</v>
      </c>
      <c r="J330" s="113" t="b">
        <f>E330=[2]INDFILTRO!E330</f>
        <v>0</v>
      </c>
      <c r="K330" s="113" t="b">
        <f>F330=[2]INDFILTRO!F330</f>
        <v>1</v>
      </c>
      <c r="L330" s="116" t="str">
        <f t="shared" si="16"/>
        <v>verdadeiro</v>
      </c>
      <c r="M330" s="124">
        <f t="shared" si="17"/>
        <v>784</v>
      </c>
      <c r="R330" s="253" t="b">
        <f t="shared" si="15"/>
        <v>1</v>
      </c>
      <c r="S330" s="253"/>
      <c r="T330" s="253"/>
    </row>
    <row r="331" spans="1:20" s="113" customFormat="1" ht="11.25">
      <c r="A331" s="121">
        <v>785</v>
      </c>
      <c r="B331" s="122" t="str">
        <f>VLOOKUP(A331,[1]INDICE!$A$4:$G$1000,2,0)</f>
        <v>VALVULA P/LAVATORIO OU BEBEDOURO METALICO DIAMETRO 1"</v>
      </c>
      <c r="C331" s="160" t="str">
        <f>VLOOKUP(A331,[1]INDICE!$A$4:$G$1000,3,0)</f>
        <v>UN</v>
      </c>
      <c r="D331" s="122">
        <f>VLOOKUP(A331,[1]INDICE!$A$4:$G$1000,4,0)</f>
        <v>5.6159999999999997</v>
      </c>
      <c r="E331" s="122">
        <f>VLOOKUP(A331,[1]INDICE!$A$4:$G$1000,5,0)</f>
        <v>28.4</v>
      </c>
      <c r="F331" s="122">
        <f>VLOOKUP(A331,[1]INDICE!$A$4:$G$1000,6,0)</f>
        <v>0</v>
      </c>
      <c r="G331" s="122">
        <f>VLOOKUP(A331,[1]INDICE!$A$4:$G$1000,7,0)</f>
        <v>34.015999999999998</v>
      </c>
      <c r="H331" s="116" t="b">
        <f>A331=[2]INDFILTRO!A331</f>
        <v>0</v>
      </c>
      <c r="I331" s="113" t="b">
        <f>B331=[3]INDFILTRO!B330</f>
        <v>0</v>
      </c>
      <c r="J331" s="113" t="b">
        <f>E331=[2]INDFILTRO!E331</f>
        <v>0</v>
      </c>
      <c r="K331" s="113" t="b">
        <f>F331=[2]INDFILTRO!F331</f>
        <v>1</v>
      </c>
      <c r="L331" s="116" t="str">
        <f t="shared" si="16"/>
        <v>verdadeiro</v>
      </c>
      <c r="M331" s="124">
        <f t="shared" si="17"/>
        <v>785</v>
      </c>
      <c r="R331" s="253" t="b">
        <f t="shared" si="15"/>
        <v>1</v>
      </c>
      <c r="S331" s="253"/>
      <c r="T331" s="253"/>
    </row>
    <row r="332" spans="1:20" s="113" customFormat="1" ht="11.25">
      <c r="A332" s="121">
        <v>786</v>
      </c>
      <c r="B332" s="122" t="str">
        <f>VLOOKUP(A332,[1]INDICE!$A$4:$G$1000,2,0)</f>
        <v>PORTA PAPEL HIGIÊNICO EM LOUÇA - EMBUTIR</v>
      </c>
      <c r="C332" s="160" t="str">
        <f>VLOOKUP(A332,[1]INDICE!$A$4:$G$1000,3,0)</f>
        <v>UN</v>
      </c>
      <c r="D332" s="122">
        <f>VLOOKUP(A332,[1]INDICE!$A$4:$G$1000,4,0)</f>
        <v>18.365000000000002</v>
      </c>
      <c r="E332" s="122">
        <f>VLOOKUP(A332,[1]INDICE!$A$4:$G$1000,5,0)</f>
        <v>22.925999999999998</v>
      </c>
      <c r="F332" s="122">
        <f>VLOOKUP(A332,[1]INDICE!$A$4:$G$1000,6,0)</f>
        <v>0</v>
      </c>
      <c r="G332" s="122">
        <f>VLOOKUP(A332,[1]INDICE!$A$4:$G$1000,7,0)</f>
        <v>41.290999999999997</v>
      </c>
      <c r="H332" s="116" t="b">
        <f>A332=[2]INDFILTRO!A332</f>
        <v>0</v>
      </c>
      <c r="I332" s="113" t="b">
        <f>B332=[3]INDFILTRO!B331</f>
        <v>0</v>
      </c>
      <c r="J332" s="113" t="b">
        <f>E332=[2]INDFILTRO!E332</f>
        <v>0</v>
      </c>
      <c r="K332" s="113" t="b">
        <f>F332=[2]INDFILTRO!F332</f>
        <v>1</v>
      </c>
      <c r="L332" s="116" t="str">
        <f t="shared" si="16"/>
        <v>verdadeiro</v>
      </c>
      <c r="M332" s="124">
        <f t="shared" si="17"/>
        <v>786</v>
      </c>
      <c r="R332" s="253" t="b">
        <f t="shared" si="15"/>
        <v>1</v>
      </c>
      <c r="S332" s="253"/>
      <c r="T332" s="253"/>
    </row>
    <row r="333" spans="1:20" s="113" customFormat="1" ht="11.25">
      <c r="A333" s="121">
        <v>787</v>
      </c>
      <c r="B333" s="122" t="str">
        <f>VLOOKUP(A333,[1]INDICE!$A$4:$G$1000,2,0)</f>
        <v>ACABAMENTO PARA VÁLVULA DE DESCARGA</v>
      </c>
      <c r="C333" s="160" t="str">
        <f>VLOOKUP(A333,[1]INDICE!$A$4:$G$1000,3,0)</f>
        <v>UN</v>
      </c>
      <c r="D333" s="122">
        <f>VLOOKUP(A333,[1]INDICE!$A$4:$G$1000,4,0)</f>
        <v>2.9952000000000001</v>
      </c>
      <c r="E333" s="122">
        <f>VLOOKUP(A333,[1]INDICE!$A$4:$G$1000,5,0)</f>
        <v>64.320000000000007</v>
      </c>
      <c r="F333" s="122">
        <f>VLOOKUP(A333,[1]INDICE!$A$4:$G$1000,6,0)</f>
        <v>0</v>
      </c>
      <c r="G333" s="122">
        <f>VLOOKUP(A333,[1]INDICE!$A$4:$G$1000,7,0)</f>
        <v>67.315200000000004</v>
      </c>
      <c r="H333" s="116" t="b">
        <f>A333=[2]INDFILTRO!A333</f>
        <v>0</v>
      </c>
      <c r="I333" s="113" t="b">
        <f>B333=[3]INDFILTRO!B332</f>
        <v>0</v>
      </c>
      <c r="J333" s="113" t="b">
        <f>E333=[2]INDFILTRO!E333</f>
        <v>0</v>
      </c>
      <c r="K333" s="113" t="b">
        <f>F333=[2]INDFILTRO!F333</f>
        <v>1</v>
      </c>
      <c r="L333" s="116" t="str">
        <f t="shared" si="16"/>
        <v>verdadeiro</v>
      </c>
      <c r="M333" s="124">
        <f t="shared" si="17"/>
        <v>787</v>
      </c>
      <c r="R333" s="253" t="b">
        <f t="shared" si="15"/>
        <v>1</v>
      </c>
      <c r="S333" s="253"/>
      <c r="T333" s="253"/>
    </row>
    <row r="334" spans="1:20" s="113" customFormat="1" ht="11.25">
      <c r="A334" s="121">
        <v>788</v>
      </c>
      <c r="B334" s="122" t="str">
        <f>VLOOKUP(A334,[1]INDICE!$A$4:$G$1000,2,0)</f>
        <v>ACABAMENTO PARA REGISTRO DE GAVETA 3/4"</v>
      </c>
      <c r="C334" s="160" t="str">
        <f>VLOOKUP(A334,[1]INDICE!$A$4:$G$1000,3,0)</f>
        <v>UN</v>
      </c>
      <c r="D334" s="122">
        <f>VLOOKUP(A334,[1]INDICE!$A$4:$G$1000,4,0)</f>
        <v>2.9952000000000001</v>
      </c>
      <c r="E334" s="122">
        <f>VLOOKUP(A334,[1]INDICE!$A$4:$G$1000,5,0)</f>
        <v>18.329999999999998</v>
      </c>
      <c r="F334" s="122">
        <f>VLOOKUP(A334,[1]INDICE!$A$4:$G$1000,6,0)</f>
        <v>0</v>
      </c>
      <c r="G334" s="122">
        <f>VLOOKUP(A334,[1]INDICE!$A$4:$G$1000,7,0)</f>
        <v>21.325199999999999</v>
      </c>
      <c r="H334" s="116" t="b">
        <f>A334=[2]INDFILTRO!A334</f>
        <v>0</v>
      </c>
      <c r="I334" s="113" t="b">
        <f>B334=[3]INDFILTRO!B333</f>
        <v>0</v>
      </c>
      <c r="J334" s="113" t="b">
        <f>E334=[2]INDFILTRO!E334</f>
        <v>0</v>
      </c>
      <c r="K334" s="113" t="b">
        <f>F334=[2]INDFILTRO!F334</f>
        <v>1</v>
      </c>
      <c r="L334" s="116" t="str">
        <f t="shared" si="16"/>
        <v>verdadeiro</v>
      </c>
      <c r="M334" s="124">
        <f t="shared" si="17"/>
        <v>788</v>
      </c>
      <c r="R334" s="253" t="b">
        <f t="shared" si="15"/>
        <v>1</v>
      </c>
      <c r="S334" s="253"/>
      <c r="T334" s="253"/>
    </row>
    <row r="335" spans="1:20" s="113" customFormat="1" ht="11.25">
      <c r="A335" s="121">
        <v>789</v>
      </c>
      <c r="B335" s="122" t="str">
        <f>VLOOKUP(A335,[1]INDICE!$A$4:$G$1000,2,0)</f>
        <v>ACABAMENTO PARA REGISTRO DE GAVETA 1.1/2"</v>
      </c>
      <c r="C335" s="160" t="str">
        <f>VLOOKUP(A335,[1]INDICE!$A$4:$G$1000,3,0)</f>
        <v>UN</v>
      </c>
      <c r="D335" s="122">
        <f>VLOOKUP(A335,[1]INDICE!$A$4:$G$1000,4,0)</f>
        <v>2.9952000000000001</v>
      </c>
      <c r="E335" s="122">
        <f>VLOOKUP(A335,[1]INDICE!$A$4:$G$1000,5,0)</f>
        <v>79.59333333333332</v>
      </c>
      <c r="F335" s="122">
        <f>VLOOKUP(A335,[1]INDICE!$A$4:$G$1000,6,0)</f>
        <v>0</v>
      </c>
      <c r="G335" s="122">
        <f>VLOOKUP(A335,[1]INDICE!$A$4:$G$1000,7,0)</f>
        <v>82.588533333333316</v>
      </c>
      <c r="H335" s="116" t="b">
        <f>A335=[2]INDFILTRO!A335</f>
        <v>0</v>
      </c>
      <c r="I335" s="113" t="b">
        <f>B335=[3]INDFILTRO!B334</f>
        <v>0</v>
      </c>
      <c r="J335" s="113" t="b">
        <f>E335=[2]INDFILTRO!E335</f>
        <v>0</v>
      </c>
      <c r="K335" s="113" t="b">
        <f>F335=[2]INDFILTRO!F335</f>
        <v>1</v>
      </c>
      <c r="L335" s="116" t="str">
        <f t="shared" si="16"/>
        <v>verdadeiro</v>
      </c>
      <c r="M335" s="124">
        <f t="shared" si="17"/>
        <v>789</v>
      </c>
      <c r="R335" s="253" t="b">
        <f t="shared" si="15"/>
        <v>1</v>
      </c>
      <c r="S335" s="253"/>
      <c r="T335" s="253"/>
    </row>
    <row r="336" spans="1:20" s="113" customFormat="1" ht="11.25">
      <c r="A336" s="121">
        <v>790</v>
      </c>
      <c r="B336" s="122" t="str">
        <f>VLOOKUP(A336,[1]INDICE!$A$4:$G$1000,2,0)</f>
        <v>AÇO CA-60B - 4,2 MM - (OBRAS CIVIS)</v>
      </c>
      <c r="C336" s="160" t="str">
        <f>VLOOKUP(A336,[1]INDICE!$A$4:$G$1000,3,0)</f>
        <v>KG</v>
      </c>
      <c r="D336" s="122">
        <f>VLOOKUP(A336,[1]INDICE!$A$4:$G$1000,4,0)</f>
        <v>2.7629000000000001</v>
      </c>
      <c r="E336" s="122">
        <f>VLOOKUP(A336,[1]INDICE!$A$4:$G$1000,5,0)</f>
        <v>7.120000000000001</v>
      </c>
      <c r="F336" s="122">
        <f>VLOOKUP(A336,[1]INDICE!$A$4:$G$1000,6,0)</f>
        <v>0</v>
      </c>
      <c r="G336" s="122">
        <f>VLOOKUP(A336,[1]INDICE!$A$4:$G$1000,7,0)</f>
        <v>9.8829000000000011</v>
      </c>
      <c r="H336" s="116" t="b">
        <f>A336=[2]INDFILTRO!A336</f>
        <v>0</v>
      </c>
      <c r="I336" s="113" t="b">
        <f>B336=[3]INDFILTRO!B335</f>
        <v>0</v>
      </c>
      <c r="J336" s="113" t="b">
        <f>E336=[2]INDFILTRO!E336</f>
        <v>0</v>
      </c>
      <c r="K336" s="113" t="b">
        <f>F336=[2]INDFILTRO!F336</f>
        <v>1</v>
      </c>
      <c r="L336" s="116" t="str">
        <f t="shared" si="16"/>
        <v>verdadeiro</v>
      </c>
      <c r="M336" s="124">
        <f t="shared" si="17"/>
        <v>790</v>
      </c>
      <c r="R336" s="253" t="b">
        <f t="shared" si="15"/>
        <v>1</v>
      </c>
      <c r="S336" s="253"/>
      <c r="T336" s="253"/>
    </row>
    <row r="337" spans="1:20" s="113" customFormat="1" ht="11.25">
      <c r="A337" s="121">
        <v>791</v>
      </c>
      <c r="B337" s="122" t="str">
        <f>VLOOKUP(A337,[1]INDICE!$A$4:$G$1000,2,0)</f>
        <v>ANEL DE VEDAÇÃO PARA VASO SANITÁRIO</v>
      </c>
      <c r="C337" s="160" t="str">
        <f>VLOOKUP(A337,[1]INDICE!$A$4:$G$1000,3,0)</f>
        <v>UN</v>
      </c>
      <c r="D337" s="122">
        <f>VLOOKUP(A337,[1]INDICE!$A$4:$G$1000,4,0)</f>
        <v>5.6159999999999997</v>
      </c>
      <c r="E337" s="122">
        <f>VLOOKUP(A337,[1]INDICE!$A$4:$G$1000,5,0)</f>
        <v>1.69</v>
      </c>
      <c r="F337" s="122">
        <f>VLOOKUP(A337,[1]INDICE!$A$4:$G$1000,6,0)</f>
        <v>0</v>
      </c>
      <c r="G337" s="122">
        <f>VLOOKUP(A337,[1]INDICE!$A$4:$G$1000,7,0)</f>
        <v>7.3059999999999992</v>
      </c>
      <c r="H337" s="116" t="b">
        <f>A337=[2]INDFILTRO!A337</f>
        <v>0</v>
      </c>
      <c r="I337" s="113" t="b">
        <f>B337=[3]INDFILTRO!B336</f>
        <v>0</v>
      </c>
      <c r="J337" s="113" t="b">
        <f>E337=[2]INDFILTRO!E337</f>
        <v>0</v>
      </c>
      <c r="K337" s="113" t="b">
        <f>F337=[2]INDFILTRO!F337</f>
        <v>1</v>
      </c>
      <c r="L337" s="116" t="str">
        <f t="shared" si="16"/>
        <v>verdadeiro</v>
      </c>
      <c r="M337" s="124">
        <f t="shared" si="17"/>
        <v>791</v>
      </c>
      <c r="R337" s="253" t="b">
        <f t="shared" si="15"/>
        <v>1</v>
      </c>
      <c r="S337" s="253"/>
      <c r="T337" s="253"/>
    </row>
    <row r="338" spans="1:20" s="113" customFormat="1" ht="11.25">
      <c r="A338" s="121">
        <v>792</v>
      </c>
      <c r="B338" s="122" t="str">
        <f>VLOOKUP(A338,[1]INDICE!$A$4:$G$1000,2,0)</f>
        <v>MEIA SABONETEIRA EM LOUÇA DE EMBUTIR</v>
      </c>
      <c r="C338" s="160" t="str">
        <f>VLOOKUP(A338,[1]INDICE!$A$4:$G$1000,3,0)</f>
        <v>UN</v>
      </c>
      <c r="D338" s="122">
        <f>VLOOKUP(A338,[1]INDICE!$A$4:$G$1000,4,0)</f>
        <v>18.365000000000002</v>
      </c>
      <c r="E338" s="122">
        <f>VLOOKUP(A338,[1]INDICE!$A$4:$G$1000,5,0)</f>
        <v>19.385999999999999</v>
      </c>
      <c r="F338" s="122">
        <f>VLOOKUP(A338,[1]INDICE!$A$4:$G$1000,6,0)</f>
        <v>0</v>
      </c>
      <c r="G338" s="122">
        <f>VLOOKUP(A338,[1]INDICE!$A$4:$G$1000,7,0)</f>
        <v>37.751000000000005</v>
      </c>
      <c r="H338" s="116" t="b">
        <f>A338=[2]INDFILTRO!A338</f>
        <v>0</v>
      </c>
      <c r="I338" s="113" t="b">
        <f>B338=[3]INDFILTRO!B337</f>
        <v>0</v>
      </c>
      <c r="J338" s="113" t="b">
        <f>E338=[2]INDFILTRO!E338</f>
        <v>0</v>
      </c>
      <c r="K338" s="113" t="b">
        <f>F338=[2]INDFILTRO!F338</f>
        <v>1</v>
      </c>
      <c r="L338" s="116" t="str">
        <f t="shared" si="16"/>
        <v>verdadeiro</v>
      </c>
      <c r="M338" s="124">
        <f t="shared" si="17"/>
        <v>792</v>
      </c>
      <c r="R338" s="253" t="b">
        <f t="shared" si="15"/>
        <v>1</v>
      </c>
      <c r="S338" s="253"/>
      <c r="T338" s="253"/>
    </row>
    <row r="339" spans="1:20" s="113" customFormat="1" ht="11.25">
      <c r="A339" s="121">
        <v>793</v>
      </c>
      <c r="B339" s="122" t="str">
        <f>VLOOKUP(A339,[1]INDICE!$A$4:$G$1000,2,0)</f>
        <v>ACABAMENTO PARA REGISTRO DE GAVETA 1"</v>
      </c>
      <c r="C339" s="160" t="str">
        <f>VLOOKUP(A339,[1]INDICE!$A$4:$G$1000,3,0)</f>
        <v>UN</v>
      </c>
      <c r="D339" s="122">
        <f>VLOOKUP(A339,[1]INDICE!$A$4:$G$1000,4,0)</f>
        <v>2.9952000000000001</v>
      </c>
      <c r="E339" s="122">
        <f>VLOOKUP(A339,[1]INDICE!$A$4:$G$1000,5,0)</f>
        <v>75.023333333333341</v>
      </c>
      <c r="F339" s="122">
        <f>VLOOKUP(A339,[1]INDICE!$A$4:$G$1000,6,0)</f>
        <v>0</v>
      </c>
      <c r="G339" s="122">
        <f>VLOOKUP(A339,[1]INDICE!$A$4:$G$1000,7,0)</f>
        <v>78.018533333333338</v>
      </c>
      <c r="H339" s="116" t="b">
        <f>A339=[2]INDFILTRO!A339</f>
        <v>0</v>
      </c>
      <c r="I339" s="113" t="b">
        <f>B339=[3]INDFILTRO!B338</f>
        <v>0</v>
      </c>
      <c r="J339" s="113" t="b">
        <f>E339=[2]INDFILTRO!E339</f>
        <v>0</v>
      </c>
      <c r="K339" s="113" t="b">
        <f>F339=[2]INDFILTRO!F339</f>
        <v>1</v>
      </c>
      <c r="L339" s="116" t="str">
        <f t="shared" si="16"/>
        <v>verdadeiro</v>
      </c>
      <c r="M339" s="124">
        <f t="shared" si="17"/>
        <v>793</v>
      </c>
      <c r="R339" s="253" t="b">
        <f t="shared" si="15"/>
        <v>1</v>
      </c>
      <c r="S339" s="253"/>
      <c r="T339" s="253"/>
    </row>
    <row r="340" spans="1:20" s="113" customFormat="1" ht="11.25">
      <c r="A340" s="121">
        <v>794</v>
      </c>
      <c r="B340" s="122" t="str">
        <f>VLOOKUP(A340,[1]INDICE!$A$4:$G$1000,2,0)</f>
        <v>GRELHA REDONDA BRANCA DIAM. 100MM</v>
      </c>
      <c r="C340" s="160" t="str">
        <f>VLOOKUP(A340,[1]INDICE!$A$4:$G$1000,3,0)</f>
        <v>UN</v>
      </c>
      <c r="D340" s="122">
        <f>VLOOKUP(A340,[1]INDICE!$A$4:$G$1000,4,0)</f>
        <v>2.9952000000000001</v>
      </c>
      <c r="E340" s="122">
        <f>VLOOKUP(A340,[1]INDICE!$A$4:$G$1000,5,0)</f>
        <v>2.04</v>
      </c>
      <c r="F340" s="122">
        <f>VLOOKUP(A340,[1]INDICE!$A$4:$G$1000,6,0)</f>
        <v>0</v>
      </c>
      <c r="G340" s="122">
        <f>VLOOKUP(A340,[1]INDICE!$A$4:$G$1000,7,0)</f>
        <v>5.0351999999999997</v>
      </c>
      <c r="H340" s="116" t="b">
        <f>A340=[2]INDFILTRO!A340</f>
        <v>0</v>
      </c>
      <c r="I340" s="113" t="b">
        <f>B340=[3]INDFILTRO!B339</f>
        <v>0</v>
      </c>
      <c r="J340" s="113" t="b">
        <f>E340=[2]INDFILTRO!E340</f>
        <v>0</v>
      </c>
      <c r="K340" s="113" t="b">
        <f>F340=[2]INDFILTRO!F340</f>
        <v>1</v>
      </c>
      <c r="L340" s="116" t="str">
        <f t="shared" si="16"/>
        <v>verdadeiro</v>
      </c>
      <c r="M340" s="124">
        <f t="shared" si="17"/>
        <v>794</v>
      </c>
      <c r="R340" s="253" t="b">
        <f t="shared" si="15"/>
        <v>1</v>
      </c>
      <c r="S340" s="253"/>
      <c r="T340" s="253"/>
    </row>
    <row r="341" spans="1:20" s="113" customFormat="1" ht="11.25">
      <c r="A341" s="121">
        <v>795</v>
      </c>
      <c r="B341" s="122" t="str">
        <f>VLOOKUP(A341,[1]INDICE!$A$4:$G$1000,2,0)</f>
        <v>PORTA GRELHA QUADRADA PVC BRANCO, DIAM. 150MM</v>
      </c>
      <c r="C341" s="160" t="str">
        <f>VLOOKUP(A341,[1]INDICE!$A$4:$G$1000,3,0)</f>
        <v>UN</v>
      </c>
      <c r="D341" s="122">
        <f>VLOOKUP(A341,[1]INDICE!$A$4:$G$1000,4,0)</f>
        <v>3.7440000000000002</v>
      </c>
      <c r="E341" s="122">
        <f>VLOOKUP(A341,[1]INDICE!$A$4:$G$1000,5,0)</f>
        <v>6.36</v>
      </c>
      <c r="F341" s="122">
        <f>VLOOKUP(A341,[1]INDICE!$A$4:$G$1000,6,0)</f>
        <v>0</v>
      </c>
      <c r="G341" s="122">
        <f>VLOOKUP(A341,[1]INDICE!$A$4:$G$1000,7,0)</f>
        <v>10.104000000000001</v>
      </c>
      <c r="H341" s="116" t="b">
        <f>A341=[2]INDFILTRO!A341</f>
        <v>0</v>
      </c>
      <c r="I341" s="113" t="b">
        <f>B341=[3]INDFILTRO!B340</f>
        <v>0</v>
      </c>
      <c r="J341" s="113" t="b">
        <f>E341=[2]INDFILTRO!E341</f>
        <v>0</v>
      </c>
      <c r="K341" s="113" t="b">
        <f>F341=[2]INDFILTRO!F341</f>
        <v>1</v>
      </c>
      <c r="L341" s="116" t="str">
        <f t="shared" si="16"/>
        <v>verdadeiro</v>
      </c>
      <c r="M341" s="124">
        <f t="shared" si="17"/>
        <v>795</v>
      </c>
      <c r="R341" s="253" t="b">
        <f t="shared" si="15"/>
        <v>1</v>
      </c>
      <c r="S341" s="253"/>
      <c r="T341" s="253"/>
    </row>
    <row r="342" spans="1:20" s="113" customFormat="1" ht="11.25">
      <c r="A342" s="121">
        <v>796</v>
      </c>
      <c r="B342" s="122" t="str">
        <f>VLOOKUP(A342,[1]INDICE!$A$4:$G$1000,2,0)</f>
        <v>CAIXA DE GORDURA 80X80CM - 600 LITROS</v>
      </c>
      <c r="C342" s="160" t="str">
        <f>VLOOKUP(A342,[1]INDICE!$A$4:$G$1000,3,0)</f>
        <v>UN</v>
      </c>
      <c r="D342" s="122">
        <f>VLOOKUP(A342,[1]INDICE!$A$4:$G$1000,4,0)</f>
        <v>1003.8981640000002</v>
      </c>
      <c r="E342" s="122">
        <f>VLOOKUP(A342,[1]INDICE!$A$4:$G$1000,5,0)</f>
        <v>478.75593739669421</v>
      </c>
      <c r="F342" s="122">
        <f>VLOOKUP(A342,[1]INDICE!$A$4:$G$1000,6,0)</f>
        <v>0</v>
      </c>
      <c r="G342" s="122">
        <f>VLOOKUP(A342,[1]INDICE!$A$4:$G$1000,7,0)</f>
        <v>1482.6541013966944</v>
      </c>
      <c r="H342" s="116" t="b">
        <f>A342=[2]INDFILTRO!A342</f>
        <v>0</v>
      </c>
      <c r="I342" s="113" t="b">
        <f>B342=[3]INDFILTRO!B341</f>
        <v>0</v>
      </c>
      <c r="J342" s="113" t="b">
        <f>E342=[2]INDFILTRO!E342</f>
        <v>0</v>
      </c>
      <c r="K342" s="113" t="b">
        <f>F342=[2]INDFILTRO!F342</f>
        <v>1</v>
      </c>
      <c r="L342" s="116" t="str">
        <f t="shared" si="16"/>
        <v>verdadeiro</v>
      </c>
      <c r="M342" s="124">
        <f t="shared" si="17"/>
        <v>796</v>
      </c>
      <c r="R342" s="253" t="b">
        <f t="shared" si="15"/>
        <v>1</v>
      </c>
      <c r="S342" s="253"/>
      <c r="T342" s="253"/>
    </row>
    <row r="343" spans="1:20" s="113" customFormat="1" ht="11.25">
      <c r="A343" s="121">
        <v>797</v>
      </c>
      <c r="B343" s="122" t="str">
        <f>VLOOKUP(A343,[1]INDICE!$A$4:$G$1000,2,0)</f>
        <v>SIFAO P/LAVATORIO PVC CROMADO DIAM.1"X1.1/2"</v>
      </c>
      <c r="C343" s="160" t="str">
        <f>VLOOKUP(A343,[1]INDICE!$A$4:$G$1000,3,0)</f>
        <v>UN</v>
      </c>
      <c r="D343" s="122">
        <f>VLOOKUP(A343,[1]INDICE!$A$4:$G$1000,4,0)</f>
        <v>13.478400000000001</v>
      </c>
      <c r="E343" s="122">
        <f>VLOOKUP(A343,[1]INDICE!$A$4:$G$1000,5,0)</f>
        <v>34.113800000000005</v>
      </c>
      <c r="F343" s="122">
        <f>VLOOKUP(A343,[1]INDICE!$A$4:$G$1000,6,0)</f>
        <v>0</v>
      </c>
      <c r="G343" s="122">
        <f>VLOOKUP(A343,[1]INDICE!$A$4:$G$1000,7,0)</f>
        <v>47.592200000000005</v>
      </c>
      <c r="H343" s="116" t="b">
        <f>A343=[2]INDFILTRO!A343</f>
        <v>0</v>
      </c>
      <c r="I343" s="113" t="b">
        <f>B343=[3]INDFILTRO!B342</f>
        <v>0</v>
      </c>
      <c r="J343" s="113" t="b">
        <f>E343=[2]INDFILTRO!E343</f>
        <v>0</v>
      </c>
      <c r="K343" s="113" t="b">
        <f>F343=[2]INDFILTRO!F343</f>
        <v>1</v>
      </c>
      <c r="L343" s="116" t="str">
        <f t="shared" si="16"/>
        <v>verdadeiro</v>
      </c>
      <c r="M343" s="124">
        <f t="shared" si="17"/>
        <v>797</v>
      </c>
      <c r="R343" s="253" t="b">
        <f t="shared" si="15"/>
        <v>1</v>
      </c>
      <c r="S343" s="253"/>
      <c r="T343" s="253"/>
    </row>
    <row r="344" spans="1:20" s="113" customFormat="1" ht="11.25">
      <c r="A344" s="121">
        <v>798</v>
      </c>
      <c r="B344" s="122" t="str">
        <f>VLOOKUP(A344,[1]INDICE!$A$4:$G$1000,2,0)</f>
        <v>PORTA GRELHA QUADRADO P/GRELHA RED.BRANC.100 MM</v>
      </c>
      <c r="C344" s="160" t="str">
        <f>VLOOKUP(A344,[1]INDICE!$A$4:$G$1000,3,0)</f>
        <v>UN</v>
      </c>
      <c r="D344" s="122">
        <f>VLOOKUP(A344,[1]INDICE!$A$4:$G$1000,4,0)</f>
        <v>3.7440000000000002</v>
      </c>
      <c r="E344" s="122">
        <f>VLOOKUP(A344,[1]INDICE!$A$4:$G$1000,5,0)</f>
        <v>3.29</v>
      </c>
      <c r="F344" s="122">
        <f>VLOOKUP(A344,[1]INDICE!$A$4:$G$1000,6,0)</f>
        <v>0</v>
      </c>
      <c r="G344" s="122">
        <f>VLOOKUP(A344,[1]INDICE!$A$4:$G$1000,7,0)</f>
        <v>7.0340000000000007</v>
      </c>
      <c r="H344" s="116" t="b">
        <f>A344=[2]INDFILTRO!A344</f>
        <v>0</v>
      </c>
      <c r="I344" s="113" t="b">
        <f>B344=[3]INDFILTRO!B343</f>
        <v>0</v>
      </c>
      <c r="J344" s="113" t="b">
        <f>E344=[2]INDFILTRO!E344</f>
        <v>0</v>
      </c>
      <c r="K344" s="113" t="b">
        <f>F344=[2]INDFILTRO!F344</f>
        <v>1</v>
      </c>
      <c r="L344" s="116" t="str">
        <f t="shared" si="16"/>
        <v>verdadeiro</v>
      </c>
      <c r="M344" s="124">
        <f t="shared" si="17"/>
        <v>798</v>
      </c>
      <c r="R344" s="253" t="b">
        <f t="shared" si="15"/>
        <v>1</v>
      </c>
      <c r="S344" s="253"/>
      <c r="T344" s="253"/>
    </row>
    <row r="345" spans="1:20" s="113" customFormat="1" ht="11.25">
      <c r="A345" s="121">
        <v>799</v>
      </c>
      <c r="B345" s="122" t="str">
        <f>VLOOKUP(A345,[1]INDICE!$A$4:$G$1000,2,0)</f>
        <v>PORTAO CORRER / ABRIR CONJUGADO PT-8 C/FERRAGENS</v>
      </c>
      <c r="C345" s="160" t="str">
        <f>VLOOKUP(A345,[1]INDICE!$A$4:$G$1000,3,0)</f>
        <v>M2</v>
      </c>
      <c r="D345" s="122">
        <f>VLOOKUP(A345,[1]INDICE!$A$4:$G$1000,4,0)</f>
        <v>45.383581999999997</v>
      </c>
      <c r="E345" s="122">
        <f>VLOOKUP(A345,[1]INDICE!$A$4:$G$1000,5,0)</f>
        <v>247.65966100000003</v>
      </c>
      <c r="F345" s="122">
        <f>VLOOKUP(A345,[1]INDICE!$A$4:$G$1000,6,0)</f>
        <v>0</v>
      </c>
      <c r="G345" s="122">
        <f>VLOOKUP(A345,[1]INDICE!$A$4:$G$1000,7,0)</f>
        <v>293.04324300000002</v>
      </c>
      <c r="H345" s="116" t="b">
        <f>A345=[2]INDFILTRO!A345</f>
        <v>0</v>
      </c>
      <c r="I345" s="113" t="b">
        <f>B345=[3]INDFILTRO!B344</f>
        <v>0</v>
      </c>
      <c r="J345" s="113" t="b">
        <f>E345=[2]INDFILTRO!E345</f>
        <v>0</v>
      </c>
      <c r="K345" s="113" t="b">
        <f>F345=[2]INDFILTRO!F345</f>
        <v>1</v>
      </c>
      <c r="L345" s="116" t="str">
        <f t="shared" si="16"/>
        <v>verdadeiro</v>
      </c>
      <c r="M345" s="124">
        <f t="shared" si="17"/>
        <v>799</v>
      </c>
      <c r="R345" s="253" t="b">
        <f t="shared" si="15"/>
        <v>1</v>
      </c>
      <c r="S345" s="253"/>
      <c r="T345" s="253"/>
    </row>
    <row r="346" spans="1:20" s="113" customFormat="1" ht="11.25">
      <c r="A346" s="121">
        <v>800</v>
      </c>
      <c r="B346" s="122" t="str">
        <f>VLOOKUP(A346,[1]INDICE!$A$4:$G$1000,2,0)</f>
        <v>BASE DE BANCADA REBOCADA</v>
      </c>
      <c r="C346" s="160" t="str">
        <f>VLOOKUP(A346,[1]INDICE!$A$4:$G$1000,3,0)</f>
        <v>M</v>
      </c>
      <c r="D346" s="122">
        <f>VLOOKUP(A346,[1]INDICE!$A$4:$G$1000,4,0)</f>
        <v>73.383449999999996</v>
      </c>
      <c r="E346" s="122">
        <f>VLOOKUP(A346,[1]INDICE!$A$4:$G$1000,5,0)</f>
        <v>30.138900000000003</v>
      </c>
      <c r="F346" s="122">
        <f>VLOOKUP(A346,[1]INDICE!$A$4:$G$1000,6,0)</f>
        <v>0</v>
      </c>
      <c r="G346" s="122">
        <f>VLOOKUP(A346,[1]INDICE!$A$4:$G$1000,7,0)</f>
        <v>103.52235</v>
      </c>
      <c r="H346" s="116" t="b">
        <f>A346=[2]INDFILTRO!A346</f>
        <v>0</v>
      </c>
      <c r="I346" s="113" t="b">
        <f>B346=[3]INDFILTRO!B345</f>
        <v>0</v>
      </c>
      <c r="J346" s="113" t="b">
        <f>E346=[2]INDFILTRO!E346</f>
        <v>0</v>
      </c>
      <c r="K346" s="113" t="b">
        <f>F346=[2]INDFILTRO!F346</f>
        <v>1</v>
      </c>
      <c r="L346" s="116" t="str">
        <f t="shared" si="16"/>
        <v>verdadeiro</v>
      </c>
      <c r="M346" s="124">
        <f t="shared" si="17"/>
        <v>800</v>
      </c>
      <c r="R346" s="253" t="b">
        <f t="shared" si="15"/>
        <v>1</v>
      </c>
      <c r="S346" s="253"/>
      <c r="T346" s="253"/>
    </row>
    <row r="347" spans="1:20" s="113" customFormat="1" ht="11.25">
      <c r="A347" s="121">
        <v>801</v>
      </c>
      <c r="B347" s="122" t="str">
        <f>VLOOKUP(A347,[1]INDICE!$A$4:$G$1000,2,0)</f>
        <v>FIXAÇÃO P/ LAVATÓRIO (PAR)</v>
      </c>
      <c r="C347" s="160" t="str">
        <f>VLOOKUP(A347,[1]INDICE!$A$4:$G$1000,3,0)</f>
        <v>PAR</v>
      </c>
      <c r="D347" s="122">
        <f>VLOOKUP(A347,[1]INDICE!$A$4:$G$1000,4,0)</f>
        <v>5.6159999999999997</v>
      </c>
      <c r="E347" s="122">
        <f>VLOOKUP(A347,[1]INDICE!$A$4:$G$1000,5,0)</f>
        <v>3.29</v>
      </c>
      <c r="F347" s="122">
        <f>VLOOKUP(A347,[1]INDICE!$A$4:$G$1000,6,0)</f>
        <v>0</v>
      </c>
      <c r="G347" s="122">
        <f>VLOOKUP(A347,[1]INDICE!$A$4:$G$1000,7,0)</f>
        <v>8.9059999999999988</v>
      </c>
      <c r="H347" s="116" t="b">
        <f>A347=[2]INDFILTRO!A347</f>
        <v>0</v>
      </c>
      <c r="I347" s="113" t="b">
        <f>B347=[3]INDFILTRO!B346</f>
        <v>0</v>
      </c>
      <c r="J347" s="113" t="b">
        <f>E347=[2]INDFILTRO!E347</f>
        <v>0</v>
      </c>
      <c r="K347" s="113" t="b">
        <f>F347=[2]INDFILTRO!F347</f>
        <v>1</v>
      </c>
      <c r="L347" s="116" t="str">
        <f t="shared" si="16"/>
        <v>verdadeiro</v>
      </c>
      <c r="M347" s="124">
        <f t="shared" si="17"/>
        <v>801</v>
      </c>
      <c r="R347" s="253" t="b">
        <f t="shared" si="15"/>
        <v>1</v>
      </c>
      <c r="S347" s="253"/>
      <c r="T347" s="253"/>
    </row>
    <row r="348" spans="1:20" s="113" customFormat="1" ht="11.25">
      <c r="A348" s="121">
        <v>802</v>
      </c>
      <c r="B348" s="122" t="str">
        <f>VLOOKUP(A348,[1]INDICE!$A$4:$G$1000,2,0)</f>
        <v>SOLUCAO LIMPADORA 200 CM3</v>
      </c>
      <c r="C348" s="160" t="str">
        <f>VLOOKUP(A348,[1]INDICE!$A$4:$G$1000,3,0)</f>
        <v>UN</v>
      </c>
      <c r="D348" s="122">
        <f>VLOOKUP(A348,[1]INDICE!$A$4:$G$1000,4,0)</f>
        <v>0</v>
      </c>
      <c r="E348" s="122">
        <f>VLOOKUP(A348,[1]INDICE!$A$4:$G$1000,5,0)</f>
        <v>18.27</v>
      </c>
      <c r="F348" s="122">
        <f>VLOOKUP(A348,[1]INDICE!$A$4:$G$1000,6,0)</f>
        <v>0</v>
      </c>
      <c r="G348" s="122">
        <f>VLOOKUP(A348,[1]INDICE!$A$4:$G$1000,7,0)</f>
        <v>18.27</v>
      </c>
      <c r="H348" s="116" t="b">
        <f>A348=[2]INDFILTRO!A348</f>
        <v>0</v>
      </c>
      <c r="I348" s="113" t="b">
        <f>B348=[3]INDFILTRO!B347</f>
        <v>0</v>
      </c>
      <c r="J348" s="113" t="b">
        <f>E348=[2]INDFILTRO!E348</f>
        <v>0</v>
      </c>
      <c r="K348" s="113" t="b">
        <f>F348=[2]INDFILTRO!F348</f>
        <v>1</v>
      </c>
      <c r="L348" s="116" t="str">
        <f t="shared" si="16"/>
        <v>verdadeiro</v>
      </c>
      <c r="M348" s="124">
        <f t="shared" si="17"/>
        <v>802</v>
      </c>
      <c r="R348" s="253" t="b">
        <f t="shared" si="15"/>
        <v>1</v>
      </c>
      <c r="S348" s="253"/>
      <c r="T348" s="253"/>
    </row>
    <row r="349" spans="1:20" s="113" customFormat="1" ht="11.25">
      <c r="A349" s="121">
        <v>803</v>
      </c>
      <c r="B349" s="122" t="str">
        <f>VLOOKUP(A349,[1]INDICE!$A$4:$G$1000,2,0)</f>
        <v>ADESIVO PLASTICO - FRASCO 850 G</v>
      </c>
      <c r="C349" s="160" t="str">
        <f>VLOOKUP(A349,[1]INDICE!$A$4:$G$1000,3,0)</f>
        <v>UN</v>
      </c>
      <c r="D349" s="122">
        <f>VLOOKUP(A349,[1]INDICE!$A$4:$G$1000,4,0)</f>
        <v>0</v>
      </c>
      <c r="E349" s="122">
        <f>VLOOKUP(A349,[1]INDICE!$A$4:$G$1000,5,0)</f>
        <v>5.98</v>
      </c>
      <c r="F349" s="122">
        <f>VLOOKUP(A349,[1]INDICE!$A$4:$G$1000,6,0)</f>
        <v>0</v>
      </c>
      <c r="G349" s="122">
        <f>VLOOKUP(A349,[1]INDICE!$A$4:$G$1000,7,0)</f>
        <v>5.98</v>
      </c>
      <c r="H349" s="116" t="b">
        <f>A349=[2]INDFILTRO!A349</f>
        <v>0</v>
      </c>
      <c r="I349" s="113" t="b">
        <f>B349=[3]INDFILTRO!B348</f>
        <v>0</v>
      </c>
      <c r="J349" s="113" t="b">
        <f>E349=[2]INDFILTRO!E349</f>
        <v>0</v>
      </c>
      <c r="K349" s="113" t="b">
        <f>F349=[2]INDFILTRO!F349</f>
        <v>1</v>
      </c>
      <c r="L349" s="116" t="str">
        <f t="shared" si="16"/>
        <v>verdadeiro</v>
      </c>
      <c r="M349" s="124">
        <f t="shared" si="17"/>
        <v>803</v>
      </c>
      <c r="R349" s="253" t="b">
        <f t="shared" si="15"/>
        <v>1</v>
      </c>
      <c r="S349" s="253"/>
      <c r="T349" s="253"/>
    </row>
    <row r="350" spans="1:20" s="113" customFormat="1" ht="11.25">
      <c r="A350" s="121">
        <v>804</v>
      </c>
      <c r="B350" s="122" t="str">
        <f>VLOOKUP(A350,[1]INDICE!$A$4:$G$1000,2,0)</f>
        <v>CABIDE TIPO GANCHO EM LOUÇA</v>
      </c>
      <c r="C350" s="160" t="str">
        <f>VLOOKUP(A350,[1]INDICE!$A$4:$G$1000,3,0)</f>
        <v>UN</v>
      </c>
      <c r="D350" s="122">
        <f>VLOOKUP(A350,[1]INDICE!$A$4:$G$1000,4,0)</f>
        <v>6.0440000000000005</v>
      </c>
      <c r="E350" s="122">
        <f>VLOOKUP(A350,[1]INDICE!$A$4:$G$1000,5,0)</f>
        <v>11.486000000000001</v>
      </c>
      <c r="F350" s="122">
        <f>VLOOKUP(A350,[1]INDICE!$A$4:$G$1000,6,0)</f>
        <v>0</v>
      </c>
      <c r="G350" s="122">
        <f>VLOOKUP(A350,[1]INDICE!$A$4:$G$1000,7,0)</f>
        <v>17.53</v>
      </c>
      <c r="H350" s="116" t="b">
        <f>A350=[2]INDFILTRO!A350</f>
        <v>0</v>
      </c>
      <c r="I350" s="113" t="b">
        <f>B350=[3]INDFILTRO!B349</f>
        <v>0</v>
      </c>
      <c r="J350" s="113" t="b">
        <f>E350=[2]INDFILTRO!E350</f>
        <v>0</v>
      </c>
      <c r="K350" s="113" t="b">
        <f>F350=[2]INDFILTRO!F350</f>
        <v>1</v>
      </c>
      <c r="L350" s="116" t="str">
        <f t="shared" si="16"/>
        <v>verdadeiro</v>
      </c>
      <c r="M350" s="124">
        <f t="shared" si="17"/>
        <v>804</v>
      </c>
      <c r="R350" s="253" t="b">
        <f t="shared" si="15"/>
        <v>1</v>
      </c>
      <c r="S350" s="253"/>
      <c r="T350" s="253"/>
    </row>
    <row r="351" spans="1:20" s="113" customFormat="1" ht="11.25">
      <c r="A351" s="121">
        <v>805</v>
      </c>
      <c r="B351" s="122" t="str">
        <f>VLOOKUP(A351,[1]INDICE!$A$4:$G$1000,2,0)</f>
        <v>PROLONGAMENTO PARA CAIXA SIFONADA 150MM</v>
      </c>
      <c r="C351" s="160" t="str">
        <f>VLOOKUP(A351,[1]INDICE!$A$4:$G$1000,3,0)</f>
        <v>M</v>
      </c>
      <c r="D351" s="122">
        <f>VLOOKUP(A351,[1]INDICE!$A$4:$G$1000,4,0)</f>
        <v>20.9664</v>
      </c>
      <c r="E351" s="122">
        <f>VLOOKUP(A351,[1]INDICE!$A$4:$G$1000,5,0)</f>
        <v>25.623699999999999</v>
      </c>
      <c r="F351" s="122">
        <f>VLOOKUP(A351,[1]INDICE!$A$4:$G$1000,6,0)</f>
        <v>0</v>
      </c>
      <c r="G351" s="122">
        <f>VLOOKUP(A351,[1]INDICE!$A$4:$G$1000,7,0)</f>
        <v>46.5901</v>
      </c>
      <c r="H351" s="116" t="b">
        <f>A351=[2]INDFILTRO!A351</f>
        <v>0</v>
      </c>
      <c r="I351" s="113" t="b">
        <f>B351=[3]INDFILTRO!B350</f>
        <v>0</v>
      </c>
      <c r="J351" s="113" t="b">
        <f>E351=[2]INDFILTRO!E351</f>
        <v>0</v>
      </c>
      <c r="K351" s="113" t="b">
        <f>F351=[2]INDFILTRO!F351</f>
        <v>1</v>
      </c>
      <c r="L351" s="116" t="str">
        <f t="shared" si="16"/>
        <v>verdadeiro</v>
      </c>
      <c r="M351" s="124">
        <f t="shared" si="17"/>
        <v>805</v>
      </c>
      <c r="R351" s="253" t="b">
        <f t="shared" si="15"/>
        <v>1</v>
      </c>
      <c r="S351" s="253"/>
      <c r="T351" s="253"/>
    </row>
    <row r="352" spans="1:20" s="113" customFormat="1" ht="11.25">
      <c r="A352" s="121">
        <v>806</v>
      </c>
      <c r="B352" s="122" t="str">
        <f>VLOOKUP(A352,[1]INDICE!$A$4:$G$1000,2,0)</f>
        <v>DIVISORIA DE GRANITO POLIDO</v>
      </c>
      <c r="C352" s="160" t="str">
        <f>VLOOKUP(A352,[1]INDICE!$A$4:$G$1000,3,0)</f>
        <v>M²</v>
      </c>
      <c r="D352" s="122">
        <f>VLOOKUP(A352,[1]INDICE!$A$4:$G$1000,4,0)</f>
        <v>62.303999999999995</v>
      </c>
      <c r="E352" s="122">
        <f>VLOOKUP(A352,[1]INDICE!$A$4:$G$1000,5,0)</f>
        <v>389.55840000000001</v>
      </c>
      <c r="F352" s="122">
        <f>VLOOKUP(A352,[1]INDICE!$A$4:$G$1000,6,0)</f>
        <v>0</v>
      </c>
      <c r="G352" s="122">
        <f>VLOOKUP(A352,[1]INDICE!$A$4:$G$1000,7,0)</f>
        <v>451.86239999999998</v>
      </c>
      <c r="H352" s="116" t="b">
        <f>A352=[2]INDFILTRO!A352</f>
        <v>0</v>
      </c>
      <c r="I352" s="113" t="b">
        <f>B352=[3]INDFILTRO!B351</f>
        <v>0</v>
      </c>
      <c r="J352" s="113" t="b">
        <f>E352=[2]INDFILTRO!E352</f>
        <v>0</v>
      </c>
      <c r="K352" s="113" t="b">
        <f>F352=[2]INDFILTRO!F352</f>
        <v>1</v>
      </c>
      <c r="L352" s="116" t="str">
        <f t="shared" si="16"/>
        <v>verdadeiro</v>
      </c>
      <c r="M352" s="124">
        <f t="shared" si="17"/>
        <v>806</v>
      </c>
      <c r="R352" s="253" t="b">
        <f t="shared" si="15"/>
        <v>1</v>
      </c>
      <c r="S352" s="253"/>
      <c r="T352" s="253"/>
    </row>
    <row r="353" spans="1:20" s="113" customFormat="1" ht="11.25">
      <c r="A353" s="121">
        <v>807</v>
      </c>
      <c r="B353" s="122" t="str">
        <f>VLOOKUP(A353,[1]INDICE!$A$4:$G$1000,2,0)</f>
        <v>TAMPA PARA CAIXA PASSAGEM FERRO FUNDIDO T-33 - TRÁFEGO LEVE</v>
      </c>
      <c r="C353" s="160" t="str">
        <f>VLOOKUP(A353,[1]INDICE!$A$4:$G$1000,3,0)</f>
        <v>UN</v>
      </c>
      <c r="D353" s="122">
        <f>VLOOKUP(A353,[1]INDICE!$A$4:$G$1000,4,0)</f>
        <v>25.453381999999998</v>
      </c>
      <c r="E353" s="122">
        <f>VLOOKUP(A353,[1]INDICE!$A$4:$G$1000,5,0)</f>
        <v>112.21861692561984</v>
      </c>
      <c r="F353" s="122">
        <f>VLOOKUP(A353,[1]INDICE!$A$4:$G$1000,6,0)</f>
        <v>0</v>
      </c>
      <c r="G353" s="122">
        <f>VLOOKUP(A353,[1]INDICE!$A$4:$G$1000,7,0)</f>
        <v>137.67199892561985</v>
      </c>
      <c r="H353" s="116" t="b">
        <f>A353=[2]INDFILTRO!A353</f>
        <v>0</v>
      </c>
      <c r="I353" s="113" t="b">
        <f>B353=[3]INDFILTRO!B352</f>
        <v>0</v>
      </c>
      <c r="J353" s="113" t="b">
        <f>E353=[2]INDFILTRO!E353</f>
        <v>0</v>
      </c>
      <c r="K353" s="113" t="b">
        <f>F353=[2]INDFILTRO!F353</f>
        <v>1</v>
      </c>
      <c r="L353" s="116" t="str">
        <f t="shared" si="16"/>
        <v>verdadeiro</v>
      </c>
      <c r="M353" s="124">
        <f t="shared" si="17"/>
        <v>807</v>
      </c>
      <c r="R353" s="253" t="b">
        <f t="shared" si="15"/>
        <v>1</v>
      </c>
      <c r="S353" s="253"/>
      <c r="T353" s="253"/>
    </row>
    <row r="354" spans="1:20" s="113" customFormat="1" ht="11.25">
      <c r="A354" s="123">
        <v>808</v>
      </c>
      <c r="B354" s="122" t="str">
        <f>VLOOKUP(A354,[1]INDICE!$A$4:$G$1000,2,0)</f>
        <v>REDUÇÃO EXCENTRICA 75 X 50MM</v>
      </c>
      <c r="C354" s="160" t="str">
        <f>VLOOKUP(A354,[1]INDICE!$A$4:$G$1000,3,0)</f>
        <v>UN</v>
      </c>
      <c r="D354" s="122">
        <f>VLOOKUP(A354,[1]INDICE!$A$4:$G$1000,4,0)</f>
        <v>13.478400000000001</v>
      </c>
      <c r="E354" s="122">
        <f>VLOOKUP(A354,[1]INDICE!$A$4:$G$1000,5,0)</f>
        <v>3.9</v>
      </c>
      <c r="F354" s="122">
        <f>VLOOKUP(A354,[1]INDICE!$A$4:$G$1000,6,0)</f>
        <v>0</v>
      </c>
      <c r="G354" s="122">
        <f>VLOOKUP(A354,[1]INDICE!$A$4:$G$1000,7,0)</f>
        <v>17.378399999999999</v>
      </c>
      <c r="H354" s="116" t="b">
        <f>A354=[2]INDFILTRO!A354</f>
        <v>0</v>
      </c>
      <c r="I354" s="113" t="b">
        <f>B354=[3]INDFILTRO!B353</f>
        <v>0</v>
      </c>
      <c r="J354" s="113" t="b">
        <f>E354=[2]INDFILTRO!E354</f>
        <v>0</v>
      </c>
      <c r="K354" s="113" t="b">
        <f>F354=[2]INDFILTRO!F354</f>
        <v>1</v>
      </c>
      <c r="L354" s="116" t="str">
        <f t="shared" si="16"/>
        <v>verdadeiro</v>
      </c>
      <c r="M354" s="124">
        <f t="shared" si="17"/>
        <v>808</v>
      </c>
      <c r="R354" s="253" t="b">
        <f t="shared" si="15"/>
        <v>1</v>
      </c>
      <c r="S354" s="253"/>
      <c r="T354" s="253"/>
    </row>
    <row r="355" spans="1:20" s="113" customFormat="1" ht="11.25">
      <c r="A355" s="121">
        <v>809</v>
      </c>
      <c r="B355" s="122" t="str">
        <f>VLOOKUP(A355,[1]INDICE!$A$4:$G$1000,2,0)</f>
        <v>PROLONGAMENTO PARA CAIXA SIFONADA 100MM</v>
      </c>
      <c r="C355" s="160" t="str">
        <f>VLOOKUP(A355,[1]INDICE!$A$4:$G$1000,3,0)</f>
        <v>M</v>
      </c>
      <c r="D355" s="122">
        <f>VLOOKUP(A355,[1]INDICE!$A$4:$G$1000,4,0)</f>
        <v>19.468800000000002</v>
      </c>
      <c r="E355" s="122">
        <f>VLOOKUP(A355,[1]INDICE!$A$4:$G$1000,5,0)</f>
        <v>10.0192</v>
      </c>
      <c r="F355" s="122">
        <f>VLOOKUP(A355,[1]INDICE!$A$4:$G$1000,6,0)</f>
        <v>0</v>
      </c>
      <c r="G355" s="122">
        <f>VLOOKUP(A355,[1]INDICE!$A$4:$G$1000,7,0)</f>
        <v>29.488</v>
      </c>
      <c r="H355" s="116" t="b">
        <f>A355=[2]INDFILTRO!A355</f>
        <v>0</v>
      </c>
      <c r="I355" s="113" t="b">
        <f>B355=[3]INDFILTRO!B354</f>
        <v>0</v>
      </c>
      <c r="J355" s="113" t="b">
        <f>E355=[2]INDFILTRO!E355</f>
        <v>0</v>
      </c>
      <c r="K355" s="113" t="b">
        <f>F355=[2]INDFILTRO!F355</f>
        <v>1</v>
      </c>
      <c r="L355" s="116" t="str">
        <f t="shared" si="16"/>
        <v>verdadeiro</v>
      </c>
      <c r="M355" s="124">
        <f t="shared" si="17"/>
        <v>809</v>
      </c>
      <c r="R355" s="253" t="b">
        <f t="shared" si="15"/>
        <v>1</v>
      </c>
      <c r="S355" s="253"/>
      <c r="T355" s="253"/>
    </row>
    <row r="356" spans="1:20" s="113" customFormat="1" ht="11.25">
      <c r="A356" s="121">
        <v>810</v>
      </c>
      <c r="B356" s="122" t="str">
        <f>VLOOKUP(A356,[1]INDICE!$A$4:$G$1000,2,0)</f>
        <v>PORTA GRELHA REDONDO BRANCO DIAM. 100 MM</v>
      </c>
      <c r="C356" s="160" t="str">
        <f>VLOOKUP(A356,[1]INDICE!$A$4:$G$1000,3,0)</f>
        <v>UN</v>
      </c>
      <c r="D356" s="122">
        <f>VLOOKUP(A356,[1]INDICE!$A$4:$G$1000,4,0)</f>
        <v>3.7440000000000002</v>
      </c>
      <c r="E356" s="122">
        <f>VLOOKUP(A356,[1]INDICE!$A$4:$G$1000,5,0)</f>
        <v>4.2</v>
      </c>
      <c r="F356" s="122">
        <f>VLOOKUP(A356,[1]INDICE!$A$4:$G$1000,6,0)</f>
        <v>0</v>
      </c>
      <c r="G356" s="122">
        <f>VLOOKUP(A356,[1]INDICE!$A$4:$G$1000,7,0)</f>
        <v>7.9440000000000008</v>
      </c>
      <c r="H356" s="116" t="b">
        <f>A356=[2]INDFILTRO!A356</f>
        <v>0</v>
      </c>
      <c r="I356" s="113" t="b">
        <f>B356=[3]INDFILTRO!B355</f>
        <v>0</v>
      </c>
      <c r="J356" s="113" t="b">
        <f>E356=[2]INDFILTRO!E356</f>
        <v>0</v>
      </c>
      <c r="K356" s="113" t="b">
        <f>F356=[2]INDFILTRO!F356</f>
        <v>1</v>
      </c>
      <c r="L356" s="116" t="str">
        <f t="shared" si="16"/>
        <v>verdadeiro</v>
      </c>
      <c r="M356" s="124">
        <f t="shared" si="17"/>
        <v>810</v>
      </c>
      <c r="R356" s="253" t="b">
        <f t="shared" si="15"/>
        <v>1</v>
      </c>
      <c r="S356" s="253"/>
      <c r="T356" s="253"/>
    </row>
    <row r="357" spans="1:20" s="113" customFormat="1" ht="22.5">
      <c r="A357" s="121">
        <v>811</v>
      </c>
      <c r="B357" s="122" t="str">
        <f>VLOOKUP(A357,[1]INDICE!$A$4:$G$1000,2,0)</f>
        <v>GRELHA PADRÃO GOINFRA DE FERRO CHATO COM BERÇO (ESPAÇAMENTO ENTRE FACES = 1,5CM - NBR 9050 ACESSIBILIDADE)</v>
      </c>
      <c r="C357" s="160" t="str">
        <f>VLOOKUP(A357,[1]INDICE!$A$4:$G$1000,3,0)</f>
        <v>M2</v>
      </c>
      <c r="D357" s="122">
        <f>VLOOKUP(A357,[1]INDICE!$A$4:$G$1000,4,0)</f>
        <v>69.36</v>
      </c>
      <c r="E357" s="122">
        <f>VLOOKUP(A357,[1]INDICE!$A$4:$G$1000,5,0)</f>
        <v>355.98395200000004</v>
      </c>
      <c r="F357" s="122">
        <f>VLOOKUP(A357,[1]INDICE!$A$4:$G$1000,6,0)</f>
        <v>0</v>
      </c>
      <c r="G357" s="122">
        <f>VLOOKUP(A357,[1]INDICE!$A$4:$G$1000,7,0)</f>
        <v>425.34395200000006</v>
      </c>
      <c r="H357" s="116" t="b">
        <f>A357=[2]INDFILTRO!A357</f>
        <v>0</v>
      </c>
      <c r="I357" s="113" t="b">
        <f>B357=[3]INDFILTRO!B356</f>
        <v>0</v>
      </c>
      <c r="J357" s="113" t="b">
        <f>E357=[2]INDFILTRO!E357</f>
        <v>0</v>
      </c>
      <c r="K357" s="113" t="b">
        <f>F357=[2]INDFILTRO!F357</f>
        <v>1</v>
      </c>
      <c r="L357" s="116" t="str">
        <f t="shared" si="16"/>
        <v>verdadeiro</v>
      </c>
      <c r="M357" s="124">
        <f t="shared" si="17"/>
        <v>811</v>
      </c>
      <c r="R357" s="253" t="b">
        <f t="shared" si="15"/>
        <v>1</v>
      </c>
      <c r="S357" s="253"/>
      <c r="T357" s="253"/>
    </row>
    <row r="358" spans="1:20" s="113" customFormat="1" ht="11.25">
      <c r="A358" s="121">
        <v>812</v>
      </c>
      <c r="B358" s="122" t="str">
        <f>VLOOKUP(A358,[1]INDICE!$A$4:$G$1000,2,0)</f>
        <v>ACABAMENTO DE VÁLVULA DE DESCARGA CROMADO ANTIVANDALISMO</v>
      </c>
      <c r="C358" s="160" t="str">
        <f>VLOOKUP(A358,[1]INDICE!$A$4:$G$1000,3,0)</f>
        <v>UN</v>
      </c>
      <c r="D358" s="122">
        <f>VLOOKUP(A358,[1]INDICE!$A$4:$G$1000,4,0)</f>
        <v>12.805470000000001</v>
      </c>
      <c r="E358" s="122">
        <f>VLOOKUP(A358,[1]INDICE!$A$4:$G$1000,5,0)</f>
        <v>264.59666666666664</v>
      </c>
      <c r="F358" s="122">
        <f>VLOOKUP(A358,[1]INDICE!$A$4:$G$1000,6,0)</f>
        <v>0</v>
      </c>
      <c r="G358" s="122">
        <f>VLOOKUP(A358,[1]INDICE!$A$4:$G$1000,7,0)</f>
        <v>277.40213666666665</v>
      </c>
      <c r="H358" s="116" t="b">
        <f>A358=[2]INDFILTRO!A358</f>
        <v>0</v>
      </c>
      <c r="I358" s="113" t="b">
        <f>B358=[3]INDFILTRO!B357</f>
        <v>0</v>
      </c>
      <c r="J358" s="113" t="b">
        <f>E358=[2]INDFILTRO!E358</f>
        <v>0</v>
      </c>
      <c r="K358" s="113" t="b">
        <f>F358=[2]INDFILTRO!F358</f>
        <v>1</v>
      </c>
      <c r="L358" s="116" t="str">
        <f t="shared" si="16"/>
        <v>verdadeiro</v>
      </c>
      <c r="M358" s="124">
        <f t="shared" si="17"/>
        <v>812</v>
      </c>
      <c r="R358" s="253" t="b">
        <f t="shared" si="15"/>
        <v>1</v>
      </c>
      <c r="S358" s="253"/>
      <c r="T358" s="253"/>
    </row>
    <row r="359" spans="1:20" s="113" customFormat="1" ht="11.25">
      <c r="A359" s="121">
        <v>813</v>
      </c>
      <c r="B359" s="122" t="str">
        <f>VLOOKUP(A359,[1]INDICE!$A$4:$G$1000,2,0)</f>
        <v>MANGUEIRA DE INCÊNCIO 20M, REDUÇÃO 2 1/2" X 1 1/2" E ESGUINCHO</v>
      </c>
      <c r="C359" s="160" t="str">
        <f>VLOOKUP(A359,[1]INDICE!$A$4:$G$1000,3,0)</f>
        <v>CJ</v>
      </c>
      <c r="D359" s="122">
        <f>VLOOKUP(A359,[1]INDICE!$A$4:$G$1000,4,0)</f>
        <v>16.222752</v>
      </c>
      <c r="E359" s="122">
        <f>VLOOKUP(A359,[1]INDICE!$A$4:$G$1000,5,0)</f>
        <v>802.54000000000008</v>
      </c>
      <c r="F359" s="122">
        <f>VLOOKUP(A359,[1]INDICE!$A$4:$G$1000,6,0)</f>
        <v>0</v>
      </c>
      <c r="G359" s="122">
        <f>VLOOKUP(A359,[1]INDICE!$A$4:$G$1000,7,0)</f>
        <v>818.76275200000009</v>
      </c>
      <c r="H359" s="116" t="b">
        <f>A359=[2]INDFILTRO!A359</f>
        <v>0</v>
      </c>
      <c r="I359" s="113" t="b">
        <f>B359=[3]INDFILTRO!B358</f>
        <v>0</v>
      </c>
      <c r="J359" s="113" t="b">
        <f>E359=[2]INDFILTRO!E359</f>
        <v>0</v>
      </c>
      <c r="K359" s="113" t="b">
        <f>F359=[2]INDFILTRO!F359</f>
        <v>1</v>
      </c>
      <c r="L359" s="116" t="str">
        <f t="shared" si="16"/>
        <v>verdadeiro</v>
      </c>
      <c r="M359" s="124">
        <f t="shared" si="17"/>
        <v>813</v>
      </c>
      <c r="R359" s="253" t="b">
        <f t="shared" si="15"/>
        <v>1</v>
      </c>
      <c r="S359" s="253"/>
      <c r="T359" s="253"/>
    </row>
    <row r="360" spans="1:20" s="113" customFormat="1" ht="11.25">
      <c r="A360" s="121">
        <v>814</v>
      </c>
      <c r="B360" s="122" t="str">
        <f>VLOOKUP(A360,[1]INDICE!$A$4:$G$1000,2,0)</f>
        <v>TANQUE EM INOX 1 CUBA E I BATEDOR COM VÁLVULA</v>
      </c>
      <c r="C360" s="160" t="str">
        <f>VLOOKUP(A360,[1]INDICE!$A$4:$G$1000,3,0)</f>
        <v>UN</v>
      </c>
      <c r="D360" s="122">
        <f>VLOOKUP(A360,[1]INDICE!$A$4:$G$1000,4,0)</f>
        <v>37.44</v>
      </c>
      <c r="E360" s="122">
        <f>VLOOKUP(A360,[1]INDICE!$A$4:$G$1000,5,0)</f>
        <v>2088.85</v>
      </c>
      <c r="F360" s="122">
        <f>VLOOKUP(A360,[1]INDICE!$A$4:$G$1000,6,0)</f>
        <v>0</v>
      </c>
      <c r="G360" s="122">
        <f>VLOOKUP(A360,[1]INDICE!$A$4:$G$1000,7,0)</f>
        <v>2126.29</v>
      </c>
      <c r="H360" s="116" t="b">
        <f>A360=[2]INDFILTRO!A360</f>
        <v>0</v>
      </c>
      <c r="I360" s="113" t="b">
        <f>B360=[3]INDFILTRO!B359</f>
        <v>0</v>
      </c>
      <c r="J360" s="113" t="b">
        <f>E360=[2]INDFILTRO!E360</f>
        <v>0</v>
      </c>
      <c r="K360" s="113" t="b">
        <f>F360=[2]INDFILTRO!F360</f>
        <v>1</v>
      </c>
      <c r="L360" s="116" t="str">
        <f t="shared" si="16"/>
        <v>verdadeiro</v>
      </c>
      <c r="M360" s="124">
        <f t="shared" si="17"/>
        <v>814</v>
      </c>
      <c r="R360" s="253" t="b">
        <f t="shared" si="15"/>
        <v>1</v>
      </c>
      <c r="S360" s="253"/>
      <c r="T360" s="253"/>
    </row>
    <row r="361" spans="1:20" s="113" customFormat="1" ht="11.25">
      <c r="A361" s="121">
        <v>815</v>
      </c>
      <c r="B361" s="122" t="str">
        <f>VLOOKUP(A361,[1]INDICE!$A$4:$G$1000,2,0)</f>
        <v>TANQUE INOX EM BANCADA DE GRANITO CINZA ANDORINHA</v>
      </c>
      <c r="C361" s="160" t="str">
        <f>VLOOKUP(A361,[1]INDICE!$A$4:$G$1000,3,0)</f>
        <v>UN</v>
      </c>
      <c r="D361" s="122">
        <f>VLOOKUP(A361,[1]INDICE!$A$4:$G$1000,4,0)</f>
        <v>210.41776000000002</v>
      </c>
      <c r="E361" s="122">
        <f>VLOOKUP(A361,[1]INDICE!$A$4:$G$1000,5,0)</f>
        <v>1688.7628869999996</v>
      </c>
      <c r="F361" s="122">
        <f>VLOOKUP(A361,[1]INDICE!$A$4:$G$1000,6,0)</f>
        <v>0</v>
      </c>
      <c r="G361" s="122">
        <f>VLOOKUP(A361,[1]INDICE!$A$4:$G$1000,7,0)</f>
        <v>1899.1806469999997</v>
      </c>
      <c r="H361" s="116" t="b">
        <f>A361=[2]INDFILTRO!A361</f>
        <v>0</v>
      </c>
      <c r="I361" s="113" t="b">
        <f>B361=[3]INDFILTRO!B360</f>
        <v>0</v>
      </c>
      <c r="J361" s="113" t="b">
        <f>E361=[2]INDFILTRO!E361</f>
        <v>0</v>
      </c>
      <c r="K361" s="113" t="b">
        <f>F361=[2]INDFILTRO!F361</f>
        <v>1</v>
      </c>
      <c r="L361" s="116" t="str">
        <f t="shared" si="16"/>
        <v>verdadeiro</v>
      </c>
      <c r="M361" s="124">
        <f t="shared" si="17"/>
        <v>815</v>
      </c>
      <c r="R361" s="253" t="b">
        <f t="shared" si="15"/>
        <v>1</v>
      </c>
      <c r="S361" s="253"/>
      <c r="T361" s="253"/>
    </row>
    <row r="362" spans="1:20" s="113" customFormat="1" ht="11.25">
      <c r="A362" s="121">
        <v>816</v>
      </c>
      <c r="B362" s="122" t="str">
        <f>VLOOKUP(A362,[1]INDICE!$A$4:$G$1000,2,0)</f>
        <v>COTOVELO 300 PSI 1/2"</v>
      </c>
      <c r="C362" s="160" t="str">
        <f>VLOOKUP(A362,[1]INDICE!$A$4:$G$1000,3,0)</f>
        <v>UN</v>
      </c>
      <c r="D362" s="122">
        <f>VLOOKUP(A362,[1]INDICE!$A$4:$G$1000,4,0)</f>
        <v>37.44</v>
      </c>
      <c r="E362" s="122">
        <f>VLOOKUP(A362,[1]INDICE!$A$4:$G$1000,5,0)</f>
        <v>16.41</v>
      </c>
      <c r="F362" s="122">
        <f>VLOOKUP(A362,[1]INDICE!$A$4:$G$1000,6,0)</f>
        <v>0</v>
      </c>
      <c r="G362" s="122">
        <f>VLOOKUP(A362,[1]INDICE!$A$4:$G$1000,7,0)</f>
        <v>53.849999999999994</v>
      </c>
      <c r="H362" s="116" t="b">
        <f>A362=[2]INDFILTRO!A362</f>
        <v>0</v>
      </c>
      <c r="I362" s="113" t="b">
        <f>B362=[3]INDFILTRO!B361</f>
        <v>0</v>
      </c>
      <c r="J362" s="113" t="b">
        <f>E362=[2]INDFILTRO!E362</f>
        <v>0</v>
      </c>
      <c r="K362" s="113" t="b">
        <f>F362=[2]INDFILTRO!F362</f>
        <v>1</v>
      </c>
      <c r="L362" s="116" t="str">
        <f t="shared" si="16"/>
        <v>verdadeiro</v>
      </c>
      <c r="M362" s="124">
        <f t="shared" si="17"/>
        <v>816</v>
      </c>
      <c r="R362" s="253" t="b">
        <f t="shared" si="15"/>
        <v>1</v>
      </c>
      <c r="S362" s="253"/>
      <c r="T362" s="253"/>
    </row>
    <row r="363" spans="1:20" s="113" customFormat="1" ht="22.5">
      <c r="A363" s="121">
        <v>817</v>
      </c>
      <c r="B363" s="122" t="str">
        <f>VLOOKUP(A363,[1]INDICE!$A$4:$G$1000,2,0)</f>
        <v>PORTA GRADE EM FERRO MECÂNICO - ALOJAMENTOS - 80X210 CM - SOMENTE GRADE E FERROLHO E DOBRADIÇAS E CHAPA DA GRADE (PORTAL JÁ FIXADO)</v>
      </c>
      <c r="C363" s="160" t="str">
        <f>VLOOKUP(A363,[1]INDICE!$A$4:$G$1000,3,0)</f>
        <v>M2</v>
      </c>
      <c r="D363" s="122">
        <f>VLOOKUP(A363,[1]INDICE!$A$4:$G$1000,4,0)</f>
        <v>60.276069999999997</v>
      </c>
      <c r="E363" s="122">
        <f>VLOOKUP(A363,[1]INDICE!$A$4:$G$1000,5,0)</f>
        <v>963.77641084164497</v>
      </c>
      <c r="F363" s="122">
        <f>VLOOKUP(A363,[1]INDICE!$A$4:$G$1000,6,0)</f>
        <v>0</v>
      </c>
      <c r="G363" s="122">
        <f>VLOOKUP(A363,[1]INDICE!$A$4:$G$1000,7,0)</f>
        <v>1024.0524808416449</v>
      </c>
      <c r="H363" s="116" t="b">
        <f>A363=[2]INDFILTRO!A363</f>
        <v>0</v>
      </c>
      <c r="I363" s="113" t="b">
        <f>B363=[3]INDFILTRO!B362</f>
        <v>0</v>
      </c>
      <c r="J363" s="113" t="b">
        <f>E363=[2]INDFILTRO!E363</f>
        <v>0</v>
      </c>
      <c r="K363" s="113" t="b">
        <f>F363=[2]INDFILTRO!F363</f>
        <v>1</v>
      </c>
      <c r="L363" s="116" t="str">
        <f t="shared" si="16"/>
        <v>verdadeiro</v>
      </c>
      <c r="M363" s="124">
        <f t="shared" si="17"/>
        <v>817</v>
      </c>
      <c r="R363" s="253" t="b">
        <f t="shared" si="15"/>
        <v>1</v>
      </c>
      <c r="S363" s="253"/>
      <c r="T363" s="253"/>
    </row>
    <row r="364" spans="1:20" s="113" customFormat="1" ht="22.5">
      <c r="A364" s="121">
        <v>818</v>
      </c>
      <c r="B364" s="122" t="str">
        <f>VLOOKUP(A364,[1]INDICE!$A$4:$G$1000,2,0)</f>
        <v>PORTA GRADE EM FERRO MECÂNICO - ALOJAMENTOS - 80X210 CM - SOMENTE FERROLHO E DOBRADIÇAS E CHAPA DA GRADE (GRADE JÁ EXISTENTE NÃO APLICADA e PORTAL JÁ FIXADO)</v>
      </c>
      <c r="C364" s="160" t="str">
        <f>VLOOKUP(A364,[1]INDICE!$A$4:$G$1000,3,0)</f>
        <v>M2</v>
      </c>
      <c r="D364" s="122">
        <f>VLOOKUP(A364,[1]INDICE!$A$4:$G$1000,4,0)</f>
        <v>25.006807999999999</v>
      </c>
      <c r="E364" s="122">
        <f>VLOOKUP(A364,[1]INDICE!$A$4:$G$1000,5,0)</f>
        <v>382.11823084164484</v>
      </c>
      <c r="F364" s="122">
        <f>VLOOKUP(A364,[1]INDICE!$A$4:$G$1000,6,0)</f>
        <v>0</v>
      </c>
      <c r="G364" s="122">
        <f>VLOOKUP(A364,[1]INDICE!$A$4:$G$1000,7,0)</f>
        <v>407.12503884164482</v>
      </c>
      <c r="H364" s="116" t="b">
        <f>A364=[2]INDFILTRO!A364</f>
        <v>0</v>
      </c>
      <c r="I364" s="113" t="b">
        <f>B364=[3]INDFILTRO!B363</f>
        <v>0</v>
      </c>
      <c r="J364" s="113" t="b">
        <f>E364=[2]INDFILTRO!E364</f>
        <v>0</v>
      </c>
      <c r="K364" s="113" t="b">
        <f>F364=[2]INDFILTRO!F364</f>
        <v>1</v>
      </c>
      <c r="L364" s="116" t="str">
        <f t="shared" si="16"/>
        <v>verdadeiro</v>
      </c>
      <c r="M364" s="124">
        <f t="shared" si="17"/>
        <v>818</v>
      </c>
      <c r="R364" s="253" t="b">
        <f t="shared" si="15"/>
        <v>1</v>
      </c>
      <c r="S364" s="253"/>
      <c r="T364" s="253"/>
    </row>
    <row r="365" spans="1:20" s="113" customFormat="1" ht="11.25">
      <c r="A365" s="121">
        <v>819</v>
      </c>
      <c r="B365" s="122" t="str">
        <f>VLOOKUP(A365,[1]INDICE!$A$4:$G$1000,2,0)</f>
        <v>LUVA PVC ROSQUEAVEL DIAMETRO 1"</v>
      </c>
      <c r="C365" s="160" t="str">
        <f>VLOOKUP(A365,[1]INDICE!$A$4:$G$1000,3,0)</f>
        <v>UN</v>
      </c>
      <c r="D365" s="122">
        <f>VLOOKUP(A365,[1]INDICE!$A$4:$G$1000,4,0)</f>
        <v>1.9315</v>
      </c>
      <c r="E365" s="122">
        <f>VLOOKUP(A365,[1]INDICE!$A$4:$G$1000,5,0)</f>
        <v>0.7</v>
      </c>
      <c r="F365" s="122">
        <f>VLOOKUP(A365,[1]INDICE!$A$4:$G$1000,6,0)</f>
        <v>0</v>
      </c>
      <c r="G365" s="122">
        <f>VLOOKUP(A365,[1]INDICE!$A$4:$G$1000,7,0)</f>
        <v>2.6315</v>
      </c>
      <c r="H365" s="116" t="b">
        <f>A365=[2]INDFILTRO!A365</f>
        <v>0</v>
      </c>
      <c r="I365" s="113" t="b">
        <f>B365=[3]INDFILTRO!B364</f>
        <v>0</v>
      </c>
      <c r="J365" s="113" t="b">
        <f>E365=[2]INDFILTRO!E365</f>
        <v>0</v>
      </c>
      <c r="K365" s="113" t="b">
        <f>F365=[2]INDFILTRO!F365</f>
        <v>1</v>
      </c>
      <c r="L365" s="116" t="str">
        <f t="shared" si="16"/>
        <v>verdadeiro</v>
      </c>
      <c r="M365" s="124">
        <f t="shared" si="17"/>
        <v>819</v>
      </c>
      <c r="R365" s="253" t="b">
        <f t="shared" si="15"/>
        <v>1</v>
      </c>
      <c r="S365" s="253"/>
      <c r="T365" s="253"/>
    </row>
    <row r="366" spans="1:20" s="113" customFormat="1" ht="22.5">
      <c r="A366" s="121">
        <v>820</v>
      </c>
      <c r="B366" s="122" t="str">
        <f>VLOOKUP(A366,[1]INDICE!$A$4:$G$1000,2,0)</f>
        <v>GRUPO MOTOR GERADOR 200KVA 380V COM REDUTOR DE RUIDO MÍNIMO DE 75 dB E QUADRO DE TRANSFERÊNCIA AUTOMÁTICA</v>
      </c>
      <c r="C366" s="160" t="str">
        <f>VLOOKUP(A366,[1]INDICE!$A$4:$G$1000,3,0)</f>
        <v>UN</v>
      </c>
      <c r="D366" s="122">
        <f>VLOOKUP(A366,[1]INDICE!$A$4:$G$1000,4,0)</f>
        <v>309.03999999999996</v>
      </c>
      <c r="E366" s="122">
        <f>VLOOKUP(A366,[1]INDICE!$A$4:$G$1000,5,0)</f>
        <v>131840</v>
      </c>
      <c r="F366" s="122">
        <f>VLOOKUP(A366,[1]INDICE!$A$4:$G$1000,6,0)</f>
        <v>300.10000000000002</v>
      </c>
      <c r="G366" s="122">
        <f>VLOOKUP(A366,[1]INDICE!$A$4:$G$1000,7,0)</f>
        <v>132449.14000000001</v>
      </c>
      <c r="H366" s="116" t="b">
        <f>A366=[2]INDFILTRO!A366</f>
        <v>0</v>
      </c>
      <c r="I366" s="113" t="b">
        <f>B366=[3]INDFILTRO!B365</f>
        <v>0</v>
      </c>
      <c r="J366" s="113" t="b">
        <f>E366=[2]INDFILTRO!E366</f>
        <v>0</v>
      </c>
      <c r="K366" s="113" t="b">
        <f>F366=[2]INDFILTRO!F366</f>
        <v>0</v>
      </c>
      <c r="L366" s="116" t="str">
        <f t="shared" si="16"/>
        <v>verdadeiro</v>
      </c>
      <c r="M366" s="124">
        <f t="shared" si="17"/>
        <v>820</v>
      </c>
      <c r="R366" s="253" t="b">
        <f t="shared" si="15"/>
        <v>1</v>
      </c>
      <c r="S366" s="253"/>
      <c r="T366" s="253"/>
    </row>
    <row r="367" spans="1:20" s="113" customFormat="1" ht="22.5">
      <c r="A367" s="121">
        <v>821</v>
      </c>
      <c r="B367" s="122" t="str">
        <f>VLOOKUP(A367,[1]INDICE!$A$4:$G$1000,2,0)</f>
        <v>TRANSPORTE DE MATERIAIS/EQUIPAMENTOS/OUTROS ( INCLUSIVE OS DA MOBILIZAÇÃO E DESMOBILIZAÇÃO ) - CAMINHÃO CARROCERIA MADEIRA 15 T ( INCLUSO NO VALOR O RETORNO )</v>
      </c>
      <c r="C367" s="160" t="str">
        <f>VLOOKUP(A367,[1]INDICE!$A$4:$G$1000,3,0)</f>
        <v>UN</v>
      </c>
      <c r="D367" s="122">
        <f>VLOOKUP(A367,[1]INDICE!$A$4:$G$1000,4,0)</f>
        <v>0</v>
      </c>
      <c r="E367" s="122">
        <f>VLOOKUP(A367,[1]INDICE!$A$4:$G$1000,5,0)</f>
        <v>0.42</v>
      </c>
      <c r="F367" s="122">
        <f>VLOOKUP(A367,[1]INDICE!$A$4:$G$1000,6,0)</f>
        <v>0</v>
      </c>
      <c r="G367" s="122">
        <f>VLOOKUP(A367,[1]INDICE!$A$4:$G$1000,7,0)</f>
        <v>0.42</v>
      </c>
      <c r="H367" s="116" t="b">
        <f>A367=[2]INDFILTRO!A367</f>
        <v>0</v>
      </c>
      <c r="I367" s="113" t="b">
        <f>B367=[3]INDFILTRO!B366</f>
        <v>0</v>
      </c>
      <c r="J367" s="113" t="b">
        <f>E367=[2]INDFILTRO!E367</f>
        <v>0</v>
      </c>
      <c r="K367" s="113" t="b">
        <f>F367=[2]INDFILTRO!F367</f>
        <v>1</v>
      </c>
      <c r="L367" s="116" t="str">
        <f t="shared" si="16"/>
        <v>verdadeiro</v>
      </c>
      <c r="M367" s="124">
        <f t="shared" si="17"/>
        <v>821</v>
      </c>
      <c r="R367" s="253" t="b">
        <f t="shared" si="15"/>
        <v>1</v>
      </c>
      <c r="S367" s="253"/>
      <c r="T367" s="253"/>
    </row>
    <row r="368" spans="1:20" s="113" customFormat="1" ht="11.25">
      <c r="A368" s="121">
        <v>822</v>
      </c>
      <c r="B368" s="122" t="str">
        <f>VLOOKUP(A368,[1]INDICE!$A$4:$G$1000,2,0)</f>
        <v>TOMADA LOGICA RJ-45 TIPO KEYSTONE JACK, CAT. 6</v>
      </c>
      <c r="C368" s="160" t="str">
        <f>VLOOKUP(A368,[1]INDICE!$A$4:$G$1000,3,0)</f>
        <v>UN</v>
      </c>
      <c r="D368" s="122">
        <f>VLOOKUP(A368,[1]INDICE!$A$4:$G$1000,4,0)</f>
        <v>14.293099999999999</v>
      </c>
      <c r="E368" s="122">
        <f>VLOOKUP(A368,[1]INDICE!$A$4:$G$1000,5,0)</f>
        <v>21.7</v>
      </c>
      <c r="F368" s="122">
        <f>VLOOKUP(A368,[1]INDICE!$A$4:$G$1000,6,0)</f>
        <v>0</v>
      </c>
      <c r="G368" s="122">
        <f>VLOOKUP(A368,[1]INDICE!$A$4:$G$1000,7,0)</f>
        <v>35.993099999999998</v>
      </c>
      <c r="H368" s="116" t="b">
        <f>A368=[2]INDFILTRO!A368</f>
        <v>0</v>
      </c>
      <c r="I368" s="113" t="b">
        <f>B368=[3]INDFILTRO!B367</f>
        <v>0</v>
      </c>
      <c r="J368" s="113" t="b">
        <f>E368=[2]INDFILTRO!E368</f>
        <v>0</v>
      </c>
      <c r="K368" s="113" t="b">
        <f>F368=[2]INDFILTRO!F368</f>
        <v>1</v>
      </c>
      <c r="L368" s="116" t="str">
        <f t="shared" si="16"/>
        <v>verdadeiro</v>
      </c>
      <c r="M368" s="124">
        <f t="shared" si="17"/>
        <v>822</v>
      </c>
      <c r="R368" s="253" t="b">
        <f t="shared" si="15"/>
        <v>1</v>
      </c>
      <c r="S368" s="253"/>
      <c r="T368" s="253"/>
    </row>
    <row r="369" spans="1:20" s="113" customFormat="1" ht="11.25">
      <c r="A369" s="121">
        <v>823</v>
      </c>
      <c r="B369" s="122" t="str">
        <f>VLOOKUP(A369,[1]INDICE!$A$4:$G$1000,2,0)</f>
        <v>CABO DE COBRE NU No. 16 MM2 (6,94 M/KG)</v>
      </c>
      <c r="C369" s="160" t="str">
        <f>VLOOKUP(A369,[1]INDICE!$A$4:$G$1000,3,0)</f>
        <v>M</v>
      </c>
      <c r="D369" s="122">
        <f>VLOOKUP(A369,[1]INDICE!$A$4:$G$1000,4,0)</f>
        <v>3.0903999999999998</v>
      </c>
      <c r="E369" s="122">
        <f>VLOOKUP(A369,[1]INDICE!$A$4:$G$1000,5,0)</f>
        <v>6.7932000000000006</v>
      </c>
      <c r="F369" s="122">
        <f>VLOOKUP(A369,[1]INDICE!$A$4:$G$1000,6,0)</f>
        <v>0</v>
      </c>
      <c r="G369" s="122">
        <f>VLOOKUP(A369,[1]INDICE!$A$4:$G$1000,7,0)</f>
        <v>9.8836000000000013</v>
      </c>
      <c r="H369" s="116" t="b">
        <f>A369=[2]INDFILTRO!A369</f>
        <v>0</v>
      </c>
      <c r="I369" s="113" t="b">
        <f>B369=[3]INDFILTRO!B368</f>
        <v>0</v>
      </c>
      <c r="J369" s="113" t="b">
        <f>E369=[2]INDFILTRO!E369</f>
        <v>0</v>
      </c>
      <c r="K369" s="113" t="b">
        <f>F369=[2]INDFILTRO!F369</f>
        <v>1</v>
      </c>
      <c r="L369" s="116" t="str">
        <f t="shared" si="16"/>
        <v>verdadeiro</v>
      </c>
      <c r="M369" s="124">
        <f t="shared" si="17"/>
        <v>823</v>
      </c>
      <c r="R369" s="253" t="b">
        <f t="shared" si="15"/>
        <v>1</v>
      </c>
      <c r="S369" s="253"/>
      <c r="T369" s="253"/>
    </row>
    <row r="370" spans="1:20" s="113" customFormat="1" ht="11.25">
      <c r="A370" s="121">
        <v>824</v>
      </c>
      <c r="B370" s="122" t="str">
        <f>VLOOKUP(A370,[1]INDICE!$A$4:$G$1000,2,0)</f>
        <v>CERTIFICADO DIGITAL</v>
      </c>
      <c r="C370" s="160" t="str">
        <f>VLOOKUP(A370,[1]INDICE!$A$4:$G$1000,3,0)</f>
        <v>UN</v>
      </c>
      <c r="D370" s="122">
        <f>VLOOKUP(A370,[1]INDICE!$A$4:$G$1000,4,0)</f>
        <v>0</v>
      </c>
      <c r="E370" s="122">
        <f>VLOOKUP(A370,[1]INDICE!$A$4:$G$1000,5,0)</f>
        <v>13.41</v>
      </c>
      <c r="F370" s="122">
        <f>VLOOKUP(A370,[1]INDICE!$A$4:$G$1000,6,0)</f>
        <v>0</v>
      </c>
      <c r="G370" s="122">
        <f>VLOOKUP(A370,[1]INDICE!$A$4:$G$1000,7,0)</f>
        <v>13.41</v>
      </c>
      <c r="H370" s="116" t="b">
        <f>A370=[2]INDFILTRO!A370</f>
        <v>0</v>
      </c>
      <c r="I370" s="113" t="b">
        <f>B370=[3]INDFILTRO!B369</f>
        <v>0</v>
      </c>
      <c r="J370" s="113" t="b">
        <f>E370=[2]INDFILTRO!E370</f>
        <v>0</v>
      </c>
      <c r="K370" s="113" t="b">
        <f>F370=[2]INDFILTRO!F370</f>
        <v>1</v>
      </c>
      <c r="L370" s="116" t="str">
        <f t="shared" si="16"/>
        <v>verdadeiro</v>
      </c>
      <c r="M370" s="124">
        <f t="shared" si="17"/>
        <v>824</v>
      </c>
      <c r="R370" s="253" t="b">
        <f t="shared" si="15"/>
        <v>1</v>
      </c>
      <c r="S370" s="253"/>
      <c r="T370" s="253"/>
    </row>
    <row r="371" spans="1:20" s="113" customFormat="1" ht="11.25">
      <c r="A371" s="121">
        <v>825</v>
      </c>
      <c r="B371" s="122" t="str">
        <f>VLOOKUP(A371,[1]INDICE!$A$4:$G$1000,2,0)</f>
        <v>ELETRODUTO DE PVC RIGIDO DIAMETRO 3/4"</v>
      </c>
      <c r="C371" s="160" t="str">
        <f>VLOOKUP(A371,[1]INDICE!$A$4:$G$1000,3,0)</f>
        <v>M</v>
      </c>
      <c r="D371" s="122">
        <f>VLOOKUP(A371,[1]INDICE!$A$4:$G$1000,4,0)</f>
        <v>6.5670999999999999</v>
      </c>
      <c r="E371" s="122">
        <f>VLOOKUP(A371,[1]INDICE!$A$4:$G$1000,5,0)</f>
        <v>2.16</v>
      </c>
      <c r="F371" s="122">
        <f>VLOOKUP(A371,[1]INDICE!$A$4:$G$1000,6,0)</f>
        <v>0</v>
      </c>
      <c r="G371" s="122">
        <f>VLOOKUP(A371,[1]INDICE!$A$4:$G$1000,7,0)</f>
        <v>8.7271000000000001</v>
      </c>
      <c r="H371" s="116" t="b">
        <f>A371=[2]INDFILTRO!A371</f>
        <v>0</v>
      </c>
      <c r="I371" s="113" t="b">
        <f>B371=[3]INDFILTRO!B370</f>
        <v>0</v>
      </c>
      <c r="J371" s="113" t="b">
        <f>E371=[2]INDFILTRO!E371</f>
        <v>0</v>
      </c>
      <c r="K371" s="113" t="b">
        <f>F371=[2]INDFILTRO!F371</f>
        <v>1</v>
      </c>
      <c r="L371" s="116" t="str">
        <f t="shared" si="16"/>
        <v>verdadeiro</v>
      </c>
      <c r="M371" s="124">
        <f t="shared" si="17"/>
        <v>825</v>
      </c>
      <c r="R371" s="253" t="b">
        <f t="shared" si="15"/>
        <v>1</v>
      </c>
      <c r="S371" s="253"/>
      <c r="T371" s="253"/>
    </row>
    <row r="372" spans="1:20" s="113" customFormat="1" ht="11.25">
      <c r="A372" s="121">
        <v>826</v>
      </c>
      <c r="B372" s="122" t="str">
        <f>VLOOKUP(A372,[1]INDICE!$A$4:$G$1000,2,0)</f>
        <v>ELETRODUTO DE PVC RIGIDO DIAMETRO 3"</v>
      </c>
      <c r="C372" s="160" t="str">
        <f>VLOOKUP(A372,[1]INDICE!$A$4:$G$1000,3,0)</f>
        <v>M</v>
      </c>
      <c r="D372" s="122">
        <f>VLOOKUP(A372,[1]INDICE!$A$4:$G$1000,4,0)</f>
        <v>30.904</v>
      </c>
      <c r="E372" s="122">
        <f>VLOOKUP(A372,[1]INDICE!$A$4:$G$1000,5,0)</f>
        <v>14.81</v>
      </c>
      <c r="F372" s="122">
        <f>VLOOKUP(A372,[1]INDICE!$A$4:$G$1000,6,0)</f>
        <v>0</v>
      </c>
      <c r="G372" s="122">
        <f>VLOOKUP(A372,[1]INDICE!$A$4:$G$1000,7,0)</f>
        <v>45.713999999999999</v>
      </c>
      <c r="H372" s="116" t="b">
        <f>A372=[2]INDFILTRO!A372</f>
        <v>0</v>
      </c>
      <c r="I372" s="113" t="b">
        <f>B372=[3]INDFILTRO!B371</f>
        <v>0</v>
      </c>
      <c r="J372" s="113" t="b">
        <f>E372=[2]INDFILTRO!E372</f>
        <v>0</v>
      </c>
      <c r="K372" s="113" t="b">
        <f>F372=[2]INDFILTRO!F372</f>
        <v>1</v>
      </c>
      <c r="L372" s="116" t="str">
        <f t="shared" si="16"/>
        <v>verdadeiro</v>
      </c>
      <c r="M372" s="124">
        <f t="shared" si="17"/>
        <v>826</v>
      </c>
      <c r="R372" s="253" t="b">
        <f t="shared" si="15"/>
        <v>1</v>
      </c>
      <c r="S372" s="253"/>
      <c r="T372" s="253"/>
    </row>
    <row r="373" spans="1:20" s="113" customFormat="1" ht="11.25">
      <c r="A373" s="121">
        <v>827</v>
      </c>
      <c r="B373" s="122" t="str">
        <f>VLOOKUP(A373,[1]INDICE!$A$4:$G$1000,2,0)</f>
        <v>LUVA PVC ROSQUEAVEL DIAMETRO 3"</v>
      </c>
      <c r="C373" s="160" t="str">
        <f>VLOOKUP(A373,[1]INDICE!$A$4:$G$1000,3,0)</f>
        <v>UN</v>
      </c>
      <c r="D373" s="122">
        <f>VLOOKUP(A373,[1]INDICE!$A$4:$G$1000,4,0)</f>
        <v>14.679400000000001</v>
      </c>
      <c r="E373" s="122">
        <f>VLOOKUP(A373,[1]INDICE!$A$4:$G$1000,5,0)</f>
        <v>6.5</v>
      </c>
      <c r="F373" s="122">
        <f>VLOOKUP(A373,[1]INDICE!$A$4:$G$1000,6,0)</f>
        <v>0</v>
      </c>
      <c r="G373" s="122">
        <f>VLOOKUP(A373,[1]INDICE!$A$4:$G$1000,7,0)</f>
        <v>21.179400000000001</v>
      </c>
      <c r="H373" s="116" t="b">
        <f>A373=[2]INDFILTRO!A373</f>
        <v>0</v>
      </c>
      <c r="I373" s="113" t="b">
        <f>B373=[3]INDFILTRO!B372</f>
        <v>0</v>
      </c>
      <c r="J373" s="113" t="b">
        <f>E373=[2]INDFILTRO!E373</f>
        <v>0</v>
      </c>
      <c r="K373" s="113" t="b">
        <f>F373=[2]INDFILTRO!F373</f>
        <v>1</v>
      </c>
      <c r="L373" s="116" t="str">
        <f t="shared" si="16"/>
        <v>verdadeiro</v>
      </c>
      <c r="M373" s="124">
        <f t="shared" si="17"/>
        <v>827</v>
      </c>
      <c r="R373" s="253" t="b">
        <f t="shared" si="15"/>
        <v>1</v>
      </c>
      <c r="S373" s="253"/>
      <c r="T373" s="253"/>
    </row>
    <row r="374" spans="1:20" s="113" customFormat="1" ht="11.25">
      <c r="A374" s="121">
        <v>828</v>
      </c>
      <c r="B374" s="122" t="str">
        <f>VLOOKUP(A374,[1]INDICE!$A$4:$G$1000,2,0)</f>
        <v>LUVA PVC ROSQUEAVEL DIAMETRO 3/4"</v>
      </c>
      <c r="C374" s="160" t="str">
        <f>VLOOKUP(A374,[1]INDICE!$A$4:$G$1000,3,0)</f>
        <v>UN</v>
      </c>
      <c r="D374" s="122">
        <f>VLOOKUP(A374,[1]INDICE!$A$4:$G$1000,4,0)</f>
        <v>1.1589</v>
      </c>
      <c r="E374" s="122">
        <f>VLOOKUP(A374,[1]INDICE!$A$4:$G$1000,5,0)</f>
        <v>0.5</v>
      </c>
      <c r="F374" s="122">
        <f>VLOOKUP(A374,[1]INDICE!$A$4:$G$1000,6,0)</f>
        <v>0</v>
      </c>
      <c r="G374" s="122">
        <f>VLOOKUP(A374,[1]INDICE!$A$4:$G$1000,7,0)</f>
        <v>1.6589</v>
      </c>
      <c r="H374" s="116" t="b">
        <f>A374=[2]INDFILTRO!A374</f>
        <v>0</v>
      </c>
      <c r="I374" s="113" t="b">
        <f>B374=[3]INDFILTRO!B373</f>
        <v>0</v>
      </c>
      <c r="J374" s="113" t="b">
        <f>E374=[2]INDFILTRO!E374</f>
        <v>0</v>
      </c>
      <c r="K374" s="113" t="b">
        <f>F374=[2]INDFILTRO!F374</f>
        <v>1</v>
      </c>
      <c r="L374" s="116" t="str">
        <f t="shared" si="16"/>
        <v>verdadeiro</v>
      </c>
      <c r="M374" s="124">
        <f t="shared" si="17"/>
        <v>828</v>
      </c>
      <c r="R374" s="253" t="b">
        <f t="shared" si="15"/>
        <v>1</v>
      </c>
      <c r="S374" s="253"/>
      <c r="T374" s="253"/>
    </row>
    <row r="375" spans="1:20" s="113" customFormat="1" ht="11.25">
      <c r="A375" s="121">
        <v>829</v>
      </c>
      <c r="B375" s="122" t="str">
        <f>VLOOKUP(A375,[1]INDICE!$A$4:$G$1000,2,0)</f>
        <v>CABO TELEFON. CTP-APL-50 DE 20 PARES (USO EXTERNO)</v>
      </c>
      <c r="C375" s="160" t="str">
        <f>VLOOKUP(A375,[1]INDICE!$A$4:$G$1000,3,0)</f>
        <v>M</v>
      </c>
      <c r="D375" s="122">
        <f>VLOOKUP(A375,[1]INDICE!$A$4:$G$1000,4,0)</f>
        <v>4.0561499999999997</v>
      </c>
      <c r="E375" s="122">
        <f>VLOOKUP(A375,[1]INDICE!$A$4:$G$1000,5,0)</f>
        <v>10.312199999999999</v>
      </c>
      <c r="F375" s="122">
        <f>VLOOKUP(A375,[1]INDICE!$A$4:$G$1000,6,0)</f>
        <v>0</v>
      </c>
      <c r="G375" s="122">
        <f>VLOOKUP(A375,[1]INDICE!$A$4:$G$1000,7,0)</f>
        <v>14.36835</v>
      </c>
      <c r="H375" s="116" t="b">
        <f>A375=[2]INDFILTRO!A375</f>
        <v>0</v>
      </c>
      <c r="I375" s="113" t="b">
        <f>B375=[3]INDFILTRO!B374</f>
        <v>0</v>
      </c>
      <c r="J375" s="113" t="b">
        <f>E375=[2]INDFILTRO!E375</f>
        <v>0</v>
      </c>
      <c r="K375" s="113" t="b">
        <f>F375=[2]INDFILTRO!F375</f>
        <v>1</v>
      </c>
      <c r="L375" s="116" t="str">
        <f t="shared" si="16"/>
        <v>verdadeiro</v>
      </c>
      <c r="M375" s="124">
        <f t="shared" si="17"/>
        <v>829</v>
      </c>
      <c r="R375" s="253" t="b">
        <f t="shared" si="15"/>
        <v>1</v>
      </c>
      <c r="S375" s="253"/>
      <c r="T375" s="253"/>
    </row>
    <row r="376" spans="1:20" s="113" customFormat="1" ht="11.25">
      <c r="A376" s="121">
        <v>830</v>
      </c>
      <c r="B376" s="122" t="str">
        <f>VLOOKUP(A376,[1]INDICE!$A$4:$G$1000,2,0)</f>
        <v>CAIXA DE PASSAGEM 35X60X50CM FUNDO DE CONCRETO (PARA TAMPA R2)</v>
      </c>
      <c r="C376" s="160" t="str">
        <f>VLOOKUP(A376,[1]INDICE!$A$4:$G$1000,3,0)</f>
        <v>UN</v>
      </c>
      <c r="D376" s="122">
        <f>VLOOKUP(A376,[1]INDICE!$A$4:$G$1000,4,0)</f>
        <v>154.84252099999998</v>
      </c>
      <c r="E376" s="122">
        <f>VLOOKUP(A376,[1]INDICE!$A$4:$G$1000,5,0)</f>
        <v>104.54688</v>
      </c>
      <c r="F376" s="122">
        <f>VLOOKUP(A376,[1]INDICE!$A$4:$G$1000,6,0)</f>
        <v>0</v>
      </c>
      <c r="G376" s="122">
        <f>VLOOKUP(A376,[1]INDICE!$A$4:$G$1000,7,0)</f>
        <v>259.38940099999996</v>
      </c>
      <c r="H376" s="116" t="b">
        <f>A376=[2]INDFILTRO!A376</f>
        <v>0</v>
      </c>
      <c r="I376" s="113" t="b">
        <f>B376=[3]INDFILTRO!B375</f>
        <v>0</v>
      </c>
      <c r="J376" s="113" t="b">
        <f>E376=[2]INDFILTRO!E376</f>
        <v>0</v>
      </c>
      <c r="K376" s="113" t="b">
        <f>F376=[2]INDFILTRO!F376</f>
        <v>1</v>
      </c>
      <c r="L376" s="116" t="str">
        <f t="shared" si="16"/>
        <v>verdadeiro</v>
      </c>
      <c r="M376" s="124">
        <f t="shared" si="17"/>
        <v>830</v>
      </c>
      <c r="R376" s="253" t="b">
        <f t="shared" si="15"/>
        <v>1</v>
      </c>
      <c r="S376" s="253"/>
      <c r="T376" s="253"/>
    </row>
    <row r="377" spans="1:20" s="113" customFormat="1" ht="11.25">
      <c r="A377" s="121">
        <v>831</v>
      </c>
      <c r="B377" s="122" t="str">
        <f>VLOOKUP(A377,[1]INDICE!$A$4:$G$1000,2,0)</f>
        <v>LUVA PVC ROSQUEAVEL DIAMETRO 1.1/4"</v>
      </c>
      <c r="C377" s="160" t="str">
        <f>VLOOKUP(A377,[1]INDICE!$A$4:$G$1000,3,0)</f>
        <v>UN</v>
      </c>
      <c r="D377" s="122">
        <f>VLOOKUP(A377,[1]INDICE!$A$4:$G$1000,4,0)</f>
        <v>2.7041000000000004</v>
      </c>
      <c r="E377" s="122">
        <f>VLOOKUP(A377,[1]INDICE!$A$4:$G$1000,5,0)</f>
        <v>1.0900000000000001</v>
      </c>
      <c r="F377" s="122">
        <f>VLOOKUP(A377,[1]INDICE!$A$4:$G$1000,6,0)</f>
        <v>0</v>
      </c>
      <c r="G377" s="122">
        <f>VLOOKUP(A377,[1]INDICE!$A$4:$G$1000,7,0)</f>
        <v>3.7941000000000003</v>
      </c>
      <c r="H377" s="116" t="b">
        <f>A377=[2]INDFILTRO!A377</f>
        <v>0</v>
      </c>
      <c r="I377" s="113" t="b">
        <f>B377=[3]INDFILTRO!B376</f>
        <v>0</v>
      </c>
      <c r="J377" s="113" t="b">
        <f>E377=[2]INDFILTRO!E377</f>
        <v>0</v>
      </c>
      <c r="K377" s="113" t="b">
        <f>F377=[2]INDFILTRO!F377</f>
        <v>1</v>
      </c>
      <c r="L377" s="116" t="str">
        <f t="shared" si="16"/>
        <v>verdadeiro</v>
      </c>
      <c r="M377" s="124">
        <f t="shared" si="17"/>
        <v>831</v>
      </c>
      <c r="R377" s="253" t="b">
        <f t="shared" si="15"/>
        <v>1</v>
      </c>
      <c r="S377" s="253"/>
      <c r="T377" s="253"/>
    </row>
    <row r="378" spans="1:20" s="113" customFormat="1" ht="11.25">
      <c r="A378" s="121">
        <v>832</v>
      </c>
      <c r="B378" s="122" t="str">
        <f>VLOOKUP(A378,[1]INDICE!$A$4:$G$1000,2,0)</f>
        <v>LUVA PVC ROSQUEAVEL DIAMETRO 2"</v>
      </c>
      <c r="C378" s="160" t="str">
        <f>VLOOKUP(A378,[1]INDICE!$A$4:$G$1000,3,0)</f>
        <v>UN</v>
      </c>
      <c r="D378" s="122">
        <f>VLOOKUP(A378,[1]INDICE!$A$4:$G$1000,4,0)</f>
        <v>3.863</v>
      </c>
      <c r="E378" s="122">
        <f>VLOOKUP(A378,[1]INDICE!$A$4:$G$1000,5,0)</f>
        <v>2.1800000000000002</v>
      </c>
      <c r="F378" s="122">
        <f>VLOOKUP(A378,[1]INDICE!$A$4:$G$1000,6,0)</f>
        <v>0</v>
      </c>
      <c r="G378" s="122">
        <f>VLOOKUP(A378,[1]INDICE!$A$4:$G$1000,7,0)</f>
        <v>6.0430000000000001</v>
      </c>
      <c r="H378" s="116" t="b">
        <f>A378=[2]INDFILTRO!A378</f>
        <v>0</v>
      </c>
      <c r="I378" s="113" t="b">
        <f>B378=[3]INDFILTRO!B377</f>
        <v>0</v>
      </c>
      <c r="J378" s="113" t="b">
        <f>E378=[2]INDFILTRO!E378</f>
        <v>0</v>
      </c>
      <c r="K378" s="113" t="b">
        <f>F378=[2]INDFILTRO!F378</f>
        <v>1</v>
      </c>
      <c r="L378" s="116" t="str">
        <f t="shared" si="16"/>
        <v>verdadeiro</v>
      </c>
      <c r="M378" s="124">
        <f t="shared" si="17"/>
        <v>832</v>
      </c>
      <c r="R378" s="253" t="b">
        <f t="shared" si="15"/>
        <v>1</v>
      </c>
      <c r="S378" s="253"/>
      <c r="T378" s="253"/>
    </row>
    <row r="379" spans="1:20" s="113" customFormat="1" ht="11.25">
      <c r="A379" s="121">
        <v>833</v>
      </c>
      <c r="B379" s="122" t="str">
        <f>VLOOKUP(A379,[1]INDICE!$A$4:$G$1000,2,0)</f>
        <v>HASTE REV.COBRE(COPPERWELD) 3/4" X 2,40 M C/CONECTOR</v>
      </c>
      <c r="C379" s="160" t="str">
        <f>VLOOKUP(A379,[1]INDICE!$A$4:$G$1000,3,0)</f>
        <v>UN</v>
      </c>
      <c r="D379" s="122">
        <f>VLOOKUP(A379,[1]INDICE!$A$4:$G$1000,4,0)</f>
        <v>11.588999999999999</v>
      </c>
      <c r="E379" s="122">
        <f>VLOOKUP(A379,[1]INDICE!$A$4:$G$1000,5,0)</f>
        <v>29.68</v>
      </c>
      <c r="F379" s="122">
        <f>VLOOKUP(A379,[1]INDICE!$A$4:$G$1000,6,0)</f>
        <v>0</v>
      </c>
      <c r="G379" s="122">
        <f>VLOOKUP(A379,[1]INDICE!$A$4:$G$1000,7,0)</f>
        <v>41.268999999999998</v>
      </c>
      <c r="H379" s="116" t="b">
        <f>A379=[2]INDFILTRO!A379</f>
        <v>0</v>
      </c>
      <c r="I379" s="113" t="b">
        <f>B379=[3]INDFILTRO!B378</f>
        <v>0</v>
      </c>
      <c r="J379" s="113" t="b">
        <f>E379=[2]INDFILTRO!E379</f>
        <v>0</v>
      </c>
      <c r="K379" s="113" t="b">
        <f>F379=[2]INDFILTRO!F379</f>
        <v>1</v>
      </c>
      <c r="L379" s="116" t="str">
        <f t="shared" si="16"/>
        <v>verdadeiro</v>
      </c>
      <c r="M379" s="124">
        <f t="shared" si="17"/>
        <v>833</v>
      </c>
      <c r="R379" s="253" t="b">
        <f t="shared" si="15"/>
        <v>1</v>
      </c>
      <c r="S379" s="253"/>
      <c r="T379" s="253"/>
    </row>
    <row r="380" spans="1:20" s="113" customFormat="1" ht="11.25">
      <c r="A380" s="121">
        <v>834</v>
      </c>
      <c r="B380" s="122" t="str">
        <f>VLOOKUP(A380,[1]INDICE!$A$4:$G$1000,2,0)</f>
        <v>BLOCO BER-10 (BLOCO DE ENGATE RAPIDO)</v>
      </c>
      <c r="C380" s="160" t="str">
        <f>VLOOKUP(A380,[1]INDICE!$A$4:$G$1000,3,0)</f>
        <v>UN</v>
      </c>
      <c r="D380" s="122">
        <f>VLOOKUP(A380,[1]INDICE!$A$4:$G$1000,4,0)</f>
        <v>11.588999999999999</v>
      </c>
      <c r="E380" s="122">
        <f>VLOOKUP(A380,[1]INDICE!$A$4:$G$1000,5,0)</f>
        <v>13.99</v>
      </c>
      <c r="F380" s="122">
        <f>VLOOKUP(A380,[1]INDICE!$A$4:$G$1000,6,0)</f>
        <v>0</v>
      </c>
      <c r="G380" s="122">
        <f>VLOOKUP(A380,[1]INDICE!$A$4:$G$1000,7,0)</f>
        <v>25.579000000000001</v>
      </c>
      <c r="H380" s="116" t="b">
        <f>A380=[2]INDFILTRO!A380</f>
        <v>0</v>
      </c>
      <c r="I380" s="113" t="b">
        <f>B380=[3]INDFILTRO!B379</f>
        <v>0</v>
      </c>
      <c r="J380" s="113" t="b">
        <f>E380=[2]INDFILTRO!E380</f>
        <v>0</v>
      </c>
      <c r="K380" s="113" t="b">
        <f>F380=[2]INDFILTRO!F380</f>
        <v>1</v>
      </c>
      <c r="M380" s="124">
        <f t="shared" si="17"/>
        <v>834</v>
      </c>
      <c r="R380" s="253" t="b">
        <f t="shared" si="15"/>
        <v>1</v>
      </c>
      <c r="S380" s="253"/>
      <c r="T380" s="253"/>
    </row>
    <row r="381" spans="1:20" s="113" customFormat="1" ht="11.25">
      <c r="A381" s="121">
        <v>835</v>
      </c>
      <c r="B381" s="122" t="str">
        <f>VLOOKUP(A381,[1]INDICE!$A$4:$G$1000,2,0)</f>
        <v>BUCHA E ARRUELA METALICA DIAM. 1.1/4"</v>
      </c>
      <c r="C381" s="160" t="str">
        <f>VLOOKUP(A381,[1]INDICE!$A$4:$G$1000,3,0)</f>
        <v>UN</v>
      </c>
      <c r="D381" s="122">
        <f>VLOOKUP(A381,[1]INDICE!$A$4:$G$1000,4,0)</f>
        <v>11.588999999999999</v>
      </c>
      <c r="E381" s="122">
        <f>VLOOKUP(A381,[1]INDICE!$A$4:$G$1000,5,0)</f>
        <v>2.29</v>
      </c>
      <c r="F381" s="122">
        <f>VLOOKUP(A381,[1]INDICE!$A$4:$G$1000,6,0)</f>
        <v>0</v>
      </c>
      <c r="G381" s="122">
        <f>VLOOKUP(A381,[1]INDICE!$A$4:$G$1000,7,0)</f>
        <v>13.878999999999998</v>
      </c>
      <c r="H381" s="116" t="b">
        <f>A381=[2]INDFILTRO!A381</f>
        <v>0</v>
      </c>
      <c r="I381" s="113" t="b">
        <f>B381=[3]INDFILTRO!B380</f>
        <v>0</v>
      </c>
      <c r="J381" s="113" t="b">
        <f>E381=[2]INDFILTRO!E381</f>
        <v>0</v>
      </c>
      <c r="K381" s="113" t="b">
        <f>F381=[2]INDFILTRO!F381</f>
        <v>1</v>
      </c>
      <c r="M381" s="124">
        <f t="shared" si="17"/>
        <v>835</v>
      </c>
      <c r="R381" s="253" t="b">
        <f t="shared" si="15"/>
        <v>1</v>
      </c>
      <c r="S381" s="253"/>
      <c r="T381" s="253"/>
    </row>
    <row r="382" spans="1:20" s="113" customFormat="1" ht="11.25">
      <c r="A382" s="121">
        <v>836</v>
      </c>
      <c r="B382" s="122" t="str">
        <f>VLOOKUP(A382,[1]INDICE!$A$4:$G$1000,2,0)</f>
        <v>CABO TELEFONICO CI-50,50 PARES (USO INTERNO)</v>
      </c>
      <c r="C382" s="160" t="str">
        <f>VLOOKUP(A382,[1]INDICE!$A$4:$G$1000,3,0)</f>
        <v>M</v>
      </c>
      <c r="D382" s="122">
        <f>VLOOKUP(A382,[1]INDICE!$A$4:$G$1000,4,0)</f>
        <v>6.5670999999999999</v>
      </c>
      <c r="E382" s="122">
        <f>VLOOKUP(A382,[1]INDICE!$A$4:$G$1000,5,0)</f>
        <v>21.389399999999998</v>
      </c>
      <c r="F382" s="122">
        <f>VLOOKUP(A382,[1]INDICE!$A$4:$G$1000,6,0)</f>
        <v>0</v>
      </c>
      <c r="G382" s="122">
        <f>VLOOKUP(A382,[1]INDICE!$A$4:$G$1000,7,0)</f>
        <v>27.956499999999998</v>
      </c>
      <c r="H382" s="116" t="b">
        <f>A382=[2]INDFILTRO!A382</f>
        <v>0</v>
      </c>
      <c r="I382" s="113" t="b">
        <f>B382=[3]INDFILTRO!B381</f>
        <v>0</v>
      </c>
      <c r="J382" s="113" t="b">
        <f>E382=[2]INDFILTRO!E382</f>
        <v>0</v>
      </c>
      <c r="K382" s="113" t="b">
        <f>F382=[2]INDFILTRO!F382</f>
        <v>1</v>
      </c>
      <c r="M382" s="124">
        <f t="shared" si="17"/>
        <v>836</v>
      </c>
      <c r="R382" s="253" t="b">
        <f t="shared" si="15"/>
        <v>1</v>
      </c>
      <c r="S382" s="253"/>
      <c r="T382" s="253"/>
    </row>
    <row r="383" spans="1:20" s="113" customFormat="1" ht="11.25">
      <c r="A383" s="121">
        <v>837</v>
      </c>
      <c r="B383" s="122" t="str">
        <f>VLOOKUP(A383,[1]INDICE!$A$4:$G$1000,2,0)</f>
        <v>CABO TELEFONICO CTP-APL-50 20 PARES (USO EXTERNO)</v>
      </c>
      <c r="C383" s="160" t="str">
        <f>VLOOKUP(A383,[1]INDICE!$A$4:$G$1000,3,0)</f>
        <v>M</v>
      </c>
      <c r="D383" s="122">
        <f>VLOOKUP(A383,[1]INDICE!$A$4:$G$1000,4,0)</f>
        <v>4.0561499999999997</v>
      </c>
      <c r="E383" s="122">
        <f>VLOOKUP(A383,[1]INDICE!$A$4:$G$1000,5,0)</f>
        <v>10.312199999999999</v>
      </c>
      <c r="F383" s="122">
        <f>VLOOKUP(A383,[1]INDICE!$A$4:$G$1000,6,0)</f>
        <v>0</v>
      </c>
      <c r="G383" s="122">
        <f>VLOOKUP(A383,[1]INDICE!$A$4:$G$1000,7,0)</f>
        <v>14.36835</v>
      </c>
      <c r="H383" s="116" t="b">
        <f>A383=[2]INDFILTRO!A383</f>
        <v>0</v>
      </c>
      <c r="I383" s="113" t="b">
        <f>B383=[3]INDFILTRO!B382</f>
        <v>0</v>
      </c>
      <c r="J383" s="113" t="b">
        <f>E383=[2]INDFILTRO!E383</f>
        <v>0</v>
      </c>
      <c r="K383" s="113" t="b">
        <f>F383=[2]INDFILTRO!F383</f>
        <v>1</v>
      </c>
      <c r="M383" s="124">
        <f t="shared" si="17"/>
        <v>837</v>
      </c>
      <c r="R383" s="253" t="b">
        <f t="shared" si="15"/>
        <v>1</v>
      </c>
      <c r="S383" s="253"/>
      <c r="T383" s="253"/>
    </row>
    <row r="384" spans="1:20" s="113" customFormat="1" ht="11.25">
      <c r="A384" s="121">
        <v>838</v>
      </c>
      <c r="B384" s="122" t="str">
        <f>VLOOKUP(A384,[1]INDICE!$A$4:$G$1000,2,0)</f>
        <v>CABO UTP-4P, CAT. 6 , 24 AWG</v>
      </c>
      <c r="C384" s="160" t="str">
        <f>VLOOKUP(A384,[1]INDICE!$A$4:$G$1000,3,0)</f>
        <v>M</v>
      </c>
      <c r="D384" s="122">
        <f>VLOOKUP(A384,[1]INDICE!$A$4:$G$1000,4,0)</f>
        <v>2.5109500000000002</v>
      </c>
      <c r="E384" s="122">
        <f>VLOOKUP(A384,[1]INDICE!$A$4:$G$1000,5,0)</f>
        <v>1.6829999999999998</v>
      </c>
      <c r="F384" s="122">
        <f>VLOOKUP(A384,[1]INDICE!$A$4:$G$1000,6,0)</f>
        <v>0</v>
      </c>
      <c r="G384" s="122">
        <f>VLOOKUP(A384,[1]INDICE!$A$4:$G$1000,7,0)</f>
        <v>4.1939500000000001</v>
      </c>
      <c r="H384" s="116" t="b">
        <f>A384=[2]INDFILTRO!A384</f>
        <v>0</v>
      </c>
      <c r="I384" s="113" t="b">
        <f>B384=[3]INDFILTRO!B383</f>
        <v>0</v>
      </c>
      <c r="J384" s="113" t="b">
        <f>E384=[2]INDFILTRO!E384</f>
        <v>0</v>
      </c>
      <c r="K384" s="113" t="b">
        <f>F384=[2]INDFILTRO!F384</f>
        <v>1</v>
      </c>
      <c r="M384" s="124">
        <f t="shared" si="17"/>
        <v>838</v>
      </c>
      <c r="R384" s="253" t="b">
        <f t="shared" si="15"/>
        <v>1</v>
      </c>
      <c r="S384" s="253"/>
      <c r="T384" s="253"/>
    </row>
    <row r="385" spans="1:20" s="113" customFormat="1" ht="11.25">
      <c r="A385" s="121">
        <v>839</v>
      </c>
      <c r="B385" s="122" t="str">
        <f>VLOOKUP(A385,[1]INDICE!$A$4:$G$1000,2,0)</f>
        <v>CAIXA DE PASSAGEM METÁLICA DE EMBUTIR 40X40X15 CM</v>
      </c>
      <c r="C385" s="160" t="str">
        <f>VLOOKUP(A385,[1]INDICE!$A$4:$G$1000,3,0)</f>
        <v>UN</v>
      </c>
      <c r="D385" s="122">
        <f>VLOOKUP(A385,[1]INDICE!$A$4:$G$1000,4,0)</f>
        <v>77.259999999999991</v>
      </c>
      <c r="E385" s="122">
        <f>VLOOKUP(A385,[1]INDICE!$A$4:$G$1000,5,0)</f>
        <v>88.55</v>
      </c>
      <c r="F385" s="122">
        <f>VLOOKUP(A385,[1]INDICE!$A$4:$G$1000,6,0)</f>
        <v>0</v>
      </c>
      <c r="G385" s="122">
        <f>VLOOKUP(A385,[1]INDICE!$A$4:$G$1000,7,0)</f>
        <v>165.81</v>
      </c>
      <c r="H385" s="116" t="b">
        <f>A385=[2]INDFILTRO!A385</f>
        <v>0</v>
      </c>
      <c r="I385" s="113" t="b">
        <f>B385=[3]INDFILTRO!B384</f>
        <v>0</v>
      </c>
      <c r="J385" s="113" t="b">
        <f>E385=[2]INDFILTRO!E385</f>
        <v>0</v>
      </c>
      <c r="K385" s="113" t="b">
        <f>F385=[2]INDFILTRO!F385</f>
        <v>1</v>
      </c>
      <c r="M385" s="124">
        <f t="shared" si="17"/>
        <v>839</v>
      </c>
      <c r="R385" s="253" t="b">
        <f t="shared" si="15"/>
        <v>1</v>
      </c>
      <c r="S385" s="253"/>
      <c r="T385" s="253"/>
    </row>
    <row r="386" spans="1:20" s="113" customFormat="1" ht="11.25">
      <c r="A386" s="121">
        <v>840</v>
      </c>
      <c r="B386" s="122" t="str">
        <f>VLOOKUP(A386,[1]INDICE!$A$4:$G$1000,2,0)</f>
        <v>CAIXA DE PASSAGEM METÁLICA DE EMBUTIR 20X20X10 CM</v>
      </c>
      <c r="C386" s="160" t="str">
        <f>VLOOKUP(A386,[1]INDICE!$A$4:$G$1000,3,0)</f>
        <v>UN</v>
      </c>
      <c r="D386" s="122">
        <f>VLOOKUP(A386,[1]INDICE!$A$4:$G$1000,4,0)</f>
        <v>48.287499999999994</v>
      </c>
      <c r="E386" s="122">
        <f>VLOOKUP(A386,[1]INDICE!$A$4:$G$1000,5,0)</f>
        <v>39.97</v>
      </c>
      <c r="F386" s="122">
        <f>VLOOKUP(A386,[1]INDICE!$A$4:$G$1000,6,0)</f>
        <v>0</v>
      </c>
      <c r="G386" s="122">
        <f>VLOOKUP(A386,[1]INDICE!$A$4:$G$1000,7,0)</f>
        <v>88.257499999999993</v>
      </c>
      <c r="H386" s="116" t="b">
        <f>A386=[2]INDFILTRO!A386</f>
        <v>0</v>
      </c>
      <c r="I386" s="113" t="b">
        <f>B386=[3]INDFILTRO!B385</f>
        <v>0</v>
      </c>
      <c r="J386" s="113" t="b">
        <f>E386=[2]INDFILTRO!E386</f>
        <v>0</v>
      </c>
      <c r="K386" s="113" t="b">
        <f>F386=[2]INDFILTRO!F386</f>
        <v>1</v>
      </c>
      <c r="M386" s="124">
        <f t="shared" si="17"/>
        <v>840</v>
      </c>
      <c r="R386" s="253" t="b">
        <f t="shared" si="15"/>
        <v>1</v>
      </c>
      <c r="S386" s="253"/>
      <c r="T386" s="253"/>
    </row>
    <row r="387" spans="1:20" s="113" customFormat="1" ht="11.25">
      <c r="A387" s="121">
        <v>841</v>
      </c>
      <c r="B387" s="122" t="str">
        <f>VLOOKUP(A387,[1]INDICE!$A$4:$G$1000,2,0)</f>
        <v>CAIXA DISTRIBUIÇÃO TELEFÔNICA DE EMBUTIR 40X40X12 CM</v>
      </c>
      <c r="C387" s="160" t="str">
        <f>VLOOKUP(A387,[1]INDICE!$A$4:$G$1000,3,0)</f>
        <v>UN</v>
      </c>
      <c r="D387" s="122">
        <f>VLOOKUP(A387,[1]INDICE!$A$4:$G$1000,4,0)</f>
        <v>77.259999999999991</v>
      </c>
      <c r="E387" s="122">
        <f>VLOOKUP(A387,[1]INDICE!$A$4:$G$1000,5,0)</f>
        <v>88.55</v>
      </c>
      <c r="F387" s="122">
        <f>VLOOKUP(A387,[1]INDICE!$A$4:$G$1000,6,0)</f>
        <v>0</v>
      </c>
      <c r="G387" s="122">
        <f>VLOOKUP(A387,[1]INDICE!$A$4:$G$1000,7,0)</f>
        <v>165.81</v>
      </c>
      <c r="H387" s="116" t="b">
        <f>A387=[2]INDFILTRO!A387</f>
        <v>0</v>
      </c>
      <c r="I387" s="113" t="b">
        <f>B387=[3]INDFILTRO!B386</f>
        <v>0</v>
      </c>
      <c r="J387" s="113" t="b">
        <f>E387=[2]INDFILTRO!E387</f>
        <v>0</v>
      </c>
      <c r="K387" s="113" t="b">
        <f>F387=[2]INDFILTRO!F387</f>
        <v>1</v>
      </c>
      <c r="M387" s="124">
        <f t="shared" si="17"/>
        <v>841</v>
      </c>
      <c r="R387" s="253" t="b">
        <f t="shared" si="15"/>
        <v>1</v>
      </c>
      <c r="S387" s="253"/>
      <c r="T387" s="253"/>
    </row>
    <row r="388" spans="1:20" s="113" customFormat="1" ht="11.25">
      <c r="A388" s="121">
        <v>842</v>
      </c>
      <c r="B388" s="122" t="str">
        <f>VLOOKUP(A388,[1]INDICE!$A$4:$G$1000,2,0)</f>
        <v>CAIXA METALICA QUADRADA 4"X4"X2"</v>
      </c>
      <c r="C388" s="160" t="str">
        <f>VLOOKUP(A388,[1]INDICE!$A$4:$G$1000,3,0)</f>
        <v>UN</v>
      </c>
      <c r="D388" s="122">
        <f>VLOOKUP(A388,[1]INDICE!$A$4:$G$1000,4,0)</f>
        <v>5.7944999999999993</v>
      </c>
      <c r="E388" s="122">
        <f>VLOOKUP(A388,[1]INDICE!$A$4:$G$1000,5,0)</f>
        <v>2.1800000000000002</v>
      </c>
      <c r="F388" s="122">
        <f>VLOOKUP(A388,[1]INDICE!$A$4:$G$1000,6,0)</f>
        <v>0</v>
      </c>
      <c r="G388" s="122">
        <f>VLOOKUP(A388,[1]INDICE!$A$4:$G$1000,7,0)</f>
        <v>7.974499999999999</v>
      </c>
      <c r="H388" s="116" t="b">
        <f>A388=[2]INDFILTRO!A388</f>
        <v>0</v>
      </c>
      <c r="I388" s="113" t="b">
        <f>B388=[3]INDFILTRO!B387</f>
        <v>0</v>
      </c>
      <c r="J388" s="113" t="b">
        <f>E388=[2]INDFILTRO!E388</f>
        <v>0</v>
      </c>
      <c r="K388" s="113" t="b">
        <f>F388=[2]INDFILTRO!F388</f>
        <v>1</v>
      </c>
      <c r="M388" s="124">
        <f t="shared" si="17"/>
        <v>842</v>
      </c>
      <c r="R388" s="253" t="b">
        <f t="shared" si="15"/>
        <v>1</v>
      </c>
      <c r="S388" s="253"/>
      <c r="T388" s="253"/>
    </row>
    <row r="389" spans="1:20" s="113" customFormat="1" ht="11.25">
      <c r="A389" s="121">
        <v>843</v>
      </c>
      <c r="B389" s="122" t="str">
        <f>VLOOKUP(A389,[1]INDICE!$A$4:$G$1000,2,0)</f>
        <v>CAIXA METALICA RET. 4" X 2" X 2"</v>
      </c>
      <c r="C389" s="160" t="str">
        <f>VLOOKUP(A389,[1]INDICE!$A$4:$G$1000,3,0)</f>
        <v>UN</v>
      </c>
      <c r="D389" s="122">
        <f>VLOOKUP(A389,[1]INDICE!$A$4:$G$1000,4,0)</f>
        <v>5.7944999999999993</v>
      </c>
      <c r="E389" s="122">
        <f>VLOOKUP(A389,[1]INDICE!$A$4:$G$1000,5,0)</f>
        <v>1.03</v>
      </c>
      <c r="F389" s="122">
        <f>VLOOKUP(A389,[1]INDICE!$A$4:$G$1000,6,0)</f>
        <v>0</v>
      </c>
      <c r="G389" s="122">
        <f>VLOOKUP(A389,[1]INDICE!$A$4:$G$1000,7,0)</f>
        <v>6.8244999999999996</v>
      </c>
      <c r="H389" s="116" t="b">
        <f>A389=[2]INDFILTRO!A389</f>
        <v>0</v>
      </c>
      <c r="I389" s="113" t="b">
        <f>B389=[3]INDFILTRO!B388</f>
        <v>0</v>
      </c>
      <c r="J389" s="113" t="b">
        <f>E389=[2]INDFILTRO!E389</f>
        <v>0</v>
      </c>
      <c r="K389" s="113" t="b">
        <f>F389=[2]INDFILTRO!F389</f>
        <v>1</v>
      </c>
      <c r="M389" s="124">
        <f t="shared" si="17"/>
        <v>843</v>
      </c>
      <c r="R389" s="253" t="b">
        <f t="shared" ref="R389:R423" si="18">(D389+E389+F389)=G389</f>
        <v>1</v>
      </c>
      <c r="S389" s="253"/>
      <c r="T389" s="253"/>
    </row>
    <row r="390" spans="1:20" s="113" customFormat="1" ht="11.25">
      <c r="A390" s="121">
        <v>844</v>
      </c>
      <c r="B390" s="122" t="str">
        <f>VLOOKUP(A390,[1]INDICE!$A$4:$G$1000,2,0)</f>
        <v>CURVA DE 90 GRAUS DE PVC RIGIDO DIAM. 2"</v>
      </c>
      <c r="C390" s="160" t="str">
        <f>VLOOKUP(A390,[1]INDICE!$A$4:$G$1000,3,0)</f>
        <v>UN</v>
      </c>
      <c r="D390" s="122">
        <f>VLOOKUP(A390,[1]INDICE!$A$4:$G$1000,4,0)</f>
        <v>14.679400000000001</v>
      </c>
      <c r="E390" s="122">
        <f>VLOOKUP(A390,[1]INDICE!$A$4:$G$1000,5,0)</f>
        <v>3.92</v>
      </c>
      <c r="F390" s="122">
        <f>VLOOKUP(A390,[1]INDICE!$A$4:$G$1000,6,0)</f>
        <v>0</v>
      </c>
      <c r="G390" s="122">
        <f>VLOOKUP(A390,[1]INDICE!$A$4:$G$1000,7,0)</f>
        <v>18.599400000000003</v>
      </c>
      <c r="H390" s="116" t="b">
        <f>A390=[2]INDFILTRO!A390</f>
        <v>0</v>
      </c>
      <c r="I390" s="113" t="b">
        <f>B390=[3]INDFILTRO!B389</f>
        <v>0</v>
      </c>
      <c r="J390" s="113" t="b">
        <f>E390=[2]INDFILTRO!E390</f>
        <v>0</v>
      </c>
      <c r="K390" s="113" t="b">
        <f>F390=[2]INDFILTRO!F390</f>
        <v>1</v>
      </c>
      <c r="M390" s="124">
        <f t="shared" ref="M390:M408" si="19">A390</f>
        <v>844</v>
      </c>
      <c r="R390" s="253" t="b">
        <f t="shared" si="18"/>
        <v>1</v>
      </c>
      <c r="S390" s="253"/>
      <c r="T390" s="253"/>
    </row>
    <row r="391" spans="1:20" s="113" customFormat="1" ht="11.25">
      <c r="A391" s="121">
        <v>845</v>
      </c>
      <c r="B391" s="122" t="str">
        <f>VLOOKUP(A391,[1]INDICE!$A$4:$G$1000,2,0)</f>
        <v>ELETRODUTO DE PVC RIGIDO DIAMETRO 2"</v>
      </c>
      <c r="C391" s="160" t="str">
        <f>VLOOKUP(A391,[1]INDICE!$A$4:$G$1000,3,0)</f>
        <v>M</v>
      </c>
      <c r="D391" s="122">
        <f>VLOOKUP(A391,[1]INDICE!$A$4:$G$1000,4,0)</f>
        <v>19.314999999999998</v>
      </c>
      <c r="E391" s="122">
        <f>VLOOKUP(A391,[1]INDICE!$A$4:$G$1000,5,0)</f>
        <v>8.09</v>
      </c>
      <c r="F391" s="122">
        <f>VLOOKUP(A391,[1]INDICE!$A$4:$G$1000,6,0)</f>
        <v>0</v>
      </c>
      <c r="G391" s="122">
        <f>VLOOKUP(A391,[1]INDICE!$A$4:$G$1000,7,0)</f>
        <v>27.404999999999998</v>
      </c>
      <c r="H391" s="116" t="b">
        <f>A391=[2]INDFILTRO!A391</f>
        <v>0</v>
      </c>
      <c r="I391" s="113" t="b">
        <f>B391=[3]INDFILTRO!B390</f>
        <v>0</v>
      </c>
      <c r="J391" s="113" t="b">
        <f>E391=[2]INDFILTRO!E391</f>
        <v>0</v>
      </c>
      <c r="K391" s="113" t="b">
        <f>F391=[2]INDFILTRO!F391</f>
        <v>1</v>
      </c>
      <c r="M391" s="124">
        <f t="shared" si="19"/>
        <v>845</v>
      </c>
      <c r="R391" s="253" t="b">
        <f t="shared" si="18"/>
        <v>1</v>
      </c>
      <c r="S391" s="253"/>
      <c r="T391" s="253"/>
    </row>
    <row r="392" spans="1:20" s="113" customFormat="1" ht="11.25">
      <c r="A392" s="121">
        <v>846</v>
      </c>
      <c r="B392" s="122" t="str">
        <f>VLOOKUP(A392,[1]INDICE!$A$4:$G$1000,2,0)</f>
        <v>ELETRODUTO DE PVC RIGIDO DIAMETRO 1.1/4"</v>
      </c>
      <c r="C392" s="160" t="str">
        <f>VLOOKUP(A392,[1]INDICE!$A$4:$G$1000,3,0)</f>
        <v>M</v>
      </c>
      <c r="D392" s="122">
        <f>VLOOKUP(A392,[1]INDICE!$A$4:$G$1000,4,0)</f>
        <v>16.224599999999999</v>
      </c>
      <c r="E392" s="122">
        <f>VLOOKUP(A392,[1]INDICE!$A$4:$G$1000,5,0)</f>
        <v>4.5</v>
      </c>
      <c r="F392" s="122">
        <f>VLOOKUP(A392,[1]INDICE!$A$4:$G$1000,6,0)</f>
        <v>0</v>
      </c>
      <c r="G392" s="122">
        <f>VLOOKUP(A392,[1]INDICE!$A$4:$G$1000,7,0)</f>
        <v>20.724599999999999</v>
      </c>
      <c r="H392" s="116" t="b">
        <f>A392=[2]INDFILTRO!A392</f>
        <v>0</v>
      </c>
      <c r="I392" s="113" t="b">
        <f>B392=[3]INDFILTRO!B391</f>
        <v>0</v>
      </c>
      <c r="J392" s="113" t="b">
        <f>E392=[2]INDFILTRO!E392</f>
        <v>0</v>
      </c>
      <c r="K392" s="113" t="b">
        <f>F392=[2]INDFILTRO!F392</f>
        <v>1</v>
      </c>
      <c r="M392" s="124">
        <f t="shared" si="19"/>
        <v>846</v>
      </c>
      <c r="R392" s="253" t="b">
        <f t="shared" si="18"/>
        <v>1</v>
      </c>
      <c r="S392" s="253"/>
      <c r="T392" s="253"/>
    </row>
    <row r="393" spans="1:20" s="113" customFormat="1" ht="11.25">
      <c r="A393" s="121">
        <v>847</v>
      </c>
      <c r="B393" s="122" t="str">
        <f>VLOOKUP(A393,[1]INDICE!$A$4:$G$1000,2,0)</f>
        <v>TAMPA DE Fo.Fo. R1 COM BASE</v>
      </c>
      <c r="C393" s="160" t="str">
        <f>VLOOKUP(A393,[1]INDICE!$A$4:$G$1000,3,0)</f>
        <v>UN</v>
      </c>
      <c r="D393" s="122">
        <f>VLOOKUP(A393,[1]INDICE!$A$4:$G$1000,4,0)</f>
        <v>3.863</v>
      </c>
      <c r="E393" s="122">
        <f>VLOOKUP(A393,[1]INDICE!$A$4:$G$1000,5,0)</f>
        <v>207.66</v>
      </c>
      <c r="F393" s="122">
        <f>VLOOKUP(A393,[1]INDICE!$A$4:$G$1000,6,0)</f>
        <v>0</v>
      </c>
      <c r="G393" s="122">
        <f>VLOOKUP(A393,[1]INDICE!$A$4:$G$1000,7,0)</f>
        <v>211.523</v>
      </c>
      <c r="H393" s="116" t="b">
        <f>A393=[2]INDFILTRO!A393</f>
        <v>0</v>
      </c>
      <c r="I393" s="113" t="b">
        <f>B393=[3]INDFILTRO!B392</f>
        <v>0</v>
      </c>
      <c r="J393" s="113" t="b">
        <f>E393=[2]INDFILTRO!E393</f>
        <v>0</v>
      </c>
      <c r="K393" s="113" t="b">
        <f>F393=[2]INDFILTRO!F393</f>
        <v>1</v>
      </c>
      <c r="M393" s="124">
        <f t="shared" si="19"/>
        <v>847</v>
      </c>
      <c r="R393" s="253" t="b">
        <f t="shared" si="18"/>
        <v>1</v>
      </c>
      <c r="S393" s="253"/>
      <c r="T393" s="253"/>
    </row>
    <row r="394" spans="1:20" s="113" customFormat="1" ht="11.25">
      <c r="A394" s="121">
        <v>848</v>
      </c>
      <c r="B394" s="122" t="str">
        <f>VLOOKUP(A394,[1]INDICE!$A$4:$G$1000,2,0)</f>
        <v>TAMPA DE Fo.Fo. R2 COM BASE</v>
      </c>
      <c r="C394" s="160" t="str">
        <f>VLOOKUP(A394,[1]INDICE!$A$4:$G$1000,3,0)</f>
        <v>UN</v>
      </c>
      <c r="D394" s="122">
        <f>VLOOKUP(A394,[1]INDICE!$A$4:$G$1000,4,0)</f>
        <v>9.6574999999999989</v>
      </c>
      <c r="E394" s="122">
        <f>VLOOKUP(A394,[1]INDICE!$A$4:$G$1000,5,0)</f>
        <v>780.31</v>
      </c>
      <c r="F394" s="122">
        <f>VLOOKUP(A394,[1]INDICE!$A$4:$G$1000,6,0)</f>
        <v>0</v>
      </c>
      <c r="G394" s="122">
        <f>VLOOKUP(A394,[1]INDICE!$A$4:$G$1000,7,0)</f>
        <v>789.96749999999997</v>
      </c>
      <c r="H394" s="116" t="b">
        <f>A394=[2]INDFILTRO!A394</f>
        <v>0</v>
      </c>
      <c r="I394" s="113" t="b">
        <f>B394=[3]INDFILTRO!B393</f>
        <v>0</v>
      </c>
      <c r="J394" s="113" t="b">
        <f>E394=[2]INDFILTRO!E394</f>
        <v>0</v>
      </c>
      <c r="K394" s="113" t="b">
        <f>F394=[2]INDFILTRO!F394</f>
        <v>1</v>
      </c>
      <c r="M394" s="124">
        <f t="shared" si="19"/>
        <v>848</v>
      </c>
      <c r="R394" s="253" t="b">
        <f t="shared" si="18"/>
        <v>1</v>
      </c>
      <c r="S394" s="253"/>
      <c r="T394" s="253"/>
    </row>
    <row r="395" spans="1:20" s="113" customFormat="1" ht="11.25">
      <c r="A395" s="121">
        <v>849</v>
      </c>
      <c r="B395" s="122" t="str">
        <f>VLOOKUP(A395,[1]INDICE!$A$4:$G$1000,2,0)</f>
        <v>BUCHA E ARRUELA METALICA DIAM. 1/2"</v>
      </c>
      <c r="C395" s="160" t="str">
        <f>VLOOKUP(A395,[1]INDICE!$A$4:$G$1000,3,0)</f>
        <v>PR</v>
      </c>
      <c r="D395" s="122">
        <f>VLOOKUP(A395,[1]INDICE!$A$4:$G$1000,4,0)</f>
        <v>0.38629999999999998</v>
      </c>
      <c r="E395" s="122">
        <f>VLOOKUP(A395,[1]INDICE!$A$4:$G$1000,5,0)</f>
        <v>0.93</v>
      </c>
      <c r="F395" s="122">
        <f>VLOOKUP(A395,[1]INDICE!$A$4:$G$1000,6,0)</f>
        <v>0</v>
      </c>
      <c r="G395" s="122">
        <f>VLOOKUP(A395,[1]INDICE!$A$4:$G$1000,7,0)</f>
        <v>1.3163</v>
      </c>
      <c r="H395" s="116" t="b">
        <f>A395=[2]INDFILTRO!A395</f>
        <v>0</v>
      </c>
      <c r="I395" s="113" t="b">
        <f>B395=[3]INDFILTRO!B394</f>
        <v>0</v>
      </c>
      <c r="J395" s="113" t="b">
        <f>E395=[2]INDFILTRO!E395</f>
        <v>0</v>
      </c>
      <c r="K395" s="113" t="b">
        <f>F395=[2]INDFILTRO!F395</f>
        <v>1</v>
      </c>
      <c r="M395" s="124">
        <f t="shared" si="19"/>
        <v>849</v>
      </c>
      <c r="R395" s="253" t="b">
        <f t="shared" si="18"/>
        <v>1</v>
      </c>
      <c r="S395" s="253"/>
      <c r="T395" s="253"/>
    </row>
    <row r="396" spans="1:20" s="113" customFormat="1" ht="11.25">
      <c r="A396" s="121">
        <v>850</v>
      </c>
      <c r="B396" s="122" t="str">
        <f>VLOOKUP(A396,[1]INDICE!$A$4:$G$1000,2,0)</f>
        <v>ELETRODUTO DE PVC RIGIDO DIAMETRO 1/2"</v>
      </c>
      <c r="C396" s="160" t="str">
        <f>VLOOKUP(A396,[1]INDICE!$A$4:$G$1000,3,0)</f>
        <v>M</v>
      </c>
      <c r="D396" s="122">
        <f>VLOOKUP(A396,[1]INDICE!$A$4:$G$1000,4,0)</f>
        <v>6.5670999999999999</v>
      </c>
      <c r="E396" s="122">
        <f>VLOOKUP(A396,[1]INDICE!$A$4:$G$1000,5,0)</f>
        <v>1.74</v>
      </c>
      <c r="F396" s="122">
        <f>VLOOKUP(A396,[1]INDICE!$A$4:$G$1000,6,0)</f>
        <v>0</v>
      </c>
      <c r="G396" s="122">
        <f>VLOOKUP(A396,[1]INDICE!$A$4:$G$1000,7,0)</f>
        <v>8.3071000000000002</v>
      </c>
      <c r="H396" s="116" t="b">
        <f>A396=[2]INDFILTRO!A396</f>
        <v>0</v>
      </c>
      <c r="I396" s="113" t="b">
        <f>B396=[3]INDFILTRO!B395</f>
        <v>0</v>
      </c>
      <c r="J396" s="113" t="b">
        <f>E396=[2]INDFILTRO!E396</f>
        <v>0</v>
      </c>
      <c r="K396" s="113" t="b">
        <f>F396=[2]INDFILTRO!F396</f>
        <v>1</v>
      </c>
      <c r="M396" s="124">
        <f t="shared" si="19"/>
        <v>850</v>
      </c>
      <c r="R396" s="253" t="b">
        <f t="shared" si="18"/>
        <v>1</v>
      </c>
      <c r="S396" s="253"/>
      <c r="T396" s="253"/>
    </row>
    <row r="397" spans="1:20" s="113" customFormat="1" ht="11.25">
      <c r="A397" s="121">
        <v>851</v>
      </c>
      <c r="B397" s="122" t="str">
        <f>VLOOKUP(A397,[1]INDICE!$A$4:$G$1000,2,0)</f>
        <v>ELETRODUTO DE PVC RIGIDO DIAMETRO 3''</v>
      </c>
      <c r="C397" s="160" t="str">
        <f>VLOOKUP(A397,[1]INDICE!$A$4:$G$1000,3,0)</f>
        <v>M</v>
      </c>
      <c r="D397" s="122">
        <f>VLOOKUP(A397,[1]INDICE!$A$4:$G$1000,4,0)</f>
        <v>30.904</v>
      </c>
      <c r="E397" s="122">
        <f>VLOOKUP(A397,[1]INDICE!$A$4:$G$1000,5,0)</f>
        <v>14.81</v>
      </c>
      <c r="F397" s="122">
        <f>VLOOKUP(A397,[1]INDICE!$A$4:$G$1000,6,0)</f>
        <v>0</v>
      </c>
      <c r="G397" s="122">
        <f>VLOOKUP(A397,[1]INDICE!$A$4:$G$1000,7,0)</f>
        <v>45.713999999999999</v>
      </c>
      <c r="H397" s="116" t="b">
        <f>A397=[2]INDFILTRO!A397</f>
        <v>0</v>
      </c>
      <c r="I397" s="113" t="b">
        <f>B397=[3]INDFILTRO!B396</f>
        <v>0</v>
      </c>
      <c r="J397" s="113" t="b">
        <f>E397=[2]INDFILTRO!E397</f>
        <v>0</v>
      </c>
      <c r="K397" s="113" t="b">
        <f>F397=[2]INDFILTRO!F397</f>
        <v>1</v>
      </c>
      <c r="M397" s="124">
        <f t="shared" si="19"/>
        <v>851</v>
      </c>
      <c r="R397" s="253" t="b">
        <f t="shared" si="18"/>
        <v>1</v>
      </c>
      <c r="S397" s="253"/>
      <c r="T397" s="253"/>
    </row>
    <row r="398" spans="1:20" s="113" customFormat="1" ht="21.75" customHeight="1">
      <c r="A398" s="121">
        <v>852</v>
      </c>
      <c r="B398" s="122" t="str">
        <f>VLOOKUP(A398,[1]INDICE!$A$4:$G$1000,2,0)</f>
        <v>CABO UTP-4P, CAT. 6 , 24 AWG</v>
      </c>
      <c r="C398" s="160" t="str">
        <f>VLOOKUP(A398,[1]INDICE!$A$4:$G$1000,3,0)</f>
        <v>M</v>
      </c>
      <c r="D398" s="122">
        <f>VLOOKUP(A398,[1]INDICE!$A$4:$G$1000,4,0)</f>
        <v>2.5109500000000002</v>
      </c>
      <c r="E398" s="122">
        <f>VLOOKUP(A398,[1]INDICE!$A$4:$G$1000,5,0)</f>
        <v>1.6829999999999998</v>
      </c>
      <c r="F398" s="122">
        <f>VLOOKUP(A398,[1]INDICE!$A$4:$G$1000,6,0)</f>
        <v>0</v>
      </c>
      <c r="G398" s="122">
        <f>VLOOKUP(A398,[1]INDICE!$A$4:$G$1000,7,0)</f>
        <v>4.1939500000000001</v>
      </c>
      <c r="H398" s="116" t="b">
        <f>A398=[2]INDFILTRO!A398</f>
        <v>0</v>
      </c>
      <c r="I398" s="113" t="b">
        <f>B398=[3]INDFILTRO!B397</f>
        <v>0</v>
      </c>
      <c r="J398" s="113" t="b">
        <f>E398=[2]INDFILTRO!E398</f>
        <v>0</v>
      </c>
      <c r="K398" s="113" t="b">
        <f>F398=[2]INDFILTRO!F398</f>
        <v>1</v>
      </c>
      <c r="M398" s="124">
        <f t="shared" si="19"/>
        <v>852</v>
      </c>
      <c r="R398" s="253" t="b">
        <f t="shared" si="18"/>
        <v>1</v>
      </c>
      <c r="S398" s="253"/>
      <c r="T398" s="253"/>
    </row>
    <row r="399" spans="1:20" s="113" customFormat="1" ht="11.25">
      <c r="A399" s="121">
        <v>853</v>
      </c>
      <c r="B399" s="122" t="str">
        <f>VLOOKUP(A399,[1]INDICE!$A$4:$G$1000,2,0)</f>
        <v>PATCH CORD COMPRIMENTO DE 1,50 M - CAT.6</v>
      </c>
      <c r="C399" s="160" t="str">
        <f>VLOOKUP(A399,[1]INDICE!$A$4:$G$1000,3,0)</f>
        <v>UN</v>
      </c>
      <c r="D399" s="122">
        <f>VLOOKUP(A399,[1]INDICE!$A$4:$G$1000,4,0)</f>
        <v>5.0219000000000005</v>
      </c>
      <c r="E399" s="122">
        <f>VLOOKUP(A399,[1]INDICE!$A$4:$G$1000,5,0)</f>
        <v>16.25</v>
      </c>
      <c r="F399" s="122">
        <f>VLOOKUP(A399,[1]INDICE!$A$4:$G$1000,6,0)</f>
        <v>0</v>
      </c>
      <c r="G399" s="122">
        <f>VLOOKUP(A399,[1]INDICE!$A$4:$G$1000,7,0)</f>
        <v>21.271900000000002</v>
      </c>
      <c r="H399" s="116" t="b">
        <f>A399=[2]INDFILTRO!A399</f>
        <v>0</v>
      </c>
      <c r="I399" s="113" t="b">
        <f>B399=[3]INDFILTRO!B398</f>
        <v>0</v>
      </c>
      <c r="J399" s="113" t="b">
        <f>E399=[2]INDFILTRO!E399</f>
        <v>0</v>
      </c>
      <c r="K399" s="113" t="b">
        <f>F399=[2]INDFILTRO!F399</f>
        <v>1</v>
      </c>
      <c r="M399" s="124">
        <f t="shared" si="19"/>
        <v>853</v>
      </c>
      <c r="R399" s="253" t="b">
        <f t="shared" si="18"/>
        <v>1</v>
      </c>
      <c r="S399" s="253"/>
      <c r="T399" s="253"/>
    </row>
    <row r="400" spans="1:20" s="113" customFormat="1" ht="11.25">
      <c r="A400" s="121">
        <v>854</v>
      </c>
      <c r="B400" s="122" t="str">
        <f>VLOOKUP(A400,[1]INDICE!$A$4:$G$1000,2,0)</f>
        <v>CONECTOR RJ-45 CAT. 6 E ESPELHO BAQUELITE 4" X 2" 1 FURO RJ-45</v>
      </c>
      <c r="C400" s="160" t="str">
        <f>VLOOKUP(A400,[1]INDICE!$A$4:$G$1000,3,0)</f>
        <v>UN</v>
      </c>
      <c r="D400" s="122">
        <f>VLOOKUP(A400,[1]INDICE!$A$4:$G$1000,4,0)</f>
        <v>3.0903999999999998</v>
      </c>
      <c r="E400" s="122">
        <f>VLOOKUP(A400,[1]INDICE!$A$4:$G$1000,5,0)</f>
        <v>4.7300000000000004</v>
      </c>
      <c r="F400" s="122">
        <f>VLOOKUP(A400,[1]INDICE!$A$4:$G$1000,6,0)</f>
        <v>0</v>
      </c>
      <c r="G400" s="122">
        <f>VLOOKUP(A400,[1]INDICE!$A$4:$G$1000,7,0)</f>
        <v>7.8204000000000002</v>
      </c>
      <c r="H400" s="116" t="b">
        <f>A400=[2]INDFILTRO!A400</f>
        <v>0</v>
      </c>
      <c r="I400" s="113" t="b">
        <f>B400=[3]INDFILTRO!B399</f>
        <v>0</v>
      </c>
      <c r="J400" s="113" t="b">
        <f>E400=[2]INDFILTRO!E400</f>
        <v>0</v>
      </c>
      <c r="K400" s="113" t="b">
        <f>F400=[2]INDFILTRO!F400</f>
        <v>1</v>
      </c>
      <c r="M400" s="124">
        <f t="shared" si="19"/>
        <v>854</v>
      </c>
      <c r="R400" s="253" t="b">
        <f t="shared" si="18"/>
        <v>1</v>
      </c>
      <c r="S400" s="253"/>
      <c r="T400" s="253"/>
    </row>
    <row r="401" spans="1:239" s="113" customFormat="1" ht="11.25">
      <c r="A401" s="121">
        <v>855</v>
      </c>
      <c r="B401" s="122" t="str">
        <f>VLOOKUP(A401,[1]INDICE!$A$4:$G$1000,2,0)</f>
        <v>CONECTOR RJ-45 CAT. 6 E ESPELHO BAQUELITE 4" X 2" 2 FUROS RJ-45</v>
      </c>
      <c r="C401" s="160" t="str">
        <f>VLOOKUP(A401,[1]INDICE!$A$4:$G$1000,3,0)</f>
        <v>UN</v>
      </c>
      <c r="D401" s="122">
        <f>VLOOKUP(A401,[1]INDICE!$A$4:$G$1000,4,0)</f>
        <v>3.0903999999999998</v>
      </c>
      <c r="E401" s="122">
        <f>VLOOKUP(A401,[1]INDICE!$A$4:$G$1000,5,0)</f>
        <v>6.5600000000000005</v>
      </c>
      <c r="F401" s="122">
        <f>VLOOKUP(A401,[1]INDICE!$A$4:$G$1000,6,0)</f>
        <v>0</v>
      </c>
      <c r="G401" s="122">
        <f>VLOOKUP(A401,[1]INDICE!$A$4:$G$1000,7,0)</f>
        <v>9.6504000000000012</v>
      </c>
      <c r="H401" s="116" t="b">
        <f>A401=[2]INDFILTRO!A401</f>
        <v>0</v>
      </c>
      <c r="I401" s="113" t="b">
        <f>B401=[3]INDFILTRO!B400</f>
        <v>0</v>
      </c>
      <c r="J401" s="113" t="b">
        <f>E401=[2]INDFILTRO!E401</f>
        <v>0</v>
      </c>
      <c r="K401" s="113" t="b">
        <f>F401=[2]INDFILTRO!F401</f>
        <v>1</v>
      </c>
      <c r="M401" s="124">
        <f t="shared" si="19"/>
        <v>855</v>
      </c>
      <c r="R401" s="253" t="b">
        <f t="shared" si="18"/>
        <v>1</v>
      </c>
      <c r="S401" s="253"/>
      <c r="T401" s="253"/>
    </row>
    <row r="402" spans="1:239" s="113" customFormat="1" ht="11.25">
      <c r="A402" s="121">
        <v>857</v>
      </c>
      <c r="B402" s="122" t="str">
        <f>VLOOKUP(A402,[1]INDICE!$A$4:$G$1000,2,0)</f>
        <v>BUCHA DE NYLON S-8</v>
      </c>
      <c r="C402" s="160" t="str">
        <f>VLOOKUP(A402,[1]INDICE!$A$4:$G$1000,3,0)</f>
        <v>UN</v>
      </c>
      <c r="D402" s="122">
        <f>VLOOKUP(A402,[1]INDICE!$A$4:$G$1000,4,0)</f>
        <v>0.61807999999999996</v>
      </c>
      <c r="E402" s="122">
        <f>VLOOKUP(A402,[1]INDICE!$A$4:$G$1000,5,0)</f>
        <v>0.15</v>
      </c>
      <c r="F402" s="122">
        <f>VLOOKUP(A402,[1]INDICE!$A$4:$G$1000,6,0)</f>
        <v>0</v>
      </c>
      <c r="G402" s="122">
        <f>VLOOKUP(A402,[1]INDICE!$A$4:$G$1000,7,0)</f>
        <v>0.76807999999999998</v>
      </c>
      <c r="H402" s="116" t="b">
        <f>A402=[2]INDFILTRO!A402</f>
        <v>0</v>
      </c>
      <c r="I402" s="113" t="b">
        <f>B402=[3]INDFILTRO!B401</f>
        <v>0</v>
      </c>
      <c r="J402" s="113" t="b">
        <f>E402=[2]INDFILTRO!E402</f>
        <v>0</v>
      </c>
      <c r="K402" s="113" t="b">
        <f>F402=[2]INDFILTRO!F402</f>
        <v>1</v>
      </c>
      <c r="M402" s="124">
        <f t="shared" si="19"/>
        <v>857</v>
      </c>
      <c r="R402" s="253" t="b">
        <f t="shared" si="18"/>
        <v>1</v>
      </c>
      <c r="S402" s="253"/>
      <c r="T402" s="253"/>
    </row>
    <row r="403" spans="1:239" s="113" customFormat="1" ht="22.5">
      <c r="A403" s="121">
        <v>858</v>
      </c>
      <c r="B403" s="122" t="str">
        <f>VLOOKUP(A403,[1]INDICE!$A$4:$G$1000,2,0)</f>
        <v>PERFURAÇÃO DE POÇO TUBULAR PROFUNDO (INCLUSO OUTORGA, TESTE DE VAZÃO, ANÁLISE FÍSICO-QUÍMICA, CONFORME PROJETO, PARA VAZÃO 12 M3/H, ATÉ 100M DE PROFUNDIDADE)</v>
      </c>
      <c r="C403" s="160" t="str">
        <f>VLOOKUP(A403,[1]INDICE!$A$4:$G$1000,3,0)</f>
        <v>M</v>
      </c>
      <c r="D403" s="122">
        <f>VLOOKUP(A403,[1]INDICE!$A$4:$G$1000,4,0)</f>
        <v>8.8385439999999988</v>
      </c>
      <c r="E403" s="122">
        <f>VLOOKUP(A403,[1]INDICE!$A$4:$G$1000,5,0)</f>
        <v>415.05997666666656</v>
      </c>
      <c r="F403" s="122">
        <f>VLOOKUP(A403,[1]INDICE!$A$4:$G$1000,6,0)</f>
        <v>0</v>
      </c>
      <c r="G403" s="122">
        <f>VLOOKUP(A403,[1]INDICE!$A$4:$G$1000,7,0)</f>
        <v>423.89852066666657</v>
      </c>
      <c r="H403" s="116" t="b">
        <f>A403=[2]INDFILTRO!A403</f>
        <v>0</v>
      </c>
      <c r="I403" s="113" t="b">
        <f>B403=[3]INDFILTRO!B402</f>
        <v>0</v>
      </c>
      <c r="J403" s="113" t="b">
        <f>E403=[2]INDFILTRO!E403</f>
        <v>0</v>
      </c>
      <c r="K403" s="113" t="b">
        <f>F403=[2]INDFILTRO!F403</f>
        <v>1</v>
      </c>
      <c r="M403" s="124">
        <f t="shared" si="19"/>
        <v>858</v>
      </c>
      <c r="R403" s="253" t="b">
        <f t="shared" si="18"/>
        <v>1</v>
      </c>
      <c r="S403" s="253"/>
      <c r="T403" s="253"/>
    </row>
    <row r="404" spans="1:239" s="113" customFormat="1" ht="11.25">
      <c r="A404" s="121">
        <v>859</v>
      </c>
      <c r="B404" s="122" t="str">
        <f>VLOOKUP(A404,[1]INDICE!$A$4:$G$1000,2,0)</f>
        <v>REGUA COM 12 TOMADAS</v>
      </c>
      <c r="C404" s="160" t="str">
        <f>VLOOKUP(A404,[1]INDICE!$A$4:$G$1000,3,0)</f>
        <v>UN</v>
      </c>
      <c r="D404" s="122">
        <f>VLOOKUP(A404,[1]INDICE!$A$4:$G$1000,4,0)</f>
        <v>3.863</v>
      </c>
      <c r="E404" s="122">
        <f>VLOOKUP(A404,[1]INDICE!$A$4:$G$1000,5,0)</f>
        <v>130.15</v>
      </c>
      <c r="F404" s="122">
        <f>VLOOKUP(A404,[1]INDICE!$A$4:$G$1000,6,0)</f>
        <v>0</v>
      </c>
      <c r="G404" s="122">
        <f>VLOOKUP(A404,[1]INDICE!$A$4:$G$1000,7,0)</f>
        <v>134.01300000000001</v>
      </c>
      <c r="H404" s="116" t="b">
        <f>A404=[2]INDFILTRO!A404</f>
        <v>0</v>
      </c>
      <c r="I404" s="113" t="b">
        <f>B404=[3]INDFILTRO!B403</f>
        <v>0</v>
      </c>
      <c r="J404" s="113" t="b">
        <f>E404=[2]INDFILTRO!E404</f>
        <v>0</v>
      </c>
      <c r="K404" s="113" t="b">
        <f>F404=[2]INDFILTRO!F404</f>
        <v>1</v>
      </c>
      <c r="M404" s="124">
        <f t="shared" si="19"/>
        <v>859</v>
      </c>
      <c r="R404" s="253" t="b">
        <f t="shared" si="18"/>
        <v>1</v>
      </c>
      <c r="S404" s="253"/>
      <c r="T404" s="253"/>
    </row>
    <row r="405" spans="1:239" s="113" customFormat="1" ht="11.25">
      <c r="A405" s="121">
        <v>860</v>
      </c>
      <c r="B405" s="122" t="str">
        <f>VLOOKUP(A405,[1]INDICE!$A$4:$G$1000,2,0)</f>
        <v>RACK FECHADO DE PISO COM PORTA EM ACRÍLICO - 24 U´S</v>
      </c>
      <c r="C405" s="160" t="str">
        <f>VLOOKUP(A405,[1]INDICE!$A$4:$G$1000,3,0)</f>
        <v>UN</v>
      </c>
      <c r="D405" s="122">
        <f>VLOOKUP(A405,[1]INDICE!$A$4:$G$1000,4,0)</f>
        <v>3.2178789999999999</v>
      </c>
      <c r="E405" s="122">
        <f>VLOOKUP(A405,[1]INDICE!$A$4:$G$1000,5,0)</f>
        <v>16.25</v>
      </c>
      <c r="F405" s="122">
        <f>VLOOKUP(A405,[1]INDICE!$A$4:$G$1000,6,0)</f>
        <v>0</v>
      </c>
      <c r="G405" s="122">
        <f>VLOOKUP(A405,[1]INDICE!$A$4:$G$1000,7,0)</f>
        <v>19.467879</v>
      </c>
      <c r="H405" s="116" t="b">
        <f>A405=[2]INDFILTRO!A405</f>
        <v>0</v>
      </c>
      <c r="I405" s="113" t="b">
        <f>B405=[3]INDFILTRO!B404</f>
        <v>0</v>
      </c>
      <c r="J405" s="113" t="b">
        <f>E405=[2]INDFILTRO!E405</f>
        <v>0</v>
      </c>
      <c r="K405" s="113" t="b">
        <f>F405=[2]INDFILTRO!F405</f>
        <v>1</v>
      </c>
      <c r="M405" s="124">
        <f t="shared" si="19"/>
        <v>860</v>
      </c>
      <c r="R405" s="253" t="b">
        <f t="shared" si="18"/>
        <v>1</v>
      </c>
      <c r="S405" s="253"/>
      <c r="T405" s="253"/>
    </row>
    <row r="406" spans="1:239" s="113" customFormat="1" ht="11.25">
      <c r="A406" s="121">
        <v>861</v>
      </c>
      <c r="B406" s="122" t="str">
        <f>VLOOKUP(A406,[1]INDICE!$A$4:$G$1000,2,0)</f>
        <v>TOMADA PARA ANTENA DE TV, SEM CAIXA, INCLUSIVE CONECTOR EMENDA PARA CABO COAXIAL</v>
      </c>
      <c r="C406" s="160" t="str">
        <f>VLOOKUP(A406,[1]INDICE!$A$4:$G$1000,3,0)</f>
        <v>UN</v>
      </c>
      <c r="D406" s="122">
        <f>VLOOKUP(A406,[1]INDICE!$A$4:$G$1000,4,0)</f>
        <v>6.5670000000000002</v>
      </c>
      <c r="E406" s="122">
        <f>VLOOKUP(A406,[1]INDICE!$A$4:$G$1000,5,0)</f>
        <v>9.94</v>
      </c>
      <c r="F406" s="122">
        <f>VLOOKUP(A406,[1]INDICE!$A$4:$G$1000,6,0)</f>
        <v>0</v>
      </c>
      <c r="G406" s="122">
        <f>VLOOKUP(A406,[1]INDICE!$A$4:$G$1000,7,0)</f>
        <v>16.506999999999998</v>
      </c>
      <c r="H406" s="116" t="b">
        <f>A406=[2]INDFILTRO!A406</f>
        <v>0</v>
      </c>
      <c r="I406" s="113" t="b">
        <f>B406=[3]INDFILTRO!B405</f>
        <v>0</v>
      </c>
      <c r="J406" s="113" t="b">
        <f>E406=[2]INDFILTRO!E406</f>
        <v>0</v>
      </c>
      <c r="K406" s="113" t="b">
        <f>F406=[2]INDFILTRO!F406</f>
        <v>1</v>
      </c>
      <c r="M406" s="124">
        <f t="shared" si="19"/>
        <v>861</v>
      </c>
      <c r="R406" s="253" t="b">
        <f t="shared" si="18"/>
        <v>1</v>
      </c>
      <c r="S406" s="253"/>
      <c r="T406" s="253"/>
    </row>
    <row r="407" spans="1:239" s="113" customFormat="1" ht="11.25">
      <c r="A407" s="121">
        <v>862</v>
      </c>
      <c r="B407" s="122" t="str">
        <f>VLOOKUP(A407,[1]INDICE!$A$4:$G$1000,2,0)</f>
        <v>FIXA CABO R - 130 - REF.184-07 - Z ( FIXA CABO -Z0 )</v>
      </c>
      <c r="C407" s="160" t="str">
        <f>VLOOKUP(A407,[1]INDICE!$A$4:$G$1000,3,0)</f>
        <v>UN</v>
      </c>
      <c r="D407" s="122">
        <f>VLOOKUP(A407,[1]INDICE!$A$4:$G$1000,4,0)</f>
        <v>3.863</v>
      </c>
      <c r="E407" s="122">
        <f>VLOOKUP(A407,[1]INDICE!$A$4:$G$1000,5,0)</f>
        <v>6.67</v>
      </c>
      <c r="F407" s="122">
        <f>VLOOKUP(A407,[1]INDICE!$A$4:$G$1000,6,0)</f>
        <v>0</v>
      </c>
      <c r="G407" s="122">
        <f>VLOOKUP(A407,[1]INDICE!$A$4:$G$1000,7,0)</f>
        <v>10.532999999999999</v>
      </c>
      <c r="H407" s="116" t="b">
        <f>A407=[2]INDFILTRO!A407</f>
        <v>0</v>
      </c>
      <c r="I407" s="113" t="b">
        <f>B407=[3]INDFILTRO!B406</f>
        <v>0</v>
      </c>
      <c r="J407" s="113" t="b">
        <f>E407=[2]INDFILTRO!E407</f>
        <v>0</v>
      </c>
      <c r="K407" s="113" t="b">
        <f>F407=[2]INDFILTRO!F407</f>
        <v>1</v>
      </c>
      <c r="M407" s="124">
        <f t="shared" si="19"/>
        <v>862</v>
      </c>
      <c r="R407" s="253" t="b">
        <f t="shared" si="18"/>
        <v>1</v>
      </c>
      <c r="S407" s="253"/>
      <c r="T407" s="253"/>
    </row>
    <row r="408" spans="1:239" s="113" customFormat="1" ht="11.25">
      <c r="A408" s="121">
        <v>864</v>
      </c>
      <c r="B408" s="122" t="str">
        <f>VLOOKUP(A408,[1]INDICE!$A$4:$G$1000,2,0)</f>
        <v>BANDEJA PARA RACK 19", DESLIZANTE, PERFURADA, 400MM DE PROFUNDIDADE</v>
      </c>
      <c r="C408" s="160" t="str">
        <f>VLOOKUP(A408,[1]INDICE!$A$4:$G$1000,3,0)</f>
        <v>UN</v>
      </c>
      <c r="D408" s="122">
        <f>VLOOKUP(A408,[1]INDICE!$A$4:$G$1000,4,0)</f>
        <v>7.726</v>
      </c>
      <c r="E408" s="122">
        <f>VLOOKUP(A408,[1]INDICE!$A$4:$G$1000,5,0)</f>
        <v>150.52000000000001</v>
      </c>
      <c r="F408" s="122">
        <f>VLOOKUP(A408,[1]INDICE!$A$4:$G$1000,6,0)</f>
        <v>0</v>
      </c>
      <c r="G408" s="122">
        <f>VLOOKUP(A408,[1]INDICE!$A$4:$G$1000,7,0)</f>
        <v>158.24600000000001</v>
      </c>
      <c r="H408" s="116" t="b">
        <f>A408=[2]INDFILTRO!A408</f>
        <v>0</v>
      </c>
      <c r="I408" s="113" t="b">
        <f>B408=[3]INDFILTRO!B407</f>
        <v>0</v>
      </c>
      <c r="J408" s="113" t="b">
        <f>E408=[2]INDFILTRO!E408</f>
        <v>0</v>
      </c>
      <c r="K408" s="113" t="b">
        <f>F408=[2]INDFILTRO!F408</f>
        <v>1</v>
      </c>
      <c r="M408" s="124">
        <f t="shared" si="19"/>
        <v>864</v>
      </c>
      <c r="R408" s="253" t="b">
        <f t="shared" si="18"/>
        <v>1</v>
      </c>
      <c r="S408" s="253"/>
      <c r="T408" s="253"/>
    </row>
    <row r="409" spans="1:239" ht="11.25">
      <c r="A409" s="121">
        <v>868</v>
      </c>
      <c r="B409" s="122" t="str">
        <f>VLOOKUP(A409,[1]INDICE!$A$4:$G$1000,2,0)</f>
        <v>ISOLADOR DE PORCELANA, TIPO PINO MONOCORPO, PARA TENSAO DE *15* KV</v>
      </c>
      <c r="C409" s="160" t="str">
        <f>VLOOKUP(A409,[1]INDICE!$A$4:$G$1000,3,0)</f>
        <v>UN</v>
      </c>
      <c r="D409" s="122">
        <f>VLOOKUP(A409,[1]INDICE!$A$4:$G$1000,4,0)</f>
        <v>7.4</v>
      </c>
      <c r="E409" s="122">
        <f>VLOOKUP(A409,[1]INDICE!$A$4:$G$1000,5,0)</f>
        <v>20.18</v>
      </c>
      <c r="F409" s="122">
        <f>VLOOKUP(A409,[1]INDICE!$A$4:$G$1000,6,0)</f>
        <v>0</v>
      </c>
      <c r="G409" s="122">
        <f>VLOOKUP(A409,[1]INDICE!$A$4:$G$1000,7,0)</f>
        <v>27.58</v>
      </c>
      <c r="R409" s="253" t="b">
        <f t="shared" si="18"/>
        <v>1</v>
      </c>
      <c r="S409" s="253"/>
      <c r="T409" s="253"/>
    </row>
    <row r="410" spans="1:239" ht="11.25">
      <c r="A410" s="121">
        <v>869</v>
      </c>
      <c r="B410" s="122" t="str">
        <f>VLOOKUP(A410,[1]INDICE!$A$4:$G$1000,2,0)</f>
        <v>PATCH PANEL 12 PORTAS, CATEGORIA 5E - FORNECIMENTO E INSTALAÇÃO. AF_11/2020</v>
      </c>
      <c r="C410" s="160" t="str">
        <f>VLOOKUP(A410,[1]INDICE!$A$4:$G$1000,3,0)</f>
        <v>UN</v>
      </c>
      <c r="D410" s="122">
        <f>VLOOKUP(A410,[1]INDICE!$A$4:$G$1000,4,0)</f>
        <v>239.53304100000003</v>
      </c>
      <c r="E410" s="122">
        <f>VLOOKUP(A410,[1]INDICE!$A$4:$G$1000,5,0)</f>
        <v>129.88999999999999</v>
      </c>
      <c r="F410" s="122">
        <f>VLOOKUP(A410,[1]INDICE!$A$4:$G$1000,6,0)</f>
        <v>0</v>
      </c>
      <c r="G410" s="122">
        <f>VLOOKUP(A410,[1]INDICE!$A$4:$G$1000,7,0)</f>
        <v>369.42304100000001</v>
      </c>
      <c r="R410" s="253" t="b">
        <f t="shared" si="18"/>
        <v>1</v>
      </c>
      <c r="S410" s="253"/>
      <c r="T410" s="253"/>
    </row>
    <row r="411" spans="1:239" ht="11.25">
      <c r="A411" s="121">
        <v>870</v>
      </c>
      <c r="B411" s="122" t="str">
        <f>VLOOKUP(A411,[1]INDICE!$A$4:$G$1000,2,0)</f>
        <v>ANDAIME METALICO TORRE (ALUGUEL/MES)</v>
      </c>
      <c r="C411" s="160" t="str">
        <f>VLOOKUP(A411,[1]INDICE!$A$4:$G$1000,3,0)</f>
        <v>M</v>
      </c>
      <c r="D411" s="122">
        <f>VLOOKUP(A411,[1]INDICE!$A$4:$G$1000,4,0)</f>
        <v>3.6238000000000001</v>
      </c>
      <c r="E411" s="122">
        <f>VLOOKUP(A411,[1]INDICE!$A$4:$G$1000,5,0)</f>
        <v>12</v>
      </c>
      <c r="F411" s="122">
        <f>VLOOKUP(A411,[1]INDICE!$A$4:$G$1000,6,0)</f>
        <v>0</v>
      </c>
      <c r="G411" s="122">
        <f>VLOOKUP(A411,[1]INDICE!$A$4:$G$1000,7,0)</f>
        <v>15.623799999999999</v>
      </c>
      <c r="R411" s="253" t="b">
        <f t="shared" si="18"/>
        <v>1</v>
      </c>
      <c r="S411" s="253"/>
      <c r="T411" s="253"/>
    </row>
    <row r="412" spans="1:239" ht="11.25">
      <c r="A412" s="121">
        <v>872</v>
      </c>
      <c r="B412" s="122" t="str">
        <f>VLOOKUP(A412,[1]INDICE!$A$4:$G$1000,2,0)</f>
        <v>CONDULETE PARA PONTO DE SOM NO TETO</v>
      </c>
      <c r="C412" s="160" t="str">
        <f>VLOOKUP(A412,[1]INDICE!$A$4:$G$1000,3,0)</f>
        <v>UN</v>
      </c>
      <c r="D412" s="122">
        <f>VLOOKUP(A412,[1]INDICE!$A$4:$G$1000,4,0)</f>
        <v>13.1342</v>
      </c>
      <c r="E412" s="122">
        <f>VLOOKUP(A412,[1]INDICE!$A$4:$G$1000,5,0)</f>
        <v>4.71</v>
      </c>
      <c r="F412" s="122">
        <f>VLOOKUP(A412,[1]INDICE!$A$4:$G$1000,6,0)</f>
        <v>0</v>
      </c>
      <c r="G412" s="122">
        <f>VLOOKUP(A412,[1]INDICE!$A$4:$G$1000,7,0)</f>
        <v>17.844200000000001</v>
      </c>
      <c r="R412" s="253" t="b">
        <f t="shared" si="18"/>
        <v>1</v>
      </c>
      <c r="S412" s="253"/>
      <c r="T412" s="253"/>
    </row>
    <row r="413" spans="1:239" ht="11.25">
      <c r="A413" s="121">
        <v>873</v>
      </c>
      <c r="B413" s="122" t="str">
        <f>VLOOKUP(A413,[1]INDICE!$A$4:$G$1000,2,0)</f>
        <v>CONDULETE PARA PONTO DE CÂMERA</v>
      </c>
      <c r="C413" s="160" t="str">
        <f>VLOOKUP(A413,[1]INDICE!$A$4:$G$1000,3,0)</f>
        <v>UN</v>
      </c>
      <c r="D413" s="122">
        <f>VLOOKUP(A413,[1]INDICE!$A$4:$G$1000,4,0)</f>
        <v>13.1342</v>
      </c>
      <c r="E413" s="122">
        <f>VLOOKUP(A413,[1]INDICE!$A$4:$G$1000,5,0)</f>
        <v>4.71</v>
      </c>
      <c r="F413" s="122">
        <f>VLOOKUP(A413,[1]INDICE!$A$4:$G$1000,6,0)</f>
        <v>0</v>
      </c>
      <c r="G413" s="122">
        <f>VLOOKUP(A413,[1]INDICE!$A$4:$G$1000,7,0)</f>
        <v>17.844200000000001</v>
      </c>
      <c r="R413" s="253" t="b">
        <f t="shared" si="18"/>
        <v>1</v>
      </c>
      <c r="S413" s="253"/>
      <c r="T413" s="253"/>
    </row>
    <row r="414" spans="1:239" ht="22.5">
      <c r="A414" s="121">
        <v>875</v>
      </c>
      <c r="B414" s="122" t="str">
        <f>VLOOKUP(A414,[1]INDICE!$A$4:$G$1000,2,0)</f>
        <v>TERMINAL PARA RODAPÉ PRÉ-ZINCADO R-130 DA MOPA OU EQUIVALENTE DE MESMO PADRÃO DE QUALIDADE</v>
      </c>
      <c r="C414" s="160" t="str">
        <f>VLOOKUP(A414,[1]INDICE!$A$4:$G$1000,3,0)</f>
        <v>UN</v>
      </c>
      <c r="D414" s="122">
        <f>VLOOKUP(A414,[1]INDICE!$A$4:$G$1000,4,0)</f>
        <v>3.863</v>
      </c>
      <c r="E414" s="122">
        <f>VLOOKUP(A414,[1]INDICE!$A$4:$G$1000,5,0)</f>
        <v>11.15</v>
      </c>
      <c r="F414" s="122">
        <f>VLOOKUP(A414,[1]INDICE!$A$4:$G$1000,6,0)</f>
        <v>0</v>
      </c>
      <c r="G414" s="122">
        <f>VLOOKUP(A414,[1]INDICE!$A$4:$G$1000,7,0)</f>
        <v>15.013</v>
      </c>
      <c r="R414" s="253" t="b">
        <f t="shared" si="18"/>
        <v>1</v>
      </c>
      <c r="S414" s="253"/>
      <c r="T414" s="253"/>
    </row>
    <row r="415" spans="1:239" ht="11.25">
      <c r="A415" s="121">
        <v>876</v>
      </c>
      <c r="B415" s="122" t="str">
        <f>VLOOKUP(A415,[1]INDICE!$A$4:$G$1000,2,0)</f>
        <v>SUPORTE PARA BLOCOS 110-19" 1U</v>
      </c>
      <c r="C415" s="160" t="str">
        <f>VLOOKUP(A415,[1]INDICE!$A$4:$G$1000,3,0)</f>
        <v>UN</v>
      </c>
      <c r="D415" s="122">
        <f>VLOOKUP(A415,[1]INDICE!$A$4:$G$1000,4,0)</f>
        <v>11.588999999999999</v>
      </c>
      <c r="E415" s="122">
        <f>VLOOKUP(A415,[1]INDICE!$A$4:$G$1000,5,0)</f>
        <v>238.79</v>
      </c>
      <c r="F415" s="122">
        <f>VLOOKUP(A415,[1]INDICE!$A$4:$G$1000,6,0)</f>
        <v>0</v>
      </c>
      <c r="G415" s="122">
        <f>VLOOKUP(A415,[1]INDICE!$A$4:$G$1000,7,0)</f>
        <v>250.37899999999999</v>
      </c>
      <c r="H415" s="253"/>
      <c r="I415" s="253"/>
      <c r="J415" s="253"/>
      <c r="K415" s="253"/>
      <c r="L415" s="253"/>
      <c r="M415" s="253"/>
      <c r="N415" s="253"/>
      <c r="O415" s="253"/>
      <c r="P415" s="253"/>
      <c r="Q415" s="253"/>
      <c r="R415" s="253" t="b">
        <f t="shared" si="18"/>
        <v>1</v>
      </c>
      <c r="S415" s="253"/>
      <c r="T415" s="253"/>
      <c r="U415" s="253"/>
      <c r="V415" s="253"/>
      <c r="W415" s="253"/>
      <c r="X415" s="253"/>
      <c r="Y415" s="253"/>
      <c r="Z415" s="253"/>
      <c r="AA415" s="253"/>
      <c r="AB415" s="253"/>
      <c r="AC415" s="253"/>
      <c r="AD415" s="253"/>
      <c r="AE415" s="253"/>
      <c r="AF415" s="253"/>
      <c r="AG415" s="253"/>
      <c r="AH415" s="253"/>
      <c r="AI415" s="253"/>
      <c r="AJ415" s="253"/>
      <c r="AK415" s="253"/>
      <c r="AL415" s="253"/>
      <c r="AM415" s="253"/>
      <c r="AN415" s="253"/>
      <c r="AO415" s="253"/>
      <c r="AP415" s="253"/>
      <c r="AQ415" s="253"/>
      <c r="AR415" s="253"/>
      <c r="AS415" s="253"/>
      <c r="AT415" s="253"/>
      <c r="AU415" s="253"/>
      <c r="AV415" s="253"/>
      <c r="AW415" s="253"/>
      <c r="AX415" s="253"/>
      <c r="AY415" s="253"/>
      <c r="AZ415" s="253"/>
      <c r="BA415" s="253"/>
      <c r="BB415" s="253"/>
      <c r="BC415" s="253"/>
      <c r="BD415" s="253"/>
      <c r="BE415" s="253"/>
      <c r="BF415" s="253"/>
      <c r="BG415" s="253"/>
      <c r="BH415" s="253"/>
      <c r="BI415" s="253"/>
      <c r="BJ415" s="253"/>
      <c r="BK415" s="253"/>
      <c r="BL415" s="253"/>
      <c r="BM415" s="253"/>
      <c r="BN415" s="253"/>
      <c r="BO415" s="253"/>
      <c r="BP415" s="253"/>
      <c r="BQ415" s="253"/>
      <c r="BR415" s="253"/>
      <c r="BS415" s="253"/>
      <c r="BT415" s="253"/>
      <c r="BU415" s="253"/>
      <c r="BV415" s="253"/>
      <c r="BW415" s="253"/>
      <c r="BX415" s="253"/>
      <c r="BY415" s="253"/>
      <c r="BZ415" s="253"/>
      <c r="CA415" s="253"/>
      <c r="CB415" s="253"/>
      <c r="CC415" s="253"/>
      <c r="CD415" s="253"/>
      <c r="CE415" s="253"/>
      <c r="CF415" s="253"/>
      <c r="CG415" s="253"/>
      <c r="CH415" s="253"/>
      <c r="CI415" s="253"/>
      <c r="CJ415" s="253"/>
      <c r="CK415" s="253"/>
      <c r="CL415" s="253"/>
      <c r="CM415" s="253"/>
      <c r="CN415" s="253"/>
      <c r="CO415" s="253"/>
      <c r="CP415" s="253"/>
      <c r="CQ415" s="253"/>
      <c r="CR415" s="253"/>
      <c r="CS415" s="253"/>
      <c r="CT415" s="253"/>
      <c r="CU415" s="253"/>
      <c r="CV415" s="253"/>
      <c r="CW415" s="253"/>
      <c r="CX415" s="253"/>
      <c r="CY415" s="253"/>
      <c r="CZ415" s="253"/>
      <c r="DA415" s="253"/>
      <c r="DB415" s="253"/>
      <c r="DC415" s="253"/>
      <c r="DD415" s="253"/>
      <c r="DE415" s="253"/>
      <c r="DF415" s="253"/>
      <c r="DG415" s="253"/>
      <c r="DH415" s="253"/>
      <c r="DI415" s="253"/>
      <c r="DJ415" s="253"/>
      <c r="DK415" s="253"/>
      <c r="DL415" s="253"/>
      <c r="DM415" s="253"/>
      <c r="DN415" s="253"/>
      <c r="DO415" s="253"/>
      <c r="DP415" s="253"/>
      <c r="DQ415" s="253"/>
      <c r="DR415" s="253"/>
      <c r="DS415" s="253"/>
      <c r="DT415" s="253"/>
      <c r="DU415" s="253"/>
      <c r="DV415" s="253"/>
      <c r="DW415" s="253"/>
      <c r="DX415" s="253"/>
      <c r="DY415" s="253"/>
      <c r="DZ415" s="253"/>
      <c r="EA415" s="253"/>
      <c r="EB415" s="253"/>
      <c r="EC415" s="253"/>
      <c r="ED415" s="253"/>
      <c r="EE415" s="253"/>
      <c r="EF415" s="253"/>
      <c r="EG415" s="253"/>
      <c r="EH415" s="253"/>
      <c r="EI415" s="253"/>
      <c r="EJ415" s="253"/>
      <c r="EK415" s="253"/>
      <c r="EL415" s="253"/>
      <c r="EM415" s="253"/>
      <c r="EN415" s="253"/>
      <c r="EO415" s="253"/>
      <c r="EP415" s="253"/>
      <c r="EQ415" s="253"/>
      <c r="ER415" s="253"/>
      <c r="ES415" s="253"/>
      <c r="ET415" s="253"/>
      <c r="EU415" s="253"/>
      <c r="EV415" s="253"/>
      <c r="EW415" s="253"/>
      <c r="EX415" s="253"/>
      <c r="EY415" s="253"/>
      <c r="EZ415" s="253"/>
      <c r="FA415" s="253"/>
      <c r="FB415" s="253"/>
      <c r="FC415" s="253"/>
      <c r="FD415" s="253"/>
      <c r="FE415" s="253"/>
      <c r="FF415" s="253"/>
      <c r="FG415" s="253"/>
      <c r="FH415" s="253"/>
      <c r="FI415" s="253"/>
      <c r="FJ415" s="253"/>
      <c r="FK415" s="253"/>
      <c r="FL415" s="253"/>
      <c r="FM415" s="253"/>
      <c r="FN415" s="253"/>
      <c r="FO415" s="253"/>
      <c r="FP415" s="253"/>
      <c r="FQ415" s="253"/>
      <c r="FR415" s="253"/>
      <c r="FS415" s="253"/>
      <c r="FT415" s="253"/>
      <c r="FU415" s="253"/>
      <c r="FV415" s="253"/>
      <c r="FW415" s="253"/>
      <c r="FX415" s="253"/>
      <c r="FY415" s="253"/>
      <c r="FZ415" s="253"/>
      <c r="GA415" s="253"/>
      <c r="GB415" s="253"/>
      <c r="GC415" s="253"/>
      <c r="GD415" s="253"/>
      <c r="GE415" s="253"/>
      <c r="GF415" s="253"/>
      <c r="GG415" s="253"/>
      <c r="GH415" s="253"/>
      <c r="GI415" s="253"/>
      <c r="GJ415" s="253"/>
      <c r="GK415" s="253"/>
      <c r="GL415" s="253"/>
      <c r="GM415" s="253"/>
      <c r="GN415" s="253"/>
      <c r="GO415" s="253"/>
      <c r="GP415" s="253"/>
      <c r="GQ415" s="253"/>
      <c r="GR415" s="253"/>
      <c r="GS415" s="253"/>
      <c r="GT415" s="253"/>
      <c r="GU415" s="253"/>
      <c r="GV415" s="253"/>
      <c r="GW415" s="253"/>
      <c r="GX415" s="253"/>
      <c r="GY415" s="253"/>
      <c r="GZ415" s="253"/>
      <c r="HA415" s="253"/>
      <c r="HB415" s="253"/>
      <c r="HC415" s="253"/>
      <c r="HD415" s="253"/>
      <c r="HE415" s="253"/>
      <c r="HF415" s="253"/>
      <c r="HG415" s="253"/>
      <c r="HH415" s="253"/>
      <c r="HI415" s="253"/>
      <c r="HJ415" s="253"/>
      <c r="HK415" s="253"/>
      <c r="HL415" s="253"/>
      <c r="HM415" s="253"/>
      <c r="HN415" s="253"/>
      <c r="HO415" s="253"/>
      <c r="HP415" s="253"/>
      <c r="HQ415" s="253"/>
      <c r="HR415" s="253"/>
      <c r="HS415" s="253"/>
      <c r="HT415" s="253"/>
      <c r="HU415" s="253"/>
      <c r="HV415" s="253"/>
      <c r="HW415" s="253"/>
      <c r="HX415" s="253"/>
      <c r="HY415" s="253"/>
      <c r="HZ415" s="253"/>
      <c r="IA415" s="253"/>
      <c r="IB415" s="253"/>
      <c r="IC415" s="253"/>
      <c r="ID415" s="253"/>
      <c r="IE415" s="253"/>
    </row>
    <row r="416" spans="1:239" ht="11.25">
      <c r="A416" s="121">
        <v>878</v>
      </c>
      <c r="B416" s="122" t="str">
        <f>VLOOKUP(A416,[1]INDICE!$A$4:$G$1000,2,0)</f>
        <v>TAMPA P/ TOMADA / INTERRUPTOR RJ-45 KRONE</v>
      </c>
      <c r="C416" s="160" t="str">
        <f>VLOOKUP(A416,[1]INDICE!$A$4:$G$1000,3,0)</f>
        <v>UN</v>
      </c>
      <c r="D416" s="122">
        <f>VLOOKUP(A416,[1]INDICE!$A$4:$G$1000,4,0)</f>
        <v>1.1589</v>
      </c>
      <c r="E416" s="122">
        <f>VLOOKUP(A416,[1]INDICE!$A$4:$G$1000,5,0)</f>
        <v>1.53</v>
      </c>
      <c r="F416" s="122">
        <f>VLOOKUP(A416,[1]INDICE!$A$4:$G$1000,6,0)</f>
        <v>0</v>
      </c>
      <c r="G416" s="122">
        <f>VLOOKUP(A416,[1]INDICE!$A$4:$G$1000,7,0)</f>
        <v>2.6889000000000003</v>
      </c>
      <c r="H416" s="253"/>
      <c r="I416" s="253"/>
      <c r="J416" s="253"/>
      <c r="K416" s="253"/>
      <c r="L416" s="253"/>
      <c r="M416" s="253"/>
      <c r="N416" s="253"/>
      <c r="O416" s="253"/>
      <c r="P416" s="253"/>
      <c r="Q416" s="253"/>
      <c r="R416" s="253" t="b">
        <f t="shared" si="18"/>
        <v>1</v>
      </c>
      <c r="S416" s="253"/>
      <c r="T416" s="253"/>
      <c r="U416" s="253"/>
      <c r="V416" s="253"/>
      <c r="W416" s="253"/>
      <c r="X416" s="253"/>
      <c r="Y416" s="253"/>
      <c r="Z416" s="253"/>
      <c r="AA416" s="253"/>
      <c r="AB416" s="253"/>
      <c r="AC416" s="253"/>
      <c r="AD416" s="253"/>
      <c r="AE416" s="253"/>
      <c r="AF416" s="253"/>
      <c r="AG416" s="253"/>
      <c r="AH416" s="253"/>
      <c r="AI416" s="253"/>
      <c r="AJ416" s="253"/>
      <c r="AK416" s="253"/>
      <c r="AL416" s="253"/>
      <c r="AM416" s="253"/>
      <c r="AN416" s="253"/>
      <c r="AO416" s="253"/>
      <c r="AP416" s="253"/>
      <c r="AQ416" s="253"/>
      <c r="AR416" s="253"/>
      <c r="AS416" s="253"/>
      <c r="AT416" s="253"/>
      <c r="AU416" s="253"/>
      <c r="AV416" s="253"/>
      <c r="AW416" s="253"/>
      <c r="AX416" s="253"/>
      <c r="AY416" s="253"/>
      <c r="AZ416" s="253"/>
      <c r="BA416" s="253"/>
      <c r="BB416" s="253"/>
      <c r="BC416" s="253"/>
      <c r="BD416" s="253"/>
      <c r="BE416" s="253"/>
      <c r="BF416" s="253"/>
      <c r="BG416" s="253"/>
      <c r="BH416" s="253"/>
      <c r="BI416" s="253"/>
      <c r="BJ416" s="253"/>
      <c r="BK416" s="253"/>
      <c r="BL416" s="253"/>
      <c r="BM416" s="253"/>
      <c r="BN416" s="253"/>
      <c r="BO416" s="253"/>
      <c r="BP416" s="253"/>
      <c r="BQ416" s="253"/>
      <c r="BR416" s="253"/>
      <c r="BS416" s="253"/>
      <c r="BT416" s="253"/>
      <c r="BU416" s="253"/>
      <c r="BV416" s="253"/>
      <c r="BW416" s="253"/>
      <c r="BX416" s="253"/>
      <c r="BY416" s="253"/>
      <c r="BZ416" s="253"/>
      <c r="CA416" s="253"/>
      <c r="CB416" s="253"/>
      <c r="CC416" s="253"/>
      <c r="CD416" s="253"/>
      <c r="CE416" s="253"/>
      <c r="CF416" s="253"/>
      <c r="CG416" s="253"/>
      <c r="CH416" s="253"/>
      <c r="CI416" s="253"/>
      <c r="CJ416" s="253"/>
      <c r="CK416" s="253"/>
      <c r="CL416" s="253"/>
      <c r="CM416" s="253"/>
      <c r="CN416" s="253"/>
      <c r="CO416" s="253"/>
      <c r="CP416" s="253"/>
      <c r="CQ416" s="253"/>
      <c r="CR416" s="253"/>
      <c r="CS416" s="253"/>
      <c r="CT416" s="253"/>
      <c r="CU416" s="253"/>
      <c r="CV416" s="253"/>
      <c r="CW416" s="253"/>
      <c r="CX416" s="253"/>
      <c r="CY416" s="253"/>
      <c r="CZ416" s="253"/>
      <c r="DA416" s="253"/>
      <c r="DB416" s="253"/>
      <c r="DC416" s="253"/>
      <c r="DD416" s="253"/>
      <c r="DE416" s="253"/>
      <c r="DF416" s="253"/>
      <c r="DG416" s="253"/>
      <c r="DH416" s="253"/>
      <c r="DI416" s="253"/>
      <c r="DJ416" s="253"/>
      <c r="DK416" s="253"/>
      <c r="DL416" s="253"/>
      <c r="DM416" s="253"/>
      <c r="DN416" s="253"/>
      <c r="DO416" s="253"/>
      <c r="DP416" s="253"/>
      <c r="DQ416" s="253"/>
      <c r="DR416" s="253"/>
      <c r="DS416" s="253"/>
      <c r="DT416" s="253"/>
      <c r="DU416" s="253"/>
      <c r="DV416" s="253"/>
      <c r="DW416" s="253"/>
      <c r="DX416" s="253"/>
      <c r="DY416" s="253"/>
      <c r="DZ416" s="253"/>
      <c r="EA416" s="253"/>
      <c r="EB416" s="253"/>
      <c r="EC416" s="253"/>
      <c r="ED416" s="253"/>
      <c r="EE416" s="253"/>
      <c r="EF416" s="253"/>
      <c r="EG416" s="253"/>
      <c r="EH416" s="253"/>
      <c r="EI416" s="253"/>
      <c r="EJ416" s="253"/>
      <c r="EK416" s="253"/>
      <c r="EL416" s="253"/>
      <c r="EM416" s="253"/>
      <c r="EN416" s="253"/>
      <c r="EO416" s="253"/>
      <c r="EP416" s="253"/>
      <c r="EQ416" s="253"/>
      <c r="ER416" s="253"/>
      <c r="ES416" s="253"/>
      <c r="ET416" s="253"/>
      <c r="EU416" s="253"/>
      <c r="EV416" s="253"/>
      <c r="EW416" s="253"/>
      <c r="EX416" s="253"/>
      <c r="EY416" s="253"/>
      <c r="EZ416" s="253"/>
      <c r="FA416" s="253"/>
      <c r="FB416" s="253"/>
      <c r="FC416" s="253"/>
      <c r="FD416" s="253"/>
      <c r="FE416" s="253"/>
      <c r="FF416" s="253"/>
      <c r="FG416" s="253"/>
      <c r="FH416" s="253"/>
      <c r="FI416" s="253"/>
      <c r="FJ416" s="253"/>
      <c r="FK416" s="253"/>
      <c r="FL416" s="253"/>
      <c r="FM416" s="253"/>
      <c r="FN416" s="253"/>
      <c r="FO416" s="253"/>
      <c r="FP416" s="253"/>
      <c r="FQ416" s="253"/>
      <c r="FR416" s="253"/>
      <c r="FS416" s="253"/>
      <c r="FT416" s="253"/>
      <c r="FU416" s="253"/>
      <c r="FV416" s="253"/>
      <c r="FW416" s="253"/>
      <c r="FX416" s="253"/>
      <c r="FY416" s="253"/>
      <c r="FZ416" s="253"/>
      <c r="GA416" s="253"/>
      <c r="GB416" s="253"/>
      <c r="GC416" s="253"/>
      <c r="GD416" s="253"/>
      <c r="GE416" s="253"/>
      <c r="GF416" s="253"/>
      <c r="GG416" s="253"/>
      <c r="GH416" s="253"/>
      <c r="GI416" s="253"/>
      <c r="GJ416" s="253"/>
      <c r="GK416" s="253"/>
      <c r="GL416" s="253"/>
      <c r="GM416" s="253"/>
      <c r="GN416" s="253"/>
      <c r="GO416" s="253"/>
      <c r="GP416" s="253"/>
      <c r="GQ416" s="253"/>
      <c r="GR416" s="253"/>
      <c r="GS416" s="253"/>
      <c r="GT416" s="253"/>
      <c r="GU416" s="253"/>
      <c r="GV416" s="253"/>
      <c r="GW416" s="253"/>
      <c r="GX416" s="253"/>
      <c r="GY416" s="253"/>
      <c r="GZ416" s="253"/>
      <c r="HA416" s="253"/>
      <c r="HB416" s="253"/>
      <c r="HC416" s="253"/>
      <c r="HD416" s="253"/>
      <c r="HE416" s="253"/>
      <c r="HF416" s="253"/>
      <c r="HG416" s="253"/>
      <c r="HH416" s="253"/>
      <c r="HI416" s="253"/>
      <c r="HJ416" s="253"/>
      <c r="HK416" s="253"/>
      <c r="HL416" s="253"/>
      <c r="HM416" s="253"/>
      <c r="HN416" s="253"/>
      <c r="HO416" s="253"/>
      <c r="HP416" s="253"/>
      <c r="HQ416" s="253"/>
      <c r="HR416" s="253"/>
      <c r="HS416" s="253"/>
      <c r="HT416" s="253"/>
      <c r="HU416" s="253"/>
      <c r="HV416" s="253"/>
      <c r="HW416" s="253"/>
      <c r="HX416" s="253"/>
      <c r="HY416" s="253"/>
      <c r="HZ416" s="253"/>
      <c r="IA416" s="253"/>
      <c r="IB416" s="253"/>
      <c r="IC416" s="253"/>
      <c r="ID416" s="253"/>
      <c r="IE416" s="253"/>
    </row>
    <row r="417" spans="1:239" ht="22.5">
      <c r="A417" s="121">
        <v>879</v>
      </c>
      <c r="B417" s="122" t="str">
        <f>VLOOKUP(A417,[1]INDICE!$A$4:$G$1000,2,0)</f>
        <v>TAMPA PARA RODAPÉ 1000 MM R-130 DA MOPA OU EQUIVALENTE DE MESMO PADRÃO DE QUALIDADE</v>
      </c>
      <c r="C417" s="160" t="str">
        <f>VLOOKUP(A417,[1]INDICE!$A$4:$G$1000,3,0)</f>
        <v>M</v>
      </c>
      <c r="D417" s="122">
        <f>VLOOKUP(A417,[1]INDICE!$A$4:$G$1000,4,0)</f>
        <v>7.726</v>
      </c>
      <c r="E417" s="122">
        <f>VLOOKUP(A417,[1]INDICE!$A$4:$G$1000,5,0)</f>
        <v>86.11</v>
      </c>
      <c r="F417" s="122">
        <f>VLOOKUP(A417,[1]INDICE!$A$4:$G$1000,6,0)</f>
        <v>0</v>
      </c>
      <c r="G417" s="122">
        <f>VLOOKUP(A417,[1]INDICE!$A$4:$G$1000,7,0)</f>
        <v>93.835999999999999</v>
      </c>
      <c r="H417" s="253"/>
      <c r="I417" s="253"/>
      <c r="J417" s="253"/>
      <c r="K417" s="253"/>
      <c r="L417" s="253"/>
      <c r="M417" s="253"/>
      <c r="N417" s="253"/>
      <c r="O417" s="253"/>
      <c r="P417" s="253"/>
      <c r="Q417" s="253"/>
      <c r="R417" s="253" t="b">
        <f t="shared" si="18"/>
        <v>1</v>
      </c>
      <c r="S417" s="253"/>
      <c r="T417" s="253"/>
      <c r="U417" s="253"/>
      <c r="V417" s="253"/>
      <c r="W417" s="253"/>
      <c r="X417" s="253"/>
      <c r="Y417" s="253"/>
      <c r="Z417" s="253"/>
      <c r="AA417" s="253"/>
      <c r="AB417" s="253"/>
      <c r="AC417" s="253"/>
      <c r="AD417" s="253"/>
      <c r="AE417" s="253"/>
      <c r="AF417" s="253"/>
      <c r="AG417" s="253"/>
      <c r="AH417" s="253"/>
      <c r="AI417" s="253"/>
      <c r="AJ417" s="253"/>
      <c r="AK417" s="253"/>
      <c r="AL417" s="253"/>
      <c r="AM417" s="253"/>
      <c r="AN417" s="253"/>
      <c r="AO417" s="253"/>
      <c r="AP417" s="253"/>
      <c r="AQ417" s="253"/>
      <c r="AR417" s="253"/>
      <c r="AS417" s="253"/>
      <c r="AT417" s="253"/>
      <c r="AU417" s="253"/>
      <c r="AV417" s="253"/>
      <c r="AW417" s="253"/>
      <c r="AX417" s="253"/>
      <c r="AY417" s="253"/>
      <c r="AZ417" s="253"/>
      <c r="BA417" s="253"/>
      <c r="BB417" s="253"/>
      <c r="BC417" s="253"/>
      <c r="BD417" s="253"/>
      <c r="BE417" s="253"/>
      <c r="BF417" s="253"/>
      <c r="BG417" s="253"/>
      <c r="BH417" s="253"/>
      <c r="BI417" s="253"/>
      <c r="BJ417" s="253"/>
      <c r="BK417" s="253"/>
      <c r="BL417" s="253"/>
      <c r="BM417" s="253"/>
      <c r="BN417" s="253"/>
      <c r="BO417" s="253"/>
      <c r="BP417" s="253"/>
      <c r="BQ417" s="253"/>
      <c r="BR417" s="253"/>
      <c r="BS417" s="253"/>
      <c r="BT417" s="253"/>
      <c r="BU417" s="253"/>
      <c r="BV417" s="253"/>
      <c r="BW417" s="253"/>
      <c r="BX417" s="253"/>
      <c r="BY417" s="253"/>
      <c r="BZ417" s="253"/>
      <c r="CA417" s="253"/>
      <c r="CB417" s="253"/>
      <c r="CC417" s="253"/>
      <c r="CD417" s="253"/>
      <c r="CE417" s="253"/>
      <c r="CF417" s="253"/>
      <c r="CG417" s="253"/>
      <c r="CH417" s="253"/>
      <c r="CI417" s="253"/>
      <c r="CJ417" s="253"/>
      <c r="CK417" s="253"/>
      <c r="CL417" s="253"/>
      <c r="CM417" s="253"/>
      <c r="CN417" s="253"/>
      <c r="CO417" s="253"/>
      <c r="CP417" s="253"/>
      <c r="CQ417" s="253"/>
      <c r="CR417" s="253"/>
      <c r="CS417" s="253"/>
      <c r="CT417" s="253"/>
      <c r="CU417" s="253"/>
      <c r="CV417" s="253"/>
      <c r="CW417" s="253"/>
      <c r="CX417" s="253"/>
      <c r="CY417" s="253"/>
      <c r="CZ417" s="253"/>
      <c r="DA417" s="253"/>
      <c r="DB417" s="253"/>
      <c r="DC417" s="253"/>
      <c r="DD417" s="253"/>
      <c r="DE417" s="253"/>
      <c r="DF417" s="253"/>
      <c r="DG417" s="253"/>
      <c r="DH417" s="253"/>
      <c r="DI417" s="253"/>
      <c r="DJ417" s="253"/>
      <c r="DK417" s="253"/>
      <c r="DL417" s="253"/>
      <c r="DM417" s="253"/>
      <c r="DN417" s="253"/>
      <c r="DO417" s="253"/>
      <c r="DP417" s="253"/>
      <c r="DQ417" s="253"/>
      <c r="DR417" s="253"/>
      <c r="DS417" s="253"/>
      <c r="DT417" s="253"/>
      <c r="DU417" s="253"/>
      <c r="DV417" s="253"/>
      <c r="DW417" s="253"/>
      <c r="DX417" s="253"/>
      <c r="DY417" s="253"/>
      <c r="DZ417" s="253"/>
      <c r="EA417" s="253"/>
      <c r="EB417" s="253"/>
      <c r="EC417" s="253"/>
      <c r="ED417" s="253"/>
      <c r="EE417" s="253"/>
      <c r="EF417" s="253"/>
      <c r="EG417" s="253"/>
      <c r="EH417" s="253"/>
      <c r="EI417" s="253"/>
      <c r="EJ417" s="253"/>
      <c r="EK417" s="253"/>
      <c r="EL417" s="253"/>
      <c r="EM417" s="253"/>
      <c r="EN417" s="253"/>
      <c r="EO417" s="253"/>
      <c r="EP417" s="253"/>
      <c r="EQ417" s="253"/>
      <c r="ER417" s="253"/>
      <c r="ES417" s="253"/>
      <c r="ET417" s="253"/>
      <c r="EU417" s="253"/>
      <c r="EV417" s="253"/>
      <c r="EW417" s="253"/>
      <c r="EX417" s="253"/>
      <c r="EY417" s="253"/>
      <c r="EZ417" s="253"/>
      <c r="FA417" s="253"/>
      <c r="FB417" s="253"/>
      <c r="FC417" s="253"/>
      <c r="FD417" s="253"/>
      <c r="FE417" s="253"/>
      <c r="FF417" s="253"/>
      <c r="FG417" s="253"/>
      <c r="FH417" s="253"/>
      <c r="FI417" s="253"/>
      <c r="FJ417" s="253"/>
      <c r="FK417" s="253"/>
      <c r="FL417" s="253"/>
      <c r="FM417" s="253"/>
      <c r="FN417" s="253"/>
      <c r="FO417" s="253"/>
      <c r="FP417" s="253"/>
      <c r="FQ417" s="253"/>
      <c r="FR417" s="253"/>
      <c r="FS417" s="253"/>
      <c r="FT417" s="253"/>
      <c r="FU417" s="253"/>
      <c r="FV417" s="253"/>
      <c r="FW417" s="253"/>
      <c r="FX417" s="253"/>
      <c r="FY417" s="253"/>
      <c r="FZ417" s="253"/>
      <c r="GA417" s="253"/>
      <c r="GB417" s="253"/>
      <c r="GC417" s="253"/>
      <c r="GD417" s="253"/>
      <c r="GE417" s="253"/>
      <c r="GF417" s="253"/>
      <c r="GG417" s="253"/>
      <c r="GH417" s="253"/>
      <c r="GI417" s="253"/>
      <c r="GJ417" s="253"/>
      <c r="GK417" s="253"/>
      <c r="GL417" s="253"/>
      <c r="GM417" s="253"/>
      <c r="GN417" s="253"/>
      <c r="GO417" s="253"/>
      <c r="GP417" s="253"/>
      <c r="GQ417" s="253"/>
      <c r="GR417" s="253"/>
      <c r="GS417" s="253"/>
      <c r="GT417" s="253"/>
      <c r="GU417" s="253"/>
      <c r="GV417" s="253"/>
      <c r="GW417" s="253"/>
      <c r="GX417" s="253"/>
      <c r="GY417" s="253"/>
      <c r="GZ417" s="253"/>
      <c r="HA417" s="253"/>
      <c r="HB417" s="253"/>
      <c r="HC417" s="253"/>
      <c r="HD417" s="253"/>
      <c r="HE417" s="253"/>
      <c r="HF417" s="253"/>
      <c r="HG417" s="253"/>
      <c r="HH417" s="253"/>
      <c r="HI417" s="253"/>
      <c r="HJ417" s="253"/>
      <c r="HK417" s="253"/>
      <c r="HL417" s="253"/>
      <c r="HM417" s="253"/>
      <c r="HN417" s="253"/>
      <c r="HO417" s="253"/>
      <c r="HP417" s="253"/>
      <c r="HQ417" s="253"/>
      <c r="HR417" s="253"/>
      <c r="HS417" s="253"/>
      <c r="HT417" s="253"/>
      <c r="HU417" s="253"/>
      <c r="HV417" s="253"/>
      <c r="HW417" s="253"/>
      <c r="HX417" s="253"/>
      <c r="HY417" s="253"/>
      <c r="HZ417" s="253"/>
      <c r="IA417" s="253"/>
      <c r="IB417" s="253"/>
      <c r="IC417" s="253"/>
      <c r="ID417" s="253"/>
      <c r="IE417" s="253"/>
    </row>
    <row r="418" spans="1:239" ht="22.5">
      <c r="A418" s="121">
        <v>880</v>
      </c>
      <c r="B418" s="122" t="str">
        <f>VLOOKUP(A418,[1]INDICE!$A$4:$G$1000,2,0)</f>
        <v>TAMPÃO PARA SUPORTE DE TOMADAS 14,7x19,3mm DA MOPA ou equivalente de mesmo padrão de qualidade</v>
      </c>
      <c r="C418" s="160" t="str">
        <f>VLOOKUP(A418,[1]INDICE!$A$4:$G$1000,3,0)</f>
        <v>UN</v>
      </c>
      <c r="D418" s="122">
        <f>VLOOKUP(A418,[1]INDICE!$A$4:$G$1000,4,0)</f>
        <v>6.5670000000000002</v>
      </c>
      <c r="E418" s="122">
        <f>VLOOKUP(A418,[1]INDICE!$A$4:$G$1000,5,0)</f>
        <v>29.34</v>
      </c>
      <c r="F418" s="122">
        <f>VLOOKUP(A418,[1]INDICE!$A$4:$G$1000,6,0)</f>
        <v>0</v>
      </c>
      <c r="G418" s="122">
        <f>VLOOKUP(A418,[1]INDICE!$A$4:$G$1000,7,0)</f>
        <v>35.906999999999996</v>
      </c>
      <c r="H418" s="253"/>
      <c r="I418" s="253"/>
      <c r="J418" s="253"/>
      <c r="K418" s="253"/>
      <c r="L418" s="253"/>
      <c r="M418" s="253"/>
      <c r="N418" s="253"/>
      <c r="O418" s="253"/>
      <c r="P418" s="253"/>
      <c r="Q418" s="253"/>
      <c r="R418" s="253" t="b">
        <f t="shared" si="18"/>
        <v>1</v>
      </c>
      <c r="S418" s="253"/>
      <c r="T418" s="253"/>
      <c r="U418" s="253"/>
      <c r="V418" s="253"/>
      <c r="W418" s="253"/>
      <c r="X418" s="253"/>
      <c r="Y418" s="253"/>
      <c r="Z418" s="253"/>
      <c r="AA418" s="253"/>
      <c r="AB418" s="253"/>
      <c r="AC418" s="253"/>
      <c r="AD418" s="253"/>
      <c r="AE418" s="253"/>
      <c r="AF418" s="253"/>
      <c r="AG418" s="253"/>
      <c r="AH418" s="253"/>
      <c r="AI418" s="253"/>
      <c r="AJ418" s="253"/>
      <c r="AK418" s="253"/>
      <c r="AL418" s="253"/>
      <c r="AM418" s="253"/>
      <c r="AN418" s="253"/>
      <c r="AO418" s="253"/>
      <c r="AP418" s="253"/>
      <c r="AQ418" s="253"/>
      <c r="AR418" s="253"/>
      <c r="AS418" s="253"/>
      <c r="AT418" s="253"/>
      <c r="AU418" s="253"/>
      <c r="AV418" s="253"/>
      <c r="AW418" s="253"/>
      <c r="AX418" s="253"/>
      <c r="AY418" s="253"/>
      <c r="AZ418" s="253"/>
      <c r="BA418" s="253"/>
      <c r="BB418" s="253"/>
      <c r="BC418" s="253"/>
      <c r="BD418" s="253"/>
      <c r="BE418" s="253"/>
      <c r="BF418" s="253"/>
      <c r="BG418" s="253"/>
      <c r="BH418" s="253"/>
      <c r="BI418" s="253"/>
      <c r="BJ418" s="253"/>
      <c r="BK418" s="253"/>
      <c r="BL418" s="253"/>
      <c r="BM418" s="253"/>
      <c r="BN418" s="253"/>
      <c r="BO418" s="253"/>
      <c r="BP418" s="253"/>
      <c r="BQ418" s="253"/>
      <c r="BR418" s="253"/>
      <c r="BS418" s="253"/>
      <c r="BT418" s="253"/>
      <c r="BU418" s="253"/>
      <c r="BV418" s="253"/>
      <c r="BW418" s="253"/>
      <c r="BX418" s="253"/>
      <c r="BY418" s="253"/>
      <c r="BZ418" s="253"/>
      <c r="CA418" s="253"/>
      <c r="CB418" s="253"/>
      <c r="CC418" s="253"/>
      <c r="CD418" s="253"/>
      <c r="CE418" s="253"/>
      <c r="CF418" s="253"/>
      <c r="CG418" s="253"/>
      <c r="CH418" s="253"/>
      <c r="CI418" s="253"/>
      <c r="CJ418" s="253"/>
      <c r="CK418" s="253"/>
      <c r="CL418" s="253"/>
      <c r="CM418" s="253"/>
      <c r="CN418" s="253"/>
      <c r="CO418" s="253"/>
      <c r="CP418" s="253"/>
      <c r="CQ418" s="253"/>
      <c r="CR418" s="253"/>
      <c r="CS418" s="253"/>
      <c r="CT418" s="253"/>
      <c r="CU418" s="253"/>
      <c r="CV418" s="253"/>
      <c r="CW418" s="253"/>
      <c r="CX418" s="253"/>
      <c r="CY418" s="253"/>
      <c r="CZ418" s="253"/>
      <c r="DA418" s="253"/>
      <c r="DB418" s="253"/>
      <c r="DC418" s="253"/>
      <c r="DD418" s="253"/>
      <c r="DE418" s="253"/>
      <c r="DF418" s="253"/>
      <c r="DG418" s="253"/>
      <c r="DH418" s="253"/>
      <c r="DI418" s="253"/>
      <c r="DJ418" s="253"/>
      <c r="DK418" s="253"/>
      <c r="DL418" s="253"/>
      <c r="DM418" s="253"/>
      <c r="DN418" s="253"/>
      <c r="DO418" s="253"/>
      <c r="DP418" s="253"/>
      <c r="DQ418" s="253"/>
      <c r="DR418" s="253"/>
      <c r="DS418" s="253"/>
      <c r="DT418" s="253"/>
      <c r="DU418" s="253"/>
      <c r="DV418" s="253"/>
      <c r="DW418" s="253"/>
      <c r="DX418" s="253"/>
      <c r="DY418" s="253"/>
      <c r="DZ418" s="253"/>
      <c r="EA418" s="253"/>
      <c r="EB418" s="253"/>
      <c r="EC418" s="253"/>
      <c r="ED418" s="253"/>
      <c r="EE418" s="253"/>
      <c r="EF418" s="253"/>
      <c r="EG418" s="253"/>
      <c r="EH418" s="253"/>
      <c r="EI418" s="253"/>
      <c r="EJ418" s="253"/>
      <c r="EK418" s="253"/>
      <c r="EL418" s="253"/>
      <c r="EM418" s="253"/>
      <c r="EN418" s="253"/>
      <c r="EO418" s="253"/>
      <c r="EP418" s="253"/>
      <c r="EQ418" s="253"/>
      <c r="ER418" s="253"/>
      <c r="ES418" s="253"/>
      <c r="ET418" s="253"/>
      <c r="EU418" s="253"/>
      <c r="EV418" s="253"/>
      <c r="EW418" s="253"/>
      <c r="EX418" s="253"/>
      <c r="EY418" s="253"/>
      <c r="EZ418" s="253"/>
      <c r="FA418" s="253"/>
      <c r="FB418" s="253"/>
      <c r="FC418" s="253"/>
      <c r="FD418" s="253"/>
      <c r="FE418" s="253"/>
      <c r="FF418" s="253"/>
      <c r="FG418" s="253"/>
      <c r="FH418" s="253"/>
      <c r="FI418" s="253"/>
      <c r="FJ418" s="253"/>
      <c r="FK418" s="253"/>
      <c r="FL418" s="253"/>
      <c r="FM418" s="253"/>
      <c r="FN418" s="253"/>
      <c r="FO418" s="253"/>
      <c r="FP418" s="253"/>
      <c r="FQ418" s="253"/>
      <c r="FR418" s="253"/>
      <c r="FS418" s="253"/>
      <c r="FT418" s="253"/>
      <c r="FU418" s="253"/>
      <c r="FV418" s="253"/>
      <c r="FW418" s="253"/>
      <c r="FX418" s="253"/>
      <c r="FY418" s="253"/>
      <c r="FZ418" s="253"/>
      <c r="GA418" s="253"/>
      <c r="GB418" s="253"/>
      <c r="GC418" s="253"/>
      <c r="GD418" s="253"/>
      <c r="GE418" s="253"/>
      <c r="GF418" s="253"/>
      <c r="GG418" s="253"/>
      <c r="GH418" s="253"/>
      <c r="GI418" s="253"/>
      <c r="GJ418" s="253"/>
      <c r="GK418" s="253"/>
      <c r="GL418" s="253"/>
      <c r="GM418" s="253"/>
      <c r="GN418" s="253"/>
      <c r="GO418" s="253"/>
      <c r="GP418" s="253"/>
      <c r="GQ418" s="253"/>
      <c r="GR418" s="253"/>
      <c r="GS418" s="253"/>
      <c r="GT418" s="253"/>
      <c r="GU418" s="253"/>
      <c r="GV418" s="253"/>
      <c r="GW418" s="253"/>
      <c r="GX418" s="253"/>
      <c r="GY418" s="253"/>
      <c r="GZ418" s="253"/>
      <c r="HA418" s="253"/>
      <c r="HB418" s="253"/>
      <c r="HC418" s="253"/>
      <c r="HD418" s="253"/>
      <c r="HE418" s="253"/>
      <c r="HF418" s="253"/>
      <c r="HG418" s="253"/>
      <c r="HH418" s="253"/>
      <c r="HI418" s="253"/>
      <c r="HJ418" s="253"/>
      <c r="HK418" s="253"/>
      <c r="HL418" s="253"/>
      <c r="HM418" s="253"/>
      <c r="HN418" s="253"/>
      <c r="HO418" s="253"/>
      <c r="HP418" s="253"/>
      <c r="HQ418" s="253"/>
      <c r="HR418" s="253"/>
      <c r="HS418" s="253"/>
      <c r="HT418" s="253"/>
      <c r="HU418" s="253"/>
      <c r="HV418" s="253"/>
      <c r="HW418" s="253"/>
      <c r="HX418" s="253"/>
      <c r="HY418" s="253"/>
      <c r="HZ418" s="253"/>
      <c r="IA418" s="253"/>
      <c r="IB418" s="253"/>
      <c r="IC418" s="253"/>
      <c r="ID418" s="253"/>
      <c r="IE418" s="253"/>
    </row>
    <row r="419" spans="1:239" ht="11.25">
      <c r="A419" s="121">
        <v>881</v>
      </c>
      <c r="B419" s="122" t="str">
        <f>VLOOKUP(A419,[1]INDICE!$A$4:$G$1000,2,0)</f>
        <v>FOSSA SEPTICA 4500 LITROS COM IMPERMEABILIZAÇÃO</v>
      </c>
      <c r="C419" s="160" t="str">
        <f>VLOOKUP(A419,[1]INDICE!$A$4:$G$1000,3,0)</f>
        <v>UN</v>
      </c>
      <c r="D419" s="122">
        <f>VLOOKUP(A419,[1]INDICE!$A$4:$G$1000,4,0)</f>
        <v>4254.359117</v>
      </c>
      <c r="E419" s="122">
        <f>VLOOKUP(A419,[1]INDICE!$A$4:$G$1000,5,0)</f>
        <v>3549.3622920000003</v>
      </c>
      <c r="F419" s="122">
        <f>VLOOKUP(A419,[1]INDICE!$A$4:$G$1000,6,0)</f>
        <v>0</v>
      </c>
      <c r="G419" s="122">
        <f>VLOOKUP(A419,[1]INDICE!$A$4:$G$1000,7,0)</f>
        <v>7803.7214089999998</v>
      </c>
      <c r="H419" s="253"/>
      <c r="I419" s="253"/>
      <c r="J419" s="253"/>
      <c r="K419" s="253"/>
      <c r="L419" s="253"/>
      <c r="M419" s="253"/>
      <c r="N419" s="253"/>
      <c r="O419" s="253"/>
      <c r="P419" s="253"/>
      <c r="Q419" s="253"/>
      <c r="R419" s="253" t="b">
        <f t="shared" si="18"/>
        <v>1</v>
      </c>
      <c r="S419" s="253"/>
      <c r="T419" s="253"/>
      <c r="U419" s="253"/>
      <c r="V419" s="253"/>
      <c r="W419" s="253"/>
      <c r="X419" s="253"/>
      <c r="Y419" s="253"/>
      <c r="Z419" s="253"/>
      <c r="AA419" s="253"/>
      <c r="AB419" s="253"/>
      <c r="AC419" s="253"/>
      <c r="AD419" s="253"/>
      <c r="AE419" s="253"/>
      <c r="AF419" s="253"/>
      <c r="AG419" s="253"/>
      <c r="AH419" s="253"/>
      <c r="AI419" s="253"/>
      <c r="AJ419" s="253"/>
      <c r="AK419" s="253"/>
      <c r="AL419" s="253"/>
      <c r="AM419" s="253"/>
      <c r="AN419" s="253"/>
      <c r="AO419" s="253"/>
      <c r="AP419" s="253"/>
      <c r="AQ419" s="253"/>
      <c r="AR419" s="253"/>
      <c r="AS419" s="253"/>
      <c r="AT419" s="253"/>
      <c r="AU419" s="253"/>
      <c r="AV419" s="253"/>
      <c r="AW419" s="253"/>
      <c r="AX419" s="253"/>
      <c r="AY419" s="253"/>
      <c r="AZ419" s="253"/>
      <c r="BA419" s="253"/>
      <c r="BB419" s="253"/>
      <c r="BC419" s="253"/>
      <c r="BD419" s="253"/>
      <c r="BE419" s="253"/>
      <c r="BF419" s="253"/>
      <c r="BG419" s="253"/>
      <c r="BH419" s="253"/>
      <c r="BI419" s="253"/>
      <c r="BJ419" s="253"/>
      <c r="BK419" s="253"/>
      <c r="BL419" s="253"/>
      <c r="BM419" s="253"/>
      <c r="BN419" s="253"/>
      <c r="BO419" s="253"/>
      <c r="BP419" s="253"/>
      <c r="BQ419" s="253"/>
      <c r="BR419" s="253"/>
      <c r="BS419" s="253"/>
      <c r="BT419" s="253"/>
      <c r="BU419" s="253"/>
      <c r="BV419" s="253"/>
      <c r="BW419" s="253"/>
      <c r="BX419" s="253"/>
      <c r="BY419" s="253"/>
      <c r="BZ419" s="253"/>
      <c r="CA419" s="253"/>
      <c r="CB419" s="253"/>
      <c r="CC419" s="253"/>
      <c r="CD419" s="253"/>
      <c r="CE419" s="253"/>
      <c r="CF419" s="253"/>
      <c r="CG419" s="253"/>
      <c r="CH419" s="253"/>
      <c r="CI419" s="253"/>
      <c r="CJ419" s="253"/>
      <c r="CK419" s="253"/>
      <c r="CL419" s="253"/>
      <c r="CM419" s="253"/>
      <c r="CN419" s="253"/>
      <c r="CO419" s="253"/>
      <c r="CP419" s="253"/>
      <c r="CQ419" s="253"/>
      <c r="CR419" s="253"/>
      <c r="CS419" s="253"/>
      <c r="CT419" s="253"/>
      <c r="CU419" s="253"/>
      <c r="CV419" s="253"/>
      <c r="CW419" s="253"/>
      <c r="CX419" s="253"/>
      <c r="CY419" s="253"/>
      <c r="CZ419" s="253"/>
      <c r="DA419" s="253"/>
      <c r="DB419" s="253"/>
      <c r="DC419" s="253"/>
      <c r="DD419" s="253"/>
      <c r="DE419" s="253"/>
      <c r="DF419" s="253"/>
      <c r="DG419" s="253"/>
      <c r="DH419" s="253"/>
      <c r="DI419" s="253"/>
      <c r="DJ419" s="253"/>
      <c r="DK419" s="253"/>
      <c r="DL419" s="253"/>
      <c r="DM419" s="253"/>
      <c r="DN419" s="253"/>
      <c r="DO419" s="253"/>
      <c r="DP419" s="253"/>
      <c r="DQ419" s="253"/>
      <c r="DR419" s="253"/>
      <c r="DS419" s="253"/>
      <c r="DT419" s="253"/>
      <c r="DU419" s="253"/>
      <c r="DV419" s="253"/>
      <c r="DW419" s="253"/>
      <c r="DX419" s="253"/>
      <c r="DY419" s="253"/>
      <c r="DZ419" s="253"/>
      <c r="EA419" s="253"/>
      <c r="EB419" s="253"/>
      <c r="EC419" s="253"/>
      <c r="ED419" s="253"/>
      <c r="EE419" s="253"/>
      <c r="EF419" s="253"/>
      <c r="EG419" s="253"/>
      <c r="EH419" s="253"/>
      <c r="EI419" s="253"/>
      <c r="EJ419" s="253"/>
      <c r="EK419" s="253"/>
      <c r="EL419" s="253"/>
      <c r="EM419" s="253"/>
      <c r="EN419" s="253"/>
      <c r="EO419" s="253"/>
      <c r="EP419" s="253"/>
      <c r="EQ419" s="253"/>
      <c r="ER419" s="253"/>
      <c r="ES419" s="253"/>
      <c r="ET419" s="253"/>
      <c r="EU419" s="253"/>
      <c r="EV419" s="253"/>
      <c r="EW419" s="253"/>
      <c r="EX419" s="253"/>
      <c r="EY419" s="253"/>
      <c r="EZ419" s="253"/>
      <c r="FA419" s="253"/>
      <c r="FB419" s="253"/>
      <c r="FC419" s="253"/>
      <c r="FD419" s="253"/>
      <c r="FE419" s="253"/>
      <c r="FF419" s="253"/>
      <c r="FG419" s="253"/>
      <c r="FH419" s="253"/>
      <c r="FI419" s="253"/>
      <c r="FJ419" s="253"/>
      <c r="FK419" s="253"/>
      <c r="FL419" s="253"/>
      <c r="FM419" s="253"/>
      <c r="FN419" s="253"/>
      <c r="FO419" s="253"/>
      <c r="FP419" s="253"/>
      <c r="FQ419" s="253"/>
      <c r="FR419" s="253"/>
      <c r="FS419" s="253"/>
      <c r="FT419" s="253"/>
      <c r="FU419" s="253"/>
      <c r="FV419" s="253"/>
      <c r="FW419" s="253"/>
      <c r="FX419" s="253"/>
      <c r="FY419" s="253"/>
      <c r="FZ419" s="253"/>
      <c r="GA419" s="253"/>
      <c r="GB419" s="253"/>
      <c r="GC419" s="253"/>
      <c r="GD419" s="253"/>
      <c r="GE419" s="253"/>
      <c r="GF419" s="253"/>
      <c r="GG419" s="253"/>
      <c r="GH419" s="253"/>
      <c r="GI419" s="253"/>
      <c r="GJ419" s="253"/>
      <c r="GK419" s="253"/>
      <c r="GL419" s="253"/>
      <c r="GM419" s="253"/>
      <c r="GN419" s="253"/>
      <c r="GO419" s="253"/>
      <c r="GP419" s="253"/>
      <c r="GQ419" s="253"/>
      <c r="GR419" s="253"/>
      <c r="GS419" s="253"/>
      <c r="GT419" s="253"/>
      <c r="GU419" s="253"/>
      <c r="GV419" s="253"/>
      <c r="GW419" s="253"/>
      <c r="GX419" s="253"/>
      <c r="GY419" s="253"/>
      <c r="GZ419" s="253"/>
      <c r="HA419" s="253"/>
      <c r="HB419" s="253"/>
      <c r="HC419" s="253"/>
      <c r="HD419" s="253"/>
      <c r="HE419" s="253"/>
      <c r="HF419" s="253"/>
      <c r="HG419" s="253"/>
      <c r="HH419" s="253"/>
      <c r="HI419" s="253"/>
      <c r="HJ419" s="253"/>
      <c r="HK419" s="253"/>
      <c r="HL419" s="253"/>
      <c r="HM419" s="253"/>
      <c r="HN419" s="253"/>
      <c r="HO419" s="253"/>
      <c r="HP419" s="253"/>
      <c r="HQ419" s="253"/>
      <c r="HR419" s="253"/>
      <c r="HS419" s="253"/>
      <c r="HT419" s="253"/>
      <c r="HU419" s="253"/>
      <c r="HV419" s="253"/>
      <c r="HW419" s="253"/>
      <c r="HX419" s="253"/>
      <c r="HY419" s="253"/>
      <c r="HZ419" s="253"/>
      <c r="IA419" s="253"/>
      <c r="IB419" s="253"/>
      <c r="IC419" s="253"/>
      <c r="ID419" s="253"/>
      <c r="IE419" s="253"/>
    </row>
    <row r="420" spans="1:239" ht="11.25">
      <c r="A420" s="115">
        <v>882</v>
      </c>
      <c r="B420" s="122" t="str">
        <f>VLOOKUP(A420,[1]INDICE!$A$4:$G$1000,2,0)</f>
        <v>FOSSA SEPTICA 3500 LITROS COM IMPERMEABILIZAÇÃO</v>
      </c>
      <c r="C420" s="160" t="str">
        <f>VLOOKUP(A420,[1]INDICE!$A$4:$G$1000,3,0)</f>
        <v>UN</v>
      </c>
      <c r="D420" s="122">
        <f>VLOOKUP(A420,[1]INDICE!$A$4:$G$1000,4,0)</f>
        <v>3163.8520503333339</v>
      </c>
      <c r="E420" s="122">
        <f>VLOOKUP(A420,[1]INDICE!$A$4:$G$1000,5,0)</f>
        <v>2748.9663646666668</v>
      </c>
      <c r="F420" s="122">
        <f>VLOOKUP(A420,[1]INDICE!$A$4:$G$1000,6,0)</f>
        <v>0</v>
      </c>
      <c r="G420" s="122">
        <f>VLOOKUP(A420,[1]INDICE!$A$4:$G$1000,7,0)</f>
        <v>5912.8184150000006</v>
      </c>
      <c r="R420" s="253" t="b">
        <f t="shared" si="18"/>
        <v>1</v>
      </c>
      <c r="S420" s="253"/>
      <c r="T420" s="253"/>
    </row>
    <row r="421" spans="1:239" ht="11.25">
      <c r="A421" s="121">
        <v>883</v>
      </c>
      <c r="B421" s="122" t="str">
        <f>VLOOKUP(A421,[1]INDICE!$A$4:$G$1000,2,0)</f>
        <v>FOSSA SEPTICA 2000 LITROS COM IMPERMEABILIZAÇÃO</v>
      </c>
      <c r="C421" s="160" t="str">
        <f>VLOOKUP(A421,[1]INDICE!$A$4:$G$1000,3,0)</f>
        <v>UN</v>
      </c>
      <c r="D421" s="122">
        <f>VLOOKUP(A421,[1]INDICE!$A$4:$G$1000,4,0)</f>
        <v>1686.0887264</v>
      </c>
      <c r="E421" s="122">
        <f>VLOOKUP(A421,[1]INDICE!$A$4:$G$1000,5,0)</f>
        <v>1535.0273655999999</v>
      </c>
      <c r="F421" s="122">
        <f>VLOOKUP(A421,[1]INDICE!$A$4:$G$1000,6,0)</f>
        <v>0</v>
      </c>
      <c r="G421" s="122">
        <f>VLOOKUP(A421,[1]INDICE!$A$4:$G$1000,7,0)</f>
        <v>3221.1160920000002</v>
      </c>
      <c r="H421" s="253"/>
      <c r="I421" s="253"/>
      <c r="J421" s="253"/>
      <c r="K421" s="253"/>
      <c r="L421" s="253"/>
      <c r="M421" s="253"/>
      <c r="N421" s="253"/>
      <c r="O421" s="253"/>
      <c r="P421" s="253"/>
      <c r="Q421" s="253"/>
      <c r="R421" s="253" t="b">
        <f t="shared" si="18"/>
        <v>1</v>
      </c>
      <c r="S421" s="253"/>
      <c r="T421" s="253"/>
      <c r="U421" s="253"/>
      <c r="V421" s="253"/>
      <c r="W421" s="253"/>
      <c r="X421" s="253"/>
      <c r="Y421" s="253"/>
      <c r="Z421" s="253"/>
      <c r="AA421" s="253"/>
      <c r="AB421" s="253"/>
      <c r="AC421" s="253"/>
      <c r="AD421" s="253"/>
      <c r="AE421" s="253"/>
      <c r="AF421" s="253"/>
      <c r="AG421" s="253"/>
      <c r="AH421" s="253"/>
      <c r="AI421" s="253"/>
      <c r="AJ421" s="253"/>
      <c r="AK421" s="253"/>
      <c r="AL421" s="253"/>
      <c r="AM421" s="253"/>
      <c r="AN421" s="253"/>
      <c r="AO421" s="253"/>
      <c r="AP421" s="253"/>
      <c r="AQ421" s="253"/>
      <c r="AR421" s="253"/>
      <c r="AS421" s="253"/>
      <c r="AT421" s="253"/>
      <c r="AU421" s="253"/>
      <c r="AV421" s="253"/>
      <c r="AW421" s="253"/>
      <c r="AX421" s="253"/>
      <c r="AY421" s="253"/>
      <c r="AZ421" s="253"/>
      <c r="BA421" s="253"/>
      <c r="BB421" s="253"/>
      <c r="BC421" s="253"/>
      <c r="BD421" s="253"/>
      <c r="BE421" s="253"/>
      <c r="BF421" s="253"/>
      <c r="BG421" s="253"/>
      <c r="BH421" s="253"/>
      <c r="BI421" s="253"/>
      <c r="BJ421" s="253"/>
      <c r="BK421" s="253"/>
      <c r="BL421" s="253"/>
      <c r="BM421" s="253"/>
      <c r="BN421" s="253"/>
      <c r="BO421" s="253"/>
      <c r="BP421" s="253"/>
      <c r="BQ421" s="253"/>
      <c r="BR421" s="253"/>
      <c r="BS421" s="253"/>
      <c r="BT421" s="253"/>
      <c r="BU421" s="253"/>
      <c r="BV421" s="253"/>
      <c r="BW421" s="253"/>
      <c r="BX421" s="253"/>
      <c r="BY421" s="253"/>
      <c r="BZ421" s="253"/>
      <c r="CA421" s="253"/>
      <c r="CB421" s="253"/>
      <c r="CC421" s="253"/>
      <c r="CD421" s="253"/>
      <c r="CE421" s="253"/>
      <c r="CF421" s="253"/>
      <c r="CG421" s="253"/>
      <c r="CH421" s="253"/>
      <c r="CI421" s="253"/>
      <c r="CJ421" s="253"/>
      <c r="CK421" s="253"/>
      <c r="CL421" s="253"/>
      <c r="CM421" s="253"/>
      <c r="CN421" s="253"/>
      <c r="CO421" s="253"/>
      <c r="CP421" s="253"/>
      <c r="CQ421" s="253"/>
      <c r="CR421" s="253"/>
      <c r="CS421" s="253"/>
      <c r="CT421" s="253"/>
      <c r="CU421" s="253"/>
      <c r="CV421" s="253"/>
      <c r="CW421" s="253"/>
      <c r="CX421" s="253"/>
      <c r="CY421" s="253"/>
      <c r="CZ421" s="253"/>
      <c r="DA421" s="253"/>
      <c r="DB421" s="253"/>
      <c r="DC421" s="253"/>
      <c r="DD421" s="253"/>
      <c r="DE421" s="253"/>
      <c r="DF421" s="253"/>
      <c r="DG421" s="253"/>
      <c r="DH421" s="253"/>
      <c r="DI421" s="253"/>
      <c r="DJ421" s="253"/>
      <c r="DK421" s="253"/>
      <c r="DL421" s="253"/>
      <c r="DM421" s="253"/>
      <c r="DN421" s="253"/>
      <c r="DO421" s="253"/>
      <c r="DP421" s="253"/>
      <c r="DQ421" s="253"/>
      <c r="DR421" s="253"/>
      <c r="DS421" s="253"/>
      <c r="DT421" s="253"/>
      <c r="DU421" s="253"/>
      <c r="DV421" s="253"/>
      <c r="DW421" s="253"/>
      <c r="DX421" s="253"/>
      <c r="DY421" s="253"/>
      <c r="DZ421" s="253"/>
      <c r="EA421" s="253"/>
      <c r="EB421" s="253"/>
      <c r="EC421" s="253"/>
      <c r="ED421" s="253"/>
      <c r="EE421" s="253"/>
      <c r="EF421" s="253"/>
      <c r="EG421" s="253"/>
      <c r="EH421" s="253"/>
      <c r="EI421" s="253"/>
      <c r="EJ421" s="253"/>
      <c r="EK421" s="253"/>
      <c r="EL421" s="253"/>
      <c r="EM421" s="253"/>
      <c r="EN421" s="253"/>
      <c r="EO421" s="253"/>
      <c r="EP421" s="253"/>
      <c r="EQ421" s="253"/>
      <c r="ER421" s="253"/>
      <c r="ES421" s="253"/>
      <c r="ET421" s="253"/>
      <c r="EU421" s="253"/>
      <c r="EV421" s="253"/>
      <c r="EW421" s="253"/>
      <c r="EX421" s="253"/>
      <c r="EY421" s="253"/>
      <c r="EZ421" s="253"/>
      <c r="FA421" s="253"/>
      <c r="FB421" s="253"/>
      <c r="FC421" s="253"/>
      <c r="FD421" s="253"/>
      <c r="FE421" s="253"/>
      <c r="FF421" s="253"/>
      <c r="FG421" s="253"/>
      <c r="FH421" s="253"/>
      <c r="FI421" s="253"/>
      <c r="FJ421" s="253"/>
      <c r="FK421" s="253"/>
      <c r="FL421" s="253"/>
      <c r="FM421" s="253"/>
      <c r="FN421" s="253"/>
      <c r="FO421" s="253"/>
      <c r="FP421" s="253"/>
      <c r="FQ421" s="253"/>
      <c r="FR421" s="253"/>
      <c r="FS421" s="253"/>
      <c r="FT421" s="253"/>
      <c r="FU421" s="253"/>
      <c r="FV421" s="253"/>
      <c r="FW421" s="253"/>
      <c r="FX421" s="253"/>
      <c r="FY421" s="253"/>
      <c r="FZ421" s="253"/>
      <c r="GA421" s="253"/>
      <c r="GB421" s="253"/>
      <c r="GC421" s="253"/>
      <c r="GD421" s="253"/>
      <c r="GE421" s="253"/>
      <c r="GF421" s="253"/>
      <c r="GG421" s="253"/>
      <c r="GH421" s="253"/>
      <c r="GI421" s="253"/>
      <c r="GJ421" s="253"/>
      <c r="GK421" s="253"/>
      <c r="GL421" s="253"/>
      <c r="GM421" s="253"/>
      <c r="GN421" s="253"/>
      <c r="GO421" s="253"/>
      <c r="GP421" s="253"/>
      <c r="GQ421" s="253"/>
      <c r="GR421" s="253"/>
      <c r="GS421" s="253"/>
      <c r="GT421" s="253"/>
      <c r="GU421" s="253"/>
      <c r="GV421" s="253"/>
      <c r="GW421" s="253"/>
      <c r="GX421" s="253"/>
      <c r="GY421" s="253"/>
      <c r="GZ421" s="253"/>
      <c r="HA421" s="253"/>
      <c r="HB421" s="253"/>
      <c r="HC421" s="253"/>
      <c r="HD421" s="253"/>
      <c r="HE421" s="253"/>
      <c r="HF421" s="253"/>
      <c r="HG421" s="253"/>
      <c r="HH421" s="253"/>
      <c r="HI421" s="253"/>
      <c r="HJ421" s="253"/>
      <c r="HK421" s="253"/>
      <c r="HL421" s="253"/>
      <c r="HM421" s="253"/>
      <c r="HN421" s="253"/>
      <c r="HO421" s="253"/>
      <c r="HP421" s="253"/>
      <c r="HQ421" s="253"/>
      <c r="HR421" s="253"/>
      <c r="HS421" s="253"/>
      <c r="HT421" s="253"/>
      <c r="HU421" s="253"/>
      <c r="HV421" s="253"/>
      <c r="HW421" s="253"/>
      <c r="HX421" s="253"/>
      <c r="HY421" s="253"/>
      <c r="HZ421" s="253"/>
      <c r="IA421" s="253"/>
      <c r="IB421" s="253"/>
      <c r="IC421" s="253"/>
      <c r="ID421" s="253"/>
      <c r="IE421" s="253"/>
    </row>
    <row r="422" spans="1:239" ht="11.25">
      <c r="A422" s="121">
        <v>410</v>
      </c>
      <c r="B422" s="122" t="str">
        <f>VLOOKUP(A422,[1]INDICE!$A$4:$G$1000,2,0)</f>
        <v>CAIXA DE PASSAGEM METÁLICA DE EMBUTIR 20X20X10CM</v>
      </c>
      <c r="C422" s="160" t="str">
        <f>VLOOKUP(A422,[1]INDICE!$A$4:$G$1000,3,0)</f>
        <v>UN</v>
      </c>
      <c r="D422" s="122">
        <f>VLOOKUP(A422,[1]INDICE!$A$4:$G$1000,4,0)</f>
        <v>48.287499999999994</v>
      </c>
      <c r="E422" s="122">
        <f>VLOOKUP(A422,[1]INDICE!$A$4:$G$1000,5,0)</f>
        <v>39.97</v>
      </c>
      <c r="F422" s="122">
        <f>VLOOKUP(A422,[1]INDICE!$A$4:$G$1000,6,0)</f>
        <v>0</v>
      </c>
      <c r="G422" s="122">
        <f>VLOOKUP(A422,[1]INDICE!$A$4:$G$1000,7,0)</f>
        <v>88.257499999999993</v>
      </c>
      <c r="H422" s="253"/>
      <c r="I422" s="253"/>
      <c r="J422" s="253"/>
      <c r="K422" s="253"/>
      <c r="L422" s="253"/>
      <c r="M422" s="253"/>
      <c r="N422" s="253"/>
      <c r="O422" s="253"/>
      <c r="P422" s="253"/>
      <c r="Q422" s="253"/>
      <c r="R422" s="253" t="b">
        <f t="shared" si="18"/>
        <v>1</v>
      </c>
      <c r="S422" s="253"/>
      <c r="T422" s="253"/>
      <c r="U422" s="253"/>
      <c r="V422" s="253"/>
      <c r="W422" s="253"/>
      <c r="X422" s="253"/>
      <c r="Y422" s="253"/>
      <c r="Z422" s="253"/>
      <c r="AA422" s="253"/>
      <c r="AB422" s="253"/>
      <c r="AC422" s="253"/>
      <c r="AD422" s="253"/>
      <c r="AE422" s="253"/>
      <c r="AF422" s="253"/>
      <c r="AG422" s="253"/>
      <c r="AH422" s="253"/>
      <c r="AI422" s="253"/>
      <c r="AJ422" s="253"/>
      <c r="AK422" s="253"/>
      <c r="AL422" s="253"/>
      <c r="AM422" s="253"/>
      <c r="AN422" s="253"/>
      <c r="AO422" s="253"/>
      <c r="AP422" s="253"/>
      <c r="AQ422" s="253"/>
      <c r="AR422" s="253"/>
      <c r="AS422" s="253"/>
      <c r="AT422" s="253"/>
      <c r="AU422" s="253"/>
      <c r="AV422" s="253"/>
      <c r="AW422" s="253"/>
      <c r="AX422" s="253"/>
      <c r="AY422" s="253"/>
      <c r="AZ422" s="253"/>
      <c r="BA422" s="253"/>
      <c r="BB422" s="253"/>
      <c r="BC422" s="253"/>
      <c r="BD422" s="253"/>
      <c r="BE422" s="253"/>
      <c r="BF422" s="253"/>
      <c r="BG422" s="253"/>
      <c r="BH422" s="253"/>
      <c r="BI422" s="253"/>
      <c r="BJ422" s="253"/>
      <c r="BK422" s="253"/>
      <c r="BL422" s="253"/>
      <c r="BM422" s="253"/>
      <c r="BN422" s="253"/>
      <c r="BO422" s="253"/>
      <c r="BP422" s="253"/>
      <c r="BQ422" s="253"/>
      <c r="BR422" s="253"/>
      <c r="BS422" s="253"/>
      <c r="BT422" s="253"/>
      <c r="BU422" s="253"/>
      <c r="BV422" s="253"/>
      <c r="BW422" s="253"/>
      <c r="BX422" s="253"/>
      <c r="BY422" s="253"/>
      <c r="BZ422" s="253"/>
      <c r="CA422" s="253"/>
      <c r="CB422" s="253"/>
      <c r="CC422" s="253"/>
      <c r="CD422" s="253"/>
      <c r="CE422" s="253"/>
      <c r="CF422" s="253"/>
      <c r="CG422" s="253"/>
      <c r="CH422" s="253"/>
      <c r="CI422" s="253"/>
      <c r="CJ422" s="253"/>
      <c r="CK422" s="253"/>
      <c r="CL422" s="253"/>
      <c r="CM422" s="253"/>
      <c r="CN422" s="253"/>
      <c r="CO422" s="253"/>
      <c r="CP422" s="253"/>
      <c r="CQ422" s="253"/>
      <c r="CR422" s="253"/>
      <c r="CS422" s="253"/>
      <c r="CT422" s="253"/>
      <c r="CU422" s="253"/>
      <c r="CV422" s="253"/>
      <c r="CW422" s="253"/>
      <c r="CX422" s="253"/>
      <c r="CY422" s="253"/>
      <c r="CZ422" s="253"/>
      <c r="DA422" s="253"/>
      <c r="DB422" s="253"/>
      <c r="DC422" s="253"/>
      <c r="DD422" s="253"/>
      <c r="DE422" s="253"/>
      <c r="DF422" s="253"/>
      <c r="DG422" s="253"/>
      <c r="DH422" s="253"/>
      <c r="DI422" s="253"/>
      <c r="DJ422" s="253"/>
      <c r="DK422" s="253"/>
      <c r="DL422" s="253"/>
      <c r="DM422" s="253"/>
      <c r="DN422" s="253"/>
      <c r="DO422" s="253"/>
      <c r="DP422" s="253"/>
      <c r="DQ422" s="253"/>
      <c r="DR422" s="253"/>
      <c r="DS422" s="253"/>
      <c r="DT422" s="253"/>
      <c r="DU422" s="253"/>
      <c r="DV422" s="253"/>
      <c r="DW422" s="253"/>
      <c r="DX422" s="253"/>
      <c r="DY422" s="253"/>
      <c r="DZ422" s="253"/>
      <c r="EA422" s="253"/>
      <c r="EB422" s="253"/>
      <c r="EC422" s="253"/>
      <c r="ED422" s="253"/>
      <c r="EE422" s="253"/>
      <c r="EF422" s="253"/>
      <c r="EG422" s="253"/>
      <c r="EH422" s="253"/>
      <c r="EI422" s="253"/>
      <c r="EJ422" s="253"/>
      <c r="EK422" s="253"/>
      <c r="EL422" s="253"/>
      <c r="EM422" s="253"/>
      <c r="EN422" s="253"/>
      <c r="EO422" s="253"/>
      <c r="EP422" s="253"/>
      <c r="EQ422" s="253"/>
      <c r="ER422" s="253"/>
      <c r="ES422" s="253"/>
      <c r="ET422" s="253"/>
      <c r="EU422" s="253"/>
      <c r="EV422" s="253"/>
      <c r="EW422" s="253"/>
      <c r="EX422" s="253"/>
      <c r="EY422" s="253"/>
      <c r="EZ422" s="253"/>
      <c r="FA422" s="253"/>
      <c r="FB422" s="253"/>
      <c r="FC422" s="253"/>
      <c r="FD422" s="253"/>
      <c r="FE422" s="253"/>
      <c r="FF422" s="253"/>
      <c r="FG422" s="253"/>
      <c r="FH422" s="253"/>
      <c r="FI422" s="253"/>
      <c r="FJ422" s="253"/>
      <c r="FK422" s="253"/>
      <c r="FL422" s="253"/>
      <c r="FM422" s="253"/>
      <c r="FN422" s="253"/>
      <c r="FO422" s="253"/>
      <c r="FP422" s="253"/>
      <c r="FQ422" s="253"/>
      <c r="FR422" s="253"/>
      <c r="FS422" s="253"/>
      <c r="FT422" s="253"/>
      <c r="FU422" s="253"/>
      <c r="FV422" s="253"/>
      <c r="FW422" s="253"/>
      <c r="FX422" s="253"/>
      <c r="FY422" s="253"/>
      <c r="FZ422" s="253"/>
      <c r="GA422" s="253"/>
      <c r="GB422" s="253"/>
      <c r="GC422" s="253"/>
      <c r="GD422" s="253"/>
      <c r="GE422" s="253"/>
      <c r="GF422" s="253"/>
      <c r="GG422" s="253"/>
      <c r="GH422" s="253"/>
      <c r="GI422" s="253"/>
      <c r="GJ422" s="253"/>
      <c r="GK422" s="253"/>
      <c r="GL422" s="253"/>
      <c r="GM422" s="253"/>
      <c r="GN422" s="253"/>
      <c r="GO422" s="253"/>
      <c r="GP422" s="253"/>
      <c r="GQ422" s="253"/>
      <c r="GR422" s="253"/>
      <c r="GS422" s="253"/>
      <c r="GT422" s="253"/>
      <c r="GU422" s="253"/>
      <c r="GV422" s="253"/>
      <c r="GW422" s="253"/>
      <c r="GX422" s="253"/>
      <c r="GY422" s="253"/>
      <c r="GZ422" s="253"/>
      <c r="HA422" s="253"/>
      <c r="HB422" s="253"/>
      <c r="HC422" s="253"/>
      <c r="HD422" s="253"/>
      <c r="HE422" s="253"/>
      <c r="HF422" s="253"/>
      <c r="HG422" s="253"/>
      <c r="HH422" s="253"/>
      <c r="HI422" s="253"/>
      <c r="HJ422" s="253"/>
      <c r="HK422" s="253"/>
      <c r="HL422" s="253"/>
      <c r="HM422" s="253"/>
      <c r="HN422" s="253"/>
      <c r="HO422" s="253"/>
      <c r="HP422" s="253"/>
      <c r="HQ422" s="253"/>
      <c r="HR422" s="253"/>
      <c r="HS422" s="253"/>
      <c r="HT422" s="253"/>
      <c r="HU422" s="253"/>
      <c r="HV422" s="253"/>
      <c r="HW422" s="253"/>
      <c r="HX422" s="253"/>
      <c r="HY422" s="253"/>
      <c r="HZ422" s="253"/>
      <c r="IA422" s="253"/>
      <c r="IB422" s="253"/>
      <c r="IC422" s="253"/>
      <c r="ID422" s="253"/>
      <c r="IE422" s="253"/>
    </row>
    <row r="423" spans="1:239" ht="11.25">
      <c r="A423" s="121">
        <v>103</v>
      </c>
      <c r="B423" s="122" t="str">
        <f>VLOOKUP(A423,[1]INDICE!$A$4:$G$1000,2,0)</f>
        <v>GRADE METÁLICA PARA J1/J7/J16 – 180X136 CM</v>
      </c>
      <c r="C423" s="160" t="str">
        <f>VLOOKUP(A423,[1]INDICE!$A$4:$G$1000,3,0)</f>
        <v>M2</v>
      </c>
      <c r="D423" s="122">
        <f>VLOOKUP(A423,[1]INDICE!$A$4:$G$1000,4,0)</f>
        <v>50.259299999999996</v>
      </c>
      <c r="E423" s="122">
        <f>VLOOKUP(A423,[1]INDICE!$A$4:$G$1000,5,0)</f>
        <v>457.28405224999995</v>
      </c>
      <c r="F423" s="122">
        <f>VLOOKUP(A423,[1]INDICE!$A$4:$G$1000,6,0)</f>
        <v>0</v>
      </c>
      <c r="G423" s="122">
        <f>VLOOKUP(A423,[1]INDICE!$A$4:$G$1000,7,0)</f>
        <v>507.54335224999994</v>
      </c>
      <c r="H423" s="253"/>
      <c r="I423" s="253"/>
      <c r="J423" s="253"/>
      <c r="K423" s="253"/>
      <c r="L423" s="253"/>
      <c r="M423" s="253"/>
      <c r="N423" s="253"/>
      <c r="O423" s="253"/>
      <c r="P423" s="253"/>
      <c r="Q423" s="253"/>
      <c r="R423" s="253" t="b">
        <f t="shared" si="18"/>
        <v>1</v>
      </c>
      <c r="S423" s="253"/>
      <c r="T423" s="253"/>
      <c r="U423" s="253"/>
      <c r="V423" s="253"/>
      <c r="W423" s="253"/>
      <c r="X423" s="253"/>
      <c r="Y423" s="253"/>
      <c r="Z423" s="253"/>
      <c r="AA423" s="253"/>
      <c r="AB423" s="253"/>
      <c r="AC423" s="253"/>
      <c r="AD423" s="253"/>
      <c r="AE423" s="253"/>
      <c r="AF423" s="253"/>
      <c r="AG423" s="253"/>
      <c r="AH423" s="253"/>
      <c r="AI423" s="253"/>
      <c r="AJ423" s="253"/>
      <c r="AK423" s="253"/>
      <c r="AL423" s="253"/>
      <c r="AM423" s="253"/>
      <c r="AN423" s="253"/>
      <c r="AO423" s="253"/>
      <c r="AP423" s="253"/>
      <c r="AQ423" s="253"/>
      <c r="AR423" s="253"/>
      <c r="AS423" s="253"/>
      <c r="AT423" s="253"/>
      <c r="AU423" s="253"/>
      <c r="AV423" s="253"/>
      <c r="AW423" s="253"/>
      <c r="AX423" s="253"/>
      <c r="AY423" s="253"/>
      <c r="AZ423" s="253"/>
      <c r="BA423" s="253"/>
      <c r="BB423" s="253"/>
      <c r="BC423" s="253"/>
      <c r="BD423" s="253"/>
      <c r="BE423" s="253"/>
      <c r="BF423" s="253"/>
      <c r="BG423" s="253"/>
      <c r="BH423" s="253"/>
      <c r="BI423" s="253"/>
      <c r="BJ423" s="253"/>
      <c r="BK423" s="253"/>
      <c r="BL423" s="253"/>
      <c r="BM423" s="253"/>
      <c r="BN423" s="253"/>
      <c r="BO423" s="253"/>
      <c r="BP423" s="253"/>
      <c r="BQ423" s="253"/>
      <c r="BR423" s="253"/>
      <c r="BS423" s="253"/>
      <c r="BT423" s="253"/>
      <c r="BU423" s="253"/>
      <c r="BV423" s="253"/>
      <c r="BW423" s="253"/>
      <c r="BX423" s="253"/>
      <c r="BY423" s="253"/>
      <c r="BZ423" s="253"/>
      <c r="CA423" s="253"/>
      <c r="CB423" s="253"/>
      <c r="CC423" s="253"/>
      <c r="CD423" s="253"/>
      <c r="CE423" s="253"/>
      <c r="CF423" s="253"/>
      <c r="CG423" s="253"/>
      <c r="CH423" s="253"/>
      <c r="CI423" s="253"/>
      <c r="CJ423" s="253"/>
      <c r="CK423" s="253"/>
      <c r="CL423" s="253"/>
      <c r="CM423" s="253"/>
      <c r="CN423" s="253"/>
      <c r="CO423" s="253"/>
      <c r="CP423" s="253"/>
      <c r="CQ423" s="253"/>
      <c r="CR423" s="253"/>
      <c r="CS423" s="253"/>
      <c r="CT423" s="253"/>
      <c r="CU423" s="253"/>
      <c r="CV423" s="253"/>
      <c r="CW423" s="253"/>
      <c r="CX423" s="253"/>
      <c r="CY423" s="253"/>
      <c r="CZ423" s="253"/>
      <c r="DA423" s="253"/>
      <c r="DB423" s="253"/>
      <c r="DC423" s="253"/>
      <c r="DD423" s="253"/>
      <c r="DE423" s="253"/>
      <c r="DF423" s="253"/>
      <c r="DG423" s="253"/>
      <c r="DH423" s="253"/>
      <c r="DI423" s="253"/>
      <c r="DJ423" s="253"/>
      <c r="DK423" s="253"/>
      <c r="DL423" s="253"/>
      <c r="DM423" s="253"/>
      <c r="DN423" s="253"/>
      <c r="DO423" s="253"/>
      <c r="DP423" s="253"/>
      <c r="DQ423" s="253"/>
      <c r="DR423" s="253"/>
      <c r="DS423" s="253"/>
      <c r="DT423" s="253"/>
      <c r="DU423" s="253"/>
      <c r="DV423" s="253"/>
      <c r="DW423" s="253"/>
      <c r="DX423" s="253"/>
      <c r="DY423" s="253"/>
      <c r="DZ423" s="253"/>
      <c r="EA423" s="253"/>
      <c r="EB423" s="253"/>
      <c r="EC423" s="253"/>
      <c r="ED423" s="253"/>
      <c r="EE423" s="253"/>
      <c r="EF423" s="253"/>
      <c r="EG423" s="253"/>
      <c r="EH423" s="253"/>
      <c r="EI423" s="253"/>
      <c r="EJ423" s="253"/>
      <c r="EK423" s="253"/>
      <c r="EL423" s="253"/>
      <c r="EM423" s="253"/>
      <c r="EN423" s="253"/>
      <c r="EO423" s="253"/>
      <c r="EP423" s="253"/>
      <c r="EQ423" s="253"/>
      <c r="ER423" s="253"/>
      <c r="ES423" s="253"/>
      <c r="ET423" s="253"/>
      <c r="EU423" s="253"/>
      <c r="EV423" s="253"/>
      <c r="EW423" s="253"/>
      <c r="EX423" s="253"/>
      <c r="EY423" s="253"/>
      <c r="EZ423" s="253"/>
      <c r="FA423" s="253"/>
      <c r="FB423" s="253"/>
      <c r="FC423" s="253"/>
      <c r="FD423" s="253"/>
      <c r="FE423" s="253"/>
      <c r="FF423" s="253"/>
      <c r="FG423" s="253"/>
      <c r="FH423" s="253"/>
      <c r="FI423" s="253"/>
      <c r="FJ423" s="253"/>
      <c r="FK423" s="253"/>
      <c r="FL423" s="253"/>
      <c r="FM423" s="253"/>
      <c r="FN423" s="253"/>
      <c r="FO423" s="253"/>
      <c r="FP423" s="253"/>
      <c r="FQ423" s="253"/>
      <c r="FR423" s="253"/>
      <c r="FS423" s="253"/>
      <c r="FT423" s="253"/>
      <c r="FU423" s="253"/>
      <c r="FV423" s="253"/>
      <c r="FW423" s="253"/>
      <c r="FX423" s="253"/>
      <c r="FY423" s="253"/>
      <c r="FZ423" s="253"/>
      <c r="GA423" s="253"/>
      <c r="GB423" s="253"/>
      <c r="GC423" s="253"/>
      <c r="GD423" s="253"/>
      <c r="GE423" s="253"/>
      <c r="GF423" s="253"/>
      <c r="GG423" s="253"/>
      <c r="GH423" s="253"/>
      <c r="GI423" s="253"/>
      <c r="GJ423" s="253"/>
      <c r="GK423" s="253"/>
      <c r="GL423" s="253"/>
      <c r="GM423" s="253"/>
      <c r="GN423" s="253"/>
      <c r="GO423" s="253"/>
      <c r="GP423" s="253"/>
      <c r="GQ423" s="253"/>
      <c r="GR423" s="253"/>
      <c r="GS423" s="253"/>
      <c r="GT423" s="253"/>
      <c r="GU423" s="253"/>
      <c r="GV423" s="253"/>
      <c r="GW423" s="253"/>
      <c r="GX423" s="253"/>
      <c r="GY423" s="253"/>
      <c r="GZ423" s="253"/>
      <c r="HA423" s="253"/>
      <c r="HB423" s="253"/>
      <c r="HC423" s="253"/>
      <c r="HD423" s="253"/>
      <c r="HE423" s="253"/>
      <c r="HF423" s="253"/>
      <c r="HG423" s="253"/>
      <c r="HH423" s="253"/>
      <c r="HI423" s="253"/>
      <c r="HJ423" s="253"/>
      <c r="HK423" s="253"/>
      <c r="HL423" s="253"/>
      <c r="HM423" s="253"/>
      <c r="HN423" s="253"/>
      <c r="HO423" s="253"/>
      <c r="HP423" s="253"/>
      <c r="HQ423" s="253"/>
      <c r="HR423" s="253"/>
      <c r="HS423" s="253"/>
      <c r="HT423" s="253"/>
      <c r="HU423" s="253"/>
      <c r="HV423" s="253"/>
      <c r="HW423" s="253"/>
      <c r="HX423" s="253"/>
      <c r="HY423" s="253"/>
      <c r="HZ423" s="253"/>
      <c r="IA423" s="253"/>
      <c r="IB423" s="253"/>
      <c r="IC423" s="253"/>
      <c r="ID423" s="253"/>
      <c r="IE423" s="253"/>
    </row>
    <row r="424" spans="1:239" ht="22.5">
      <c r="A424" s="121">
        <v>37</v>
      </c>
      <c r="B424" s="122" t="str">
        <f>VLOOKUP(A424,[1]INDICE!$A$4:$G$1000,2,0)</f>
        <v>LOCAÇÃO DE PRAÇA, QUADRA, IMPLANTAÇÃO UTILIZANDO CAVALETE, INCLUSIVE PIQUET COM TESTEMUNHA</v>
      </c>
      <c r="C424" s="160" t="str">
        <f>VLOOKUP(A424,[1]INDICE!$A$4:$G$1000,3,0)</f>
        <v>M2</v>
      </c>
      <c r="D424" s="122">
        <f>VLOOKUP(A424,[1]INDICE!$A$4:$G$1000,4,0)</f>
        <v>2.117407</v>
      </c>
      <c r="E424" s="122">
        <f>VLOOKUP(A424,[1]INDICE!$A$4:$G$1000,5,0)</f>
        <v>0.20551599999999998</v>
      </c>
      <c r="F424" s="122">
        <f>VLOOKUP(A424,[1]INDICE!$A$4:$G$1000,6,0)</f>
        <v>0</v>
      </c>
      <c r="G424" s="122">
        <f>VLOOKUP(A424,[1]INDICE!$A$4:$G$1000,7,0)</f>
        <v>2.3229229999999998</v>
      </c>
      <c r="H424" s="253"/>
      <c r="I424" s="253"/>
      <c r="J424" s="253"/>
      <c r="K424" s="253"/>
      <c r="L424" s="253"/>
      <c r="M424" s="253"/>
      <c r="N424" s="253"/>
      <c r="O424" s="253"/>
      <c r="P424" s="253"/>
      <c r="Q424" s="253"/>
      <c r="R424" s="253" t="b">
        <f t="shared" ref="R424:R426" si="20">(D424+E424+F424)=G424</f>
        <v>1</v>
      </c>
      <c r="S424" s="253"/>
      <c r="T424" s="253"/>
      <c r="U424" s="253"/>
      <c r="V424" s="253"/>
      <c r="W424" s="253"/>
      <c r="X424" s="253"/>
      <c r="Y424" s="253"/>
      <c r="Z424" s="253"/>
      <c r="AA424" s="253"/>
      <c r="AB424" s="253"/>
      <c r="AC424" s="253"/>
      <c r="AD424" s="253"/>
      <c r="AE424" s="253"/>
      <c r="AF424" s="253"/>
      <c r="AG424" s="253"/>
      <c r="AH424" s="253"/>
      <c r="AI424" s="253"/>
      <c r="AJ424" s="253"/>
      <c r="AK424" s="253"/>
      <c r="AL424" s="253"/>
      <c r="AM424" s="253"/>
      <c r="AN424" s="253"/>
      <c r="AO424" s="253"/>
      <c r="AP424" s="253"/>
      <c r="AQ424" s="253"/>
      <c r="AR424" s="253"/>
      <c r="AS424" s="253"/>
      <c r="AT424" s="253"/>
      <c r="AU424" s="253"/>
      <c r="AV424" s="253"/>
      <c r="AW424" s="253"/>
      <c r="AX424" s="253"/>
      <c r="AY424" s="253"/>
      <c r="AZ424" s="253"/>
      <c r="BA424" s="253"/>
      <c r="BB424" s="253"/>
      <c r="BC424" s="253"/>
      <c r="BD424" s="253"/>
      <c r="BE424" s="253"/>
      <c r="BF424" s="253"/>
      <c r="BG424" s="253"/>
      <c r="BH424" s="253"/>
      <c r="BI424" s="253"/>
      <c r="BJ424" s="253"/>
      <c r="BK424" s="253"/>
      <c r="BL424" s="253"/>
      <c r="BM424" s="253"/>
      <c r="BN424" s="253"/>
      <c r="BO424" s="253"/>
      <c r="BP424" s="253"/>
      <c r="BQ424" s="253"/>
      <c r="BR424" s="253"/>
      <c r="BS424" s="253"/>
      <c r="BT424" s="253"/>
      <c r="BU424" s="253"/>
      <c r="BV424" s="253"/>
      <c r="BW424" s="253"/>
      <c r="BX424" s="253"/>
      <c r="BY424" s="253"/>
      <c r="BZ424" s="253"/>
      <c r="CA424" s="253"/>
      <c r="CB424" s="253"/>
      <c r="CC424" s="253"/>
      <c r="CD424" s="253"/>
      <c r="CE424" s="253"/>
      <c r="CF424" s="253"/>
      <c r="CG424" s="253"/>
      <c r="CH424" s="253"/>
      <c r="CI424" s="253"/>
      <c r="CJ424" s="253"/>
      <c r="CK424" s="253"/>
      <c r="CL424" s="253"/>
      <c r="CM424" s="253"/>
      <c r="CN424" s="253"/>
      <c r="CO424" s="253"/>
      <c r="CP424" s="253"/>
      <c r="CQ424" s="253"/>
      <c r="CR424" s="253"/>
      <c r="CS424" s="253"/>
      <c r="CT424" s="253"/>
      <c r="CU424" s="253"/>
      <c r="CV424" s="253"/>
      <c r="CW424" s="253"/>
      <c r="CX424" s="253"/>
      <c r="CY424" s="253"/>
      <c r="CZ424" s="253"/>
      <c r="DA424" s="253"/>
      <c r="DB424" s="253"/>
      <c r="DC424" s="253"/>
      <c r="DD424" s="253"/>
      <c r="DE424" s="253"/>
      <c r="DF424" s="253"/>
      <c r="DG424" s="253"/>
      <c r="DH424" s="253"/>
      <c r="DI424" s="253"/>
      <c r="DJ424" s="253"/>
      <c r="DK424" s="253"/>
      <c r="DL424" s="253"/>
      <c r="DM424" s="253"/>
      <c r="DN424" s="253"/>
      <c r="DO424" s="253"/>
      <c r="DP424" s="253"/>
      <c r="DQ424" s="253"/>
      <c r="DR424" s="253"/>
      <c r="DS424" s="253"/>
      <c r="DT424" s="253"/>
      <c r="DU424" s="253"/>
      <c r="DV424" s="253"/>
      <c r="DW424" s="253"/>
      <c r="DX424" s="253"/>
      <c r="DY424" s="253"/>
      <c r="DZ424" s="253"/>
      <c r="EA424" s="253"/>
      <c r="EB424" s="253"/>
      <c r="EC424" s="253"/>
      <c r="ED424" s="253"/>
      <c r="EE424" s="253"/>
      <c r="EF424" s="253"/>
      <c r="EG424" s="253"/>
      <c r="EH424" s="253"/>
      <c r="EI424" s="253"/>
      <c r="EJ424" s="253"/>
      <c r="EK424" s="253"/>
      <c r="EL424" s="253"/>
      <c r="EM424" s="253"/>
      <c r="EN424" s="253"/>
      <c r="EO424" s="253"/>
      <c r="EP424" s="253"/>
      <c r="EQ424" s="253"/>
      <c r="ER424" s="253"/>
      <c r="ES424" s="253"/>
      <c r="ET424" s="253"/>
      <c r="EU424" s="253"/>
      <c r="EV424" s="253"/>
      <c r="EW424" s="253"/>
      <c r="EX424" s="253"/>
      <c r="EY424" s="253"/>
      <c r="EZ424" s="253"/>
      <c r="FA424" s="253"/>
      <c r="FB424" s="253"/>
      <c r="FC424" s="253"/>
      <c r="FD424" s="253"/>
      <c r="FE424" s="253"/>
      <c r="FF424" s="253"/>
      <c r="FG424" s="253"/>
      <c r="FH424" s="253"/>
      <c r="FI424" s="253"/>
      <c r="FJ424" s="253"/>
      <c r="FK424" s="253"/>
      <c r="FL424" s="253"/>
      <c r="FM424" s="253"/>
      <c r="FN424" s="253"/>
      <c r="FO424" s="253"/>
      <c r="FP424" s="253"/>
      <c r="FQ424" s="253"/>
      <c r="FR424" s="253"/>
      <c r="FS424" s="253"/>
      <c r="FT424" s="253"/>
      <c r="FU424" s="253"/>
      <c r="FV424" s="253"/>
      <c r="FW424" s="253"/>
      <c r="FX424" s="253"/>
      <c r="FY424" s="253"/>
      <c r="FZ424" s="253"/>
      <c r="GA424" s="253"/>
      <c r="GB424" s="253"/>
      <c r="GC424" s="253"/>
      <c r="GD424" s="253"/>
      <c r="GE424" s="253"/>
      <c r="GF424" s="253"/>
      <c r="GG424" s="253"/>
      <c r="GH424" s="253"/>
      <c r="GI424" s="253"/>
      <c r="GJ424" s="253"/>
      <c r="GK424" s="253"/>
      <c r="GL424" s="253"/>
      <c r="GM424" s="253"/>
      <c r="GN424" s="253"/>
      <c r="GO424" s="253"/>
      <c r="GP424" s="253"/>
      <c r="GQ424" s="253"/>
      <c r="GR424" s="253"/>
      <c r="GS424" s="253"/>
      <c r="GT424" s="253"/>
      <c r="GU424" s="253"/>
      <c r="GV424" s="253"/>
      <c r="GW424" s="253"/>
      <c r="GX424" s="253"/>
      <c r="GY424" s="253"/>
      <c r="GZ424" s="253"/>
      <c r="HA424" s="253"/>
      <c r="HB424" s="253"/>
      <c r="HC424" s="253"/>
      <c r="HD424" s="253"/>
      <c r="HE424" s="253"/>
      <c r="HF424" s="253"/>
      <c r="HG424" s="253"/>
      <c r="HH424" s="253"/>
      <c r="HI424" s="253"/>
      <c r="HJ424" s="253"/>
      <c r="HK424" s="253"/>
      <c r="HL424" s="253"/>
      <c r="HM424" s="253"/>
      <c r="HN424" s="253"/>
      <c r="HO424" s="253"/>
      <c r="HP424" s="253"/>
      <c r="HQ424" s="253"/>
      <c r="HR424" s="253"/>
      <c r="HS424" s="253"/>
      <c r="HT424" s="253"/>
      <c r="HU424" s="253"/>
      <c r="HV424" s="253"/>
      <c r="HW424" s="253"/>
      <c r="HX424" s="253"/>
      <c r="HY424" s="253"/>
      <c r="HZ424" s="253"/>
      <c r="IA424" s="253"/>
      <c r="IB424" s="253"/>
      <c r="IC424" s="253"/>
      <c r="ID424" s="253"/>
      <c r="IE424" s="253"/>
    </row>
    <row r="425" spans="1:239" ht="11.25">
      <c r="A425" s="121">
        <v>372</v>
      </c>
      <c r="B425" s="122" t="str">
        <f>VLOOKUP(A425,[1]INDICE!$A$4:$G$1000,2,0)</f>
        <v>TAMPA DE Fo.Fo. R1 COM BASE</v>
      </c>
      <c r="C425" s="160" t="str">
        <f>VLOOKUP(A425,[1]INDICE!$A$4:$G$1000,3,0)</f>
        <v>UN</v>
      </c>
      <c r="D425" s="122">
        <f>VLOOKUP(A425,[1]INDICE!$A$4:$G$1000,4,0)</f>
        <v>3.863</v>
      </c>
      <c r="E425" s="122">
        <f>VLOOKUP(A425,[1]INDICE!$A$4:$G$1000,5,0)</f>
        <v>207.66</v>
      </c>
      <c r="F425" s="122">
        <f>VLOOKUP(A425,[1]INDICE!$A$4:$G$1000,6,0)</f>
        <v>0</v>
      </c>
      <c r="G425" s="122">
        <f>VLOOKUP(A425,[1]INDICE!$A$4:$G$1000,7,0)</f>
        <v>211.523</v>
      </c>
      <c r="H425" s="253"/>
      <c r="I425" s="253"/>
      <c r="J425" s="253"/>
      <c r="K425" s="253"/>
      <c r="L425" s="253"/>
      <c r="M425" s="253"/>
      <c r="N425" s="253"/>
      <c r="O425" s="253"/>
      <c r="P425" s="253"/>
      <c r="Q425" s="253"/>
      <c r="R425" s="253" t="b">
        <f t="shared" si="20"/>
        <v>1</v>
      </c>
      <c r="S425" s="253"/>
      <c r="T425" s="253"/>
      <c r="U425" s="253"/>
      <c r="V425" s="253"/>
      <c r="W425" s="253"/>
      <c r="X425" s="253"/>
      <c r="Y425" s="253"/>
      <c r="Z425" s="253"/>
      <c r="AA425" s="253"/>
      <c r="AB425" s="253"/>
      <c r="AC425" s="253"/>
      <c r="AD425" s="253"/>
      <c r="AE425" s="253"/>
      <c r="AF425" s="253"/>
      <c r="AG425" s="253"/>
      <c r="AH425" s="253"/>
      <c r="AI425" s="253"/>
      <c r="AJ425" s="253"/>
      <c r="AK425" s="253"/>
      <c r="AL425" s="253"/>
      <c r="AM425" s="253"/>
      <c r="AN425" s="253"/>
      <c r="AO425" s="253"/>
      <c r="AP425" s="253"/>
      <c r="AQ425" s="253"/>
      <c r="AR425" s="253"/>
      <c r="AS425" s="253"/>
      <c r="AT425" s="253"/>
      <c r="AU425" s="253"/>
      <c r="AV425" s="253"/>
      <c r="AW425" s="253"/>
      <c r="AX425" s="253"/>
      <c r="AY425" s="253"/>
      <c r="AZ425" s="253"/>
      <c r="BA425" s="253"/>
      <c r="BB425" s="253"/>
      <c r="BC425" s="253"/>
      <c r="BD425" s="253"/>
      <c r="BE425" s="253"/>
      <c r="BF425" s="253"/>
      <c r="BG425" s="253"/>
      <c r="BH425" s="253"/>
      <c r="BI425" s="253"/>
      <c r="BJ425" s="253"/>
      <c r="BK425" s="253"/>
      <c r="BL425" s="253"/>
      <c r="BM425" s="253"/>
      <c r="BN425" s="253"/>
      <c r="BO425" s="253"/>
      <c r="BP425" s="253"/>
      <c r="BQ425" s="253"/>
      <c r="BR425" s="253"/>
      <c r="BS425" s="253"/>
      <c r="BT425" s="253"/>
      <c r="BU425" s="253"/>
      <c r="BV425" s="253"/>
      <c r="BW425" s="253"/>
      <c r="BX425" s="253"/>
      <c r="BY425" s="253"/>
      <c r="BZ425" s="253"/>
      <c r="CA425" s="253"/>
      <c r="CB425" s="253"/>
      <c r="CC425" s="253"/>
      <c r="CD425" s="253"/>
      <c r="CE425" s="253"/>
      <c r="CF425" s="253"/>
      <c r="CG425" s="253"/>
      <c r="CH425" s="253"/>
      <c r="CI425" s="253"/>
      <c r="CJ425" s="253"/>
      <c r="CK425" s="253"/>
      <c r="CL425" s="253"/>
      <c r="CM425" s="253"/>
      <c r="CN425" s="253"/>
      <c r="CO425" s="253"/>
      <c r="CP425" s="253"/>
      <c r="CQ425" s="253"/>
      <c r="CR425" s="253"/>
      <c r="CS425" s="253"/>
      <c r="CT425" s="253"/>
      <c r="CU425" s="253"/>
      <c r="CV425" s="253"/>
      <c r="CW425" s="253"/>
      <c r="CX425" s="253"/>
      <c r="CY425" s="253"/>
      <c r="CZ425" s="253"/>
      <c r="DA425" s="253"/>
      <c r="DB425" s="253"/>
      <c r="DC425" s="253"/>
      <c r="DD425" s="253"/>
      <c r="DE425" s="253"/>
      <c r="DF425" s="253"/>
      <c r="DG425" s="253"/>
      <c r="DH425" s="253"/>
      <c r="DI425" s="253"/>
      <c r="DJ425" s="253"/>
      <c r="DK425" s="253"/>
      <c r="DL425" s="253"/>
      <c r="DM425" s="253"/>
      <c r="DN425" s="253"/>
      <c r="DO425" s="253"/>
      <c r="DP425" s="253"/>
      <c r="DQ425" s="253"/>
      <c r="DR425" s="253"/>
      <c r="DS425" s="253"/>
      <c r="DT425" s="253"/>
      <c r="DU425" s="253"/>
      <c r="DV425" s="253"/>
      <c r="DW425" s="253"/>
      <c r="DX425" s="253"/>
      <c r="DY425" s="253"/>
      <c r="DZ425" s="253"/>
      <c r="EA425" s="253"/>
      <c r="EB425" s="253"/>
      <c r="EC425" s="253"/>
      <c r="ED425" s="253"/>
      <c r="EE425" s="253"/>
      <c r="EF425" s="253"/>
      <c r="EG425" s="253"/>
      <c r="EH425" s="253"/>
      <c r="EI425" s="253"/>
      <c r="EJ425" s="253"/>
      <c r="EK425" s="253"/>
      <c r="EL425" s="253"/>
      <c r="EM425" s="253"/>
      <c r="EN425" s="253"/>
      <c r="EO425" s="253"/>
      <c r="EP425" s="253"/>
      <c r="EQ425" s="253"/>
      <c r="ER425" s="253"/>
      <c r="ES425" s="253"/>
      <c r="ET425" s="253"/>
      <c r="EU425" s="253"/>
      <c r="EV425" s="253"/>
      <c r="EW425" s="253"/>
      <c r="EX425" s="253"/>
      <c r="EY425" s="253"/>
      <c r="EZ425" s="253"/>
      <c r="FA425" s="253"/>
      <c r="FB425" s="253"/>
      <c r="FC425" s="253"/>
      <c r="FD425" s="253"/>
      <c r="FE425" s="253"/>
      <c r="FF425" s="253"/>
      <c r="FG425" s="253"/>
      <c r="FH425" s="253"/>
      <c r="FI425" s="253"/>
      <c r="FJ425" s="253"/>
      <c r="FK425" s="253"/>
      <c r="FL425" s="253"/>
      <c r="FM425" s="253"/>
      <c r="FN425" s="253"/>
      <c r="FO425" s="253"/>
      <c r="FP425" s="253"/>
      <c r="FQ425" s="253"/>
      <c r="FR425" s="253"/>
      <c r="FS425" s="253"/>
      <c r="FT425" s="253"/>
      <c r="FU425" s="253"/>
      <c r="FV425" s="253"/>
      <c r="FW425" s="253"/>
      <c r="FX425" s="253"/>
      <c r="FY425" s="253"/>
      <c r="FZ425" s="253"/>
      <c r="GA425" s="253"/>
      <c r="GB425" s="253"/>
      <c r="GC425" s="253"/>
      <c r="GD425" s="253"/>
      <c r="GE425" s="253"/>
      <c r="GF425" s="253"/>
      <c r="GG425" s="253"/>
      <c r="GH425" s="253"/>
      <c r="GI425" s="253"/>
      <c r="GJ425" s="253"/>
      <c r="GK425" s="253"/>
      <c r="GL425" s="253"/>
      <c r="GM425" s="253"/>
      <c r="GN425" s="253"/>
      <c r="GO425" s="253"/>
      <c r="GP425" s="253"/>
      <c r="GQ425" s="253"/>
      <c r="GR425" s="253"/>
      <c r="GS425" s="253"/>
      <c r="GT425" s="253"/>
      <c r="GU425" s="253"/>
      <c r="GV425" s="253"/>
      <c r="GW425" s="253"/>
      <c r="GX425" s="253"/>
      <c r="GY425" s="253"/>
      <c r="GZ425" s="253"/>
      <c r="HA425" s="253"/>
      <c r="HB425" s="253"/>
      <c r="HC425" s="253"/>
      <c r="HD425" s="253"/>
      <c r="HE425" s="253"/>
      <c r="HF425" s="253"/>
      <c r="HG425" s="253"/>
      <c r="HH425" s="253"/>
      <c r="HI425" s="253"/>
      <c r="HJ425" s="253"/>
      <c r="HK425" s="253"/>
      <c r="HL425" s="253"/>
      <c r="HM425" s="253"/>
      <c r="HN425" s="253"/>
      <c r="HO425" s="253"/>
      <c r="HP425" s="253"/>
      <c r="HQ425" s="253"/>
      <c r="HR425" s="253"/>
      <c r="HS425" s="253"/>
      <c r="HT425" s="253"/>
      <c r="HU425" s="253"/>
      <c r="HV425" s="253"/>
      <c r="HW425" s="253"/>
      <c r="HX425" s="253"/>
      <c r="HY425" s="253"/>
      <c r="HZ425" s="253"/>
      <c r="IA425" s="253"/>
      <c r="IB425" s="253"/>
      <c r="IC425" s="253"/>
      <c r="ID425" s="253"/>
      <c r="IE425" s="253"/>
    </row>
    <row r="426" spans="1:239" ht="11.25">
      <c r="A426" s="121">
        <v>632</v>
      </c>
      <c r="B426" s="122" t="str">
        <f>VLOOKUP(A426,[1]INDICE!$A$4:$G$1000,2,0)</f>
        <v>TAMPA PARA CAIXA PASSAGEM FERRO FUNDIDO</v>
      </c>
      <c r="C426" s="160" t="str">
        <f>VLOOKUP(A426,[1]INDICE!$A$4:$G$1000,3,0)</f>
        <v>UN</v>
      </c>
      <c r="D426" s="122">
        <f>VLOOKUP(A426,[1]INDICE!$A$4:$G$1000,4,0)</f>
        <v>5107.3470539999998</v>
      </c>
      <c r="E426" s="122">
        <f>VLOOKUP(A426,[1]INDICE!$A$4:$G$1000,5,0)</f>
        <v>4750.1083892148772</v>
      </c>
      <c r="F426" s="122">
        <f>VLOOKUP(A426,[1]INDICE!$A$4:$G$1000,6,0)</f>
        <v>0</v>
      </c>
      <c r="G426" s="122">
        <f>VLOOKUP(A426,[1]INDICE!$A$4:$G$1000,7,0)</f>
        <v>9857.4554432148761</v>
      </c>
      <c r="H426" s="253"/>
      <c r="I426" s="253"/>
      <c r="J426" s="253"/>
      <c r="K426" s="253"/>
      <c r="L426" s="253"/>
      <c r="M426" s="253"/>
      <c r="N426" s="253"/>
      <c r="O426" s="253"/>
      <c r="P426" s="253"/>
      <c r="Q426" s="253"/>
      <c r="R426" s="253" t="b">
        <f t="shared" si="20"/>
        <v>1</v>
      </c>
      <c r="S426" s="253"/>
      <c r="T426" s="253"/>
      <c r="U426" s="253"/>
      <c r="V426" s="253"/>
      <c r="W426" s="253"/>
      <c r="X426" s="253"/>
      <c r="Y426" s="253"/>
      <c r="Z426" s="253"/>
      <c r="AA426" s="253"/>
      <c r="AB426" s="253"/>
      <c r="AC426" s="253"/>
      <c r="AD426" s="253"/>
      <c r="AE426" s="253"/>
      <c r="AF426" s="253"/>
      <c r="AG426" s="253"/>
      <c r="AH426" s="253"/>
      <c r="AI426" s="253"/>
      <c r="AJ426" s="253"/>
      <c r="AK426" s="253"/>
      <c r="AL426" s="253"/>
      <c r="AM426" s="253"/>
      <c r="AN426" s="253"/>
      <c r="AO426" s="253"/>
      <c r="AP426" s="253"/>
      <c r="AQ426" s="253"/>
      <c r="AR426" s="253"/>
      <c r="AS426" s="253"/>
      <c r="AT426" s="253"/>
      <c r="AU426" s="253"/>
      <c r="AV426" s="253"/>
      <c r="AW426" s="253"/>
      <c r="AX426" s="253"/>
      <c r="AY426" s="253"/>
      <c r="AZ426" s="253"/>
      <c r="BA426" s="253"/>
      <c r="BB426" s="253"/>
      <c r="BC426" s="253"/>
      <c r="BD426" s="253"/>
      <c r="BE426" s="253"/>
      <c r="BF426" s="253"/>
      <c r="BG426" s="253"/>
      <c r="BH426" s="253"/>
      <c r="BI426" s="253"/>
      <c r="BJ426" s="253"/>
      <c r="BK426" s="253"/>
      <c r="BL426" s="253"/>
      <c r="BM426" s="253"/>
      <c r="BN426" s="253"/>
      <c r="BO426" s="253"/>
      <c r="BP426" s="253"/>
      <c r="BQ426" s="253"/>
      <c r="BR426" s="253"/>
      <c r="BS426" s="253"/>
      <c r="BT426" s="253"/>
      <c r="BU426" s="253"/>
      <c r="BV426" s="253"/>
      <c r="BW426" s="253"/>
      <c r="BX426" s="253"/>
      <c r="BY426" s="253"/>
      <c r="BZ426" s="253"/>
      <c r="CA426" s="253"/>
      <c r="CB426" s="253"/>
      <c r="CC426" s="253"/>
      <c r="CD426" s="253"/>
      <c r="CE426" s="253"/>
      <c r="CF426" s="253"/>
      <c r="CG426" s="253"/>
      <c r="CH426" s="253"/>
      <c r="CI426" s="253"/>
      <c r="CJ426" s="253"/>
      <c r="CK426" s="253"/>
      <c r="CL426" s="253"/>
      <c r="CM426" s="253"/>
      <c r="CN426" s="253"/>
      <c r="CO426" s="253"/>
      <c r="CP426" s="253"/>
      <c r="CQ426" s="253"/>
      <c r="CR426" s="253"/>
      <c r="CS426" s="253"/>
      <c r="CT426" s="253"/>
      <c r="CU426" s="253"/>
      <c r="CV426" s="253"/>
      <c r="CW426" s="253"/>
      <c r="CX426" s="253"/>
      <c r="CY426" s="253"/>
      <c r="CZ426" s="253"/>
      <c r="DA426" s="253"/>
      <c r="DB426" s="253"/>
      <c r="DC426" s="253"/>
      <c r="DD426" s="253"/>
      <c r="DE426" s="253"/>
      <c r="DF426" s="253"/>
      <c r="DG426" s="253"/>
      <c r="DH426" s="253"/>
      <c r="DI426" s="253"/>
      <c r="DJ426" s="253"/>
      <c r="DK426" s="253"/>
      <c r="DL426" s="253"/>
      <c r="DM426" s="253"/>
      <c r="DN426" s="253"/>
      <c r="DO426" s="253"/>
      <c r="DP426" s="253"/>
      <c r="DQ426" s="253"/>
      <c r="DR426" s="253"/>
      <c r="DS426" s="253"/>
      <c r="DT426" s="253"/>
      <c r="DU426" s="253"/>
      <c r="DV426" s="253"/>
      <c r="DW426" s="253"/>
      <c r="DX426" s="253"/>
      <c r="DY426" s="253"/>
      <c r="DZ426" s="253"/>
      <c r="EA426" s="253"/>
      <c r="EB426" s="253"/>
      <c r="EC426" s="253"/>
      <c r="ED426" s="253"/>
      <c r="EE426" s="253"/>
      <c r="EF426" s="253"/>
      <c r="EG426" s="253"/>
      <c r="EH426" s="253"/>
      <c r="EI426" s="253"/>
      <c r="EJ426" s="253"/>
      <c r="EK426" s="253"/>
      <c r="EL426" s="253"/>
      <c r="EM426" s="253"/>
      <c r="EN426" s="253"/>
      <c r="EO426" s="253"/>
      <c r="EP426" s="253"/>
      <c r="EQ426" s="253"/>
      <c r="ER426" s="253"/>
      <c r="ES426" s="253"/>
      <c r="ET426" s="253"/>
      <c r="EU426" s="253"/>
      <c r="EV426" s="253"/>
      <c r="EW426" s="253"/>
      <c r="EX426" s="253"/>
      <c r="EY426" s="253"/>
      <c r="EZ426" s="253"/>
      <c r="FA426" s="253"/>
      <c r="FB426" s="253"/>
      <c r="FC426" s="253"/>
      <c r="FD426" s="253"/>
      <c r="FE426" s="253"/>
      <c r="FF426" s="253"/>
      <c r="FG426" s="253"/>
      <c r="FH426" s="253"/>
      <c r="FI426" s="253"/>
      <c r="FJ426" s="253"/>
      <c r="FK426" s="253"/>
      <c r="FL426" s="253"/>
      <c r="FM426" s="253"/>
      <c r="FN426" s="253"/>
      <c r="FO426" s="253"/>
      <c r="FP426" s="253"/>
      <c r="FQ426" s="253"/>
      <c r="FR426" s="253"/>
      <c r="FS426" s="253"/>
      <c r="FT426" s="253"/>
      <c r="FU426" s="253"/>
      <c r="FV426" s="253"/>
      <c r="FW426" s="253"/>
      <c r="FX426" s="253"/>
      <c r="FY426" s="253"/>
      <c r="FZ426" s="253"/>
      <c r="GA426" s="253"/>
      <c r="GB426" s="253"/>
      <c r="GC426" s="253"/>
      <c r="GD426" s="253"/>
      <c r="GE426" s="253"/>
      <c r="GF426" s="253"/>
      <c r="GG426" s="253"/>
      <c r="GH426" s="253"/>
      <c r="GI426" s="253"/>
      <c r="GJ426" s="253"/>
      <c r="GK426" s="253"/>
      <c r="GL426" s="253"/>
      <c r="GM426" s="253"/>
      <c r="GN426" s="253"/>
      <c r="GO426" s="253"/>
      <c r="GP426" s="253"/>
      <c r="GQ426" s="253"/>
      <c r="GR426" s="253"/>
      <c r="GS426" s="253"/>
      <c r="GT426" s="253"/>
      <c r="GU426" s="253"/>
      <c r="GV426" s="253"/>
      <c r="GW426" s="253"/>
      <c r="GX426" s="253"/>
      <c r="GY426" s="253"/>
      <c r="GZ426" s="253"/>
      <c r="HA426" s="253"/>
      <c r="HB426" s="253"/>
      <c r="HC426" s="253"/>
      <c r="HD426" s="253"/>
      <c r="HE426" s="253"/>
      <c r="HF426" s="253"/>
      <c r="HG426" s="253"/>
      <c r="HH426" s="253"/>
      <c r="HI426" s="253"/>
      <c r="HJ426" s="253"/>
      <c r="HK426" s="253"/>
      <c r="HL426" s="253"/>
      <c r="HM426" s="253"/>
      <c r="HN426" s="253"/>
      <c r="HO426" s="253"/>
      <c r="HP426" s="253"/>
      <c r="HQ426" s="253"/>
      <c r="HR426" s="253"/>
      <c r="HS426" s="253"/>
      <c r="HT426" s="253"/>
      <c r="HU426" s="253"/>
      <c r="HV426" s="253"/>
      <c r="HW426" s="253"/>
      <c r="HX426" s="253"/>
      <c r="HY426" s="253"/>
      <c r="HZ426" s="253"/>
      <c r="IA426" s="253"/>
      <c r="IB426" s="253"/>
      <c r="IC426" s="253"/>
      <c r="ID426" s="253"/>
      <c r="IE426" s="253"/>
    </row>
    <row r="427" spans="1:239" ht="11.25">
      <c r="A427" s="114">
        <v>450</v>
      </c>
      <c r="B427" s="122" t="str">
        <f>VLOOKUP(A427,[1]INDICE!$A$4:$G$1000,2,0)</f>
        <v>TRANSPORTE DE ENTULHO EM CAÇAMBA ESTACIONÁRIA INCLUSO A CARGA MANUAL</v>
      </c>
      <c r="C427" s="160" t="str">
        <f>VLOOKUP(A427,[1]INDICE!$A$4:$G$1000,3,0)</f>
        <v>M3</v>
      </c>
      <c r="D427" s="122">
        <f>VLOOKUP(A427,[1]INDICE!$A$4:$G$1000,4,0)</f>
        <v>10.879199999999999</v>
      </c>
      <c r="E427" s="122">
        <f>VLOOKUP(A427,[1]INDICE!$A$4:$G$1000,5,0)</f>
        <v>50.39</v>
      </c>
      <c r="F427" s="122">
        <f>VLOOKUP(A427,[1]INDICE!$A$4:$G$1000,6,0)</f>
        <v>0</v>
      </c>
      <c r="G427" s="122">
        <f>VLOOKUP(A427,[1]INDICE!$A$4:$G$1000,7,0)</f>
        <v>61.269199999999998</v>
      </c>
      <c r="H427" s="253"/>
      <c r="I427" s="253"/>
      <c r="J427" s="253"/>
      <c r="K427" s="253"/>
      <c r="L427" s="253"/>
      <c r="M427" s="253"/>
      <c r="N427" s="253"/>
      <c r="O427" s="253"/>
      <c r="P427" s="253"/>
      <c r="Q427" s="253"/>
      <c r="R427" s="253" t="b">
        <f t="shared" ref="R427:R428" si="21">(D427+E427+F427)=G427</f>
        <v>1</v>
      </c>
    </row>
    <row r="428" spans="1:239" ht="11.25">
      <c r="A428" s="114">
        <v>617</v>
      </c>
      <c r="B428" s="122" t="str">
        <f>VLOOKUP(A428,[1]INDICE!$A$4:$G$1000,2,0)</f>
        <v>MEIA SABONETEIRA EM LOUÇA DE EMBUTIR</v>
      </c>
      <c r="C428" s="160" t="str">
        <f>VLOOKUP(A428,[1]INDICE!$A$4:$G$1000,3,0)</f>
        <v>UN</v>
      </c>
      <c r="D428" s="122">
        <f>VLOOKUP(A428,[1]INDICE!$A$4:$G$1000,4,0)</f>
        <v>18.405000000000001</v>
      </c>
      <c r="E428" s="122">
        <f>VLOOKUP(A428,[1]INDICE!$A$4:$G$1000,5,0)</f>
        <v>21.501000000000001</v>
      </c>
      <c r="F428" s="122">
        <f>VLOOKUP(A428,[1]INDICE!$A$4:$G$1000,6,0)</f>
        <v>0</v>
      </c>
      <c r="G428" s="122">
        <f>VLOOKUP(A428,[1]INDICE!$A$4:$G$1000,7,0)</f>
        <v>39.906000000000006</v>
      </c>
      <c r="R428" s="253" t="b">
        <f t="shared" si="21"/>
        <v>1</v>
      </c>
    </row>
    <row r="429" spans="1:239" ht="11.25">
      <c r="A429" s="114">
        <v>377</v>
      </c>
      <c r="B429" s="122" t="str">
        <f>VLOOKUP(A429,[1]INDICE!$A$4:$G$10000,2,0)</f>
        <v>TAMPA DE Fo.Fo. R2 COM BASE</v>
      </c>
      <c r="C429" s="160" t="str">
        <f>VLOOKUP(A429,[1]INDICE!$A$4:$G$1000,3,0)</f>
        <v>UN</v>
      </c>
      <c r="D429" s="122">
        <f>VLOOKUP(A429,[1]INDICE!$A$4:$G$1000,4,0)</f>
        <v>9.6574999999999989</v>
      </c>
      <c r="E429" s="122">
        <f>VLOOKUP(A429,[1]INDICE!$A$4:$G$1000,5,0)</f>
        <v>780.31</v>
      </c>
      <c r="F429" s="122">
        <f>VLOOKUP(A429,[1]INDICE!$A$4:$G$1000,6,0)</f>
        <v>0</v>
      </c>
      <c r="G429" s="122">
        <f>VLOOKUP(A429,[1]INDICE!$A$4:$G$1000,7,0)</f>
        <v>789.96749999999997</v>
      </c>
      <c r="H429" s="253"/>
      <c r="I429" s="253"/>
      <c r="J429" s="253"/>
      <c r="K429" s="253"/>
      <c r="L429" s="253"/>
      <c r="M429" s="253"/>
      <c r="N429" s="253"/>
      <c r="O429" s="253"/>
      <c r="P429" s="253"/>
      <c r="Q429" s="253"/>
      <c r="R429" s="253" t="b">
        <f t="shared" ref="R429" si="22">(D429+E429+F429)=G429</f>
        <v>1</v>
      </c>
    </row>
    <row r="430" spans="1:239" ht="11.25">
      <c r="A430" s="114">
        <v>400</v>
      </c>
      <c r="B430" s="122" t="str">
        <f>VLOOKUP(A430,[1]INDICE!$A$4:$G$10000,2,0)</f>
        <v>SUPORTE PADRÃO PARA TABELA BASQUETE EM “U” ENRIJECIDO – 2 UNIDADES</v>
      </c>
      <c r="C430" s="160" t="str">
        <f>VLOOKUP(A430,[1]INDICE!$A$4:$G$1000,3,0)</f>
        <v>CJ</v>
      </c>
      <c r="D430" s="122">
        <f>VLOOKUP(A430,[1]INDICE!$A$4:$G$1000,4,0)</f>
        <v>2620.712669</v>
      </c>
      <c r="E430" s="122">
        <f>VLOOKUP(A430,[1]INDICE!$A$4:$G$1000,5,0)</f>
        <v>4169.8134869999985</v>
      </c>
      <c r="F430" s="122">
        <f>VLOOKUP(A430,[1]INDICE!$A$4:$G$1000,6,0)</f>
        <v>0</v>
      </c>
      <c r="G430" s="122">
        <f>VLOOKUP(A430,[1]INDICE!$A$4:$G$1000,7,0)</f>
        <v>6790.5261559999981</v>
      </c>
      <c r="H430" s="253"/>
      <c r="I430" s="253"/>
      <c r="J430" s="253"/>
      <c r="K430" s="253"/>
      <c r="L430" s="253"/>
      <c r="M430" s="253"/>
      <c r="N430" s="253"/>
      <c r="O430" s="253"/>
      <c r="P430" s="253"/>
      <c r="Q430" s="253"/>
      <c r="R430" s="253" t="b">
        <f t="shared" ref="R430" si="23">(D430+E430+F430)=G430</f>
        <v>1</v>
      </c>
    </row>
  </sheetData>
  <sheetProtection selectLockedCells="1" selectUnlockedCells="1"/>
  <autoFilter ref="A4:G408" xr:uid="{00000000-0009-0000-0000-000010000000}">
    <sortState xmlns:xlrd2="http://schemas.microsoft.com/office/spreadsheetml/2017/richdata2" ref="A5:G421">
      <sortCondition ref="A4:A408"/>
    </sortState>
  </autoFilter>
  <mergeCells count="8">
    <mergeCell ref="G2:G3"/>
    <mergeCell ref="A1:B1"/>
    <mergeCell ref="A2:A3"/>
    <mergeCell ref="B2:B3"/>
    <mergeCell ref="D2:D3"/>
    <mergeCell ref="E2:E3"/>
    <mergeCell ref="F2:F3"/>
    <mergeCell ref="C2:C3"/>
  </mergeCells>
  <pageMargins left="0.78749999999999998" right="0.78749999999999998" top="1.476388888888889" bottom="1.476388888888889" header="0.51180555555555551" footer="0.51180555555555551"/>
  <pageSetup paperSize="9" firstPageNumber="0" pageOrder="overThenDown"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F6790"/>
  <sheetViews>
    <sheetView zoomScale="82" zoomScaleNormal="82" workbookViewId="0">
      <pane xSplit="2" ySplit="6" topLeftCell="C133" activePane="bottomRight" state="frozen"/>
      <selection activeCell="C7" sqref="C7"/>
      <selection pane="topRight" activeCell="C7" sqref="C7"/>
      <selection pane="bottomLeft" activeCell="C7" sqref="C7"/>
      <selection pane="bottomRight" activeCell="F138" sqref="F138"/>
    </sheetView>
  </sheetViews>
  <sheetFormatPr defaultColWidth="13.85546875" defaultRowHeight="15"/>
  <cols>
    <col min="1" max="1" width="13.85546875" style="96"/>
    <col min="2" max="2" width="103.7109375" style="88" customWidth="1"/>
    <col min="3" max="3" width="13.85546875" style="111"/>
    <col min="4" max="8" width="17.7109375" style="88" customWidth="1"/>
    <col min="9" max="9" width="13.85546875" style="88"/>
    <col min="10" max="10" width="14.42578125" style="88" bestFit="1" customWidth="1"/>
    <col min="11" max="13" width="13.85546875" style="88"/>
    <col min="14" max="16" width="13.85546875" style="12"/>
    <col min="17" max="16384" width="13.85546875" style="88"/>
  </cols>
  <sheetData>
    <row r="1" spans="1:32" ht="13.5" customHeight="1">
      <c r="A1" s="705" t="s">
        <v>6950</v>
      </c>
      <c r="B1" s="706"/>
      <c r="C1" s="706"/>
      <c r="D1" s="706"/>
      <c r="E1" s="706"/>
      <c r="F1" s="706"/>
      <c r="G1" s="706"/>
      <c r="H1" s="706"/>
      <c r="I1" s="706"/>
      <c r="J1" s="706"/>
      <c r="K1" s="706"/>
      <c r="L1" s="706"/>
      <c r="M1" s="706"/>
      <c r="N1" s="706"/>
      <c r="O1" s="706"/>
      <c r="P1" s="706"/>
      <c r="Q1" s="706"/>
      <c r="R1" s="706"/>
      <c r="S1" s="706"/>
      <c r="T1" s="706"/>
      <c r="U1" s="706"/>
      <c r="V1" s="706"/>
      <c r="W1" s="706"/>
      <c r="X1" s="706"/>
      <c r="Y1" s="706"/>
      <c r="Z1" s="706"/>
      <c r="AA1" s="706"/>
      <c r="AB1" s="706"/>
      <c r="AC1" s="706"/>
      <c r="AD1" s="706"/>
      <c r="AE1" s="706"/>
      <c r="AF1" s="706"/>
    </row>
    <row r="2" spans="1:32" ht="15" customHeight="1">
      <c r="A2" s="705" t="s">
        <v>6951</v>
      </c>
      <c r="B2" s="706"/>
      <c r="C2" s="706"/>
      <c r="D2" s="706"/>
      <c r="E2" s="706"/>
      <c r="F2" s="706"/>
      <c r="G2" s="706"/>
      <c r="H2" s="706"/>
      <c r="I2" s="706"/>
      <c r="J2" s="706"/>
      <c r="K2" s="706"/>
      <c r="L2" s="706"/>
      <c r="M2" s="706"/>
      <c r="N2" s="706"/>
      <c r="O2" s="706"/>
      <c r="P2" s="706"/>
      <c r="Q2" s="706"/>
      <c r="R2" s="706"/>
      <c r="S2" s="706"/>
      <c r="T2" s="706"/>
      <c r="U2" s="706"/>
      <c r="V2" s="706"/>
      <c r="W2" s="706"/>
      <c r="X2" s="706"/>
      <c r="Y2" s="706"/>
      <c r="Z2" s="706"/>
      <c r="AA2" s="706"/>
      <c r="AB2" s="706"/>
      <c r="AC2" s="706"/>
      <c r="AD2" s="706"/>
      <c r="AE2" s="706"/>
      <c r="AF2" s="706"/>
    </row>
    <row r="3" spans="1:32" ht="13.5" customHeight="1">
      <c r="A3" s="705" t="s">
        <v>6346</v>
      </c>
      <c r="B3" s="706"/>
      <c r="C3" s="706"/>
      <c r="D3" s="706"/>
      <c r="E3" s="706"/>
      <c r="F3" s="706"/>
      <c r="G3" s="706"/>
      <c r="H3" s="706"/>
      <c r="I3" s="706"/>
      <c r="J3" s="706"/>
      <c r="K3" s="706"/>
      <c r="L3" s="706"/>
      <c r="M3" s="706"/>
      <c r="N3" s="706"/>
      <c r="O3" s="706"/>
      <c r="P3" s="706"/>
      <c r="Q3" s="706"/>
      <c r="R3" s="706"/>
      <c r="S3" s="706"/>
      <c r="T3" s="706"/>
      <c r="U3" s="706"/>
      <c r="V3" s="706"/>
      <c r="W3" s="706"/>
      <c r="X3" s="706"/>
      <c r="Y3" s="706"/>
      <c r="Z3" s="706"/>
      <c r="AA3" s="706"/>
      <c r="AB3" s="706"/>
      <c r="AC3" s="706"/>
      <c r="AD3" s="706"/>
      <c r="AE3" s="706"/>
      <c r="AF3" s="706"/>
    </row>
    <row r="4" spans="1:32" ht="15" customHeight="1">
      <c r="A4" s="705" t="s">
        <v>5546</v>
      </c>
      <c r="B4" s="706"/>
      <c r="C4" s="706"/>
      <c r="D4" s="706"/>
      <c r="E4" s="706"/>
      <c r="F4" s="706"/>
      <c r="G4" s="706"/>
      <c r="H4" s="706"/>
      <c r="I4" s="706"/>
      <c r="J4" s="706"/>
      <c r="K4" s="706"/>
      <c r="L4" s="706"/>
      <c r="M4" s="706"/>
      <c r="N4" s="706"/>
      <c r="O4" s="706"/>
      <c r="P4" s="706"/>
      <c r="Q4" s="706"/>
      <c r="R4" s="706"/>
      <c r="S4" s="706"/>
      <c r="T4" s="706"/>
      <c r="U4" s="706"/>
      <c r="V4" s="706"/>
      <c r="W4" s="706"/>
      <c r="X4" s="706"/>
      <c r="Y4" s="706"/>
      <c r="Z4" s="706"/>
      <c r="AA4" s="706"/>
      <c r="AB4" s="706"/>
      <c r="AC4" s="706"/>
      <c r="AD4" s="706"/>
      <c r="AE4" s="706"/>
      <c r="AF4" s="706"/>
    </row>
    <row r="5" spans="1:32">
      <c r="A5" s="88"/>
      <c r="C5" s="88"/>
      <c r="N5" s="88"/>
      <c r="O5" s="88"/>
      <c r="P5" s="88"/>
    </row>
    <row r="6" spans="1:32" ht="25.5" customHeight="1">
      <c r="A6" s="91" t="s">
        <v>584</v>
      </c>
      <c r="B6" s="91" t="s">
        <v>613</v>
      </c>
      <c r="C6" s="91" t="s">
        <v>4</v>
      </c>
      <c r="D6" s="91" t="s">
        <v>583</v>
      </c>
      <c r="E6" s="91" t="s">
        <v>5547</v>
      </c>
      <c r="F6" s="91" t="s">
        <v>5548</v>
      </c>
      <c r="G6" s="91" t="s">
        <v>5549</v>
      </c>
      <c r="H6" s="91" t="s">
        <v>5550</v>
      </c>
      <c r="N6" s="88"/>
      <c r="O6" s="88"/>
      <c r="P6" s="88"/>
    </row>
    <row r="7" spans="1:32">
      <c r="A7" s="92">
        <v>97141</v>
      </c>
      <c r="B7" s="87" t="s">
        <v>614</v>
      </c>
      <c r="C7" s="12" t="s">
        <v>6</v>
      </c>
      <c r="D7" s="224">
        <v>7.5</v>
      </c>
      <c r="E7" s="224">
        <v>5.09</v>
      </c>
      <c r="F7" s="224">
        <v>1.26</v>
      </c>
      <c r="G7" s="224">
        <v>1.1499999999999999</v>
      </c>
      <c r="H7" s="93">
        <v>0</v>
      </c>
      <c r="I7" s="11"/>
      <c r="N7" s="88"/>
      <c r="O7" s="88"/>
      <c r="P7" s="88"/>
    </row>
    <row r="8" spans="1:32">
      <c r="A8" s="92">
        <v>97142</v>
      </c>
      <c r="B8" s="87" t="s">
        <v>615</v>
      </c>
      <c r="C8" s="12" t="s">
        <v>6</v>
      </c>
      <c r="D8" s="224">
        <v>8.3800000000000008</v>
      </c>
      <c r="E8" s="224">
        <v>5.72</v>
      </c>
      <c r="F8" s="224">
        <v>1.43</v>
      </c>
      <c r="G8" s="224">
        <v>1.23</v>
      </c>
      <c r="H8" s="93">
        <v>0</v>
      </c>
      <c r="I8" s="11"/>
      <c r="N8" s="88"/>
      <c r="O8" s="88"/>
      <c r="P8" s="88"/>
    </row>
    <row r="9" spans="1:32">
      <c r="A9" s="92">
        <v>97143</v>
      </c>
      <c r="B9" s="87" t="s">
        <v>616</v>
      </c>
      <c r="C9" s="12" t="s">
        <v>6</v>
      </c>
      <c r="D9" s="224">
        <v>10.59</v>
      </c>
      <c r="E9" s="224">
        <v>7.3</v>
      </c>
      <c r="F9" s="224">
        <v>1.85</v>
      </c>
      <c r="G9" s="224">
        <v>1.44</v>
      </c>
      <c r="H9" s="93">
        <v>0</v>
      </c>
      <c r="I9" s="11"/>
      <c r="N9" s="88"/>
      <c r="O9" s="88"/>
      <c r="P9" s="88"/>
    </row>
    <row r="10" spans="1:32">
      <c r="A10" s="92">
        <v>97144</v>
      </c>
      <c r="B10" s="87" t="s">
        <v>617</v>
      </c>
      <c r="C10" s="12" t="s">
        <v>6</v>
      </c>
      <c r="D10" s="224">
        <v>12.8</v>
      </c>
      <c r="E10" s="224">
        <v>8.89</v>
      </c>
      <c r="F10" s="224">
        <v>2.29</v>
      </c>
      <c r="G10" s="224">
        <v>1.62</v>
      </c>
      <c r="H10" s="93">
        <v>0</v>
      </c>
      <c r="I10" s="11"/>
      <c r="N10" s="88"/>
      <c r="O10" s="88"/>
      <c r="P10" s="88"/>
    </row>
    <row r="11" spans="1:32">
      <c r="A11" s="92">
        <v>97145</v>
      </c>
      <c r="B11" s="87" t="s">
        <v>618</v>
      </c>
      <c r="C11" s="12" t="s">
        <v>6</v>
      </c>
      <c r="D11" s="224">
        <v>15.03</v>
      </c>
      <c r="E11" s="224">
        <v>10.46</v>
      </c>
      <c r="F11" s="224">
        <v>2.73</v>
      </c>
      <c r="G11" s="224">
        <v>1.84</v>
      </c>
      <c r="H11" s="93">
        <v>0</v>
      </c>
      <c r="I11" s="11"/>
      <c r="N11" s="88"/>
      <c r="O11" s="88"/>
      <c r="P11" s="88"/>
    </row>
    <row r="12" spans="1:32">
      <c r="A12" s="92">
        <v>97146</v>
      </c>
      <c r="B12" s="87" t="s">
        <v>619</v>
      </c>
      <c r="C12" s="12" t="s">
        <v>6</v>
      </c>
      <c r="D12" s="224">
        <v>17.23</v>
      </c>
      <c r="E12" s="224">
        <v>12.05</v>
      </c>
      <c r="F12" s="224">
        <v>3.14</v>
      </c>
      <c r="G12" s="224">
        <v>2.04</v>
      </c>
      <c r="H12" s="93">
        <v>0</v>
      </c>
      <c r="I12" s="11"/>
      <c r="N12" s="88"/>
      <c r="O12" s="88"/>
      <c r="P12" s="88"/>
    </row>
    <row r="13" spans="1:32">
      <c r="A13" s="92">
        <v>97147</v>
      </c>
      <c r="B13" s="87" t="s">
        <v>620</v>
      </c>
      <c r="C13" s="12" t="s">
        <v>6</v>
      </c>
      <c r="D13" s="224">
        <v>19.48</v>
      </c>
      <c r="E13" s="224">
        <v>13.65</v>
      </c>
      <c r="F13" s="224">
        <v>3.59</v>
      </c>
      <c r="G13" s="224">
        <v>2.2400000000000002</v>
      </c>
      <c r="H13" s="93">
        <v>0</v>
      </c>
      <c r="I13" s="11"/>
      <c r="N13" s="88"/>
      <c r="O13" s="88"/>
      <c r="P13" s="88"/>
    </row>
    <row r="14" spans="1:32">
      <c r="A14" s="92">
        <v>97148</v>
      </c>
      <c r="B14" s="87" t="s">
        <v>621</v>
      </c>
      <c r="C14" s="12" t="s">
        <v>6</v>
      </c>
      <c r="D14" s="93">
        <v>21.69</v>
      </c>
      <c r="E14" s="93">
        <v>15.24</v>
      </c>
      <c r="F14" s="93">
        <v>4</v>
      </c>
      <c r="G14" s="93">
        <v>2.4500000000000002</v>
      </c>
      <c r="H14" s="93">
        <v>0</v>
      </c>
      <c r="I14" s="11"/>
      <c r="N14" s="88"/>
      <c r="O14" s="88"/>
      <c r="P14" s="88"/>
    </row>
    <row r="15" spans="1:32">
      <c r="A15" s="92">
        <v>97149</v>
      </c>
      <c r="B15" s="87" t="s">
        <v>622</v>
      </c>
      <c r="C15" s="12" t="s">
        <v>6</v>
      </c>
      <c r="D15" s="93">
        <v>23.97</v>
      </c>
      <c r="E15" s="93">
        <v>16.829999999999998</v>
      </c>
      <c r="F15" s="93">
        <v>4.4800000000000004</v>
      </c>
      <c r="G15" s="93">
        <v>2.66</v>
      </c>
      <c r="H15" s="93">
        <v>0</v>
      </c>
      <c r="I15" s="11"/>
      <c r="N15" s="88"/>
      <c r="O15" s="88"/>
      <c r="P15" s="88"/>
    </row>
    <row r="16" spans="1:32">
      <c r="A16" s="92">
        <v>97150</v>
      </c>
      <c r="B16" s="87" t="s">
        <v>623</v>
      </c>
      <c r="C16" s="12" t="s">
        <v>6</v>
      </c>
      <c r="D16" s="93">
        <v>28.55</v>
      </c>
      <c r="E16" s="93">
        <v>18.41</v>
      </c>
      <c r="F16" s="93">
        <v>5.07</v>
      </c>
      <c r="G16" s="93">
        <v>5.07</v>
      </c>
      <c r="H16" s="93">
        <v>0</v>
      </c>
      <c r="I16" s="11"/>
      <c r="N16" s="88"/>
      <c r="O16" s="88"/>
      <c r="P16" s="88"/>
    </row>
    <row r="17" spans="1:16">
      <c r="A17" s="92">
        <v>97151</v>
      </c>
      <c r="B17" s="87" t="s">
        <v>624</v>
      </c>
      <c r="C17" s="12" t="s">
        <v>6</v>
      </c>
      <c r="D17" s="93">
        <v>33.36</v>
      </c>
      <c r="E17" s="93">
        <v>21.59</v>
      </c>
      <c r="F17" s="93">
        <v>5.97</v>
      </c>
      <c r="G17" s="93">
        <v>5.8</v>
      </c>
      <c r="H17" s="93">
        <v>0</v>
      </c>
      <c r="I17" s="11"/>
      <c r="N17" s="88"/>
      <c r="O17" s="88"/>
      <c r="P17" s="88"/>
    </row>
    <row r="18" spans="1:16">
      <c r="A18" s="92">
        <v>97152</v>
      </c>
      <c r="B18" s="87" t="s">
        <v>625</v>
      </c>
      <c r="C18" s="12" t="s">
        <v>6</v>
      </c>
      <c r="D18" s="93">
        <v>37.99</v>
      </c>
      <c r="E18" s="93">
        <v>24.75</v>
      </c>
      <c r="F18" s="93">
        <v>6.72</v>
      </c>
      <c r="G18" s="93">
        <v>6.52</v>
      </c>
      <c r="H18" s="93">
        <v>0</v>
      </c>
      <c r="I18" s="11"/>
      <c r="N18" s="88"/>
      <c r="O18" s="88"/>
      <c r="P18" s="88"/>
    </row>
    <row r="19" spans="1:16">
      <c r="A19" s="92">
        <v>97153</v>
      </c>
      <c r="B19" s="87" t="s">
        <v>626</v>
      </c>
      <c r="C19" s="12" t="s">
        <v>6</v>
      </c>
      <c r="D19" s="93">
        <v>42.72</v>
      </c>
      <c r="E19" s="93">
        <v>27.93</v>
      </c>
      <c r="F19" s="93">
        <v>7.55</v>
      </c>
      <c r="G19" s="93">
        <v>7.24</v>
      </c>
      <c r="H19" s="93">
        <v>0</v>
      </c>
      <c r="I19" s="11"/>
      <c r="N19" s="88"/>
      <c r="O19" s="88"/>
      <c r="P19" s="88"/>
    </row>
    <row r="20" spans="1:16">
      <c r="A20" s="92">
        <v>97154</v>
      </c>
      <c r="B20" s="87" t="s">
        <v>627</v>
      </c>
      <c r="C20" s="12" t="s">
        <v>6</v>
      </c>
      <c r="D20" s="93">
        <v>47.51</v>
      </c>
      <c r="E20" s="93">
        <v>31.12</v>
      </c>
      <c r="F20" s="93">
        <v>8.43</v>
      </c>
      <c r="G20" s="93">
        <v>7.96</v>
      </c>
      <c r="H20" s="93">
        <v>0</v>
      </c>
      <c r="I20" s="11"/>
      <c r="N20" s="88"/>
      <c r="O20" s="88"/>
      <c r="P20" s="88"/>
    </row>
    <row r="21" spans="1:16">
      <c r="A21" s="92">
        <v>97155</v>
      </c>
      <c r="B21" s="87" t="s">
        <v>628</v>
      </c>
      <c r="C21" s="12" t="s">
        <v>6</v>
      </c>
      <c r="D21" s="93">
        <v>52.27</v>
      </c>
      <c r="E21" s="93">
        <v>34.270000000000003</v>
      </c>
      <c r="F21" s="93">
        <v>9.32</v>
      </c>
      <c r="G21" s="93">
        <v>8.68</v>
      </c>
      <c r="H21" s="93">
        <v>0</v>
      </c>
      <c r="I21" s="11"/>
      <c r="N21" s="88"/>
      <c r="O21" s="88"/>
      <c r="P21" s="88"/>
    </row>
    <row r="22" spans="1:16">
      <c r="A22" s="92">
        <v>97156</v>
      </c>
      <c r="B22" s="87" t="s">
        <v>629</v>
      </c>
      <c r="C22" s="12" t="s">
        <v>6</v>
      </c>
      <c r="D22" s="93">
        <v>62.17</v>
      </c>
      <c r="E22" s="93">
        <v>40.64</v>
      </c>
      <c r="F22" s="93">
        <v>11.4</v>
      </c>
      <c r="G22" s="93">
        <v>10.130000000000001</v>
      </c>
      <c r="H22" s="93">
        <v>0</v>
      </c>
      <c r="I22" s="11"/>
      <c r="N22" s="88"/>
      <c r="O22" s="88"/>
      <c r="P22" s="88"/>
    </row>
    <row r="23" spans="1:16">
      <c r="A23" s="92">
        <v>97157</v>
      </c>
      <c r="B23" s="87" t="s">
        <v>630</v>
      </c>
      <c r="C23" s="12" t="s">
        <v>6</v>
      </c>
      <c r="D23" s="93">
        <v>4.47</v>
      </c>
      <c r="E23" s="93">
        <v>2.92</v>
      </c>
      <c r="F23" s="93">
        <v>0.9</v>
      </c>
      <c r="G23" s="93">
        <v>0.65</v>
      </c>
      <c r="H23" s="93">
        <v>0</v>
      </c>
      <c r="I23" s="11"/>
      <c r="N23" s="88"/>
      <c r="O23" s="88"/>
      <c r="P23" s="88"/>
    </row>
    <row r="24" spans="1:16">
      <c r="A24" s="92">
        <v>97158</v>
      </c>
      <c r="B24" s="87" t="s">
        <v>631</v>
      </c>
      <c r="C24" s="12" t="s">
        <v>6</v>
      </c>
      <c r="D24" s="93">
        <v>5.0199999999999996</v>
      </c>
      <c r="E24" s="93">
        <v>3.29</v>
      </c>
      <c r="F24" s="93">
        <v>1.01</v>
      </c>
      <c r="G24" s="93">
        <v>0.72</v>
      </c>
      <c r="H24" s="93">
        <v>0</v>
      </c>
      <c r="I24" s="11"/>
      <c r="N24" s="88"/>
      <c r="O24" s="88"/>
      <c r="P24" s="88"/>
    </row>
    <row r="25" spans="1:16">
      <c r="A25" s="94">
        <v>97159</v>
      </c>
      <c r="B25" s="87" t="s">
        <v>632</v>
      </c>
      <c r="C25" s="12" t="s">
        <v>6</v>
      </c>
      <c r="D25" s="93">
        <v>6.34</v>
      </c>
      <c r="E25" s="93">
        <v>4.24</v>
      </c>
      <c r="F25" s="93">
        <v>1.27</v>
      </c>
      <c r="G25" s="93">
        <v>0.83</v>
      </c>
      <c r="H25" s="93">
        <v>0</v>
      </c>
      <c r="I25" s="11"/>
      <c r="N25" s="88"/>
      <c r="O25" s="88"/>
      <c r="P25" s="88"/>
    </row>
    <row r="26" spans="1:16">
      <c r="A26" s="94">
        <v>97160</v>
      </c>
      <c r="B26" s="87" t="s">
        <v>633</v>
      </c>
      <c r="C26" s="12" t="s">
        <v>6</v>
      </c>
      <c r="D26" s="93">
        <v>7.68</v>
      </c>
      <c r="E26" s="93">
        <v>5.16</v>
      </c>
      <c r="F26" s="93">
        <v>1.57</v>
      </c>
      <c r="G26" s="93">
        <v>0.95</v>
      </c>
      <c r="H26" s="93">
        <v>0</v>
      </c>
      <c r="I26" s="11"/>
      <c r="N26" s="88"/>
      <c r="O26" s="88"/>
      <c r="P26" s="88"/>
    </row>
    <row r="27" spans="1:16">
      <c r="A27" s="94">
        <v>97161</v>
      </c>
      <c r="B27" s="87" t="s">
        <v>634</v>
      </c>
      <c r="C27" s="12" t="s">
        <v>6</v>
      </c>
      <c r="D27" s="93">
        <v>9.0399999999999991</v>
      </c>
      <c r="E27" s="93">
        <v>6.1</v>
      </c>
      <c r="F27" s="93">
        <v>1.87</v>
      </c>
      <c r="G27" s="93">
        <v>1.07</v>
      </c>
      <c r="H27" s="93">
        <v>0</v>
      </c>
      <c r="I27" s="11"/>
      <c r="N27" s="88"/>
      <c r="O27" s="88"/>
      <c r="P27" s="88"/>
    </row>
    <row r="28" spans="1:16">
      <c r="A28" s="94">
        <v>97162</v>
      </c>
      <c r="B28" s="87" t="s">
        <v>635</v>
      </c>
      <c r="C28" s="12" t="s">
        <v>6</v>
      </c>
      <c r="D28" s="93">
        <v>10.37</v>
      </c>
      <c r="E28" s="93">
        <v>7.01</v>
      </c>
      <c r="F28" s="93">
        <v>2.1800000000000002</v>
      </c>
      <c r="G28" s="93">
        <v>1.18</v>
      </c>
      <c r="H28" s="93">
        <v>0</v>
      </c>
      <c r="I28" s="11"/>
      <c r="N28" s="88"/>
      <c r="O28" s="88"/>
      <c r="P28" s="88"/>
    </row>
    <row r="29" spans="1:16">
      <c r="A29" s="94">
        <v>97163</v>
      </c>
      <c r="B29" s="87" t="s">
        <v>636</v>
      </c>
      <c r="C29" s="12" t="s">
        <v>6</v>
      </c>
      <c r="D29" s="93">
        <v>11.73</v>
      </c>
      <c r="E29" s="93">
        <v>7.92</v>
      </c>
      <c r="F29" s="93">
        <v>2.5099999999999998</v>
      </c>
      <c r="G29" s="93">
        <v>1.3</v>
      </c>
      <c r="H29" s="93">
        <v>0</v>
      </c>
      <c r="I29" s="11"/>
      <c r="N29" s="88"/>
      <c r="O29" s="88"/>
      <c r="P29" s="88"/>
    </row>
    <row r="30" spans="1:16">
      <c r="A30" s="94">
        <v>97164</v>
      </c>
      <c r="B30" s="87" t="s">
        <v>637</v>
      </c>
      <c r="C30" s="12" t="s">
        <v>6</v>
      </c>
      <c r="D30" s="93">
        <v>13.09</v>
      </c>
      <c r="E30" s="93">
        <v>8.8800000000000008</v>
      </c>
      <c r="F30" s="93">
        <v>2.78</v>
      </c>
      <c r="G30" s="93">
        <v>1.43</v>
      </c>
      <c r="H30" s="93">
        <v>0</v>
      </c>
      <c r="I30" s="11"/>
      <c r="N30" s="88"/>
      <c r="O30" s="88"/>
      <c r="P30" s="88"/>
    </row>
    <row r="31" spans="1:16">
      <c r="A31" s="94">
        <v>97165</v>
      </c>
      <c r="B31" s="87" t="s">
        <v>638</v>
      </c>
      <c r="C31" s="12" t="s">
        <v>6</v>
      </c>
      <c r="D31" s="93">
        <v>14.47</v>
      </c>
      <c r="E31" s="93">
        <v>9.82</v>
      </c>
      <c r="F31" s="93">
        <v>3.11</v>
      </c>
      <c r="G31" s="93">
        <v>1.54</v>
      </c>
      <c r="H31" s="93">
        <v>0</v>
      </c>
      <c r="I31" s="11"/>
      <c r="N31" s="88"/>
      <c r="O31" s="88"/>
      <c r="P31" s="88"/>
    </row>
    <row r="32" spans="1:16">
      <c r="A32" s="94">
        <v>97166</v>
      </c>
      <c r="B32" s="87" t="s">
        <v>639</v>
      </c>
      <c r="C32" s="12" t="s">
        <v>6</v>
      </c>
      <c r="D32" s="93">
        <v>17.260000000000002</v>
      </c>
      <c r="E32" s="93">
        <v>10.77</v>
      </c>
      <c r="F32" s="93">
        <v>3.56</v>
      </c>
      <c r="G32" s="93">
        <v>2.93</v>
      </c>
      <c r="H32" s="93">
        <v>0</v>
      </c>
      <c r="I32" s="11"/>
      <c r="N32" s="88"/>
      <c r="O32" s="88"/>
      <c r="P32" s="88"/>
    </row>
    <row r="33" spans="1:16">
      <c r="A33" s="94">
        <v>97167</v>
      </c>
      <c r="B33" s="87" t="s">
        <v>640</v>
      </c>
      <c r="C33" s="12" t="s">
        <v>6</v>
      </c>
      <c r="D33" s="93">
        <v>20.21</v>
      </c>
      <c r="E33" s="93">
        <v>12.62</v>
      </c>
      <c r="F33" s="93">
        <v>4.22</v>
      </c>
      <c r="G33" s="93">
        <v>3.37</v>
      </c>
      <c r="H33" s="93">
        <v>0</v>
      </c>
      <c r="I33" s="11"/>
      <c r="N33" s="88"/>
      <c r="O33" s="88"/>
      <c r="P33" s="88"/>
    </row>
    <row r="34" spans="1:16">
      <c r="A34" s="94">
        <v>97168</v>
      </c>
      <c r="B34" s="87" t="s">
        <v>641</v>
      </c>
      <c r="C34" s="12" t="s">
        <v>6</v>
      </c>
      <c r="D34" s="93">
        <v>22.93</v>
      </c>
      <c r="E34" s="93">
        <v>14.45</v>
      </c>
      <c r="F34" s="93">
        <v>4.6900000000000004</v>
      </c>
      <c r="G34" s="93">
        <v>3.79</v>
      </c>
      <c r="H34" s="93">
        <v>0</v>
      </c>
      <c r="I34" s="11"/>
      <c r="N34" s="88"/>
      <c r="O34" s="88"/>
      <c r="P34" s="88"/>
    </row>
    <row r="35" spans="1:16">
      <c r="A35" s="94">
        <v>97169</v>
      </c>
      <c r="B35" s="87" t="s">
        <v>642</v>
      </c>
      <c r="C35" s="12" t="s">
        <v>6</v>
      </c>
      <c r="D35" s="93">
        <v>25.81</v>
      </c>
      <c r="E35" s="93">
        <v>16.350000000000001</v>
      </c>
      <c r="F35" s="93">
        <v>5.26</v>
      </c>
      <c r="G35" s="93">
        <v>4.2</v>
      </c>
      <c r="H35" s="93">
        <v>0</v>
      </c>
      <c r="I35" s="11"/>
      <c r="N35" s="88"/>
      <c r="O35" s="88"/>
      <c r="P35" s="88"/>
    </row>
    <row r="36" spans="1:16">
      <c r="A36" s="94">
        <v>97170</v>
      </c>
      <c r="B36" s="87" t="s">
        <v>643</v>
      </c>
      <c r="C36" s="12" t="s">
        <v>6</v>
      </c>
      <c r="D36" s="93">
        <v>28.7</v>
      </c>
      <c r="E36" s="93">
        <v>18.18</v>
      </c>
      <c r="F36" s="93">
        <v>5.9</v>
      </c>
      <c r="G36" s="93">
        <v>4.62</v>
      </c>
      <c r="H36" s="93">
        <v>0</v>
      </c>
      <c r="N36" s="88"/>
      <c r="O36" s="88"/>
      <c r="P36" s="88"/>
    </row>
    <row r="37" spans="1:16">
      <c r="A37" s="94">
        <v>97171</v>
      </c>
      <c r="B37" s="87" t="s">
        <v>644</v>
      </c>
      <c r="C37" s="12" t="s">
        <v>6</v>
      </c>
      <c r="D37" s="93">
        <v>31.6</v>
      </c>
      <c r="E37" s="93">
        <v>20.04</v>
      </c>
      <c r="F37" s="93">
        <v>6.51</v>
      </c>
      <c r="G37" s="93">
        <v>5.05</v>
      </c>
      <c r="H37" s="93">
        <v>0</v>
      </c>
      <c r="N37" s="88"/>
      <c r="O37" s="88"/>
      <c r="P37" s="88"/>
    </row>
    <row r="38" spans="1:16">
      <c r="A38" s="94">
        <v>97172</v>
      </c>
      <c r="B38" s="87" t="s">
        <v>645</v>
      </c>
      <c r="C38" s="12" t="s">
        <v>6</v>
      </c>
      <c r="D38" s="93">
        <v>37.75</v>
      </c>
      <c r="E38" s="93">
        <v>23.78</v>
      </c>
      <c r="F38" s="93">
        <v>8.08</v>
      </c>
      <c r="G38" s="93">
        <v>5.89</v>
      </c>
      <c r="H38" s="93">
        <v>0</v>
      </c>
      <c r="N38" s="88"/>
      <c r="O38" s="88"/>
      <c r="P38" s="88"/>
    </row>
    <row r="39" spans="1:16">
      <c r="A39" s="94">
        <v>97173</v>
      </c>
      <c r="B39" s="87" t="s">
        <v>646</v>
      </c>
      <c r="C39" s="12" t="s">
        <v>6</v>
      </c>
      <c r="D39" s="93">
        <v>27.91</v>
      </c>
      <c r="E39" s="93">
        <v>15.73</v>
      </c>
      <c r="F39" s="93">
        <v>7.82</v>
      </c>
      <c r="G39" s="93">
        <v>4.3600000000000003</v>
      </c>
      <c r="H39" s="93">
        <v>0</v>
      </c>
      <c r="N39" s="88"/>
      <c r="O39" s="88"/>
      <c r="P39" s="88"/>
    </row>
    <row r="40" spans="1:16">
      <c r="A40" s="94">
        <v>97174</v>
      </c>
      <c r="B40" s="87" t="s">
        <v>647</v>
      </c>
      <c r="C40" s="12" t="s">
        <v>6</v>
      </c>
      <c r="D40" s="93">
        <v>32.21</v>
      </c>
      <c r="E40" s="93">
        <v>18.059999999999999</v>
      </c>
      <c r="F40" s="93">
        <v>9.08</v>
      </c>
      <c r="G40" s="93">
        <v>5.07</v>
      </c>
      <c r="H40" s="93">
        <v>0</v>
      </c>
      <c r="N40" s="88"/>
      <c r="O40" s="88"/>
      <c r="P40" s="88"/>
    </row>
    <row r="41" spans="1:16">
      <c r="A41" s="94">
        <v>97175</v>
      </c>
      <c r="B41" s="87" t="s">
        <v>648</v>
      </c>
      <c r="C41" s="12" t="s">
        <v>6</v>
      </c>
      <c r="D41" s="93">
        <v>36.520000000000003</v>
      </c>
      <c r="E41" s="93">
        <v>20.37</v>
      </c>
      <c r="F41" s="93">
        <v>10.35</v>
      </c>
      <c r="G41" s="93">
        <v>5.8</v>
      </c>
      <c r="H41" s="93">
        <v>0</v>
      </c>
      <c r="N41" s="88"/>
      <c r="O41" s="88"/>
      <c r="P41" s="88"/>
    </row>
    <row r="42" spans="1:16">
      <c r="A42" s="94">
        <v>97176</v>
      </c>
      <c r="B42" s="87" t="s">
        <v>649</v>
      </c>
      <c r="C42" s="12" t="s">
        <v>6</v>
      </c>
      <c r="D42" s="93">
        <v>40.83</v>
      </c>
      <c r="E42" s="93">
        <v>22.72</v>
      </c>
      <c r="F42" s="93">
        <v>11.59</v>
      </c>
      <c r="G42" s="93">
        <v>6.52</v>
      </c>
      <c r="H42" s="93">
        <v>0</v>
      </c>
      <c r="N42" s="88"/>
      <c r="O42" s="88"/>
      <c r="P42" s="88"/>
    </row>
    <row r="43" spans="1:16">
      <c r="A43" s="94">
        <v>97177</v>
      </c>
      <c r="B43" s="87" t="s">
        <v>650</v>
      </c>
      <c r="C43" s="12" t="s">
        <v>6</v>
      </c>
      <c r="D43" s="93">
        <v>49.46</v>
      </c>
      <c r="E43" s="93">
        <v>27.37</v>
      </c>
      <c r="F43" s="93">
        <v>14.15</v>
      </c>
      <c r="G43" s="93">
        <v>7.94</v>
      </c>
      <c r="H43" s="93">
        <v>0</v>
      </c>
      <c r="N43" s="88"/>
      <c r="O43" s="88"/>
      <c r="P43" s="88"/>
    </row>
    <row r="44" spans="1:16">
      <c r="A44" s="94">
        <v>97178</v>
      </c>
      <c r="B44" s="87" t="s">
        <v>651</v>
      </c>
      <c r="C44" s="12" t="s">
        <v>6</v>
      </c>
      <c r="D44" s="93">
        <v>58.08</v>
      </c>
      <c r="E44" s="93">
        <v>32.020000000000003</v>
      </c>
      <c r="F44" s="93">
        <v>16.649999999999999</v>
      </c>
      <c r="G44" s="93">
        <v>9.41</v>
      </c>
      <c r="H44" s="93">
        <v>0</v>
      </c>
      <c r="N44" s="88"/>
      <c r="O44" s="88"/>
      <c r="P44" s="88"/>
    </row>
    <row r="45" spans="1:16">
      <c r="A45" s="94">
        <v>97179</v>
      </c>
      <c r="B45" s="87" t="s">
        <v>652</v>
      </c>
      <c r="C45" s="12" t="s">
        <v>6</v>
      </c>
      <c r="D45" s="93">
        <v>66.72</v>
      </c>
      <c r="E45" s="93">
        <v>36.71</v>
      </c>
      <c r="F45" s="93">
        <v>19.16</v>
      </c>
      <c r="G45" s="93">
        <v>10.85</v>
      </c>
      <c r="H45" s="93">
        <v>0</v>
      </c>
      <c r="N45" s="88"/>
      <c r="O45" s="88"/>
      <c r="P45" s="88"/>
    </row>
    <row r="46" spans="1:16">
      <c r="A46" s="94">
        <v>97180</v>
      </c>
      <c r="B46" s="87" t="s">
        <v>653</v>
      </c>
      <c r="C46" s="12" t="s">
        <v>6</v>
      </c>
      <c r="D46" s="93">
        <v>75.33</v>
      </c>
      <c r="E46" s="93">
        <v>41.36</v>
      </c>
      <c r="F46" s="93">
        <v>21.68</v>
      </c>
      <c r="G46" s="93">
        <v>12.29</v>
      </c>
      <c r="H46" s="93">
        <v>0</v>
      </c>
      <c r="N46" s="88"/>
      <c r="O46" s="88"/>
      <c r="P46" s="88"/>
    </row>
    <row r="47" spans="1:16">
      <c r="A47" s="94">
        <v>97181</v>
      </c>
      <c r="B47" s="87" t="s">
        <v>654</v>
      </c>
      <c r="C47" s="12" t="s">
        <v>6</v>
      </c>
      <c r="D47" s="93">
        <v>86.5</v>
      </c>
      <c r="E47" s="93">
        <v>46.02</v>
      </c>
      <c r="F47" s="93">
        <v>25.21</v>
      </c>
      <c r="G47" s="93">
        <v>15.27</v>
      </c>
      <c r="H47" s="93">
        <v>0</v>
      </c>
      <c r="N47" s="88"/>
      <c r="O47" s="88"/>
      <c r="P47" s="88"/>
    </row>
    <row r="48" spans="1:16">
      <c r="A48" s="94">
        <v>97182</v>
      </c>
      <c r="B48" s="87" t="s">
        <v>655</v>
      </c>
      <c r="C48" s="12" t="s">
        <v>6</v>
      </c>
      <c r="D48" s="93">
        <v>95.4</v>
      </c>
      <c r="E48" s="93">
        <v>50.69</v>
      </c>
      <c r="F48" s="93">
        <v>27.82</v>
      </c>
      <c r="G48" s="93">
        <v>16.89</v>
      </c>
      <c r="H48" s="93">
        <v>0</v>
      </c>
      <c r="N48" s="88"/>
      <c r="O48" s="88"/>
      <c r="P48" s="88"/>
    </row>
    <row r="49" spans="1:16">
      <c r="A49" s="94">
        <v>97183</v>
      </c>
      <c r="B49" s="87" t="s">
        <v>656</v>
      </c>
      <c r="C49" s="12" t="s">
        <v>6</v>
      </c>
      <c r="D49" s="93">
        <v>22.19</v>
      </c>
      <c r="E49" s="93">
        <v>12.38</v>
      </c>
      <c r="F49" s="93">
        <v>7.28</v>
      </c>
      <c r="G49" s="93">
        <v>2.5299999999999998</v>
      </c>
      <c r="H49" s="93">
        <v>0</v>
      </c>
      <c r="N49" s="88"/>
      <c r="O49" s="88"/>
      <c r="P49" s="88"/>
    </row>
    <row r="50" spans="1:16">
      <c r="A50" s="94">
        <v>97184</v>
      </c>
      <c r="B50" s="87" t="s">
        <v>657</v>
      </c>
      <c r="C50" s="12" t="s">
        <v>6</v>
      </c>
      <c r="D50" s="93">
        <v>25.68</v>
      </c>
      <c r="E50" s="93">
        <v>14.32</v>
      </c>
      <c r="F50" s="93">
        <v>8.43</v>
      </c>
      <c r="G50" s="93">
        <v>2.93</v>
      </c>
      <c r="H50" s="93">
        <v>0</v>
      </c>
      <c r="N50" s="88"/>
      <c r="O50" s="88"/>
      <c r="P50" s="88"/>
    </row>
    <row r="51" spans="1:16">
      <c r="A51" s="94">
        <v>97185</v>
      </c>
      <c r="B51" s="87" t="s">
        <v>658</v>
      </c>
      <c r="C51" s="12" t="s">
        <v>6</v>
      </c>
      <c r="D51" s="93">
        <v>29.18</v>
      </c>
      <c r="E51" s="93">
        <v>16.170000000000002</v>
      </c>
      <c r="F51" s="93">
        <v>9.64</v>
      </c>
      <c r="G51" s="93">
        <v>3.37</v>
      </c>
      <c r="H51" s="93">
        <v>0</v>
      </c>
      <c r="N51" s="88"/>
      <c r="O51" s="88"/>
      <c r="P51" s="88"/>
    </row>
    <row r="52" spans="1:16">
      <c r="A52" s="94">
        <v>97186</v>
      </c>
      <c r="B52" s="87" t="s">
        <v>659</v>
      </c>
      <c r="C52" s="12" t="s">
        <v>6</v>
      </c>
      <c r="D52" s="93">
        <v>32.68</v>
      </c>
      <c r="E52" s="93">
        <v>18.079999999999998</v>
      </c>
      <c r="F52" s="93">
        <v>10.82</v>
      </c>
      <c r="G52" s="93">
        <v>3.78</v>
      </c>
      <c r="H52" s="93">
        <v>0</v>
      </c>
      <c r="N52" s="88"/>
      <c r="O52" s="88"/>
      <c r="P52" s="88"/>
    </row>
    <row r="53" spans="1:16">
      <c r="A53" s="94">
        <v>97187</v>
      </c>
      <c r="B53" s="87" t="s">
        <v>660</v>
      </c>
      <c r="C53" s="12" t="s">
        <v>6</v>
      </c>
      <c r="D53" s="93">
        <v>39.659999999999997</v>
      </c>
      <c r="E53" s="93">
        <v>21.81</v>
      </c>
      <c r="F53" s="93">
        <v>13.24</v>
      </c>
      <c r="G53" s="93">
        <v>4.6100000000000003</v>
      </c>
      <c r="H53" s="93">
        <v>0</v>
      </c>
      <c r="N53" s="88"/>
      <c r="O53" s="88"/>
      <c r="P53" s="88"/>
    </row>
    <row r="54" spans="1:16">
      <c r="A54" s="94">
        <v>97188</v>
      </c>
      <c r="B54" s="87" t="s">
        <v>661</v>
      </c>
      <c r="C54" s="12" t="s">
        <v>6</v>
      </c>
      <c r="D54" s="93">
        <v>46.64</v>
      </c>
      <c r="E54" s="93">
        <v>25.58</v>
      </c>
      <c r="F54" s="93">
        <v>15.59</v>
      </c>
      <c r="G54" s="93">
        <v>5.47</v>
      </c>
      <c r="H54" s="93">
        <v>0</v>
      </c>
      <c r="N54" s="88"/>
      <c r="O54" s="88"/>
      <c r="P54" s="88"/>
    </row>
    <row r="55" spans="1:16">
      <c r="A55" s="94">
        <v>97189</v>
      </c>
      <c r="B55" s="87" t="s">
        <v>662</v>
      </c>
      <c r="C55" s="12" t="s">
        <v>6</v>
      </c>
      <c r="D55" s="93">
        <v>53.65</v>
      </c>
      <c r="E55" s="93">
        <v>29.39</v>
      </c>
      <c r="F55" s="93">
        <v>17.96</v>
      </c>
      <c r="G55" s="93">
        <v>6.3</v>
      </c>
      <c r="H55" s="93">
        <v>0</v>
      </c>
      <c r="N55" s="88"/>
      <c r="O55" s="88"/>
      <c r="P55" s="88"/>
    </row>
    <row r="56" spans="1:16">
      <c r="A56" s="94">
        <v>97190</v>
      </c>
      <c r="B56" s="87" t="s">
        <v>663</v>
      </c>
      <c r="C56" s="12" t="s">
        <v>6</v>
      </c>
      <c r="D56" s="93">
        <v>60.63</v>
      </c>
      <c r="E56" s="93">
        <v>33.15</v>
      </c>
      <c r="F56" s="93">
        <v>20.34</v>
      </c>
      <c r="G56" s="93">
        <v>7.14</v>
      </c>
      <c r="H56" s="93">
        <v>0</v>
      </c>
      <c r="N56" s="88"/>
      <c r="O56" s="88"/>
      <c r="P56" s="88"/>
    </row>
    <row r="57" spans="1:16">
      <c r="A57" s="94">
        <v>97191</v>
      </c>
      <c r="B57" s="87" t="s">
        <v>664</v>
      </c>
      <c r="C57" s="12" t="s">
        <v>6</v>
      </c>
      <c r="D57" s="93">
        <v>69.510000000000005</v>
      </c>
      <c r="E57" s="93">
        <v>36.909999999999997</v>
      </c>
      <c r="F57" s="93">
        <v>23.73</v>
      </c>
      <c r="G57" s="93">
        <v>8.8699999999999992</v>
      </c>
      <c r="H57" s="93">
        <v>0</v>
      </c>
      <c r="N57" s="88"/>
      <c r="O57" s="88"/>
      <c r="P57" s="88"/>
    </row>
    <row r="58" spans="1:16">
      <c r="A58" s="94">
        <v>97192</v>
      </c>
      <c r="B58" s="87" t="s">
        <v>665</v>
      </c>
      <c r="C58" s="12" t="s">
        <v>6</v>
      </c>
      <c r="D58" s="93">
        <v>76.709999999999994</v>
      </c>
      <c r="E58" s="93">
        <v>40.700000000000003</v>
      </c>
      <c r="F58" s="93">
        <v>26.2</v>
      </c>
      <c r="G58" s="93">
        <v>9.81</v>
      </c>
      <c r="H58" s="93">
        <v>0</v>
      </c>
      <c r="N58" s="88"/>
      <c r="O58" s="88"/>
      <c r="P58" s="88"/>
    </row>
    <row r="59" spans="1:16">
      <c r="A59" s="94">
        <v>90694</v>
      </c>
      <c r="B59" s="87" t="s">
        <v>6347</v>
      </c>
      <c r="C59" s="12" t="s">
        <v>6</v>
      </c>
      <c r="D59" s="93">
        <v>27.18</v>
      </c>
      <c r="E59" s="93">
        <v>2.19</v>
      </c>
      <c r="F59" s="93">
        <v>24.99</v>
      </c>
      <c r="G59" s="93">
        <v>0</v>
      </c>
      <c r="H59" s="93">
        <v>0</v>
      </c>
      <c r="N59" s="88"/>
      <c r="O59" s="88"/>
      <c r="P59" s="88"/>
    </row>
    <row r="60" spans="1:16">
      <c r="A60" s="94">
        <v>90695</v>
      </c>
      <c r="B60" s="87" t="s">
        <v>6348</v>
      </c>
      <c r="C60" s="12" t="s">
        <v>6</v>
      </c>
      <c r="D60" s="93">
        <v>55.91</v>
      </c>
      <c r="E60" s="93">
        <v>2.68</v>
      </c>
      <c r="F60" s="93">
        <v>53.23</v>
      </c>
      <c r="G60" s="93">
        <v>0</v>
      </c>
      <c r="H60" s="93">
        <v>0</v>
      </c>
      <c r="N60" s="88"/>
      <c r="O60" s="88"/>
      <c r="P60" s="88"/>
    </row>
    <row r="61" spans="1:16">
      <c r="A61" s="94">
        <v>90696</v>
      </c>
      <c r="B61" s="87" t="s">
        <v>6349</v>
      </c>
      <c r="C61" s="12" t="s">
        <v>6</v>
      </c>
      <c r="D61" s="93">
        <v>82.79</v>
      </c>
      <c r="E61" s="93">
        <v>3.18</v>
      </c>
      <c r="F61" s="93">
        <v>79.61</v>
      </c>
      <c r="G61" s="93">
        <v>0</v>
      </c>
      <c r="H61" s="93">
        <v>0</v>
      </c>
      <c r="N61" s="88"/>
      <c r="O61" s="88"/>
      <c r="P61" s="88"/>
    </row>
    <row r="62" spans="1:16">
      <c r="A62" s="94">
        <v>90697</v>
      </c>
      <c r="B62" s="87" t="s">
        <v>6350</v>
      </c>
      <c r="C62" s="12" t="s">
        <v>6</v>
      </c>
      <c r="D62" s="93">
        <v>138.85</v>
      </c>
      <c r="E62" s="93">
        <v>3.67</v>
      </c>
      <c r="F62" s="93">
        <v>135.18</v>
      </c>
      <c r="G62" s="93">
        <v>0</v>
      </c>
      <c r="H62" s="93">
        <v>0</v>
      </c>
      <c r="N62" s="88"/>
      <c r="O62" s="88"/>
      <c r="P62" s="88"/>
    </row>
    <row r="63" spans="1:16">
      <c r="A63" s="94">
        <v>90698</v>
      </c>
      <c r="B63" s="87" t="s">
        <v>6351</v>
      </c>
      <c r="C63" s="12" t="s">
        <v>6</v>
      </c>
      <c r="D63" s="93">
        <v>221.9</v>
      </c>
      <c r="E63" s="93">
        <v>4.17</v>
      </c>
      <c r="F63" s="93">
        <v>217.73</v>
      </c>
      <c r="G63" s="93">
        <v>0</v>
      </c>
      <c r="H63" s="93">
        <v>0</v>
      </c>
      <c r="N63" s="88"/>
      <c r="O63" s="88"/>
      <c r="P63" s="88"/>
    </row>
    <row r="64" spans="1:16">
      <c r="A64" s="94">
        <v>90699</v>
      </c>
      <c r="B64" s="87" t="s">
        <v>6352</v>
      </c>
      <c r="C64" s="12" t="s">
        <v>6</v>
      </c>
      <c r="D64" s="93">
        <v>274.18</v>
      </c>
      <c r="E64" s="93">
        <v>4.66</v>
      </c>
      <c r="F64" s="93">
        <v>269.52</v>
      </c>
      <c r="G64" s="93">
        <v>0</v>
      </c>
      <c r="H64" s="93">
        <v>0</v>
      </c>
      <c r="N64" s="88"/>
      <c r="O64" s="88"/>
      <c r="P64" s="88"/>
    </row>
    <row r="65" spans="1:16">
      <c r="A65" s="94">
        <v>90700</v>
      </c>
      <c r="B65" s="87" t="s">
        <v>6353</v>
      </c>
      <c r="C65" s="12" t="s">
        <v>6</v>
      </c>
      <c r="D65" s="93">
        <v>359.83</v>
      </c>
      <c r="E65" s="93">
        <v>7.26</v>
      </c>
      <c r="F65" s="93">
        <v>350.51</v>
      </c>
      <c r="G65" s="93">
        <v>2.06</v>
      </c>
      <c r="H65" s="93">
        <v>0</v>
      </c>
      <c r="N65" s="88"/>
      <c r="O65" s="88"/>
      <c r="P65" s="88"/>
    </row>
    <row r="66" spans="1:16">
      <c r="A66" s="94">
        <v>90701</v>
      </c>
      <c r="B66" s="87" t="s">
        <v>6354</v>
      </c>
      <c r="C66" s="12" t="s">
        <v>6</v>
      </c>
      <c r="D66" s="93">
        <v>48.63</v>
      </c>
      <c r="E66" s="93">
        <v>4.92</v>
      </c>
      <c r="F66" s="93">
        <v>43.71</v>
      </c>
      <c r="G66" s="93">
        <v>0</v>
      </c>
      <c r="H66" s="93">
        <v>0</v>
      </c>
      <c r="N66" s="88"/>
      <c r="O66" s="88"/>
      <c r="P66" s="88"/>
    </row>
    <row r="67" spans="1:16">
      <c r="A67" s="94">
        <v>90702</v>
      </c>
      <c r="B67" s="87" t="s">
        <v>6355</v>
      </c>
      <c r="C67" s="12" t="s">
        <v>6</v>
      </c>
      <c r="D67" s="93">
        <v>75.44</v>
      </c>
      <c r="E67" s="93">
        <v>5.41</v>
      </c>
      <c r="F67" s="93">
        <v>70.03</v>
      </c>
      <c r="G67" s="93">
        <v>0</v>
      </c>
      <c r="H67" s="93">
        <v>0</v>
      </c>
      <c r="N67" s="88"/>
      <c r="O67" s="88"/>
      <c r="P67" s="88"/>
    </row>
    <row r="68" spans="1:16">
      <c r="A68" s="94">
        <v>90703</v>
      </c>
      <c r="B68" s="87" t="s">
        <v>6356</v>
      </c>
      <c r="C68" s="12" t="s">
        <v>6</v>
      </c>
      <c r="D68" s="93">
        <v>121.56</v>
      </c>
      <c r="E68" s="93">
        <v>5.91</v>
      </c>
      <c r="F68" s="93">
        <v>115.65</v>
      </c>
      <c r="G68" s="93">
        <v>0</v>
      </c>
      <c r="H68" s="93">
        <v>0</v>
      </c>
      <c r="N68" s="88"/>
      <c r="O68" s="88"/>
      <c r="P68" s="88"/>
    </row>
    <row r="69" spans="1:16">
      <c r="A69" s="94">
        <v>90704</v>
      </c>
      <c r="B69" s="87" t="s">
        <v>6357</v>
      </c>
      <c r="C69" s="12" t="s">
        <v>6</v>
      </c>
      <c r="D69" s="93">
        <v>166.8</v>
      </c>
      <c r="E69" s="93">
        <v>6.4</v>
      </c>
      <c r="F69" s="93">
        <v>160.4</v>
      </c>
      <c r="G69" s="93">
        <v>0</v>
      </c>
      <c r="H69" s="93">
        <v>0</v>
      </c>
      <c r="N69" s="88"/>
      <c r="O69" s="88"/>
      <c r="P69" s="88"/>
    </row>
    <row r="70" spans="1:16">
      <c r="A70" s="94">
        <v>90705</v>
      </c>
      <c r="B70" s="87" t="s">
        <v>6358</v>
      </c>
      <c r="C70" s="12" t="s">
        <v>6</v>
      </c>
      <c r="D70" s="93">
        <v>233.31</v>
      </c>
      <c r="E70" s="93">
        <v>6.9</v>
      </c>
      <c r="F70" s="93">
        <v>226.41</v>
      </c>
      <c r="G70" s="93">
        <v>0</v>
      </c>
      <c r="H70" s="93">
        <v>0</v>
      </c>
      <c r="N70" s="88"/>
      <c r="O70" s="88"/>
      <c r="P70" s="88"/>
    </row>
    <row r="71" spans="1:16">
      <c r="A71" s="94">
        <v>90706</v>
      </c>
      <c r="B71" s="87" t="s">
        <v>6359</v>
      </c>
      <c r="C71" s="12" t="s">
        <v>6</v>
      </c>
      <c r="D71" s="93">
        <v>279.10000000000002</v>
      </c>
      <c r="E71" s="93">
        <v>10.38</v>
      </c>
      <c r="F71" s="93">
        <v>265.75</v>
      </c>
      <c r="G71" s="93">
        <v>2.97</v>
      </c>
      <c r="H71" s="93">
        <v>0</v>
      </c>
      <c r="N71" s="88"/>
      <c r="O71" s="88"/>
      <c r="P71" s="88"/>
    </row>
    <row r="72" spans="1:16">
      <c r="A72" s="94">
        <v>90708</v>
      </c>
      <c r="B72" s="87" t="s">
        <v>6360</v>
      </c>
      <c r="C72" s="12" t="s">
        <v>6</v>
      </c>
      <c r="D72" s="93">
        <v>751.89</v>
      </c>
      <c r="E72" s="93">
        <v>6.73</v>
      </c>
      <c r="F72" s="93">
        <v>741.75</v>
      </c>
      <c r="G72" s="93">
        <v>3.41</v>
      </c>
      <c r="H72" s="93">
        <v>0</v>
      </c>
      <c r="N72" s="88"/>
      <c r="O72" s="88"/>
      <c r="P72" s="88"/>
    </row>
    <row r="73" spans="1:16">
      <c r="A73" s="94">
        <v>90709</v>
      </c>
      <c r="B73" s="87" t="s">
        <v>6361</v>
      </c>
      <c r="C73" s="12" t="s">
        <v>6</v>
      </c>
      <c r="D73" s="93">
        <v>29.32</v>
      </c>
      <c r="E73" s="93">
        <v>3.95</v>
      </c>
      <c r="F73" s="93">
        <v>25.37</v>
      </c>
      <c r="G73" s="93">
        <v>0</v>
      </c>
      <c r="H73" s="93">
        <v>0</v>
      </c>
      <c r="N73" s="88"/>
      <c r="O73" s="88"/>
      <c r="P73" s="88"/>
    </row>
    <row r="74" spans="1:16">
      <c r="A74" s="94">
        <v>90710</v>
      </c>
      <c r="B74" s="87" t="s">
        <v>6362</v>
      </c>
      <c r="C74" s="12" t="s">
        <v>6</v>
      </c>
      <c r="D74" s="93">
        <v>58.06</v>
      </c>
      <c r="E74" s="93">
        <v>4.4400000000000004</v>
      </c>
      <c r="F74" s="93">
        <v>53.62</v>
      </c>
      <c r="G74" s="93">
        <v>0</v>
      </c>
      <c r="H74" s="93">
        <v>0</v>
      </c>
      <c r="N74" s="88"/>
      <c r="O74" s="88"/>
      <c r="P74" s="88"/>
    </row>
    <row r="75" spans="1:16">
      <c r="A75" s="94">
        <v>90711</v>
      </c>
      <c r="B75" s="87" t="s">
        <v>6363</v>
      </c>
      <c r="C75" s="12" t="s">
        <v>6</v>
      </c>
      <c r="D75" s="93">
        <v>84.92</v>
      </c>
      <c r="E75" s="93">
        <v>4.9400000000000004</v>
      </c>
      <c r="F75" s="93">
        <v>79.98</v>
      </c>
      <c r="G75" s="93">
        <v>0</v>
      </c>
      <c r="H75" s="93">
        <v>0</v>
      </c>
      <c r="N75" s="88"/>
      <c r="O75" s="88"/>
      <c r="P75" s="88"/>
    </row>
    <row r="76" spans="1:16">
      <c r="A76" s="94">
        <v>90712</v>
      </c>
      <c r="B76" s="87" t="s">
        <v>6364</v>
      </c>
      <c r="C76" s="12" t="s">
        <v>6</v>
      </c>
      <c r="D76" s="93">
        <v>140.97999999999999</v>
      </c>
      <c r="E76" s="93">
        <v>5.43</v>
      </c>
      <c r="F76" s="93">
        <v>135.55000000000001</v>
      </c>
      <c r="G76" s="93">
        <v>0</v>
      </c>
      <c r="H76" s="93">
        <v>0</v>
      </c>
      <c r="N76" s="88"/>
      <c r="O76" s="88"/>
      <c r="P76" s="88"/>
    </row>
    <row r="77" spans="1:16">
      <c r="A77" s="94">
        <v>90713</v>
      </c>
      <c r="B77" s="87" t="s">
        <v>6365</v>
      </c>
      <c r="C77" s="12" t="s">
        <v>6</v>
      </c>
      <c r="D77" s="93">
        <v>224.03</v>
      </c>
      <c r="E77" s="93">
        <v>5.92</v>
      </c>
      <c r="F77" s="93">
        <v>218.11</v>
      </c>
      <c r="G77" s="93">
        <v>0</v>
      </c>
      <c r="H77" s="93">
        <v>0</v>
      </c>
      <c r="N77" s="88"/>
      <c r="O77" s="88"/>
      <c r="P77" s="88"/>
    </row>
    <row r="78" spans="1:16">
      <c r="A78" s="94">
        <v>90714</v>
      </c>
      <c r="B78" s="87" t="s">
        <v>6366</v>
      </c>
      <c r="C78" s="12" t="s">
        <v>6</v>
      </c>
      <c r="D78" s="93">
        <v>276.32</v>
      </c>
      <c r="E78" s="93">
        <v>6.41</v>
      </c>
      <c r="F78" s="93">
        <v>269.91000000000003</v>
      </c>
      <c r="G78" s="93">
        <v>0</v>
      </c>
      <c r="H78" s="93">
        <v>0</v>
      </c>
      <c r="N78" s="88"/>
      <c r="O78" s="88"/>
      <c r="P78" s="88"/>
    </row>
    <row r="79" spans="1:16">
      <c r="A79" s="94">
        <v>90715</v>
      </c>
      <c r="B79" s="87" t="s">
        <v>6367</v>
      </c>
      <c r="C79" s="12" t="s">
        <v>6</v>
      </c>
      <c r="D79" s="93">
        <v>363.98</v>
      </c>
      <c r="E79" s="93">
        <v>9.7200000000000006</v>
      </c>
      <c r="F79" s="93">
        <v>351.48</v>
      </c>
      <c r="G79" s="93">
        <v>2.78</v>
      </c>
      <c r="H79" s="93">
        <v>0</v>
      </c>
      <c r="N79" s="88"/>
      <c r="O79" s="88"/>
      <c r="P79" s="88"/>
    </row>
    <row r="80" spans="1:16">
      <c r="A80" s="94">
        <v>90716</v>
      </c>
      <c r="B80" s="87" t="s">
        <v>6368</v>
      </c>
      <c r="C80" s="12" t="s">
        <v>6</v>
      </c>
      <c r="D80" s="93">
        <v>50.78</v>
      </c>
      <c r="E80" s="93">
        <v>6.67</v>
      </c>
      <c r="F80" s="93">
        <v>44.11</v>
      </c>
      <c r="G80" s="93">
        <v>0</v>
      </c>
      <c r="H80" s="93">
        <v>0</v>
      </c>
      <c r="N80" s="88"/>
      <c r="O80" s="88"/>
      <c r="P80" s="88"/>
    </row>
    <row r="81" spans="1:16">
      <c r="A81" s="94">
        <v>90717</v>
      </c>
      <c r="B81" s="87" t="s">
        <v>6369</v>
      </c>
      <c r="C81" s="12" t="s">
        <v>6</v>
      </c>
      <c r="D81" s="93">
        <v>77.58</v>
      </c>
      <c r="E81" s="93">
        <v>7.16</v>
      </c>
      <c r="F81" s="93">
        <v>70.42</v>
      </c>
      <c r="G81" s="93">
        <v>0</v>
      </c>
      <c r="H81" s="93">
        <v>0</v>
      </c>
      <c r="N81" s="88"/>
      <c r="O81" s="88"/>
      <c r="P81" s="88"/>
    </row>
    <row r="82" spans="1:16">
      <c r="A82" s="94">
        <v>90718</v>
      </c>
      <c r="B82" s="87" t="s">
        <v>6370</v>
      </c>
      <c r="C82" s="12" t="s">
        <v>6</v>
      </c>
      <c r="D82" s="93">
        <v>123.7</v>
      </c>
      <c r="E82" s="93">
        <v>7.66</v>
      </c>
      <c r="F82" s="93">
        <v>116.04</v>
      </c>
      <c r="G82" s="93">
        <v>0</v>
      </c>
      <c r="H82" s="93">
        <v>0</v>
      </c>
      <c r="N82" s="88"/>
      <c r="O82" s="88"/>
      <c r="P82" s="88"/>
    </row>
    <row r="83" spans="1:16">
      <c r="A83" s="94">
        <v>90719</v>
      </c>
      <c r="B83" s="87" t="s">
        <v>6371</v>
      </c>
      <c r="C83" s="12" t="s">
        <v>6</v>
      </c>
      <c r="D83" s="93">
        <v>168.94</v>
      </c>
      <c r="E83" s="93">
        <v>8.14</v>
      </c>
      <c r="F83" s="93">
        <v>160.80000000000001</v>
      </c>
      <c r="G83" s="93">
        <v>0</v>
      </c>
      <c r="H83" s="93">
        <v>0</v>
      </c>
      <c r="N83" s="88"/>
      <c r="O83" s="88"/>
      <c r="P83" s="88"/>
    </row>
    <row r="84" spans="1:16">
      <c r="A84" s="94">
        <v>90720</v>
      </c>
      <c r="B84" s="87" t="s">
        <v>6372</v>
      </c>
      <c r="C84" s="12" t="s">
        <v>6</v>
      </c>
      <c r="D84" s="93">
        <v>235.44</v>
      </c>
      <c r="E84" s="93">
        <v>8.64</v>
      </c>
      <c r="F84" s="93">
        <v>226.8</v>
      </c>
      <c r="G84" s="93">
        <v>0</v>
      </c>
      <c r="H84" s="93">
        <v>0</v>
      </c>
      <c r="N84" s="88"/>
      <c r="O84" s="88"/>
      <c r="P84" s="88"/>
    </row>
    <row r="85" spans="1:16">
      <c r="A85" s="94">
        <v>90721</v>
      </c>
      <c r="B85" s="87" t="s">
        <v>6373</v>
      </c>
      <c r="C85" s="12" t="s">
        <v>6</v>
      </c>
      <c r="D85" s="93">
        <v>283.24</v>
      </c>
      <c r="E85" s="93">
        <v>12.85</v>
      </c>
      <c r="F85" s="93">
        <v>266.70999999999998</v>
      </c>
      <c r="G85" s="93">
        <v>3.68</v>
      </c>
      <c r="H85" s="93">
        <v>0</v>
      </c>
      <c r="N85" s="88"/>
      <c r="O85" s="88"/>
      <c r="P85" s="88"/>
    </row>
    <row r="86" spans="1:16">
      <c r="A86" s="94">
        <v>90723</v>
      </c>
      <c r="B86" s="87" t="s">
        <v>6374</v>
      </c>
      <c r="C86" s="12" t="s">
        <v>6</v>
      </c>
      <c r="D86" s="93">
        <v>754.39</v>
      </c>
      <c r="E86" s="93">
        <v>8.02</v>
      </c>
      <c r="F86" s="93">
        <v>742.3</v>
      </c>
      <c r="G86" s="93">
        <v>4.07</v>
      </c>
      <c r="H86" s="93">
        <v>0</v>
      </c>
      <c r="N86" s="88"/>
      <c r="O86" s="88"/>
      <c r="P86" s="88"/>
    </row>
    <row r="87" spans="1:16">
      <c r="A87" s="94">
        <v>90724</v>
      </c>
      <c r="B87" s="87" t="s">
        <v>6375</v>
      </c>
      <c r="C87" s="12" t="s">
        <v>4</v>
      </c>
      <c r="D87" s="93">
        <v>24.75</v>
      </c>
      <c r="E87" s="93">
        <v>19.190000000000001</v>
      </c>
      <c r="F87" s="93">
        <v>5.56</v>
      </c>
      <c r="G87" s="93">
        <v>0</v>
      </c>
      <c r="H87" s="93">
        <v>0</v>
      </c>
      <c r="N87" s="88"/>
      <c r="O87" s="88"/>
      <c r="P87" s="88"/>
    </row>
    <row r="88" spans="1:16">
      <c r="A88" s="94">
        <v>90725</v>
      </c>
      <c r="B88" s="87" t="s">
        <v>6376</v>
      </c>
      <c r="C88" s="12" t="s">
        <v>4</v>
      </c>
      <c r="D88" s="93">
        <v>30.55</v>
      </c>
      <c r="E88" s="93">
        <v>23.52</v>
      </c>
      <c r="F88" s="93">
        <v>7.03</v>
      </c>
      <c r="G88" s="93">
        <v>0</v>
      </c>
      <c r="H88" s="93">
        <v>0</v>
      </c>
      <c r="N88" s="88"/>
      <c r="O88" s="88"/>
      <c r="P88" s="88"/>
    </row>
    <row r="89" spans="1:16">
      <c r="A89" s="94">
        <v>90726</v>
      </c>
      <c r="B89" s="87" t="s">
        <v>6377</v>
      </c>
      <c r="C89" s="12" t="s">
        <v>4</v>
      </c>
      <c r="D89" s="93">
        <v>36.340000000000003</v>
      </c>
      <c r="E89" s="93">
        <v>27.79</v>
      </c>
      <c r="F89" s="93">
        <v>8.5500000000000007</v>
      </c>
      <c r="G89" s="93">
        <v>0</v>
      </c>
      <c r="H89" s="93">
        <v>0</v>
      </c>
      <c r="N89" s="88"/>
      <c r="O89" s="88"/>
      <c r="P89" s="88"/>
    </row>
    <row r="90" spans="1:16">
      <c r="A90" s="94">
        <v>90727</v>
      </c>
      <c r="B90" s="87" t="s">
        <v>6378</v>
      </c>
      <c r="C90" s="12" t="s">
        <v>4</v>
      </c>
      <c r="D90" s="93">
        <v>42.14</v>
      </c>
      <c r="E90" s="93">
        <v>32.14</v>
      </c>
      <c r="F90" s="93">
        <v>10</v>
      </c>
      <c r="G90" s="93">
        <v>0</v>
      </c>
      <c r="H90" s="93">
        <v>0</v>
      </c>
      <c r="N90" s="88"/>
      <c r="O90" s="88"/>
      <c r="P90" s="88"/>
    </row>
    <row r="91" spans="1:16">
      <c r="A91" s="94">
        <v>90728</v>
      </c>
      <c r="B91" s="87" t="s">
        <v>6379</v>
      </c>
      <c r="C91" s="12" t="s">
        <v>4</v>
      </c>
      <c r="D91" s="93">
        <v>47.93</v>
      </c>
      <c r="E91" s="93">
        <v>36.450000000000003</v>
      </c>
      <c r="F91" s="93">
        <v>11.48</v>
      </c>
      <c r="G91" s="93">
        <v>0</v>
      </c>
      <c r="H91" s="93">
        <v>0</v>
      </c>
      <c r="N91" s="88"/>
      <c r="O91" s="88"/>
      <c r="P91" s="88"/>
    </row>
    <row r="92" spans="1:16">
      <c r="A92" s="94">
        <v>90729</v>
      </c>
      <c r="B92" s="87" t="s">
        <v>6380</v>
      </c>
      <c r="C92" s="12" t="s">
        <v>4</v>
      </c>
      <c r="D92" s="93">
        <v>53.72</v>
      </c>
      <c r="E92" s="93">
        <v>40.72</v>
      </c>
      <c r="F92" s="93">
        <v>13</v>
      </c>
      <c r="G92" s="93">
        <v>0</v>
      </c>
      <c r="H92" s="93">
        <v>0</v>
      </c>
      <c r="N92" s="88"/>
      <c r="O92" s="88"/>
      <c r="P92" s="88"/>
    </row>
    <row r="93" spans="1:16">
      <c r="A93" s="94">
        <v>90730</v>
      </c>
      <c r="B93" s="87" t="s">
        <v>6381</v>
      </c>
      <c r="C93" s="12" t="s">
        <v>4</v>
      </c>
      <c r="D93" s="93">
        <v>59.56</v>
      </c>
      <c r="E93" s="93">
        <v>45.06</v>
      </c>
      <c r="F93" s="93">
        <v>14.5</v>
      </c>
      <c r="G93" s="93">
        <v>0</v>
      </c>
      <c r="H93" s="93">
        <v>0</v>
      </c>
      <c r="N93" s="88"/>
      <c r="O93" s="88"/>
      <c r="P93" s="88"/>
    </row>
    <row r="94" spans="1:16">
      <c r="A94" s="94">
        <v>90731</v>
      </c>
      <c r="B94" s="87" t="s">
        <v>6382</v>
      </c>
      <c r="C94" s="12" t="s">
        <v>4</v>
      </c>
      <c r="D94" s="93">
        <v>65.349999999999994</v>
      </c>
      <c r="E94" s="93">
        <v>49.39</v>
      </c>
      <c r="F94" s="93">
        <v>15.96</v>
      </c>
      <c r="G94" s="93">
        <v>0</v>
      </c>
      <c r="H94" s="93">
        <v>0</v>
      </c>
      <c r="N94" s="88"/>
      <c r="O94" s="88"/>
      <c r="P94" s="88"/>
    </row>
    <row r="95" spans="1:16">
      <c r="A95" s="94">
        <v>90732</v>
      </c>
      <c r="B95" s="87" t="s">
        <v>6383</v>
      </c>
      <c r="C95" s="12" t="s">
        <v>4</v>
      </c>
      <c r="D95" s="93">
        <v>82.74</v>
      </c>
      <c r="E95" s="93">
        <v>62.31</v>
      </c>
      <c r="F95" s="93">
        <v>20.43</v>
      </c>
      <c r="G95" s="93">
        <v>0</v>
      </c>
      <c r="H95" s="93">
        <v>0</v>
      </c>
      <c r="N95" s="88"/>
      <c r="O95" s="88"/>
      <c r="P95" s="88"/>
    </row>
    <row r="96" spans="1:16">
      <c r="A96" s="94">
        <v>90733</v>
      </c>
      <c r="B96" s="87" t="s">
        <v>6384</v>
      </c>
      <c r="C96" s="12" t="s">
        <v>6</v>
      </c>
      <c r="D96" s="93">
        <v>2.7</v>
      </c>
      <c r="E96" s="93">
        <v>2.2599999999999998</v>
      </c>
      <c r="F96" s="93">
        <v>0.44</v>
      </c>
      <c r="G96" s="93">
        <v>0</v>
      </c>
      <c r="H96" s="93">
        <v>0</v>
      </c>
      <c r="N96" s="88"/>
      <c r="O96" s="88"/>
      <c r="P96" s="88"/>
    </row>
    <row r="97" spans="1:16">
      <c r="A97" s="94">
        <v>90734</v>
      </c>
      <c r="B97" s="87" t="s">
        <v>6385</v>
      </c>
      <c r="C97" s="12" t="s">
        <v>6</v>
      </c>
      <c r="D97" s="93">
        <v>3.29</v>
      </c>
      <c r="E97" s="93">
        <v>2.75</v>
      </c>
      <c r="F97" s="93">
        <v>0.54</v>
      </c>
      <c r="G97" s="93">
        <v>0</v>
      </c>
      <c r="H97" s="93">
        <v>0</v>
      </c>
      <c r="N97" s="88"/>
      <c r="O97" s="88"/>
      <c r="P97" s="88"/>
    </row>
    <row r="98" spans="1:16">
      <c r="A98" s="94">
        <v>90735</v>
      </c>
      <c r="B98" s="87" t="s">
        <v>6386</v>
      </c>
      <c r="C98" s="12" t="s">
        <v>6</v>
      </c>
      <c r="D98" s="93">
        <v>3.91</v>
      </c>
      <c r="E98" s="93">
        <v>3.24</v>
      </c>
      <c r="F98" s="93">
        <v>0.67</v>
      </c>
      <c r="G98" s="93">
        <v>0</v>
      </c>
      <c r="H98" s="93">
        <v>0</v>
      </c>
      <c r="N98" s="88"/>
      <c r="O98" s="88"/>
      <c r="P98" s="88"/>
    </row>
    <row r="99" spans="1:16">
      <c r="A99" s="94">
        <v>90736</v>
      </c>
      <c r="B99" s="87" t="s">
        <v>6387</v>
      </c>
      <c r="C99" s="12" t="s">
        <v>6</v>
      </c>
      <c r="D99" s="93">
        <v>4.51</v>
      </c>
      <c r="E99" s="93">
        <v>3.72</v>
      </c>
      <c r="F99" s="93">
        <v>0.79</v>
      </c>
      <c r="G99" s="93">
        <v>0</v>
      </c>
      <c r="H99" s="93">
        <v>0</v>
      </c>
      <c r="N99" s="88"/>
      <c r="O99" s="88"/>
      <c r="P99" s="88"/>
    </row>
    <row r="100" spans="1:16">
      <c r="A100" s="94">
        <v>90737</v>
      </c>
      <c r="B100" s="87" t="s">
        <v>6388</v>
      </c>
      <c r="C100" s="12" t="s">
        <v>6</v>
      </c>
      <c r="D100" s="93">
        <v>5.1100000000000003</v>
      </c>
      <c r="E100" s="93">
        <v>4.22</v>
      </c>
      <c r="F100" s="93">
        <v>0.89</v>
      </c>
      <c r="G100" s="93">
        <v>0</v>
      </c>
      <c r="H100" s="93">
        <v>0</v>
      </c>
      <c r="N100" s="88"/>
      <c r="O100" s="88"/>
      <c r="P100" s="88"/>
    </row>
    <row r="101" spans="1:16">
      <c r="A101" s="94">
        <v>90738</v>
      </c>
      <c r="B101" s="87" t="s">
        <v>6389</v>
      </c>
      <c r="C101" s="12" t="s">
        <v>6</v>
      </c>
      <c r="D101" s="93">
        <v>5.71</v>
      </c>
      <c r="E101" s="93">
        <v>4.74</v>
      </c>
      <c r="F101" s="93">
        <v>0.97</v>
      </c>
      <c r="G101" s="93">
        <v>0</v>
      </c>
      <c r="H101" s="93">
        <v>0</v>
      </c>
      <c r="N101" s="88"/>
      <c r="O101" s="88"/>
      <c r="P101" s="88"/>
    </row>
    <row r="102" spans="1:16">
      <c r="A102" s="94">
        <v>90739</v>
      </c>
      <c r="B102" s="87" t="s">
        <v>6390</v>
      </c>
      <c r="C102" s="12" t="s">
        <v>6</v>
      </c>
      <c r="D102" s="93">
        <v>12.2</v>
      </c>
      <c r="E102" s="93">
        <v>7.38</v>
      </c>
      <c r="F102" s="93">
        <v>2.74</v>
      </c>
      <c r="G102" s="93">
        <v>2.08</v>
      </c>
      <c r="H102" s="93">
        <v>0</v>
      </c>
      <c r="N102" s="88"/>
      <c r="O102" s="88"/>
      <c r="P102" s="88"/>
    </row>
    <row r="103" spans="1:16">
      <c r="A103" s="94">
        <v>90740</v>
      </c>
      <c r="B103" s="87" t="s">
        <v>6391</v>
      </c>
      <c r="C103" s="12" t="s">
        <v>6</v>
      </c>
      <c r="D103" s="93">
        <v>6.01</v>
      </c>
      <c r="E103" s="93">
        <v>4.9800000000000004</v>
      </c>
      <c r="F103" s="93">
        <v>1.03</v>
      </c>
      <c r="G103" s="93">
        <v>0</v>
      </c>
      <c r="H103" s="93">
        <v>0</v>
      </c>
      <c r="N103" s="88"/>
      <c r="O103" s="88"/>
      <c r="P103" s="88"/>
    </row>
    <row r="104" spans="1:16">
      <c r="A104" s="94">
        <v>90741</v>
      </c>
      <c r="B104" s="87" t="s">
        <v>6392</v>
      </c>
      <c r="C104" s="12" t="s">
        <v>6</v>
      </c>
      <c r="D104" s="93">
        <v>6.61</v>
      </c>
      <c r="E104" s="93">
        <v>5.46</v>
      </c>
      <c r="F104" s="93">
        <v>1.1499999999999999</v>
      </c>
      <c r="G104" s="93">
        <v>0</v>
      </c>
      <c r="H104" s="93">
        <v>0</v>
      </c>
      <c r="N104" s="88"/>
      <c r="O104" s="88"/>
      <c r="P104" s="88"/>
    </row>
    <row r="105" spans="1:16">
      <c r="A105" s="94">
        <v>90742</v>
      </c>
      <c r="B105" s="87" t="s">
        <v>6393</v>
      </c>
      <c r="C105" s="12" t="s">
        <v>6</v>
      </c>
      <c r="D105" s="93">
        <v>7.22</v>
      </c>
      <c r="E105" s="93">
        <v>5.97</v>
      </c>
      <c r="F105" s="93">
        <v>1.25</v>
      </c>
      <c r="G105" s="93">
        <v>0</v>
      </c>
      <c r="H105" s="93">
        <v>0</v>
      </c>
      <c r="N105" s="88"/>
      <c r="O105" s="88"/>
      <c r="P105" s="88"/>
    </row>
    <row r="106" spans="1:16">
      <c r="A106" s="94">
        <v>90743</v>
      </c>
      <c r="B106" s="87" t="s">
        <v>6394</v>
      </c>
      <c r="C106" s="12" t="s">
        <v>6</v>
      </c>
      <c r="D106" s="93">
        <v>7.82</v>
      </c>
      <c r="E106" s="93">
        <v>6.44</v>
      </c>
      <c r="F106" s="93">
        <v>1.38</v>
      </c>
      <c r="G106" s="93">
        <v>0</v>
      </c>
      <c r="H106" s="93">
        <v>0</v>
      </c>
      <c r="N106" s="88"/>
      <c r="O106" s="88"/>
      <c r="P106" s="88"/>
    </row>
    <row r="107" spans="1:16">
      <c r="A107" s="94">
        <v>90744</v>
      </c>
      <c r="B107" s="87" t="s">
        <v>6395</v>
      </c>
      <c r="C107" s="12" t="s">
        <v>6</v>
      </c>
      <c r="D107" s="93">
        <v>8.43</v>
      </c>
      <c r="E107" s="93">
        <v>6.95</v>
      </c>
      <c r="F107" s="93">
        <v>1.48</v>
      </c>
      <c r="G107" s="93">
        <v>0</v>
      </c>
      <c r="H107" s="93">
        <v>0</v>
      </c>
      <c r="N107" s="88"/>
      <c r="O107" s="88"/>
      <c r="P107" s="88"/>
    </row>
    <row r="108" spans="1:16">
      <c r="A108" s="94">
        <v>90745</v>
      </c>
      <c r="B108" s="87" t="s">
        <v>6396</v>
      </c>
      <c r="C108" s="12" t="s">
        <v>6</v>
      </c>
      <c r="D108" s="93">
        <v>17.46</v>
      </c>
      <c r="E108" s="93">
        <v>10.46</v>
      </c>
      <c r="F108" s="93">
        <v>4.01</v>
      </c>
      <c r="G108" s="93">
        <v>2.99</v>
      </c>
      <c r="H108" s="93">
        <v>0</v>
      </c>
      <c r="N108" s="88"/>
      <c r="O108" s="88"/>
      <c r="P108" s="88"/>
    </row>
    <row r="109" spans="1:16">
      <c r="A109" s="94">
        <v>90746</v>
      </c>
      <c r="B109" s="87" t="s">
        <v>6397</v>
      </c>
      <c r="C109" s="12" t="s">
        <v>6</v>
      </c>
      <c r="D109" s="93">
        <v>3.66</v>
      </c>
      <c r="E109" s="93">
        <v>3.04</v>
      </c>
      <c r="F109" s="93">
        <v>0.62</v>
      </c>
      <c r="G109" s="93">
        <v>0</v>
      </c>
      <c r="H109" s="93">
        <v>0</v>
      </c>
      <c r="N109" s="88"/>
      <c r="O109" s="88"/>
      <c r="P109" s="88"/>
    </row>
    <row r="110" spans="1:16">
      <c r="A110" s="94">
        <v>90747</v>
      </c>
      <c r="B110" s="87" t="s">
        <v>6398</v>
      </c>
      <c r="C110" s="12" t="s">
        <v>6</v>
      </c>
      <c r="D110" s="93">
        <v>13.11</v>
      </c>
      <c r="E110" s="93">
        <v>6.81</v>
      </c>
      <c r="F110" s="93">
        <v>2.86</v>
      </c>
      <c r="G110" s="93">
        <v>3.44</v>
      </c>
      <c r="H110" s="93">
        <v>0</v>
      </c>
      <c r="N110" s="88"/>
      <c r="O110" s="88"/>
      <c r="P110" s="88"/>
    </row>
    <row r="111" spans="1:16">
      <c r="A111" s="94">
        <v>90748</v>
      </c>
      <c r="B111" s="87" t="s">
        <v>6399</v>
      </c>
      <c r="C111" s="12" t="s">
        <v>6</v>
      </c>
      <c r="D111" s="93">
        <v>4.84</v>
      </c>
      <c r="E111" s="93">
        <v>4.03</v>
      </c>
      <c r="F111" s="93">
        <v>0.81</v>
      </c>
      <c r="G111" s="93">
        <v>0</v>
      </c>
      <c r="H111" s="93">
        <v>0</v>
      </c>
      <c r="N111" s="88"/>
      <c r="O111" s="88"/>
      <c r="P111" s="88"/>
    </row>
    <row r="112" spans="1:16">
      <c r="A112" s="94">
        <v>90749</v>
      </c>
      <c r="B112" s="87" t="s">
        <v>6400</v>
      </c>
      <c r="C112" s="12" t="s">
        <v>6</v>
      </c>
      <c r="D112" s="93">
        <v>5.44</v>
      </c>
      <c r="E112" s="93">
        <v>4.5199999999999996</v>
      </c>
      <c r="F112" s="93">
        <v>0.92</v>
      </c>
      <c r="G112" s="93">
        <v>0</v>
      </c>
      <c r="H112" s="93">
        <v>0</v>
      </c>
      <c r="N112" s="88"/>
      <c r="O112" s="88"/>
      <c r="P112" s="88"/>
    </row>
    <row r="113" spans="1:16">
      <c r="A113" s="94">
        <v>90750</v>
      </c>
      <c r="B113" s="87" t="s">
        <v>6401</v>
      </c>
      <c r="C113" s="12" t="s">
        <v>6</v>
      </c>
      <c r="D113" s="93">
        <v>6.04</v>
      </c>
      <c r="E113" s="93">
        <v>5.01</v>
      </c>
      <c r="F113" s="93">
        <v>1.03</v>
      </c>
      <c r="G113" s="93">
        <v>0</v>
      </c>
      <c r="H113" s="93">
        <v>0</v>
      </c>
      <c r="N113" s="88"/>
      <c r="O113" s="88"/>
      <c r="P113" s="88"/>
    </row>
    <row r="114" spans="1:16">
      <c r="A114" s="94">
        <v>90751</v>
      </c>
      <c r="B114" s="87" t="s">
        <v>6402</v>
      </c>
      <c r="C114" s="12" t="s">
        <v>6</v>
      </c>
      <c r="D114" s="93">
        <v>6.64</v>
      </c>
      <c r="E114" s="93">
        <v>5.48</v>
      </c>
      <c r="F114" s="93">
        <v>1.1599999999999999</v>
      </c>
      <c r="G114" s="93">
        <v>0</v>
      </c>
      <c r="H114" s="93">
        <v>0</v>
      </c>
      <c r="N114" s="88"/>
      <c r="O114" s="88"/>
      <c r="P114" s="88"/>
    </row>
    <row r="115" spans="1:16">
      <c r="A115" s="94">
        <v>90752</v>
      </c>
      <c r="B115" s="87" t="s">
        <v>6403</v>
      </c>
      <c r="C115" s="12" t="s">
        <v>6</v>
      </c>
      <c r="D115" s="93">
        <v>7.24</v>
      </c>
      <c r="E115" s="93">
        <v>5.97</v>
      </c>
      <c r="F115" s="93">
        <v>1.27</v>
      </c>
      <c r="G115" s="93">
        <v>0</v>
      </c>
      <c r="H115" s="93">
        <v>0</v>
      </c>
      <c r="N115" s="88"/>
      <c r="O115" s="88"/>
      <c r="P115" s="88"/>
    </row>
    <row r="116" spans="1:16">
      <c r="A116" s="94">
        <v>90753</v>
      </c>
      <c r="B116" s="87" t="s">
        <v>6404</v>
      </c>
      <c r="C116" s="12" t="s">
        <v>6</v>
      </c>
      <c r="D116" s="93">
        <v>7.85</v>
      </c>
      <c r="E116" s="93">
        <v>6.46</v>
      </c>
      <c r="F116" s="93">
        <v>1.39</v>
      </c>
      <c r="G116" s="93">
        <v>0</v>
      </c>
      <c r="H116" s="93">
        <v>0</v>
      </c>
      <c r="N116" s="88"/>
      <c r="O116" s="88"/>
      <c r="P116" s="88"/>
    </row>
    <row r="117" spans="1:16">
      <c r="A117" s="94">
        <v>90754</v>
      </c>
      <c r="B117" s="87" t="s">
        <v>6405</v>
      </c>
      <c r="C117" s="12" t="s">
        <v>6</v>
      </c>
      <c r="D117" s="93">
        <v>16.350000000000001</v>
      </c>
      <c r="E117" s="93">
        <v>9.81</v>
      </c>
      <c r="F117" s="93">
        <v>3.74</v>
      </c>
      <c r="G117" s="93">
        <v>2.8</v>
      </c>
      <c r="H117" s="93">
        <v>0</v>
      </c>
      <c r="N117" s="88"/>
      <c r="O117" s="88"/>
      <c r="P117" s="88"/>
    </row>
    <row r="118" spans="1:16">
      <c r="A118" s="94">
        <v>90755</v>
      </c>
      <c r="B118" s="87" t="s">
        <v>6406</v>
      </c>
      <c r="C118" s="12" t="s">
        <v>6</v>
      </c>
      <c r="D118" s="93">
        <v>8.16</v>
      </c>
      <c r="E118" s="93">
        <v>6.73</v>
      </c>
      <c r="F118" s="93">
        <v>1.43</v>
      </c>
      <c r="G118" s="93">
        <v>0</v>
      </c>
      <c r="H118" s="93">
        <v>0</v>
      </c>
      <c r="N118" s="88"/>
      <c r="O118" s="88"/>
      <c r="P118" s="88"/>
    </row>
    <row r="119" spans="1:16">
      <c r="A119" s="94">
        <v>90756</v>
      </c>
      <c r="B119" s="87" t="s">
        <v>6407</v>
      </c>
      <c r="C119" s="12" t="s">
        <v>6</v>
      </c>
      <c r="D119" s="93">
        <v>8.75</v>
      </c>
      <c r="E119" s="93">
        <v>7.22</v>
      </c>
      <c r="F119" s="93">
        <v>1.53</v>
      </c>
      <c r="G119" s="93">
        <v>0</v>
      </c>
      <c r="H119" s="93">
        <v>0</v>
      </c>
      <c r="N119" s="88"/>
      <c r="O119" s="88"/>
      <c r="P119" s="88"/>
    </row>
    <row r="120" spans="1:16">
      <c r="A120" s="94">
        <v>90757</v>
      </c>
      <c r="B120" s="87" t="s">
        <v>6408</v>
      </c>
      <c r="C120" s="12" t="s">
        <v>6</v>
      </c>
      <c r="D120" s="93">
        <v>9.36</v>
      </c>
      <c r="E120" s="93">
        <v>7.71</v>
      </c>
      <c r="F120" s="93">
        <v>1.65</v>
      </c>
      <c r="G120" s="93">
        <v>0</v>
      </c>
      <c r="H120" s="93">
        <v>0</v>
      </c>
      <c r="N120" s="88"/>
      <c r="O120" s="88"/>
      <c r="P120" s="88"/>
    </row>
    <row r="121" spans="1:16">
      <c r="A121" s="94">
        <v>90758</v>
      </c>
      <c r="B121" s="87" t="s">
        <v>6409</v>
      </c>
      <c r="C121" s="12" t="s">
        <v>6</v>
      </c>
      <c r="D121" s="93">
        <v>9.9600000000000009</v>
      </c>
      <c r="E121" s="93">
        <v>8.19</v>
      </c>
      <c r="F121" s="93">
        <v>1.77</v>
      </c>
      <c r="G121" s="93">
        <v>0</v>
      </c>
      <c r="H121" s="93">
        <v>0</v>
      </c>
      <c r="N121" s="88"/>
      <c r="O121" s="88"/>
      <c r="P121" s="88"/>
    </row>
    <row r="122" spans="1:16">
      <c r="A122" s="94">
        <v>90759</v>
      </c>
      <c r="B122" s="87" t="s">
        <v>6410</v>
      </c>
      <c r="C122" s="12" t="s">
        <v>6</v>
      </c>
      <c r="D122" s="93">
        <v>10.56</v>
      </c>
      <c r="E122" s="93">
        <v>8.7100000000000009</v>
      </c>
      <c r="F122" s="93">
        <v>1.85</v>
      </c>
      <c r="G122" s="93">
        <v>0</v>
      </c>
      <c r="H122" s="93">
        <v>0</v>
      </c>
      <c r="N122" s="88"/>
      <c r="O122" s="88"/>
      <c r="P122" s="88"/>
    </row>
    <row r="123" spans="1:16">
      <c r="A123" s="94">
        <v>90760</v>
      </c>
      <c r="B123" s="87" t="s">
        <v>6411</v>
      </c>
      <c r="C123" s="12" t="s">
        <v>6</v>
      </c>
      <c r="D123" s="93">
        <v>21.6</v>
      </c>
      <c r="E123" s="93">
        <v>12.93</v>
      </c>
      <c r="F123" s="93">
        <v>4.97</v>
      </c>
      <c r="G123" s="93">
        <v>3.7</v>
      </c>
      <c r="H123" s="93">
        <v>0</v>
      </c>
      <c r="N123" s="88"/>
      <c r="O123" s="88"/>
      <c r="P123" s="88"/>
    </row>
    <row r="124" spans="1:16">
      <c r="A124" s="94">
        <v>90761</v>
      </c>
      <c r="B124" s="87" t="s">
        <v>6412</v>
      </c>
      <c r="C124" s="12" t="s">
        <v>6</v>
      </c>
      <c r="D124" s="93">
        <v>4.4800000000000004</v>
      </c>
      <c r="E124" s="93">
        <v>3.7</v>
      </c>
      <c r="F124" s="93">
        <v>0.78</v>
      </c>
      <c r="G124" s="93">
        <v>0</v>
      </c>
      <c r="H124" s="93">
        <v>0</v>
      </c>
      <c r="N124" s="88"/>
      <c r="O124" s="88"/>
      <c r="P124" s="88"/>
    </row>
    <row r="125" spans="1:16">
      <c r="A125" s="94">
        <v>90762</v>
      </c>
      <c r="B125" s="87" t="s">
        <v>6413</v>
      </c>
      <c r="C125" s="12" t="s">
        <v>6</v>
      </c>
      <c r="D125" s="93">
        <v>15.61</v>
      </c>
      <c r="E125" s="93">
        <v>8.11</v>
      </c>
      <c r="F125" s="93">
        <v>3.39</v>
      </c>
      <c r="G125" s="93">
        <v>4.1100000000000003</v>
      </c>
      <c r="H125" s="93">
        <v>0</v>
      </c>
      <c r="N125" s="88"/>
      <c r="O125" s="88"/>
      <c r="P125" s="88"/>
    </row>
    <row r="126" spans="1:16">
      <c r="A126" s="94">
        <v>94869</v>
      </c>
      <c r="B126" s="87" t="s">
        <v>6414</v>
      </c>
      <c r="C126" s="12" t="s">
        <v>6</v>
      </c>
      <c r="D126" s="93">
        <v>152.94999999999999</v>
      </c>
      <c r="E126" s="93">
        <v>0.72</v>
      </c>
      <c r="F126" s="93">
        <v>152.22999999999999</v>
      </c>
      <c r="G126" s="93">
        <v>0</v>
      </c>
      <c r="H126" s="93">
        <v>0</v>
      </c>
      <c r="N126" s="88"/>
      <c r="O126" s="88"/>
      <c r="P126" s="88"/>
    </row>
    <row r="127" spans="1:16">
      <c r="A127" s="94">
        <v>94870</v>
      </c>
      <c r="B127" s="87" t="s">
        <v>6415</v>
      </c>
      <c r="C127" s="12" t="s">
        <v>6</v>
      </c>
      <c r="D127" s="93">
        <v>0.9</v>
      </c>
      <c r="E127" s="93">
        <v>0.77</v>
      </c>
      <c r="F127" s="93">
        <v>0.13</v>
      </c>
      <c r="G127" s="93">
        <v>0</v>
      </c>
      <c r="H127" s="93">
        <v>0</v>
      </c>
      <c r="N127" s="88"/>
      <c r="O127" s="88"/>
      <c r="P127" s="88"/>
    </row>
    <row r="128" spans="1:16">
      <c r="A128" s="94">
        <v>94871</v>
      </c>
      <c r="B128" s="87" t="s">
        <v>6416</v>
      </c>
      <c r="C128" s="12" t="s">
        <v>6</v>
      </c>
      <c r="D128" s="93">
        <v>181.33</v>
      </c>
      <c r="E128" s="93">
        <v>1.26</v>
      </c>
      <c r="F128" s="93">
        <v>180.07</v>
      </c>
      <c r="G128" s="93">
        <v>0</v>
      </c>
      <c r="H128" s="93">
        <v>0</v>
      </c>
      <c r="N128" s="88"/>
      <c r="O128" s="88"/>
      <c r="P128" s="88"/>
    </row>
    <row r="129" spans="1:16">
      <c r="A129" s="94">
        <v>94872</v>
      </c>
      <c r="B129" s="87" t="s">
        <v>6417</v>
      </c>
      <c r="C129" s="12" t="s">
        <v>6</v>
      </c>
      <c r="D129" s="93">
        <v>1.56</v>
      </c>
      <c r="E129" s="93">
        <v>1.33</v>
      </c>
      <c r="F129" s="93">
        <v>0.23</v>
      </c>
      <c r="G129" s="93">
        <v>0</v>
      </c>
      <c r="H129" s="93">
        <v>0</v>
      </c>
      <c r="N129" s="88"/>
      <c r="O129" s="88"/>
      <c r="P129" s="88"/>
    </row>
    <row r="130" spans="1:16">
      <c r="A130" s="94">
        <v>94875</v>
      </c>
      <c r="B130" s="87" t="s">
        <v>6418</v>
      </c>
      <c r="C130" s="12" t="s">
        <v>6</v>
      </c>
      <c r="D130" s="93">
        <v>1062.56</v>
      </c>
      <c r="E130" s="93">
        <v>10.199999999999999</v>
      </c>
      <c r="F130" s="93">
        <v>1047.2</v>
      </c>
      <c r="G130" s="93">
        <v>5.16</v>
      </c>
      <c r="H130" s="93">
        <v>0</v>
      </c>
      <c r="N130" s="88"/>
      <c r="O130" s="88"/>
      <c r="P130" s="88"/>
    </row>
    <row r="131" spans="1:16">
      <c r="A131" s="94">
        <v>94876</v>
      </c>
      <c r="B131" s="87" t="s">
        <v>6419</v>
      </c>
      <c r="C131" s="12" t="s">
        <v>6</v>
      </c>
      <c r="D131" s="93">
        <v>19.84</v>
      </c>
      <c r="E131" s="93">
        <v>10.29</v>
      </c>
      <c r="F131" s="93">
        <v>4.3499999999999996</v>
      </c>
      <c r="G131" s="93">
        <v>5.2</v>
      </c>
      <c r="H131" s="93">
        <v>0</v>
      </c>
      <c r="N131" s="88"/>
      <c r="O131" s="88"/>
      <c r="P131" s="88"/>
    </row>
    <row r="132" spans="1:16">
      <c r="A132" s="94">
        <v>94878</v>
      </c>
      <c r="B132" s="87" t="s">
        <v>666</v>
      </c>
      <c r="C132" s="12" t="s">
        <v>6</v>
      </c>
      <c r="D132" s="93">
        <v>23.29</v>
      </c>
      <c r="E132" s="93">
        <v>12.09</v>
      </c>
      <c r="F132" s="93">
        <v>5.09</v>
      </c>
      <c r="G132" s="93">
        <v>6.11</v>
      </c>
      <c r="H132" s="93">
        <v>0</v>
      </c>
      <c r="N132" s="88"/>
      <c r="O132" s="88"/>
      <c r="P132" s="88"/>
    </row>
    <row r="133" spans="1:16">
      <c r="A133" s="94">
        <v>94879</v>
      </c>
      <c r="B133" s="87" t="s">
        <v>667</v>
      </c>
      <c r="C133" s="12" t="s">
        <v>6</v>
      </c>
      <c r="D133" s="93">
        <v>1416.02</v>
      </c>
      <c r="E133" s="93">
        <v>14.69</v>
      </c>
      <c r="F133" s="93">
        <v>1393.89</v>
      </c>
      <c r="G133" s="93">
        <v>7.44</v>
      </c>
      <c r="H133" s="93">
        <v>0</v>
      </c>
      <c r="N133" s="88"/>
      <c r="O133" s="88"/>
      <c r="P133" s="88"/>
    </row>
    <row r="134" spans="1:16">
      <c r="A134" s="94">
        <v>94880</v>
      </c>
      <c r="B134" s="87" t="s">
        <v>668</v>
      </c>
      <c r="C134" s="12" t="s">
        <v>6</v>
      </c>
      <c r="D134" s="93">
        <v>28.51</v>
      </c>
      <c r="E134" s="93">
        <v>14.78</v>
      </c>
      <c r="F134" s="93">
        <v>6.25</v>
      </c>
      <c r="G134" s="93">
        <v>7.48</v>
      </c>
      <c r="H134" s="93">
        <v>0</v>
      </c>
      <c r="N134" s="88"/>
      <c r="O134" s="88"/>
      <c r="P134" s="88"/>
    </row>
    <row r="135" spans="1:16">
      <c r="A135" s="94">
        <v>94881</v>
      </c>
      <c r="B135" s="87" t="s">
        <v>669</v>
      </c>
      <c r="C135" s="12" t="s">
        <v>6</v>
      </c>
      <c r="D135" s="93">
        <v>2208.85</v>
      </c>
      <c r="E135" s="93">
        <v>17.43</v>
      </c>
      <c r="F135" s="93">
        <v>2182.6</v>
      </c>
      <c r="G135" s="93">
        <v>8.82</v>
      </c>
      <c r="H135" s="93">
        <v>0</v>
      </c>
      <c r="N135" s="88"/>
      <c r="O135" s="88"/>
      <c r="P135" s="88"/>
    </row>
    <row r="136" spans="1:16">
      <c r="A136" s="94">
        <v>94882</v>
      </c>
      <c r="B136" s="87" t="s">
        <v>670</v>
      </c>
      <c r="C136" s="12" t="s">
        <v>6</v>
      </c>
      <c r="D136" s="93">
        <v>33.81</v>
      </c>
      <c r="E136" s="93">
        <v>17.52</v>
      </c>
      <c r="F136" s="93">
        <v>7.43</v>
      </c>
      <c r="G136" s="93">
        <v>8.86</v>
      </c>
      <c r="H136" s="93">
        <v>0</v>
      </c>
      <c r="N136" s="88"/>
      <c r="O136" s="88"/>
      <c r="P136" s="88"/>
    </row>
    <row r="137" spans="1:16">
      <c r="A137" s="94">
        <v>94884</v>
      </c>
      <c r="B137" s="87" t="s">
        <v>671</v>
      </c>
      <c r="C137" s="12" t="s">
        <v>6</v>
      </c>
      <c r="D137" s="93">
        <v>44.59</v>
      </c>
      <c r="E137" s="93">
        <v>23.08</v>
      </c>
      <c r="F137" s="93">
        <v>9.83</v>
      </c>
      <c r="G137" s="93">
        <v>11.68</v>
      </c>
      <c r="H137" s="93">
        <v>0</v>
      </c>
      <c r="N137" s="88"/>
      <c r="O137" s="88"/>
      <c r="P137" s="88"/>
    </row>
    <row r="138" spans="1:16">
      <c r="A138" s="94">
        <v>94885</v>
      </c>
      <c r="B138" s="87" t="s">
        <v>6420</v>
      </c>
      <c r="C138" s="12" t="s">
        <v>6</v>
      </c>
      <c r="D138" s="93">
        <v>153.19999999999999</v>
      </c>
      <c r="E138" s="93">
        <v>0.94</v>
      </c>
      <c r="F138" s="224">
        <v>152.26</v>
      </c>
      <c r="G138" s="93">
        <v>0</v>
      </c>
      <c r="H138" s="93">
        <v>0</v>
      </c>
      <c r="N138" s="88"/>
      <c r="O138" s="88"/>
      <c r="P138" s="88"/>
    </row>
    <row r="139" spans="1:16">
      <c r="A139" s="94">
        <v>94886</v>
      </c>
      <c r="B139" s="87" t="s">
        <v>6421</v>
      </c>
      <c r="C139" s="12" t="s">
        <v>6</v>
      </c>
      <c r="D139" s="93">
        <v>1.1499999999999999</v>
      </c>
      <c r="E139" s="93">
        <v>0.97</v>
      </c>
      <c r="F139" s="93">
        <v>0.18</v>
      </c>
      <c r="G139" s="93">
        <v>0</v>
      </c>
      <c r="H139" s="93">
        <v>0</v>
      </c>
      <c r="N139" s="88"/>
      <c r="O139" s="88"/>
      <c r="P139" s="88"/>
    </row>
    <row r="140" spans="1:16">
      <c r="A140" s="94">
        <v>94887</v>
      </c>
      <c r="B140" s="87" t="s">
        <v>6422</v>
      </c>
      <c r="C140" s="12" t="s">
        <v>6</v>
      </c>
      <c r="D140" s="93">
        <v>181.75</v>
      </c>
      <c r="E140" s="93">
        <v>1.62</v>
      </c>
      <c r="F140" s="93">
        <v>180.13</v>
      </c>
      <c r="G140" s="93">
        <v>0</v>
      </c>
      <c r="H140" s="93">
        <v>0</v>
      </c>
      <c r="N140" s="88"/>
      <c r="O140" s="88"/>
      <c r="P140" s="88"/>
    </row>
    <row r="141" spans="1:16">
      <c r="A141" s="94">
        <v>94888</v>
      </c>
      <c r="B141" s="87" t="s">
        <v>6423</v>
      </c>
      <c r="C141" s="12" t="s">
        <v>6</v>
      </c>
      <c r="D141" s="93">
        <v>1.98</v>
      </c>
      <c r="E141" s="93">
        <v>1.67</v>
      </c>
      <c r="F141" s="93">
        <v>0.31</v>
      </c>
      <c r="G141" s="93">
        <v>0</v>
      </c>
      <c r="H141" s="93">
        <v>0</v>
      </c>
      <c r="N141" s="88"/>
      <c r="O141" s="88"/>
      <c r="P141" s="88"/>
    </row>
    <row r="142" spans="1:16">
      <c r="A142" s="94">
        <v>94891</v>
      </c>
      <c r="B142" s="87" t="s">
        <v>6424</v>
      </c>
      <c r="C142" s="12" t="s">
        <v>6</v>
      </c>
      <c r="D142" s="93">
        <v>1065.76</v>
      </c>
      <c r="E142" s="93">
        <v>11.86</v>
      </c>
      <c r="F142" s="93">
        <v>1047.8900000000001</v>
      </c>
      <c r="G142" s="93">
        <v>6.01</v>
      </c>
      <c r="H142" s="93">
        <v>0</v>
      </c>
      <c r="N142" s="88"/>
      <c r="O142" s="88"/>
      <c r="P142" s="88"/>
    </row>
    <row r="143" spans="1:16">
      <c r="A143" s="94">
        <v>94892</v>
      </c>
      <c r="B143" s="87" t="s">
        <v>6425</v>
      </c>
      <c r="C143" s="12" t="s">
        <v>6</v>
      </c>
      <c r="D143" s="93">
        <v>23.04</v>
      </c>
      <c r="E143" s="93">
        <v>11.94</v>
      </c>
      <c r="F143" s="93">
        <v>5.0599999999999996</v>
      </c>
      <c r="G143" s="93">
        <v>6.04</v>
      </c>
      <c r="H143" s="93">
        <v>0</v>
      </c>
      <c r="N143" s="88"/>
      <c r="O143" s="88"/>
      <c r="P143" s="88"/>
    </row>
    <row r="144" spans="1:16">
      <c r="A144" s="94">
        <v>94894</v>
      </c>
      <c r="B144" s="87" t="s">
        <v>6426</v>
      </c>
      <c r="C144" s="12" t="s">
        <v>6</v>
      </c>
      <c r="D144" s="93">
        <v>26.77</v>
      </c>
      <c r="E144" s="93">
        <v>13.89</v>
      </c>
      <c r="F144" s="93">
        <v>5.86</v>
      </c>
      <c r="G144" s="93">
        <v>7.02</v>
      </c>
      <c r="H144" s="93">
        <v>0</v>
      </c>
      <c r="N144" s="88"/>
      <c r="O144" s="88"/>
      <c r="P144" s="88"/>
    </row>
    <row r="145" spans="1:16">
      <c r="A145" s="94">
        <v>94895</v>
      </c>
      <c r="B145" s="87" t="s">
        <v>6427</v>
      </c>
      <c r="C145" s="12" t="s">
        <v>6</v>
      </c>
      <c r="D145" s="93">
        <v>1419.85</v>
      </c>
      <c r="E145" s="93">
        <v>16.649999999999999</v>
      </c>
      <c r="F145" s="93">
        <v>1394.75</v>
      </c>
      <c r="G145" s="93">
        <v>8.4499999999999993</v>
      </c>
      <c r="H145" s="93">
        <v>0</v>
      </c>
      <c r="N145" s="88"/>
      <c r="O145" s="88"/>
      <c r="P145" s="88"/>
    </row>
    <row r="146" spans="1:16">
      <c r="A146" s="94">
        <v>94896</v>
      </c>
      <c r="B146" s="87" t="s">
        <v>6428</v>
      </c>
      <c r="C146" s="12" t="s">
        <v>6</v>
      </c>
      <c r="D146" s="93">
        <v>32.340000000000003</v>
      </c>
      <c r="E146" s="93">
        <v>16.75</v>
      </c>
      <c r="F146" s="93">
        <v>7.1</v>
      </c>
      <c r="G146" s="93">
        <v>8.49</v>
      </c>
      <c r="H146" s="93">
        <v>0</v>
      </c>
      <c r="N146" s="88"/>
      <c r="O146" s="88"/>
      <c r="P146" s="88"/>
    </row>
    <row r="147" spans="1:16">
      <c r="A147" s="94">
        <v>94897</v>
      </c>
      <c r="B147" s="87" t="s">
        <v>6429</v>
      </c>
      <c r="C147" s="12" t="s">
        <v>6</v>
      </c>
      <c r="D147" s="93">
        <v>2212.96</v>
      </c>
      <c r="E147" s="93">
        <v>19.53</v>
      </c>
      <c r="F147" s="93">
        <v>2183.5300000000002</v>
      </c>
      <c r="G147" s="93">
        <v>9.9</v>
      </c>
      <c r="H147" s="93">
        <v>0</v>
      </c>
      <c r="N147" s="88"/>
      <c r="O147" s="88"/>
      <c r="P147" s="88"/>
    </row>
    <row r="148" spans="1:16">
      <c r="A148" s="94">
        <v>94898</v>
      </c>
      <c r="B148" s="87" t="s">
        <v>6430</v>
      </c>
      <c r="C148" s="12" t="s">
        <v>6</v>
      </c>
      <c r="D148" s="93">
        <v>37.92</v>
      </c>
      <c r="E148" s="93">
        <v>19.64</v>
      </c>
      <c r="F148" s="93">
        <v>8.33</v>
      </c>
      <c r="G148" s="93">
        <v>9.9499999999999993</v>
      </c>
      <c r="H148" s="93">
        <v>0</v>
      </c>
      <c r="N148" s="88"/>
      <c r="O148" s="88"/>
      <c r="P148" s="88"/>
    </row>
    <row r="149" spans="1:16">
      <c r="A149" s="94">
        <v>94900</v>
      </c>
      <c r="B149" s="87" t="s">
        <v>6431</v>
      </c>
      <c r="C149" s="12" t="s">
        <v>6</v>
      </c>
      <c r="D149" s="93">
        <v>49.07</v>
      </c>
      <c r="E149" s="93">
        <v>25.42</v>
      </c>
      <c r="F149" s="93">
        <v>10.78</v>
      </c>
      <c r="G149" s="93">
        <v>12.87</v>
      </c>
      <c r="H149" s="93">
        <v>0</v>
      </c>
      <c r="N149" s="88"/>
      <c r="O149" s="88"/>
      <c r="P149" s="88"/>
    </row>
    <row r="150" spans="1:16">
      <c r="A150" s="94">
        <v>97121</v>
      </c>
      <c r="B150" s="87" t="s">
        <v>672</v>
      </c>
      <c r="C150" s="12" t="s">
        <v>6</v>
      </c>
      <c r="D150" s="93">
        <v>2</v>
      </c>
      <c r="E150" s="93">
        <v>1.61</v>
      </c>
      <c r="F150" s="93">
        <v>0.39</v>
      </c>
      <c r="G150" s="93">
        <v>0</v>
      </c>
      <c r="H150" s="93">
        <v>0</v>
      </c>
      <c r="N150" s="88"/>
      <c r="O150" s="88"/>
      <c r="P150" s="88"/>
    </row>
    <row r="151" spans="1:16">
      <c r="A151" s="94">
        <v>97122</v>
      </c>
      <c r="B151" s="87" t="s">
        <v>673</v>
      </c>
      <c r="C151" s="12" t="s">
        <v>6</v>
      </c>
      <c r="D151" s="93">
        <v>2.77</v>
      </c>
      <c r="E151" s="93">
        <v>2.1800000000000002</v>
      </c>
      <c r="F151" s="93">
        <v>0.59</v>
      </c>
      <c r="G151" s="93">
        <v>0</v>
      </c>
      <c r="H151" s="93">
        <v>0</v>
      </c>
      <c r="N151" s="88"/>
      <c r="O151" s="88"/>
      <c r="P151" s="88"/>
    </row>
    <row r="152" spans="1:16">
      <c r="A152" s="94">
        <v>97123</v>
      </c>
      <c r="B152" s="87" t="s">
        <v>674</v>
      </c>
      <c r="C152" s="12" t="s">
        <v>6</v>
      </c>
      <c r="D152" s="93">
        <v>3.53</v>
      </c>
      <c r="E152" s="93">
        <v>2.75</v>
      </c>
      <c r="F152" s="93">
        <v>0.78</v>
      </c>
      <c r="G152" s="93">
        <v>0</v>
      </c>
      <c r="H152" s="93">
        <v>0</v>
      </c>
      <c r="N152" s="88"/>
      <c r="O152" s="88"/>
      <c r="P152" s="88"/>
    </row>
    <row r="153" spans="1:16">
      <c r="A153" s="94">
        <v>97124</v>
      </c>
      <c r="B153" s="87" t="s">
        <v>675</v>
      </c>
      <c r="C153" s="12" t="s">
        <v>6</v>
      </c>
      <c r="D153" s="93">
        <v>0.87</v>
      </c>
      <c r="E153" s="93">
        <v>0.69</v>
      </c>
      <c r="F153" s="93">
        <v>0.18</v>
      </c>
      <c r="G153" s="93">
        <v>0</v>
      </c>
      <c r="H153" s="93">
        <v>0</v>
      </c>
      <c r="N153" s="88"/>
      <c r="O153" s="88"/>
      <c r="P153" s="88"/>
    </row>
    <row r="154" spans="1:16">
      <c r="A154" s="94">
        <v>97125</v>
      </c>
      <c r="B154" s="87" t="s">
        <v>676</v>
      </c>
      <c r="C154" s="12" t="s">
        <v>6</v>
      </c>
      <c r="D154" s="93">
        <v>1.24</v>
      </c>
      <c r="E154" s="93">
        <v>0.93</v>
      </c>
      <c r="F154" s="93">
        <v>0.31</v>
      </c>
      <c r="G154" s="93">
        <v>0</v>
      </c>
      <c r="H154" s="93">
        <v>0</v>
      </c>
      <c r="N154" s="88"/>
      <c r="O154" s="88"/>
      <c r="P154" s="88"/>
    </row>
    <row r="155" spans="1:16">
      <c r="A155" s="94">
        <v>97126</v>
      </c>
      <c r="B155" s="87" t="s">
        <v>677</v>
      </c>
      <c r="C155" s="12" t="s">
        <v>6</v>
      </c>
      <c r="D155" s="93">
        <v>1.58</v>
      </c>
      <c r="E155" s="93">
        <v>1.1599999999999999</v>
      </c>
      <c r="F155" s="93">
        <v>0.42</v>
      </c>
      <c r="G155" s="93">
        <v>0</v>
      </c>
      <c r="H155" s="93">
        <v>0</v>
      </c>
      <c r="N155" s="88"/>
      <c r="O155" s="88"/>
      <c r="P155" s="88"/>
    </row>
    <row r="156" spans="1:16">
      <c r="A156" s="94">
        <v>92833</v>
      </c>
      <c r="B156" s="87" t="s">
        <v>678</v>
      </c>
      <c r="C156" s="12" t="s">
        <v>6</v>
      </c>
      <c r="D156" s="93">
        <v>129.07</v>
      </c>
      <c r="E156" s="93">
        <v>3.66</v>
      </c>
      <c r="F156" s="93">
        <v>123.79</v>
      </c>
      <c r="G156" s="93">
        <v>1.62</v>
      </c>
      <c r="H156" s="93">
        <v>0</v>
      </c>
      <c r="N156" s="88"/>
      <c r="O156" s="88"/>
      <c r="P156" s="88"/>
    </row>
    <row r="157" spans="1:16">
      <c r="A157" s="94">
        <v>92834</v>
      </c>
      <c r="B157" s="87" t="s">
        <v>679</v>
      </c>
      <c r="C157" s="12" t="s">
        <v>6</v>
      </c>
      <c r="D157" s="93">
        <v>7.15</v>
      </c>
      <c r="E157" s="93">
        <v>4.1500000000000004</v>
      </c>
      <c r="F157" s="93">
        <v>1.35</v>
      </c>
      <c r="G157" s="93">
        <v>1.65</v>
      </c>
      <c r="H157" s="93">
        <v>0</v>
      </c>
      <c r="N157" s="88"/>
      <c r="O157" s="88"/>
      <c r="P157" s="88"/>
    </row>
    <row r="158" spans="1:16">
      <c r="A158" s="94">
        <v>92835</v>
      </c>
      <c r="B158" s="87" t="s">
        <v>680</v>
      </c>
      <c r="C158" s="12" t="s">
        <v>6</v>
      </c>
      <c r="D158" s="93">
        <v>140.28</v>
      </c>
      <c r="E158" s="93">
        <v>4.67</v>
      </c>
      <c r="F158" s="93">
        <v>133.52000000000001</v>
      </c>
      <c r="G158" s="93">
        <v>2.09</v>
      </c>
      <c r="H158" s="93">
        <v>0</v>
      </c>
      <c r="N158" s="88"/>
      <c r="O158" s="88"/>
      <c r="P158" s="88"/>
    </row>
    <row r="159" spans="1:16">
      <c r="A159" s="94">
        <v>92836</v>
      </c>
      <c r="B159" s="87" t="s">
        <v>681</v>
      </c>
      <c r="C159" s="12" t="s">
        <v>6</v>
      </c>
      <c r="D159" s="93">
        <v>9.1199999999999992</v>
      </c>
      <c r="E159" s="93">
        <v>5.27</v>
      </c>
      <c r="F159" s="93">
        <v>1.73</v>
      </c>
      <c r="G159" s="93">
        <v>2.12</v>
      </c>
      <c r="H159" s="93">
        <v>0</v>
      </c>
      <c r="N159" s="88"/>
      <c r="O159" s="88"/>
      <c r="P159" s="88"/>
    </row>
    <row r="160" spans="1:16">
      <c r="A160" s="94">
        <v>92837</v>
      </c>
      <c r="B160" s="87" t="s">
        <v>682</v>
      </c>
      <c r="C160" s="12" t="s">
        <v>6</v>
      </c>
      <c r="D160" s="93">
        <v>226.91</v>
      </c>
      <c r="E160" s="93">
        <v>5.63</v>
      </c>
      <c r="F160" s="93">
        <v>218.8</v>
      </c>
      <c r="G160" s="93">
        <v>2.48</v>
      </c>
      <c r="H160" s="93">
        <v>0</v>
      </c>
      <c r="N160" s="88"/>
      <c r="O160" s="88"/>
      <c r="P160" s="88"/>
    </row>
    <row r="161" spans="1:16">
      <c r="A161" s="94">
        <v>92838</v>
      </c>
      <c r="B161" s="87" t="s">
        <v>683</v>
      </c>
      <c r="C161" s="12" t="s">
        <v>6</v>
      </c>
      <c r="D161" s="93">
        <v>10.97</v>
      </c>
      <c r="E161" s="93">
        <v>6.34</v>
      </c>
      <c r="F161" s="93">
        <v>2.12</v>
      </c>
      <c r="G161" s="93">
        <v>2.5099999999999998</v>
      </c>
      <c r="H161" s="93">
        <v>0</v>
      </c>
      <c r="N161" s="88"/>
      <c r="O161" s="88"/>
      <c r="P161" s="88"/>
    </row>
    <row r="162" spans="1:16">
      <c r="A162" s="94">
        <v>92839</v>
      </c>
      <c r="B162" s="87" t="s">
        <v>684</v>
      </c>
      <c r="C162" s="12" t="s">
        <v>6</v>
      </c>
      <c r="D162" s="93">
        <v>277.97000000000003</v>
      </c>
      <c r="E162" s="93">
        <v>6.67</v>
      </c>
      <c r="F162" s="93">
        <v>268.33</v>
      </c>
      <c r="G162" s="93">
        <v>2.97</v>
      </c>
      <c r="H162" s="93">
        <v>0</v>
      </c>
      <c r="N162" s="88"/>
      <c r="O162" s="88"/>
      <c r="P162" s="88"/>
    </row>
    <row r="163" spans="1:16">
      <c r="A163" s="94">
        <v>92840</v>
      </c>
      <c r="B163" s="87" t="s">
        <v>685</v>
      </c>
      <c r="C163" s="12" t="s">
        <v>6</v>
      </c>
      <c r="D163" s="93">
        <v>12.98</v>
      </c>
      <c r="E163" s="93">
        <v>7.47</v>
      </c>
      <c r="F163" s="93">
        <v>2.5099999999999998</v>
      </c>
      <c r="G163" s="93">
        <v>3</v>
      </c>
      <c r="H163" s="93">
        <v>0</v>
      </c>
      <c r="N163" s="88"/>
      <c r="O163" s="88"/>
      <c r="P163" s="88"/>
    </row>
    <row r="164" spans="1:16">
      <c r="A164" s="94">
        <v>92841</v>
      </c>
      <c r="B164" s="87" t="s">
        <v>686</v>
      </c>
      <c r="C164" s="12" t="s">
        <v>6</v>
      </c>
      <c r="D164" s="93">
        <v>343.1</v>
      </c>
      <c r="E164" s="93">
        <v>7.65</v>
      </c>
      <c r="F164" s="93">
        <v>332.07</v>
      </c>
      <c r="G164" s="93">
        <v>3.38</v>
      </c>
      <c r="H164" s="93">
        <v>0</v>
      </c>
      <c r="N164" s="88"/>
      <c r="O164" s="88"/>
      <c r="P164" s="88"/>
    </row>
    <row r="165" spans="1:16">
      <c r="A165" s="94">
        <v>92842</v>
      </c>
      <c r="B165" s="87" t="s">
        <v>687</v>
      </c>
      <c r="C165" s="12" t="s">
        <v>6</v>
      </c>
      <c r="D165" s="93">
        <v>14.83</v>
      </c>
      <c r="E165" s="93">
        <v>8.5500000000000007</v>
      </c>
      <c r="F165" s="93">
        <v>2.87</v>
      </c>
      <c r="G165" s="93">
        <v>3.41</v>
      </c>
      <c r="H165" s="93">
        <v>0</v>
      </c>
      <c r="N165" s="88"/>
      <c r="O165" s="88"/>
      <c r="P165" s="88"/>
    </row>
    <row r="166" spans="1:16">
      <c r="A166" s="94">
        <v>92843</v>
      </c>
      <c r="B166" s="87" t="s">
        <v>688</v>
      </c>
      <c r="C166" s="12" t="s">
        <v>6</v>
      </c>
      <c r="D166" s="93">
        <v>370.48</v>
      </c>
      <c r="E166" s="93">
        <v>9.58</v>
      </c>
      <c r="F166" s="93">
        <v>357.03</v>
      </c>
      <c r="G166" s="93">
        <v>3.87</v>
      </c>
      <c r="H166" s="93">
        <v>0</v>
      </c>
      <c r="N166" s="88"/>
      <c r="O166" s="88"/>
      <c r="P166" s="88"/>
    </row>
    <row r="167" spans="1:16">
      <c r="A167" s="94">
        <v>92844</v>
      </c>
      <c r="B167" s="87" t="s">
        <v>689</v>
      </c>
      <c r="C167" s="12" t="s">
        <v>6</v>
      </c>
      <c r="D167" s="93">
        <v>16.84</v>
      </c>
      <c r="E167" s="93">
        <v>9.68</v>
      </c>
      <c r="F167" s="93">
        <v>3.26</v>
      </c>
      <c r="G167" s="93">
        <v>3.9</v>
      </c>
      <c r="H167" s="93">
        <v>0</v>
      </c>
      <c r="N167" s="88"/>
      <c r="O167" s="88"/>
      <c r="P167" s="88"/>
    </row>
    <row r="168" spans="1:16">
      <c r="A168" s="94">
        <v>92845</v>
      </c>
      <c r="B168" s="87" t="s">
        <v>690</v>
      </c>
      <c r="C168" s="12" t="s">
        <v>6</v>
      </c>
      <c r="D168" s="93">
        <v>500.07</v>
      </c>
      <c r="E168" s="93">
        <v>10.65</v>
      </c>
      <c r="F168" s="93">
        <v>485.16</v>
      </c>
      <c r="G168" s="93">
        <v>4.26</v>
      </c>
      <c r="H168" s="93">
        <v>0</v>
      </c>
      <c r="N168" s="88"/>
      <c r="O168" s="88"/>
      <c r="P168" s="88"/>
    </row>
    <row r="169" spans="1:16">
      <c r="A169" s="94">
        <v>92846</v>
      </c>
      <c r="B169" s="87" t="s">
        <v>691</v>
      </c>
      <c r="C169" s="12" t="s">
        <v>6</v>
      </c>
      <c r="D169" s="93">
        <v>18.690000000000001</v>
      </c>
      <c r="E169" s="93">
        <v>10.76</v>
      </c>
      <c r="F169" s="93">
        <v>3.63</v>
      </c>
      <c r="G169" s="93">
        <v>4.3</v>
      </c>
      <c r="H169" s="93">
        <v>0</v>
      </c>
      <c r="N169" s="88"/>
      <c r="O169" s="88"/>
      <c r="P169" s="88"/>
    </row>
    <row r="170" spans="1:16">
      <c r="A170" s="94">
        <v>92847</v>
      </c>
      <c r="B170" s="87" t="s">
        <v>692</v>
      </c>
      <c r="C170" s="12" t="s">
        <v>6</v>
      </c>
      <c r="D170" s="93">
        <v>527.73</v>
      </c>
      <c r="E170" s="93">
        <v>10.67</v>
      </c>
      <c r="F170" s="93">
        <v>512.29999999999995</v>
      </c>
      <c r="G170" s="93">
        <v>4.76</v>
      </c>
      <c r="H170" s="93">
        <v>0</v>
      </c>
      <c r="N170" s="88"/>
      <c r="O170" s="88"/>
      <c r="P170" s="88"/>
    </row>
    <row r="171" spans="1:16">
      <c r="A171" s="94">
        <v>92848</v>
      </c>
      <c r="B171" s="87" t="s">
        <v>693</v>
      </c>
      <c r="C171" s="12" t="s">
        <v>6</v>
      </c>
      <c r="D171" s="93">
        <v>20.74</v>
      </c>
      <c r="E171" s="93">
        <v>11.9</v>
      </c>
      <c r="F171" s="93">
        <v>4.05</v>
      </c>
      <c r="G171" s="93">
        <v>4.79</v>
      </c>
      <c r="H171" s="93">
        <v>0</v>
      </c>
      <c r="N171" s="88"/>
      <c r="O171" s="88"/>
      <c r="P171" s="88"/>
    </row>
    <row r="172" spans="1:16">
      <c r="A172" s="94">
        <v>92849</v>
      </c>
      <c r="B172" s="87" t="s">
        <v>694</v>
      </c>
      <c r="C172" s="12" t="s">
        <v>6</v>
      </c>
      <c r="D172" s="93">
        <v>135.09</v>
      </c>
      <c r="E172" s="93">
        <v>6.95</v>
      </c>
      <c r="F172" s="93">
        <v>125.05</v>
      </c>
      <c r="G172" s="93">
        <v>3.09</v>
      </c>
      <c r="H172" s="93">
        <v>0</v>
      </c>
      <c r="N172" s="88"/>
      <c r="O172" s="88"/>
      <c r="P172" s="88"/>
    </row>
    <row r="173" spans="1:16">
      <c r="A173" s="94">
        <v>92850</v>
      </c>
      <c r="B173" s="87" t="s">
        <v>695</v>
      </c>
      <c r="C173" s="12" t="s">
        <v>6</v>
      </c>
      <c r="D173" s="93">
        <v>13.52</v>
      </c>
      <c r="E173" s="93">
        <v>7.78</v>
      </c>
      <c r="F173" s="93">
        <v>2.62</v>
      </c>
      <c r="G173" s="93">
        <v>3.12</v>
      </c>
      <c r="H173" s="93">
        <v>0</v>
      </c>
      <c r="N173" s="88"/>
      <c r="O173" s="88"/>
      <c r="P173" s="88"/>
    </row>
    <row r="174" spans="1:16">
      <c r="A174" s="94">
        <v>92851</v>
      </c>
      <c r="B174" s="87" t="s">
        <v>696</v>
      </c>
      <c r="C174" s="12" t="s">
        <v>6</v>
      </c>
      <c r="D174" s="93">
        <v>147.80000000000001</v>
      </c>
      <c r="E174" s="93">
        <v>8.81</v>
      </c>
      <c r="F174" s="93">
        <v>135.1</v>
      </c>
      <c r="G174" s="93">
        <v>3.89</v>
      </c>
      <c r="H174" s="93">
        <v>0</v>
      </c>
      <c r="N174" s="88"/>
      <c r="O174" s="88"/>
      <c r="P174" s="88"/>
    </row>
    <row r="175" spans="1:16">
      <c r="A175" s="94">
        <v>92852</v>
      </c>
      <c r="B175" s="87" t="s">
        <v>697</v>
      </c>
      <c r="C175" s="12" t="s">
        <v>6</v>
      </c>
      <c r="D175" s="93">
        <v>17.079999999999998</v>
      </c>
      <c r="E175" s="93">
        <v>9.85</v>
      </c>
      <c r="F175" s="93">
        <v>3.31</v>
      </c>
      <c r="G175" s="93">
        <v>3.92</v>
      </c>
      <c r="H175" s="93">
        <v>0</v>
      </c>
      <c r="N175" s="88"/>
      <c r="O175" s="88"/>
      <c r="P175" s="88"/>
    </row>
    <row r="176" spans="1:16">
      <c r="A176" s="94">
        <v>92853</v>
      </c>
      <c r="B176" s="87" t="s">
        <v>698</v>
      </c>
      <c r="C176" s="12" t="s">
        <v>6</v>
      </c>
      <c r="D176" s="93">
        <v>236.22</v>
      </c>
      <c r="E176" s="93">
        <v>10.72</v>
      </c>
      <c r="F176" s="93">
        <v>220.74</v>
      </c>
      <c r="G176" s="93">
        <v>4.76</v>
      </c>
      <c r="H176" s="93">
        <v>0</v>
      </c>
      <c r="N176" s="88"/>
      <c r="O176" s="88"/>
      <c r="P176" s="88"/>
    </row>
    <row r="177" spans="1:16">
      <c r="A177" s="94">
        <v>92854</v>
      </c>
      <c r="B177" s="87" t="s">
        <v>699</v>
      </c>
      <c r="C177" s="12" t="s">
        <v>6</v>
      </c>
      <c r="D177" s="93">
        <v>20.81</v>
      </c>
      <c r="E177" s="93">
        <v>11.96</v>
      </c>
      <c r="F177" s="93">
        <v>4.0599999999999996</v>
      </c>
      <c r="G177" s="93">
        <v>4.79</v>
      </c>
      <c r="H177" s="93">
        <v>0</v>
      </c>
      <c r="N177" s="88"/>
      <c r="O177" s="88"/>
      <c r="P177" s="88"/>
    </row>
    <row r="178" spans="1:16">
      <c r="A178" s="94">
        <v>92855</v>
      </c>
      <c r="B178" s="87" t="s">
        <v>700</v>
      </c>
      <c r="C178" s="12" t="s">
        <v>6</v>
      </c>
      <c r="D178" s="93">
        <v>288.89</v>
      </c>
      <c r="E178" s="93">
        <v>12.66</v>
      </c>
      <c r="F178" s="93">
        <v>270.61</v>
      </c>
      <c r="G178" s="93">
        <v>5.62</v>
      </c>
      <c r="H178" s="93">
        <v>0</v>
      </c>
      <c r="N178" s="88"/>
      <c r="O178" s="88"/>
      <c r="P178" s="88"/>
    </row>
    <row r="179" spans="1:16">
      <c r="A179" s="94">
        <v>92856</v>
      </c>
      <c r="B179" s="87" t="s">
        <v>701</v>
      </c>
      <c r="C179" s="12" t="s">
        <v>6</v>
      </c>
      <c r="D179" s="93">
        <v>24.53</v>
      </c>
      <c r="E179" s="93">
        <v>14.08</v>
      </c>
      <c r="F179" s="93">
        <v>4.8099999999999996</v>
      </c>
      <c r="G179" s="93">
        <v>5.64</v>
      </c>
      <c r="H179" s="93">
        <v>0</v>
      </c>
      <c r="N179" s="88"/>
      <c r="O179" s="88"/>
      <c r="P179" s="88"/>
    </row>
    <row r="180" spans="1:16">
      <c r="A180" s="94">
        <v>92857</v>
      </c>
      <c r="B180" s="87" t="s">
        <v>702</v>
      </c>
      <c r="C180" s="12" t="s">
        <v>6</v>
      </c>
      <c r="D180" s="93">
        <v>355.63</v>
      </c>
      <c r="E180" s="93">
        <v>14.51</v>
      </c>
      <c r="F180" s="93">
        <v>334.71</v>
      </c>
      <c r="G180" s="93">
        <v>6.41</v>
      </c>
      <c r="H180" s="93">
        <v>0</v>
      </c>
      <c r="N180" s="88"/>
      <c r="O180" s="88"/>
      <c r="P180" s="88"/>
    </row>
    <row r="181" spans="1:16">
      <c r="A181" s="94">
        <v>92858</v>
      </c>
      <c r="B181" s="87" t="s">
        <v>703</v>
      </c>
      <c r="C181" s="12" t="s">
        <v>6</v>
      </c>
      <c r="D181" s="93">
        <v>28.08</v>
      </c>
      <c r="E181" s="93">
        <v>16.16</v>
      </c>
      <c r="F181" s="93">
        <v>5.48</v>
      </c>
      <c r="G181" s="93">
        <v>6.44</v>
      </c>
      <c r="H181" s="93">
        <v>0</v>
      </c>
      <c r="N181" s="88"/>
      <c r="O181" s="88"/>
      <c r="P181" s="88"/>
    </row>
    <row r="182" spans="1:16">
      <c r="A182" s="94">
        <v>92859</v>
      </c>
      <c r="B182" s="87" t="s">
        <v>704</v>
      </c>
      <c r="C182" s="12" t="s">
        <v>6</v>
      </c>
      <c r="D182" s="93">
        <v>385.51</v>
      </c>
      <c r="E182" s="93">
        <v>18.21</v>
      </c>
      <c r="F182" s="93">
        <v>360.02</v>
      </c>
      <c r="G182" s="93">
        <v>7.28</v>
      </c>
      <c r="H182" s="93">
        <v>0</v>
      </c>
      <c r="N182" s="88"/>
      <c r="O182" s="88"/>
      <c r="P182" s="88"/>
    </row>
    <row r="183" spans="1:16">
      <c r="A183" s="94">
        <v>92860</v>
      </c>
      <c r="B183" s="87" t="s">
        <v>705</v>
      </c>
      <c r="C183" s="12" t="s">
        <v>6</v>
      </c>
      <c r="D183" s="93">
        <v>31.87</v>
      </c>
      <c r="E183" s="93">
        <v>18.309999999999999</v>
      </c>
      <c r="F183" s="93">
        <v>6.25</v>
      </c>
      <c r="G183" s="93">
        <v>7.31</v>
      </c>
      <c r="H183" s="93">
        <v>0</v>
      </c>
      <c r="N183" s="88"/>
      <c r="O183" s="88"/>
      <c r="P183" s="88"/>
    </row>
    <row r="184" spans="1:16">
      <c r="A184" s="94">
        <v>92861</v>
      </c>
      <c r="B184" s="87" t="s">
        <v>706</v>
      </c>
      <c r="C184" s="12" t="s">
        <v>6</v>
      </c>
      <c r="D184" s="93">
        <v>516.94000000000005</v>
      </c>
      <c r="E184" s="93">
        <v>20.28</v>
      </c>
      <c r="F184" s="93">
        <v>488.51</v>
      </c>
      <c r="G184" s="93">
        <v>8.15</v>
      </c>
      <c r="H184" s="93">
        <v>0</v>
      </c>
      <c r="N184" s="88"/>
      <c r="O184" s="88"/>
      <c r="P184" s="88"/>
    </row>
    <row r="185" spans="1:16">
      <c r="A185" s="94">
        <v>92862</v>
      </c>
      <c r="B185" s="87" t="s">
        <v>707</v>
      </c>
      <c r="C185" s="12" t="s">
        <v>6</v>
      </c>
      <c r="D185" s="93">
        <v>35.56</v>
      </c>
      <c r="E185" s="93">
        <v>20.38</v>
      </c>
      <c r="F185" s="93">
        <v>7</v>
      </c>
      <c r="G185" s="93">
        <v>8.18</v>
      </c>
      <c r="H185" s="93">
        <v>0</v>
      </c>
      <c r="N185" s="88"/>
      <c r="O185" s="88"/>
      <c r="P185" s="88"/>
    </row>
    <row r="186" spans="1:16">
      <c r="A186" s="94">
        <v>92863</v>
      </c>
      <c r="B186" s="87" t="s">
        <v>708</v>
      </c>
      <c r="C186" s="12" t="s">
        <v>6</v>
      </c>
      <c r="D186" s="93">
        <v>545.25</v>
      </c>
      <c r="E186" s="93">
        <v>20.260000000000002</v>
      </c>
      <c r="F186" s="93">
        <v>515.99</v>
      </c>
      <c r="G186" s="93">
        <v>9</v>
      </c>
      <c r="H186" s="93">
        <v>0</v>
      </c>
      <c r="N186" s="88"/>
      <c r="O186" s="88"/>
      <c r="P186" s="88"/>
    </row>
    <row r="187" spans="1:16">
      <c r="A187" s="94">
        <v>92864</v>
      </c>
      <c r="B187" s="87" t="s">
        <v>709</v>
      </c>
      <c r="C187" s="12" t="s">
        <v>6</v>
      </c>
      <c r="D187" s="93">
        <v>39.270000000000003</v>
      </c>
      <c r="E187" s="93">
        <v>22.51</v>
      </c>
      <c r="F187" s="93">
        <v>7.73</v>
      </c>
      <c r="G187" s="93">
        <v>9.0299999999999994</v>
      </c>
      <c r="H187" s="93">
        <v>0</v>
      </c>
      <c r="N187" s="88"/>
      <c r="O187" s="88"/>
      <c r="P187" s="88"/>
    </row>
    <row r="188" spans="1:16">
      <c r="A188" s="94">
        <v>92210</v>
      </c>
      <c r="B188" s="87" t="s">
        <v>710</v>
      </c>
      <c r="C188" s="12" t="s">
        <v>6</v>
      </c>
      <c r="D188" s="93">
        <v>93.73</v>
      </c>
      <c r="E188" s="93">
        <v>23.21</v>
      </c>
      <c r="F188" s="93">
        <v>61.26</v>
      </c>
      <c r="G188" s="93">
        <v>9.26</v>
      </c>
      <c r="H188" s="93">
        <v>0</v>
      </c>
      <c r="N188" s="88"/>
      <c r="O188" s="88"/>
      <c r="P188" s="88"/>
    </row>
    <row r="189" spans="1:16">
      <c r="A189" s="94">
        <v>92211</v>
      </c>
      <c r="B189" s="87" t="s">
        <v>711</v>
      </c>
      <c r="C189" s="12" t="s">
        <v>6</v>
      </c>
      <c r="D189" s="93">
        <v>112.94</v>
      </c>
      <c r="E189" s="93">
        <v>28.21</v>
      </c>
      <c r="F189" s="93">
        <v>73.540000000000006</v>
      </c>
      <c r="G189" s="93">
        <v>11.19</v>
      </c>
      <c r="H189" s="93">
        <v>0</v>
      </c>
      <c r="N189" s="88"/>
      <c r="O189" s="88"/>
      <c r="P189" s="88"/>
    </row>
    <row r="190" spans="1:16">
      <c r="A190" s="94">
        <v>92212</v>
      </c>
      <c r="B190" s="87" t="s">
        <v>712</v>
      </c>
      <c r="C190" s="12" t="s">
        <v>6</v>
      </c>
      <c r="D190" s="93">
        <v>161.32</v>
      </c>
      <c r="E190" s="93">
        <v>33.26</v>
      </c>
      <c r="F190" s="93">
        <v>114.88</v>
      </c>
      <c r="G190" s="93">
        <v>13.18</v>
      </c>
      <c r="H190" s="93">
        <v>0</v>
      </c>
      <c r="N190" s="88"/>
      <c r="O190" s="88"/>
      <c r="P190" s="88"/>
    </row>
    <row r="191" spans="1:16">
      <c r="A191" s="94">
        <v>92213</v>
      </c>
      <c r="B191" s="87" t="s">
        <v>713</v>
      </c>
      <c r="C191" s="12" t="s">
        <v>6</v>
      </c>
      <c r="D191" s="93">
        <v>207.63</v>
      </c>
      <c r="E191" s="93">
        <v>38.32</v>
      </c>
      <c r="F191" s="93">
        <v>154.21</v>
      </c>
      <c r="G191" s="93">
        <v>15.1</v>
      </c>
      <c r="H191" s="93">
        <v>0</v>
      </c>
      <c r="N191" s="88"/>
      <c r="O191" s="88"/>
      <c r="P191" s="88"/>
    </row>
    <row r="192" spans="1:16">
      <c r="A192" s="94">
        <v>92214</v>
      </c>
      <c r="B192" s="87" t="s">
        <v>714</v>
      </c>
      <c r="C192" s="12" t="s">
        <v>6</v>
      </c>
      <c r="D192" s="93">
        <v>249.23</v>
      </c>
      <c r="E192" s="93">
        <v>43.69</v>
      </c>
      <c r="F192" s="93">
        <v>188.44</v>
      </c>
      <c r="G192" s="93">
        <v>17.100000000000001</v>
      </c>
      <c r="H192" s="93">
        <v>0</v>
      </c>
      <c r="N192" s="88"/>
      <c r="O192" s="88"/>
      <c r="P192" s="88"/>
    </row>
    <row r="193" spans="1:16">
      <c r="A193" s="94">
        <v>92215</v>
      </c>
      <c r="B193" s="87" t="s">
        <v>715</v>
      </c>
      <c r="C193" s="12" t="s">
        <v>6</v>
      </c>
      <c r="D193" s="93">
        <v>285.94</v>
      </c>
      <c r="E193" s="93">
        <v>49.14</v>
      </c>
      <c r="F193" s="93">
        <v>217.69</v>
      </c>
      <c r="G193" s="93">
        <v>19.11</v>
      </c>
      <c r="H193" s="93">
        <v>0</v>
      </c>
      <c r="N193" s="88"/>
      <c r="O193" s="88"/>
      <c r="P193" s="88"/>
    </row>
    <row r="194" spans="1:16">
      <c r="A194" s="94">
        <v>92216</v>
      </c>
      <c r="B194" s="87" t="s">
        <v>716</v>
      </c>
      <c r="C194" s="12" t="s">
        <v>6</v>
      </c>
      <c r="D194" s="93">
        <v>303.11</v>
      </c>
      <c r="E194" s="93">
        <v>54.89</v>
      </c>
      <c r="F194" s="93">
        <v>227.23</v>
      </c>
      <c r="G194" s="93">
        <v>20.99</v>
      </c>
      <c r="H194" s="93">
        <v>0</v>
      </c>
      <c r="N194" s="88"/>
      <c r="O194" s="88"/>
      <c r="P194" s="88"/>
    </row>
    <row r="195" spans="1:16">
      <c r="A195" s="94">
        <v>92219</v>
      </c>
      <c r="B195" s="87" t="s">
        <v>717</v>
      </c>
      <c r="C195" s="12" t="s">
        <v>6</v>
      </c>
      <c r="D195" s="93">
        <v>101.69</v>
      </c>
      <c r="E195" s="93">
        <v>27.81</v>
      </c>
      <c r="F195" s="93">
        <v>62.81</v>
      </c>
      <c r="G195" s="93">
        <v>11.07</v>
      </c>
      <c r="H195" s="93">
        <v>0</v>
      </c>
      <c r="N195" s="88"/>
      <c r="O195" s="88"/>
      <c r="P195" s="88"/>
    </row>
    <row r="196" spans="1:16">
      <c r="A196" s="94">
        <v>92220</v>
      </c>
      <c r="B196" s="87" t="s">
        <v>718</v>
      </c>
      <c r="C196" s="12" t="s">
        <v>6</v>
      </c>
      <c r="D196" s="93">
        <v>122.8</v>
      </c>
      <c r="E196" s="93">
        <v>33.83</v>
      </c>
      <c r="F196" s="93">
        <v>75.5</v>
      </c>
      <c r="G196" s="93">
        <v>13.47</v>
      </c>
      <c r="H196" s="93">
        <v>0</v>
      </c>
      <c r="N196" s="88"/>
      <c r="O196" s="88"/>
      <c r="P196" s="88"/>
    </row>
    <row r="197" spans="1:16">
      <c r="A197" s="94">
        <v>92221</v>
      </c>
      <c r="B197" s="87" t="s">
        <v>719</v>
      </c>
      <c r="C197" s="12" t="s">
        <v>6</v>
      </c>
      <c r="D197" s="93">
        <v>172.88</v>
      </c>
      <c r="E197" s="93">
        <v>39.9</v>
      </c>
      <c r="F197" s="93">
        <v>117.16</v>
      </c>
      <c r="G197" s="93">
        <v>15.82</v>
      </c>
      <c r="H197" s="93">
        <v>0</v>
      </c>
      <c r="N197" s="88"/>
      <c r="O197" s="88"/>
      <c r="P197" s="88"/>
    </row>
    <row r="198" spans="1:16">
      <c r="A198" s="94">
        <v>92222</v>
      </c>
      <c r="B198" s="87" t="s">
        <v>720</v>
      </c>
      <c r="C198" s="12" t="s">
        <v>6</v>
      </c>
      <c r="D198" s="93">
        <v>221.02</v>
      </c>
      <c r="E198" s="93">
        <v>45.96</v>
      </c>
      <c r="F198" s="93">
        <v>156.86000000000001</v>
      </c>
      <c r="G198" s="93">
        <v>18.2</v>
      </c>
      <c r="H198" s="93">
        <v>0</v>
      </c>
      <c r="N198" s="88"/>
      <c r="O198" s="88"/>
      <c r="P198" s="88"/>
    </row>
    <row r="199" spans="1:16">
      <c r="A199" s="94">
        <v>92223</v>
      </c>
      <c r="B199" s="87" t="s">
        <v>721</v>
      </c>
      <c r="C199" s="12" t="s">
        <v>6</v>
      </c>
      <c r="D199" s="93">
        <v>264.24</v>
      </c>
      <c r="E199" s="93">
        <v>52.29</v>
      </c>
      <c r="F199" s="93">
        <v>191.4</v>
      </c>
      <c r="G199" s="93">
        <v>20.55</v>
      </c>
      <c r="H199" s="93">
        <v>0</v>
      </c>
      <c r="N199" s="88"/>
      <c r="O199" s="88"/>
      <c r="P199" s="88"/>
    </row>
    <row r="200" spans="1:16">
      <c r="A200" s="94">
        <v>92224</v>
      </c>
      <c r="B200" s="87" t="s">
        <v>722</v>
      </c>
      <c r="C200" s="12" t="s">
        <v>6</v>
      </c>
      <c r="D200" s="93">
        <v>302.60000000000002</v>
      </c>
      <c r="E200" s="93">
        <v>58.71</v>
      </c>
      <c r="F200" s="93">
        <v>221</v>
      </c>
      <c r="G200" s="93">
        <v>22.89</v>
      </c>
      <c r="H200" s="93">
        <v>0</v>
      </c>
      <c r="N200" s="88"/>
      <c r="O200" s="88"/>
      <c r="P200" s="88"/>
    </row>
    <row r="201" spans="1:16">
      <c r="A201" s="94">
        <v>92226</v>
      </c>
      <c r="B201" s="87" t="s">
        <v>723</v>
      </c>
      <c r="C201" s="12" t="s">
        <v>6</v>
      </c>
      <c r="D201" s="93">
        <v>321.74</v>
      </c>
      <c r="E201" s="93">
        <v>65.540000000000006</v>
      </c>
      <c r="F201" s="93">
        <v>230.92</v>
      </c>
      <c r="G201" s="93">
        <v>25.28</v>
      </c>
      <c r="H201" s="93">
        <v>0</v>
      </c>
      <c r="N201" s="88"/>
      <c r="O201" s="88"/>
      <c r="P201" s="88"/>
    </row>
    <row r="202" spans="1:16">
      <c r="A202" s="94">
        <v>92808</v>
      </c>
      <c r="B202" s="87" t="s">
        <v>724</v>
      </c>
      <c r="C202" s="12" t="s">
        <v>6</v>
      </c>
      <c r="D202" s="93">
        <v>32.22</v>
      </c>
      <c r="E202" s="93">
        <v>18.32</v>
      </c>
      <c r="F202" s="93">
        <v>6.6</v>
      </c>
      <c r="G202" s="93">
        <v>7.3</v>
      </c>
      <c r="H202" s="93">
        <v>0</v>
      </c>
      <c r="N202" s="88"/>
      <c r="O202" s="88"/>
      <c r="P202" s="88"/>
    </row>
    <row r="203" spans="1:16">
      <c r="A203" s="94">
        <v>92809</v>
      </c>
      <c r="B203" s="87" t="s">
        <v>725</v>
      </c>
      <c r="C203" s="12" t="s">
        <v>6</v>
      </c>
      <c r="D203" s="93">
        <v>41.31</v>
      </c>
      <c r="E203" s="93">
        <v>23.29</v>
      </c>
      <c r="F203" s="93">
        <v>8.73</v>
      </c>
      <c r="G203" s="93">
        <v>9.2899999999999991</v>
      </c>
      <c r="H203" s="93">
        <v>0</v>
      </c>
      <c r="N203" s="88"/>
      <c r="O203" s="88"/>
      <c r="P203" s="88"/>
    </row>
    <row r="204" spans="1:16">
      <c r="A204" s="94">
        <v>92810</v>
      </c>
      <c r="B204" s="87" t="s">
        <v>726</v>
      </c>
      <c r="C204" s="12" t="s">
        <v>6</v>
      </c>
      <c r="D204" s="93">
        <v>50.29</v>
      </c>
      <c r="E204" s="93">
        <v>28.28</v>
      </c>
      <c r="F204" s="93">
        <v>10.8</v>
      </c>
      <c r="G204" s="93">
        <v>11.21</v>
      </c>
      <c r="H204" s="93">
        <v>0</v>
      </c>
      <c r="N204" s="88"/>
      <c r="O204" s="88"/>
      <c r="P204" s="88"/>
    </row>
    <row r="205" spans="1:16">
      <c r="A205" s="94">
        <v>92811</v>
      </c>
      <c r="B205" s="87" t="s">
        <v>727</v>
      </c>
      <c r="C205" s="12" t="s">
        <v>6</v>
      </c>
      <c r="D205" s="93">
        <v>59.87</v>
      </c>
      <c r="E205" s="93">
        <v>33.36</v>
      </c>
      <c r="F205" s="93">
        <v>13.3</v>
      </c>
      <c r="G205" s="93">
        <v>13.21</v>
      </c>
      <c r="H205" s="93">
        <v>0</v>
      </c>
      <c r="N205" s="88"/>
      <c r="O205" s="88"/>
      <c r="P205" s="88"/>
    </row>
    <row r="206" spans="1:16">
      <c r="A206" s="94">
        <v>92812</v>
      </c>
      <c r="B206" s="87" t="s">
        <v>728</v>
      </c>
      <c r="C206" s="12" t="s">
        <v>6</v>
      </c>
      <c r="D206" s="93">
        <v>69.36</v>
      </c>
      <c r="E206" s="93">
        <v>38.43</v>
      </c>
      <c r="F206" s="93">
        <v>15.79</v>
      </c>
      <c r="G206" s="93">
        <v>15.14</v>
      </c>
      <c r="H206" s="93">
        <v>0</v>
      </c>
      <c r="N206" s="88"/>
      <c r="O206" s="88"/>
      <c r="P206" s="88"/>
    </row>
    <row r="207" spans="1:16">
      <c r="A207" s="94">
        <v>92813</v>
      </c>
      <c r="B207" s="87" t="s">
        <v>729</v>
      </c>
      <c r="C207" s="12" t="s">
        <v>6</v>
      </c>
      <c r="D207" s="93">
        <v>80.430000000000007</v>
      </c>
      <c r="E207" s="93">
        <v>43.79</v>
      </c>
      <c r="F207" s="93">
        <v>19.5</v>
      </c>
      <c r="G207" s="93">
        <v>17.14</v>
      </c>
      <c r="H207" s="93">
        <v>0</v>
      </c>
      <c r="N207" s="88"/>
      <c r="O207" s="88"/>
      <c r="P207" s="88"/>
    </row>
    <row r="208" spans="1:16">
      <c r="A208" s="94">
        <v>92814</v>
      </c>
      <c r="B208" s="87" t="s">
        <v>730</v>
      </c>
      <c r="C208" s="12" t="s">
        <v>6</v>
      </c>
      <c r="D208" s="93">
        <v>92</v>
      </c>
      <c r="E208" s="93">
        <v>49.24</v>
      </c>
      <c r="F208" s="93">
        <v>23.62</v>
      </c>
      <c r="G208" s="93">
        <v>19.14</v>
      </c>
      <c r="H208" s="93">
        <v>0</v>
      </c>
      <c r="N208" s="88"/>
      <c r="O208" s="88"/>
      <c r="P208" s="88"/>
    </row>
    <row r="209" spans="1:16">
      <c r="A209" s="94">
        <v>92815</v>
      </c>
      <c r="B209" s="87" t="s">
        <v>731</v>
      </c>
      <c r="C209" s="12" t="s">
        <v>6</v>
      </c>
      <c r="D209" s="93">
        <v>105.32</v>
      </c>
      <c r="E209" s="93">
        <v>54.98</v>
      </c>
      <c r="F209" s="93">
        <v>29.32</v>
      </c>
      <c r="G209" s="93">
        <v>21.02</v>
      </c>
      <c r="H209" s="93">
        <v>0</v>
      </c>
      <c r="N209" s="88"/>
      <c r="O209" s="88"/>
      <c r="P209" s="88"/>
    </row>
    <row r="210" spans="1:16">
      <c r="A210" s="94">
        <v>92816</v>
      </c>
      <c r="B210" s="87" t="s">
        <v>732</v>
      </c>
      <c r="C210" s="12" t="s">
        <v>6</v>
      </c>
      <c r="D210" s="93">
        <v>427.18</v>
      </c>
      <c r="E210" s="93">
        <v>68.69</v>
      </c>
      <c r="F210" s="93">
        <v>332.21</v>
      </c>
      <c r="G210" s="93">
        <v>26.28</v>
      </c>
      <c r="H210" s="93">
        <v>0</v>
      </c>
      <c r="N210" s="88"/>
      <c r="O210" s="88"/>
      <c r="P210" s="88"/>
    </row>
    <row r="211" spans="1:16">
      <c r="A211" s="94">
        <v>92817</v>
      </c>
      <c r="B211" s="87" t="s">
        <v>733</v>
      </c>
      <c r="C211" s="12" t="s">
        <v>6</v>
      </c>
      <c r="D211" s="93">
        <v>131.78</v>
      </c>
      <c r="E211" s="93">
        <v>68.78</v>
      </c>
      <c r="F211" s="93">
        <v>36.700000000000003</v>
      </c>
      <c r="G211" s="93">
        <v>26.3</v>
      </c>
      <c r="H211" s="93">
        <v>0</v>
      </c>
      <c r="N211" s="88"/>
      <c r="O211" s="88"/>
      <c r="P211" s="88"/>
    </row>
    <row r="212" spans="1:16">
      <c r="A212" s="94">
        <v>92818</v>
      </c>
      <c r="B212" s="87" t="s">
        <v>734</v>
      </c>
      <c r="C212" s="12" t="s">
        <v>6</v>
      </c>
      <c r="D212" s="93">
        <v>605.38</v>
      </c>
      <c r="E212" s="93">
        <v>92.46</v>
      </c>
      <c r="F212" s="93">
        <v>477.55</v>
      </c>
      <c r="G212" s="93">
        <v>35.369999999999997</v>
      </c>
      <c r="H212" s="93">
        <v>0</v>
      </c>
      <c r="N212" s="88"/>
      <c r="O212" s="88"/>
      <c r="P212" s="88"/>
    </row>
    <row r="213" spans="1:16">
      <c r="A213" s="94">
        <v>92819</v>
      </c>
      <c r="B213" s="87" t="s">
        <v>735</v>
      </c>
      <c r="C213" s="12" t="s">
        <v>6</v>
      </c>
      <c r="D213" s="93">
        <v>177.4</v>
      </c>
      <c r="E213" s="93">
        <v>92.56</v>
      </c>
      <c r="F213" s="93">
        <v>49.44</v>
      </c>
      <c r="G213" s="93">
        <v>35.4</v>
      </c>
      <c r="H213" s="93">
        <v>0</v>
      </c>
      <c r="N213" s="88"/>
      <c r="O213" s="88"/>
      <c r="P213" s="88"/>
    </row>
    <row r="214" spans="1:16">
      <c r="A214" s="94">
        <v>92820</v>
      </c>
      <c r="B214" s="87" t="s">
        <v>736</v>
      </c>
      <c r="C214" s="12" t="s">
        <v>6</v>
      </c>
      <c r="D214" s="93">
        <v>38.450000000000003</v>
      </c>
      <c r="E214" s="93">
        <v>21.92</v>
      </c>
      <c r="F214" s="93">
        <v>7.8</v>
      </c>
      <c r="G214" s="93">
        <v>8.73</v>
      </c>
      <c r="H214" s="93">
        <v>0</v>
      </c>
      <c r="N214" s="88"/>
      <c r="O214" s="88"/>
      <c r="P214" s="88"/>
    </row>
    <row r="215" spans="1:16">
      <c r="A215" s="94">
        <v>92821</v>
      </c>
      <c r="B215" s="87" t="s">
        <v>737</v>
      </c>
      <c r="C215" s="12" t="s">
        <v>6</v>
      </c>
      <c r="D215" s="93">
        <v>49.27</v>
      </c>
      <c r="E215" s="93">
        <v>27.88</v>
      </c>
      <c r="F215" s="93">
        <v>10.29</v>
      </c>
      <c r="G215" s="93">
        <v>11.1</v>
      </c>
      <c r="H215" s="93">
        <v>0</v>
      </c>
      <c r="N215" s="88"/>
      <c r="O215" s="88"/>
      <c r="P215" s="88"/>
    </row>
    <row r="216" spans="1:16">
      <c r="A216" s="94">
        <v>92822</v>
      </c>
      <c r="B216" s="87" t="s">
        <v>738</v>
      </c>
      <c r="C216" s="12" t="s">
        <v>6</v>
      </c>
      <c r="D216" s="93">
        <v>60.15</v>
      </c>
      <c r="E216" s="93">
        <v>33.909999999999997</v>
      </c>
      <c r="F216" s="93">
        <v>12.75</v>
      </c>
      <c r="G216" s="93">
        <v>13.49</v>
      </c>
      <c r="H216" s="93">
        <v>0</v>
      </c>
      <c r="N216" s="88"/>
      <c r="O216" s="88"/>
      <c r="P216" s="88"/>
    </row>
    <row r="217" spans="1:16">
      <c r="A217" s="94">
        <v>92824</v>
      </c>
      <c r="B217" s="87" t="s">
        <v>739</v>
      </c>
      <c r="C217" s="12" t="s">
        <v>6</v>
      </c>
      <c r="D217" s="93">
        <v>71.430000000000007</v>
      </c>
      <c r="E217" s="93">
        <v>39.99</v>
      </c>
      <c r="F217" s="93">
        <v>15.59</v>
      </c>
      <c r="G217" s="93">
        <v>15.85</v>
      </c>
      <c r="H217" s="93">
        <v>0</v>
      </c>
      <c r="N217" s="88"/>
      <c r="O217" s="88"/>
      <c r="P217" s="88"/>
    </row>
    <row r="218" spans="1:16">
      <c r="A218" s="94">
        <v>92825</v>
      </c>
      <c r="B218" s="87" t="s">
        <v>740</v>
      </c>
      <c r="C218" s="12" t="s">
        <v>6</v>
      </c>
      <c r="D218" s="93">
        <v>82.75</v>
      </c>
      <c r="E218" s="93">
        <v>46.05</v>
      </c>
      <c r="F218" s="93">
        <v>18.46</v>
      </c>
      <c r="G218" s="93">
        <v>18.239999999999998</v>
      </c>
      <c r="H218" s="93">
        <v>0</v>
      </c>
      <c r="N218" s="88"/>
      <c r="O218" s="88"/>
      <c r="P218" s="88"/>
    </row>
    <row r="219" spans="1:16">
      <c r="A219" s="94">
        <v>92826</v>
      </c>
      <c r="B219" s="87" t="s">
        <v>741</v>
      </c>
      <c r="C219" s="12" t="s">
        <v>6</v>
      </c>
      <c r="D219" s="93">
        <v>95.44</v>
      </c>
      <c r="E219" s="93">
        <v>52.38</v>
      </c>
      <c r="F219" s="93">
        <v>22.48</v>
      </c>
      <c r="G219" s="93">
        <v>20.58</v>
      </c>
      <c r="H219" s="93">
        <v>0</v>
      </c>
      <c r="N219" s="88"/>
      <c r="O219" s="88"/>
      <c r="P219" s="88"/>
    </row>
    <row r="220" spans="1:16">
      <c r="A220" s="94">
        <v>92827</v>
      </c>
      <c r="B220" s="87" t="s">
        <v>742</v>
      </c>
      <c r="C220" s="12" t="s">
        <v>6</v>
      </c>
      <c r="D220" s="93">
        <v>108.66</v>
      </c>
      <c r="E220" s="93">
        <v>58.79</v>
      </c>
      <c r="F220" s="93">
        <v>26.95</v>
      </c>
      <c r="G220" s="93">
        <v>22.92</v>
      </c>
      <c r="H220" s="93">
        <v>0</v>
      </c>
      <c r="N220" s="88"/>
      <c r="O220" s="88"/>
      <c r="P220" s="88"/>
    </row>
    <row r="221" spans="1:16">
      <c r="A221" s="94">
        <v>92828</v>
      </c>
      <c r="B221" s="87" t="s">
        <v>743</v>
      </c>
      <c r="C221" s="12" t="s">
        <v>6</v>
      </c>
      <c r="D221" s="93">
        <v>123.95</v>
      </c>
      <c r="E221" s="93">
        <v>65.62</v>
      </c>
      <c r="F221" s="93">
        <v>33.020000000000003</v>
      </c>
      <c r="G221" s="93">
        <v>25.31</v>
      </c>
      <c r="H221" s="93">
        <v>0</v>
      </c>
      <c r="N221" s="88"/>
      <c r="O221" s="88"/>
      <c r="P221" s="88"/>
    </row>
    <row r="222" spans="1:16">
      <c r="A222" s="94">
        <v>92829</v>
      </c>
      <c r="B222" s="87" t="s">
        <v>744</v>
      </c>
      <c r="C222" s="12" t="s">
        <v>6</v>
      </c>
      <c r="D222" s="93">
        <v>449.16</v>
      </c>
      <c r="E222" s="93">
        <v>81.3</v>
      </c>
      <c r="F222" s="93">
        <v>336.49</v>
      </c>
      <c r="G222" s="93">
        <v>31.37</v>
      </c>
      <c r="H222" s="93">
        <v>0</v>
      </c>
      <c r="N222" s="88"/>
      <c r="O222" s="88"/>
      <c r="P222" s="88"/>
    </row>
    <row r="223" spans="1:16">
      <c r="A223" s="94">
        <v>92830</v>
      </c>
      <c r="B223" s="87" t="s">
        <v>745</v>
      </c>
      <c r="C223" s="12" t="s">
        <v>6</v>
      </c>
      <c r="D223" s="93">
        <v>153.76</v>
      </c>
      <c r="E223" s="93">
        <v>81.37</v>
      </c>
      <c r="F223" s="93">
        <v>41</v>
      </c>
      <c r="G223" s="93">
        <v>31.39</v>
      </c>
      <c r="H223" s="93">
        <v>0</v>
      </c>
      <c r="N223" s="88"/>
      <c r="O223" s="88"/>
      <c r="P223" s="88"/>
    </row>
    <row r="224" spans="1:16">
      <c r="A224" s="94">
        <v>92831</v>
      </c>
      <c r="B224" s="87" t="s">
        <v>746</v>
      </c>
      <c r="C224" s="12" t="s">
        <v>6</v>
      </c>
      <c r="D224" s="93">
        <v>632.39</v>
      </c>
      <c r="E224" s="93">
        <v>108.09</v>
      </c>
      <c r="F224" s="93">
        <v>482.6</v>
      </c>
      <c r="G224" s="93">
        <v>41.7</v>
      </c>
      <c r="H224" s="93">
        <v>0</v>
      </c>
      <c r="N224" s="88"/>
      <c r="O224" s="88"/>
      <c r="P224" s="88"/>
    </row>
    <row r="225" spans="1:16">
      <c r="A225" s="94">
        <v>92832</v>
      </c>
      <c r="B225" s="87" t="s">
        <v>747</v>
      </c>
      <c r="C225" s="12" t="s">
        <v>6</v>
      </c>
      <c r="D225" s="93">
        <v>204.41</v>
      </c>
      <c r="E225" s="93">
        <v>108.18</v>
      </c>
      <c r="F225" s="93">
        <v>54.5</v>
      </c>
      <c r="G225" s="93">
        <v>41.73</v>
      </c>
      <c r="H225" s="93">
        <v>0</v>
      </c>
      <c r="N225" s="88"/>
      <c r="O225" s="88"/>
      <c r="P225" s="88"/>
    </row>
    <row r="226" spans="1:16">
      <c r="A226" s="94">
        <v>95565</v>
      </c>
      <c r="B226" s="87" t="s">
        <v>748</v>
      </c>
      <c r="C226" s="12" t="s">
        <v>6</v>
      </c>
      <c r="D226" s="93">
        <v>76.94</v>
      </c>
      <c r="E226" s="93">
        <v>16.5</v>
      </c>
      <c r="F226" s="93">
        <v>53.17</v>
      </c>
      <c r="G226" s="93">
        <v>7.27</v>
      </c>
      <c r="H226" s="93">
        <v>0</v>
      </c>
      <c r="N226" s="88"/>
      <c r="O226" s="88"/>
      <c r="P226" s="88"/>
    </row>
    <row r="227" spans="1:16">
      <c r="A227" s="94">
        <v>95566</v>
      </c>
      <c r="B227" s="87" t="s">
        <v>749</v>
      </c>
      <c r="C227" s="12" t="s">
        <v>6</v>
      </c>
      <c r="D227" s="93">
        <v>82.83</v>
      </c>
      <c r="E227" s="93">
        <v>19.75</v>
      </c>
      <c r="F227" s="93">
        <v>54.38</v>
      </c>
      <c r="G227" s="93">
        <v>8.6999999999999993</v>
      </c>
      <c r="H227" s="93">
        <v>0</v>
      </c>
      <c r="N227" s="88"/>
      <c r="O227" s="88"/>
      <c r="P227" s="88"/>
    </row>
    <row r="228" spans="1:16">
      <c r="A228" s="94">
        <v>95567</v>
      </c>
      <c r="B228" s="87" t="s">
        <v>750</v>
      </c>
      <c r="C228" s="12" t="s">
        <v>6</v>
      </c>
      <c r="D228" s="93">
        <v>64.7</v>
      </c>
      <c r="E228" s="93">
        <v>16.5</v>
      </c>
      <c r="F228" s="93">
        <v>40.92</v>
      </c>
      <c r="G228" s="93">
        <v>7.28</v>
      </c>
      <c r="H228" s="93">
        <v>0</v>
      </c>
      <c r="N228" s="88"/>
      <c r="O228" s="88"/>
      <c r="P228" s="88"/>
    </row>
    <row r="229" spans="1:16">
      <c r="A229" s="94">
        <v>95568</v>
      </c>
      <c r="B229" s="87" t="s">
        <v>751</v>
      </c>
      <c r="C229" s="12" t="s">
        <v>6</v>
      </c>
      <c r="D229" s="93">
        <v>79.540000000000006</v>
      </c>
      <c r="E229" s="93">
        <v>21.02</v>
      </c>
      <c r="F229" s="93">
        <v>49.25</v>
      </c>
      <c r="G229" s="93">
        <v>9.27</v>
      </c>
      <c r="H229" s="93">
        <v>0</v>
      </c>
      <c r="N229" s="88"/>
      <c r="O229" s="88"/>
      <c r="P229" s="88"/>
    </row>
    <row r="230" spans="1:16">
      <c r="A230" s="94">
        <v>95569</v>
      </c>
      <c r="B230" s="87" t="s">
        <v>752</v>
      </c>
      <c r="C230" s="12" t="s">
        <v>6</v>
      </c>
      <c r="D230" s="93">
        <v>107.81</v>
      </c>
      <c r="E230" s="93">
        <v>25.54</v>
      </c>
      <c r="F230" s="93">
        <v>71.08</v>
      </c>
      <c r="G230" s="93">
        <v>11.19</v>
      </c>
      <c r="H230" s="93">
        <v>0</v>
      </c>
      <c r="N230" s="88"/>
      <c r="O230" s="88"/>
      <c r="P230" s="88"/>
    </row>
    <row r="231" spans="1:16">
      <c r="A231" s="94">
        <v>95570</v>
      </c>
      <c r="B231" s="87" t="s">
        <v>753</v>
      </c>
      <c r="C231" s="12" t="s">
        <v>6</v>
      </c>
      <c r="D231" s="93">
        <v>70.59</v>
      </c>
      <c r="E231" s="93">
        <v>19.760000000000002</v>
      </c>
      <c r="F231" s="93">
        <v>42.13</v>
      </c>
      <c r="G231" s="93">
        <v>8.6999999999999993</v>
      </c>
      <c r="H231" s="93">
        <v>0</v>
      </c>
      <c r="N231" s="88"/>
      <c r="O231" s="88"/>
      <c r="P231" s="88"/>
    </row>
    <row r="232" spans="1:16">
      <c r="A232" s="94">
        <v>95571</v>
      </c>
      <c r="B232" s="87" t="s">
        <v>754</v>
      </c>
      <c r="C232" s="12" t="s">
        <v>6</v>
      </c>
      <c r="D232" s="93">
        <v>87.06</v>
      </c>
      <c r="E232" s="93">
        <v>25.18</v>
      </c>
      <c r="F232" s="93">
        <v>50.8</v>
      </c>
      <c r="G232" s="93">
        <v>11.08</v>
      </c>
      <c r="H232" s="93">
        <v>0</v>
      </c>
      <c r="N232" s="88"/>
      <c r="O232" s="88"/>
      <c r="P232" s="88"/>
    </row>
    <row r="233" spans="1:16">
      <c r="A233" s="94">
        <v>95572</v>
      </c>
      <c r="B233" s="87" t="s">
        <v>755</v>
      </c>
      <c r="C233" s="12" t="s">
        <v>6</v>
      </c>
      <c r="D233" s="93">
        <v>117.13</v>
      </c>
      <c r="E233" s="93">
        <v>30.63</v>
      </c>
      <c r="F233" s="93">
        <v>73.03</v>
      </c>
      <c r="G233" s="93">
        <v>13.47</v>
      </c>
      <c r="H233" s="93">
        <v>0</v>
      </c>
      <c r="N233" s="88"/>
      <c r="O233" s="88"/>
      <c r="P233" s="88"/>
    </row>
    <row r="234" spans="1:16">
      <c r="A234" s="94">
        <v>97127</v>
      </c>
      <c r="B234" s="87" t="s">
        <v>756</v>
      </c>
      <c r="C234" s="12" t="s">
        <v>6</v>
      </c>
      <c r="D234" s="93">
        <v>5.05</v>
      </c>
      <c r="E234" s="93">
        <v>3.92</v>
      </c>
      <c r="F234" s="93">
        <v>1.1299999999999999</v>
      </c>
      <c r="G234" s="93">
        <v>0</v>
      </c>
      <c r="H234" s="93">
        <v>0</v>
      </c>
      <c r="N234" s="88"/>
      <c r="O234" s="88"/>
      <c r="P234" s="88"/>
    </row>
    <row r="235" spans="1:16">
      <c r="A235" s="94">
        <v>97128</v>
      </c>
      <c r="B235" s="87" t="s">
        <v>757</v>
      </c>
      <c r="C235" s="12" t="s">
        <v>6</v>
      </c>
      <c r="D235" s="93">
        <v>9.44</v>
      </c>
      <c r="E235" s="93">
        <v>6.53</v>
      </c>
      <c r="F235" s="93">
        <v>1.92</v>
      </c>
      <c r="G235" s="93">
        <v>0.99</v>
      </c>
      <c r="H235" s="93">
        <v>0</v>
      </c>
      <c r="N235" s="88"/>
      <c r="O235" s="88"/>
      <c r="P235" s="88"/>
    </row>
    <row r="236" spans="1:16">
      <c r="A236" s="94">
        <v>97129</v>
      </c>
      <c r="B236" s="87" t="s">
        <v>758</v>
      </c>
      <c r="C236" s="12" t="s">
        <v>6</v>
      </c>
      <c r="D236" s="93">
        <v>11.61</v>
      </c>
      <c r="E236" s="93">
        <v>8.01</v>
      </c>
      <c r="F236" s="93">
        <v>2.38</v>
      </c>
      <c r="G236" s="93">
        <v>1.22</v>
      </c>
      <c r="H236" s="93">
        <v>0</v>
      </c>
      <c r="N236" s="88"/>
      <c r="O236" s="88"/>
      <c r="P236" s="88"/>
    </row>
    <row r="237" spans="1:16">
      <c r="A237" s="94">
        <v>97130</v>
      </c>
      <c r="B237" s="87" t="s">
        <v>759</v>
      </c>
      <c r="C237" s="12" t="s">
        <v>6</v>
      </c>
      <c r="D237" s="93">
        <v>13.78</v>
      </c>
      <c r="E237" s="93">
        <v>9.48</v>
      </c>
      <c r="F237" s="93">
        <v>2.85</v>
      </c>
      <c r="G237" s="93">
        <v>1.45</v>
      </c>
      <c r="H237" s="93">
        <v>0</v>
      </c>
      <c r="N237" s="88"/>
      <c r="O237" s="88"/>
      <c r="P237" s="88"/>
    </row>
    <row r="238" spans="1:16">
      <c r="A238" s="94">
        <v>97131</v>
      </c>
      <c r="B238" s="87" t="s">
        <v>760</v>
      </c>
      <c r="C238" s="12" t="s">
        <v>6</v>
      </c>
      <c r="D238" s="93">
        <v>15.95</v>
      </c>
      <c r="E238" s="93">
        <v>10.98</v>
      </c>
      <c r="F238" s="93">
        <v>3.29</v>
      </c>
      <c r="G238" s="93">
        <v>1.68</v>
      </c>
      <c r="H238" s="93">
        <v>0</v>
      </c>
      <c r="N238" s="88"/>
      <c r="O238" s="88"/>
      <c r="P238" s="88"/>
    </row>
    <row r="239" spans="1:16">
      <c r="A239" s="94">
        <v>97132</v>
      </c>
      <c r="B239" s="87" t="s">
        <v>761</v>
      </c>
      <c r="C239" s="12" t="s">
        <v>6</v>
      </c>
      <c r="D239" s="93">
        <v>18.100000000000001</v>
      </c>
      <c r="E239" s="93">
        <v>12.43</v>
      </c>
      <c r="F239" s="93">
        <v>3.75</v>
      </c>
      <c r="G239" s="93">
        <v>1.92</v>
      </c>
      <c r="H239" s="93">
        <v>0</v>
      </c>
      <c r="N239" s="88"/>
      <c r="O239" s="88"/>
      <c r="P239" s="88"/>
    </row>
    <row r="240" spans="1:16">
      <c r="A240" s="94">
        <v>97133</v>
      </c>
      <c r="B240" s="87" t="s">
        <v>762</v>
      </c>
      <c r="C240" s="12" t="s">
        <v>6</v>
      </c>
      <c r="D240" s="93">
        <v>22.44</v>
      </c>
      <c r="E240" s="93">
        <v>15.4</v>
      </c>
      <c r="F240" s="93">
        <v>4.66</v>
      </c>
      <c r="G240" s="93">
        <v>2.38</v>
      </c>
      <c r="H240" s="93">
        <v>0</v>
      </c>
      <c r="N240" s="88"/>
      <c r="O240" s="88"/>
      <c r="P240" s="88"/>
    </row>
    <row r="241" spans="1:16">
      <c r="A241" s="94">
        <v>97134</v>
      </c>
      <c r="B241" s="87" t="s">
        <v>763</v>
      </c>
      <c r="C241" s="12" t="s">
        <v>6</v>
      </c>
      <c r="D241" s="93">
        <v>2.27</v>
      </c>
      <c r="E241" s="93">
        <v>1.62</v>
      </c>
      <c r="F241" s="93">
        <v>0.65</v>
      </c>
      <c r="G241" s="93">
        <v>0</v>
      </c>
      <c r="H241" s="93">
        <v>0</v>
      </c>
      <c r="N241" s="88"/>
      <c r="O241" s="88"/>
      <c r="P241" s="88"/>
    </row>
    <row r="242" spans="1:16">
      <c r="A242" s="94">
        <v>97135</v>
      </c>
      <c r="B242" s="87" t="s">
        <v>764</v>
      </c>
      <c r="C242" s="12" t="s">
        <v>6</v>
      </c>
      <c r="D242" s="93">
        <v>4.6100000000000003</v>
      </c>
      <c r="E242" s="93">
        <v>2.84</v>
      </c>
      <c r="F242" s="93">
        <v>1.2</v>
      </c>
      <c r="G242" s="93">
        <v>0.56999999999999995</v>
      </c>
      <c r="H242" s="93">
        <v>0</v>
      </c>
      <c r="N242" s="88"/>
      <c r="O242" s="88"/>
      <c r="P242" s="88"/>
    </row>
    <row r="243" spans="1:16">
      <c r="A243" s="94">
        <v>97136</v>
      </c>
      <c r="B243" s="87" t="s">
        <v>765</v>
      </c>
      <c r="C243" s="12" t="s">
        <v>6</v>
      </c>
      <c r="D243" s="93">
        <v>5.69</v>
      </c>
      <c r="E243" s="93">
        <v>3.5</v>
      </c>
      <c r="F243" s="93">
        <v>1.47</v>
      </c>
      <c r="G243" s="93">
        <v>0.72</v>
      </c>
      <c r="H243" s="93">
        <v>0</v>
      </c>
      <c r="N243" s="88"/>
      <c r="O243" s="88"/>
      <c r="P243" s="88"/>
    </row>
    <row r="244" spans="1:16">
      <c r="A244" s="94">
        <v>97137</v>
      </c>
      <c r="B244" s="87" t="s">
        <v>766</v>
      </c>
      <c r="C244" s="12" t="s">
        <v>6</v>
      </c>
      <c r="D244" s="93">
        <v>6.74</v>
      </c>
      <c r="E244" s="93">
        <v>4.1500000000000004</v>
      </c>
      <c r="F244" s="93">
        <v>1.76</v>
      </c>
      <c r="G244" s="93">
        <v>0.83</v>
      </c>
      <c r="H244" s="93">
        <v>0</v>
      </c>
      <c r="N244" s="88"/>
      <c r="O244" s="88"/>
      <c r="P244" s="88"/>
    </row>
    <row r="245" spans="1:16">
      <c r="A245" s="94">
        <v>97138</v>
      </c>
      <c r="B245" s="87" t="s">
        <v>767</v>
      </c>
      <c r="C245" s="12" t="s">
        <v>6</v>
      </c>
      <c r="D245" s="93">
        <v>7.82</v>
      </c>
      <c r="E245" s="93">
        <v>4.8</v>
      </c>
      <c r="F245" s="93">
        <v>2.04</v>
      </c>
      <c r="G245" s="93">
        <v>0.98</v>
      </c>
      <c r="H245" s="93">
        <v>0</v>
      </c>
      <c r="N245" s="88"/>
      <c r="O245" s="88"/>
      <c r="P245" s="88"/>
    </row>
    <row r="246" spans="1:16">
      <c r="A246" s="94">
        <v>97139</v>
      </c>
      <c r="B246" s="87" t="s">
        <v>768</v>
      </c>
      <c r="C246" s="12" t="s">
        <v>6</v>
      </c>
      <c r="D246" s="93">
        <v>8.86</v>
      </c>
      <c r="E246" s="93">
        <v>5.43</v>
      </c>
      <c r="F246" s="93">
        <v>2.31</v>
      </c>
      <c r="G246" s="93">
        <v>1.1200000000000001</v>
      </c>
      <c r="H246" s="93">
        <v>0</v>
      </c>
      <c r="N246" s="88"/>
      <c r="O246" s="88"/>
      <c r="P246" s="88"/>
    </row>
    <row r="247" spans="1:16">
      <c r="A247" s="94">
        <v>97140</v>
      </c>
      <c r="B247" s="87" t="s">
        <v>769</v>
      </c>
      <c r="C247" s="12" t="s">
        <v>6</v>
      </c>
      <c r="D247" s="93">
        <v>11</v>
      </c>
      <c r="E247" s="93">
        <v>6.69</v>
      </c>
      <c r="F247" s="93">
        <v>2.92</v>
      </c>
      <c r="G247" s="93">
        <v>1.39</v>
      </c>
      <c r="H247" s="93">
        <v>0</v>
      </c>
      <c r="N247" s="88"/>
      <c r="O247" s="88"/>
      <c r="P247" s="88"/>
    </row>
    <row r="248" spans="1:16">
      <c r="A248" s="94">
        <v>93206</v>
      </c>
      <c r="B248" s="87" t="s">
        <v>770</v>
      </c>
      <c r="C248" s="12" t="s">
        <v>9</v>
      </c>
      <c r="D248" s="93">
        <v>880.9</v>
      </c>
      <c r="E248" s="93">
        <v>289.51</v>
      </c>
      <c r="F248" s="93">
        <v>591.16</v>
      </c>
      <c r="G248" s="93">
        <v>0.12</v>
      </c>
      <c r="H248" s="93">
        <v>0</v>
      </c>
      <c r="N248" s="88"/>
      <c r="O248" s="88"/>
      <c r="P248" s="88"/>
    </row>
    <row r="249" spans="1:16">
      <c r="A249" s="94">
        <v>93207</v>
      </c>
      <c r="B249" s="87" t="s">
        <v>771</v>
      </c>
      <c r="C249" s="12" t="s">
        <v>9</v>
      </c>
      <c r="D249" s="93">
        <v>782.21</v>
      </c>
      <c r="E249" s="93">
        <v>168.36</v>
      </c>
      <c r="F249" s="93">
        <v>613.62</v>
      </c>
      <c r="G249" s="93">
        <v>0.12</v>
      </c>
      <c r="H249" s="93">
        <v>0</v>
      </c>
      <c r="N249" s="88"/>
      <c r="O249" s="88"/>
      <c r="P249" s="88"/>
    </row>
    <row r="250" spans="1:16">
      <c r="A250" s="94">
        <v>93208</v>
      </c>
      <c r="B250" s="87" t="s">
        <v>772</v>
      </c>
      <c r="C250" s="12" t="s">
        <v>9</v>
      </c>
      <c r="D250" s="93">
        <v>609.91</v>
      </c>
      <c r="E250" s="93">
        <v>120.58</v>
      </c>
      <c r="F250" s="93">
        <v>489.09</v>
      </c>
      <c r="G250" s="93">
        <v>0.12</v>
      </c>
      <c r="H250" s="93">
        <v>0</v>
      </c>
      <c r="N250" s="88"/>
      <c r="O250" s="88"/>
      <c r="P250" s="88"/>
    </row>
    <row r="251" spans="1:16">
      <c r="A251" s="94">
        <v>93209</v>
      </c>
      <c r="B251" s="87" t="s">
        <v>773</v>
      </c>
      <c r="C251" s="12" t="s">
        <v>9</v>
      </c>
      <c r="D251" s="93">
        <v>705.4</v>
      </c>
      <c r="E251" s="93">
        <v>215.48</v>
      </c>
      <c r="F251" s="93">
        <v>489.68</v>
      </c>
      <c r="G251" s="93">
        <v>0.12</v>
      </c>
      <c r="H251" s="93">
        <v>0</v>
      </c>
      <c r="N251" s="88"/>
      <c r="O251" s="88"/>
      <c r="P251" s="88"/>
    </row>
    <row r="252" spans="1:16">
      <c r="A252" s="94">
        <v>93210</v>
      </c>
      <c r="B252" s="87" t="s">
        <v>774</v>
      </c>
      <c r="C252" s="12" t="s">
        <v>9</v>
      </c>
      <c r="D252" s="93">
        <v>426.27</v>
      </c>
      <c r="E252" s="93">
        <v>105.78</v>
      </c>
      <c r="F252" s="93">
        <v>320.24</v>
      </c>
      <c r="G252" s="93">
        <v>0.15</v>
      </c>
      <c r="H252" s="93">
        <v>0</v>
      </c>
      <c r="N252" s="88"/>
      <c r="O252" s="88"/>
      <c r="P252" s="88"/>
    </row>
    <row r="253" spans="1:16">
      <c r="A253" s="94">
        <v>93211</v>
      </c>
      <c r="B253" s="87" t="s">
        <v>775</v>
      </c>
      <c r="C253" s="12" t="s">
        <v>9</v>
      </c>
      <c r="D253" s="93">
        <v>439.42</v>
      </c>
      <c r="E253" s="93">
        <v>130.53</v>
      </c>
      <c r="F253" s="93">
        <v>308.64</v>
      </c>
      <c r="G253" s="93">
        <v>0.15</v>
      </c>
      <c r="H253" s="93">
        <v>0</v>
      </c>
      <c r="N253" s="88"/>
      <c r="O253" s="88"/>
      <c r="P253" s="88"/>
    </row>
    <row r="254" spans="1:16">
      <c r="A254" s="94">
        <v>93212</v>
      </c>
      <c r="B254" s="87" t="s">
        <v>776</v>
      </c>
      <c r="C254" s="12" t="s">
        <v>9</v>
      </c>
      <c r="D254" s="93">
        <v>713.04</v>
      </c>
      <c r="E254" s="93">
        <v>175.83</v>
      </c>
      <c r="F254" s="93">
        <v>536.96</v>
      </c>
      <c r="G254" s="93">
        <v>0.12</v>
      </c>
      <c r="H254" s="93">
        <v>0</v>
      </c>
      <c r="N254" s="88"/>
      <c r="O254" s="88"/>
      <c r="P254" s="88"/>
    </row>
    <row r="255" spans="1:16">
      <c r="A255" s="94">
        <v>93213</v>
      </c>
      <c r="B255" s="87" t="s">
        <v>777</v>
      </c>
      <c r="C255" s="12" t="s">
        <v>9</v>
      </c>
      <c r="D255" s="93">
        <v>786.44</v>
      </c>
      <c r="E255" s="93">
        <v>236.36</v>
      </c>
      <c r="F255" s="93">
        <v>549.88</v>
      </c>
      <c r="G255" s="93">
        <v>0.1</v>
      </c>
      <c r="H255" s="93">
        <v>0</v>
      </c>
      <c r="N255" s="88"/>
      <c r="O255" s="88"/>
      <c r="P255" s="88"/>
    </row>
    <row r="256" spans="1:16">
      <c r="A256" s="94">
        <v>93214</v>
      </c>
      <c r="B256" s="87" t="s">
        <v>14</v>
      </c>
      <c r="C256" s="12" t="s">
        <v>4</v>
      </c>
      <c r="D256" s="93">
        <v>4051.6</v>
      </c>
      <c r="E256" s="93">
        <v>282.13</v>
      </c>
      <c r="F256" s="93">
        <v>3769.11</v>
      </c>
      <c r="G256" s="93">
        <v>0.03</v>
      </c>
      <c r="H256" s="93">
        <v>0</v>
      </c>
      <c r="N256" s="88"/>
      <c r="O256" s="88"/>
      <c r="P256" s="88"/>
    </row>
    <row r="257" spans="1:16">
      <c r="A257" s="94">
        <v>93243</v>
      </c>
      <c r="B257" s="87" t="s">
        <v>778</v>
      </c>
      <c r="C257" s="12" t="s">
        <v>4</v>
      </c>
      <c r="D257" s="93">
        <v>6088.21</v>
      </c>
      <c r="E257" s="93">
        <v>372.14</v>
      </c>
      <c r="F257" s="93">
        <v>5715.73</v>
      </c>
      <c r="G257" s="93">
        <v>0.03</v>
      </c>
      <c r="H257" s="93">
        <v>0</v>
      </c>
      <c r="N257" s="88"/>
      <c r="O257" s="88"/>
      <c r="P257" s="88"/>
    </row>
    <row r="258" spans="1:16">
      <c r="A258" s="94">
        <v>93582</v>
      </c>
      <c r="B258" s="87" t="s">
        <v>779</v>
      </c>
      <c r="C258" s="12" t="s">
        <v>9</v>
      </c>
      <c r="D258" s="93">
        <v>196.64</v>
      </c>
      <c r="E258" s="93">
        <v>43.04</v>
      </c>
      <c r="F258" s="93">
        <v>153.43</v>
      </c>
      <c r="G258" s="93">
        <v>0.09</v>
      </c>
      <c r="H258" s="93">
        <v>0</v>
      </c>
      <c r="N258" s="88"/>
      <c r="O258" s="88"/>
      <c r="P258" s="88"/>
    </row>
    <row r="259" spans="1:16">
      <c r="A259" s="94">
        <v>93583</v>
      </c>
      <c r="B259" s="87" t="s">
        <v>780</v>
      </c>
      <c r="C259" s="12" t="s">
        <v>9</v>
      </c>
      <c r="D259" s="93">
        <v>323.94</v>
      </c>
      <c r="E259" s="93">
        <v>71.5</v>
      </c>
      <c r="F259" s="93">
        <v>252.14</v>
      </c>
      <c r="G259" s="93">
        <v>0.16</v>
      </c>
      <c r="H259" s="93">
        <v>0</v>
      </c>
      <c r="N259" s="88"/>
      <c r="O259" s="88"/>
      <c r="P259" s="88"/>
    </row>
    <row r="260" spans="1:16">
      <c r="A260" s="94">
        <v>93584</v>
      </c>
      <c r="B260" s="87" t="s">
        <v>781</v>
      </c>
      <c r="C260" s="12" t="s">
        <v>9</v>
      </c>
      <c r="D260" s="93">
        <v>614.29999999999995</v>
      </c>
      <c r="E260" s="93">
        <v>130.5</v>
      </c>
      <c r="F260" s="93">
        <v>483.53</v>
      </c>
      <c r="G260" s="93">
        <v>0.12</v>
      </c>
      <c r="H260" s="93">
        <v>0</v>
      </c>
      <c r="N260" s="88"/>
      <c r="O260" s="88"/>
      <c r="P260" s="88"/>
    </row>
    <row r="261" spans="1:16">
      <c r="A261" s="94">
        <v>93585</v>
      </c>
      <c r="B261" s="87" t="s">
        <v>782</v>
      </c>
      <c r="C261" s="12" t="s">
        <v>9</v>
      </c>
      <c r="D261" s="93">
        <v>801.11</v>
      </c>
      <c r="E261" s="93">
        <v>160.80000000000001</v>
      </c>
      <c r="F261" s="93">
        <v>640.08000000000004</v>
      </c>
      <c r="G261" s="93">
        <v>0.09</v>
      </c>
      <c r="H261" s="93">
        <v>0</v>
      </c>
      <c r="N261" s="88"/>
      <c r="O261" s="88"/>
      <c r="P261" s="88"/>
    </row>
    <row r="262" spans="1:16">
      <c r="A262" s="94">
        <v>98441</v>
      </c>
      <c r="B262" s="87" t="s">
        <v>783</v>
      </c>
      <c r="C262" s="12" t="s">
        <v>9</v>
      </c>
      <c r="D262" s="93">
        <v>88.38</v>
      </c>
      <c r="E262" s="93">
        <v>17.3</v>
      </c>
      <c r="F262" s="93">
        <v>71.06</v>
      </c>
      <c r="G262" s="93">
        <v>0</v>
      </c>
      <c r="H262" s="93">
        <v>0</v>
      </c>
      <c r="N262" s="88"/>
      <c r="O262" s="88"/>
      <c r="P262" s="88"/>
    </row>
    <row r="263" spans="1:16">
      <c r="A263" s="94">
        <v>98442</v>
      </c>
      <c r="B263" s="87" t="s">
        <v>784</v>
      </c>
      <c r="C263" s="12" t="s">
        <v>9</v>
      </c>
      <c r="D263" s="93">
        <v>91.02</v>
      </c>
      <c r="E263" s="93">
        <v>19.37</v>
      </c>
      <c r="F263" s="93">
        <v>71.64</v>
      </c>
      <c r="G263" s="93">
        <v>0</v>
      </c>
      <c r="H263" s="93">
        <v>0</v>
      </c>
      <c r="N263" s="88"/>
      <c r="O263" s="88"/>
      <c r="P263" s="88"/>
    </row>
    <row r="264" spans="1:16">
      <c r="A264" s="94">
        <v>98443</v>
      </c>
      <c r="B264" s="87" t="s">
        <v>785</v>
      </c>
      <c r="C264" s="12" t="s">
        <v>9</v>
      </c>
      <c r="D264" s="93">
        <v>75.599999999999994</v>
      </c>
      <c r="E264" s="93">
        <v>9.3800000000000008</v>
      </c>
      <c r="F264" s="93">
        <v>66.2</v>
      </c>
      <c r="G264" s="93">
        <v>0</v>
      </c>
      <c r="H264" s="93">
        <v>0</v>
      </c>
      <c r="N264" s="88"/>
      <c r="O264" s="88"/>
      <c r="P264" s="88"/>
    </row>
    <row r="265" spans="1:16">
      <c r="A265" s="94">
        <v>98444</v>
      </c>
      <c r="B265" s="87" t="s">
        <v>786</v>
      </c>
      <c r="C265" s="12" t="s">
        <v>9</v>
      </c>
      <c r="D265" s="93">
        <v>77.47</v>
      </c>
      <c r="E265" s="93">
        <v>10.86</v>
      </c>
      <c r="F265" s="93">
        <v>66.599999999999994</v>
      </c>
      <c r="G265" s="93">
        <v>0</v>
      </c>
      <c r="H265" s="93">
        <v>0</v>
      </c>
      <c r="N265" s="88"/>
      <c r="O265" s="88"/>
      <c r="P265" s="88"/>
    </row>
    <row r="266" spans="1:16">
      <c r="A266" s="94">
        <v>98445</v>
      </c>
      <c r="B266" s="87" t="s">
        <v>787</v>
      </c>
      <c r="C266" s="12" t="s">
        <v>9</v>
      </c>
      <c r="D266" s="93">
        <v>106.78</v>
      </c>
      <c r="E266" s="93">
        <v>25.12</v>
      </c>
      <c r="F266" s="93">
        <v>81.63</v>
      </c>
      <c r="G266" s="93">
        <v>0</v>
      </c>
      <c r="H266" s="93">
        <v>0</v>
      </c>
      <c r="N266" s="88"/>
      <c r="O266" s="88"/>
      <c r="P266" s="88"/>
    </row>
    <row r="267" spans="1:16">
      <c r="A267" s="94">
        <v>98446</v>
      </c>
      <c r="B267" s="87" t="s">
        <v>788</v>
      </c>
      <c r="C267" s="12" t="s">
        <v>9</v>
      </c>
      <c r="D267" s="93">
        <v>139.12</v>
      </c>
      <c r="E267" s="93">
        <v>41.11</v>
      </c>
      <c r="F267" s="93">
        <v>97.97</v>
      </c>
      <c r="G267" s="93">
        <v>0</v>
      </c>
      <c r="H267" s="93">
        <v>0</v>
      </c>
      <c r="N267" s="88"/>
      <c r="O267" s="88"/>
      <c r="P267" s="88"/>
    </row>
    <row r="268" spans="1:16">
      <c r="A268" s="94">
        <v>98447</v>
      </c>
      <c r="B268" s="87" t="s">
        <v>789</v>
      </c>
      <c r="C268" s="12" t="s">
        <v>9</v>
      </c>
      <c r="D268" s="93">
        <v>89.14</v>
      </c>
      <c r="E268" s="93">
        <v>14.36</v>
      </c>
      <c r="F268" s="93">
        <v>74.75</v>
      </c>
      <c r="G268" s="93">
        <v>0</v>
      </c>
      <c r="H268" s="93">
        <v>0</v>
      </c>
      <c r="N268" s="88"/>
      <c r="O268" s="88"/>
      <c r="P268" s="88"/>
    </row>
    <row r="269" spans="1:16">
      <c r="A269" s="94">
        <v>98448</v>
      </c>
      <c r="B269" s="87" t="s">
        <v>790</v>
      </c>
      <c r="C269" s="12" t="s">
        <v>9</v>
      </c>
      <c r="D269" s="93">
        <v>113.78</v>
      </c>
      <c r="E269" s="93">
        <v>25.74</v>
      </c>
      <c r="F269" s="93">
        <v>88</v>
      </c>
      <c r="G269" s="93">
        <v>0</v>
      </c>
      <c r="H269" s="93">
        <v>0</v>
      </c>
      <c r="N269" s="88"/>
      <c r="O269" s="88"/>
      <c r="P269" s="88"/>
    </row>
    <row r="270" spans="1:16">
      <c r="A270" s="94">
        <v>98449</v>
      </c>
      <c r="B270" s="87" t="s">
        <v>791</v>
      </c>
      <c r="C270" s="12" t="s">
        <v>9</v>
      </c>
      <c r="D270" s="93">
        <v>108.86</v>
      </c>
      <c r="E270" s="93">
        <v>20.399999999999999</v>
      </c>
      <c r="F270" s="93">
        <v>88.44</v>
      </c>
      <c r="G270" s="93">
        <v>0</v>
      </c>
      <c r="H270" s="93">
        <v>0</v>
      </c>
      <c r="N270" s="88"/>
      <c r="O270" s="88"/>
      <c r="P270" s="88"/>
    </row>
    <row r="271" spans="1:16">
      <c r="A271" s="94">
        <v>98450</v>
      </c>
      <c r="B271" s="87" t="s">
        <v>792</v>
      </c>
      <c r="C271" s="12" t="s">
        <v>9</v>
      </c>
      <c r="D271" s="93">
        <v>112.72</v>
      </c>
      <c r="E271" s="93">
        <v>23.42</v>
      </c>
      <c r="F271" s="93">
        <v>89.28</v>
      </c>
      <c r="G271" s="93">
        <v>0</v>
      </c>
      <c r="H271" s="93">
        <v>0</v>
      </c>
      <c r="N271" s="88"/>
      <c r="O271" s="88"/>
      <c r="P271" s="88"/>
    </row>
    <row r="272" spans="1:16">
      <c r="A272" s="94">
        <v>98451</v>
      </c>
      <c r="B272" s="87" t="s">
        <v>793</v>
      </c>
      <c r="C272" s="12" t="s">
        <v>9</v>
      </c>
      <c r="D272" s="93">
        <v>93.78</v>
      </c>
      <c r="E272" s="93">
        <v>10.68</v>
      </c>
      <c r="F272" s="93">
        <v>83.08</v>
      </c>
      <c r="G272" s="93">
        <v>0</v>
      </c>
      <c r="H272" s="93">
        <v>0</v>
      </c>
      <c r="N272" s="88"/>
      <c r="O272" s="88"/>
      <c r="P272" s="88"/>
    </row>
    <row r="273" spans="1:16">
      <c r="A273" s="94">
        <v>98452</v>
      </c>
      <c r="B273" s="87" t="s">
        <v>794</v>
      </c>
      <c r="C273" s="12" t="s">
        <v>9</v>
      </c>
      <c r="D273" s="93">
        <v>96.12</v>
      </c>
      <c r="E273" s="93">
        <v>12.51</v>
      </c>
      <c r="F273" s="93">
        <v>83.59</v>
      </c>
      <c r="G273" s="93">
        <v>0</v>
      </c>
      <c r="H273" s="93">
        <v>0</v>
      </c>
      <c r="N273" s="88"/>
      <c r="O273" s="88"/>
      <c r="P273" s="88"/>
    </row>
    <row r="274" spans="1:16">
      <c r="A274" s="94">
        <v>98453</v>
      </c>
      <c r="B274" s="87" t="s">
        <v>795</v>
      </c>
      <c r="C274" s="12" t="s">
        <v>9</v>
      </c>
      <c r="D274" s="93">
        <v>131.85</v>
      </c>
      <c r="E274" s="93">
        <v>31.72</v>
      </c>
      <c r="F274" s="93">
        <v>100.1</v>
      </c>
      <c r="G274" s="93">
        <v>0</v>
      </c>
      <c r="H274" s="93">
        <v>0</v>
      </c>
      <c r="N274" s="88"/>
      <c r="O274" s="88"/>
      <c r="P274" s="88"/>
    </row>
    <row r="275" spans="1:16">
      <c r="A275" s="94">
        <v>98454</v>
      </c>
      <c r="B275" s="87" t="s">
        <v>796</v>
      </c>
      <c r="C275" s="12" t="s">
        <v>9</v>
      </c>
      <c r="D275" s="93">
        <v>175.36</v>
      </c>
      <c r="E275" s="93">
        <v>56.31</v>
      </c>
      <c r="F275" s="93">
        <v>119</v>
      </c>
      <c r="G275" s="93">
        <v>0</v>
      </c>
      <c r="H275" s="93">
        <v>0</v>
      </c>
      <c r="N275" s="88"/>
      <c r="O275" s="88"/>
      <c r="P275" s="88"/>
    </row>
    <row r="276" spans="1:16">
      <c r="A276" s="94">
        <v>98455</v>
      </c>
      <c r="B276" s="87" t="s">
        <v>797</v>
      </c>
      <c r="C276" s="12" t="s">
        <v>9</v>
      </c>
      <c r="D276" s="93">
        <v>111.91</v>
      </c>
      <c r="E276" s="93">
        <v>19.18</v>
      </c>
      <c r="F276" s="93">
        <v>92.7</v>
      </c>
      <c r="G276" s="93">
        <v>0</v>
      </c>
      <c r="H276" s="93">
        <v>0</v>
      </c>
      <c r="N276" s="88"/>
      <c r="O276" s="88"/>
      <c r="P276" s="88"/>
    </row>
    <row r="277" spans="1:16">
      <c r="A277" s="94">
        <v>98456</v>
      </c>
      <c r="B277" s="87" t="s">
        <v>798</v>
      </c>
      <c r="C277" s="12" t="s">
        <v>9</v>
      </c>
      <c r="D277" s="93">
        <v>146.96</v>
      </c>
      <c r="E277" s="93">
        <v>38.520000000000003</v>
      </c>
      <c r="F277" s="93">
        <v>108.39</v>
      </c>
      <c r="G277" s="93">
        <v>0</v>
      </c>
      <c r="H277" s="93">
        <v>0</v>
      </c>
      <c r="N277" s="88"/>
      <c r="O277" s="88"/>
      <c r="P277" s="88"/>
    </row>
    <row r="278" spans="1:16">
      <c r="A278" s="94">
        <v>98458</v>
      </c>
      <c r="B278" s="87" t="s">
        <v>799</v>
      </c>
      <c r="C278" s="12" t="s">
        <v>9</v>
      </c>
      <c r="D278" s="93">
        <v>83.82</v>
      </c>
      <c r="E278" s="93">
        <v>13.81</v>
      </c>
      <c r="F278" s="93">
        <v>70</v>
      </c>
      <c r="G278" s="93">
        <v>0</v>
      </c>
      <c r="H278" s="93">
        <v>0</v>
      </c>
      <c r="N278" s="88"/>
      <c r="O278" s="88"/>
      <c r="P278" s="88"/>
    </row>
    <row r="279" spans="1:16">
      <c r="A279" s="94">
        <v>98459</v>
      </c>
      <c r="B279" s="87" t="s">
        <v>800</v>
      </c>
      <c r="C279" s="12" t="s">
        <v>9</v>
      </c>
      <c r="D279" s="93">
        <v>81.55</v>
      </c>
      <c r="E279" s="93">
        <v>12.85</v>
      </c>
      <c r="F279" s="93">
        <v>68.69</v>
      </c>
      <c r="G279" s="93">
        <v>0</v>
      </c>
      <c r="H279" s="93">
        <v>0</v>
      </c>
      <c r="N279" s="88"/>
      <c r="O279" s="88"/>
      <c r="P279" s="88"/>
    </row>
    <row r="280" spans="1:16">
      <c r="A280" s="94">
        <v>98460</v>
      </c>
      <c r="B280" s="87" t="s">
        <v>801</v>
      </c>
      <c r="C280" s="12" t="s">
        <v>9</v>
      </c>
      <c r="D280" s="93">
        <v>76.3</v>
      </c>
      <c r="E280" s="93">
        <v>6.16</v>
      </c>
      <c r="F280" s="93">
        <v>70.11</v>
      </c>
      <c r="G280" s="93">
        <v>0</v>
      </c>
      <c r="H280" s="93">
        <v>0</v>
      </c>
      <c r="N280" s="88"/>
      <c r="O280" s="88"/>
      <c r="P280" s="88"/>
    </row>
    <row r="281" spans="1:16">
      <c r="A281" s="94">
        <v>98461</v>
      </c>
      <c r="B281" s="87" t="s">
        <v>802</v>
      </c>
      <c r="C281" s="12" t="s">
        <v>4</v>
      </c>
      <c r="D281" s="93">
        <v>3459.29</v>
      </c>
      <c r="E281" s="93">
        <v>170.27</v>
      </c>
      <c r="F281" s="93">
        <v>3288.66</v>
      </c>
      <c r="G281" s="93">
        <v>0.03</v>
      </c>
      <c r="H281" s="93">
        <v>0</v>
      </c>
      <c r="N281" s="88"/>
      <c r="O281" s="88"/>
      <c r="P281" s="88"/>
    </row>
    <row r="282" spans="1:16">
      <c r="A282" s="94">
        <v>98462</v>
      </c>
      <c r="B282" s="87" t="s">
        <v>803</v>
      </c>
      <c r="C282" s="12" t="s">
        <v>4</v>
      </c>
      <c r="D282" s="93">
        <v>5077.7700000000004</v>
      </c>
      <c r="E282" s="93">
        <v>256.45</v>
      </c>
      <c r="F282" s="93">
        <v>4820.9799999999996</v>
      </c>
      <c r="G282" s="93">
        <v>0.03</v>
      </c>
      <c r="H282" s="93">
        <v>0</v>
      </c>
      <c r="N282" s="88"/>
      <c r="O282" s="88"/>
      <c r="P282" s="88"/>
    </row>
    <row r="283" spans="1:16">
      <c r="A283" s="94">
        <v>5631</v>
      </c>
      <c r="B283" s="87" t="s">
        <v>804</v>
      </c>
      <c r="C283" s="12" t="s">
        <v>16</v>
      </c>
      <c r="D283" s="93">
        <v>133.18</v>
      </c>
      <c r="E283" s="93">
        <v>28.69</v>
      </c>
      <c r="F283" s="93">
        <v>41.7</v>
      </c>
      <c r="G283" s="93">
        <v>62.79</v>
      </c>
      <c r="H283" s="93">
        <v>0</v>
      </c>
      <c r="N283" s="88"/>
      <c r="O283" s="88"/>
      <c r="P283" s="88"/>
    </row>
    <row r="284" spans="1:16">
      <c r="A284" s="94">
        <v>5678</v>
      </c>
      <c r="B284" s="87" t="s">
        <v>805</v>
      </c>
      <c r="C284" s="12" t="s">
        <v>16</v>
      </c>
      <c r="D284" s="93">
        <v>99.39</v>
      </c>
      <c r="E284" s="93">
        <v>28.69</v>
      </c>
      <c r="F284" s="93">
        <v>35.17</v>
      </c>
      <c r="G284" s="93">
        <v>35.53</v>
      </c>
      <c r="H284" s="93">
        <v>0</v>
      </c>
      <c r="N284" s="88"/>
      <c r="O284" s="88"/>
      <c r="P284" s="88"/>
    </row>
    <row r="285" spans="1:16">
      <c r="A285" s="94">
        <v>5680</v>
      </c>
      <c r="B285" s="87" t="s">
        <v>806</v>
      </c>
      <c r="C285" s="12" t="s">
        <v>16</v>
      </c>
      <c r="D285" s="93">
        <v>93.05</v>
      </c>
      <c r="E285" s="93">
        <v>28.69</v>
      </c>
      <c r="F285" s="93">
        <v>32.770000000000003</v>
      </c>
      <c r="G285" s="93">
        <v>31.59</v>
      </c>
      <c r="H285" s="93">
        <v>0</v>
      </c>
      <c r="N285" s="88"/>
      <c r="O285" s="88"/>
      <c r="P285" s="88"/>
    </row>
    <row r="286" spans="1:16">
      <c r="A286" s="94">
        <v>5684</v>
      </c>
      <c r="B286" s="87" t="s">
        <v>807</v>
      </c>
      <c r="C286" s="12" t="s">
        <v>16</v>
      </c>
      <c r="D286" s="93">
        <v>98.25</v>
      </c>
      <c r="E286" s="93">
        <v>22.12</v>
      </c>
      <c r="F286" s="93">
        <v>37.4</v>
      </c>
      <c r="G286" s="93">
        <v>38.729999999999997</v>
      </c>
      <c r="H286" s="93">
        <v>0</v>
      </c>
      <c r="N286" s="88"/>
      <c r="O286" s="88"/>
      <c r="P286" s="88"/>
    </row>
    <row r="287" spans="1:16">
      <c r="A287" s="94">
        <v>5689</v>
      </c>
      <c r="B287" s="87" t="s">
        <v>17</v>
      </c>
      <c r="C287" s="12" t="s">
        <v>16</v>
      </c>
      <c r="D287" s="93">
        <v>3.5</v>
      </c>
      <c r="E287" s="93">
        <v>0</v>
      </c>
      <c r="F287" s="93">
        <v>0</v>
      </c>
      <c r="G287" s="93">
        <v>3.5</v>
      </c>
      <c r="H287" s="93">
        <v>0</v>
      </c>
      <c r="N287" s="88"/>
      <c r="O287" s="88"/>
      <c r="P287" s="88"/>
    </row>
    <row r="288" spans="1:16">
      <c r="A288" s="94">
        <v>5795</v>
      </c>
      <c r="B288" s="87" t="s">
        <v>18</v>
      </c>
      <c r="C288" s="12" t="s">
        <v>16</v>
      </c>
      <c r="D288" s="93">
        <v>21.86</v>
      </c>
      <c r="E288" s="93">
        <v>15.56</v>
      </c>
      <c r="F288" s="93">
        <v>3.69</v>
      </c>
      <c r="G288" s="93">
        <v>2.61</v>
      </c>
      <c r="H288" s="93">
        <v>0</v>
      </c>
      <c r="N288" s="88"/>
      <c r="O288" s="88"/>
      <c r="P288" s="88"/>
    </row>
    <row r="289" spans="1:16">
      <c r="A289" s="94">
        <v>5811</v>
      </c>
      <c r="B289" s="87" t="s">
        <v>808</v>
      </c>
      <c r="C289" s="12" t="s">
        <v>16</v>
      </c>
      <c r="D289" s="93">
        <v>126.62</v>
      </c>
      <c r="E289" s="93">
        <v>22.14</v>
      </c>
      <c r="F289" s="93">
        <v>63.45</v>
      </c>
      <c r="G289" s="93">
        <v>41.03</v>
      </c>
      <c r="H289" s="93">
        <v>0</v>
      </c>
      <c r="N289" s="88"/>
      <c r="O289" s="88"/>
      <c r="P289" s="88"/>
    </row>
    <row r="290" spans="1:16">
      <c r="A290" s="94">
        <v>5823</v>
      </c>
      <c r="B290" s="87" t="s">
        <v>19</v>
      </c>
      <c r="C290" s="12" t="s">
        <v>16</v>
      </c>
      <c r="D290" s="93">
        <v>179.22</v>
      </c>
      <c r="E290" s="93">
        <v>66.11</v>
      </c>
      <c r="F290" s="93">
        <v>21.57</v>
      </c>
      <c r="G290" s="93">
        <v>72.03</v>
      </c>
      <c r="H290" s="93">
        <v>0</v>
      </c>
      <c r="N290" s="88"/>
      <c r="O290" s="88"/>
      <c r="P290" s="88"/>
    </row>
    <row r="291" spans="1:16">
      <c r="A291" s="94">
        <v>5824</v>
      </c>
      <c r="B291" s="87" t="s">
        <v>809</v>
      </c>
      <c r="C291" s="12" t="s">
        <v>16</v>
      </c>
      <c r="D291" s="93">
        <v>121.57</v>
      </c>
      <c r="E291" s="93">
        <v>23.48</v>
      </c>
      <c r="F291" s="93">
        <v>72.41</v>
      </c>
      <c r="G291" s="93">
        <v>25.68</v>
      </c>
      <c r="H291" s="93">
        <v>0</v>
      </c>
      <c r="N291" s="88"/>
      <c r="O291" s="88"/>
      <c r="P291" s="88"/>
    </row>
    <row r="292" spans="1:16">
      <c r="A292" s="94">
        <v>5835</v>
      </c>
      <c r="B292" s="87" t="s">
        <v>810</v>
      </c>
      <c r="C292" s="12" t="s">
        <v>16</v>
      </c>
      <c r="D292" s="93">
        <v>263.17</v>
      </c>
      <c r="E292" s="93">
        <v>27.42</v>
      </c>
      <c r="F292" s="93">
        <v>56.21</v>
      </c>
      <c r="G292" s="93">
        <v>179.54</v>
      </c>
      <c r="H292" s="93">
        <v>0</v>
      </c>
      <c r="N292" s="88"/>
      <c r="O292" s="88"/>
      <c r="P292" s="88"/>
    </row>
    <row r="293" spans="1:16">
      <c r="A293" s="94">
        <v>5839</v>
      </c>
      <c r="B293" s="87" t="s">
        <v>811</v>
      </c>
      <c r="C293" s="12" t="s">
        <v>16</v>
      </c>
      <c r="D293" s="93">
        <v>5.27</v>
      </c>
      <c r="E293" s="93">
        <v>0</v>
      </c>
      <c r="F293" s="93">
        <v>0</v>
      </c>
      <c r="G293" s="93">
        <v>5.27</v>
      </c>
      <c r="H293" s="93">
        <v>0</v>
      </c>
      <c r="N293" s="88"/>
      <c r="O293" s="88"/>
      <c r="P293" s="88"/>
    </row>
    <row r="294" spans="1:16">
      <c r="A294" s="94">
        <v>5843</v>
      </c>
      <c r="B294" s="87" t="s">
        <v>20</v>
      </c>
      <c r="C294" s="12" t="s">
        <v>16</v>
      </c>
      <c r="D294" s="93">
        <v>153.49</v>
      </c>
      <c r="E294" s="93">
        <v>23.23</v>
      </c>
      <c r="F294" s="93">
        <v>105.1</v>
      </c>
      <c r="G294" s="93">
        <v>25.16</v>
      </c>
      <c r="H294" s="93">
        <v>0</v>
      </c>
      <c r="N294" s="88"/>
      <c r="O294" s="88"/>
      <c r="P294" s="88"/>
    </row>
    <row r="295" spans="1:16">
      <c r="A295" s="94">
        <v>5847</v>
      </c>
      <c r="B295" s="87" t="s">
        <v>812</v>
      </c>
      <c r="C295" s="12" t="s">
        <v>16</v>
      </c>
      <c r="D295" s="93">
        <v>165.5</v>
      </c>
      <c r="E295" s="93">
        <v>23.23</v>
      </c>
      <c r="F295" s="93">
        <v>66.38</v>
      </c>
      <c r="G295" s="93">
        <v>75.89</v>
      </c>
      <c r="H295" s="93">
        <v>0</v>
      </c>
      <c r="N295" s="88"/>
      <c r="O295" s="88"/>
      <c r="P295" s="88"/>
    </row>
    <row r="296" spans="1:16">
      <c r="A296" s="94">
        <v>5851</v>
      </c>
      <c r="B296" s="87" t="s">
        <v>21</v>
      </c>
      <c r="C296" s="12" t="s">
        <v>16</v>
      </c>
      <c r="D296" s="93">
        <v>158.58000000000001</v>
      </c>
      <c r="E296" s="93">
        <v>23.23</v>
      </c>
      <c r="F296" s="93">
        <v>59</v>
      </c>
      <c r="G296" s="93">
        <v>76.349999999999994</v>
      </c>
      <c r="H296" s="93">
        <v>0</v>
      </c>
      <c r="N296" s="88"/>
      <c r="O296" s="88"/>
      <c r="P296" s="88"/>
    </row>
    <row r="297" spans="1:16">
      <c r="A297" s="94">
        <v>5855</v>
      </c>
      <c r="B297" s="87" t="s">
        <v>813</v>
      </c>
      <c r="C297" s="12" t="s">
        <v>16</v>
      </c>
      <c r="D297" s="93">
        <v>404.96</v>
      </c>
      <c r="E297" s="93">
        <v>23.23</v>
      </c>
      <c r="F297" s="93">
        <v>131.61000000000001</v>
      </c>
      <c r="G297" s="93">
        <v>250.12</v>
      </c>
      <c r="H297" s="93">
        <v>0</v>
      </c>
      <c r="N297" s="88"/>
      <c r="O297" s="88"/>
      <c r="P297" s="88"/>
    </row>
    <row r="298" spans="1:16">
      <c r="A298" s="94">
        <v>5863</v>
      </c>
      <c r="B298" s="87" t="s">
        <v>814</v>
      </c>
      <c r="C298" s="12" t="s">
        <v>16</v>
      </c>
      <c r="D298" s="93">
        <v>11.68</v>
      </c>
      <c r="E298" s="93">
        <v>0</v>
      </c>
      <c r="F298" s="93">
        <v>0</v>
      </c>
      <c r="G298" s="93">
        <v>11.68</v>
      </c>
      <c r="H298" s="93">
        <v>0</v>
      </c>
      <c r="N298" s="88"/>
      <c r="O298" s="88"/>
      <c r="P298" s="88"/>
    </row>
    <row r="299" spans="1:16">
      <c r="A299" s="94">
        <v>5867</v>
      </c>
      <c r="B299" s="87" t="s">
        <v>815</v>
      </c>
      <c r="C299" s="12" t="s">
        <v>16</v>
      </c>
      <c r="D299" s="93">
        <v>97.79</v>
      </c>
      <c r="E299" s="93">
        <v>22.12</v>
      </c>
      <c r="F299" s="93">
        <v>28.11</v>
      </c>
      <c r="G299" s="93">
        <v>47.56</v>
      </c>
      <c r="H299" s="93">
        <v>0</v>
      </c>
      <c r="N299" s="88"/>
      <c r="O299" s="88"/>
      <c r="P299" s="88"/>
    </row>
    <row r="300" spans="1:16">
      <c r="A300" s="94">
        <v>5875</v>
      </c>
      <c r="B300" s="87" t="s">
        <v>816</v>
      </c>
      <c r="C300" s="12" t="s">
        <v>16</v>
      </c>
      <c r="D300" s="93">
        <v>93.34</v>
      </c>
      <c r="E300" s="93">
        <v>28.69</v>
      </c>
      <c r="F300" s="93">
        <v>30.37</v>
      </c>
      <c r="G300" s="93">
        <v>34.28</v>
      </c>
      <c r="H300" s="93">
        <v>0</v>
      </c>
      <c r="N300" s="88"/>
      <c r="O300" s="88"/>
      <c r="P300" s="88"/>
    </row>
    <row r="301" spans="1:16">
      <c r="A301" s="94">
        <v>5879</v>
      </c>
      <c r="B301" s="87" t="s">
        <v>817</v>
      </c>
      <c r="C301" s="12" t="s">
        <v>16</v>
      </c>
      <c r="D301" s="93">
        <v>85.79</v>
      </c>
      <c r="E301" s="93">
        <v>22.12</v>
      </c>
      <c r="F301" s="93">
        <v>10.75</v>
      </c>
      <c r="G301" s="93">
        <v>52.92</v>
      </c>
      <c r="H301" s="93">
        <v>0</v>
      </c>
      <c r="N301" s="88"/>
      <c r="O301" s="88"/>
      <c r="P301" s="88"/>
    </row>
    <row r="302" spans="1:16">
      <c r="A302" s="94">
        <v>5882</v>
      </c>
      <c r="B302" s="87" t="s">
        <v>818</v>
      </c>
      <c r="C302" s="12" t="s">
        <v>16</v>
      </c>
      <c r="D302" s="93">
        <v>76.27</v>
      </c>
      <c r="E302" s="93">
        <v>10.64</v>
      </c>
      <c r="F302" s="93">
        <v>20.74</v>
      </c>
      <c r="G302" s="93">
        <v>44.89</v>
      </c>
      <c r="H302" s="93">
        <v>0</v>
      </c>
      <c r="N302" s="88"/>
      <c r="O302" s="88"/>
      <c r="P302" s="88"/>
    </row>
    <row r="303" spans="1:16">
      <c r="A303" s="94">
        <v>5890</v>
      </c>
      <c r="B303" s="87" t="s">
        <v>22</v>
      </c>
      <c r="C303" s="12" t="s">
        <v>16</v>
      </c>
      <c r="D303" s="93">
        <v>122.25</v>
      </c>
      <c r="E303" s="93">
        <v>23.48</v>
      </c>
      <c r="F303" s="93">
        <v>70.97</v>
      </c>
      <c r="G303" s="93">
        <v>27.8</v>
      </c>
      <c r="H303" s="93">
        <v>0</v>
      </c>
      <c r="N303" s="88"/>
      <c r="O303" s="88"/>
      <c r="P303" s="88"/>
    </row>
    <row r="304" spans="1:16">
      <c r="A304" s="94">
        <v>5894</v>
      </c>
      <c r="B304" s="87" t="s">
        <v>819</v>
      </c>
      <c r="C304" s="12" t="s">
        <v>16</v>
      </c>
      <c r="D304" s="93">
        <v>119.32</v>
      </c>
      <c r="E304" s="93">
        <v>23.48</v>
      </c>
      <c r="F304" s="93">
        <v>72.41</v>
      </c>
      <c r="G304" s="93">
        <v>23.43</v>
      </c>
      <c r="H304" s="93">
        <v>0</v>
      </c>
      <c r="N304" s="88"/>
      <c r="O304" s="88"/>
      <c r="P304" s="88"/>
    </row>
    <row r="305" spans="1:16">
      <c r="A305" s="94">
        <v>5901</v>
      </c>
      <c r="B305" s="87" t="s">
        <v>820</v>
      </c>
      <c r="C305" s="12" t="s">
        <v>16</v>
      </c>
      <c r="D305" s="93">
        <v>181.78</v>
      </c>
      <c r="E305" s="93">
        <v>23.48</v>
      </c>
      <c r="F305" s="93">
        <v>117.21</v>
      </c>
      <c r="G305" s="93">
        <v>41.09</v>
      </c>
      <c r="H305" s="93">
        <v>0</v>
      </c>
      <c r="N305" s="88"/>
      <c r="O305" s="88"/>
      <c r="P305" s="88"/>
    </row>
    <row r="306" spans="1:16">
      <c r="A306" s="94">
        <v>5909</v>
      </c>
      <c r="B306" s="87" t="s">
        <v>23</v>
      </c>
      <c r="C306" s="12" t="s">
        <v>16</v>
      </c>
      <c r="D306" s="93">
        <v>23.38</v>
      </c>
      <c r="E306" s="93">
        <v>10.64</v>
      </c>
      <c r="F306" s="93">
        <v>7.83</v>
      </c>
      <c r="G306" s="93">
        <v>4.91</v>
      </c>
      <c r="H306" s="93">
        <v>0</v>
      </c>
      <c r="N306" s="88"/>
      <c r="O306" s="88"/>
      <c r="P306" s="88"/>
    </row>
    <row r="307" spans="1:16">
      <c r="A307" s="94">
        <v>5921</v>
      </c>
      <c r="B307" s="87" t="s">
        <v>821</v>
      </c>
      <c r="C307" s="12" t="s">
        <v>16</v>
      </c>
      <c r="D307" s="93">
        <v>2.75</v>
      </c>
      <c r="E307" s="93">
        <v>0</v>
      </c>
      <c r="F307" s="93">
        <v>0</v>
      </c>
      <c r="G307" s="93">
        <v>2.75</v>
      </c>
      <c r="H307" s="93">
        <v>0</v>
      </c>
      <c r="N307" s="88"/>
      <c r="O307" s="88"/>
      <c r="P307" s="88"/>
    </row>
    <row r="308" spans="1:16">
      <c r="A308" s="94">
        <v>5928</v>
      </c>
      <c r="B308" s="87" t="s">
        <v>822</v>
      </c>
      <c r="C308" s="12" t="s">
        <v>16</v>
      </c>
      <c r="D308" s="93">
        <v>153.4</v>
      </c>
      <c r="E308" s="93">
        <v>24.69</v>
      </c>
      <c r="F308" s="93">
        <v>96.98</v>
      </c>
      <c r="G308" s="93">
        <v>31.73</v>
      </c>
      <c r="H308" s="93">
        <v>0</v>
      </c>
      <c r="N308" s="88"/>
      <c r="O308" s="88"/>
      <c r="P308" s="88"/>
    </row>
    <row r="309" spans="1:16">
      <c r="A309" s="94">
        <v>5932</v>
      </c>
      <c r="B309" s="87" t="s">
        <v>24</v>
      </c>
      <c r="C309" s="12" t="s">
        <v>16</v>
      </c>
      <c r="D309" s="93">
        <v>153</v>
      </c>
      <c r="E309" s="93">
        <v>32.6</v>
      </c>
      <c r="F309" s="93">
        <v>53.07</v>
      </c>
      <c r="G309" s="93">
        <v>67.33</v>
      </c>
      <c r="H309" s="93">
        <v>0</v>
      </c>
      <c r="N309" s="88"/>
      <c r="O309" s="88"/>
      <c r="P309" s="88"/>
    </row>
    <row r="310" spans="1:16">
      <c r="A310" s="94">
        <v>5940</v>
      </c>
      <c r="B310" s="87" t="s">
        <v>823</v>
      </c>
      <c r="C310" s="12" t="s">
        <v>16</v>
      </c>
      <c r="D310" s="93">
        <v>125.09</v>
      </c>
      <c r="E310" s="93">
        <v>22.8</v>
      </c>
      <c r="F310" s="93">
        <v>50.88</v>
      </c>
      <c r="G310" s="93">
        <v>51.41</v>
      </c>
      <c r="H310" s="93">
        <v>0</v>
      </c>
      <c r="N310" s="88"/>
      <c r="O310" s="88"/>
      <c r="P310" s="88"/>
    </row>
    <row r="311" spans="1:16">
      <c r="A311" s="94">
        <v>5944</v>
      </c>
      <c r="B311" s="87" t="s">
        <v>824</v>
      </c>
      <c r="C311" s="12" t="s">
        <v>16</v>
      </c>
      <c r="D311" s="93">
        <v>139.30000000000001</v>
      </c>
      <c r="E311" s="93">
        <v>22.8</v>
      </c>
      <c r="F311" s="93">
        <v>45.2</v>
      </c>
      <c r="G311" s="93">
        <v>71.3</v>
      </c>
      <c r="H311" s="93">
        <v>0</v>
      </c>
      <c r="N311" s="88"/>
      <c r="O311" s="88"/>
      <c r="P311" s="88"/>
    </row>
    <row r="312" spans="1:16">
      <c r="A312" s="94">
        <v>5953</v>
      </c>
      <c r="B312" s="87" t="s">
        <v>25</v>
      </c>
      <c r="C312" s="12" t="s">
        <v>16</v>
      </c>
      <c r="D312" s="93">
        <v>34.47</v>
      </c>
      <c r="E312" s="93">
        <v>0</v>
      </c>
      <c r="F312" s="93">
        <v>27.81</v>
      </c>
      <c r="G312" s="93">
        <v>6.66</v>
      </c>
      <c r="H312" s="93">
        <v>0</v>
      </c>
      <c r="N312" s="88"/>
      <c r="O312" s="88"/>
      <c r="P312" s="88"/>
    </row>
    <row r="313" spans="1:16">
      <c r="A313" s="94">
        <v>6259</v>
      </c>
      <c r="B313" s="87" t="s">
        <v>825</v>
      </c>
      <c r="C313" s="12" t="s">
        <v>16</v>
      </c>
      <c r="D313" s="93">
        <v>152.52000000000001</v>
      </c>
      <c r="E313" s="93">
        <v>23.48</v>
      </c>
      <c r="F313" s="93">
        <v>96.98</v>
      </c>
      <c r="G313" s="93">
        <v>32.06</v>
      </c>
      <c r="H313" s="93">
        <v>0</v>
      </c>
      <c r="N313" s="88"/>
      <c r="O313" s="88"/>
      <c r="P313" s="88"/>
    </row>
    <row r="314" spans="1:16">
      <c r="A314" s="94">
        <v>6879</v>
      </c>
      <c r="B314" s="87" t="s">
        <v>826</v>
      </c>
      <c r="C314" s="12" t="s">
        <v>16</v>
      </c>
      <c r="D314" s="93">
        <v>124.35</v>
      </c>
      <c r="E314" s="93">
        <v>22.12</v>
      </c>
      <c r="F314" s="93">
        <v>41.7</v>
      </c>
      <c r="G314" s="93">
        <v>60.53</v>
      </c>
      <c r="H314" s="93">
        <v>0</v>
      </c>
      <c r="N314" s="88"/>
      <c r="O314" s="88"/>
      <c r="P314" s="88"/>
    </row>
    <row r="315" spans="1:16">
      <c r="A315" s="94">
        <v>7030</v>
      </c>
      <c r="B315" s="87" t="s">
        <v>827</v>
      </c>
      <c r="C315" s="12" t="s">
        <v>16</v>
      </c>
      <c r="D315" s="93">
        <v>136.78</v>
      </c>
      <c r="E315" s="93">
        <v>0</v>
      </c>
      <c r="F315" s="93">
        <v>126.07</v>
      </c>
      <c r="G315" s="93">
        <v>10.71</v>
      </c>
      <c r="H315" s="93">
        <v>0</v>
      </c>
      <c r="N315" s="88"/>
      <c r="O315" s="88"/>
      <c r="P315" s="88"/>
    </row>
    <row r="316" spans="1:16">
      <c r="A316" s="94">
        <v>7042</v>
      </c>
      <c r="B316" s="87" t="s">
        <v>828</v>
      </c>
      <c r="C316" s="12" t="s">
        <v>16</v>
      </c>
      <c r="D316" s="93">
        <v>8.35</v>
      </c>
      <c r="E316" s="93">
        <v>0</v>
      </c>
      <c r="F316" s="93">
        <v>7.91</v>
      </c>
      <c r="G316" s="93">
        <v>0.44</v>
      </c>
      <c r="H316" s="93">
        <v>0</v>
      </c>
      <c r="N316" s="88"/>
      <c r="O316" s="88"/>
      <c r="P316" s="88"/>
    </row>
    <row r="317" spans="1:16">
      <c r="A317" s="94">
        <v>7049</v>
      </c>
      <c r="B317" s="87" t="s">
        <v>829</v>
      </c>
      <c r="C317" s="12" t="s">
        <v>16</v>
      </c>
      <c r="D317" s="93">
        <v>132.15</v>
      </c>
      <c r="E317" s="93">
        <v>22.12</v>
      </c>
      <c r="F317" s="93">
        <v>56.35</v>
      </c>
      <c r="G317" s="93">
        <v>53.68</v>
      </c>
      <c r="H317" s="93">
        <v>0</v>
      </c>
      <c r="N317" s="88"/>
      <c r="O317" s="88"/>
      <c r="P317" s="88"/>
    </row>
    <row r="318" spans="1:16">
      <c r="A318" s="94">
        <v>67826</v>
      </c>
      <c r="B318" s="87" t="s">
        <v>830</v>
      </c>
      <c r="C318" s="12" t="s">
        <v>16</v>
      </c>
      <c r="D318" s="93">
        <v>113.11</v>
      </c>
      <c r="E318" s="93">
        <v>22.14</v>
      </c>
      <c r="F318" s="93">
        <v>51.76</v>
      </c>
      <c r="G318" s="93">
        <v>39.21</v>
      </c>
      <c r="H318" s="93">
        <v>0</v>
      </c>
      <c r="N318" s="88"/>
      <c r="O318" s="88"/>
      <c r="P318" s="88"/>
    </row>
    <row r="319" spans="1:16">
      <c r="A319" s="94">
        <v>73417</v>
      </c>
      <c r="B319" s="87" t="s">
        <v>831</v>
      </c>
      <c r="C319" s="12" t="s">
        <v>16</v>
      </c>
      <c r="D319" s="93">
        <v>113.38</v>
      </c>
      <c r="E319" s="93">
        <v>0</v>
      </c>
      <c r="F319" s="93">
        <v>105.08</v>
      </c>
      <c r="G319" s="93">
        <v>8.3000000000000007</v>
      </c>
      <c r="H319" s="93">
        <v>0</v>
      </c>
      <c r="N319" s="88"/>
      <c r="O319" s="88"/>
      <c r="P319" s="88"/>
    </row>
    <row r="320" spans="1:16">
      <c r="A320" s="94">
        <v>73436</v>
      </c>
      <c r="B320" s="87" t="s">
        <v>26</v>
      </c>
      <c r="C320" s="12" t="s">
        <v>16</v>
      </c>
      <c r="D320" s="93">
        <v>151.4</v>
      </c>
      <c r="E320" s="93">
        <v>66.36</v>
      </c>
      <c r="F320" s="93">
        <v>44.78</v>
      </c>
      <c r="G320" s="93">
        <v>40.26</v>
      </c>
      <c r="H320" s="93">
        <v>0</v>
      </c>
      <c r="N320" s="88"/>
      <c r="O320" s="88"/>
      <c r="P320" s="88"/>
    </row>
    <row r="321" spans="1:16">
      <c r="A321" s="94">
        <v>73467</v>
      </c>
      <c r="B321" s="87" t="s">
        <v>832</v>
      </c>
      <c r="C321" s="12" t="s">
        <v>16</v>
      </c>
      <c r="D321" s="93">
        <v>105.65</v>
      </c>
      <c r="E321" s="93">
        <v>23.48</v>
      </c>
      <c r="F321" s="93">
        <v>51.76</v>
      </c>
      <c r="G321" s="93">
        <v>30.41</v>
      </c>
      <c r="H321" s="93">
        <v>0</v>
      </c>
      <c r="N321" s="88"/>
      <c r="O321" s="88"/>
      <c r="P321" s="88"/>
    </row>
    <row r="322" spans="1:16">
      <c r="A322" s="94">
        <v>73536</v>
      </c>
      <c r="B322" s="87" t="s">
        <v>833</v>
      </c>
      <c r="C322" s="12" t="s">
        <v>16</v>
      </c>
      <c r="D322" s="93">
        <v>7.08</v>
      </c>
      <c r="E322" s="93">
        <v>0</v>
      </c>
      <c r="F322" s="93">
        <v>6.73</v>
      </c>
      <c r="G322" s="93">
        <v>0.35</v>
      </c>
      <c r="H322" s="93">
        <v>0</v>
      </c>
      <c r="N322" s="88"/>
      <c r="O322" s="88"/>
      <c r="P322" s="88"/>
    </row>
    <row r="323" spans="1:16">
      <c r="A323" s="94">
        <v>83362</v>
      </c>
      <c r="B323" s="87" t="s">
        <v>834</v>
      </c>
      <c r="C323" s="12" t="s">
        <v>16</v>
      </c>
      <c r="D323" s="93">
        <v>182.2</v>
      </c>
      <c r="E323" s="93">
        <v>23.48</v>
      </c>
      <c r="F323" s="93">
        <v>130.31</v>
      </c>
      <c r="G323" s="93">
        <v>28.41</v>
      </c>
      <c r="H323" s="93">
        <v>0</v>
      </c>
      <c r="N323" s="88"/>
      <c r="O323" s="88"/>
      <c r="P323" s="88"/>
    </row>
    <row r="324" spans="1:16">
      <c r="A324" s="94">
        <v>83765</v>
      </c>
      <c r="B324" s="87" t="s">
        <v>835</v>
      </c>
      <c r="C324" s="12" t="s">
        <v>16</v>
      </c>
      <c r="D324" s="93">
        <v>73.959999999999994</v>
      </c>
      <c r="E324" s="93">
        <v>17</v>
      </c>
      <c r="F324" s="93">
        <v>34.85</v>
      </c>
      <c r="G324" s="93">
        <v>22.11</v>
      </c>
      <c r="H324" s="93">
        <v>0</v>
      </c>
      <c r="N324" s="88"/>
      <c r="O324" s="88"/>
      <c r="P324" s="88"/>
    </row>
    <row r="325" spans="1:16">
      <c r="A325" s="94">
        <v>87445</v>
      </c>
      <c r="B325" s="87" t="s">
        <v>27</v>
      </c>
      <c r="C325" s="12" t="s">
        <v>16</v>
      </c>
      <c r="D325" s="93">
        <v>3.15</v>
      </c>
      <c r="E325" s="93">
        <v>0</v>
      </c>
      <c r="F325" s="93">
        <v>2.5</v>
      </c>
      <c r="G325" s="93">
        <v>0.65</v>
      </c>
      <c r="H325" s="93">
        <v>0</v>
      </c>
      <c r="N325" s="88"/>
      <c r="O325" s="88"/>
      <c r="P325" s="88"/>
    </row>
    <row r="326" spans="1:16">
      <c r="A326" s="94">
        <v>88386</v>
      </c>
      <c r="B326" s="87" t="s">
        <v>836</v>
      </c>
      <c r="C326" s="12" t="s">
        <v>16</v>
      </c>
      <c r="D326" s="93">
        <v>4.05</v>
      </c>
      <c r="E326" s="93">
        <v>0</v>
      </c>
      <c r="F326" s="93">
        <v>0</v>
      </c>
      <c r="G326" s="93">
        <v>1.49</v>
      </c>
      <c r="H326" s="93">
        <v>0</v>
      </c>
      <c r="N326" s="88"/>
      <c r="O326" s="88"/>
      <c r="P326" s="88"/>
    </row>
    <row r="327" spans="1:16">
      <c r="A327" s="94">
        <v>88393</v>
      </c>
      <c r="B327" s="87" t="s">
        <v>837</v>
      </c>
      <c r="C327" s="12" t="s">
        <v>16</v>
      </c>
      <c r="D327" s="93">
        <v>5.61</v>
      </c>
      <c r="E327" s="93">
        <v>0</v>
      </c>
      <c r="F327" s="93">
        <v>0</v>
      </c>
      <c r="G327" s="93">
        <v>1.77</v>
      </c>
      <c r="H327" s="93">
        <v>0</v>
      </c>
      <c r="N327" s="88"/>
      <c r="O327" s="88"/>
      <c r="P327" s="88"/>
    </row>
    <row r="328" spans="1:16">
      <c r="A328" s="94">
        <v>88399</v>
      </c>
      <c r="B328" s="87" t="s">
        <v>838</v>
      </c>
      <c r="C328" s="12" t="s">
        <v>16</v>
      </c>
      <c r="D328" s="93">
        <v>2.96</v>
      </c>
      <c r="E328" s="93">
        <v>0</v>
      </c>
      <c r="F328" s="93">
        <v>0</v>
      </c>
      <c r="G328" s="93">
        <v>1.42</v>
      </c>
      <c r="H328" s="93">
        <v>0</v>
      </c>
      <c r="N328" s="88"/>
      <c r="O328" s="88"/>
      <c r="P328" s="88"/>
    </row>
    <row r="329" spans="1:16">
      <c r="A329" s="94">
        <v>88418</v>
      </c>
      <c r="B329" s="87" t="s">
        <v>28</v>
      </c>
      <c r="C329" s="12" t="s">
        <v>16</v>
      </c>
      <c r="D329" s="93">
        <v>12.55</v>
      </c>
      <c r="E329" s="93">
        <v>0</v>
      </c>
      <c r="F329" s="93">
        <v>0</v>
      </c>
      <c r="G329" s="93">
        <v>8.65</v>
      </c>
      <c r="H329" s="93">
        <v>0</v>
      </c>
      <c r="N329" s="88"/>
      <c r="O329" s="88"/>
      <c r="P329" s="88"/>
    </row>
    <row r="330" spans="1:16">
      <c r="A330" s="94">
        <v>88433</v>
      </c>
      <c r="B330" s="87" t="s">
        <v>839</v>
      </c>
      <c r="C330" s="12" t="s">
        <v>16</v>
      </c>
      <c r="D330" s="93">
        <v>15.36</v>
      </c>
      <c r="E330" s="93">
        <v>0</v>
      </c>
      <c r="F330" s="93">
        <v>0</v>
      </c>
      <c r="G330" s="93">
        <v>11.46</v>
      </c>
      <c r="H330" s="93">
        <v>0</v>
      </c>
      <c r="N330" s="88"/>
      <c r="O330" s="88"/>
      <c r="P330" s="88"/>
    </row>
    <row r="331" spans="1:16">
      <c r="A331" s="94">
        <v>88830</v>
      </c>
      <c r="B331" s="87" t="s">
        <v>840</v>
      </c>
      <c r="C331" s="12" t="s">
        <v>16</v>
      </c>
      <c r="D331" s="93">
        <v>1.5</v>
      </c>
      <c r="E331" s="93">
        <v>0</v>
      </c>
      <c r="F331" s="93">
        <v>0</v>
      </c>
      <c r="G331" s="93">
        <v>0.48</v>
      </c>
      <c r="H331" s="93">
        <v>0</v>
      </c>
      <c r="N331" s="88"/>
      <c r="O331" s="88"/>
      <c r="P331" s="88"/>
    </row>
    <row r="332" spans="1:16">
      <c r="A332" s="94">
        <v>88843</v>
      </c>
      <c r="B332" s="87" t="s">
        <v>841</v>
      </c>
      <c r="C332" s="12" t="s">
        <v>16</v>
      </c>
      <c r="D332" s="93">
        <v>134.66</v>
      </c>
      <c r="E332" s="93">
        <v>23.23</v>
      </c>
      <c r="F332" s="93">
        <v>111.43</v>
      </c>
      <c r="G332" s="93">
        <v>0</v>
      </c>
      <c r="H332" s="93">
        <v>0</v>
      </c>
      <c r="N332" s="88"/>
      <c r="O332" s="88"/>
      <c r="P332" s="88"/>
    </row>
    <row r="333" spans="1:16">
      <c r="A333" s="94">
        <v>88907</v>
      </c>
      <c r="B333" s="87" t="s">
        <v>842</v>
      </c>
      <c r="C333" s="12" t="s">
        <v>16</v>
      </c>
      <c r="D333" s="93">
        <v>155.28</v>
      </c>
      <c r="E333" s="93">
        <v>28.69</v>
      </c>
      <c r="F333" s="93">
        <v>56.74</v>
      </c>
      <c r="G333" s="93">
        <v>69.849999999999994</v>
      </c>
      <c r="H333" s="93">
        <v>0</v>
      </c>
      <c r="N333" s="88"/>
      <c r="O333" s="88"/>
      <c r="P333" s="88"/>
    </row>
    <row r="334" spans="1:16">
      <c r="A334" s="94">
        <v>89021</v>
      </c>
      <c r="B334" s="87" t="s">
        <v>843</v>
      </c>
      <c r="C334" s="12" t="s">
        <v>16</v>
      </c>
      <c r="D334" s="93">
        <v>2.19</v>
      </c>
      <c r="E334" s="93">
        <v>0</v>
      </c>
      <c r="F334" s="93">
        <v>0</v>
      </c>
      <c r="G334" s="93">
        <v>0.62</v>
      </c>
      <c r="H334" s="93">
        <v>0</v>
      </c>
      <c r="N334" s="88"/>
      <c r="O334" s="88"/>
      <c r="P334" s="88"/>
    </row>
    <row r="335" spans="1:16">
      <c r="A335" s="94">
        <v>89028</v>
      </c>
      <c r="B335" s="87" t="s">
        <v>29</v>
      </c>
      <c r="C335" s="12" t="s">
        <v>16</v>
      </c>
      <c r="D335" s="93">
        <v>126.17</v>
      </c>
      <c r="E335" s="93">
        <v>0</v>
      </c>
      <c r="F335" s="93">
        <v>117.47</v>
      </c>
      <c r="G335" s="93">
        <v>8.6999999999999993</v>
      </c>
      <c r="H335" s="93">
        <v>0</v>
      </c>
      <c r="N335" s="88"/>
      <c r="O335" s="88"/>
      <c r="P335" s="88"/>
    </row>
    <row r="336" spans="1:16">
      <c r="A336" s="94">
        <v>89032</v>
      </c>
      <c r="B336" s="87" t="s">
        <v>844</v>
      </c>
      <c r="C336" s="12" t="s">
        <v>16</v>
      </c>
      <c r="D336" s="93">
        <v>122.67</v>
      </c>
      <c r="E336" s="93">
        <v>23.23</v>
      </c>
      <c r="F336" s="93">
        <v>40.54</v>
      </c>
      <c r="G336" s="93">
        <v>58.9</v>
      </c>
      <c r="H336" s="93">
        <v>0</v>
      </c>
      <c r="N336" s="88"/>
      <c r="O336" s="88"/>
      <c r="P336" s="88"/>
    </row>
    <row r="337" spans="1:16">
      <c r="A337" s="94">
        <v>89035</v>
      </c>
      <c r="B337" s="87" t="s">
        <v>30</v>
      </c>
      <c r="C337" s="12" t="s">
        <v>16</v>
      </c>
      <c r="D337" s="93">
        <v>116.02</v>
      </c>
      <c r="E337" s="93">
        <v>23.23</v>
      </c>
      <c r="F337" s="93">
        <v>74.36</v>
      </c>
      <c r="G337" s="93">
        <v>18.43</v>
      </c>
      <c r="H337" s="93">
        <v>0</v>
      </c>
      <c r="N337" s="88"/>
      <c r="O337" s="88"/>
      <c r="P337" s="88"/>
    </row>
    <row r="338" spans="1:16">
      <c r="A338" s="94">
        <v>89225</v>
      </c>
      <c r="B338" s="87" t="s">
        <v>845</v>
      </c>
      <c r="C338" s="12" t="s">
        <v>16</v>
      </c>
      <c r="D338" s="93">
        <v>4.04</v>
      </c>
      <c r="E338" s="93">
        <v>0</v>
      </c>
      <c r="F338" s="93">
        <v>0</v>
      </c>
      <c r="G338" s="93">
        <v>1.99</v>
      </c>
      <c r="H338" s="93">
        <v>0</v>
      </c>
      <c r="N338" s="88"/>
      <c r="O338" s="88"/>
      <c r="P338" s="88"/>
    </row>
    <row r="339" spans="1:16">
      <c r="A339" s="94">
        <v>89234</v>
      </c>
      <c r="B339" s="87" t="s">
        <v>846</v>
      </c>
      <c r="C339" s="12" t="s">
        <v>16</v>
      </c>
      <c r="D339" s="93">
        <v>394.03</v>
      </c>
      <c r="E339" s="93">
        <v>27.42</v>
      </c>
      <c r="F339" s="93">
        <v>102.28</v>
      </c>
      <c r="G339" s="93">
        <v>264.33</v>
      </c>
      <c r="H339" s="93">
        <v>0</v>
      </c>
      <c r="N339" s="88"/>
      <c r="O339" s="88"/>
      <c r="P339" s="88"/>
    </row>
    <row r="340" spans="1:16">
      <c r="A340" s="94">
        <v>89242</v>
      </c>
      <c r="B340" s="87" t="s">
        <v>847</v>
      </c>
      <c r="C340" s="12" t="s">
        <v>16</v>
      </c>
      <c r="D340" s="93">
        <v>909.33</v>
      </c>
      <c r="E340" s="93">
        <v>27.42</v>
      </c>
      <c r="F340" s="93">
        <v>264.41000000000003</v>
      </c>
      <c r="G340" s="93">
        <v>617.5</v>
      </c>
      <c r="H340" s="93">
        <v>0</v>
      </c>
      <c r="N340" s="88"/>
      <c r="O340" s="88"/>
      <c r="P340" s="88"/>
    </row>
    <row r="341" spans="1:16">
      <c r="A341" s="94">
        <v>89250</v>
      </c>
      <c r="B341" s="87" t="s">
        <v>31</v>
      </c>
      <c r="C341" s="12" t="s">
        <v>16</v>
      </c>
      <c r="D341" s="93">
        <v>789.91</v>
      </c>
      <c r="E341" s="93">
        <v>27.42</v>
      </c>
      <c r="F341" s="93">
        <v>225.93</v>
      </c>
      <c r="G341" s="93">
        <v>536.55999999999995</v>
      </c>
      <c r="H341" s="93">
        <v>0</v>
      </c>
      <c r="N341" s="88"/>
      <c r="O341" s="88"/>
      <c r="P341" s="88"/>
    </row>
    <row r="342" spans="1:16">
      <c r="A342" s="94">
        <v>89257</v>
      </c>
      <c r="B342" s="87" t="s">
        <v>848</v>
      </c>
      <c r="C342" s="12" t="s">
        <v>16</v>
      </c>
      <c r="D342" s="93">
        <v>228.26</v>
      </c>
      <c r="E342" s="93">
        <v>27.42</v>
      </c>
      <c r="F342" s="93">
        <v>53.71</v>
      </c>
      <c r="G342" s="93">
        <v>147.13</v>
      </c>
      <c r="H342" s="93">
        <v>0</v>
      </c>
      <c r="N342" s="88"/>
      <c r="O342" s="88"/>
      <c r="P342" s="88"/>
    </row>
    <row r="343" spans="1:16">
      <c r="A343" s="94">
        <v>89272</v>
      </c>
      <c r="B343" s="87" t="s">
        <v>849</v>
      </c>
      <c r="C343" s="12" t="s">
        <v>16</v>
      </c>
      <c r="D343" s="93">
        <v>122.99</v>
      </c>
      <c r="E343" s="93">
        <v>23.31</v>
      </c>
      <c r="F343" s="93">
        <v>20.81</v>
      </c>
      <c r="G343" s="93">
        <v>78.87</v>
      </c>
      <c r="H343" s="93">
        <v>0</v>
      </c>
      <c r="N343" s="88"/>
      <c r="O343" s="88"/>
      <c r="P343" s="88"/>
    </row>
    <row r="344" spans="1:16">
      <c r="A344" s="94">
        <v>89278</v>
      </c>
      <c r="B344" s="87" t="s">
        <v>850</v>
      </c>
      <c r="C344" s="12" t="s">
        <v>16</v>
      </c>
      <c r="D344" s="93">
        <v>7.44</v>
      </c>
      <c r="E344" s="93">
        <v>0</v>
      </c>
      <c r="F344" s="93">
        <v>5.01</v>
      </c>
      <c r="G344" s="93">
        <v>2.4300000000000002</v>
      </c>
      <c r="H344" s="93">
        <v>0</v>
      </c>
      <c r="N344" s="88"/>
      <c r="O344" s="88"/>
      <c r="P344" s="88"/>
    </row>
    <row r="345" spans="1:16">
      <c r="A345" s="94">
        <v>89843</v>
      </c>
      <c r="B345" s="87" t="s">
        <v>32</v>
      </c>
      <c r="C345" s="12" t="s">
        <v>16</v>
      </c>
      <c r="D345" s="93">
        <v>147.6</v>
      </c>
      <c r="E345" s="93">
        <v>52.2</v>
      </c>
      <c r="F345" s="93">
        <v>62.16</v>
      </c>
      <c r="G345" s="93">
        <v>33.24</v>
      </c>
      <c r="H345" s="93">
        <v>0</v>
      </c>
      <c r="N345" s="88"/>
      <c r="O345" s="88"/>
      <c r="P345" s="88"/>
    </row>
    <row r="346" spans="1:16">
      <c r="A346" s="94">
        <v>89876</v>
      </c>
      <c r="B346" s="87" t="s">
        <v>33</v>
      </c>
      <c r="C346" s="12" t="s">
        <v>16</v>
      </c>
      <c r="D346" s="93">
        <v>199.13</v>
      </c>
      <c r="E346" s="93">
        <v>22.14</v>
      </c>
      <c r="F346" s="93">
        <v>107.71</v>
      </c>
      <c r="G346" s="93">
        <v>69.28</v>
      </c>
      <c r="H346" s="93">
        <v>0</v>
      </c>
      <c r="N346" s="88"/>
      <c r="O346" s="88"/>
      <c r="P346" s="88"/>
    </row>
    <row r="347" spans="1:16">
      <c r="A347" s="94">
        <v>89883</v>
      </c>
      <c r="B347" s="87" t="s">
        <v>34</v>
      </c>
      <c r="C347" s="12" t="s">
        <v>16</v>
      </c>
      <c r="D347" s="93">
        <v>219.15</v>
      </c>
      <c r="E347" s="93">
        <v>22.14</v>
      </c>
      <c r="F347" s="93">
        <v>123.71</v>
      </c>
      <c r="G347" s="93">
        <v>73.3</v>
      </c>
      <c r="H347" s="93">
        <v>0</v>
      </c>
      <c r="N347" s="88"/>
      <c r="O347" s="88"/>
      <c r="P347" s="88"/>
    </row>
    <row r="348" spans="1:16">
      <c r="A348" s="94">
        <v>90586</v>
      </c>
      <c r="B348" s="87" t="s">
        <v>851</v>
      </c>
      <c r="C348" s="12" t="s">
        <v>16</v>
      </c>
      <c r="D348" s="93">
        <v>1.7</v>
      </c>
      <c r="E348" s="93">
        <v>0</v>
      </c>
      <c r="F348" s="93">
        <v>0</v>
      </c>
      <c r="G348" s="93">
        <v>0.68</v>
      </c>
      <c r="H348" s="93">
        <v>0</v>
      </c>
      <c r="N348" s="88"/>
      <c r="O348" s="88"/>
      <c r="P348" s="88"/>
    </row>
    <row r="349" spans="1:16">
      <c r="A349" s="94">
        <v>90625</v>
      </c>
      <c r="B349" s="87" t="s">
        <v>35</v>
      </c>
      <c r="C349" s="12" t="s">
        <v>16</v>
      </c>
      <c r="D349" s="93">
        <v>6.04</v>
      </c>
      <c r="E349" s="93">
        <v>0</v>
      </c>
      <c r="F349" s="93">
        <v>0</v>
      </c>
      <c r="G349" s="93">
        <v>3.48</v>
      </c>
      <c r="H349" s="93">
        <v>0</v>
      </c>
      <c r="N349" s="88"/>
      <c r="O349" s="88"/>
      <c r="P349" s="88"/>
    </row>
    <row r="350" spans="1:16">
      <c r="A350" s="94">
        <v>90631</v>
      </c>
      <c r="B350" s="87" t="s">
        <v>36</v>
      </c>
      <c r="C350" s="12" t="s">
        <v>16</v>
      </c>
      <c r="D350" s="93">
        <v>100.39</v>
      </c>
      <c r="E350" s="93">
        <v>22.18</v>
      </c>
      <c r="F350" s="93">
        <v>3.69</v>
      </c>
      <c r="G350" s="93">
        <v>64.13</v>
      </c>
      <c r="H350" s="93">
        <v>0</v>
      </c>
      <c r="N350" s="88"/>
      <c r="O350" s="88"/>
      <c r="P350" s="88"/>
    </row>
    <row r="351" spans="1:16">
      <c r="A351" s="94">
        <v>90637</v>
      </c>
      <c r="B351" s="87" t="s">
        <v>37</v>
      </c>
      <c r="C351" s="12" t="s">
        <v>16</v>
      </c>
      <c r="D351" s="93">
        <v>11.78</v>
      </c>
      <c r="E351" s="93">
        <v>0</v>
      </c>
      <c r="F351" s="93">
        <v>0</v>
      </c>
      <c r="G351" s="93">
        <v>6.65</v>
      </c>
      <c r="H351" s="93">
        <v>0</v>
      </c>
      <c r="N351" s="88"/>
      <c r="O351" s="88"/>
      <c r="P351" s="88"/>
    </row>
    <row r="352" spans="1:16">
      <c r="A352" s="94">
        <v>90643</v>
      </c>
      <c r="B352" s="87" t="s">
        <v>852</v>
      </c>
      <c r="C352" s="12" t="s">
        <v>16</v>
      </c>
      <c r="D352" s="93">
        <v>15.36</v>
      </c>
      <c r="E352" s="93">
        <v>0</v>
      </c>
      <c r="F352" s="93">
        <v>5.43</v>
      </c>
      <c r="G352" s="93">
        <v>9.93</v>
      </c>
      <c r="H352" s="93">
        <v>0</v>
      </c>
      <c r="N352" s="88"/>
      <c r="O352" s="88"/>
      <c r="P352" s="88"/>
    </row>
    <row r="353" spans="1:16">
      <c r="A353" s="94">
        <v>90650</v>
      </c>
      <c r="B353" s="87" t="s">
        <v>853</v>
      </c>
      <c r="C353" s="12" t="s">
        <v>16</v>
      </c>
      <c r="D353" s="93">
        <v>9.26</v>
      </c>
      <c r="E353" s="93">
        <v>0</v>
      </c>
      <c r="F353" s="93">
        <v>0</v>
      </c>
      <c r="G353" s="93">
        <v>1.28</v>
      </c>
      <c r="H353" s="93">
        <v>0</v>
      </c>
      <c r="N353" s="88"/>
      <c r="O353" s="88"/>
      <c r="P353" s="88"/>
    </row>
    <row r="354" spans="1:16">
      <c r="A354" s="94">
        <v>90656</v>
      </c>
      <c r="B354" s="87" t="s">
        <v>38</v>
      </c>
      <c r="C354" s="12" t="s">
        <v>16</v>
      </c>
      <c r="D354" s="93">
        <v>11.7</v>
      </c>
      <c r="E354" s="93">
        <v>0</v>
      </c>
      <c r="F354" s="93">
        <v>0</v>
      </c>
      <c r="G354" s="93">
        <v>6.45</v>
      </c>
      <c r="H354" s="93">
        <v>0</v>
      </c>
      <c r="N354" s="88"/>
      <c r="O354" s="88"/>
      <c r="P354" s="88"/>
    </row>
    <row r="355" spans="1:16">
      <c r="A355" s="94">
        <v>90662</v>
      </c>
      <c r="B355" s="87" t="s">
        <v>39</v>
      </c>
      <c r="C355" s="12" t="s">
        <v>16</v>
      </c>
      <c r="D355" s="93">
        <v>12.17</v>
      </c>
      <c r="E355" s="93">
        <v>0</v>
      </c>
      <c r="F355" s="93">
        <v>0</v>
      </c>
      <c r="G355" s="93">
        <v>6.92</v>
      </c>
      <c r="H355" s="93">
        <v>0</v>
      </c>
      <c r="N355" s="88"/>
      <c r="O355" s="88"/>
      <c r="P355" s="88"/>
    </row>
    <row r="356" spans="1:16">
      <c r="A356" s="94">
        <v>90668</v>
      </c>
      <c r="B356" s="87" t="s">
        <v>854</v>
      </c>
      <c r="C356" s="12" t="s">
        <v>16</v>
      </c>
      <c r="D356" s="93">
        <v>18.77</v>
      </c>
      <c r="E356" s="93">
        <v>0</v>
      </c>
      <c r="F356" s="93">
        <v>8.82</v>
      </c>
      <c r="G356" s="93">
        <v>9.9499999999999993</v>
      </c>
      <c r="H356" s="93">
        <v>0</v>
      </c>
      <c r="N356" s="88"/>
      <c r="O356" s="88"/>
      <c r="P356" s="88"/>
    </row>
    <row r="357" spans="1:16">
      <c r="A357" s="94">
        <v>90674</v>
      </c>
      <c r="B357" s="87" t="s">
        <v>855</v>
      </c>
      <c r="C357" s="12" t="s">
        <v>16</v>
      </c>
      <c r="D357" s="93">
        <v>390.32</v>
      </c>
      <c r="E357" s="93">
        <v>22.18</v>
      </c>
      <c r="F357" s="93">
        <v>74.290000000000006</v>
      </c>
      <c r="G357" s="93">
        <v>293.85000000000002</v>
      </c>
      <c r="H357" s="93">
        <v>0</v>
      </c>
      <c r="N357" s="88"/>
      <c r="O357" s="88"/>
      <c r="P357" s="88"/>
    </row>
    <row r="358" spans="1:16">
      <c r="A358" s="94">
        <v>90680</v>
      </c>
      <c r="B358" s="87" t="s">
        <v>856</v>
      </c>
      <c r="C358" s="12" t="s">
        <v>16</v>
      </c>
      <c r="D358" s="93">
        <v>235.24</v>
      </c>
      <c r="E358" s="93">
        <v>22.18</v>
      </c>
      <c r="F358" s="93">
        <v>57.8</v>
      </c>
      <c r="G358" s="93">
        <v>155.26</v>
      </c>
      <c r="H358" s="93">
        <v>0</v>
      </c>
      <c r="N358" s="88"/>
      <c r="O358" s="88"/>
      <c r="P358" s="88"/>
    </row>
    <row r="359" spans="1:16">
      <c r="A359" s="94">
        <v>90686</v>
      </c>
      <c r="B359" s="87" t="s">
        <v>857</v>
      </c>
      <c r="C359" s="12" t="s">
        <v>16</v>
      </c>
      <c r="D359" s="93">
        <v>112.76</v>
      </c>
      <c r="E359" s="93">
        <v>22.8</v>
      </c>
      <c r="F359" s="93">
        <v>37.26</v>
      </c>
      <c r="G359" s="93">
        <v>52.7</v>
      </c>
      <c r="H359" s="93">
        <v>0</v>
      </c>
      <c r="N359" s="88"/>
      <c r="O359" s="88"/>
      <c r="P359" s="88"/>
    </row>
    <row r="360" spans="1:16">
      <c r="A360" s="94">
        <v>90692</v>
      </c>
      <c r="B360" s="87" t="s">
        <v>858</v>
      </c>
      <c r="C360" s="12" t="s">
        <v>16</v>
      </c>
      <c r="D360" s="93">
        <v>89.53</v>
      </c>
      <c r="E360" s="93">
        <v>22.8</v>
      </c>
      <c r="F360" s="93">
        <v>34.61</v>
      </c>
      <c r="G360" s="93">
        <v>32.119999999999997</v>
      </c>
      <c r="H360" s="93">
        <v>0</v>
      </c>
      <c r="N360" s="88"/>
      <c r="O360" s="88"/>
      <c r="P360" s="88"/>
    </row>
    <row r="361" spans="1:16">
      <c r="A361" s="94">
        <v>90964</v>
      </c>
      <c r="B361" s="87" t="s">
        <v>40</v>
      </c>
      <c r="C361" s="12" t="s">
        <v>16</v>
      </c>
      <c r="D361" s="93">
        <v>17.72</v>
      </c>
      <c r="E361" s="93">
        <v>0</v>
      </c>
      <c r="F361" s="93">
        <v>8.82</v>
      </c>
      <c r="G361" s="93">
        <v>8.9</v>
      </c>
      <c r="H361" s="93">
        <v>0</v>
      </c>
      <c r="N361" s="88"/>
      <c r="O361" s="88"/>
      <c r="P361" s="88"/>
    </row>
    <row r="362" spans="1:16">
      <c r="A362" s="94">
        <v>90972</v>
      </c>
      <c r="B362" s="87" t="s">
        <v>859</v>
      </c>
      <c r="C362" s="12" t="s">
        <v>16</v>
      </c>
      <c r="D362" s="93">
        <v>44.68</v>
      </c>
      <c r="E362" s="93">
        <v>0</v>
      </c>
      <c r="F362" s="93">
        <v>35.75</v>
      </c>
      <c r="G362" s="93">
        <v>8.93</v>
      </c>
      <c r="H362" s="93">
        <v>0</v>
      </c>
      <c r="N362" s="88"/>
      <c r="O362" s="88"/>
      <c r="P362" s="88"/>
    </row>
    <row r="363" spans="1:16">
      <c r="A363" s="94">
        <v>90979</v>
      </c>
      <c r="B363" s="87" t="s">
        <v>41</v>
      </c>
      <c r="C363" s="12" t="s">
        <v>16</v>
      </c>
      <c r="D363" s="93">
        <v>115.44</v>
      </c>
      <c r="E363" s="93">
        <v>0</v>
      </c>
      <c r="F363" s="93">
        <v>92.76</v>
      </c>
      <c r="G363" s="93">
        <v>22.68</v>
      </c>
      <c r="H363" s="93">
        <v>0</v>
      </c>
      <c r="N363" s="88"/>
      <c r="O363" s="88"/>
      <c r="P363" s="88"/>
    </row>
    <row r="364" spans="1:16">
      <c r="A364" s="94">
        <v>90991</v>
      </c>
      <c r="B364" s="87" t="s">
        <v>860</v>
      </c>
      <c r="C364" s="12" t="s">
        <v>16</v>
      </c>
      <c r="D364" s="93">
        <v>129.94</v>
      </c>
      <c r="E364" s="93">
        <v>28.69</v>
      </c>
      <c r="F364" s="93">
        <v>41.35</v>
      </c>
      <c r="G364" s="93">
        <v>59.9</v>
      </c>
      <c r="H364" s="93">
        <v>0</v>
      </c>
      <c r="N364" s="88"/>
      <c r="O364" s="88"/>
      <c r="P364" s="88"/>
    </row>
    <row r="365" spans="1:16">
      <c r="A365" s="94">
        <v>90999</v>
      </c>
      <c r="B365" s="87" t="s">
        <v>861</v>
      </c>
      <c r="C365" s="12" t="s">
        <v>16</v>
      </c>
      <c r="D365" s="93">
        <v>59.16</v>
      </c>
      <c r="E365" s="93">
        <v>0</v>
      </c>
      <c r="F365" s="93">
        <v>48.57</v>
      </c>
      <c r="G365" s="93">
        <v>10.59</v>
      </c>
      <c r="H365" s="93">
        <v>0</v>
      </c>
      <c r="N365" s="88"/>
      <c r="O365" s="88"/>
      <c r="P365" s="88"/>
    </row>
    <row r="366" spans="1:16">
      <c r="A366" s="94">
        <v>91031</v>
      </c>
      <c r="B366" s="87" t="s">
        <v>42</v>
      </c>
      <c r="C366" s="12" t="s">
        <v>16</v>
      </c>
      <c r="D366" s="93">
        <v>147.33000000000001</v>
      </c>
      <c r="E366" s="93">
        <v>23.48</v>
      </c>
      <c r="F366" s="93">
        <v>87.7</v>
      </c>
      <c r="G366" s="93">
        <v>36.15</v>
      </c>
      <c r="H366" s="93">
        <v>0</v>
      </c>
      <c r="N366" s="88"/>
      <c r="O366" s="88"/>
      <c r="P366" s="88"/>
    </row>
    <row r="367" spans="1:16">
      <c r="A367" s="94">
        <v>91277</v>
      </c>
      <c r="B367" s="87" t="s">
        <v>862</v>
      </c>
      <c r="C367" s="12" t="s">
        <v>16</v>
      </c>
      <c r="D367" s="93">
        <v>7.87</v>
      </c>
      <c r="E367" s="93">
        <v>0</v>
      </c>
      <c r="F367" s="93">
        <v>6.73</v>
      </c>
      <c r="G367" s="93">
        <v>1.1399999999999999</v>
      </c>
      <c r="H367" s="93">
        <v>0</v>
      </c>
      <c r="N367" s="88"/>
      <c r="O367" s="88"/>
      <c r="P367" s="88"/>
    </row>
    <row r="368" spans="1:16">
      <c r="A368" s="94">
        <v>91283</v>
      </c>
      <c r="B368" s="87" t="s">
        <v>863</v>
      </c>
      <c r="C368" s="12" t="s">
        <v>16</v>
      </c>
      <c r="D368" s="93">
        <v>17.68</v>
      </c>
      <c r="E368" s="93">
        <v>0</v>
      </c>
      <c r="F368" s="93">
        <v>16.09</v>
      </c>
      <c r="G368" s="93">
        <v>1.59</v>
      </c>
      <c r="H368" s="93">
        <v>0</v>
      </c>
      <c r="N368" s="88"/>
      <c r="O368" s="88"/>
      <c r="P368" s="88"/>
    </row>
    <row r="369" spans="1:16">
      <c r="A369" s="94">
        <v>91386</v>
      </c>
      <c r="B369" s="87" t="s">
        <v>864</v>
      </c>
      <c r="C369" s="12" t="s">
        <v>16</v>
      </c>
      <c r="D369" s="93">
        <v>156</v>
      </c>
      <c r="E369" s="93">
        <v>22.14</v>
      </c>
      <c r="F369" s="93">
        <v>87.35</v>
      </c>
      <c r="G369" s="93">
        <v>46.51</v>
      </c>
      <c r="H369" s="93">
        <v>0</v>
      </c>
      <c r="N369" s="88"/>
      <c r="O369" s="88"/>
      <c r="P369" s="88"/>
    </row>
    <row r="370" spans="1:16">
      <c r="A370" s="94">
        <v>91533</v>
      </c>
      <c r="B370" s="87" t="s">
        <v>865</v>
      </c>
      <c r="C370" s="12" t="s">
        <v>16</v>
      </c>
      <c r="D370" s="93">
        <v>32.450000000000003</v>
      </c>
      <c r="E370" s="93">
        <v>22.18</v>
      </c>
      <c r="F370" s="93">
        <v>8.57</v>
      </c>
      <c r="G370" s="93">
        <v>1.7</v>
      </c>
      <c r="H370" s="93">
        <v>0</v>
      </c>
      <c r="N370" s="88"/>
      <c r="O370" s="88"/>
      <c r="P370" s="88"/>
    </row>
    <row r="371" spans="1:16">
      <c r="A371" s="94">
        <v>91634</v>
      </c>
      <c r="B371" s="87" t="s">
        <v>866</v>
      </c>
      <c r="C371" s="12" t="s">
        <v>16</v>
      </c>
      <c r="D371" s="93">
        <v>136.66999999999999</v>
      </c>
      <c r="E371" s="93">
        <v>24.69</v>
      </c>
      <c r="F371" s="93">
        <v>82.65</v>
      </c>
      <c r="G371" s="93">
        <v>29.33</v>
      </c>
      <c r="H371" s="93">
        <v>0</v>
      </c>
      <c r="N371" s="88"/>
      <c r="O371" s="88"/>
      <c r="P371" s="88"/>
    </row>
    <row r="372" spans="1:16">
      <c r="A372" s="94">
        <v>91645</v>
      </c>
      <c r="B372" s="87" t="s">
        <v>867</v>
      </c>
      <c r="C372" s="12" t="s">
        <v>16</v>
      </c>
      <c r="D372" s="93">
        <v>285.08</v>
      </c>
      <c r="E372" s="93">
        <v>31.37</v>
      </c>
      <c r="F372" s="93">
        <v>181.39</v>
      </c>
      <c r="G372" s="93">
        <v>72.319999999999993</v>
      </c>
      <c r="H372" s="93">
        <v>0</v>
      </c>
      <c r="N372" s="88"/>
      <c r="O372" s="88"/>
      <c r="P372" s="88"/>
    </row>
    <row r="373" spans="1:16">
      <c r="A373" s="94">
        <v>91692</v>
      </c>
      <c r="B373" s="87" t="s">
        <v>868</v>
      </c>
      <c r="C373" s="12" t="s">
        <v>16</v>
      </c>
      <c r="D373" s="93">
        <v>28.59</v>
      </c>
      <c r="E373" s="93">
        <v>22.18</v>
      </c>
      <c r="F373" s="93">
        <v>3.69</v>
      </c>
      <c r="G373" s="93">
        <v>0.13</v>
      </c>
      <c r="H373" s="93">
        <v>0</v>
      </c>
      <c r="N373" s="88"/>
      <c r="O373" s="88"/>
      <c r="P373" s="88"/>
    </row>
    <row r="374" spans="1:16">
      <c r="A374" s="94">
        <v>92043</v>
      </c>
      <c r="B374" s="87" t="s">
        <v>869</v>
      </c>
      <c r="C374" s="12" t="s">
        <v>16</v>
      </c>
      <c r="D374" s="93">
        <v>8</v>
      </c>
      <c r="E374" s="93">
        <v>0</v>
      </c>
      <c r="F374" s="93">
        <v>0</v>
      </c>
      <c r="G374" s="93">
        <v>8</v>
      </c>
      <c r="H374" s="93">
        <v>0</v>
      </c>
      <c r="N374" s="88"/>
      <c r="O374" s="88"/>
      <c r="P374" s="88"/>
    </row>
    <row r="375" spans="1:16">
      <c r="A375" s="94">
        <v>92106</v>
      </c>
      <c r="B375" s="87" t="s">
        <v>870</v>
      </c>
      <c r="C375" s="12" t="s">
        <v>16</v>
      </c>
      <c r="D375" s="93">
        <v>185.94</v>
      </c>
      <c r="E375" s="93">
        <v>23.48</v>
      </c>
      <c r="F375" s="93">
        <v>117.21</v>
      </c>
      <c r="G375" s="93">
        <v>45.25</v>
      </c>
      <c r="H375" s="93">
        <v>0</v>
      </c>
      <c r="N375" s="88"/>
      <c r="O375" s="88"/>
      <c r="P375" s="88"/>
    </row>
    <row r="376" spans="1:16">
      <c r="A376" s="94">
        <v>92112</v>
      </c>
      <c r="B376" s="87" t="s">
        <v>43</v>
      </c>
      <c r="C376" s="12" t="s">
        <v>16</v>
      </c>
      <c r="D376" s="93">
        <v>2.35</v>
      </c>
      <c r="E376" s="93">
        <v>0</v>
      </c>
      <c r="F376" s="93">
        <v>0</v>
      </c>
      <c r="G376" s="93">
        <v>1.33</v>
      </c>
      <c r="H376" s="93">
        <v>0</v>
      </c>
      <c r="N376" s="88"/>
      <c r="O376" s="88"/>
      <c r="P376" s="88"/>
    </row>
    <row r="377" spans="1:16">
      <c r="A377" s="94">
        <v>92118</v>
      </c>
      <c r="B377" s="87" t="s">
        <v>44</v>
      </c>
      <c r="C377" s="12" t="s">
        <v>16</v>
      </c>
      <c r="D377" s="93">
        <v>0.16</v>
      </c>
      <c r="E377" s="93">
        <v>0</v>
      </c>
      <c r="F377" s="93">
        <v>0</v>
      </c>
      <c r="G377" s="93">
        <v>0.16</v>
      </c>
      <c r="H377" s="93">
        <v>0</v>
      </c>
      <c r="N377" s="88"/>
      <c r="O377" s="88"/>
      <c r="P377" s="88"/>
    </row>
    <row r="378" spans="1:16">
      <c r="A378" s="94">
        <v>92138</v>
      </c>
      <c r="B378" s="87" t="s">
        <v>871</v>
      </c>
      <c r="C378" s="12" t="s">
        <v>16</v>
      </c>
      <c r="D378" s="93">
        <v>70.08</v>
      </c>
      <c r="E378" s="93">
        <v>23.13</v>
      </c>
      <c r="F378" s="93">
        <v>27.05</v>
      </c>
      <c r="G378" s="93">
        <v>19.899999999999999</v>
      </c>
      <c r="H378" s="93">
        <v>0</v>
      </c>
      <c r="N378" s="88"/>
      <c r="O378" s="88"/>
      <c r="P378" s="88"/>
    </row>
    <row r="379" spans="1:16">
      <c r="A379" s="94">
        <v>92145</v>
      </c>
      <c r="B379" s="87" t="s">
        <v>45</v>
      </c>
      <c r="C379" s="12" t="s">
        <v>16</v>
      </c>
      <c r="D379" s="93">
        <v>64.58</v>
      </c>
      <c r="E379" s="93">
        <v>23.13</v>
      </c>
      <c r="F379" s="93">
        <v>35.4</v>
      </c>
      <c r="G379" s="93">
        <v>6.05</v>
      </c>
      <c r="H379" s="93">
        <v>0</v>
      </c>
      <c r="N379" s="88"/>
      <c r="O379" s="88"/>
      <c r="P379" s="88"/>
    </row>
    <row r="380" spans="1:16">
      <c r="A380" s="94">
        <v>92242</v>
      </c>
      <c r="B380" s="87" t="s">
        <v>872</v>
      </c>
      <c r="C380" s="12" t="s">
        <v>16</v>
      </c>
      <c r="D380" s="93">
        <v>250.91</v>
      </c>
      <c r="E380" s="93">
        <v>31.37</v>
      </c>
      <c r="F380" s="93">
        <v>166.59</v>
      </c>
      <c r="G380" s="93">
        <v>52.95</v>
      </c>
      <c r="H380" s="93">
        <v>0</v>
      </c>
      <c r="N380" s="88"/>
      <c r="O380" s="88"/>
      <c r="P380" s="88"/>
    </row>
    <row r="381" spans="1:16">
      <c r="A381" s="94">
        <v>92716</v>
      </c>
      <c r="B381" s="87" t="s">
        <v>873</v>
      </c>
      <c r="C381" s="12" t="s">
        <v>16</v>
      </c>
      <c r="D381" s="93">
        <v>16.55</v>
      </c>
      <c r="E381" s="93">
        <v>0</v>
      </c>
      <c r="F381" s="93">
        <v>16.12</v>
      </c>
      <c r="G381" s="93">
        <v>0.43</v>
      </c>
      <c r="H381" s="93">
        <v>0</v>
      </c>
      <c r="N381" s="88"/>
      <c r="O381" s="88"/>
      <c r="P381" s="88"/>
    </row>
    <row r="382" spans="1:16">
      <c r="A382" s="94">
        <v>92960</v>
      </c>
      <c r="B382" s="87" t="s">
        <v>874</v>
      </c>
      <c r="C382" s="12" t="s">
        <v>16</v>
      </c>
      <c r="D382" s="93">
        <v>12.17</v>
      </c>
      <c r="E382" s="93">
        <v>0</v>
      </c>
      <c r="F382" s="93">
        <v>5.47</v>
      </c>
      <c r="G382" s="93">
        <v>6.7</v>
      </c>
      <c r="H382" s="93">
        <v>0</v>
      </c>
      <c r="N382" s="88"/>
      <c r="O382" s="88"/>
      <c r="P382" s="88"/>
    </row>
    <row r="383" spans="1:16">
      <c r="A383" s="94">
        <v>92966</v>
      </c>
      <c r="B383" s="87" t="s">
        <v>875</v>
      </c>
      <c r="C383" s="12" t="s">
        <v>16</v>
      </c>
      <c r="D383" s="93">
        <v>21.94</v>
      </c>
      <c r="E383" s="93">
        <v>15.56</v>
      </c>
      <c r="F383" s="93">
        <v>3.69</v>
      </c>
      <c r="G383" s="93">
        <v>2.69</v>
      </c>
      <c r="H383" s="93">
        <v>0</v>
      </c>
      <c r="N383" s="88"/>
      <c r="O383" s="88"/>
      <c r="P383" s="88"/>
    </row>
    <row r="384" spans="1:16">
      <c r="A384" s="94">
        <v>93224</v>
      </c>
      <c r="B384" s="87" t="s">
        <v>876</v>
      </c>
      <c r="C384" s="12" t="s">
        <v>16</v>
      </c>
      <c r="D384" s="93">
        <v>575.02</v>
      </c>
      <c r="E384" s="93">
        <v>22.18</v>
      </c>
      <c r="F384" s="93">
        <v>95.89</v>
      </c>
      <c r="G384" s="93">
        <v>456.95</v>
      </c>
      <c r="H384" s="93">
        <v>0</v>
      </c>
      <c r="N384" s="88"/>
      <c r="O384" s="88"/>
      <c r="P384" s="88"/>
    </row>
    <row r="385" spans="1:16">
      <c r="A385" s="94">
        <v>93233</v>
      </c>
      <c r="B385" s="87" t="s">
        <v>46</v>
      </c>
      <c r="C385" s="12" t="s">
        <v>16</v>
      </c>
      <c r="D385" s="93">
        <v>7.43</v>
      </c>
      <c r="E385" s="93">
        <v>0</v>
      </c>
      <c r="F385" s="93">
        <v>6.82</v>
      </c>
      <c r="G385" s="93">
        <v>0.61</v>
      </c>
      <c r="H385" s="93">
        <v>0</v>
      </c>
      <c r="N385" s="88"/>
      <c r="O385" s="88"/>
      <c r="P385" s="88"/>
    </row>
    <row r="386" spans="1:16">
      <c r="A386" s="94">
        <v>93272</v>
      </c>
      <c r="B386" s="87" t="s">
        <v>877</v>
      </c>
      <c r="C386" s="12" t="s">
        <v>16</v>
      </c>
      <c r="D386" s="93">
        <v>90.54</v>
      </c>
      <c r="E386" s="93">
        <v>23.31</v>
      </c>
      <c r="F386" s="93">
        <v>3.69</v>
      </c>
      <c r="G386" s="93">
        <v>55.88</v>
      </c>
      <c r="H386" s="93">
        <v>0</v>
      </c>
      <c r="N386" s="88"/>
      <c r="O386" s="88"/>
      <c r="P386" s="88"/>
    </row>
    <row r="387" spans="1:16">
      <c r="A387" s="94">
        <v>93281</v>
      </c>
      <c r="B387" s="87" t="s">
        <v>878</v>
      </c>
      <c r="C387" s="12" t="s">
        <v>16</v>
      </c>
      <c r="D387" s="93">
        <v>21.5</v>
      </c>
      <c r="E387" s="93">
        <v>16.55</v>
      </c>
      <c r="F387" s="93">
        <v>3.69</v>
      </c>
      <c r="G387" s="93">
        <v>0.63</v>
      </c>
      <c r="H387" s="93">
        <v>0</v>
      </c>
      <c r="N387" s="88"/>
      <c r="O387" s="88"/>
      <c r="P387" s="88"/>
    </row>
    <row r="388" spans="1:16">
      <c r="A388" s="94">
        <v>93287</v>
      </c>
      <c r="B388" s="87" t="s">
        <v>879</v>
      </c>
      <c r="C388" s="12" t="s">
        <v>16</v>
      </c>
      <c r="D388" s="93">
        <v>360.45</v>
      </c>
      <c r="E388" s="93">
        <v>23.31</v>
      </c>
      <c r="F388" s="93">
        <v>3.69</v>
      </c>
      <c r="G388" s="93">
        <v>152.22999999999999</v>
      </c>
      <c r="H388" s="93">
        <v>0</v>
      </c>
      <c r="N388" s="88"/>
      <c r="O388" s="88"/>
      <c r="P388" s="88"/>
    </row>
    <row r="389" spans="1:16">
      <c r="A389" s="94">
        <v>93402</v>
      </c>
      <c r="B389" s="87" t="s">
        <v>880</v>
      </c>
      <c r="C389" s="12" t="s">
        <v>16</v>
      </c>
      <c r="D389" s="93">
        <v>151</v>
      </c>
      <c r="E389" s="93">
        <v>24.69</v>
      </c>
      <c r="F389" s="93">
        <v>96.98</v>
      </c>
      <c r="G389" s="93">
        <v>29.33</v>
      </c>
      <c r="H389" s="93">
        <v>0</v>
      </c>
      <c r="N389" s="88"/>
      <c r="O389" s="88"/>
      <c r="P389" s="88"/>
    </row>
    <row r="390" spans="1:16">
      <c r="A390" s="94">
        <v>93408</v>
      </c>
      <c r="B390" s="87" t="s">
        <v>881</v>
      </c>
      <c r="C390" s="12" t="s">
        <v>16</v>
      </c>
      <c r="D390" s="93">
        <v>69.540000000000006</v>
      </c>
      <c r="E390" s="93">
        <v>25.68</v>
      </c>
      <c r="F390" s="93">
        <v>31.5</v>
      </c>
      <c r="G390" s="93">
        <v>12.36</v>
      </c>
      <c r="H390" s="93">
        <v>0</v>
      </c>
      <c r="N390" s="88"/>
      <c r="O390" s="88"/>
      <c r="P390" s="88"/>
    </row>
    <row r="391" spans="1:16">
      <c r="A391" s="94">
        <v>93415</v>
      </c>
      <c r="B391" s="87" t="s">
        <v>882</v>
      </c>
      <c r="C391" s="12" t="s">
        <v>16</v>
      </c>
      <c r="D391" s="93">
        <v>12.18</v>
      </c>
      <c r="E391" s="93">
        <v>0</v>
      </c>
      <c r="F391" s="93">
        <v>11.76</v>
      </c>
      <c r="G391" s="93">
        <v>0.42</v>
      </c>
      <c r="H391" s="93">
        <v>0</v>
      </c>
      <c r="N391" s="88"/>
      <c r="O391" s="88"/>
      <c r="P391" s="88"/>
    </row>
    <row r="392" spans="1:16">
      <c r="A392" s="94">
        <v>93421</v>
      </c>
      <c r="B392" s="87" t="s">
        <v>47</v>
      </c>
      <c r="C392" s="12" t="s">
        <v>16</v>
      </c>
      <c r="D392" s="93">
        <v>45.28</v>
      </c>
      <c r="E392" s="93">
        <v>0</v>
      </c>
      <c r="F392" s="93">
        <v>39.57</v>
      </c>
      <c r="G392" s="93">
        <v>5.71</v>
      </c>
      <c r="H392" s="93">
        <v>0</v>
      </c>
      <c r="N392" s="88"/>
      <c r="O392" s="88"/>
      <c r="P392" s="88"/>
    </row>
    <row r="393" spans="1:16">
      <c r="A393" s="94">
        <v>93427</v>
      </c>
      <c r="B393" s="87" t="s">
        <v>883</v>
      </c>
      <c r="C393" s="12" t="s">
        <v>16</v>
      </c>
      <c r="D393" s="93">
        <v>102.65</v>
      </c>
      <c r="E393" s="93">
        <v>0</v>
      </c>
      <c r="F393" s="93">
        <v>94.56</v>
      </c>
      <c r="G393" s="93">
        <v>8.09</v>
      </c>
      <c r="H393" s="93">
        <v>0</v>
      </c>
      <c r="N393" s="88"/>
      <c r="O393" s="88"/>
      <c r="P393" s="88"/>
    </row>
    <row r="394" spans="1:16">
      <c r="A394" s="94">
        <v>93433</v>
      </c>
      <c r="B394" s="87" t="s">
        <v>884</v>
      </c>
      <c r="C394" s="12" t="s">
        <v>16</v>
      </c>
      <c r="D394" s="93">
        <v>1971.63</v>
      </c>
      <c r="E394" s="93">
        <v>66.11</v>
      </c>
      <c r="F394" s="93">
        <v>1715.97</v>
      </c>
      <c r="G394" s="93">
        <v>189.55</v>
      </c>
      <c r="H394" s="93">
        <v>0</v>
      </c>
      <c r="N394" s="88"/>
      <c r="O394" s="88"/>
      <c r="P394" s="88"/>
    </row>
    <row r="395" spans="1:16">
      <c r="A395" s="94">
        <v>93439</v>
      </c>
      <c r="B395" s="87" t="s">
        <v>885</v>
      </c>
      <c r="C395" s="12" t="s">
        <v>16</v>
      </c>
      <c r="D395" s="93">
        <v>116.54</v>
      </c>
      <c r="E395" s="93">
        <v>66.11</v>
      </c>
      <c r="F395" s="93">
        <v>39.08</v>
      </c>
      <c r="G395" s="93">
        <v>11.35</v>
      </c>
      <c r="H395" s="93">
        <v>0</v>
      </c>
      <c r="N395" s="88"/>
      <c r="O395" s="88"/>
      <c r="P395" s="88"/>
    </row>
    <row r="396" spans="1:16">
      <c r="A396" s="94">
        <v>95121</v>
      </c>
      <c r="B396" s="87" t="s">
        <v>886</v>
      </c>
      <c r="C396" s="12" t="s">
        <v>16</v>
      </c>
      <c r="D396" s="93">
        <v>225.17</v>
      </c>
      <c r="E396" s="93">
        <v>66.11</v>
      </c>
      <c r="F396" s="93">
        <v>21.57</v>
      </c>
      <c r="G396" s="93">
        <v>85.22</v>
      </c>
      <c r="H396" s="93">
        <v>0</v>
      </c>
      <c r="N396" s="88"/>
      <c r="O396" s="88"/>
      <c r="P396" s="88"/>
    </row>
    <row r="397" spans="1:16">
      <c r="A397" s="94">
        <v>95127</v>
      </c>
      <c r="B397" s="87" t="s">
        <v>48</v>
      </c>
      <c r="C397" s="12" t="s">
        <v>16</v>
      </c>
      <c r="D397" s="93">
        <v>138.4</v>
      </c>
      <c r="E397" s="93">
        <v>22.18</v>
      </c>
      <c r="F397" s="93">
        <v>90.56</v>
      </c>
      <c r="G397" s="93">
        <v>25.66</v>
      </c>
      <c r="H397" s="93">
        <v>0</v>
      </c>
      <c r="N397" s="88"/>
      <c r="O397" s="88"/>
      <c r="P397" s="88"/>
    </row>
    <row r="398" spans="1:16">
      <c r="A398" s="94">
        <v>95133</v>
      </c>
      <c r="B398" s="87" t="s">
        <v>887</v>
      </c>
      <c r="C398" s="12" t="s">
        <v>16</v>
      </c>
      <c r="D398" s="93">
        <v>110.64</v>
      </c>
      <c r="E398" s="93">
        <v>26.12</v>
      </c>
      <c r="F398" s="93">
        <v>22.71</v>
      </c>
      <c r="G398" s="93">
        <v>61.81</v>
      </c>
      <c r="H398" s="93">
        <v>0</v>
      </c>
      <c r="N398" s="88"/>
      <c r="O398" s="88"/>
      <c r="P398" s="88"/>
    </row>
    <row r="399" spans="1:16">
      <c r="A399" s="94">
        <v>95139</v>
      </c>
      <c r="B399" s="87" t="s">
        <v>888</v>
      </c>
      <c r="C399" s="12" t="s">
        <v>16</v>
      </c>
      <c r="D399" s="93">
        <v>0.06</v>
      </c>
      <c r="E399" s="93">
        <v>0</v>
      </c>
      <c r="F399" s="93">
        <v>0</v>
      </c>
      <c r="G399" s="93">
        <v>0.06</v>
      </c>
      <c r="H399" s="93">
        <v>0</v>
      </c>
      <c r="N399" s="88"/>
      <c r="O399" s="88"/>
      <c r="P399" s="88"/>
    </row>
    <row r="400" spans="1:16">
      <c r="A400" s="94">
        <v>95212</v>
      </c>
      <c r="B400" s="87" t="s">
        <v>889</v>
      </c>
      <c r="C400" s="12" t="s">
        <v>16</v>
      </c>
      <c r="D400" s="93">
        <v>97.97</v>
      </c>
      <c r="E400" s="93">
        <v>23.31</v>
      </c>
      <c r="F400" s="93">
        <v>3.69</v>
      </c>
      <c r="G400" s="93">
        <v>63.31</v>
      </c>
      <c r="H400" s="93">
        <v>0</v>
      </c>
      <c r="N400" s="88"/>
      <c r="O400" s="88"/>
      <c r="P400" s="88"/>
    </row>
    <row r="401" spans="1:16">
      <c r="A401" s="94">
        <v>95218</v>
      </c>
      <c r="B401" s="87" t="s">
        <v>890</v>
      </c>
      <c r="C401" s="12" t="s">
        <v>16</v>
      </c>
      <c r="D401" s="93">
        <v>23.59</v>
      </c>
      <c r="E401" s="93">
        <v>17.04</v>
      </c>
      <c r="F401" s="93">
        <v>5.65</v>
      </c>
      <c r="G401" s="93">
        <v>0.39</v>
      </c>
      <c r="H401" s="93">
        <v>0</v>
      </c>
      <c r="N401" s="88"/>
      <c r="O401" s="88"/>
      <c r="P401" s="88"/>
    </row>
    <row r="402" spans="1:16">
      <c r="A402" s="94">
        <v>95258</v>
      </c>
      <c r="B402" s="87" t="s">
        <v>49</v>
      </c>
      <c r="C402" s="12" t="s">
        <v>16</v>
      </c>
      <c r="D402" s="93">
        <v>21.57</v>
      </c>
      <c r="E402" s="93">
        <v>15.56</v>
      </c>
      <c r="F402" s="93">
        <v>3.69</v>
      </c>
      <c r="G402" s="93">
        <v>2.3199999999999998</v>
      </c>
      <c r="H402" s="93">
        <v>0</v>
      </c>
      <c r="N402" s="88"/>
      <c r="O402" s="88"/>
      <c r="P402" s="88"/>
    </row>
    <row r="403" spans="1:16">
      <c r="A403" s="94">
        <v>95264</v>
      </c>
      <c r="B403" s="87" t="s">
        <v>891</v>
      </c>
      <c r="C403" s="12" t="s">
        <v>16</v>
      </c>
      <c r="D403" s="93">
        <v>5.35</v>
      </c>
      <c r="E403" s="93">
        <v>0</v>
      </c>
      <c r="F403" s="93">
        <v>3.64</v>
      </c>
      <c r="G403" s="93">
        <v>1.71</v>
      </c>
      <c r="H403" s="93">
        <v>0</v>
      </c>
      <c r="N403" s="88"/>
      <c r="O403" s="88"/>
      <c r="P403" s="88"/>
    </row>
    <row r="404" spans="1:16">
      <c r="A404" s="94">
        <v>95270</v>
      </c>
      <c r="B404" s="87" t="s">
        <v>892</v>
      </c>
      <c r="C404" s="12" t="s">
        <v>16</v>
      </c>
      <c r="D404" s="93">
        <v>7.67</v>
      </c>
      <c r="E404" s="93">
        <v>0</v>
      </c>
      <c r="F404" s="93">
        <v>6.82</v>
      </c>
      <c r="G404" s="93">
        <v>0.85</v>
      </c>
      <c r="H404" s="93">
        <v>0</v>
      </c>
      <c r="N404" s="88"/>
      <c r="O404" s="88"/>
      <c r="P404" s="88"/>
    </row>
    <row r="405" spans="1:16">
      <c r="A405" s="94">
        <v>95276</v>
      </c>
      <c r="B405" s="87" t="s">
        <v>893</v>
      </c>
      <c r="C405" s="12" t="s">
        <v>16</v>
      </c>
      <c r="D405" s="93">
        <v>2.83</v>
      </c>
      <c r="E405" s="93">
        <v>0</v>
      </c>
      <c r="F405" s="93">
        <v>0</v>
      </c>
      <c r="G405" s="93">
        <v>0.75</v>
      </c>
      <c r="H405" s="93">
        <v>0</v>
      </c>
      <c r="N405" s="88"/>
      <c r="O405" s="88"/>
      <c r="P405" s="88"/>
    </row>
    <row r="406" spans="1:16">
      <c r="A406" s="94">
        <v>95282</v>
      </c>
      <c r="B406" s="87" t="s">
        <v>894</v>
      </c>
      <c r="C406" s="12" t="s">
        <v>16</v>
      </c>
      <c r="D406" s="93">
        <v>7.65</v>
      </c>
      <c r="E406" s="93">
        <v>0</v>
      </c>
      <c r="F406" s="93">
        <v>6.82</v>
      </c>
      <c r="G406" s="93">
        <v>0.83</v>
      </c>
      <c r="H406" s="93">
        <v>0</v>
      </c>
      <c r="N406" s="88"/>
      <c r="O406" s="88"/>
      <c r="P406" s="88"/>
    </row>
    <row r="407" spans="1:16">
      <c r="A407" s="94">
        <v>95620</v>
      </c>
      <c r="B407" s="87" t="s">
        <v>895</v>
      </c>
      <c r="C407" s="12" t="s">
        <v>16</v>
      </c>
      <c r="D407" s="93">
        <v>21.15</v>
      </c>
      <c r="E407" s="93">
        <v>15.56</v>
      </c>
      <c r="F407" s="93">
        <v>3.69</v>
      </c>
      <c r="G407" s="93">
        <v>1.9</v>
      </c>
      <c r="H407" s="93">
        <v>0</v>
      </c>
      <c r="N407" s="88"/>
      <c r="O407" s="88"/>
      <c r="P407" s="88"/>
    </row>
    <row r="408" spans="1:16">
      <c r="A408" s="94">
        <v>95631</v>
      </c>
      <c r="B408" s="87" t="s">
        <v>896</v>
      </c>
      <c r="C408" s="12" t="s">
        <v>16</v>
      </c>
      <c r="D408" s="93">
        <v>136.41</v>
      </c>
      <c r="E408" s="93">
        <v>22.12</v>
      </c>
      <c r="F408" s="93">
        <v>56.35</v>
      </c>
      <c r="G408" s="93">
        <v>57.94</v>
      </c>
      <c r="H408" s="93">
        <v>0</v>
      </c>
      <c r="N408" s="88"/>
      <c r="O408" s="88"/>
      <c r="P408" s="88"/>
    </row>
    <row r="409" spans="1:16">
      <c r="A409" s="94">
        <v>95702</v>
      </c>
      <c r="B409" s="87" t="s">
        <v>897</v>
      </c>
      <c r="C409" s="12" t="s">
        <v>16</v>
      </c>
      <c r="D409" s="93">
        <v>36.17</v>
      </c>
      <c r="E409" s="93">
        <v>22.18</v>
      </c>
      <c r="F409" s="93">
        <v>3.69</v>
      </c>
      <c r="G409" s="93">
        <v>7.74</v>
      </c>
      <c r="H409" s="93">
        <v>0</v>
      </c>
      <c r="N409" s="88"/>
      <c r="O409" s="88"/>
      <c r="P409" s="88"/>
    </row>
    <row r="410" spans="1:16">
      <c r="A410" s="94">
        <v>95708</v>
      </c>
      <c r="B410" s="87" t="s">
        <v>898</v>
      </c>
      <c r="C410" s="12" t="s">
        <v>16</v>
      </c>
      <c r="D410" s="93">
        <v>115.93</v>
      </c>
      <c r="E410" s="93">
        <v>22.18</v>
      </c>
      <c r="F410" s="93">
        <v>3.69</v>
      </c>
      <c r="G410" s="93">
        <v>61.46</v>
      </c>
      <c r="H410" s="93">
        <v>0</v>
      </c>
      <c r="N410" s="88"/>
      <c r="O410" s="88"/>
      <c r="P410" s="88"/>
    </row>
    <row r="411" spans="1:16">
      <c r="A411" s="94">
        <v>95714</v>
      </c>
      <c r="B411" s="87" t="s">
        <v>899</v>
      </c>
      <c r="C411" s="12" t="s">
        <v>16</v>
      </c>
      <c r="D411" s="93">
        <v>159.04</v>
      </c>
      <c r="E411" s="93">
        <v>28.69</v>
      </c>
      <c r="F411" s="93">
        <v>56.74</v>
      </c>
      <c r="G411" s="93">
        <v>73.61</v>
      </c>
      <c r="H411" s="93">
        <v>0</v>
      </c>
      <c r="N411" s="88"/>
      <c r="O411" s="88"/>
      <c r="P411" s="88"/>
    </row>
    <row r="412" spans="1:16">
      <c r="A412" s="94">
        <v>95720</v>
      </c>
      <c r="B412" s="87" t="s">
        <v>900</v>
      </c>
      <c r="C412" s="12" t="s">
        <v>16</v>
      </c>
      <c r="D412" s="93">
        <v>156.29</v>
      </c>
      <c r="E412" s="93">
        <v>28.69</v>
      </c>
      <c r="F412" s="93">
        <v>56.74</v>
      </c>
      <c r="G412" s="93">
        <v>70.86</v>
      </c>
      <c r="H412" s="93">
        <v>0</v>
      </c>
      <c r="N412" s="88"/>
      <c r="O412" s="88"/>
      <c r="P412" s="88"/>
    </row>
    <row r="413" spans="1:16">
      <c r="A413" s="94">
        <v>95872</v>
      </c>
      <c r="B413" s="87" t="s">
        <v>194</v>
      </c>
      <c r="C413" s="12" t="s">
        <v>16</v>
      </c>
      <c r="D413" s="93">
        <v>174.03</v>
      </c>
      <c r="E413" s="93">
        <v>0</v>
      </c>
      <c r="F413" s="93">
        <v>161.1</v>
      </c>
      <c r="G413" s="93">
        <v>12.93</v>
      </c>
      <c r="H413" s="93">
        <v>0</v>
      </c>
      <c r="N413" s="88"/>
      <c r="O413" s="88"/>
      <c r="P413" s="88"/>
    </row>
    <row r="414" spans="1:16">
      <c r="A414" s="94">
        <v>96013</v>
      </c>
      <c r="B414" s="87" t="s">
        <v>901</v>
      </c>
      <c r="C414" s="12" t="s">
        <v>16</v>
      </c>
      <c r="D414" s="93">
        <v>158.18</v>
      </c>
      <c r="E414" s="93">
        <v>23.23</v>
      </c>
      <c r="F414" s="93">
        <v>105.1</v>
      </c>
      <c r="G414" s="93">
        <v>29.85</v>
      </c>
      <c r="H414" s="93">
        <v>0</v>
      </c>
      <c r="N414" s="88"/>
      <c r="O414" s="88"/>
      <c r="P414" s="88"/>
    </row>
    <row r="415" spans="1:16">
      <c r="A415" s="94">
        <v>96020</v>
      </c>
      <c r="B415" s="87" t="s">
        <v>902</v>
      </c>
      <c r="C415" s="12" t="s">
        <v>16</v>
      </c>
      <c r="D415" s="93">
        <v>157.91</v>
      </c>
      <c r="E415" s="93">
        <v>23.23</v>
      </c>
      <c r="F415" s="93">
        <v>105.1</v>
      </c>
      <c r="G415" s="93">
        <v>29.58</v>
      </c>
      <c r="H415" s="93">
        <v>0</v>
      </c>
      <c r="N415" s="88"/>
      <c r="O415" s="88"/>
      <c r="P415" s="88"/>
    </row>
    <row r="416" spans="1:16">
      <c r="A416" s="94">
        <v>96028</v>
      </c>
      <c r="B416" s="87" t="s">
        <v>903</v>
      </c>
      <c r="C416" s="12" t="s">
        <v>16</v>
      </c>
      <c r="D416" s="93">
        <v>120.44</v>
      </c>
      <c r="E416" s="93">
        <v>23.23</v>
      </c>
      <c r="F416" s="93">
        <v>74.36</v>
      </c>
      <c r="G416" s="93">
        <v>22.85</v>
      </c>
      <c r="H416" s="93">
        <v>0</v>
      </c>
      <c r="N416" s="88"/>
      <c r="O416" s="88"/>
      <c r="P416" s="88"/>
    </row>
    <row r="417" spans="1:16">
      <c r="A417" s="94">
        <v>96035</v>
      </c>
      <c r="B417" s="87" t="s">
        <v>904</v>
      </c>
      <c r="C417" s="12" t="s">
        <v>16</v>
      </c>
      <c r="D417" s="93">
        <v>163.16999999999999</v>
      </c>
      <c r="E417" s="93">
        <v>22.14</v>
      </c>
      <c r="F417" s="93">
        <v>87.35</v>
      </c>
      <c r="G417" s="93">
        <v>53.68</v>
      </c>
      <c r="H417" s="93">
        <v>0</v>
      </c>
      <c r="N417" s="88"/>
      <c r="O417" s="88"/>
      <c r="P417" s="88"/>
    </row>
    <row r="418" spans="1:16">
      <c r="A418" s="94">
        <v>96157</v>
      </c>
      <c r="B418" s="87" t="s">
        <v>905</v>
      </c>
      <c r="C418" s="12" t="s">
        <v>16</v>
      </c>
      <c r="D418" s="93">
        <v>120.71</v>
      </c>
      <c r="E418" s="93">
        <v>23.23</v>
      </c>
      <c r="F418" s="93">
        <v>74.36</v>
      </c>
      <c r="G418" s="93">
        <v>23.12</v>
      </c>
      <c r="H418" s="93">
        <v>0</v>
      </c>
      <c r="N418" s="88"/>
      <c r="O418" s="88"/>
      <c r="P418" s="88"/>
    </row>
    <row r="419" spans="1:16">
      <c r="A419" s="94">
        <v>96158</v>
      </c>
      <c r="B419" s="87" t="s">
        <v>906</v>
      </c>
      <c r="C419" s="12" t="s">
        <v>16</v>
      </c>
      <c r="D419" s="93">
        <v>96.96</v>
      </c>
      <c r="E419" s="93">
        <v>22.8</v>
      </c>
      <c r="F419" s="93">
        <v>34.61</v>
      </c>
      <c r="G419" s="93">
        <v>39.549999999999997</v>
      </c>
      <c r="H419" s="93">
        <v>0</v>
      </c>
      <c r="N419" s="88"/>
      <c r="O419" s="88"/>
      <c r="P419" s="88"/>
    </row>
    <row r="420" spans="1:16">
      <c r="A420" s="94">
        <v>96245</v>
      </c>
      <c r="B420" s="87" t="s">
        <v>907</v>
      </c>
      <c r="C420" s="12" t="s">
        <v>16</v>
      </c>
      <c r="D420" s="93">
        <v>77.290000000000006</v>
      </c>
      <c r="E420" s="93">
        <v>28.69</v>
      </c>
      <c r="F420" s="93">
        <v>13.96</v>
      </c>
      <c r="G420" s="93">
        <v>34.64</v>
      </c>
      <c r="H420" s="93">
        <v>0</v>
      </c>
      <c r="N420" s="88"/>
      <c r="O420" s="88"/>
      <c r="P420" s="88"/>
    </row>
    <row r="421" spans="1:16">
      <c r="A421" s="94">
        <v>96303</v>
      </c>
      <c r="B421" s="87" t="s">
        <v>908</v>
      </c>
      <c r="C421" s="12" t="s">
        <v>16</v>
      </c>
      <c r="D421" s="93">
        <v>150.65</v>
      </c>
      <c r="E421" s="93">
        <v>22.18</v>
      </c>
      <c r="F421" s="93">
        <v>32.67</v>
      </c>
      <c r="G421" s="93">
        <v>95.8</v>
      </c>
      <c r="H421" s="93">
        <v>0</v>
      </c>
      <c r="N421" s="88"/>
      <c r="O421" s="88"/>
      <c r="P421" s="88"/>
    </row>
    <row r="422" spans="1:16">
      <c r="A422" s="94">
        <v>96309</v>
      </c>
      <c r="B422" s="87" t="s">
        <v>909</v>
      </c>
      <c r="C422" s="12" t="s">
        <v>16</v>
      </c>
      <c r="D422" s="93">
        <v>1.35</v>
      </c>
      <c r="E422" s="93">
        <v>0</v>
      </c>
      <c r="F422" s="93">
        <v>0</v>
      </c>
      <c r="G422" s="93">
        <v>0.31</v>
      </c>
      <c r="H422" s="93">
        <v>0</v>
      </c>
      <c r="N422" s="88"/>
      <c r="O422" s="88"/>
      <c r="P422" s="88"/>
    </row>
    <row r="423" spans="1:16">
      <c r="A423" s="94">
        <v>96463</v>
      </c>
      <c r="B423" s="87" t="s">
        <v>910</v>
      </c>
      <c r="C423" s="12" t="s">
        <v>16</v>
      </c>
      <c r="D423" s="93">
        <v>127.72</v>
      </c>
      <c r="E423" s="93">
        <v>22.12</v>
      </c>
      <c r="F423" s="93">
        <v>41.35</v>
      </c>
      <c r="G423" s="93">
        <v>64.25</v>
      </c>
      <c r="H423" s="93">
        <v>0</v>
      </c>
      <c r="N423" s="88"/>
      <c r="O423" s="88"/>
      <c r="P423" s="88"/>
    </row>
    <row r="424" spans="1:16">
      <c r="A424" s="94">
        <v>98764</v>
      </c>
      <c r="B424" s="87" t="s">
        <v>911</v>
      </c>
      <c r="C424" s="12" t="s">
        <v>16</v>
      </c>
      <c r="D424" s="93">
        <v>3.92</v>
      </c>
      <c r="E424" s="93">
        <v>0</v>
      </c>
      <c r="F424" s="93">
        <v>0</v>
      </c>
      <c r="G424" s="93">
        <v>0.16</v>
      </c>
      <c r="H424" s="93">
        <v>0</v>
      </c>
      <c r="N424" s="88"/>
      <c r="O424" s="88"/>
      <c r="P424" s="88"/>
    </row>
    <row r="425" spans="1:16">
      <c r="A425" s="94">
        <v>99833</v>
      </c>
      <c r="B425" s="87" t="s">
        <v>912</v>
      </c>
      <c r="C425" s="12" t="s">
        <v>16</v>
      </c>
      <c r="D425" s="93">
        <v>1.27</v>
      </c>
      <c r="E425" s="93">
        <v>0</v>
      </c>
      <c r="F425" s="93">
        <v>0</v>
      </c>
      <c r="G425" s="93">
        <v>0.3</v>
      </c>
      <c r="H425" s="93">
        <v>0</v>
      </c>
      <c r="N425" s="88"/>
      <c r="O425" s="88"/>
      <c r="P425" s="88"/>
    </row>
    <row r="426" spans="1:16">
      <c r="A426" s="94">
        <v>100641</v>
      </c>
      <c r="B426" s="87" t="s">
        <v>913</v>
      </c>
      <c r="C426" s="12" t="s">
        <v>16</v>
      </c>
      <c r="D426" s="93">
        <v>455.21</v>
      </c>
      <c r="E426" s="93">
        <v>23.55</v>
      </c>
      <c r="F426" s="93">
        <v>3.69</v>
      </c>
      <c r="G426" s="93">
        <v>232.81</v>
      </c>
      <c r="H426" s="93">
        <v>0</v>
      </c>
      <c r="N426" s="88"/>
      <c r="O426" s="88"/>
      <c r="P426" s="88"/>
    </row>
    <row r="427" spans="1:16">
      <c r="A427" s="94">
        <v>100647</v>
      </c>
      <c r="B427" s="87" t="s">
        <v>914</v>
      </c>
      <c r="C427" s="12" t="s">
        <v>16</v>
      </c>
      <c r="D427" s="93">
        <v>919.06</v>
      </c>
      <c r="E427" s="93">
        <v>23.55</v>
      </c>
      <c r="F427" s="93">
        <v>3.69</v>
      </c>
      <c r="G427" s="93">
        <v>613.02</v>
      </c>
      <c r="H427" s="93">
        <v>0</v>
      </c>
      <c r="N427" s="88"/>
      <c r="O427" s="88"/>
      <c r="P427" s="88"/>
    </row>
    <row r="428" spans="1:16">
      <c r="A428" s="94">
        <v>5632</v>
      </c>
      <c r="B428" s="87" t="s">
        <v>915</v>
      </c>
      <c r="C428" s="12" t="s">
        <v>50</v>
      </c>
      <c r="D428" s="93">
        <v>62.27</v>
      </c>
      <c r="E428" s="93">
        <v>28.69</v>
      </c>
      <c r="F428" s="93">
        <v>3.69</v>
      </c>
      <c r="G428" s="93">
        <v>29.89</v>
      </c>
      <c r="H428" s="93">
        <v>0</v>
      </c>
      <c r="N428" s="88"/>
      <c r="O428" s="88"/>
      <c r="P428" s="88"/>
    </row>
    <row r="429" spans="1:16">
      <c r="A429" s="94">
        <v>5679</v>
      </c>
      <c r="B429" s="87" t="s">
        <v>916</v>
      </c>
      <c r="C429" s="12" t="s">
        <v>50</v>
      </c>
      <c r="D429" s="93">
        <v>49.29</v>
      </c>
      <c r="E429" s="93">
        <v>28.69</v>
      </c>
      <c r="F429" s="93">
        <v>3.69</v>
      </c>
      <c r="G429" s="93">
        <v>16.91</v>
      </c>
      <c r="H429" s="93">
        <v>0</v>
      </c>
      <c r="N429" s="88"/>
      <c r="O429" s="88"/>
      <c r="P429" s="88"/>
    </row>
    <row r="430" spans="1:16">
      <c r="A430" s="94">
        <v>5681</v>
      </c>
      <c r="B430" s="87" t="s">
        <v>917</v>
      </c>
      <c r="C430" s="12" t="s">
        <v>50</v>
      </c>
      <c r="D430" s="93">
        <v>47.41</v>
      </c>
      <c r="E430" s="93">
        <v>28.69</v>
      </c>
      <c r="F430" s="93">
        <v>3.69</v>
      </c>
      <c r="G430" s="93">
        <v>15.03</v>
      </c>
      <c r="H430" s="93">
        <v>0</v>
      </c>
      <c r="N430" s="88"/>
      <c r="O430" s="88"/>
      <c r="P430" s="88"/>
    </row>
    <row r="431" spans="1:16">
      <c r="A431" s="94">
        <v>5685</v>
      </c>
      <c r="B431" s="87" t="s">
        <v>918</v>
      </c>
      <c r="C431" s="12" t="s">
        <v>50</v>
      </c>
      <c r="D431" s="93">
        <v>44.26</v>
      </c>
      <c r="E431" s="93">
        <v>22.12</v>
      </c>
      <c r="F431" s="93">
        <v>3.69</v>
      </c>
      <c r="G431" s="93">
        <v>18.45</v>
      </c>
      <c r="H431" s="93">
        <v>0</v>
      </c>
      <c r="N431" s="88"/>
      <c r="O431" s="88"/>
      <c r="P431" s="88"/>
    </row>
    <row r="432" spans="1:16">
      <c r="A432" s="94">
        <v>5690</v>
      </c>
      <c r="B432" s="87" t="s">
        <v>919</v>
      </c>
      <c r="C432" s="12" t="s">
        <v>50</v>
      </c>
      <c r="D432" s="93">
        <v>2.17</v>
      </c>
      <c r="E432" s="93">
        <v>0</v>
      </c>
      <c r="F432" s="93">
        <v>0</v>
      </c>
      <c r="G432" s="93">
        <v>2.17</v>
      </c>
      <c r="H432" s="93">
        <v>0</v>
      </c>
      <c r="N432" s="88"/>
      <c r="O432" s="88"/>
      <c r="P432" s="88"/>
    </row>
    <row r="433" spans="1:16">
      <c r="A433" s="94">
        <v>5806</v>
      </c>
      <c r="B433" s="87" t="s">
        <v>920</v>
      </c>
      <c r="C433" s="12" t="s">
        <v>50</v>
      </c>
      <c r="D433" s="93">
        <v>0.17</v>
      </c>
      <c r="E433" s="93">
        <v>0</v>
      </c>
      <c r="F433" s="93">
        <v>0</v>
      </c>
      <c r="G433" s="93">
        <v>0.17</v>
      </c>
      <c r="H433" s="93">
        <v>0</v>
      </c>
      <c r="N433" s="88"/>
      <c r="O433" s="88"/>
      <c r="P433" s="88"/>
    </row>
    <row r="434" spans="1:16">
      <c r="A434" s="94">
        <v>5826</v>
      </c>
      <c r="B434" s="87" t="s">
        <v>921</v>
      </c>
      <c r="C434" s="12" t="s">
        <v>50</v>
      </c>
      <c r="D434" s="93">
        <v>37.630000000000003</v>
      </c>
      <c r="E434" s="93">
        <v>23.48</v>
      </c>
      <c r="F434" s="93">
        <v>3.69</v>
      </c>
      <c r="G434" s="93">
        <v>10.46</v>
      </c>
      <c r="H434" s="93">
        <v>0</v>
      </c>
      <c r="N434" s="88"/>
      <c r="O434" s="88"/>
      <c r="P434" s="88"/>
    </row>
    <row r="435" spans="1:16">
      <c r="A435" s="94">
        <v>5829</v>
      </c>
      <c r="B435" s="87" t="s">
        <v>51</v>
      </c>
      <c r="C435" s="12" t="s">
        <v>50</v>
      </c>
      <c r="D435" s="93">
        <v>124.71</v>
      </c>
      <c r="E435" s="93">
        <v>66.11</v>
      </c>
      <c r="F435" s="93">
        <v>21.57</v>
      </c>
      <c r="G435" s="93">
        <v>37.03</v>
      </c>
      <c r="H435" s="93">
        <v>0</v>
      </c>
      <c r="N435" s="88"/>
      <c r="O435" s="88"/>
      <c r="P435" s="88"/>
    </row>
    <row r="436" spans="1:16">
      <c r="A436" s="94">
        <v>5837</v>
      </c>
      <c r="B436" s="87" t="s">
        <v>922</v>
      </c>
      <c r="C436" s="12" t="s">
        <v>50</v>
      </c>
      <c r="D436" s="93">
        <v>107.11</v>
      </c>
      <c r="E436" s="93">
        <v>27.42</v>
      </c>
      <c r="F436" s="93">
        <v>3.69</v>
      </c>
      <c r="G436" s="93">
        <v>76</v>
      </c>
      <c r="H436" s="93">
        <v>0</v>
      </c>
      <c r="N436" s="88"/>
      <c r="O436" s="88"/>
      <c r="P436" s="88"/>
    </row>
    <row r="437" spans="1:16">
      <c r="A437" s="94">
        <v>5841</v>
      </c>
      <c r="B437" s="87" t="s">
        <v>923</v>
      </c>
      <c r="C437" s="12" t="s">
        <v>50</v>
      </c>
      <c r="D437" s="93">
        <v>2.5099999999999998</v>
      </c>
      <c r="E437" s="93">
        <v>0</v>
      </c>
      <c r="F437" s="93">
        <v>0</v>
      </c>
      <c r="G437" s="93">
        <v>2.5099999999999998</v>
      </c>
      <c r="H437" s="93">
        <v>0</v>
      </c>
      <c r="N437" s="88"/>
      <c r="O437" s="88"/>
      <c r="P437" s="88"/>
    </row>
    <row r="438" spans="1:16">
      <c r="A438" s="94">
        <v>5845</v>
      </c>
      <c r="B438" s="87" t="s">
        <v>52</v>
      </c>
      <c r="C438" s="12" t="s">
        <v>50</v>
      </c>
      <c r="D438" s="93">
        <v>39.75</v>
      </c>
      <c r="E438" s="93">
        <v>23.23</v>
      </c>
      <c r="F438" s="93">
        <v>3.69</v>
      </c>
      <c r="G438" s="93">
        <v>12.83</v>
      </c>
      <c r="H438" s="93">
        <v>0</v>
      </c>
      <c r="N438" s="88"/>
      <c r="O438" s="88"/>
      <c r="P438" s="88"/>
    </row>
    <row r="439" spans="1:16">
      <c r="A439" s="94">
        <v>5849</v>
      </c>
      <c r="B439" s="87" t="s">
        <v>924</v>
      </c>
      <c r="C439" s="12" t="s">
        <v>50</v>
      </c>
      <c r="D439" s="93">
        <v>57.78</v>
      </c>
      <c r="E439" s="93">
        <v>23.23</v>
      </c>
      <c r="F439" s="93">
        <v>3.69</v>
      </c>
      <c r="G439" s="93">
        <v>30.86</v>
      </c>
      <c r="H439" s="93">
        <v>0</v>
      </c>
      <c r="N439" s="88"/>
      <c r="O439" s="88"/>
      <c r="P439" s="88"/>
    </row>
    <row r="440" spans="1:16">
      <c r="A440" s="94">
        <v>5853</v>
      </c>
      <c r="B440" s="87" t="s">
        <v>53</v>
      </c>
      <c r="C440" s="12" t="s">
        <v>50</v>
      </c>
      <c r="D440" s="93">
        <v>57.96</v>
      </c>
      <c r="E440" s="93">
        <v>23.23</v>
      </c>
      <c r="F440" s="93">
        <v>3.69</v>
      </c>
      <c r="G440" s="93">
        <v>31.04</v>
      </c>
      <c r="H440" s="93">
        <v>0</v>
      </c>
      <c r="N440" s="88"/>
      <c r="O440" s="88"/>
      <c r="P440" s="88"/>
    </row>
    <row r="441" spans="1:16">
      <c r="A441" s="94">
        <v>5857</v>
      </c>
      <c r="B441" s="87" t="s">
        <v>925</v>
      </c>
      <c r="C441" s="12" t="s">
        <v>50</v>
      </c>
      <c r="D441" s="93">
        <v>128.62</v>
      </c>
      <c r="E441" s="93">
        <v>23.23</v>
      </c>
      <c r="F441" s="93">
        <v>3.69</v>
      </c>
      <c r="G441" s="93">
        <v>101.7</v>
      </c>
      <c r="H441" s="93">
        <v>0</v>
      </c>
      <c r="N441" s="88"/>
      <c r="O441" s="88"/>
      <c r="P441" s="88"/>
    </row>
    <row r="442" spans="1:16">
      <c r="A442" s="94">
        <v>5865</v>
      </c>
      <c r="B442" s="87" t="s">
        <v>926</v>
      </c>
      <c r="C442" s="12" t="s">
        <v>50</v>
      </c>
      <c r="D442" s="93">
        <v>5.56</v>
      </c>
      <c r="E442" s="93">
        <v>0</v>
      </c>
      <c r="F442" s="93">
        <v>0</v>
      </c>
      <c r="G442" s="93">
        <v>5.56</v>
      </c>
      <c r="H442" s="93">
        <v>0</v>
      </c>
      <c r="N442" s="88"/>
      <c r="O442" s="88"/>
      <c r="P442" s="88"/>
    </row>
    <row r="443" spans="1:16">
      <c r="A443" s="94">
        <v>5869</v>
      </c>
      <c r="B443" s="87" t="s">
        <v>927</v>
      </c>
      <c r="C443" s="12" t="s">
        <v>50</v>
      </c>
      <c r="D443" s="93">
        <v>48.47</v>
      </c>
      <c r="E443" s="93">
        <v>22.12</v>
      </c>
      <c r="F443" s="93">
        <v>3.69</v>
      </c>
      <c r="G443" s="93">
        <v>22.66</v>
      </c>
      <c r="H443" s="93">
        <v>0</v>
      </c>
      <c r="N443" s="88"/>
      <c r="O443" s="88"/>
      <c r="P443" s="88"/>
    </row>
    <row r="444" spans="1:16">
      <c r="A444" s="94">
        <v>5877</v>
      </c>
      <c r="B444" s="87" t="s">
        <v>928</v>
      </c>
      <c r="C444" s="12" t="s">
        <v>50</v>
      </c>
      <c r="D444" s="93">
        <v>48.7</v>
      </c>
      <c r="E444" s="93">
        <v>28.69</v>
      </c>
      <c r="F444" s="93">
        <v>3.69</v>
      </c>
      <c r="G444" s="93">
        <v>16.32</v>
      </c>
      <c r="H444" s="93">
        <v>0</v>
      </c>
      <c r="N444" s="88"/>
      <c r="O444" s="88"/>
      <c r="P444" s="88"/>
    </row>
    <row r="445" spans="1:16">
      <c r="A445" s="94">
        <v>5881</v>
      </c>
      <c r="B445" s="87" t="s">
        <v>929</v>
      </c>
      <c r="C445" s="12" t="s">
        <v>50</v>
      </c>
      <c r="D445" s="93">
        <v>51.02</v>
      </c>
      <c r="E445" s="93">
        <v>22.12</v>
      </c>
      <c r="F445" s="93">
        <v>3.69</v>
      </c>
      <c r="G445" s="93">
        <v>25.21</v>
      </c>
      <c r="H445" s="93">
        <v>0</v>
      </c>
      <c r="N445" s="88"/>
      <c r="O445" s="88"/>
      <c r="P445" s="88"/>
    </row>
    <row r="446" spans="1:16">
      <c r="A446" s="94">
        <v>5884</v>
      </c>
      <c r="B446" s="87" t="s">
        <v>930</v>
      </c>
      <c r="C446" s="12" t="s">
        <v>50</v>
      </c>
      <c r="D446" s="93">
        <v>32.71</v>
      </c>
      <c r="E446" s="93">
        <v>10.64</v>
      </c>
      <c r="F446" s="93">
        <v>4.47</v>
      </c>
      <c r="G446" s="93">
        <v>17.600000000000001</v>
      </c>
      <c r="H446" s="93">
        <v>0</v>
      </c>
      <c r="N446" s="88"/>
      <c r="O446" s="88"/>
      <c r="P446" s="88"/>
    </row>
    <row r="447" spans="1:16">
      <c r="A447" s="94">
        <v>5892</v>
      </c>
      <c r="B447" s="87" t="s">
        <v>54</v>
      </c>
      <c r="C447" s="12" t="s">
        <v>50</v>
      </c>
      <c r="D447" s="93">
        <v>38.5</v>
      </c>
      <c r="E447" s="93">
        <v>23.48</v>
      </c>
      <c r="F447" s="93">
        <v>3.69</v>
      </c>
      <c r="G447" s="93">
        <v>11.33</v>
      </c>
      <c r="H447" s="93">
        <v>0</v>
      </c>
      <c r="N447" s="88"/>
      <c r="O447" s="88"/>
      <c r="P447" s="88"/>
    </row>
    <row r="448" spans="1:16">
      <c r="A448" s="94">
        <v>5896</v>
      </c>
      <c r="B448" s="87" t="s">
        <v>931</v>
      </c>
      <c r="C448" s="12" t="s">
        <v>50</v>
      </c>
      <c r="D448" s="93">
        <v>36.72</v>
      </c>
      <c r="E448" s="93">
        <v>23.48</v>
      </c>
      <c r="F448" s="93">
        <v>3.69</v>
      </c>
      <c r="G448" s="93">
        <v>9.5500000000000007</v>
      </c>
      <c r="H448" s="93">
        <v>0</v>
      </c>
      <c r="N448" s="88"/>
      <c r="O448" s="88"/>
      <c r="P448" s="88"/>
    </row>
    <row r="449" spans="1:16">
      <c r="A449" s="94">
        <v>5903</v>
      </c>
      <c r="B449" s="87" t="s">
        <v>932</v>
      </c>
      <c r="C449" s="12" t="s">
        <v>50</v>
      </c>
      <c r="D449" s="93">
        <v>43.92</v>
      </c>
      <c r="E449" s="93">
        <v>23.48</v>
      </c>
      <c r="F449" s="93">
        <v>3.69</v>
      </c>
      <c r="G449" s="93">
        <v>16.75</v>
      </c>
      <c r="H449" s="93">
        <v>0</v>
      </c>
      <c r="N449" s="88"/>
      <c r="O449" s="88"/>
      <c r="P449" s="88"/>
    </row>
    <row r="450" spans="1:16">
      <c r="A450" s="94">
        <v>5911</v>
      </c>
      <c r="B450" s="87" t="s">
        <v>55</v>
      </c>
      <c r="C450" s="12" t="s">
        <v>50</v>
      </c>
      <c r="D450" s="93">
        <v>18.100000000000001</v>
      </c>
      <c r="E450" s="93">
        <v>10.64</v>
      </c>
      <c r="F450" s="93">
        <v>4.47</v>
      </c>
      <c r="G450" s="93">
        <v>2.99</v>
      </c>
      <c r="H450" s="93">
        <v>0</v>
      </c>
      <c r="N450" s="88"/>
      <c r="O450" s="88"/>
      <c r="P450" s="88"/>
    </row>
    <row r="451" spans="1:16">
      <c r="A451" s="94">
        <v>5923</v>
      </c>
      <c r="B451" s="87" t="s">
        <v>933</v>
      </c>
      <c r="C451" s="12" t="s">
        <v>50</v>
      </c>
      <c r="D451" s="93">
        <v>1.71</v>
      </c>
      <c r="E451" s="93">
        <v>0</v>
      </c>
      <c r="F451" s="93">
        <v>0</v>
      </c>
      <c r="G451" s="93">
        <v>1.71</v>
      </c>
      <c r="H451" s="93">
        <v>0</v>
      </c>
      <c r="N451" s="88"/>
      <c r="O451" s="88"/>
      <c r="P451" s="88"/>
    </row>
    <row r="452" spans="1:16">
      <c r="A452" s="94">
        <v>5930</v>
      </c>
      <c r="B452" s="87" t="s">
        <v>934</v>
      </c>
      <c r="C452" s="12" t="s">
        <v>50</v>
      </c>
      <c r="D452" s="93">
        <v>41.31</v>
      </c>
      <c r="E452" s="93">
        <v>24.69</v>
      </c>
      <c r="F452" s="93">
        <v>3.69</v>
      </c>
      <c r="G452" s="93">
        <v>12.93</v>
      </c>
      <c r="H452" s="93">
        <v>0</v>
      </c>
      <c r="N452" s="88"/>
      <c r="O452" s="88"/>
      <c r="P452" s="88"/>
    </row>
    <row r="453" spans="1:16">
      <c r="A453" s="94">
        <v>5934</v>
      </c>
      <c r="B453" s="87" t="s">
        <v>56</v>
      </c>
      <c r="C453" s="12" t="s">
        <v>50</v>
      </c>
      <c r="D453" s="93">
        <v>64.790000000000006</v>
      </c>
      <c r="E453" s="93">
        <v>32.6</v>
      </c>
      <c r="F453" s="93">
        <v>3.69</v>
      </c>
      <c r="G453" s="93">
        <v>28.5</v>
      </c>
      <c r="H453" s="93">
        <v>0</v>
      </c>
      <c r="N453" s="88"/>
      <c r="O453" s="88"/>
      <c r="P453" s="88"/>
    </row>
    <row r="454" spans="1:16">
      <c r="A454" s="94">
        <v>5942</v>
      </c>
      <c r="B454" s="87" t="s">
        <v>935</v>
      </c>
      <c r="C454" s="12" t="s">
        <v>50</v>
      </c>
      <c r="D454" s="93">
        <v>50.96</v>
      </c>
      <c r="E454" s="93">
        <v>22.8</v>
      </c>
      <c r="F454" s="93">
        <v>3.69</v>
      </c>
      <c r="G454" s="93">
        <v>24.47</v>
      </c>
      <c r="H454" s="93">
        <v>0</v>
      </c>
      <c r="N454" s="88"/>
      <c r="O454" s="88"/>
      <c r="P454" s="88"/>
    </row>
    <row r="455" spans="1:16">
      <c r="A455" s="94">
        <v>5946</v>
      </c>
      <c r="B455" s="87" t="s">
        <v>936</v>
      </c>
      <c r="C455" s="12" t="s">
        <v>50</v>
      </c>
      <c r="D455" s="93">
        <v>60.43</v>
      </c>
      <c r="E455" s="93">
        <v>22.8</v>
      </c>
      <c r="F455" s="93">
        <v>3.69</v>
      </c>
      <c r="G455" s="93">
        <v>33.94</v>
      </c>
      <c r="H455" s="93">
        <v>0</v>
      </c>
      <c r="N455" s="88"/>
      <c r="O455" s="88"/>
      <c r="P455" s="88"/>
    </row>
    <row r="456" spans="1:16">
      <c r="A456" s="94">
        <v>5952</v>
      </c>
      <c r="B456" s="87" t="s">
        <v>57</v>
      </c>
      <c r="C456" s="12" t="s">
        <v>50</v>
      </c>
      <c r="D456" s="93">
        <v>20.48</v>
      </c>
      <c r="E456" s="93">
        <v>15.56</v>
      </c>
      <c r="F456" s="93">
        <v>3.69</v>
      </c>
      <c r="G456" s="93">
        <v>1.23</v>
      </c>
      <c r="H456" s="93">
        <v>0</v>
      </c>
      <c r="N456" s="88"/>
      <c r="O456" s="88"/>
      <c r="P456" s="88"/>
    </row>
    <row r="457" spans="1:16">
      <c r="A457" s="94">
        <v>5954</v>
      </c>
      <c r="B457" s="87" t="s">
        <v>58</v>
      </c>
      <c r="C457" s="12" t="s">
        <v>50</v>
      </c>
      <c r="D457" s="93">
        <v>3.17</v>
      </c>
      <c r="E457" s="93">
        <v>0</v>
      </c>
      <c r="F457" s="93">
        <v>0</v>
      </c>
      <c r="G457" s="93">
        <v>3.17</v>
      </c>
      <c r="H457" s="93">
        <v>0</v>
      </c>
      <c r="N457" s="88"/>
      <c r="O457" s="88"/>
      <c r="P457" s="88"/>
    </row>
    <row r="458" spans="1:16">
      <c r="A458" s="94">
        <v>5961</v>
      </c>
      <c r="B458" s="87" t="s">
        <v>937</v>
      </c>
      <c r="C458" s="12" t="s">
        <v>50</v>
      </c>
      <c r="D458" s="93">
        <v>42.29</v>
      </c>
      <c r="E458" s="93">
        <v>22.14</v>
      </c>
      <c r="F458" s="93">
        <v>3.69</v>
      </c>
      <c r="G458" s="93">
        <v>16.46</v>
      </c>
      <c r="H458" s="93">
        <v>0</v>
      </c>
      <c r="N458" s="88"/>
      <c r="O458" s="88"/>
      <c r="P458" s="88"/>
    </row>
    <row r="459" spans="1:16">
      <c r="A459" s="94">
        <v>6260</v>
      </c>
      <c r="B459" s="87" t="s">
        <v>938</v>
      </c>
      <c r="C459" s="12" t="s">
        <v>50</v>
      </c>
      <c r="D459" s="93">
        <v>40.24</v>
      </c>
      <c r="E459" s="93">
        <v>23.48</v>
      </c>
      <c r="F459" s="93">
        <v>3.69</v>
      </c>
      <c r="G459" s="93">
        <v>13.07</v>
      </c>
      <c r="H459" s="93">
        <v>0</v>
      </c>
      <c r="N459" s="88"/>
      <c r="O459" s="88"/>
      <c r="P459" s="88"/>
    </row>
    <row r="460" spans="1:16">
      <c r="A460" s="94">
        <v>6880</v>
      </c>
      <c r="B460" s="87" t="s">
        <v>939</v>
      </c>
      <c r="C460" s="12" t="s">
        <v>50</v>
      </c>
      <c r="D460" s="93">
        <v>54.65</v>
      </c>
      <c r="E460" s="93">
        <v>22.12</v>
      </c>
      <c r="F460" s="93">
        <v>3.69</v>
      </c>
      <c r="G460" s="93">
        <v>28.84</v>
      </c>
      <c r="H460" s="93">
        <v>0</v>
      </c>
      <c r="N460" s="88"/>
      <c r="O460" s="88"/>
      <c r="P460" s="88"/>
    </row>
    <row r="461" spans="1:16">
      <c r="A461" s="94">
        <v>7031</v>
      </c>
      <c r="B461" s="87" t="s">
        <v>940</v>
      </c>
      <c r="C461" s="12" t="s">
        <v>50</v>
      </c>
      <c r="D461" s="93">
        <v>4.0999999999999996</v>
      </c>
      <c r="E461" s="93">
        <v>0</v>
      </c>
      <c r="F461" s="93">
        <v>0</v>
      </c>
      <c r="G461" s="93">
        <v>4.0999999999999996</v>
      </c>
      <c r="H461" s="93">
        <v>0</v>
      </c>
      <c r="N461" s="88"/>
      <c r="O461" s="88"/>
      <c r="P461" s="88"/>
    </row>
    <row r="462" spans="1:16">
      <c r="A462" s="94">
        <v>7043</v>
      </c>
      <c r="B462" s="87" t="s">
        <v>941</v>
      </c>
      <c r="C462" s="12" t="s">
        <v>50</v>
      </c>
      <c r="D462" s="93">
        <v>0.22</v>
      </c>
      <c r="E462" s="93">
        <v>0</v>
      </c>
      <c r="F462" s="93">
        <v>0</v>
      </c>
      <c r="G462" s="93">
        <v>0.22</v>
      </c>
      <c r="H462" s="93">
        <v>0</v>
      </c>
      <c r="N462" s="88"/>
      <c r="O462" s="88"/>
      <c r="P462" s="88"/>
    </row>
    <row r="463" spans="1:16">
      <c r="A463" s="94">
        <v>7050</v>
      </c>
      <c r="B463" s="87" t="s">
        <v>942</v>
      </c>
      <c r="C463" s="12" t="s">
        <v>50</v>
      </c>
      <c r="D463" s="93">
        <v>51.38</v>
      </c>
      <c r="E463" s="93">
        <v>22.12</v>
      </c>
      <c r="F463" s="93">
        <v>3.69</v>
      </c>
      <c r="G463" s="93">
        <v>25.57</v>
      </c>
      <c r="H463" s="93">
        <v>0</v>
      </c>
      <c r="N463" s="88"/>
      <c r="O463" s="88"/>
      <c r="P463" s="88"/>
    </row>
    <row r="464" spans="1:16">
      <c r="A464" s="94">
        <v>67827</v>
      </c>
      <c r="B464" s="87" t="s">
        <v>943</v>
      </c>
      <c r="C464" s="12" t="s">
        <v>50</v>
      </c>
      <c r="D464" s="93">
        <v>41.56</v>
      </c>
      <c r="E464" s="93">
        <v>22.14</v>
      </c>
      <c r="F464" s="93">
        <v>3.69</v>
      </c>
      <c r="G464" s="93">
        <v>15.73</v>
      </c>
      <c r="H464" s="93">
        <v>0</v>
      </c>
      <c r="N464" s="88"/>
      <c r="O464" s="88"/>
      <c r="P464" s="88"/>
    </row>
    <row r="465" spans="1:16">
      <c r="A465" s="94">
        <v>73395</v>
      </c>
      <c r="B465" s="87" t="s">
        <v>944</v>
      </c>
      <c r="C465" s="12" t="s">
        <v>50</v>
      </c>
      <c r="D465" s="93">
        <v>5.18</v>
      </c>
      <c r="E465" s="93">
        <v>0</v>
      </c>
      <c r="F465" s="93">
        <v>0</v>
      </c>
      <c r="G465" s="93">
        <v>5.18</v>
      </c>
      <c r="H465" s="93">
        <v>0</v>
      </c>
      <c r="N465" s="88"/>
      <c r="O465" s="88"/>
      <c r="P465" s="88"/>
    </row>
    <row r="466" spans="1:16">
      <c r="A466" s="94">
        <v>83766</v>
      </c>
      <c r="B466" s="87" t="s">
        <v>945</v>
      </c>
      <c r="C466" s="12" t="s">
        <v>50</v>
      </c>
      <c r="D466" s="93">
        <v>32.65</v>
      </c>
      <c r="E466" s="93">
        <v>17</v>
      </c>
      <c r="F466" s="93">
        <v>5.24</v>
      </c>
      <c r="G466" s="93">
        <v>10.41</v>
      </c>
      <c r="H466" s="93">
        <v>0</v>
      </c>
      <c r="N466" s="88"/>
      <c r="O466" s="88"/>
      <c r="P466" s="88"/>
    </row>
    <row r="467" spans="1:16">
      <c r="A467" s="94">
        <v>84013</v>
      </c>
      <c r="B467" s="87" t="s">
        <v>946</v>
      </c>
      <c r="C467" s="12" t="s">
        <v>50</v>
      </c>
      <c r="D467" s="93">
        <v>60.89</v>
      </c>
      <c r="E467" s="93">
        <v>28.69</v>
      </c>
      <c r="F467" s="93">
        <v>3.69</v>
      </c>
      <c r="G467" s="93">
        <v>28.51</v>
      </c>
      <c r="H467" s="93">
        <v>0</v>
      </c>
      <c r="N467" s="88"/>
      <c r="O467" s="88"/>
      <c r="P467" s="88"/>
    </row>
    <row r="468" spans="1:16">
      <c r="A468" s="94">
        <v>87446</v>
      </c>
      <c r="B468" s="87" t="s">
        <v>59</v>
      </c>
      <c r="C468" s="12" t="s">
        <v>50</v>
      </c>
      <c r="D468" s="93">
        <v>0.35</v>
      </c>
      <c r="E468" s="93">
        <v>0</v>
      </c>
      <c r="F468" s="93">
        <v>0</v>
      </c>
      <c r="G468" s="93">
        <v>0.35</v>
      </c>
      <c r="H468" s="93">
        <v>0</v>
      </c>
      <c r="N468" s="88"/>
      <c r="O468" s="88"/>
      <c r="P468" s="88"/>
    </row>
    <row r="469" spans="1:16">
      <c r="A469" s="94">
        <v>88392</v>
      </c>
      <c r="B469" s="87" t="s">
        <v>947</v>
      </c>
      <c r="C469" s="12" t="s">
        <v>50</v>
      </c>
      <c r="D469" s="93">
        <v>0.7</v>
      </c>
      <c r="E469" s="93">
        <v>0</v>
      </c>
      <c r="F469" s="93">
        <v>0</v>
      </c>
      <c r="G469" s="93">
        <v>0.7</v>
      </c>
      <c r="H469" s="93">
        <v>0</v>
      </c>
      <c r="N469" s="88"/>
      <c r="O469" s="88"/>
      <c r="P469" s="88"/>
    </row>
    <row r="470" spans="1:16">
      <c r="A470" s="94">
        <v>88398</v>
      </c>
      <c r="B470" s="87" t="s">
        <v>948</v>
      </c>
      <c r="C470" s="12" t="s">
        <v>50</v>
      </c>
      <c r="D470" s="93">
        <v>0.83</v>
      </c>
      <c r="E470" s="93">
        <v>0</v>
      </c>
      <c r="F470" s="93">
        <v>0</v>
      </c>
      <c r="G470" s="93">
        <v>0.83</v>
      </c>
      <c r="H470" s="93">
        <v>0</v>
      </c>
      <c r="N470" s="88"/>
      <c r="O470" s="88"/>
      <c r="P470" s="88"/>
    </row>
    <row r="471" spans="1:16">
      <c r="A471" s="94">
        <v>88404</v>
      </c>
      <c r="B471" s="87" t="s">
        <v>949</v>
      </c>
      <c r="C471" s="12" t="s">
        <v>50</v>
      </c>
      <c r="D471" s="93">
        <v>0.67</v>
      </c>
      <c r="E471" s="93">
        <v>0</v>
      </c>
      <c r="F471" s="93">
        <v>0</v>
      </c>
      <c r="G471" s="93">
        <v>0.67</v>
      </c>
      <c r="H471" s="93">
        <v>0</v>
      </c>
      <c r="N471" s="88"/>
      <c r="O471" s="88"/>
      <c r="P471" s="88"/>
    </row>
    <row r="472" spans="1:16">
      <c r="A472" s="94">
        <v>88430</v>
      </c>
      <c r="B472" s="87" t="s">
        <v>60</v>
      </c>
      <c r="C472" s="12" t="s">
        <v>50</v>
      </c>
      <c r="D472" s="93">
        <v>4.37</v>
      </c>
      <c r="E472" s="93">
        <v>0</v>
      </c>
      <c r="F472" s="93">
        <v>0</v>
      </c>
      <c r="G472" s="93">
        <v>4.37</v>
      </c>
      <c r="H472" s="93">
        <v>0</v>
      </c>
      <c r="N472" s="88"/>
      <c r="O472" s="88"/>
      <c r="P472" s="88"/>
    </row>
    <row r="473" spans="1:16">
      <c r="A473" s="94">
        <v>88438</v>
      </c>
      <c r="B473" s="87" t="s">
        <v>950</v>
      </c>
      <c r="C473" s="12" t="s">
        <v>50</v>
      </c>
      <c r="D473" s="93">
        <v>5.79</v>
      </c>
      <c r="E473" s="93">
        <v>0</v>
      </c>
      <c r="F473" s="93">
        <v>0</v>
      </c>
      <c r="G473" s="93">
        <v>5.79</v>
      </c>
      <c r="H473" s="93">
        <v>0</v>
      </c>
      <c r="N473" s="88"/>
      <c r="O473" s="88"/>
      <c r="P473" s="88"/>
    </row>
    <row r="474" spans="1:16">
      <c r="A474" s="94">
        <v>88831</v>
      </c>
      <c r="B474" s="87" t="s">
        <v>951</v>
      </c>
      <c r="C474" s="12" t="s">
        <v>50</v>
      </c>
      <c r="D474" s="93">
        <v>0.26</v>
      </c>
      <c r="E474" s="93">
        <v>0</v>
      </c>
      <c r="F474" s="93">
        <v>0</v>
      </c>
      <c r="G474" s="93">
        <v>0.26</v>
      </c>
      <c r="H474" s="93">
        <v>0</v>
      </c>
      <c r="N474" s="88"/>
      <c r="O474" s="88"/>
      <c r="P474" s="88"/>
    </row>
    <row r="475" spans="1:16">
      <c r="A475" s="94">
        <v>88844</v>
      </c>
      <c r="B475" s="87" t="s">
        <v>952</v>
      </c>
      <c r="C475" s="12" t="s">
        <v>50</v>
      </c>
      <c r="D475" s="93">
        <v>51.98</v>
      </c>
      <c r="E475" s="93">
        <v>23.23</v>
      </c>
      <c r="F475" s="93">
        <v>28.75</v>
      </c>
      <c r="G475" s="93">
        <v>0</v>
      </c>
      <c r="H475" s="93">
        <v>0</v>
      </c>
      <c r="N475" s="88"/>
      <c r="O475" s="88"/>
      <c r="P475" s="88"/>
    </row>
    <row r="476" spans="1:16">
      <c r="A476" s="94">
        <v>88908</v>
      </c>
      <c r="B476" s="87" t="s">
        <v>953</v>
      </c>
      <c r="C476" s="12" t="s">
        <v>50</v>
      </c>
      <c r="D476" s="93">
        <v>65.63</v>
      </c>
      <c r="E476" s="93">
        <v>28.69</v>
      </c>
      <c r="F476" s="93">
        <v>3.69</v>
      </c>
      <c r="G476" s="93">
        <v>33.25</v>
      </c>
      <c r="H476" s="93">
        <v>0</v>
      </c>
      <c r="N476" s="88"/>
      <c r="O476" s="88"/>
      <c r="P476" s="88"/>
    </row>
    <row r="477" spans="1:16">
      <c r="A477" s="94">
        <v>89022</v>
      </c>
      <c r="B477" s="87" t="s">
        <v>954</v>
      </c>
      <c r="C477" s="12" t="s">
        <v>50</v>
      </c>
      <c r="D477" s="93">
        <v>0.31</v>
      </c>
      <c r="E477" s="93">
        <v>0</v>
      </c>
      <c r="F477" s="93">
        <v>0</v>
      </c>
      <c r="G477" s="93">
        <v>0.31</v>
      </c>
      <c r="H477" s="93">
        <v>0</v>
      </c>
      <c r="N477" s="88"/>
      <c r="O477" s="88"/>
      <c r="P477" s="88"/>
    </row>
    <row r="478" spans="1:16">
      <c r="A478" s="94">
        <v>89027</v>
      </c>
      <c r="B478" s="87" t="s">
        <v>61</v>
      </c>
      <c r="C478" s="12" t="s">
        <v>50</v>
      </c>
      <c r="D478" s="93">
        <v>3.33</v>
      </c>
      <c r="E478" s="93">
        <v>0</v>
      </c>
      <c r="F478" s="93">
        <v>0</v>
      </c>
      <c r="G478" s="93">
        <v>3.33</v>
      </c>
      <c r="H478" s="93">
        <v>0</v>
      </c>
      <c r="N478" s="88"/>
      <c r="O478" s="88"/>
      <c r="P478" s="88"/>
    </row>
    <row r="479" spans="1:16">
      <c r="A479" s="94">
        <v>89031</v>
      </c>
      <c r="B479" s="87" t="s">
        <v>955</v>
      </c>
      <c r="C479" s="12" t="s">
        <v>50</v>
      </c>
      <c r="D479" s="93">
        <v>50.87</v>
      </c>
      <c r="E479" s="93">
        <v>23.23</v>
      </c>
      <c r="F479" s="93">
        <v>3.69</v>
      </c>
      <c r="G479" s="93">
        <v>23.95</v>
      </c>
      <c r="H479" s="93">
        <v>0</v>
      </c>
      <c r="N479" s="88"/>
      <c r="O479" s="88"/>
      <c r="P479" s="88"/>
    </row>
    <row r="480" spans="1:16">
      <c r="A480" s="94">
        <v>89036</v>
      </c>
      <c r="B480" s="87" t="s">
        <v>62</v>
      </c>
      <c r="C480" s="12" t="s">
        <v>50</v>
      </c>
      <c r="D480" s="93">
        <v>36.32</v>
      </c>
      <c r="E480" s="93">
        <v>23.23</v>
      </c>
      <c r="F480" s="93">
        <v>3.69</v>
      </c>
      <c r="G480" s="93">
        <v>9.4</v>
      </c>
      <c r="H480" s="93">
        <v>0</v>
      </c>
      <c r="N480" s="88"/>
      <c r="O480" s="88"/>
      <c r="P480" s="88"/>
    </row>
    <row r="481" spans="1:16">
      <c r="A481" s="94">
        <v>89218</v>
      </c>
      <c r="B481" s="87" t="s">
        <v>63</v>
      </c>
      <c r="C481" s="12" t="s">
        <v>50</v>
      </c>
      <c r="D481" s="93">
        <v>77.930000000000007</v>
      </c>
      <c r="E481" s="93">
        <v>52.2</v>
      </c>
      <c r="F481" s="93">
        <v>7.38</v>
      </c>
      <c r="G481" s="93">
        <v>18.350000000000001</v>
      </c>
      <c r="H481" s="93">
        <v>0</v>
      </c>
      <c r="N481" s="88"/>
      <c r="O481" s="88"/>
      <c r="P481" s="88"/>
    </row>
    <row r="482" spans="1:16">
      <c r="A482" s="94">
        <v>89226</v>
      </c>
      <c r="B482" s="87" t="s">
        <v>956</v>
      </c>
      <c r="C482" s="12" t="s">
        <v>50</v>
      </c>
      <c r="D482" s="93">
        <v>1.08</v>
      </c>
      <c r="E482" s="93">
        <v>0</v>
      </c>
      <c r="F482" s="93">
        <v>0</v>
      </c>
      <c r="G482" s="93">
        <v>1.08</v>
      </c>
      <c r="H482" s="93">
        <v>0</v>
      </c>
      <c r="N482" s="88"/>
      <c r="O482" s="88"/>
      <c r="P482" s="88"/>
    </row>
    <row r="483" spans="1:16">
      <c r="A483" s="94">
        <v>89235</v>
      </c>
      <c r="B483" s="87" t="s">
        <v>957</v>
      </c>
      <c r="C483" s="12" t="s">
        <v>50</v>
      </c>
      <c r="D483" s="93">
        <v>135.18</v>
      </c>
      <c r="E483" s="93">
        <v>27.42</v>
      </c>
      <c r="F483" s="93">
        <v>3.69</v>
      </c>
      <c r="G483" s="93">
        <v>104.07</v>
      </c>
      <c r="H483" s="93">
        <v>0</v>
      </c>
      <c r="N483" s="88"/>
      <c r="O483" s="88"/>
      <c r="P483" s="88"/>
    </row>
    <row r="484" spans="1:16">
      <c r="A484" s="94">
        <v>89243</v>
      </c>
      <c r="B484" s="87" t="s">
        <v>958</v>
      </c>
      <c r="C484" s="12" t="s">
        <v>50</v>
      </c>
      <c r="D484" s="93">
        <v>274.24</v>
      </c>
      <c r="E484" s="93">
        <v>27.42</v>
      </c>
      <c r="F484" s="93">
        <v>3.69</v>
      </c>
      <c r="G484" s="93">
        <v>243.13</v>
      </c>
      <c r="H484" s="93">
        <v>0</v>
      </c>
      <c r="N484" s="88"/>
      <c r="O484" s="88"/>
      <c r="P484" s="88"/>
    </row>
    <row r="485" spans="1:16">
      <c r="A485" s="94">
        <v>89251</v>
      </c>
      <c r="B485" s="87" t="s">
        <v>64</v>
      </c>
      <c r="C485" s="12" t="s">
        <v>50</v>
      </c>
      <c r="D485" s="93">
        <v>242.37</v>
      </c>
      <c r="E485" s="93">
        <v>27.42</v>
      </c>
      <c r="F485" s="93">
        <v>3.69</v>
      </c>
      <c r="G485" s="93">
        <v>211.26</v>
      </c>
      <c r="H485" s="93">
        <v>0</v>
      </c>
      <c r="N485" s="88"/>
      <c r="O485" s="88"/>
      <c r="P485" s="88"/>
    </row>
    <row r="486" spans="1:16">
      <c r="A486" s="94">
        <v>89258</v>
      </c>
      <c r="B486" s="87" t="s">
        <v>959</v>
      </c>
      <c r="C486" s="12" t="s">
        <v>50</v>
      </c>
      <c r="D486" s="93">
        <v>93.39</v>
      </c>
      <c r="E486" s="93">
        <v>27.42</v>
      </c>
      <c r="F486" s="93">
        <v>3.69</v>
      </c>
      <c r="G486" s="93">
        <v>62.28</v>
      </c>
      <c r="H486" s="93">
        <v>0</v>
      </c>
      <c r="N486" s="88"/>
      <c r="O486" s="88"/>
      <c r="P486" s="88"/>
    </row>
    <row r="487" spans="1:16">
      <c r="A487" s="94">
        <v>89273</v>
      </c>
      <c r="B487" s="87" t="s">
        <v>960</v>
      </c>
      <c r="C487" s="12" t="s">
        <v>50</v>
      </c>
      <c r="D487" s="93">
        <v>61.49</v>
      </c>
      <c r="E487" s="93">
        <v>23.31</v>
      </c>
      <c r="F487" s="93">
        <v>3.69</v>
      </c>
      <c r="G487" s="93">
        <v>34.49</v>
      </c>
      <c r="H487" s="93">
        <v>0</v>
      </c>
      <c r="N487" s="88"/>
      <c r="O487" s="88"/>
      <c r="P487" s="88"/>
    </row>
    <row r="488" spans="1:16">
      <c r="A488" s="94">
        <v>89279</v>
      </c>
      <c r="B488" s="87" t="s">
        <v>961</v>
      </c>
      <c r="C488" s="12" t="s">
        <v>50</v>
      </c>
      <c r="D488" s="93">
        <v>1.32</v>
      </c>
      <c r="E488" s="93">
        <v>0</v>
      </c>
      <c r="F488" s="93">
        <v>0</v>
      </c>
      <c r="G488" s="93">
        <v>1.32</v>
      </c>
      <c r="H488" s="93">
        <v>0</v>
      </c>
      <c r="N488" s="88"/>
      <c r="O488" s="88"/>
      <c r="P488" s="88"/>
    </row>
    <row r="489" spans="1:16">
      <c r="A489" s="94">
        <v>89877</v>
      </c>
      <c r="B489" s="87" t="s">
        <v>65</v>
      </c>
      <c r="C489" s="12" t="s">
        <v>50</v>
      </c>
      <c r="D489" s="93">
        <v>53.62</v>
      </c>
      <c r="E489" s="93">
        <v>22.14</v>
      </c>
      <c r="F489" s="93">
        <v>3.69</v>
      </c>
      <c r="G489" s="93">
        <v>27.79</v>
      </c>
      <c r="H489" s="93">
        <v>0</v>
      </c>
      <c r="N489" s="88"/>
      <c r="O489" s="88"/>
      <c r="P489" s="88"/>
    </row>
    <row r="490" spans="1:16">
      <c r="A490" s="94">
        <v>89884</v>
      </c>
      <c r="B490" s="87" t="s">
        <v>66</v>
      </c>
      <c r="C490" s="12" t="s">
        <v>50</v>
      </c>
      <c r="D490" s="93">
        <v>55.24</v>
      </c>
      <c r="E490" s="93">
        <v>22.14</v>
      </c>
      <c r="F490" s="93">
        <v>3.69</v>
      </c>
      <c r="G490" s="93">
        <v>29.41</v>
      </c>
      <c r="H490" s="93">
        <v>0</v>
      </c>
      <c r="N490" s="88"/>
      <c r="O490" s="88"/>
      <c r="P490" s="88"/>
    </row>
    <row r="491" spans="1:16">
      <c r="A491" s="94">
        <v>90587</v>
      </c>
      <c r="B491" s="87" t="s">
        <v>962</v>
      </c>
      <c r="C491" s="12" t="s">
        <v>50</v>
      </c>
      <c r="D491" s="93">
        <v>0.4</v>
      </c>
      <c r="E491" s="93">
        <v>0</v>
      </c>
      <c r="F491" s="93">
        <v>0</v>
      </c>
      <c r="G491" s="93">
        <v>0.4</v>
      </c>
      <c r="H491" s="93">
        <v>0</v>
      </c>
      <c r="N491" s="88"/>
      <c r="O491" s="88"/>
      <c r="P491" s="88"/>
    </row>
    <row r="492" spans="1:16">
      <c r="A492" s="94">
        <v>90626</v>
      </c>
      <c r="B492" s="87" t="s">
        <v>67</v>
      </c>
      <c r="C492" s="12" t="s">
        <v>50</v>
      </c>
      <c r="D492" s="93">
        <v>1.64</v>
      </c>
      <c r="E492" s="93">
        <v>0</v>
      </c>
      <c r="F492" s="93">
        <v>0</v>
      </c>
      <c r="G492" s="93">
        <v>1.64</v>
      </c>
      <c r="H492" s="93">
        <v>0</v>
      </c>
      <c r="N492" s="88"/>
      <c r="O492" s="88"/>
      <c r="P492" s="88"/>
    </row>
    <row r="493" spans="1:16">
      <c r="A493" s="94">
        <v>90632</v>
      </c>
      <c r="B493" s="87" t="s">
        <v>68</v>
      </c>
      <c r="C493" s="12" t="s">
        <v>50</v>
      </c>
      <c r="D493" s="93">
        <v>56.48</v>
      </c>
      <c r="E493" s="93">
        <v>22.18</v>
      </c>
      <c r="F493" s="93">
        <v>3.69</v>
      </c>
      <c r="G493" s="93">
        <v>30.61</v>
      </c>
      <c r="H493" s="93">
        <v>0</v>
      </c>
      <c r="N493" s="88"/>
      <c r="O493" s="88"/>
      <c r="P493" s="88"/>
    </row>
    <row r="494" spans="1:16">
      <c r="A494" s="94">
        <v>90638</v>
      </c>
      <c r="B494" s="87" t="s">
        <v>69</v>
      </c>
      <c r="C494" s="12" t="s">
        <v>50</v>
      </c>
      <c r="D494" s="93">
        <v>3.36</v>
      </c>
      <c r="E494" s="93">
        <v>0</v>
      </c>
      <c r="F494" s="93">
        <v>0</v>
      </c>
      <c r="G494" s="93">
        <v>3.36</v>
      </c>
      <c r="H494" s="93">
        <v>0</v>
      </c>
      <c r="N494" s="88"/>
      <c r="O494" s="88"/>
      <c r="P494" s="88"/>
    </row>
    <row r="495" spans="1:16">
      <c r="A495" s="94">
        <v>90644</v>
      </c>
      <c r="B495" s="87" t="s">
        <v>963</v>
      </c>
      <c r="C495" s="12" t="s">
        <v>50</v>
      </c>
      <c r="D495" s="93">
        <v>5.0199999999999996</v>
      </c>
      <c r="E495" s="93">
        <v>0</v>
      </c>
      <c r="F495" s="93">
        <v>0</v>
      </c>
      <c r="G495" s="93">
        <v>5.0199999999999996</v>
      </c>
      <c r="H495" s="93">
        <v>0</v>
      </c>
      <c r="N495" s="88"/>
      <c r="O495" s="88"/>
      <c r="P495" s="88"/>
    </row>
    <row r="496" spans="1:16">
      <c r="A496" s="94">
        <v>90651</v>
      </c>
      <c r="B496" s="87" t="s">
        <v>964</v>
      </c>
      <c r="C496" s="12" t="s">
        <v>50</v>
      </c>
      <c r="D496" s="93">
        <v>0.64</v>
      </c>
      <c r="E496" s="93">
        <v>0</v>
      </c>
      <c r="F496" s="93">
        <v>0</v>
      </c>
      <c r="G496" s="93">
        <v>0.64</v>
      </c>
      <c r="H496" s="93">
        <v>0</v>
      </c>
      <c r="N496" s="88"/>
      <c r="O496" s="88"/>
      <c r="P496" s="88"/>
    </row>
    <row r="497" spans="1:16">
      <c r="A497" s="94">
        <v>90657</v>
      </c>
      <c r="B497" s="87" t="s">
        <v>70</v>
      </c>
      <c r="C497" s="12" t="s">
        <v>50</v>
      </c>
      <c r="D497" s="93">
        <v>3.26</v>
      </c>
      <c r="E497" s="93">
        <v>0</v>
      </c>
      <c r="F497" s="93">
        <v>0</v>
      </c>
      <c r="G497" s="93">
        <v>3.26</v>
      </c>
      <c r="H497" s="93">
        <v>0</v>
      </c>
      <c r="N497" s="88"/>
      <c r="O497" s="88"/>
      <c r="P497" s="88"/>
    </row>
    <row r="498" spans="1:16">
      <c r="A498" s="94">
        <v>90663</v>
      </c>
      <c r="B498" s="87" t="s">
        <v>71</v>
      </c>
      <c r="C498" s="12" t="s">
        <v>50</v>
      </c>
      <c r="D498" s="93">
        <v>3.5</v>
      </c>
      <c r="E498" s="93">
        <v>0</v>
      </c>
      <c r="F498" s="93">
        <v>0</v>
      </c>
      <c r="G498" s="93">
        <v>3.5</v>
      </c>
      <c r="H498" s="93">
        <v>0</v>
      </c>
      <c r="N498" s="88"/>
      <c r="O498" s="88"/>
      <c r="P498" s="88"/>
    </row>
    <row r="499" spans="1:16">
      <c r="A499" s="94">
        <v>90669</v>
      </c>
      <c r="B499" s="87" t="s">
        <v>965</v>
      </c>
      <c r="C499" s="12" t="s">
        <v>50</v>
      </c>
      <c r="D499" s="93">
        <v>5.0199999999999996</v>
      </c>
      <c r="E499" s="93">
        <v>0</v>
      </c>
      <c r="F499" s="93">
        <v>0</v>
      </c>
      <c r="G499" s="93">
        <v>5.0199999999999996</v>
      </c>
      <c r="H499" s="93">
        <v>0</v>
      </c>
      <c r="N499" s="88"/>
      <c r="O499" s="88"/>
      <c r="P499" s="88"/>
    </row>
    <row r="500" spans="1:16">
      <c r="A500" s="94">
        <v>90675</v>
      </c>
      <c r="B500" s="87" t="s">
        <v>966</v>
      </c>
      <c r="C500" s="12" t="s">
        <v>50</v>
      </c>
      <c r="D500" s="93">
        <v>165.87</v>
      </c>
      <c r="E500" s="93">
        <v>22.18</v>
      </c>
      <c r="F500" s="93">
        <v>3.69</v>
      </c>
      <c r="G500" s="93">
        <v>140</v>
      </c>
      <c r="H500" s="93">
        <v>0</v>
      </c>
      <c r="N500" s="88"/>
      <c r="O500" s="88"/>
      <c r="P500" s="88"/>
    </row>
    <row r="501" spans="1:16">
      <c r="A501" s="94">
        <v>90681</v>
      </c>
      <c r="B501" s="87" t="s">
        <v>967</v>
      </c>
      <c r="C501" s="12" t="s">
        <v>50</v>
      </c>
      <c r="D501" s="93">
        <v>101.64</v>
      </c>
      <c r="E501" s="93">
        <v>22.18</v>
      </c>
      <c r="F501" s="93">
        <v>3.69</v>
      </c>
      <c r="G501" s="93">
        <v>75.77</v>
      </c>
      <c r="H501" s="93">
        <v>0</v>
      </c>
      <c r="N501" s="88"/>
      <c r="O501" s="88"/>
      <c r="P501" s="88"/>
    </row>
    <row r="502" spans="1:16">
      <c r="A502" s="94">
        <v>90687</v>
      </c>
      <c r="B502" s="87" t="s">
        <v>968</v>
      </c>
      <c r="C502" s="12" t="s">
        <v>50</v>
      </c>
      <c r="D502" s="93">
        <v>53.13</v>
      </c>
      <c r="E502" s="93">
        <v>22.8</v>
      </c>
      <c r="F502" s="93">
        <v>3.69</v>
      </c>
      <c r="G502" s="93">
        <v>26.64</v>
      </c>
      <c r="H502" s="93">
        <v>0</v>
      </c>
      <c r="N502" s="88"/>
      <c r="O502" s="88"/>
      <c r="P502" s="88"/>
    </row>
    <row r="503" spans="1:16">
      <c r="A503" s="94">
        <v>90693</v>
      </c>
      <c r="B503" s="87" t="s">
        <v>969</v>
      </c>
      <c r="C503" s="12" t="s">
        <v>50</v>
      </c>
      <c r="D503" s="93">
        <v>41.53</v>
      </c>
      <c r="E503" s="93">
        <v>22.8</v>
      </c>
      <c r="F503" s="93">
        <v>3.69</v>
      </c>
      <c r="G503" s="93">
        <v>15.04</v>
      </c>
      <c r="H503" s="93">
        <v>0</v>
      </c>
      <c r="N503" s="88"/>
      <c r="O503" s="88"/>
      <c r="P503" s="88"/>
    </row>
    <row r="504" spans="1:16">
      <c r="A504" s="94">
        <v>90965</v>
      </c>
      <c r="B504" s="87" t="s">
        <v>72</v>
      </c>
      <c r="C504" s="12" t="s">
        <v>50</v>
      </c>
      <c r="D504" s="93">
        <v>4.24</v>
      </c>
      <c r="E504" s="93">
        <v>0</v>
      </c>
      <c r="F504" s="93">
        <v>0</v>
      </c>
      <c r="G504" s="93">
        <v>4.24</v>
      </c>
      <c r="H504" s="93">
        <v>0</v>
      </c>
      <c r="N504" s="88"/>
      <c r="O504" s="88"/>
      <c r="P504" s="88"/>
    </row>
    <row r="505" spans="1:16">
      <c r="A505" s="94">
        <v>90973</v>
      </c>
      <c r="B505" s="87" t="s">
        <v>970</v>
      </c>
      <c r="C505" s="12" t="s">
        <v>50</v>
      </c>
      <c r="D505" s="93">
        <v>4.25</v>
      </c>
      <c r="E505" s="93">
        <v>0</v>
      </c>
      <c r="F505" s="93">
        <v>0</v>
      </c>
      <c r="G505" s="93">
        <v>4.25</v>
      </c>
      <c r="H505" s="93">
        <v>0</v>
      </c>
      <c r="N505" s="88"/>
      <c r="O505" s="88"/>
      <c r="P505" s="88"/>
    </row>
    <row r="506" spans="1:16">
      <c r="A506" s="94">
        <v>90982</v>
      </c>
      <c r="B506" s="87" t="s">
        <v>73</v>
      </c>
      <c r="C506" s="12" t="s">
        <v>50</v>
      </c>
      <c r="D506" s="93">
        <v>10.8</v>
      </c>
      <c r="E506" s="93">
        <v>0</v>
      </c>
      <c r="F506" s="93">
        <v>0</v>
      </c>
      <c r="G506" s="93">
        <v>10.8</v>
      </c>
      <c r="H506" s="93">
        <v>0</v>
      </c>
      <c r="N506" s="88"/>
      <c r="O506" s="88"/>
      <c r="P506" s="88"/>
    </row>
    <row r="507" spans="1:16">
      <c r="A507" s="94">
        <v>91001</v>
      </c>
      <c r="B507" s="87" t="s">
        <v>971</v>
      </c>
      <c r="C507" s="12" t="s">
        <v>50</v>
      </c>
      <c r="D507" s="93">
        <v>5.04</v>
      </c>
      <c r="E507" s="93">
        <v>0</v>
      </c>
      <c r="F507" s="93">
        <v>0</v>
      </c>
      <c r="G507" s="93">
        <v>5.04</v>
      </c>
      <c r="H507" s="93">
        <v>0</v>
      </c>
      <c r="N507" s="88"/>
      <c r="O507" s="88"/>
      <c r="P507" s="88"/>
    </row>
    <row r="508" spans="1:16">
      <c r="A508" s="94">
        <v>91032</v>
      </c>
      <c r="B508" s="87" t="s">
        <v>74</v>
      </c>
      <c r="C508" s="12" t="s">
        <v>50</v>
      </c>
      <c r="D508" s="93">
        <v>41.9</v>
      </c>
      <c r="E508" s="93">
        <v>23.48</v>
      </c>
      <c r="F508" s="93">
        <v>3.69</v>
      </c>
      <c r="G508" s="93">
        <v>14.73</v>
      </c>
      <c r="H508" s="93">
        <v>0</v>
      </c>
      <c r="N508" s="88"/>
      <c r="O508" s="88"/>
      <c r="P508" s="88"/>
    </row>
    <row r="509" spans="1:16">
      <c r="A509" s="94">
        <v>91278</v>
      </c>
      <c r="B509" s="87" t="s">
        <v>972</v>
      </c>
      <c r="C509" s="12" t="s">
        <v>50</v>
      </c>
      <c r="D509" s="93">
        <v>0.54</v>
      </c>
      <c r="E509" s="93">
        <v>0</v>
      </c>
      <c r="F509" s="93">
        <v>0</v>
      </c>
      <c r="G509" s="93">
        <v>0.54</v>
      </c>
      <c r="H509" s="93">
        <v>0</v>
      </c>
      <c r="N509" s="88"/>
      <c r="O509" s="88"/>
      <c r="P509" s="88"/>
    </row>
    <row r="510" spans="1:16">
      <c r="A510" s="94">
        <v>91285</v>
      </c>
      <c r="B510" s="87" t="s">
        <v>973</v>
      </c>
      <c r="C510" s="12" t="s">
        <v>50</v>
      </c>
      <c r="D510" s="93">
        <v>0.74</v>
      </c>
      <c r="E510" s="93">
        <v>0</v>
      </c>
      <c r="F510" s="93">
        <v>0</v>
      </c>
      <c r="G510" s="93">
        <v>0.74</v>
      </c>
      <c r="H510" s="93">
        <v>0</v>
      </c>
      <c r="N510" s="88"/>
      <c r="O510" s="88"/>
      <c r="P510" s="88"/>
    </row>
    <row r="511" spans="1:16">
      <c r="A511" s="94">
        <v>91387</v>
      </c>
      <c r="B511" s="87" t="s">
        <v>974</v>
      </c>
      <c r="C511" s="12" t="s">
        <v>50</v>
      </c>
      <c r="D511" s="93">
        <v>44.49</v>
      </c>
      <c r="E511" s="93">
        <v>22.14</v>
      </c>
      <c r="F511" s="93">
        <v>3.69</v>
      </c>
      <c r="G511" s="93">
        <v>18.66</v>
      </c>
      <c r="H511" s="93">
        <v>0</v>
      </c>
      <c r="N511" s="88"/>
      <c r="O511" s="88"/>
      <c r="P511" s="88"/>
    </row>
    <row r="512" spans="1:16">
      <c r="A512" s="94">
        <v>91395</v>
      </c>
      <c r="B512" s="87" t="s">
        <v>975</v>
      </c>
      <c r="C512" s="12" t="s">
        <v>50</v>
      </c>
      <c r="D512" s="93">
        <v>39.56</v>
      </c>
      <c r="E512" s="93">
        <v>23.48</v>
      </c>
      <c r="F512" s="93">
        <v>3.69</v>
      </c>
      <c r="G512" s="93">
        <v>12.39</v>
      </c>
      <c r="H512" s="93">
        <v>0</v>
      </c>
      <c r="N512" s="88"/>
      <c r="O512" s="88"/>
      <c r="P512" s="88"/>
    </row>
    <row r="513" spans="1:16">
      <c r="A513" s="94">
        <v>91486</v>
      </c>
      <c r="B513" s="87" t="s">
        <v>976</v>
      </c>
      <c r="C513" s="12" t="s">
        <v>50</v>
      </c>
      <c r="D513" s="93">
        <v>44.84</v>
      </c>
      <c r="E513" s="93">
        <v>23.48</v>
      </c>
      <c r="F513" s="93">
        <v>3.69</v>
      </c>
      <c r="G513" s="93">
        <v>17.670000000000002</v>
      </c>
      <c r="H513" s="93">
        <v>0</v>
      </c>
      <c r="N513" s="88"/>
      <c r="O513" s="88"/>
      <c r="P513" s="88"/>
    </row>
    <row r="514" spans="1:16">
      <c r="A514" s="94">
        <v>91534</v>
      </c>
      <c r="B514" s="87" t="s">
        <v>977</v>
      </c>
      <c r="C514" s="12" t="s">
        <v>50</v>
      </c>
      <c r="D514" s="93">
        <v>26.67</v>
      </c>
      <c r="E514" s="93">
        <v>22.18</v>
      </c>
      <c r="F514" s="93">
        <v>3.69</v>
      </c>
      <c r="G514" s="93">
        <v>0.8</v>
      </c>
      <c r="H514" s="93">
        <v>0</v>
      </c>
      <c r="N514" s="88"/>
      <c r="O514" s="88"/>
      <c r="P514" s="88"/>
    </row>
    <row r="515" spans="1:16">
      <c r="A515" s="94">
        <v>91635</v>
      </c>
      <c r="B515" s="87" t="s">
        <v>978</v>
      </c>
      <c r="C515" s="12" t="s">
        <v>50</v>
      </c>
      <c r="D515" s="93">
        <v>40.33</v>
      </c>
      <c r="E515" s="93">
        <v>24.69</v>
      </c>
      <c r="F515" s="93">
        <v>3.69</v>
      </c>
      <c r="G515" s="93">
        <v>11.95</v>
      </c>
      <c r="H515" s="93">
        <v>0</v>
      </c>
      <c r="N515" s="88"/>
      <c r="O515" s="88"/>
      <c r="P515" s="88"/>
    </row>
    <row r="516" spans="1:16">
      <c r="A516" s="94">
        <v>91646</v>
      </c>
      <c r="B516" s="87" t="s">
        <v>979</v>
      </c>
      <c r="C516" s="12" t="s">
        <v>50</v>
      </c>
      <c r="D516" s="93">
        <v>64.540000000000006</v>
      </c>
      <c r="E516" s="93">
        <v>31.37</v>
      </c>
      <c r="F516" s="93">
        <v>3.69</v>
      </c>
      <c r="G516" s="93">
        <v>29.48</v>
      </c>
      <c r="H516" s="93">
        <v>0</v>
      </c>
      <c r="N516" s="88"/>
      <c r="O516" s="88"/>
      <c r="P516" s="88"/>
    </row>
    <row r="517" spans="1:16">
      <c r="A517" s="94">
        <v>91693</v>
      </c>
      <c r="B517" s="87" t="s">
        <v>980</v>
      </c>
      <c r="C517" s="12" t="s">
        <v>50</v>
      </c>
      <c r="D517" s="93">
        <v>25.95</v>
      </c>
      <c r="E517" s="93">
        <v>22.18</v>
      </c>
      <c r="F517" s="93">
        <v>3.69</v>
      </c>
      <c r="G517" s="93">
        <v>0.08</v>
      </c>
      <c r="H517" s="93">
        <v>0</v>
      </c>
      <c r="N517" s="88"/>
      <c r="O517" s="88"/>
      <c r="P517" s="88"/>
    </row>
    <row r="518" spans="1:16">
      <c r="A518" s="94">
        <v>92044</v>
      </c>
      <c r="B518" s="87" t="s">
        <v>981</v>
      </c>
      <c r="C518" s="12" t="s">
        <v>50</v>
      </c>
      <c r="D518" s="93">
        <v>4.5599999999999996</v>
      </c>
      <c r="E518" s="93">
        <v>0</v>
      </c>
      <c r="F518" s="93">
        <v>0</v>
      </c>
      <c r="G518" s="93">
        <v>4.5599999999999996</v>
      </c>
      <c r="H518" s="93">
        <v>0</v>
      </c>
      <c r="N518" s="88"/>
      <c r="O518" s="88"/>
      <c r="P518" s="88"/>
    </row>
    <row r="519" spans="1:16">
      <c r="A519" s="94">
        <v>92107</v>
      </c>
      <c r="B519" s="87" t="s">
        <v>982</v>
      </c>
      <c r="C519" s="12" t="s">
        <v>50</v>
      </c>
      <c r="D519" s="93">
        <v>45.61</v>
      </c>
      <c r="E519" s="93">
        <v>23.48</v>
      </c>
      <c r="F519" s="93">
        <v>3.69</v>
      </c>
      <c r="G519" s="93">
        <v>18.440000000000001</v>
      </c>
      <c r="H519" s="93">
        <v>0</v>
      </c>
      <c r="N519" s="88"/>
      <c r="O519" s="88"/>
      <c r="P519" s="88"/>
    </row>
    <row r="520" spans="1:16">
      <c r="A520" s="94">
        <v>92113</v>
      </c>
      <c r="B520" s="87" t="s">
        <v>75</v>
      </c>
      <c r="C520" s="12" t="s">
        <v>50</v>
      </c>
      <c r="D520" s="93">
        <v>0.78</v>
      </c>
      <c r="E520" s="93">
        <v>0</v>
      </c>
      <c r="F520" s="93">
        <v>0</v>
      </c>
      <c r="G520" s="93">
        <v>0.78</v>
      </c>
      <c r="H520" s="93">
        <v>0</v>
      </c>
      <c r="N520" s="88"/>
      <c r="O520" s="88"/>
      <c r="P520" s="88"/>
    </row>
    <row r="521" spans="1:16">
      <c r="A521" s="94">
        <v>92119</v>
      </c>
      <c r="B521" s="87" t="s">
        <v>76</v>
      </c>
      <c r="C521" s="12" t="s">
        <v>50</v>
      </c>
      <c r="D521" s="93">
        <v>7.0000000000000007E-2</v>
      </c>
      <c r="E521" s="93">
        <v>0</v>
      </c>
      <c r="F521" s="93">
        <v>0</v>
      </c>
      <c r="G521" s="93">
        <v>7.0000000000000007E-2</v>
      </c>
      <c r="H521" s="93">
        <v>0</v>
      </c>
      <c r="N521" s="88"/>
      <c r="O521" s="88"/>
      <c r="P521" s="88"/>
    </row>
    <row r="522" spans="1:16">
      <c r="A522" s="94">
        <v>92139</v>
      </c>
      <c r="B522" s="87" t="s">
        <v>983</v>
      </c>
      <c r="C522" s="12" t="s">
        <v>50</v>
      </c>
      <c r="D522" s="93">
        <v>36.65</v>
      </c>
      <c r="E522" s="93">
        <v>23.13</v>
      </c>
      <c r="F522" s="93">
        <v>3.69</v>
      </c>
      <c r="G522" s="93">
        <v>9.83</v>
      </c>
      <c r="H522" s="93">
        <v>0</v>
      </c>
      <c r="N522" s="88"/>
      <c r="O522" s="88"/>
      <c r="P522" s="88"/>
    </row>
    <row r="523" spans="1:16">
      <c r="A523" s="94">
        <v>92146</v>
      </c>
      <c r="B523" s="87" t="s">
        <v>77</v>
      </c>
      <c r="C523" s="12" t="s">
        <v>50</v>
      </c>
      <c r="D523" s="93">
        <v>29.8</v>
      </c>
      <c r="E523" s="93">
        <v>23.13</v>
      </c>
      <c r="F523" s="93">
        <v>3.69</v>
      </c>
      <c r="G523" s="93">
        <v>2.98</v>
      </c>
      <c r="H523" s="93">
        <v>0</v>
      </c>
      <c r="N523" s="88"/>
      <c r="O523" s="88"/>
      <c r="P523" s="88"/>
    </row>
    <row r="524" spans="1:16">
      <c r="A524" s="94">
        <v>92243</v>
      </c>
      <c r="B524" s="87" t="s">
        <v>984</v>
      </c>
      <c r="C524" s="12" t="s">
        <v>50</v>
      </c>
      <c r="D524" s="93">
        <v>56.65</v>
      </c>
      <c r="E524" s="93">
        <v>31.37</v>
      </c>
      <c r="F524" s="93">
        <v>3.69</v>
      </c>
      <c r="G524" s="93">
        <v>21.59</v>
      </c>
      <c r="H524" s="93">
        <v>0</v>
      </c>
      <c r="N524" s="88"/>
      <c r="O524" s="88"/>
      <c r="P524" s="88"/>
    </row>
    <row r="525" spans="1:16">
      <c r="A525" s="94">
        <v>92717</v>
      </c>
      <c r="B525" s="87" t="s">
        <v>985</v>
      </c>
      <c r="C525" s="12" t="s">
        <v>50</v>
      </c>
      <c r="D525" s="93">
        <v>0.2</v>
      </c>
      <c r="E525" s="93">
        <v>0</v>
      </c>
      <c r="F525" s="93">
        <v>0</v>
      </c>
      <c r="G525" s="93">
        <v>0.2</v>
      </c>
      <c r="H525" s="93">
        <v>0</v>
      </c>
      <c r="N525" s="88"/>
      <c r="O525" s="88"/>
      <c r="P525" s="88"/>
    </row>
    <row r="526" spans="1:16">
      <c r="A526" s="94">
        <v>92961</v>
      </c>
      <c r="B526" s="87" t="s">
        <v>986</v>
      </c>
      <c r="C526" s="12" t="s">
        <v>50</v>
      </c>
      <c r="D526" s="93">
        <v>3.39</v>
      </c>
      <c r="E526" s="93">
        <v>0</v>
      </c>
      <c r="F526" s="93">
        <v>0</v>
      </c>
      <c r="G526" s="93">
        <v>3.39</v>
      </c>
      <c r="H526" s="93">
        <v>0</v>
      </c>
      <c r="N526" s="88"/>
      <c r="O526" s="88"/>
      <c r="P526" s="88"/>
    </row>
    <row r="527" spans="1:16">
      <c r="A527" s="94">
        <v>92967</v>
      </c>
      <c r="B527" s="87" t="s">
        <v>987</v>
      </c>
      <c r="C527" s="12" t="s">
        <v>50</v>
      </c>
      <c r="D527" s="93">
        <v>20.52</v>
      </c>
      <c r="E527" s="93">
        <v>15.56</v>
      </c>
      <c r="F527" s="93">
        <v>3.69</v>
      </c>
      <c r="G527" s="93">
        <v>1.27</v>
      </c>
      <c r="H527" s="93">
        <v>0</v>
      </c>
      <c r="N527" s="88"/>
      <c r="O527" s="88"/>
      <c r="P527" s="88"/>
    </row>
    <row r="528" spans="1:16">
      <c r="A528" s="94">
        <v>93225</v>
      </c>
      <c r="B528" s="87" t="s">
        <v>988</v>
      </c>
      <c r="C528" s="12" t="s">
        <v>50</v>
      </c>
      <c r="D528" s="93">
        <v>243.58</v>
      </c>
      <c r="E528" s="93">
        <v>22.18</v>
      </c>
      <c r="F528" s="93">
        <v>3.69</v>
      </c>
      <c r="G528" s="93">
        <v>217.71</v>
      </c>
      <c r="H528" s="93">
        <v>0</v>
      </c>
      <c r="N528" s="88"/>
      <c r="O528" s="88"/>
      <c r="P528" s="88"/>
    </row>
    <row r="529" spans="1:16">
      <c r="A529" s="94">
        <v>93234</v>
      </c>
      <c r="B529" s="87" t="s">
        <v>78</v>
      </c>
      <c r="C529" s="12" t="s">
        <v>50</v>
      </c>
      <c r="D529" s="93">
        <v>0.33</v>
      </c>
      <c r="E529" s="93">
        <v>0</v>
      </c>
      <c r="F529" s="93">
        <v>0</v>
      </c>
      <c r="G529" s="93">
        <v>0.33</v>
      </c>
      <c r="H529" s="93">
        <v>0</v>
      </c>
      <c r="N529" s="88"/>
      <c r="O529" s="88"/>
      <c r="P529" s="88"/>
    </row>
    <row r="530" spans="1:16">
      <c r="A530" s="94">
        <v>93244</v>
      </c>
      <c r="B530" s="87" t="s">
        <v>79</v>
      </c>
      <c r="C530" s="12" t="s">
        <v>50</v>
      </c>
      <c r="D530" s="93">
        <v>44.99</v>
      </c>
      <c r="E530" s="93">
        <v>22.12</v>
      </c>
      <c r="F530" s="93">
        <v>3.69</v>
      </c>
      <c r="G530" s="93">
        <v>19.18</v>
      </c>
      <c r="H530" s="93">
        <v>0</v>
      </c>
      <c r="N530" s="88"/>
      <c r="O530" s="88"/>
      <c r="P530" s="88"/>
    </row>
    <row r="531" spans="1:16">
      <c r="A531" s="94">
        <v>93274</v>
      </c>
      <c r="B531" s="87" t="s">
        <v>989</v>
      </c>
      <c r="C531" s="12" t="s">
        <v>50</v>
      </c>
      <c r="D531" s="93">
        <v>55.25</v>
      </c>
      <c r="E531" s="93">
        <v>23.31</v>
      </c>
      <c r="F531" s="93">
        <v>3.69</v>
      </c>
      <c r="G531" s="93">
        <v>28.25</v>
      </c>
      <c r="H531" s="93">
        <v>0</v>
      </c>
      <c r="N531" s="88"/>
      <c r="O531" s="88"/>
      <c r="P531" s="88"/>
    </row>
    <row r="532" spans="1:16">
      <c r="A532" s="94">
        <v>93282</v>
      </c>
      <c r="B532" s="87" t="s">
        <v>990</v>
      </c>
      <c r="C532" s="12" t="s">
        <v>50</v>
      </c>
      <c r="D532" s="93">
        <v>20.58</v>
      </c>
      <c r="E532" s="93">
        <v>16.55</v>
      </c>
      <c r="F532" s="93">
        <v>3.69</v>
      </c>
      <c r="G532" s="93">
        <v>0.34</v>
      </c>
      <c r="H532" s="93">
        <v>0</v>
      </c>
      <c r="N532" s="88"/>
      <c r="O532" s="88"/>
      <c r="P532" s="88"/>
    </row>
    <row r="533" spans="1:16">
      <c r="A533" s="94">
        <v>93288</v>
      </c>
      <c r="B533" s="87" t="s">
        <v>991</v>
      </c>
      <c r="C533" s="12" t="s">
        <v>50</v>
      </c>
      <c r="D533" s="93">
        <v>93.88</v>
      </c>
      <c r="E533" s="93">
        <v>23.31</v>
      </c>
      <c r="F533" s="93">
        <v>3.69</v>
      </c>
      <c r="G533" s="93">
        <v>66.88</v>
      </c>
      <c r="H533" s="93">
        <v>0</v>
      </c>
      <c r="N533" s="88"/>
      <c r="O533" s="88"/>
      <c r="P533" s="88"/>
    </row>
    <row r="534" spans="1:16">
      <c r="A534" s="94">
        <v>93403</v>
      </c>
      <c r="B534" s="87" t="s">
        <v>992</v>
      </c>
      <c r="C534" s="12" t="s">
        <v>50</v>
      </c>
      <c r="D534" s="93">
        <v>40.33</v>
      </c>
      <c r="E534" s="93">
        <v>24.69</v>
      </c>
      <c r="F534" s="93">
        <v>3.69</v>
      </c>
      <c r="G534" s="93">
        <v>11.95</v>
      </c>
      <c r="H534" s="93">
        <v>0</v>
      </c>
      <c r="N534" s="88"/>
      <c r="O534" s="88"/>
      <c r="P534" s="88"/>
    </row>
    <row r="535" spans="1:16">
      <c r="A535" s="94">
        <v>93409</v>
      </c>
      <c r="B535" s="87" t="s">
        <v>993</v>
      </c>
      <c r="C535" s="12" t="s">
        <v>50</v>
      </c>
      <c r="D535" s="93">
        <v>35.159999999999997</v>
      </c>
      <c r="E535" s="93">
        <v>25.68</v>
      </c>
      <c r="F535" s="93">
        <v>3.69</v>
      </c>
      <c r="G535" s="93">
        <v>5.79</v>
      </c>
      <c r="H535" s="93">
        <v>0</v>
      </c>
      <c r="N535" s="88"/>
      <c r="O535" s="88"/>
      <c r="P535" s="88"/>
    </row>
    <row r="536" spans="1:16">
      <c r="A536" s="94">
        <v>93416</v>
      </c>
      <c r="B536" s="87" t="s">
        <v>994</v>
      </c>
      <c r="C536" s="12" t="s">
        <v>50</v>
      </c>
      <c r="D536" s="93">
        <v>0.24</v>
      </c>
      <c r="E536" s="93">
        <v>0</v>
      </c>
      <c r="F536" s="93">
        <v>0</v>
      </c>
      <c r="G536" s="93">
        <v>0.24</v>
      </c>
      <c r="H536" s="93">
        <v>0</v>
      </c>
      <c r="N536" s="88"/>
      <c r="O536" s="88"/>
      <c r="P536" s="88"/>
    </row>
    <row r="537" spans="1:16">
      <c r="A537" s="94">
        <v>93422</v>
      </c>
      <c r="B537" s="87" t="s">
        <v>80</v>
      </c>
      <c r="C537" s="12" t="s">
        <v>50</v>
      </c>
      <c r="D537" s="93">
        <v>3.25</v>
      </c>
      <c r="E537" s="93">
        <v>0</v>
      </c>
      <c r="F537" s="93">
        <v>0</v>
      </c>
      <c r="G537" s="93">
        <v>3.25</v>
      </c>
      <c r="H537" s="93">
        <v>0</v>
      </c>
      <c r="N537" s="88"/>
      <c r="O537" s="88"/>
      <c r="P537" s="88"/>
    </row>
    <row r="538" spans="1:16">
      <c r="A538" s="94">
        <v>93428</v>
      </c>
      <c r="B538" s="87" t="s">
        <v>995</v>
      </c>
      <c r="C538" s="12" t="s">
        <v>50</v>
      </c>
      <c r="D538" s="93">
        <v>4.6100000000000003</v>
      </c>
      <c r="E538" s="93">
        <v>0</v>
      </c>
      <c r="F538" s="93">
        <v>0</v>
      </c>
      <c r="G538" s="93">
        <v>4.6100000000000003</v>
      </c>
      <c r="H538" s="93">
        <v>0</v>
      </c>
      <c r="N538" s="88"/>
      <c r="O538" s="88"/>
      <c r="P538" s="88"/>
    </row>
    <row r="539" spans="1:16">
      <c r="A539" s="94">
        <v>93434</v>
      </c>
      <c r="B539" s="87" t="s">
        <v>996</v>
      </c>
      <c r="C539" s="12" t="s">
        <v>50</v>
      </c>
      <c r="D539" s="93">
        <v>167.92</v>
      </c>
      <c r="E539" s="93">
        <v>66.11</v>
      </c>
      <c r="F539" s="93">
        <v>21.57</v>
      </c>
      <c r="G539" s="93">
        <v>80.239999999999995</v>
      </c>
      <c r="H539" s="93">
        <v>0</v>
      </c>
      <c r="N539" s="88"/>
      <c r="O539" s="88"/>
      <c r="P539" s="88"/>
    </row>
    <row r="540" spans="1:16">
      <c r="A540" s="94">
        <v>93440</v>
      </c>
      <c r="B540" s="87" t="s">
        <v>997</v>
      </c>
      <c r="C540" s="12" t="s">
        <v>50</v>
      </c>
      <c r="D540" s="93">
        <v>92.13</v>
      </c>
      <c r="E540" s="93">
        <v>66.11</v>
      </c>
      <c r="F540" s="93">
        <v>21.57</v>
      </c>
      <c r="G540" s="93">
        <v>4.45</v>
      </c>
      <c r="H540" s="93">
        <v>0</v>
      </c>
      <c r="N540" s="88"/>
      <c r="O540" s="88"/>
      <c r="P540" s="88"/>
    </row>
    <row r="541" spans="1:16">
      <c r="A541" s="94">
        <v>95122</v>
      </c>
      <c r="B541" s="87" t="s">
        <v>998</v>
      </c>
      <c r="C541" s="12" t="s">
        <v>50</v>
      </c>
      <c r="D541" s="93">
        <v>129.06</v>
      </c>
      <c r="E541" s="93">
        <v>66.11</v>
      </c>
      <c r="F541" s="93">
        <v>21.57</v>
      </c>
      <c r="G541" s="93">
        <v>41.38</v>
      </c>
      <c r="H541" s="93">
        <v>0</v>
      </c>
      <c r="N541" s="88"/>
      <c r="O541" s="88"/>
      <c r="P541" s="88"/>
    </row>
    <row r="542" spans="1:16">
      <c r="A542" s="94">
        <v>95128</v>
      </c>
      <c r="B542" s="87" t="s">
        <v>81</v>
      </c>
      <c r="C542" s="12" t="s">
        <v>50</v>
      </c>
      <c r="D542" s="93">
        <v>39.06</v>
      </c>
      <c r="E542" s="93">
        <v>22.18</v>
      </c>
      <c r="F542" s="93">
        <v>3.69</v>
      </c>
      <c r="G542" s="93">
        <v>13.19</v>
      </c>
      <c r="H542" s="93">
        <v>0</v>
      </c>
      <c r="N542" s="88"/>
      <c r="O542" s="88"/>
      <c r="P542" s="88"/>
    </row>
    <row r="543" spans="1:16">
      <c r="A543" s="94">
        <v>95140</v>
      </c>
      <c r="B543" s="87" t="s">
        <v>999</v>
      </c>
      <c r="C543" s="12" t="s">
        <v>50</v>
      </c>
      <c r="D543" s="93">
        <v>0.04</v>
      </c>
      <c r="E543" s="93">
        <v>0</v>
      </c>
      <c r="F543" s="93">
        <v>0</v>
      </c>
      <c r="G543" s="93">
        <v>0.04</v>
      </c>
      <c r="H543" s="93">
        <v>0</v>
      </c>
      <c r="N543" s="88"/>
      <c r="O543" s="88"/>
      <c r="P543" s="88"/>
    </row>
    <row r="544" spans="1:16">
      <c r="A544" s="94">
        <v>95213</v>
      </c>
      <c r="B544" s="87" t="s">
        <v>1000</v>
      </c>
      <c r="C544" s="12" t="s">
        <v>50</v>
      </c>
      <c r="D544" s="93">
        <v>59.01</v>
      </c>
      <c r="E544" s="93">
        <v>23.31</v>
      </c>
      <c r="F544" s="93">
        <v>3.69</v>
      </c>
      <c r="G544" s="93">
        <v>32.01</v>
      </c>
      <c r="H544" s="93">
        <v>0</v>
      </c>
      <c r="N544" s="88"/>
      <c r="O544" s="88"/>
      <c r="P544" s="88"/>
    </row>
    <row r="545" spans="1:16">
      <c r="A545" s="94">
        <v>95219</v>
      </c>
      <c r="B545" s="87" t="s">
        <v>1001</v>
      </c>
      <c r="C545" s="12" t="s">
        <v>50</v>
      </c>
      <c r="D545" s="93">
        <v>22.93</v>
      </c>
      <c r="E545" s="93">
        <v>17.04</v>
      </c>
      <c r="F545" s="93">
        <v>5.65</v>
      </c>
      <c r="G545" s="93">
        <v>0.24</v>
      </c>
      <c r="H545" s="93">
        <v>0</v>
      </c>
      <c r="N545" s="88"/>
      <c r="O545" s="88"/>
      <c r="P545" s="88"/>
    </row>
    <row r="546" spans="1:16">
      <c r="A546" s="94">
        <v>95259</v>
      </c>
      <c r="B546" s="87" t="s">
        <v>82</v>
      </c>
      <c r="C546" s="12" t="s">
        <v>50</v>
      </c>
      <c r="D546" s="93">
        <v>20.34</v>
      </c>
      <c r="E546" s="93">
        <v>15.56</v>
      </c>
      <c r="F546" s="93">
        <v>3.69</v>
      </c>
      <c r="G546" s="93">
        <v>1.0900000000000001</v>
      </c>
      <c r="H546" s="93">
        <v>0</v>
      </c>
      <c r="N546" s="88"/>
      <c r="O546" s="88"/>
      <c r="P546" s="88"/>
    </row>
    <row r="547" spans="1:16">
      <c r="A547" s="94">
        <v>95265</v>
      </c>
      <c r="B547" s="87" t="s">
        <v>1002</v>
      </c>
      <c r="C547" s="12" t="s">
        <v>50</v>
      </c>
      <c r="D547" s="93">
        <v>0.69</v>
      </c>
      <c r="E547" s="93">
        <v>0</v>
      </c>
      <c r="F547" s="93">
        <v>0</v>
      </c>
      <c r="G547" s="93">
        <v>0.69</v>
      </c>
      <c r="H547" s="93">
        <v>0</v>
      </c>
      <c r="N547" s="88"/>
      <c r="O547" s="88"/>
      <c r="P547" s="88"/>
    </row>
    <row r="548" spans="1:16">
      <c r="A548" s="94">
        <v>95271</v>
      </c>
      <c r="B548" s="87" t="s">
        <v>1003</v>
      </c>
      <c r="C548" s="12" t="s">
        <v>50</v>
      </c>
      <c r="D548" s="93">
        <v>0.45</v>
      </c>
      <c r="E548" s="93">
        <v>0</v>
      </c>
      <c r="F548" s="93">
        <v>0</v>
      </c>
      <c r="G548" s="93">
        <v>0.45</v>
      </c>
      <c r="H548" s="93">
        <v>0</v>
      </c>
      <c r="N548" s="88"/>
      <c r="O548" s="88"/>
      <c r="P548" s="88"/>
    </row>
    <row r="549" spans="1:16">
      <c r="A549" s="94">
        <v>95277</v>
      </c>
      <c r="B549" s="87" t="s">
        <v>1004</v>
      </c>
      <c r="C549" s="12" t="s">
        <v>50</v>
      </c>
      <c r="D549" s="93">
        <v>0.44</v>
      </c>
      <c r="E549" s="93">
        <v>0</v>
      </c>
      <c r="F549" s="93">
        <v>0</v>
      </c>
      <c r="G549" s="93">
        <v>0.44</v>
      </c>
      <c r="H549" s="93">
        <v>0</v>
      </c>
      <c r="N549" s="88"/>
      <c r="O549" s="88"/>
      <c r="P549" s="88"/>
    </row>
    <row r="550" spans="1:16">
      <c r="A550" s="94">
        <v>95283</v>
      </c>
      <c r="B550" s="87" t="s">
        <v>1005</v>
      </c>
      <c r="C550" s="12" t="s">
        <v>50</v>
      </c>
      <c r="D550" s="93">
        <v>0.49</v>
      </c>
      <c r="E550" s="93">
        <v>0</v>
      </c>
      <c r="F550" s="93">
        <v>0</v>
      </c>
      <c r="G550" s="93">
        <v>0.49</v>
      </c>
      <c r="H550" s="93">
        <v>0</v>
      </c>
      <c r="N550" s="88"/>
      <c r="O550" s="88"/>
      <c r="P550" s="88"/>
    </row>
    <row r="551" spans="1:16">
      <c r="A551" s="94">
        <v>95621</v>
      </c>
      <c r="B551" s="87" t="s">
        <v>1006</v>
      </c>
      <c r="C551" s="12" t="s">
        <v>50</v>
      </c>
      <c r="D551" s="93">
        <v>20.14</v>
      </c>
      <c r="E551" s="93">
        <v>15.56</v>
      </c>
      <c r="F551" s="93">
        <v>3.69</v>
      </c>
      <c r="G551" s="93">
        <v>0.89</v>
      </c>
      <c r="H551" s="93">
        <v>0</v>
      </c>
      <c r="N551" s="88"/>
      <c r="O551" s="88"/>
      <c r="P551" s="88"/>
    </row>
    <row r="552" spans="1:16">
      <c r="A552" s="94">
        <v>95632</v>
      </c>
      <c r="B552" s="87" t="s">
        <v>1007</v>
      </c>
      <c r="C552" s="12" t="s">
        <v>50</v>
      </c>
      <c r="D552" s="93">
        <v>53.41</v>
      </c>
      <c r="E552" s="93">
        <v>22.12</v>
      </c>
      <c r="F552" s="93">
        <v>3.69</v>
      </c>
      <c r="G552" s="93">
        <v>27.6</v>
      </c>
      <c r="H552" s="93">
        <v>0</v>
      </c>
      <c r="N552" s="88"/>
      <c r="O552" s="88"/>
      <c r="P552" s="88"/>
    </row>
    <row r="553" spans="1:16">
      <c r="A553" s="94">
        <v>95703</v>
      </c>
      <c r="B553" s="87" t="s">
        <v>1008</v>
      </c>
      <c r="C553" s="12" t="s">
        <v>50</v>
      </c>
      <c r="D553" s="93">
        <v>29.52</v>
      </c>
      <c r="E553" s="93">
        <v>22.18</v>
      </c>
      <c r="F553" s="93">
        <v>3.69</v>
      </c>
      <c r="G553" s="93">
        <v>3.65</v>
      </c>
      <c r="H553" s="93">
        <v>0</v>
      </c>
      <c r="N553" s="88"/>
      <c r="O553" s="88"/>
      <c r="P553" s="88"/>
    </row>
    <row r="554" spans="1:16">
      <c r="A554" s="94">
        <v>95709</v>
      </c>
      <c r="B554" s="87" t="s">
        <v>1009</v>
      </c>
      <c r="C554" s="12" t="s">
        <v>50</v>
      </c>
      <c r="D554" s="93">
        <v>55.2</v>
      </c>
      <c r="E554" s="93">
        <v>22.18</v>
      </c>
      <c r="F554" s="93">
        <v>3.69</v>
      </c>
      <c r="G554" s="93">
        <v>29.33</v>
      </c>
      <c r="H554" s="93">
        <v>0</v>
      </c>
      <c r="N554" s="88"/>
      <c r="O554" s="88"/>
      <c r="P554" s="88"/>
    </row>
    <row r="555" spans="1:16">
      <c r="A555" s="94">
        <v>95715</v>
      </c>
      <c r="B555" s="87" t="s">
        <v>1010</v>
      </c>
      <c r="C555" s="12" t="s">
        <v>50</v>
      </c>
      <c r="D555" s="93">
        <v>67.42</v>
      </c>
      <c r="E555" s="93">
        <v>28.69</v>
      </c>
      <c r="F555" s="93">
        <v>3.69</v>
      </c>
      <c r="G555" s="93">
        <v>35.04</v>
      </c>
      <c r="H555" s="93">
        <v>0</v>
      </c>
      <c r="N555" s="88"/>
      <c r="O555" s="88"/>
      <c r="P555" s="88"/>
    </row>
    <row r="556" spans="1:16">
      <c r="A556" s="94">
        <v>95721</v>
      </c>
      <c r="B556" s="87" t="s">
        <v>1011</v>
      </c>
      <c r="C556" s="12" t="s">
        <v>50</v>
      </c>
      <c r="D556" s="93">
        <v>66.11</v>
      </c>
      <c r="E556" s="93">
        <v>28.69</v>
      </c>
      <c r="F556" s="93">
        <v>3.69</v>
      </c>
      <c r="G556" s="93">
        <v>33.729999999999997</v>
      </c>
      <c r="H556" s="93">
        <v>0</v>
      </c>
      <c r="N556" s="88"/>
      <c r="O556" s="88"/>
      <c r="P556" s="88"/>
    </row>
    <row r="557" spans="1:16">
      <c r="A557" s="94">
        <v>95873</v>
      </c>
      <c r="B557" s="87" t="s">
        <v>195</v>
      </c>
      <c r="C557" s="12" t="s">
        <v>50</v>
      </c>
      <c r="D557" s="93">
        <v>7.36</v>
      </c>
      <c r="E557" s="93">
        <v>0</v>
      </c>
      <c r="F557" s="93">
        <v>0</v>
      </c>
      <c r="G557" s="93">
        <v>7.36</v>
      </c>
      <c r="H557" s="93">
        <v>0</v>
      </c>
      <c r="N557" s="88"/>
      <c r="O557" s="88"/>
      <c r="P557" s="88"/>
    </row>
    <row r="558" spans="1:16">
      <c r="A558" s="94">
        <v>96014</v>
      </c>
      <c r="B558" s="87" t="s">
        <v>1012</v>
      </c>
      <c r="C558" s="12" t="s">
        <v>50</v>
      </c>
      <c r="D558" s="93">
        <v>42.14</v>
      </c>
      <c r="E558" s="93">
        <v>23.23</v>
      </c>
      <c r="F558" s="93">
        <v>3.69</v>
      </c>
      <c r="G558" s="93">
        <v>15.22</v>
      </c>
      <c r="H558" s="93">
        <v>0</v>
      </c>
      <c r="N558" s="88"/>
      <c r="O558" s="88"/>
      <c r="P558" s="88"/>
    </row>
    <row r="559" spans="1:16">
      <c r="A559" s="94">
        <v>96021</v>
      </c>
      <c r="B559" s="87" t="s">
        <v>1013</v>
      </c>
      <c r="C559" s="12" t="s">
        <v>50</v>
      </c>
      <c r="D559" s="93">
        <v>42</v>
      </c>
      <c r="E559" s="93">
        <v>23.23</v>
      </c>
      <c r="F559" s="93">
        <v>3.69</v>
      </c>
      <c r="G559" s="93">
        <v>15.08</v>
      </c>
      <c r="H559" s="93">
        <v>0</v>
      </c>
      <c r="N559" s="88"/>
      <c r="O559" s="88"/>
      <c r="P559" s="88"/>
    </row>
    <row r="560" spans="1:16">
      <c r="A560" s="94">
        <v>96029</v>
      </c>
      <c r="B560" s="87" t="s">
        <v>1014</v>
      </c>
      <c r="C560" s="12" t="s">
        <v>50</v>
      </c>
      <c r="D560" s="93">
        <v>38.57</v>
      </c>
      <c r="E560" s="93">
        <v>23.23</v>
      </c>
      <c r="F560" s="93">
        <v>3.69</v>
      </c>
      <c r="G560" s="93">
        <v>11.65</v>
      </c>
      <c r="H560" s="93">
        <v>0</v>
      </c>
      <c r="N560" s="88"/>
      <c r="O560" s="88"/>
      <c r="P560" s="88"/>
    </row>
    <row r="561" spans="1:16">
      <c r="A561" s="94">
        <v>96036</v>
      </c>
      <c r="B561" s="87" t="s">
        <v>1015</v>
      </c>
      <c r="C561" s="12" t="s">
        <v>50</v>
      </c>
      <c r="D561" s="93">
        <v>47.36</v>
      </c>
      <c r="E561" s="93">
        <v>22.14</v>
      </c>
      <c r="F561" s="93">
        <v>3.69</v>
      </c>
      <c r="G561" s="93">
        <v>21.53</v>
      </c>
      <c r="H561" s="93">
        <v>0</v>
      </c>
      <c r="N561" s="88"/>
      <c r="O561" s="88"/>
      <c r="P561" s="88"/>
    </row>
    <row r="562" spans="1:16">
      <c r="A562" s="94">
        <v>96155</v>
      </c>
      <c r="B562" s="87" t="s">
        <v>1016</v>
      </c>
      <c r="C562" s="12" t="s">
        <v>50</v>
      </c>
      <c r="D562" s="93">
        <v>38.71</v>
      </c>
      <c r="E562" s="93">
        <v>23.23</v>
      </c>
      <c r="F562" s="93">
        <v>3.69</v>
      </c>
      <c r="G562" s="93">
        <v>11.79</v>
      </c>
      <c r="H562" s="93">
        <v>0</v>
      </c>
      <c r="N562" s="88"/>
      <c r="O562" s="88"/>
      <c r="P562" s="88"/>
    </row>
    <row r="563" spans="1:16">
      <c r="A563" s="94">
        <v>96156</v>
      </c>
      <c r="B563" s="87" t="s">
        <v>1017</v>
      </c>
      <c r="C563" s="12" t="s">
        <v>50</v>
      </c>
      <c r="D563" s="93">
        <v>45.01</v>
      </c>
      <c r="E563" s="93">
        <v>22.8</v>
      </c>
      <c r="F563" s="93">
        <v>3.69</v>
      </c>
      <c r="G563" s="93">
        <v>18.52</v>
      </c>
      <c r="H563" s="93">
        <v>0</v>
      </c>
      <c r="N563" s="88"/>
      <c r="O563" s="88"/>
      <c r="P563" s="88"/>
    </row>
    <row r="564" spans="1:16">
      <c r="A564" s="94">
        <v>96159</v>
      </c>
      <c r="B564" s="87" t="s">
        <v>1018</v>
      </c>
      <c r="C564" s="12" t="s">
        <v>50</v>
      </c>
      <c r="D564" s="93">
        <v>53.68</v>
      </c>
      <c r="E564" s="93">
        <v>26.12</v>
      </c>
      <c r="F564" s="93">
        <v>3.69</v>
      </c>
      <c r="G564" s="93">
        <v>23.87</v>
      </c>
      <c r="H564" s="93">
        <v>0</v>
      </c>
      <c r="N564" s="88"/>
      <c r="O564" s="88"/>
      <c r="P564" s="88"/>
    </row>
    <row r="565" spans="1:16">
      <c r="A565" s="94">
        <v>96246</v>
      </c>
      <c r="B565" s="87" t="s">
        <v>1019</v>
      </c>
      <c r="C565" s="12" t="s">
        <v>50</v>
      </c>
      <c r="D565" s="93">
        <v>48.87</v>
      </c>
      <c r="E565" s="93">
        <v>28.69</v>
      </c>
      <c r="F565" s="93">
        <v>3.69</v>
      </c>
      <c r="G565" s="93">
        <v>16.489999999999998</v>
      </c>
      <c r="H565" s="93">
        <v>0</v>
      </c>
      <c r="N565" s="88"/>
      <c r="O565" s="88"/>
      <c r="P565" s="88"/>
    </row>
    <row r="566" spans="1:16">
      <c r="A566" s="94">
        <v>96302</v>
      </c>
      <c r="B566" s="87" t="s">
        <v>1020</v>
      </c>
      <c r="C566" s="12" t="s">
        <v>50</v>
      </c>
      <c r="D566" s="93">
        <v>71.510000000000005</v>
      </c>
      <c r="E566" s="93">
        <v>22.18</v>
      </c>
      <c r="F566" s="93">
        <v>3.69</v>
      </c>
      <c r="G566" s="93">
        <v>45.64</v>
      </c>
      <c r="H566" s="93">
        <v>0</v>
      </c>
      <c r="N566" s="88"/>
      <c r="O566" s="88"/>
      <c r="P566" s="88"/>
    </row>
    <row r="567" spans="1:16">
      <c r="A567" s="94">
        <v>96308</v>
      </c>
      <c r="B567" s="87" t="s">
        <v>1021</v>
      </c>
      <c r="C567" s="12" t="s">
        <v>50</v>
      </c>
      <c r="D567" s="93">
        <v>0.14000000000000001</v>
      </c>
      <c r="E567" s="93">
        <v>0</v>
      </c>
      <c r="F567" s="93">
        <v>0</v>
      </c>
      <c r="G567" s="93">
        <v>0.14000000000000001</v>
      </c>
      <c r="H567" s="93">
        <v>0</v>
      </c>
      <c r="N567" s="88"/>
      <c r="O567" s="88"/>
      <c r="P567" s="88"/>
    </row>
    <row r="568" spans="1:16">
      <c r="A568" s="94">
        <v>96464</v>
      </c>
      <c r="B568" s="87" t="s">
        <v>1022</v>
      </c>
      <c r="C568" s="12" t="s">
        <v>50</v>
      </c>
      <c r="D568" s="93">
        <v>56.42</v>
      </c>
      <c r="E568" s="93">
        <v>22.12</v>
      </c>
      <c r="F568" s="93">
        <v>3.69</v>
      </c>
      <c r="G568" s="93">
        <v>30.61</v>
      </c>
      <c r="H568" s="93">
        <v>0</v>
      </c>
      <c r="N568" s="88"/>
      <c r="O568" s="88"/>
      <c r="P568" s="88"/>
    </row>
    <row r="569" spans="1:16">
      <c r="A569" s="94">
        <v>98765</v>
      </c>
      <c r="B569" s="87" t="s">
        <v>1023</v>
      </c>
      <c r="C569" s="12" t="s">
        <v>50</v>
      </c>
      <c r="D569" s="93">
        <v>0.08</v>
      </c>
      <c r="E569" s="93">
        <v>0</v>
      </c>
      <c r="F569" s="93">
        <v>0</v>
      </c>
      <c r="G569" s="93">
        <v>0.08</v>
      </c>
      <c r="H569" s="93">
        <v>0</v>
      </c>
      <c r="N569" s="88"/>
      <c r="O569" s="88"/>
      <c r="P569" s="88"/>
    </row>
    <row r="570" spans="1:16">
      <c r="A570" s="94">
        <v>99834</v>
      </c>
      <c r="B570" s="87" t="s">
        <v>1024</v>
      </c>
      <c r="C570" s="12" t="s">
        <v>50</v>
      </c>
      <c r="D570" s="93">
        <v>0.13</v>
      </c>
      <c r="E570" s="93">
        <v>0</v>
      </c>
      <c r="F570" s="93">
        <v>0</v>
      </c>
      <c r="G570" s="93">
        <v>0.13</v>
      </c>
      <c r="H570" s="93">
        <v>0</v>
      </c>
      <c r="N570" s="88"/>
      <c r="O570" s="88"/>
      <c r="P570" s="88"/>
    </row>
    <row r="571" spans="1:16">
      <c r="A571" s="94">
        <v>100642</v>
      </c>
      <c r="B571" s="87" t="s">
        <v>1025</v>
      </c>
      <c r="C571" s="12" t="s">
        <v>50</v>
      </c>
      <c r="D571" s="93">
        <v>125.79</v>
      </c>
      <c r="E571" s="93">
        <v>23.55</v>
      </c>
      <c r="F571" s="93">
        <v>3.69</v>
      </c>
      <c r="G571" s="93">
        <v>98.55</v>
      </c>
      <c r="H571" s="93">
        <v>0</v>
      </c>
      <c r="N571" s="88"/>
      <c r="O571" s="88"/>
      <c r="P571" s="88"/>
    </row>
    <row r="572" spans="1:16">
      <c r="A572" s="94">
        <v>100648</v>
      </c>
      <c r="B572" s="87" t="s">
        <v>1026</v>
      </c>
      <c r="C572" s="12" t="s">
        <v>50</v>
      </c>
      <c r="D572" s="93">
        <v>286.74</v>
      </c>
      <c r="E572" s="93">
        <v>23.55</v>
      </c>
      <c r="F572" s="93">
        <v>3.69</v>
      </c>
      <c r="G572" s="93">
        <v>259.5</v>
      </c>
      <c r="H572" s="93">
        <v>0</v>
      </c>
      <c r="N572" s="88"/>
      <c r="O572" s="88"/>
      <c r="P572" s="88"/>
    </row>
    <row r="573" spans="1:16">
      <c r="A573" s="94">
        <v>5089</v>
      </c>
      <c r="B573" s="87" t="s">
        <v>83</v>
      </c>
      <c r="C573" s="12" t="s">
        <v>10</v>
      </c>
      <c r="D573" s="93">
        <v>21.08</v>
      </c>
      <c r="E573" s="93">
        <v>0</v>
      </c>
      <c r="F573" s="93">
        <v>0</v>
      </c>
      <c r="G573" s="93">
        <v>21.08</v>
      </c>
      <c r="H573" s="93">
        <v>0</v>
      </c>
      <c r="N573" s="88"/>
      <c r="O573" s="88"/>
      <c r="P573" s="88"/>
    </row>
    <row r="574" spans="1:16">
      <c r="A574" s="94">
        <v>5627</v>
      </c>
      <c r="B574" s="87" t="s">
        <v>1027</v>
      </c>
      <c r="C574" s="12" t="s">
        <v>10</v>
      </c>
      <c r="D574" s="93">
        <v>26.32</v>
      </c>
      <c r="E574" s="93">
        <v>0</v>
      </c>
      <c r="F574" s="93">
        <v>0</v>
      </c>
      <c r="G574" s="93">
        <v>26.32</v>
      </c>
      <c r="H574" s="93">
        <v>0</v>
      </c>
      <c r="N574" s="88"/>
      <c r="O574" s="88"/>
      <c r="P574" s="88"/>
    </row>
    <row r="575" spans="1:16">
      <c r="A575" s="94">
        <v>5628</v>
      </c>
      <c r="B575" s="87" t="s">
        <v>1028</v>
      </c>
      <c r="C575" s="12" t="s">
        <v>10</v>
      </c>
      <c r="D575" s="93">
        <v>3.57</v>
      </c>
      <c r="E575" s="93">
        <v>0</v>
      </c>
      <c r="F575" s="93">
        <v>0</v>
      </c>
      <c r="G575" s="93">
        <v>3.57</v>
      </c>
      <c r="H575" s="93">
        <v>0</v>
      </c>
      <c r="N575" s="88"/>
      <c r="O575" s="88"/>
      <c r="P575" s="88"/>
    </row>
    <row r="576" spans="1:16">
      <c r="A576" s="94">
        <v>5629</v>
      </c>
      <c r="B576" s="87" t="s">
        <v>1029</v>
      </c>
      <c r="C576" s="12" t="s">
        <v>10</v>
      </c>
      <c r="D576" s="93">
        <v>32.9</v>
      </c>
      <c r="E576" s="93">
        <v>0</v>
      </c>
      <c r="F576" s="93">
        <v>0</v>
      </c>
      <c r="G576" s="93">
        <v>32.9</v>
      </c>
      <c r="H576" s="93">
        <v>0</v>
      </c>
      <c r="N576" s="88"/>
      <c r="O576" s="88"/>
      <c r="P576" s="88"/>
    </row>
    <row r="577" spans="1:16">
      <c r="A577" s="94">
        <v>5630</v>
      </c>
      <c r="B577" s="87" t="s">
        <v>1030</v>
      </c>
      <c r="C577" s="12" t="s">
        <v>10</v>
      </c>
      <c r="D577" s="93">
        <v>38.01</v>
      </c>
      <c r="E577" s="93">
        <v>0</v>
      </c>
      <c r="F577" s="93">
        <v>38.01</v>
      </c>
      <c r="G577" s="93">
        <v>0</v>
      </c>
      <c r="H577" s="93">
        <v>0</v>
      </c>
      <c r="N577" s="88"/>
      <c r="O577" s="88"/>
      <c r="P577" s="88"/>
    </row>
    <row r="578" spans="1:16">
      <c r="A578" s="94">
        <v>5658</v>
      </c>
      <c r="B578" s="87" t="s">
        <v>1031</v>
      </c>
      <c r="C578" s="12" t="s">
        <v>10</v>
      </c>
      <c r="D578" s="93">
        <v>1.33</v>
      </c>
      <c r="E578" s="93">
        <v>0</v>
      </c>
      <c r="F578" s="93">
        <v>0</v>
      </c>
      <c r="G578" s="93">
        <v>1.33</v>
      </c>
      <c r="H578" s="93">
        <v>0</v>
      </c>
      <c r="N578" s="88"/>
      <c r="O578" s="88"/>
      <c r="P578" s="88"/>
    </row>
    <row r="579" spans="1:16">
      <c r="A579" s="94">
        <v>5664</v>
      </c>
      <c r="B579" s="87" t="s">
        <v>1032</v>
      </c>
      <c r="C579" s="12" t="s">
        <v>10</v>
      </c>
      <c r="D579" s="93">
        <v>18.62</v>
      </c>
      <c r="E579" s="93">
        <v>0</v>
      </c>
      <c r="F579" s="93">
        <v>0</v>
      </c>
      <c r="G579" s="93">
        <v>18.62</v>
      </c>
      <c r="H579" s="93">
        <v>0</v>
      </c>
      <c r="N579" s="88"/>
      <c r="O579" s="88"/>
      <c r="P579" s="88"/>
    </row>
    <row r="580" spans="1:16">
      <c r="A580" s="94">
        <v>5667</v>
      </c>
      <c r="B580" s="87" t="s">
        <v>1033</v>
      </c>
      <c r="C580" s="12" t="s">
        <v>10</v>
      </c>
      <c r="D580" s="93">
        <v>16.559999999999999</v>
      </c>
      <c r="E580" s="93">
        <v>0</v>
      </c>
      <c r="F580" s="93">
        <v>0</v>
      </c>
      <c r="G580" s="93">
        <v>16.559999999999999</v>
      </c>
      <c r="H580" s="93">
        <v>0</v>
      </c>
      <c r="N580" s="88"/>
      <c r="O580" s="88"/>
      <c r="P580" s="88"/>
    </row>
    <row r="581" spans="1:16">
      <c r="A581" s="94">
        <v>5668</v>
      </c>
      <c r="B581" s="87" t="s">
        <v>1034</v>
      </c>
      <c r="C581" s="12" t="s">
        <v>10</v>
      </c>
      <c r="D581" s="93">
        <v>29.08</v>
      </c>
      <c r="E581" s="93">
        <v>0</v>
      </c>
      <c r="F581" s="93">
        <v>29.08</v>
      </c>
      <c r="G581" s="93">
        <v>0</v>
      </c>
      <c r="H581" s="93">
        <v>0</v>
      </c>
      <c r="N581" s="88"/>
      <c r="O581" s="88"/>
      <c r="P581" s="88"/>
    </row>
    <row r="582" spans="1:16">
      <c r="A582" s="94">
        <v>5674</v>
      </c>
      <c r="B582" s="87" t="s">
        <v>1035</v>
      </c>
      <c r="C582" s="12" t="s">
        <v>10</v>
      </c>
      <c r="D582" s="93">
        <v>20.28</v>
      </c>
      <c r="E582" s="93">
        <v>0</v>
      </c>
      <c r="F582" s="93">
        <v>0</v>
      </c>
      <c r="G582" s="93">
        <v>20.28</v>
      </c>
      <c r="H582" s="93">
        <v>0</v>
      </c>
      <c r="N582" s="88"/>
      <c r="O582" s="88"/>
      <c r="P582" s="88"/>
    </row>
    <row r="583" spans="1:16">
      <c r="A583" s="94">
        <v>5692</v>
      </c>
      <c r="B583" s="87" t="s">
        <v>1036</v>
      </c>
      <c r="C583" s="12" t="s">
        <v>10</v>
      </c>
      <c r="D583" s="93">
        <v>0.18</v>
      </c>
      <c r="E583" s="93">
        <v>0</v>
      </c>
      <c r="F583" s="93">
        <v>0</v>
      </c>
      <c r="G583" s="93">
        <v>0.18</v>
      </c>
      <c r="H583" s="93">
        <v>0</v>
      </c>
      <c r="N583" s="88"/>
      <c r="O583" s="88"/>
      <c r="P583" s="88"/>
    </row>
    <row r="584" spans="1:16">
      <c r="A584" s="94">
        <v>5693</v>
      </c>
      <c r="B584" s="87" t="s">
        <v>1037</v>
      </c>
      <c r="C584" s="12" t="s">
        <v>10</v>
      </c>
      <c r="D584" s="93">
        <v>6.73</v>
      </c>
      <c r="E584" s="93">
        <v>0</v>
      </c>
      <c r="F584" s="93">
        <v>6.73</v>
      </c>
      <c r="G584" s="93">
        <v>0</v>
      </c>
      <c r="H584" s="93">
        <v>0</v>
      </c>
      <c r="N584" s="88"/>
      <c r="O584" s="88"/>
      <c r="P584" s="88"/>
    </row>
    <row r="585" spans="1:16">
      <c r="A585" s="94">
        <v>5695</v>
      </c>
      <c r="B585" s="87" t="s">
        <v>1038</v>
      </c>
      <c r="C585" s="12" t="s">
        <v>10</v>
      </c>
      <c r="D585" s="93">
        <v>24.57</v>
      </c>
      <c r="E585" s="93">
        <v>0</v>
      </c>
      <c r="F585" s="93">
        <v>0</v>
      </c>
      <c r="G585" s="93">
        <v>24.57</v>
      </c>
      <c r="H585" s="93">
        <v>0</v>
      </c>
      <c r="N585" s="88"/>
      <c r="O585" s="88"/>
      <c r="P585" s="88"/>
    </row>
    <row r="586" spans="1:16">
      <c r="A586" s="94">
        <v>5703</v>
      </c>
      <c r="B586" s="87" t="s">
        <v>84</v>
      </c>
      <c r="C586" s="12" t="s">
        <v>10</v>
      </c>
      <c r="D586" s="93">
        <v>19.510000000000002</v>
      </c>
      <c r="E586" s="93">
        <v>0</v>
      </c>
      <c r="F586" s="93">
        <v>0</v>
      </c>
      <c r="G586" s="93">
        <v>0</v>
      </c>
      <c r="H586" s="93">
        <v>0</v>
      </c>
      <c r="N586" s="88"/>
      <c r="O586" s="88"/>
      <c r="P586" s="88"/>
    </row>
    <row r="587" spans="1:16">
      <c r="A587" s="94">
        <v>5705</v>
      </c>
      <c r="B587" s="87" t="s">
        <v>1039</v>
      </c>
      <c r="C587" s="12" t="s">
        <v>10</v>
      </c>
      <c r="D587" s="93">
        <v>15.22</v>
      </c>
      <c r="E587" s="93">
        <v>0</v>
      </c>
      <c r="F587" s="93">
        <v>0</v>
      </c>
      <c r="G587" s="93">
        <v>15.22</v>
      </c>
      <c r="H587" s="93">
        <v>0</v>
      </c>
      <c r="N587" s="88"/>
      <c r="O587" s="88"/>
      <c r="P587" s="88"/>
    </row>
    <row r="588" spans="1:16">
      <c r="A588" s="94">
        <v>5707</v>
      </c>
      <c r="B588" s="87" t="s">
        <v>1040</v>
      </c>
      <c r="C588" s="12" t="s">
        <v>10</v>
      </c>
      <c r="D588" s="93">
        <v>43.84</v>
      </c>
      <c r="E588" s="93">
        <v>0</v>
      </c>
      <c r="F588" s="93">
        <v>0</v>
      </c>
      <c r="G588" s="93">
        <v>43.84</v>
      </c>
      <c r="H588" s="93">
        <v>0</v>
      </c>
      <c r="N588" s="88"/>
      <c r="O588" s="88"/>
      <c r="P588" s="88"/>
    </row>
    <row r="589" spans="1:16">
      <c r="A589" s="94">
        <v>5710</v>
      </c>
      <c r="B589" s="87" t="s">
        <v>1041</v>
      </c>
      <c r="C589" s="12" t="s">
        <v>10</v>
      </c>
      <c r="D589" s="93">
        <v>103.54</v>
      </c>
      <c r="E589" s="93">
        <v>0</v>
      </c>
      <c r="F589" s="93">
        <v>0</v>
      </c>
      <c r="G589" s="93">
        <v>103.54</v>
      </c>
      <c r="H589" s="93">
        <v>0</v>
      </c>
      <c r="N589" s="88"/>
      <c r="O589" s="88"/>
      <c r="P589" s="88"/>
    </row>
    <row r="590" spans="1:16">
      <c r="A590" s="94">
        <v>5711</v>
      </c>
      <c r="B590" s="87" t="s">
        <v>1042</v>
      </c>
      <c r="C590" s="12" t="s">
        <v>10</v>
      </c>
      <c r="D590" s="93">
        <v>52.52</v>
      </c>
      <c r="E590" s="93">
        <v>0</v>
      </c>
      <c r="F590" s="93">
        <v>52.52</v>
      </c>
      <c r="G590" s="93">
        <v>0</v>
      </c>
      <c r="H590" s="93">
        <v>0</v>
      </c>
      <c r="N590" s="88"/>
      <c r="O590" s="88"/>
      <c r="P590" s="88"/>
    </row>
    <row r="591" spans="1:16">
      <c r="A591" s="94">
        <v>5714</v>
      </c>
      <c r="B591" s="87" t="s">
        <v>85</v>
      </c>
      <c r="C591" s="12" t="s">
        <v>10</v>
      </c>
      <c r="D591" s="93">
        <v>9.0299999999999994</v>
      </c>
      <c r="E591" s="93">
        <v>0</v>
      </c>
      <c r="F591" s="93">
        <v>0</v>
      </c>
      <c r="G591" s="93">
        <v>9.0299999999999994</v>
      </c>
      <c r="H591" s="93">
        <v>0</v>
      </c>
      <c r="N591" s="88"/>
      <c r="O591" s="88"/>
      <c r="P591" s="88"/>
    </row>
    <row r="592" spans="1:16">
      <c r="A592" s="94">
        <v>5715</v>
      </c>
      <c r="B592" s="87" t="s">
        <v>86</v>
      </c>
      <c r="C592" s="12" t="s">
        <v>10</v>
      </c>
      <c r="D592" s="93">
        <v>70.67</v>
      </c>
      <c r="E592" s="93">
        <v>0</v>
      </c>
      <c r="F592" s="93">
        <v>70.67</v>
      </c>
      <c r="G592" s="93">
        <v>0</v>
      </c>
      <c r="H592" s="93">
        <v>0</v>
      </c>
      <c r="N592" s="88"/>
      <c r="O592" s="88"/>
      <c r="P592" s="88"/>
    </row>
    <row r="593" spans="1:16">
      <c r="A593" s="94">
        <v>5718</v>
      </c>
      <c r="B593" s="87" t="s">
        <v>1043</v>
      </c>
      <c r="C593" s="12" t="s">
        <v>10</v>
      </c>
      <c r="D593" s="93">
        <v>62.69</v>
      </c>
      <c r="E593" s="93">
        <v>0</v>
      </c>
      <c r="F593" s="93">
        <v>62.69</v>
      </c>
      <c r="G593" s="93">
        <v>0</v>
      </c>
      <c r="H593" s="93">
        <v>0</v>
      </c>
      <c r="N593" s="88"/>
      <c r="O593" s="88"/>
      <c r="P593" s="88"/>
    </row>
    <row r="594" spans="1:16">
      <c r="A594" s="94">
        <v>5721</v>
      </c>
      <c r="B594" s="87" t="s">
        <v>87</v>
      </c>
      <c r="C594" s="12" t="s">
        <v>10</v>
      </c>
      <c r="D594" s="93">
        <v>55.31</v>
      </c>
      <c r="E594" s="93">
        <v>0</v>
      </c>
      <c r="F594" s="93">
        <v>55.31</v>
      </c>
      <c r="G594" s="93">
        <v>0</v>
      </c>
      <c r="H594" s="93">
        <v>0</v>
      </c>
      <c r="N594" s="88"/>
      <c r="O594" s="88"/>
      <c r="P594" s="88"/>
    </row>
    <row r="595" spans="1:16">
      <c r="A595" s="94">
        <v>5722</v>
      </c>
      <c r="B595" s="87" t="s">
        <v>1044</v>
      </c>
      <c r="C595" s="12" t="s">
        <v>10</v>
      </c>
      <c r="D595" s="93">
        <v>127.92</v>
      </c>
      <c r="E595" s="93">
        <v>0</v>
      </c>
      <c r="F595" s="93">
        <v>127.92</v>
      </c>
      <c r="G595" s="93">
        <v>0</v>
      </c>
      <c r="H595" s="93">
        <v>0</v>
      </c>
      <c r="N595" s="88"/>
      <c r="O595" s="88"/>
      <c r="P595" s="88"/>
    </row>
    <row r="596" spans="1:16">
      <c r="A596" s="94">
        <v>5724</v>
      </c>
      <c r="B596" s="87" t="s">
        <v>1045</v>
      </c>
      <c r="C596" s="12" t="s">
        <v>10</v>
      </c>
      <c r="D596" s="93">
        <v>34.950000000000003</v>
      </c>
      <c r="E596" s="93">
        <v>0</v>
      </c>
      <c r="F596" s="93">
        <v>0</v>
      </c>
      <c r="G596" s="93">
        <v>34.950000000000003</v>
      </c>
      <c r="H596" s="93">
        <v>0</v>
      </c>
      <c r="N596" s="88"/>
      <c r="O596" s="88"/>
      <c r="P596" s="88"/>
    </row>
    <row r="597" spans="1:16">
      <c r="A597" s="94">
        <v>5727</v>
      </c>
      <c r="B597" s="87" t="s">
        <v>1046</v>
      </c>
      <c r="C597" s="12" t="s">
        <v>10</v>
      </c>
      <c r="D597" s="93">
        <v>6.12</v>
      </c>
      <c r="E597" s="93">
        <v>0</v>
      </c>
      <c r="F597" s="93">
        <v>0</v>
      </c>
      <c r="G597" s="93">
        <v>6.12</v>
      </c>
      <c r="H597" s="93">
        <v>0</v>
      </c>
      <c r="N597" s="88"/>
      <c r="O597" s="88"/>
      <c r="P597" s="88"/>
    </row>
    <row r="598" spans="1:16">
      <c r="A598" s="94">
        <v>5729</v>
      </c>
      <c r="B598" s="87" t="s">
        <v>1047</v>
      </c>
      <c r="C598" s="12" t="s">
        <v>10</v>
      </c>
      <c r="D598" s="93">
        <v>24.9</v>
      </c>
      <c r="E598" s="93">
        <v>0</v>
      </c>
      <c r="F598" s="93">
        <v>0</v>
      </c>
      <c r="G598" s="93">
        <v>24.9</v>
      </c>
      <c r="H598" s="93">
        <v>0</v>
      </c>
      <c r="N598" s="88"/>
      <c r="O598" s="88"/>
      <c r="P598" s="88"/>
    </row>
    <row r="599" spans="1:16">
      <c r="A599" s="94">
        <v>5730</v>
      </c>
      <c r="B599" s="87" t="s">
        <v>1048</v>
      </c>
      <c r="C599" s="12" t="s">
        <v>10</v>
      </c>
      <c r="D599" s="93">
        <v>24.42</v>
      </c>
      <c r="E599" s="93">
        <v>0</v>
      </c>
      <c r="F599" s="93">
        <v>24.42</v>
      </c>
      <c r="G599" s="93">
        <v>0</v>
      </c>
      <c r="H599" s="93">
        <v>0</v>
      </c>
      <c r="N599" s="88"/>
      <c r="O599" s="88"/>
      <c r="P599" s="88"/>
    </row>
    <row r="600" spans="1:16">
      <c r="A600" s="94">
        <v>5735</v>
      </c>
      <c r="B600" s="87" t="s">
        <v>1049</v>
      </c>
      <c r="C600" s="12" t="s">
        <v>10</v>
      </c>
      <c r="D600" s="93">
        <v>17.96</v>
      </c>
      <c r="E600" s="93">
        <v>0</v>
      </c>
      <c r="F600" s="93">
        <v>0</v>
      </c>
      <c r="G600" s="93">
        <v>17.96</v>
      </c>
      <c r="H600" s="93">
        <v>0</v>
      </c>
      <c r="N600" s="88"/>
      <c r="O600" s="88"/>
      <c r="P600" s="88"/>
    </row>
    <row r="601" spans="1:16">
      <c r="A601" s="94">
        <v>5736</v>
      </c>
      <c r="B601" s="87" t="s">
        <v>1050</v>
      </c>
      <c r="C601" s="12" t="s">
        <v>10</v>
      </c>
      <c r="D601" s="93">
        <v>26.68</v>
      </c>
      <c r="E601" s="93">
        <v>0</v>
      </c>
      <c r="F601" s="93">
        <v>26.68</v>
      </c>
      <c r="G601" s="93">
        <v>0</v>
      </c>
      <c r="H601" s="93">
        <v>0</v>
      </c>
      <c r="N601" s="88"/>
      <c r="O601" s="88"/>
      <c r="P601" s="88"/>
    </row>
    <row r="602" spans="1:16">
      <c r="A602" s="94">
        <v>5738</v>
      </c>
      <c r="B602" s="87" t="s">
        <v>1051</v>
      </c>
      <c r="C602" s="12" t="s">
        <v>10</v>
      </c>
      <c r="D602" s="93">
        <v>22.14</v>
      </c>
      <c r="E602" s="93">
        <v>0</v>
      </c>
      <c r="F602" s="93">
        <v>0</v>
      </c>
      <c r="G602" s="93">
        <v>22.14</v>
      </c>
      <c r="H602" s="93">
        <v>0</v>
      </c>
      <c r="N602" s="88"/>
      <c r="O602" s="88"/>
      <c r="P602" s="88"/>
    </row>
    <row r="603" spans="1:16">
      <c r="A603" s="94">
        <v>5739</v>
      </c>
      <c r="B603" s="87" t="s">
        <v>1052</v>
      </c>
      <c r="C603" s="12" t="s">
        <v>10</v>
      </c>
      <c r="D603" s="93">
        <v>27.71</v>
      </c>
      <c r="E603" s="93">
        <v>0</v>
      </c>
      <c r="F603" s="93">
        <v>0</v>
      </c>
      <c r="G603" s="93">
        <v>27.71</v>
      </c>
      <c r="H603" s="93">
        <v>0</v>
      </c>
      <c r="N603" s="88"/>
      <c r="O603" s="88"/>
      <c r="P603" s="88"/>
    </row>
    <row r="604" spans="1:16">
      <c r="A604" s="94">
        <v>5741</v>
      </c>
      <c r="B604" s="87" t="s">
        <v>1053</v>
      </c>
      <c r="C604" s="12" t="s">
        <v>10</v>
      </c>
      <c r="D604" s="93">
        <v>27.29</v>
      </c>
      <c r="E604" s="93">
        <v>0</v>
      </c>
      <c r="F604" s="93">
        <v>0</v>
      </c>
      <c r="G604" s="93">
        <v>27.29</v>
      </c>
      <c r="H604" s="93">
        <v>0</v>
      </c>
      <c r="N604" s="88"/>
      <c r="O604" s="88"/>
      <c r="P604" s="88"/>
    </row>
    <row r="605" spans="1:16">
      <c r="A605" s="94">
        <v>5742</v>
      </c>
      <c r="B605" s="87" t="s">
        <v>1054</v>
      </c>
      <c r="C605" s="12" t="s">
        <v>10</v>
      </c>
      <c r="D605" s="93">
        <v>16.27</v>
      </c>
      <c r="E605" s="93">
        <v>0</v>
      </c>
      <c r="F605" s="93">
        <v>16.27</v>
      </c>
      <c r="G605" s="93">
        <v>0</v>
      </c>
      <c r="H605" s="93">
        <v>0</v>
      </c>
      <c r="N605" s="88"/>
      <c r="O605" s="88"/>
      <c r="P605" s="88"/>
    </row>
    <row r="606" spans="1:16">
      <c r="A606" s="94">
        <v>5747</v>
      </c>
      <c r="B606" s="87" t="s">
        <v>1055</v>
      </c>
      <c r="C606" s="12" t="s">
        <v>10</v>
      </c>
      <c r="D606" s="93">
        <v>93.29</v>
      </c>
      <c r="E606" s="93">
        <v>0</v>
      </c>
      <c r="F606" s="93">
        <v>93.29</v>
      </c>
      <c r="G606" s="93">
        <v>0</v>
      </c>
      <c r="H606" s="93">
        <v>0</v>
      </c>
      <c r="N606" s="88"/>
      <c r="O606" s="88"/>
      <c r="P606" s="88"/>
    </row>
    <row r="607" spans="1:16">
      <c r="A607" s="94">
        <v>5751</v>
      </c>
      <c r="B607" s="87" t="s">
        <v>88</v>
      </c>
      <c r="C607" s="12" t="s">
        <v>10</v>
      </c>
      <c r="D607" s="93">
        <v>16.47</v>
      </c>
      <c r="E607" s="93">
        <v>0</v>
      </c>
      <c r="F607" s="93">
        <v>0</v>
      </c>
      <c r="G607" s="93">
        <v>16.47</v>
      </c>
      <c r="H607" s="93">
        <v>0</v>
      </c>
      <c r="N607" s="88"/>
      <c r="O607" s="88"/>
      <c r="P607" s="88"/>
    </row>
    <row r="608" spans="1:16">
      <c r="A608" s="94">
        <v>5754</v>
      </c>
      <c r="B608" s="87" t="s">
        <v>1056</v>
      </c>
      <c r="C608" s="12" t="s">
        <v>10</v>
      </c>
      <c r="D608" s="93">
        <v>13.88</v>
      </c>
      <c r="E608" s="93">
        <v>0</v>
      </c>
      <c r="F608" s="93">
        <v>0</v>
      </c>
      <c r="G608" s="93">
        <v>13.88</v>
      </c>
      <c r="H608" s="93">
        <v>0</v>
      </c>
      <c r="N608" s="88"/>
      <c r="O608" s="88"/>
      <c r="P608" s="88"/>
    </row>
    <row r="609" spans="1:16">
      <c r="A609" s="94">
        <v>5763</v>
      </c>
      <c r="B609" s="87" t="s">
        <v>1057</v>
      </c>
      <c r="C609" s="12" t="s">
        <v>10</v>
      </c>
      <c r="D609" s="93">
        <v>24.34</v>
      </c>
      <c r="E609" s="93">
        <v>0</v>
      </c>
      <c r="F609" s="93">
        <v>0</v>
      </c>
      <c r="G609" s="93">
        <v>24.34</v>
      </c>
      <c r="H609" s="93">
        <v>0</v>
      </c>
      <c r="N609" s="88"/>
      <c r="O609" s="88"/>
      <c r="P609" s="88"/>
    </row>
    <row r="610" spans="1:16">
      <c r="A610" s="94">
        <v>5765</v>
      </c>
      <c r="B610" s="87" t="s">
        <v>89</v>
      </c>
      <c r="C610" s="12" t="s">
        <v>10</v>
      </c>
      <c r="D610" s="93">
        <v>1.92</v>
      </c>
      <c r="E610" s="93">
        <v>0</v>
      </c>
      <c r="F610" s="93">
        <v>0</v>
      </c>
      <c r="G610" s="93">
        <v>1.92</v>
      </c>
      <c r="H610" s="93">
        <v>0</v>
      </c>
      <c r="N610" s="88"/>
      <c r="O610" s="88"/>
      <c r="P610" s="88"/>
    </row>
    <row r="611" spans="1:16">
      <c r="A611" s="94">
        <v>5766</v>
      </c>
      <c r="B611" s="87" t="s">
        <v>90</v>
      </c>
      <c r="C611" s="12" t="s">
        <v>10</v>
      </c>
      <c r="D611" s="93">
        <v>3.36</v>
      </c>
      <c r="E611" s="93">
        <v>0</v>
      </c>
      <c r="F611" s="93">
        <v>3.36</v>
      </c>
      <c r="G611" s="93">
        <v>0</v>
      </c>
      <c r="H611" s="93">
        <v>0</v>
      </c>
      <c r="N611" s="88"/>
      <c r="O611" s="88"/>
      <c r="P611" s="88"/>
    </row>
    <row r="612" spans="1:16">
      <c r="A612" s="94">
        <v>5779</v>
      </c>
      <c r="B612" s="87" t="s">
        <v>91</v>
      </c>
      <c r="C612" s="12" t="s">
        <v>10</v>
      </c>
      <c r="D612" s="93">
        <v>38.83</v>
      </c>
      <c r="E612" s="93">
        <v>0</v>
      </c>
      <c r="F612" s="93">
        <v>0</v>
      </c>
      <c r="G612" s="93">
        <v>38.83</v>
      </c>
      <c r="H612" s="93">
        <v>0</v>
      </c>
      <c r="N612" s="88"/>
      <c r="O612" s="88"/>
      <c r="P612" s="88"/>
    </row>
    <row r="613" spans="1:16">
      <c r="A613" s="94">
        <v>5787</v>
      </c>
      <c r="B613" s="87" t="s">
        <v>1058</v>
      </c>
      <c r="C613" s="12" t="s">
        <v>10</v>
      </c>
      <c r="D613" s="93">
        <v>41.51</v>
      </c>
      <c r="E613" s="93">
        <v>0</v>
      </c>
      <c r="F613" s="93">
        <v>41.51</v>
      </c>
      <c r="G613" s="93">
        <v>0</v>
      </c>
      <c r="H613" s="93">
        <v>0</v>
      </c>
      <c r="N613" s="88"/>
      <c r="O613" s="88"/>
      <c r="P613" s="88"/>
    </row>
    <row r="614" spans="1:16">
      <c r="A614" s="94">
        <v>5797</v>
      </c>
      <c r="B614" s="87" t="s">
        <v>92</v>
      </c>
      <c r="C614" s="12" t="s">
        <v>10</v>
      </c>
      <c r="D614" s="93">
        <v>3.49</v>
      </c>
      <c r="E614" s="93">
        <v>0</v>
      </c>
      <c r="F614" s="93">
        <v>0</v>
      </c>
      <c r="G614" s="93">
        <v>3.49</v>
      </c>
      <c r="H614" s="93">
        <v>0</v>
      </c>
      <c r="N614" s="88"/>
      <c r="O614" s="88"/>
      <c r="P614" s="88"/>
    </row>
    <row r="615" spans="1:16">
      <c r="A615" s="94">
        <v>5800</v>
      </c>
      <c r="B615" s="87" t="s">
        <v>1059</v>
      </c>
      <c r="C615" s="12" t="s">
        <v>10</v>
      </c>
      <c r="D615" s="93">
        <v>0.31</v>
      </c>
      <c r="E615" s="93">
        <v>0</v>
      </c>
      <c r="F615" s="93">
        <v>0</v>
      </c>
      <c r="G615" s="93">
        <v>0.31</v>
      </c>
      <c r="H615" s="93">
        <v>0</v>
      </c>
      <c r="N615" s="88"/>
      <c r="O615" s="88"/>
      <c r="P615" s="88"/>
    </row>
    <row r="616" spans="1:16">
      <c r="A616" s="94">
        <v>7032</v>
      </c>
      <c r="B616" s="87" t="s">
        <v>1060</v>
      </c>
      <c r="C616" s="12" t="s">
        <v>10</v>
      </c>
      <c r="D616" s="93">
        <v>3.52</v>
      </c>
      <c r="E616" s="93">
        <v>0</v>
      </c>
      <c r="F616" s="93">
        <v>0</v>
      </c>
      <c r="G616" s="93">
        <v>3.52</v>
      </c>
      <c r="H616" s="93">
        <v>0</v>
      </c>
      <c r="N616" s="88"/>
      <c r="O616" s="88"/>
      <c r="P616" s="88"/>
    </row>
    <row r="617" spans="1:16">
      <c r="A617" s="94">
        <v>7033</v>
      </c>
      <c r="B617" s="87" t="s">
        <v>1061</v>
      </c>
      <c r="C617" s="12" t="s">
        <v>10</v>
      </c>
      <c r="D617" s="93">
        <v>0.57999999999999996</v>
      </c>
      <c r="E617" s="93">
        <v>0</v>
      </c>
      <c r="F617" s="93">
        <v>0</v>
      </c>
      <c r="G617" s="93">
        <v>0.57999999999999996</v>
      </c>
      <c r="H617" s="93">
        <v>0</v>
      </c>
      <c r="N617" s="88"/>
      <c r="O617" s="88"/>
      <c r="P617" s="88"/>
    </row>
    <row r="618" spans="1:16">
      <c r="A618" s="94">
        <v>7034</v>
      </c>
      <c r="B618" s="87" t="s">
        <v>1062</v>
      </c>
      <c r="C618" s="12" t="s">
        <v>10</v>
      </c>
      <c r="D618" s="93">
        <v>6.61</v>
      </c>
      <c r="E618" s="93">
        <v>0</v>
      </c>
      <c r="F618" s="93">
        <v>0</v>
      </c>
      <c r="G618" s="93">
        <v>6.61</v>
      </c>
      <c r="H618" s="93">
        <v>0</v>
      </c>
      <c r="N618" s="88"/>
      <c r="O618" s="88"/>
      <c r="P618" s="88"/>
    </row>
    <row r="619" spans="1:16">
      <c r="A619" s="94">
        <v>7035</v>
      </c>
      <c r="B619" s="87" t="s">
        <v>1063</v>
      </c>
      <c r="C619" s="12" t="s">
        <v>10</v>
      </c>
      <c r="D619" s="93">
        <v>126.07</v>
      </c>
      <c r="E619" s="93">
        <v>0</v>
      </c>
      <c r="F619" s="93">
        <v>126.07</v>
      </c>
      <c r="G619" s="93">
        <v>0</v>
      </c>
      <c r="H619" s="93">
        <v>0</v>
      </c>
      <c r="N619" s="88"/>
      <c r="O619" s="88"/>
      <c r="P619" s="88"/>
    </row>
    <row r="620" spans="1:16">
      <c r="A620" s="94">
        <v>7038</v>
      </c>
      <c r="B620" s="87" t="s">
        <v>1064</v>
      </c>
      <c r="C620" s="12" t="s">
        <v>10</v>
      </c>
      <c r="D620" s="93">
        <v>25.33</v>
      </c>
      <c r="E620" s="93">
        <v>0</v>
      </c>
      <c r="F620" s="93">
        <v>0</v>
      </c>
      <c r="G620" s="93">
        <v>25.33</v>
      </c>
      <c r="H620" s="93">
        <v>0</v>
      </c>
      <c r="N620" s="88"/>
      <c r="O620" s="88"/>
      <c r="P620" s="88"/>
    </row>
    <row r="621" spans="1:16">
      <c r="A621" s="94">
        <v>7039</v>
      </c>
      <c r="B621" s="87" t="s">
        <v>1065</v>
      </c>
      <c r="C621" s="12" t="s">
        <v>10</v>
      </c>
      <c r="D621" s="93">
        <v>3.51</v>
      </c>
      <c r="E621" s="93">
        <v>0</v>
      </c>
      <c r="F621" s="93">
        <v>0</v>
      </c>
      <c r="G621" s="93">
        <v>3.51</v>
      </c>
      <c r="H621" s="93">
        <v>0</v>
      </c>
      <c r="N621" s="88"/>
      <c r="O621" s="88"/>
      <c r="P621" s="88"/>
    </row>
    <row r="622" spans="1:16">
      <c r="A622" s="94">
        <v>7040</v>
      </c>
      <c r="B622" s="87" t="s">
        <v>1066</v>
      </c>
      <c r="C622" s="12" t="s">
        <v>10</v>
      </c>
      <c r="D622" s="93">
        <v>31.69</v>
      </c>
      <c r="E622" s="93">
        <v>0</v>
      </c>
      <c r="F622" s="93">
        <v>0</v>
      </c>
      <c r="G622" s="93">
        <v>31.69</v>
      </c>
      <c r="H622" s="93">
        <v>0</v>
      </c>
      <c r="N622" s="88"/>
      <c r="O622" s="88"/>
      <c r="P622" s="88"/>
    </row>
    <row r="623" spans="1:16">
      <c r="A623" s="94">
        <v>7044</v>
      </c>
      <c r="B623" s="87" t="s">
        <v>1067</v>
      </c>
      <c r="C623" s="12" t="s">
        <v>10</v>
      </c>
      <c r="D623" s="93">
        <v>0.2</v>
      </c>
      <c r="E623" s="93">
        <v>0</v>
      </c>
      <c r="F623" s="93">
        <v>0</v>
      </c>
      <c r="G623" s="93">
        <v>0.2</v>
      </c>
      <c r="H623" s="93">
        <v>0</v>
      </c>
      <c r="N623" s="88"/>
      <c r="O623" s="88"/>
      <c r="P623" s="88"/>
    </row>
    <row r="624" spans="1:16">
      <c r="A624" s="94">
        <v>7045</v>
      </c>
      <c r="B624" s="87" t="s">
        <v>1068</v>
      </c>
      <c r="C624" s="12" t="s">
        <v>10</v>
      </c>
      <c r="D624" s="93">
        <v>0.02</v>
      </c>
      <c r="E624" s="93">
        <v>0</v>
      </c>
      <c r="F624" s="93">
        <v>0</v>
      </c>
      <c r="G624" s="93">
        <v>0.02</v>
      </c>
      <c r="H624" s="93">
        <v>0</v>
      </c>
      <c r="N624" s="88"/>
      <c r="O624" s="88"/>
      <c r="P624" s="88"/>
    </row>
    <row r="625" spans="1:16">
      <c r="A625" s="94">
        <v>7046</v>
      </c>
      <c r="B625" s="87" t="s">
        <v>1069</v>
      </c>
      <c r="C625" s="12" t="s">
        <v>10</v>
      </c>
      <c r="D625" s="93">
        <v>0.22</v>
      </c>
      <c r="E625" s="93">
        <v>0</v>
      </c>
      <c r="F625" s="93">
        <v>0</v>
      </c>
      <c r="G625" s="93">
        <v>0.22</v>
      </c>
      <c r="H625" s="93">
        <v>0</v>
      </c>
      <c r="N625" s="88"/>
      <c r="O625" s="88"/>
      <c r="P625" s="88"/>
    </row>
    <row r="626" spans="1:16">
      <c r="A626" s="94">
        <v>7047</v>
      </c>
      <c r="B626" s="87" t="s">
        <v>1070</v>
      </c>
      <c r="C626" s="12" t="s">
        <v>10</v>
      </c>
      <c r="D626" s="93">
        <v>7.91</v>
      </c>
      <c r="E626" s="93">
        <v>0</v>
      </c>
      <c r="F626" s="93">
        <v>7.91</v>
      </c>
      <c r="G626" s="93">
        <v>0</v>
      </c>
      <c r="H626" s="93">
        <v>0</v>
      </c>
      <c r="N626" s="88"/>
      <c r="O626" s="88"/>
      <c r="P626" s="88"/>
    </row>
    <row r="627" spans="1:16">
      <c r="A627" s="94">
        <v>7051</v>
      </c>
      <c r="B627" s="87" t="s">
        <v>1071</v>
      </c>
      <c r="C627" s="12" t="s">
        <v>10</v>
      </c>
      <c r="D627" s="93">
        <v>22.46</v>
      </c>
      <c r="E627" s="93">
        <v>0</v>
      </c>
      <c r="F627" s="93">
        <v>0</v>
      </c>
      <c r="G627" s="93">
        <v>22.46</v>
      </c>
      <c r="H627" s="93">
        <v>0</v>
      </c>
      <c r="N627" s="88"/>
      <c r="O627" s="88"/>
      <c r="P627" s="88"/>
    </row>
    <row r="628" spans="1:16">
      <c r="A628" s="94">
        <v>7052</v>
      </c>
      <c r="B628" s="87" t="s">
        <v>1072</v>
      </c>
      <c r="C628" s="12" t="s">
        <v>10</v>
      </c>
      <c r="D628" s="93">
        <v>3.11</v>
      </c>
      <c r="E628" s="93">
        <v>0</v>
      </c>
      <c r="F628" s="93">
        <v>0</v>
      </c>
      <c r="G628" s="93">
        <v>3.11</v>
      </c>
      <c r="H628" s="93">
        <v>0</v>
      </c>
      <c r="N628" s="88"/>
      <c r="O628" s="88"/>
      <c r="P628" s="88"/>
    </row>
    <row r="629" spans="1:16">
      <c r="A629" s="94">
        <v>7053</v>
      </c>
      <c r="B629" s="87" t="s">
        <v>1073</v>
      </c>
      <c r="C629" s="12" t="s">
        <v>10</v>
      </c>
      <c r="D629" s="93">
        <v>28.11</v>
      </c>
      <c r="E629" s="93">
        <v>0</v>
      </c>
      <c r="F629" s="93">
        <v>0</v>
      </c>
      <c r="G629" s="93">
        <v>28.11</v>
      </c>
      <c r="H629" s="93">
        <v>0</v>
      </c>
      <c r="N629" s="88"/>
      <c r="O629" s="88"/>
      <c r="P629" s="88"/>
    </row>
    <row r="630" spans="1:16">
      <c r="A630" s="94">
        <v>7054</v>
      </c>
      <c r="B630" s="87" t="s">
        <v>1074</v>
      </c>
      <c r="C630" s="12" t="s">
        <v>10</v>
      </c>
      <c r="D630" s="93">
        <v>52.66</v>
      </c>
      <c r="E630" s="93">
        <v>0</v>
      </c>
      <c r="F630" s="93">
        <v>52.66</v>
      </c>
      <c r="G630" s="93">
        <v>0</v>
      </c>
      <c r="H630" s="93">
        <v>0</v>
      </c>
      <c r="N630" s="88"/>
      <c r="O630" s="88"/>
      <c r="P630" s="88"/>
    </row>
    <row r="631" spans="1:16">
      <c r="A631" s="94">
        <v>7058</v>
      </c>
      <c r="B631" s="87" t="s">
        <v>1075</v>
      </c>
      <c r="C631" s="12" t="s">
        <v>10</v>
      </c>
      <c r="D631" s="93">
        <v>12.52</v>
      </c>
      <c r="E631" s="93">
        <v>0</v>
      </c>
      <c r="F631" s="93">
        <v>0</v>
      </c>
      <c r="G631" s="93">
        <v>12.52</v>
      </c>
      <c r="H631" s="93">
        <v>0</v>
      </c>
      <c r="N631" s="88"/>
      <c r="O631" s="88"/>
      <c r="P631" s="88"/>
    </row>
    <row r="632" spans="1:16">
      <c r="A632" s="94">
        <v>7059</v>
      </c>
      <c r="B632" s="87" t="s">
        <v>1076</v>
      </c>
      <c r="C632" s="12" t="s">
        <v>10</v>
      </c>
      <c r="D632" s="93">
        <v>2.31</v>
      </c>
      <c r="E632" s="93">
        <v>0</v>
      </c>
      <c r="F632" s="93">
        <v>0</v>
      </c>
      <c r="G632" s="93">
        <v>2.31</v>
      </c>
      <c r="H632" s="93">
        <v>0</v>
      </c>
      <c r="N632" s="88"/>
      <c r="O632" s="88"/>
      <c r="P632" s="88"/>
    </row>
    <row r="633" spans="1:16">
      <c r="A633" s="94">
        <v>7060</v>
      </c>
      <c r="B633" s="87" t="s">
        <v>1077</v>
      </c>
      <c r="C633" s="12" t="s">
        <v>10</v>
      </c>
      <c r="D633" s="93">
        <v>23.48</v>
      </c>
      <c r="E633" s="93">
        <v>0</v>
      </c>
      <c r="F633" s="93">
        <v>0</v>
      </c>
      <c r="G633" s="93">
        <v>23.48</v>
      </c>
      <c r="H633" s="93">
        <v>0</v>
      </c>
      <c r="N633" s="88"/>
      <c r="O633" s="88"/>
      <c r="P633" s="88"/>
    </row>
    <row r="634" spans="1:16">
      <c r="A634" s="94">
        <v>7061</v>
      </c>
      <c r="B634" s="87" t="s">
        <v>1078</v>
      </c>
      <c r="C634" s="12" t="s">
        <v>10</v>
      </c>
      <c r="D634" s="93">
        <v>48.07</v>
      </c>
      <c r="E634" s="93">
        <v>0</v>
      </c>
      <c r="F634" s="93">
        <v>48.07</v>
      </c>
      <c r="G634" s="93">
        <v>0</v>
      </c>
      <c r="H634" s="93">
        <v>0</v>
      </c>
      <c r="N634" s="88"/>
      <c r="O634" s="88"/>
      <c r="P634" s="88"/>
    </row>
    <row r="635" spans="1:16">
      <c r="A635" s="94">
        <v>7063</v>
      </c>
      <c r="B635" s="87" t="s">
        <v>93</v>
      </c>
      <c r="C635" s="12" t="s">
        <v>10</v>
      </c>
      <c r="D635" s="93">
        <v>11.27</v>
      </c>
      <c r="E635" s="93">
        <v>0</v>
      </c>
      <c r="F635" s="93">
        <v>0</v>
      </c>
      <c r="G635" s="93">
        <v>11.27</v>
      </c>
      <c r="H635" s="93">
        <v>0</v>
      </c>
      <c r="N635" s="88"/>
      <c r="O635" s="88"/>
      <c r="P635" s="88"/>
    </row>
    <row r="636" spans="1:16">
      <c r="A636" s="94">
        <v>7064</v>
      </c>
      <c r="B636" s="87" t="s">
        <v>94</v>
      </c>
      <c r="C636" s="12" t="s">
        <v>10</v>
      </c>
      <c r="D636" s="93">
        <v>1.56</v>
      </c>
      <c r="E636" s="93">
        <v>0</v>
      </c>
      <c r="F636" s="93">
        <v>0</v>
      </c>
      <c r="G636" s="93">
        <v>1.56</v>
      </c>
      <c r="H636" s="93">
        <v>0</v>
      </c>
      <c r="N636" s="88"/>
      <c r="O636" s="88"/>
      <c r="P636" s="88"/>
    </row>
    <row r="637" spans="1:16">
      <c r="A637" s="94">
        <v>7065</v>
      </c>
      <c r="B637" s="87" t="s">
        <v>95</v>
      </c>
      <c r="C637" s="12" t="s">
        <v>10</v>
      </c>
      <c r="D637" s="93">
        <v>12.33</v>
      </c>
      <c r="E637" s="93">
        <v>0</v>
      </c>
      <c r="F637" s="93">
        <v>0</v>
      </c>
      <c r="G637" s="93">
        <v>12.33</v>
      </c>
      <c r="H637" s="93">
        <v>0</v>
      </c>
      <c r="N637" s="88"/>
      <c r="O637" s="88"/>
      <c r="P637" s="88"/>
    </row>
    <row r="638" spans="1:16">
      <c r="A638" s="94">
        <v>7066</v>
      </c>
      <c r="B638" s="87" t="s">
        <v>96</v>
      </c>
      <c r="C638" s="12" t="s">
        <v>10</v>
      </c>
      <c r="D638" s="93">
        <v>101.41</v>
      </c>
      <c r="E638" s="93">
        <v>0</v>
      </c>
      <c r="F638" s="93">
        <v>101.41</v>
      </c>
      <c r="G638" s="93">
        <v>0</v>
      </c>
      <c r="H638" s="93">
        <v>0</v>
      </c>
      <c r="N638" s="88"/>
      <c r="O638" s="88"/>
      <c r="P638" s="88"/>
    </row>
    <row r="639" spans="1:16">
      <c r="A639" s="94">
        <v>53786</v>
      </c>
      <c r="B639" s="87" t="s">
        <v>1079</v>
      </c>
      <c r="C639" s="12" t="s">
        <v>10</v>
      </c>
      <c r="D639" s="93">
        <v>31.48</v>
      </c>
      <c r="E639" s="93">
        <v>0</v>
      </c>
      <c r="F639" s="93">
        <v>31.48</v>
      </c>
      <c r="G639" s="93">
        <v>0</v>
      </c>
      <c r="H639" s="93">
        <v>0</v>
      </c>
      <c r="N639" s="88"/>
      <c r="O639" s="88"/>
      <c r="P639" s="88"/>
    </row>
    <row r="640" spans="1:16">
      <c r="A640" s="94">
        <v>53788</v>
      </c>
      <c r="B640" s="87" t="s">
        <v>1080</v>
      </c>
      <c r="C640" s="12" t="s">
        <v>10</v>
      </c>
      <c r="D640" s="93">
        <v>33.71</v>
      </c>
      <c r="E640" s="93">
        <v>0</v>
      </c>
      <c r="F640" s="93">
        <v>33.71</v>
      </c>
      <c r="G640" s="93">
        <v>0</v>
      </c>
      <c r="H640" s="93">
        <v>0</v>
      </c>
      <c r="N640" s="88"/>
      <c r="O640" s="88"/>
      <c r="P640" s="88"/>
    </row>
    <row r="641" spans="1:16">
      <c r="A641" s="94">
        <v>53792</v>
      </c>
      <c r="B641" s="87" t="s">
        <v>1081</v>
      </c>
      <c r="C641" s="12" t="s">
        <v>10</v>
      </c>
      <c r="D641" s="93">
        <v>59.76</v>
      </c>
      <c r="E641" s="93">
        <v>0</v>
      </c>
      <c r="F641" s="93">
        <v>59.76</v>
      </c>
      <c r="G641" s="93">
        <v>0</v>
      </c>
      <c r="H641" s="93">
        <v>0</v>
      </c>
      <c r="N641" s="88"/>
      <c r="O641" s="88"/>
      <c r="P641" s="88"/>
    </row>
    <row r="642" spans="1:16">
      <c r="A642" s="94">
        <v>53794</v>
      </c>
      <c r="B642" s="87" t="s">
        <v>97</v>
      </c>
      <c r="C642" s="12" t="s">
        <v>10</v>
      </c>
      <c r="D642" s="93">
        <v>35</v>
      </c>
      <c r="E642" s="93">
        <v>0</v>
      </c>
      <c r="F642" s="93">
        <v>0</v>
      </c>
      <c r="G642" s="93">
        <v>35</v>
      </c>
      <c r="H642" s="93">
        <v>0</v>
      </c>
      <c r="N642" s="88"/>
      <c r="O642" s="88"/>
      <c r="P642" s="88"/>
    </row>
    <row r="643" spans="1:16">
      <c r="A643" s="94">
        <v>53797</v>
      </c>
      <c r="B643" s="87" t="s">
        <v>1082</v>
      </c>
      <c r="C643" s="12" t="s">
        <v>10</v>
      </c>
      <c r="D643" s="93">
        <v>68.72</v>
      </c>
      <c r="E643" s="93">
        <v>0</v>
      </c>
      <c r="F643" s="93">
        <v>68.72</v>
      </c>
      <c r="G643" s="93">
        <v>0</v>
      </c>
      <c r="H643" s="93">
        <v>0</v>
      </c>
      <c r="N643" s="88"/>
      <c r="O643" s="88"/>
      <c r="P643" s="88"/>
    </row>
    <row r="644" spans="1:16">
      <c r="A644" s="94">
        <v>53804</v>
      </c>
      <c r="B644" s="87" t="s">
        <v>1083</v>
      </c>
      <c r="C644" s="12" t="s">
        <v>10</v>
      </c>
      <c r="D644" s="93">
        <v>2.76</v>
      </c>
      <c r="E644" s="93">
        <v>0</v>
      </c>
      <c r="F644" s="93">
        <v>0</v>
      </c>
      <c r="G644" s="93">
        <v>2.76</v>
      </c>
      <c r="H644" s="93">
        <v>0</v>
      </c>
      <c r="N644" s="88"/>
      <c r="O644" s="88"/>
      <c r="P644" s="88"/>
    </row>
    <row r="645" spans="1:16">
      <c r="A645" s="94">
        <v>53806</v>
      </c>
      <c r="B645" s="87" t="s">
        <v>1084</v>
      </c>
      <c r="C645" s="12" t="s">
        <v>10</v>
      </c>
      <c r="D645" s="93">
        <v>45.03</v>
      </c>
      <c r="E645" s="93">
        <v>0</v>
      </c>
      <c r="F645" s="93">
        <v>0</v>
      </c>
      <c r="G645" s="93">
        <v>45.03</v>
      </c>
      <c r="H645" s="93">
        <v>0</v>
      </c>
      <c r="N645" s="88"/>
      <c r="O645" s="88"/>
      <c r="P645" s="88"/>
    </row>
    <row r="646" spans="1:16">
      <c r="A646" s="94">
        <v>53810</v>
      </c>
      <c r="B646" s="87" t="s">
        <v>98</v>
      </c>
      <c r="C646" s="12" t="s">
        <v>10</v>
      </c>
      <c r="D646" s="93">
        <v>45.31</v>
      </c>
      <c r="E646" s="93">
        <v>0</v>
      </c>
      <c r="F646" s="93">
        <v>0</v>
      </c>
      <c r="G646" s="93">
        <v>45.31</v>
      </c>
      <c r="H646" s="93">
        <v>0</v>
      </c>
      <c r="N646" s="88"/>
      <c r="O646" s="88"/>
      <c r="P646" s="88"/>
    </row>
    <row r="647" spans="1:16">
      <c r="A647" s="94">
        <v>53814</v>
      </c>
      <c r="B647" s="87" t="s">
        <v>1085</v>
      </c>
      <c r="C647" s="12" t="s">
        <v>10</v>
      </c>
      <c r="D647" s="93">
        <v>148.41999999999999</v>
      </c>
      <c r="E647" s="93">
        <v>0</v>
      </c>
      <c r="F647" s="93">
        <v>0</v>
      </c>
      <c r="G647" s="93">
        <v>148.41999999999999</v>
      </c>
      <c r="H647" s="93">
        <v>0</v>
      </c>
      <c r="N647" s="88"/>
      <c r="O647" s="88"/>
      <c r="P647" s="88"/>
    </row>
    <row r="648" spans="1:16">
      <c r="A648" s="94">
        <v>53817</v>
      </c>
      <c r="B648" s="87" t="s">
        <v>1086</v>
      </c>
      <c r="C648" s="12" t="s">
        <v>10</v>
      </c>
      <c r="D648" s="93">
        <v>36.85</v>
      </c>
      <c r="E648" s="93">
        <v>0</v>
      </c>
      <c r="F648" s="93">
        <v>36.85</v>
      </c>
      <c r="G648" s="93">
        <v>0</v>
      </c>
      <c r="H648" s="93">
        <v>0</v>
      </c>
      <c r="N648" s="88"/>
      <c r="O648" s="88"/>
      <c r="P648" s="88"/>
    </row>
    <row r="649" spans="1:16">
      <c r="A649" s="94">
        <v>53818</v>
      </c>
      <c r="B649" s="87" t="s">
        <v>1087</v>
      </c>
      <c r="C649" s="12" t="s">
        <v>10</v>
      </c>
      <c r="D649" s="93">
        <v>4.8899999999999997</v>
      </c>
      <c r="E649" s="93">
        <v>0</v>
      </c>
      <c r="F649" s="93">
        <v>0</v>
      </c>
      <c r="G649" s="93">
        <v>4.8899999999999997</v>
      </c>
      <c r="H649" s="93">
        <v>0</v>
      </c>
      <c r="N649" s="88"/>
      <c r="O649" s="88"/>
      <c r="P649" s="88"/>
    </row>
    <row r="650" spans="1:16">
      <c r="A650" s="94">
        <v>53827</v>
      </c>
      <c r="B650" s="87" t="s">
        <v>99</v>
      </c>
      <c r="C650" s="12" t="s">
        <v>10</v>
      </c>
      <c r="D650" s="93">
        <v>67.28</v>
      </c>
      <c r="E650" s="93">
        <v>0</v>
      </c>
      <c r="F650" s="93">
        <v>67.28</v>
      </c>
      <c r="G650" s="93">
        <v>0</v>
      </c>
      <c r="H650" s="93">
        <v>0</v>
      </c>
      <c r="N650" s="88"/>
      <c r="O650" s="88"/>
      <c r="P650" s="88"/>
    </row>
    <row r="651" spans="1:16">
      <c r="A651" s="94">
        <v>53829</v>
      </c>
      <c r="B651" s="87" t="s">
        <v>1088</v>
      </c>
      <c r="C651" s="12" t="s">
        <v>10</v>
      </c>
      <c r="D651" s="93">
        <v>68.72</v>
      </c>
      <c r="E651" s="93">
        <v>0</v>
      </c>
      <c r="F651" s="93">
        <v>68.72</v>
      </c>
      <c r="G651" s="93">
        <v>0</v>
      </c>
      <c r="H651" s="93">
        <v>0</v>
      </c>
      <c r="N651" s="88"/>
      <c r="O651" s="88"/>
      <c r="P651" s="88"/>
    </row>
    <row r="652" spans="1:16">
      <c r="A652" s="94">
        <v>53831</v>
      </c>
      <c r="B652" s="87" t="s">
        <v>1089</v>
      </c>
      <c r="C652" s="12" t="s">
        <v>10</v>
      </c>
      <c r="D652" s="93">
        <v>113.52</v>
      </c>
      <c r="E652" s="93">
        <v>0</v>
      </c>
      <c r="F652" s="93">
        <v>113.52</v>
      </c>
      <c r="G652" s="93">
        <v>0</v>
      </c>
      <c r="H652" s="93">
        <v>0</v>
      </c>
      <c r="N652" s="88"/>
      <c r="O652" s="88"/>
      <c r="P652" s="88"/>
    </row>
    <row r="653" spans="1:16">
      <c r="A653" s="94">
        <v>53840</v>
      </c>
      <c r="B653" s="87" t="s">
        <v>1090</v>
      </c>
      <c r="C653" s="12" t="s">
        <v>10</v>
      </c>
      <c r="D653" s="93">
        <v>1.5</v>
      </c>
      <c r="E653" s="93">
        <v>0</v>
      </c>
      <c r="F653" s="93">
        <v>0</v>
      </c>
      <c r="G653" s="93">
        <v>1.5</v>
      </c>
      <c r="H653" s="93">
        <v>0</v>
      </c>
      <c r="N653" s="88"/>
      <c r="O653" s="88"/>
      <c r="P653" s="88"/>
    </row>
    <row r="654" spans="1:16">
      <c r="A654" s="94">
        <v>53841</v>
      </c>
      <c r="B654" s="87" t="s">
        <v>1091</v>
      </c>
      <c r="C654" s="12" t="s">
        <v>10</v>
      </c>
      <c r="D654" s="93">
        <v>1.04</v>
      </c>
      <c r="E654" s="93">
        <v>0</v>
      </c>
      <c r="F654" s="93">
        <v>0</v>
      </c>
      <c r="G654" s="93">
        <v>1.04</v>
      </c>
      <c r="H654" s="93">
        <v>0</v>
      </c>
      <c r="N654" s="88"/>
      <c r="O654" s="88"/>
      <c r="P654" s="88"/>
    </row>
    <row r="655" spans="1:16">
      <c r="A655" s="94">
        <v>53849</v>
      </c>
      <c r="B655" s="87" t="s">
        <v>1092</v>
      </c>
      <c r="C655" s="12" t="s">
        <v>10</v>
      </c>
      <c r="D655" s="93">
        <v>49.38</v>
      </c>
      <c r="E655" s="93">
        <v>0</v>
      </c>
      <c r="F655" s="93">
        <v>49.38</v>
      </c>
      <c r="G655" s="93">
        <v>0</v>
      </c>
      <c r="H655" s="93">
        <v>0</v>
      </c>
      <c r="N655" s="88"/>
      <c r="O655" s="88"/>
      <c r="P655" s="88"/>
    </row>
    <row r="656" spans="1:16">
      <c r="A656" s="94">
        <v>53857</v>
      </c>
      <c r="B656" s="87" t="s">
        <v>1093</v>
      </c>
      <c r="C656" s="12" t="s">
        <v>10</v>
      </c>
      <c r="D656" s="93">
        <v>26.94</v>
      </c>
      <c r="E656" s="93">
        <v>0</v>
      </c>
      <c r="F656" s="93">
        <v>0</v>
      </c>
      <c r="G656" s="93">
        <v>26.94</v>
      </c>
      <c r="H656" s="93">
        <v>0</v>
      </c>
      <c r="N656" s="88"/>
      <c r="O656" s="88"/>
      <c r="P656" s="88"/>
    </row>
    <row r="657" spans="1:16">
      <c r="A657" s="94">
        <v>53858</v>
      </c>
      <c r="B657" s="87" t="s">
        <v>1094</v>
      </c>
      <c r="C657" s="12" t="s">
        <v>10</v>
      </c>
      <c r="D657" s="93">
        <v>47.19</v>
      </c>
      <c r="E657" s="93">
        <v>0</v>
      </c>
      <c r="F657" s="93">
        <v>47.19</v>
      </c>
      <c r="G657" s="93">
        <v>0</v>
      </c>
      <c r="H657" s="93">
        <v>0</v>
      </c>
      <c r="N657" s="88"/>
      <c r="O657" s="88"/>
      <c r="P657" s="88"/>
    </row>
    <row r="658" spans="1:16">
      <c r="A658" s="94">
        <v>53861</v>
      </c>
      <c r="B658" s="87" t="s">
        <v>1095</v>
      </c>
      <c r="C658" s="12" t="s">
        <v>10</v>
      </c>
      <c r="D658" s="93">
        <v>37.36</v>
      </c>
      <c r="E658" s="93">
        <v>0</v>
      </c>
      <c r="F658" s="93">
        <v>0</v>
      </c>
      <c r="G658" s="93">
        <v>37.36</v>
      </c>
      <c r="H658" s="93">
        <v>0</v>
      </c>
      <c r="N658" s="88"/>
      <c r="O658" s="88"/>
      <c r="P658" s="88"/>
    </row>
    <row r="659" spans="1:16">
      <c r="A659" s="94">
        <v>53863</v>
      </c>
      <c r="B659" s="87" t="s">
        <v>1096</v>
      </c>
      <c r="C659" s="12" t="s">
        <v>10</v>
      </c>
      <c r="D659" s="93">
        <v>1.38</v>
      </c>
      <c r="E659" s="93">
        <v>0</v>
      </c>
      <c r="F659" s="93">
        <v>0</v>
      </c>
      <c r="G659" s="93">
        <v>1.38</v>
      </c>
      <c r="H659" s="93">
        <v>0</v>
      </c>
      <c r="N659" s="88"/>
      <c r="O659" s="88"/>
      <c r="P659" s="88"/>
    </row>
    <row r="660" spans="1:16">
      <c r="A660" s="94">
        <v>53865</v>
      </c>
      <c r="B660" s="87" t="s">
        <v>1097</v>
      </c>
      <c r="C660" s="12" t="s">
        <v>10</v>
      </c>
      <c r="D660" s="93">
        <v>27.81</v>
      </c>
      <c r="E660" s="93">
        <v>0</v>
      </c>
      <c r="F660" s="93">
        <v>27.81</v>
      </c>
      <c r="G660" s="93">
        <v>0</v>
      </c>
      <c r="H660" s="93">
        <v>0</v>
      </c>
      <c r="N660" s="88"/>
      <c r="O660" s="88"/>
      <c r="P660" s="88"/>
    </row>
    <row r="661" spans="1:16">
      <c r="A661" s="94">
        <v>53866</v>
      </c>
      <c r="B661" s="87" t="s">
        <v>1098</v>
      </c>
      <c r="C661" s="12" t="s">
        <v>10</v>
      </c>
      <c r="D661" s="93">
        <v>1.57</v>
      </c>
      <c r="E661" s="93">
        <v>0</v>
      </c>
      <c r="F661" s="93">
        <v>0</v>
      </c>
      <c r="G661" s="93">
        <v>0</v>
      </c>
      <c r="H661" s="93">
        <v>0</v>
      </c>
      <c r="N661" s="88"/>
      <c r="O661" s="88"/>
      <c r="P661" s="88"/>
    </row>
    <row r="662" spans="1:16">
      <c r="A662" s="94">
        <v>53882</v>
      </c>
      <c r="B662" s="87" t="s">
        <v>1099</v>
      </c>
      <c r="C662" s="12" t="s">
        <v>10</v>
      </c>
      <c r="D662" s="93">
        <v>18.989999999999998</v>
      </c>
      <c r="E662" s="93">
        <v>0</v>
      </c>
      <c r="F662" s="93">
        <v>0</v>
      </c>
      <c r="G662" s="93">
        <v>18.989999999999998</v>
      </c>
      <c r="H662" s="93">
        <v>0</v>
      </c>
      <c r="N662" s="88"/>
      <c r="O662" s="88"/>
      <c r="P662" s="88"/>
    </row>
    <row r="663" spans="1:16">
      <c r="A663" s="94">
        <v>55263</v>
      </c>
      <c r="B663" s="87" t="s">
        <v>1100</v>
      </c>
      <c r="C663" s="12" t="s">
        <v>10</v>
      </c>
      <c r="D663" s="93">
        <v>38.01</v>
      </c>
      <c r="E663" s="93">
        <v>0</v>
      </c>
      <c r="F663" s="93">
        <v>38.01</v>
      </c>
      <c r="G663" s="93">
        <v>0</v>
      </c>
      <c r="H663" s="93">
        <v>0</v>
      </c>
      <c r="N663" s="88"/>
      <c r="O663" s="88"/>
      <c r="P663" s="88"/>
    </row>
    <row r="664" spans="1:16">
      <c r="A664" s="94">
        <v>73303</v>
      </c>
      <c r="B664" s="87" t="s">
        <v>1101</v>
      </c>
      <c r="C664" s="12" t="s">
        <v>10</v>
      </c>
      <c r="D664" s="93">
        <v>4.3899999999999997</v>
      </c>
      <c r="E664" s="93">
        <v>0</v>
      </c>
      <c r="F664" s="93">
        <v>0</v>
      </c>
      <c r="G664" s="93">
        <v>4.3899999999999997</v>
      </c>
      <c r="H664" s="93">
        <v>0</v>
      </c>
      <c r="N664" s="88"/>
      <c r="O664" s="88"/>
      <c r="P664" s="88"/>
    </row>
    <row r="665" spans="1:16">
      <c r="A665" s="94">
        <v>73307</v>
      </c>
      <c r="B665" s="87" t="s">
        <v>1102</v>
      </c>
      <c r="C665" s="12" t="s">
        <v>10</v>
      </c>
      <c r="D665" s="93">
        <v>3.91</v>
      </c>
      <c r="E665" s="93">
        <v>0</v>
      </c>
      <c r="F665" s="93">
        <v>0</v>
      </c>
      <c r="G665" s="93">
        <v>3.91</v>
      </c>
      <c r="H665" s="93">
        <v>0</v>
      </c>
      <c r="N665" s="88"/>
      <c r="O665" s="88"/>
      <c r="P665" s="88"/>
    </row>
    <row r="666" spans="1:16">
      <c r="A666" s="94">
        <v>73309</v>
      </c>
      <c r="B666" s="87" t="s">
        <v>100</v>
      </c>
      <c r="C666" s="12" t="s">
        <v>10</v>
      </c>
      <c r="D666" s="93">
        <v>16.850000000000001</v>
      </c>
      <c r="E666" s="93">
        <v>0</v>
      </c>
      <c r="F666" s="93">
        <v>0</v>
      </c>
      <c r="G666" s="93">
        <v>16.850000000000001</v>
      </c>
      <c r="H666" s="93">
        <v>0</v>
      </c>
      <c r="N666" s="88"/>
      <c r="O666" s="88"/>
      <c r="P666" s="88"/>
    </row>
    <row r="667" spans="1:16">
      <c r="A667" s="94">
        <v>73311</v>
      </c>
      <c r="B667" s="87" t="s">
        <v>101</v>
      </c>
      <c r="C667" s="12" t="s">
        <v>10</v>
      </c>
      <c r="D667" s="93">
        <v>105.08</v>
      </c>
      <c r="E667" s="93">
        <v>0</v>
      </c>
      <c r="F667" s="93">
        <v>105.08</v>
      </c>
      <c r="G667" s="93">
        <v>0</v>
      </c>
      <c r="H667" s="93">
        <v>0</v>
      </c>
      <c r="N667" s="88"/>
      <c r="O667" s="88"/>
      <c r="P667" s="88"/>
    </row>
    <row r="668" spans="1:16">
      <c r="A668" s="94">
        <v>73313</v>
      </c>
      <c r="B668" s="87" t="s">
        <v>102</v>
      </c>
      <c r="C668" s="12" t="s">
        <v>10</v>
      </c>
      <c r="D668" s="93">
        <v>2.33</v>
      </c>
      <c r="E668" s="93">
        <v>0</v>
      </c>
      <c r="F668" s="93">
        <v>0</v>
      </c>
      <c r="G668" s="93">
        <v>2.33</v>
      </c>
      <c r="H668" s="93">
        <v>0</v>
      </c>
      <c r="N668" s="88"/>
      <c r="O668" s="88"/>
      <c r="P668" s="88"/>
    </row>
    <row r="669" spans="1:16">
      <c r="A669" s="94">
        <v>73315</v>
      </c>
      <c r="B669" s="87" t="s">
        <v>103</v>
      </c>
      <c r="C669" s="12" t="s">
        <v>10</v>
      </c>
      <c r="D669" s="93">
        <v>33.71</v>
      </c>
      <c r="E669" s="93">
        <v>0</v>
      </c>
      <c r="F669" s="93">
        <v>33.71</v>
      </c>
      <c r="G669" s="93">
        <v>0</v>
      </c>
      <c r="H669" s="93">
        <v>0</v>
      </c>
      <c r="N669" s="88"/>
      <c r="O669" s="88"/>
      <c r="P669" s="88"/>
    </row>
    <row r="670" spans="1:16">
      <c r="A670" s="94">
        <v>73335</v>
      </c>
      <c r="B670" s="87" t="s">
        <v>1103</v>
      </c>
      <c r="C670" s="12" t="s">
        <v>10</v>
      </c>
      <c r="D670" s="93">
        <v>18.02</v>
      </c>
      <c r="E670" s="93">
        <v>0</v>
      </c>
      <c r="F670" s="93">
        <v>0</v>
      </c>
      <c r="G670" s="93">
        <v>18.02</v>
      </c>
      <c r="H670" s="93">
        <v>0</v>
      </c>
      <c r="N670" s="88"/>
      <c r="O670" s="88"/>
      <c r="P670" s="88"/>
    </row>
    <row r="671" spans="1:16">
      <c r="A671" s="94">
        <v>73340</v>
      </c>
      <c r="B671" s="87" t="s">
        <v>1104</v>
      </c>
      <c r="C671" s="12" t="s">
        <v>10</v>
      </c>
      <c r="D671" s="93">
        <v>48.07</v>
      </c>
      <c r="E671" s="93">
        <v>0</v>
      </c>
      <c r="F671" s="93">
        <v>48.07</v>
      </c>
      <c r="G671" s="93">
        <v>0</v>
      </c>
      <c r="H671" s="93">
        <v>0</v>
      </c>
      <c r="N671" s="88"/>
      <c r="O671" s="88"/>
      <c r="P671" s="88"/>
    </row>
    <row r="672" spans="1:16">
      <c r="A672" s="94">
        <v>83361</v>
      </c>
      <c r="B672" s="87" t="s">
        <v>1105</v>
      </c>
      <c r="C672" s="12" t="s">
        <v>10</v>
      </c>
      <c r="D672" s="93">
        <v>10.74</v>
      </c>
      <c r="E672" s="93">
        <v>0</v>
      </c>
      <c r="F672" s="93">
        <v>0</v>
      </c>
      <c r="G672" s="93">
        <v>10.74</v>
      </c>
      <c r="H672" s="93">
        <v>0</v>
      </c>
      <c r="N672" s="88"/>
      <c r="O672" s="88"/>
      <c r="P672" s="88"/>
    </row>
    <row r="673" spans="1:16">
      <c r="A673" s="94">
        <v>83761</v>
      </c>
      <c r="B673" s="87" t="s">
        <v>1106</v>
      </c>
      <c r="C673" s="12" t="s">
        <v>10</v>
      </c>
      <c r="D673" s="93">
        <v>9.36</v>
      </c>
      <c r="E673" s="93">
        <v>0</v>
      </c>
      <c r="F673" s="93">
        <v>0</v>
      </c>
      <c r="G673" s="93">
        <v>9.36</v>
      </c>
      <c r="H673" s="93">
        <v>0</v>
      </c>
      <c r="N673" s="88"/>
      <c r="O673" s="88"/>
      <c r="P673" s="88"/>
    </row>
    <row r="674" spans="1:16">
      <c r="A674" s="94">
        <v>83762</v>
      </c>
      <c r="B674" s="87" t="s">
        <v>1107</v>
      </c>
      <c r="C674" s="12" t="s">
        <v>10</v>
      </c>
      <c r="D674" s="93">
        <v>11.7</v>
      </c>
      <c r="E674" s="93">
        <v>0</v>
      </c>
      <c r="F674" s="93">
        <v>0</v>
      </c>
      <c r="G674" s="93">
        <v>11.7</v>
      </c>
      <c r="H674" s="93">
        <v>0</v>
      </c>
      <c r="N674" s="88"/>
      <c r="O674" s="88"/>
      <c r="P674" s="88"/>
    </row>
    <row r="675" spans="1:16">
      <c r="A675" s="94">
        <v>83763</v>
      </c>
      <c r="B675" s="87" t="s">
        <v>1108</v>
      </c>
      <c r="C675" s="12" t="s">
        <v>10</v>
      </c>
      <c r="D675" s="93">
        <v>29.61</v>
      </c>
      <c r="E675" s="93">
        <v>0</v>
      </c>
      <c r="F675" s="93">
        <v>29.61</v>
      </c>
      <c r="G675" s="93">
        <v>0</v>
      </c>
      <c r="H675" s="93">
        <v>0</v>
      </c>
      <c r="N675" s="88"/>
      <c r="O675" s="88"/>
      <c r="P675" s="88"/>
    </row>
    <row r="676" spans="1:16">
      <c r="A676" s="94">
        <v>83764</v>
      </c>
      <c r="B676" s="87" t="s">
        <v>1109</v>
      </c>
      <c r="C676" s="12" t="s">
        <v>10</v>
      </c>
      <c r="D676" s="93">
        <v>1.05</v>
      </c>
      <c r="E676" s="93">
        <v>0</v>
      </c>
      <c r="F676" s="93">
        <v>0</v>
      </c>
      <c r="G676" s="93">
        <v>1.05</v>
      </c>
      <c r="H676" s="93">
        <v>0</v>
      </c>
      <c r="N676" s="88"/>
      <c r="O676" s="88"/>
      <c r="P676" s="88"/>
    </row>
    <row r="677" spans="1:16">
      <c r="A677" s="94">
        <v>87026</v>
      </c>
      <c r="B677" s="87" t="s">
        <v>1110</v>
      </c>
      <c r="C677" s="12" t="s">
        <v>10</v>
      </c>
      <c r="D677" s="93">
        <v>0.21</v>
      </c>
      <c r="E677" s="93">
        <v>0</v>
      </c>
      <c r="F677" s="93">
        <v>0</v>
      </c>
      <c r="G677" s="93">
        <v>0.21</v>
      </c>
      <c r="H677" s="93">
        <v>0</v>
      </c>
      <c r="N677" s="88"/>
      <c r="O677" s="88"/>
      <c r="P677" s="88"/>
    </row>
    <row r="678" spans="1:16">
      <c r="A678" s="94">
        <v>87441</v>
      </c>
      <c r="B678" s="87" t="s">
        <v>104</v>
      </c>
      <c r="C678" s="12" t="s">
        <v>10</v>
      </c>
      <c r="D678" s="93">
        <v>0.32</v>
      </c>
      <c r="E678" s="93">
        <v>0</v>
      </c>
      <c r="F678" s="93">
        <v>0</v>
      </c>
      <c r="G678" s="93">
        <v>0.32</v>
      </c>
      <c r="H678" s="93">
        <v>0</v>
      </c>
      <c r="N678" s="88"/>
      <c r="O678" s="88"/>
      <c r="P678" s="88"/>
    </row>
    <row r="679" spans="1:16">
      <c r="A679" s="94">
        <v>87442</v>
      </c>
      <c r="B679" s="87" t="s">
        <v>105</v>
      </c>
      <c r="C679" s="12" t="s">
        <v>10</v>
      </c>
      <c r="D679" s="93">
        <v>0.03</v>
      </c>
      <c r="E679" s="93">
        <v>0</v>
      </c>
      <c r="F679" s="93">
        <v>0</v>
      </c>
      <c r="G679" s="93">
        <v>0.03</v>
      </c>
      <c r="H679" s="93">
        <v>0</v>
      </c>
      <c r="N679" s="88"/>
      <c r="O679" s="88"/>
      <c r="P679" s="88"/>
    </row>
    <row r="680" spans="1:16">
      <c r="A680" s="94">
        <v>87443</v>
      </c>
      <c r="B680" s="87" t="s">
        <v>106</v>
      </c>
      <c r="C680" s="12" t="s">
        <v>10</v>
      </c>
      <c r="D680" s="93">
        <v>0.3</v>
      </c>
      <c r="E680" s="93">
        <v>0</v>
      </c>
      <c r="F680" s="93">
        <v>0</v>
      </c>
      <c r="G680" s="93">
        <v>0.3</v>
      </c>
      <c r="H680" s="93">
        <v>0</v>
      </c>
      <c r="N680" s="88"/>
      <c r="O680" s="88"/>
      <c r="P680" s="88"/>
    </row>
    <row r="681" spans="1:16">
      <c r="A681" s="94">
        <v>87444</v>
      </c>
      <c r="B681" s="87" t="s">
        <v>1111</v>
      </c>
      <c r="C681" s="12" t="s">
        <v>10</v>
      </c>
      <c r="D681" s="93">
        <v>2.5</v>
      </c>
      <c r="E681" s="93">
        <v>0</v>
      </c>
      <c r="F681" s="93">
        <v>2.5</v>
      </c>
      <c r="G681" s="93">
        <v>0</v>
      </c>
      <c r="H681" s="93">
        <v>0</v>
      </c>
      <c r="N681" s="88"/>
      <c r="O681" s="88"/>
      <c r="P681" s="88"/>
    </row>
    <row r="682" spans="1:16">
      <c r="A682" s="94">
        <v>88387</v>
      </c>
      <c r="B682" s="87" t="s">
        <v>1112</v>
      </c>
      <c r="C682" s="12" t="s">
        <v>10</v>
      </c>
      <c r="D682" s="93">
        <v>0.63</v>
      </c>
      <c r="E682" s="93">
        <v>0</v>
      </c>
      <c r="F682" s="93">
        <v>0</v>
      </c>
      <c r="G682" s="93">
        <v>0.63</v>
      </c>
      <c r="H682" s="93">
        <v>0</v>
      </c>
      <c r="N682" s="88"/>
      <c r="O682" s="88"/>
      <c r="P682" s="88"/>
    </row>
    <row r="683" spans="1:16">
      <c r="A683" s="94">
        <v>88389</v>
      </c>
      <c r="B683" s="87" t="s">
        <v>1113</v>
      </c>
      <c r="C683" s="12" t="s">
        <v>10</v>
      </c>
      <c r="D683" s="93">
        <v>7.0000000000000007E-2</v>
      </c>
      <c r="E683" s="93">
        <v>0</v>
      </c>
      <c r="F683" s="93">
        <v>0</v>
      </c>
      <c r="G683" s="93">
        <v>7.0000000000000007E-2</v>
      </c>
      <c r="H683" s="93">
        <v>0</v>
      </c>
      <c r="N683" s="88"/>
      <c r="O683" s="88"/>
      <c r="P683" s="88"/>
    </row>
    <row r="684" spans="1:16">
      <c r="A684" s="94">
        <v>88390</v>
      </c>
      <c r="B684" s="87" t="s">
        <v>1114</v>
      </c>
      <c r="C684" s="12" t="s">
        <v>10</v>
      </c>
      <c r="D684" s="93">
        <v>0.79</v>
      </c>
      <c r="E684" s="93">
        <v>0</v>
      </c>
      <c r="F684" s="93">
        <v>0</v>
      </c>
      <c r="G684" s="93">
        <v>0.79</v>
      </c>
      <c r="H684" s="93">
        <v>0</v>
      </c>
      <c r="N684" s="88"/>
      <c r="O684" s="88"/>
      <c r="P684" s="88"/>
    </row>
    <row r="685" spans="1:16">
      <c r="A685" s="94">
        <v>88391</v>
      </c>
      <c r="B685" s="87" t="s">
        <v>1115</v>
      </c>
      <c r="C685" s="12" t="s">
        <v>10</v>
      </c>
      <c r="D685" s="93">
        <v>2.56</v>
      </c>
      <c r="E685" s="93">
        <v>0</v>
      </c>
      <c r="F685" s="93">
        <v>0</v>
      </c>
      <c r="G685" s="93">
        <v>0</v>
      </c>
      <c r="H685" s="93">
        <v>0</v>
      </c>
      <c r="N685" s="88"/>
      <c r="O685" s="88"/>
      <c r="P685" s="88"/>
    </row>
    <row r="686" spans="1:16">
      <c r="A686" s="94">
        <v>88394</v>
      </c>
      <c r="B686" s="87" t="s">
        <v>1116</v>
      </c>
      <c r="C686" s="12" t="s">
        <v>10</v>
      </c>
      <c r="D686" s="93">
        <v>0.75</v>
      </c>
      <c r="E686" s="93">
        <v>0</v>
      </c>
      <c r="F686" s="93">
        <v>0</v>
      </c>
      <c r="G686" s="93">
        <v>0.75</v>
      </c>
      <c r="H686" s="93">
        <v>0</v>
      </c>
      <c r="N686" s="88"/>
      <c r="O686" s="88"/>
      <c r="P686" s="88"/>
    </row>
    <row r="687" spans="1:16">
      <c r="A687" s="94">
        <v>88395</v>
      </c>
      <c r="B687" s="87" t="s">
        <v>1117</v>
      </c>
      <c r="C687" s="12" t="s">
        <v>10</v>
      </c>
      <c r="D687" s="93">
        <v>0.08</v>
      </c>
      <c r="E687" s="93">
        <v>0</v>
      </c>
      <c r="F687" s="93">
        <v>0</v>
      </c>
      <c r="G687" s="93">
        <v>0.08</v>
      </c>
      <c r="H687" s="93">
        <v>0</v>
      </c>
      <c r="N687" s="88"/>
      <c r="O687" s="88"/>
      <c r="P687" s="88"/>
    </row>
    <row r="688" spans="1:16">
      <c r="A688" s="94">
        <v>88396</v>
      </c>
      <c r="B688" s="87" t="s">
        <v>1118</v>
      </c>
      <c r="C688" s="12" t="s">
        <v>10</v>
      </c>
      <c r="D688" s="93">
        <v>0.94</v>
      </c>
      <c r="E688" s="93">
        <v>0</v>
      </c>
      <c r="F688" s="93">
        <v>0</v>
      </c>
      <c r="G688" s="93">
        <v>0.94</v>
      </c>
      <c r="H688" s="93">
        <v>0</v>
      </c>
      <c r="N688" s="88"/>
      <c r="O688" s="88"/>
      <c r="P688" s="88"/>
    </row>
    <row r="689" spans="1:16">
      <c r="A689" s="94">
        <v>88397</v>
      </c>
      <c r="B689" s="87" t="s">
        <v>1119</v>
      </c>
      <c r="C689" s="12" t="s">
        <v>10</v>
      </c>
      <c r="D689" s="93">
        <v>3.84</v>
      </c>
      <c r="E689" s="93">
        <v>0</v>
      </c>
      <c r="F689" s="93">
        <v>0</v>
      </c>
      <c r="G689" s="93">
        <v>0</v>
      </c>
      <c r="H689" s="93">
        <v>0</v>
      </c>
      <c r="N689" s="88"/>
      <c r="O689" s="88"/>
      <c r="P689" s="88"/>
    </row>
    <row r="690" spans="1:16">
      <c r="A690" s="94">
        <v>88400</v>
      </c>
      <c r="B690" s="87" t="s">
        <v>1120</v>
      </c>
      <c r="C690" s="12" t="s">
        <v>10</v>
      </c>
      <c r="D690" s="93">
        <v>0.6</v>
      </c>
      <c r="E690" s="93">
        <v>0</v>
      </c>
      <c r="F690" s="93">
        <v>0</v>
      </c>
      <c r="G690" s="93">
        <v>0.6</v>
      </c>
      <c r="H690" s="93">
        <v>0</v>
      </c>
      <c r="N690" s="88"/>
      <c r="O690" s="88"/>
      <c r="P690" s="88"/>
    </row>
    <row r="691" spans="1:16">
      <c r="A691" s="94">
        <v>88401</v>
      </c>
      <c r="B691" s="87" t="s">
        <v>1121</v>
      </c>
      <c r="C691" s="12" t="s">
        <v>10</v>
      </c>
      <c r="D691" s="93">
        <v>7.0000000000000007E-2</v>
      </c>
      <c r="E691" s="93">
        <v>0</v>
      </c>
      <c r="F691" s="93">
        <v>0</v>
      </c>
      <c r="G691" s="93">
        <v>7.0000000000000007E-2</v>
      </c>
      <c r="H691" s="93">
        <v>0</v>
      </c>
      <c r="N691" s="88"/>
      <c r="O691" s="88"/>
      <c r="P691" s="88"/>
    </row>
    <row r="692" spans="1:16">
      <c r="A692" s="94">
        <v>88402</v>
      </c>
      <c r="B692" s="87" t="s">
        <v>1122</v>
      </c>
      <c r="C692" s="12" t="s">
        <v>10</v>
      </c>
      <c r="D692" s="93">
        <v>0.75</v>
      </c>
      <c r="E692" s="93">
        <v>0</v>
      </c>
      <c r="F692" s="93">
        <v>0</v>
      </c>
      <c r="G692" s="93">
        <v>0.75</v>
      </c>
      <c r="H692" s="93">
        <v>0</v>
      </c>
      <c r="N692" s="88"/>
      <c r="O692" s="88"/>
      <c r="P692" s="88"/>
    </row>
    <row r="693" spans="1:16">
      <c r="A693" s="94">
        <v>88403</v>
      </c>
      <c r="B693" s="87" t="s">
        <v>1123</v>
      </c>
      <c r="C693" s="12" t="s">
        <v>10</v>
      </c>
      <c r="D693" s="93">
        <v>1.54</v>
      </c>
      <c r="E693" s="93">
        <v>0</v>
      </c>
      <c r="F693" s="93">
        <v>0</v>
      </c>
      <c r="G693" s="93">
        <v>0</v>
      </c>
      <c r="H693" s="93">
        <v>0</v>
      </c>
      <c r="N693" s="88"/>
      <c r="O693" s="88"/>
      <c r="P693" s="88"/>
    </row>
    <row r="694" spans="1:16">
      <c r="A694" s="94">
        <v>88419</v>
      </c>
      <c r="B694" s="87" t="s">
        <v>107</v>
      </c>
      <c r="C694" s="12" t="s">
        <v>10</v>
      </c>
      <c r="D694" s="93">
        <v>3.91</v>
      </c>
      <c r="E694" s="93">
        <v>0</v>
      </c>
      <c r="F694" s="93">
        <v>0</v>
      </c>
      <c r="G694" s="93">
        <v>3.91</v>
      </c>
      <c r="H694" s="93">
        <v>0</v>
      </c>
      <c r="N694" s="88"/>
      <c r="O694" s="88"/>
      <c r="P694" s="88"/>
    </row>
    <row r="695" spans="1:16">
      <c r="A695" s="94">
        <v>88422</v>
      </c>
      <c r="B695" s="87" t="s">
        <v>108</v>
      </c>
      <c r="C695" s="12" t="s">
        <v>10</v>
      </c>
      <c r="D695" s="93">
        <v>0.46</v>
      </c>
      <c r="E695" s="93">
        <v>0</v>
      </c>
      <c r="F695" s="93">
        <v>0</v>
      </c>
      <c r="G695" s="93">
        <v>0.46</v>
      </c>
      <c r="H695" s="93">
        <v>0</v>
      </c>
      <c r="N695" s="88"/>
      <c r="O695" s="88"/>
      <c r="P695" s="88"/>
    </row>
    <row r="696" spans="1:16">
      <c r="A696" s="94">
        <v>88425</v>
      </c>
      <c r="B696" s="87" t="s">
        <v>109</v>
      </c>
      <c r="C696" s="12" t="s">
        <v>10</v>
      </c>
      <c r="D696" s="93">
        <v>4.28</v>
      </c>
      <c r="E696" s="93">
        <v>0</v>
      </c>
      <c r="F696" s="93">
        <v>0</v>
      </c>
      <c r="G696" s="93">
        <v>4.28</v>
      </c>
      <c r="H696" s="93">
        <v>0</v>
      </c>
      <c r="N696" s="88"/>
      <c r="O696" s="88"/>
      <c r="P696" s="88"/>
    </row>
    <row r="697" spans="1:16">
      <c r="A697" s="94">
        <v>88427</v>
      </c>
      <c r="B697" s="87" t="s">
        <v>1124</v>
      </c>
      <c r="C697" s="12" t="s">
        <v>10</v>
      </c>
      <c r="D697" s="93">
        <v>3.9</v>
      </c>
      <c r="E697" s="93">
        <v>0</v>
      </c>
      <c r="F697" s="93">
        <v>0</v>
      </c>
      <c r="G697" s="93">
        <v>0</v>
      </c>
      <c r="H697" s="93">
        <v>0</v>
      </c>
      <c r="N697" s="88"/>
      <c r="O697" s="88"/>
      <c r="P697" s="88"/>
    </row>
    <row r="698" spans="1:16">
      <c r="A698" s="94">
        <v>88434</v>
      </c>
      <c r="B698" s="87" t="s">
        <v>1125</v>
      </c>
      <c r="C698" s="12" t="s">
        <v>10</v>
      </c>
      <c r="D698" s="93">
        <v>5.18</v>
      </c>
      <c r="E698" s="93">
        <v>0</v>
      </c>
      <c r="F698" s="93">
        <v>0</v>
      </c>
      <c r="G698" s="93">
        <v>5.18</v>
      </c>
      <c r="H698" s="93">
        <v>0</v>
      </c>
      <c r="N698" s="88"/>
      <c r="O698" s="88"/>
      <c r="P698" s="88"/>
    </row>
    <row r="699" spans="1:16">
      <c r="A699" s="94">
        <v>88435</v>
      </c>
      <c r="B699" s="87" t="s">
        <v>1126</v>
      </c>
      <c r="C699" s="12" t="s">
        <v>10</v>
      </c>
      <c r="D699" s="93">
        <v>0.61</v>
      </c>
      <c r="E699" s="93">
        <v>0</v>
      </c>
      <c r="F699" s="93">
        <v>0</v>
      </c>
      <c r="G699" s="93">
        <v>0.61</v>
      </c>
      <c r="H699" s="93">
        <v>0</v>
      </c>
      <c r="N699" s="88"/>
      <c r="O699" s="88"/>
      <c r="P699" s="88"/>
    </row>
    <row r="700" spans="1:16">
      <c r="A700" s="94">
        <v>88436</v>
      </c>
      <c r="B700" s="87" t="s">
        <v>1127</v>
      </c>
      <c r="C700" s="12" t="s">
        <v>10</v>
      </c>
      <c r="D700" s="93">
        <v>5.67</v>
      </c>
      <c r="E700" s="93">
        <v>0</v>
      </c>
      <c r="F700" s="93">
        <v>0</v>
      </c>
      <c r="G700" s="93">
        <v>5.67</v>
      </c>
      <c r="H700" s="93">
        <v>0</v>
      </c>
      <c r="N700" s="88"/>
      <c r="O700" s="88"/>
      <c r="P700" s="88"/>
    </row>
    <row r="701" spans="1:16">
      <c r="A701" s="94">
        <v>88437</v>
      </c>
      <c r="B701" s="87" t="s">
        <v>1128</v>
      </c>
      <c r="C701" s="12" t="s">
        <v>10</v>
      </c>
      <c r="D701" s="93">
        <v>3.9</v>
      </c>
      <c r="E701" s="93">
        <v>0</v>
      </c>
      <c r="F701" s="93">
        <v>0</v>
      </c>
      <c r="G701" s="93">
        <v>0</v>
      </c>
      <c r="H701" s="93">
        <v>0</v>
      </c>
      <c r="N701" s="88"/>
      <c r="O701" s="88"/>
      <c r="P701" s="88"/>
    </row>
    <row r="702" spans="1:16">
      <c r="A702" s="94">
        <v>88569</v>
      </c>
      <c r="B702" s="87" t="s">
        <v>110</v>
      </c>
      <c r="C702" s="12" t="s">
        <v>10</v>
      </c>
      <c r="D702" s="93">
        <v>2.46</v>
      </c>
      <c r="E702" s="93">
        <v>0</v>
      </c>
      <c r="F702" s="93">
        <v>0</v>
      </c>
      <c r="G702" s="93">
        <v>2.46</v>
      </c>
      <c r="H702" s="93">
        <v>0</v>
      </c>
      <c r="N702" s="88"/>
      <c r="O702" s="88"/>
      <c r="P702" s="88"/>
    </row>
    <row r="703" spans="1:16">
      <c r="A703" s="94">
        <v>88570</v>
      </c>
      <c r="B703" s="87" t="s">
        <v>111</v>
      </c>
      <c r="C703" s="12" t="s">
        <v>10</v>
      </c>
      <c r="D703" s="93">
        <v>0.53</v>
      </c>
      <c r="E703" s="93">
        <v>0</v>
      </c>
      <c r="F703" s="93">
        <v>0</v>
      </c>
      <c r="G703" s="93">
        <v>0.53</v>
      </c>
      <c r="H703" s="93">
        <v>0</v>
      </c>
      <c r="N703" s="88"/>
      <c r="O703" s="88"/>
      <c r="P703" s="88"/>
    </row>
    <row r="704" spans="1:16">
      <c r="A704" s="94">
        <v>88826</v>
      </c>
      <c r="B704" s="87" t="s">
        <v>1129</v>
      </c>
      <c r="C704" s="12" t="s">
        <v>10</v>
      </c>
      <c r="D704" s="93">
        <v>0.24</v>
      </c>
      <c r="E704" s="93">
        <v>0</v>
      </c>
      <c r="F704" s="93">
        <v>0</v>
      </c>
      <c r="G704" s="93">
        <v>0.24</v>
      </c>
      <c r="H704" s="93">
        <v>0</v>
      </c>
      <c r="N704" s="88"/>
      <c r="O704" s="88"/>
      <c r="P704" s="88"/>
    </row>
    <row r="705" spans="1:16">
      <c r="A705" s="94">
        <v>88827</v>
      </c>
      <c r="B705" s="87" t="s">
        <v>1130</v>
      </c>
      <c r="C705" s="12" t="s">
        <v>10</v>
      </c>
      <c r="D705" s="93">
        <v>0.02</v>
      </c>
      <c r="E705" s="93">
        <v>0</v>
      </c>
      <c r="F705" s="93">
        <v>0</v>
      </c>
      <c r="G705" s="93">
        <v>0.02</v>
      </c>
      <c r="H705" s="93">
        <v>0</v>
      </c>
      <c r="N705" s="88"/>
      <c r="O705" s="88"/>
      <c r="P705" s="88"/>
    </row>
    <row r="706" spans="1:16">
      <c r="A706" s="94">
        <v>88828</v>
      </c>
      <c r="B706" s="87" t="s">
        <v>1131</v>
      </c>
      <c r="C706" s="12" t="s">
        <v>10</v>
      </c>
      <c r="D706" s="93">
        <v>0.22</v>
      </c>
      <c r="E706" s="93">
        <v>0</v>
      </c>
      <c r="F706" s="93">
        <v>0</v>
      </c>
      <c r="G706" s="93">
        <v>0.22</v>
      </c>
      <c r="H706" s="93">
        <v>0</v>
      </c>
      <c r="N706" s="88"/>
      <c r="O706" s="88"/>
      <c r="P706" s="88"/>
    </row>
    <row r="707" spans="1:16">
      <c r="A707" s="94">
        <v>88829</v>
      </c>
      <c r="B707" s="87" t="s">
        <v>1132</v>
      </c>
      <c r="C707" s="12" t="s">
        <v>10</v>
      </c>
      <c r="D707" s="93">
        <v>1.02</v>
      </c>
      <c r="E707" s="93">
        <v>0</v>
      </c>
      <c r="F707" s="93">
        <v>0</v>
      </c>
      <c r="G707" s="93">
        <v>0</v>
      </c>
      <c r="H707" s="93">
        <v>0</v>
      </c>
      <c r="N707" s="88"/>
      <c r="O707" s="88"/>
      <c r="P707" s="88"/>
    </row>
    <row r="708" spans="1:16">
      <c r="A708" s="94">
        <v>88832</v>
      </c>
      <c r="B708" s="87" t="s">
        <v>1133</v>
      </c>
      <c r="C708" s="12" t="s">
        <v>10</v>
      </c>
      <c r="D708" s="93">
        <v>25.11</v>
      </c>
      <c r="E708" s="93">
        <v>0</v>
      </c>
      <c r="F708" s="93">
        <v>0</v>
      </c>
      <c r="G708" s="93">
        <v>25.11</v>
      </c>
      <c r="H708" s="93">
        <v>0</v>
      </c>
      <c r="N708" s="88"/>
      <c r="O708" s="88"/>
      <c r="P708" s="88"/>
    </row>
    <row r="709" spans="1:16">
      <c r="A709" s="94">
        <v>88834</v>
      </c>
      <c r="B709" s="87" t="s">
        <v>1134</v>
      </c>
      <c r="C709" s="12" t="s">
        <v>10</v>
      </c>
      <c r="D709" s="93">
        <v>3.4</v>
      </c>
      <c r="E709" s="93">
        <v>0</v>
      </c>
      <c r="F709" s="93">
        <v>0</v>
      </c>
      <c r="G709" s="93">
        <v>3.4</v>
      </c>
      <c r="H709" s="93">
        <v>0</v>
      </c>
      <c r="N709" s="88"/>
      <c r="O709" s="88"/>
      <c r="P709" s="88"/>
    </row>
    <row r="710" spans="1:16">
      <c r="A710" s="94">
        <v>88835</v>
      </c>
      <c r="B710" s="87" t="s">
        <v>1135</v>
      </c>
      <c r="C710" s="12" t="s">
        <v>10</v>
      </c>
      <c r="D710" s="93">
        <v>31.39</v>
      </c>
      <c r="E710" s="93">
        <v>0</v>
      </c>
      <c r="F710" s="93">
        <v>0</v>
      </c>
      <c r="G710" s="93">
        <v>31.39</v>
      </c>
      <c r="H710" s="93">
        <v>0</v>
      </c>
      <c r="N710" s="88"/>
      <c r="O710" s="88"/>
      <c r="P710" s="88"/>
    </row>
    <row r="711" spans="1:16">
      <c r="A711" s="94">
        <v>88836</v>
      </c>
      <c r="B711" s="87" t="s">
        <v>1136</v>
      </c>
      <c r="C711" s="12" t="s">
        <v>10</v>
      </c>
      <c r="D711" s="93">
        <v>37.659999999999997</v>
      </c>
      <c r="E711" s="93">
        <v>0</v>
      </c>
      <c r="F711" s="93">
        <v>37.659999999999997</v>
      </c>
      <c r="G711" s="93">
        <v>0</v>
      </c>
      <c r="H711" s="93">
        <v>0</v>
      </c>
      <c r="N711" s="88"/>
      <c r="O711" s="88"/>
      <c r="P711" s="88"/>
    </row>
    <row r="712" spans="1:16">
      <c r="A712" s="94">
        <v>88839</v>
      </c>
      <c r="B712" s="87" t="s">
        <v>1137</v>
      </c>
      <c r="C712" s="12" t="s">
        <v>10</v>
      </c>
      <c r="D712" s="93">
        <v>20.46</v>
      </c>
      <c r="E712" s="93">
        <v>0</v>
      </c>
      <c r="F712" s="93">
        <v>20.46</v>
      </c>
      <c r="G712" s="93">
        <v>0</v>
      </c>
      <c r="H712" s="93">
        <v>0</v>
      </c>
      <c r="N712" s="88"/>
      <c r="O712" s="88"/>
      <c r="P712" s="88"/>
    </row>
    <row r="713" spans="1:16">
      <c r="A713" s="94">
        <v>88840</v>
      </c>
      <c r="B713" s="87" t="s">
        <v>1138</v>
      </c>
      <c r="C713" s="12" t="s">
        <v>10</v>
      </c>
      <c r="D713" s="93">
        <v>4.5999999999999996</v>
      </c>
      <c r="E713" s="93">
        <v>0</v>
      </c>
      <c r="F713" s="93">
        <v>4.5999999999999996</v>
      </c>
      <c r="G713" s="93">
        <v>0</v>
      </c>
      <c r="H713" s="93">
        <v>0</v>
      </c>
      <c r="N713" s="88"/>
      <c r="O713" s="88"/>
      <c r="P713" s="88"/>
    </row>
    <row r="714" spans="1:16">
      <c r="A714" s="94">
        <v>88841</v>
      </c>
      <c r="B714" s="87" t="s">
        <v>1139</v>
      </c>
      <c r="C714" s="12" t="s">
        <v>10</v>
      </c>
      <c r="D714" s="93">
        <v>36.58</v>
      </c>
      <c r="E714" s="93">
        <v>0</v>
      </c>
      <c r="F714" s="93">
        <v>36.58</v>
      </c>
      <c r="G714" s="93">
        <v>0</v>
      </c>
      <c r="H714" s="93">
        <v>0</v>
      </c>
      <c r="N714" s="88"/>
      <c r="O714" s="88"/>
      <c r="P714" s="88"/>
    </row>
    <row r="715" spans="1:16">
      <c r="A715" s="94">
        <v>88842</v>
      </c>
      <c r="B715" s="87" t="s">
        <v>1140</v>
      </c>
      <c r="C715" s="12" t="s">
        <v>10</v>
      </c>
      <c r="D715" s="93">
        <v>46.1</v>
      </c>
      <c r="E715" s="93">
        <v>0</v>
      </c>
      <c r="F715" s="93">
        <v>46.1</v>
      </c>
      <c r="G715" s="93">
        <v>0</v>
      </c>
      <c r="H715" s="93">
        <v>0</v>
      </c>
      <c r="N715" s="88"/>
      <c r="O715" s="88"/>
      <c r="P715" s="88"/>
    </row>
    <row r="716" spans="1:16">
      <c r="A716" s="94">
        <v>88847</v>
      </c>
      <c r="B716" s="87" t="s">
        <v>1141</v>
      </c>
      <c r="C716" s="12" t="s">
        <v>10</v>
      </c>
      <c r="D716" s="93">
        <v>14.55</v>
      </c>
      <c r="E716" s="93">
        <v>0</v>
      </c>
      <c r="F716" s="93">
        <v>0</v>
      </c>
      <c r="G716" s="93">
        <v>14.55</v>
      </c>
      <c r="H716" s="93">
        <v>0</v>
      </c>
      <c r="N716" s="88"/>
      <c r="O716" s="88"/>
      <c r="P716" s="88"/>
    </row>
    <row r="717" spans="1:16">
      <c r="A717" s="94">
        <v>88848</v>
      </c>
      <c r="B717" s="87" t="s">
        <v>1142</v>
      </c>
      <c r="C717" s="12" t="s">
        <v>10</v>
      </c>
      <c r="D717" s="93">
        <v>3.05</v>
      </c>
      <c r="E717" s="93">
        <v>0</v>
      </c>
      <c r="F717" s="93">
        <v>0</v>
      </c>
      <c r="G717" s="93">
        <v>3.05</v>
      </c>
      <c r="H717" s="93">
        <v>0</v>
      </c>
      <c r="N717" s="88"/>
      <c r="O717" s="88"/>
      <c r="P717" s="88"/>
    </row>
    <row r="718" spans="1:16">
      <c r="A718" s="94">
        <v>88853</v>
      </c>
      <c r="B718" s="87" t="s">
        <v>1143</v>
      </c>
      <c r="C718" s="12" t="s">
        <v>10</v>
      </c>
      <c r="D718" s="93">
        <v>0.16</v>
      </c>
      <c r="E718" s="93">
        <v>0</v>
      </c>
      <c r="F718" s="93">
        <v>0</v>
      </c>
      <c r="G718" s="93">
        <v>0.16</v>
      </c>
      <c r="H718" s="93">
        <v>0</v>
      </c>
      <c r="N718" s="88"/>
      <c r="O718" s="88"/>
      <c r="P718" s="88"/>
    </row>
    <row r="719" spans="1:16">
      <c r="A719" s="94">
        <v>88854</v>
      </c>
      <c r="B719" s="87" t="s">
        <v>1144</v>
      </c>
      <c r="C719" s="12" t="s">
        <v>10</v>
      </c>
      <c r="D719" s="93">
        <v>0.01</v>
      </c>
      <c r="E719" s="93">
        <v>0</v>
      </c>
      <c r="F719" s="93">
        <v>0</v>
      </c>
      <c r="G719" s="93">
        <v>0.01</v>
      </c>
      <c r="H719" s="93">
        <v>0</v>
      </c>
      <c r="N719" s="88"/>
      <c r="O719" s="88"/>
      <c r="P719" s="88"/>
    </row>
    <row r="720" spans="1:16">
      <c r="A720" s="94">
        <v>88855</v>
      </c>
      <c r="B720" s="87" t="s">
        <v>1145</v>
      </c>
      <c r="C720" s="12" t="s">
        <v>10</v>
      </c>
      <c r="D720" s="93">
        <v>1.91</v>
      </c>
      <c r="E720" s="93">
        <v>0</v>
      </c>
      <c r="F720" s="93">
        <v>0</v>
      </c>
      <c r="G720" s="93">
        <v>1.91</v>
      </c>
      <c r="H720" s="93">
        <v>0</v>
      </c>
      <c r="N720" s="88"/>
      <c r="O720" s="88"/>
      <c r="P720" s="88"/>
    </row>
    <row r="721" spans="1:16">
      <c r="A721" s="94">
        <v>88856</v>
      </c>
      <c r="B721" s="87" t="s">
        <v>1146</v>
      </c>
      <c r="C721" s="12" t="s">
        <v>10</v>
      </c>
      <c r="D721" s="93">
        <v>0.26</v>
      </c>
      <c r="E721" s="93">
        <v>0</v>
      </c>
      <c r="F721" s="93">
        <v>0</v>
      </c>
      <c r="G721" s="93">
        <v>0.26</v>
      </c>
      <c r="H721" s="93">
        <v>0</v>
      </c>
      <c r="N721" s="88"/>
      <c r="O721" s="88"/>
      <c r="P721" s="88"/>
    </row>
    <row r="722" spans="1:16">
      <c r="A722" s="94">
        <v>88857</v>
      </c>
      <c r="B722" s="87" t="s">
        <v>1147</v>
      </c>
      <c r="C722" s="12" t="s">
        <v>10</v>
      </c>
      <c r="D722" s="93">
        <v>14.89</v>
      </c>
      <c r="E722" s="93">
        <v>0</v>
      </c>
      <c r="F722" s="93">
        <v>0</v>
      </c>
      <c r="G722" s="93">
        <v>14.89</v>
      </c>
      <c r="H722" s="93">
        <v>0</v>
      </c>
      <c r="N722" s="88"/>
      <c r="O722" s="88"/>
      <c r="P722" s="88"/>
    </row>
    <row r="723" spans="1:16">
      <c r="A723" s="94">
        <v>88858</v>
      </c>
      <c r="B723" s="87" t="s">
        <v>1148</v>
      </c>
      <c r="C723" s="12" t="s">
        <v>10</v>
      </c>
      <c r="D723" s="93">
        <v>2.02</v>
      </c>
      <c r="E723" s="93">
        <v>0</v>
      </c>
      <c r="F723" s="93">
        <v>0</v>
      </c>
      <c r="G723" s="93">
        <v>2.02</v>
      </c>
      <c r="H723" s="93">
        <v>0</v>
      </c>
      <c r="N723" s="88"/>
      <c r="O723" s="88"/>
      <c r="P723" s="88"/>
    </row>
    <row r="724" spans="1:16">
      <c r="A724" s="94">
        <v>88859</v>
      </c>
      <c r="B724" s="87" t="s">
        <v>1149</v>
      </c>
      <c r="C724" s="12" t="s">
        <v>10</v>
      </c>
      <c r="D724" s="93">
        <v>13.24</v>
      </c>
      <c r="E724" s="93">
        <v>0</v>
      </c>
      <c r="F724" s="93">
        <v>0</v>
      </c>
      <c r="G724" s="93">
        <v>13.24</v>
      </c>
      <c r="H724" s="93">
        <v>0</v>
      </c>
      <c r="N724" s="88"/>
      <c r="O724" s="88"/>
      <c r="P724" s="88"/>
    </row>
    <row r="725" spans="1:16">
      <c r="A725" s="94">
        <v>88860</v>
      </c>
      <c r="B725" s="87" t="s">
        <v>1150</v>
      </c>
      <c r="C725" s="12" t="s">
        <v>10</v>
      </c>
      <c r="D725" s="93">
        <v>1.79</v>
      </c>
      <c r="E725" s="93">
        <v>0</v>
      </c>
      <c r="F725" s="93">
        <v>0</v>
      </c>
      <c r="G725" s="93">
        <v>1.79</v>
      </c>
      <c r="H725" s="93">
        <v>0</v>
      </c>
      <c r="N725" s="88"/>
      <c r="O725" s="88"/>
      <c r="P725" s="88"/>
    </row>
    <row r="726" spans="1:16">
      <c r="A726" s="94">
        <v>88900</v>
      </c>
      <c r="B726" s="87" t="s">
        <v>1151</v>
      </c>
      <c r="C726" s="12" t="s">
        <v>10</v>
      </c>
      <c r="D726" s="93">
        <v>29.28</v>
      </c>
      <c r="E726" s="93">
        <v>0</v>
      </c>
      <c r="F726" s="93">
        <v>0</v>
      </c>
      <c r="G726" s="93">
        <v>29.28</v>
      </c>
      <c r="H726" s="93">
        <v>0</v>
      </c>
      <c r="N726" s="88"/>
      <c r="O726" s="88"/>
      <c r="P726" s="88"/>
    </row>
    <row r="727" spans="1:16">
      <c r="A727" s="94">
        <v>88902</v>
      </c>
      <c r="B727" s="87" t="s">
        <v>1152</v>
      </c>
      <c r="C727" s="12" t="s">
        <v>10</v>
      </c>
      <c r="D727" s="93">
        <v>3.97</v>
      </c>
      <c r="E727" s="93">
        <v>0</v>
      </c>
      <c r="F727" s="93">
        <v>0</v>
      </c>
      <c r="G727" s="93">
        <v>3.97</v>
      </c>
      <c r="H727" s="93">
        <v>0</v>
      </c>
      <c r="N727" s="88"/>
      <c r="O727" s="88"/>
      <c r="P727" s="88"/>
    </row>
    <row r="728" spans="1:16">
      <c r="A728" s="94">
        <v>88903</v>
      </c>
      <c r="B728" s="87" t="s">
        <v>1153</v>
      </c>
      <c r="C728" s="12" t="s">
        <v>10</v>
      </c>
      <c r="D728" s="93">
        <v>36.6</v>
      </c>
      <c r="E728" s="93">
        <v>0</v>
      </c>
      <c r="F728" s="93">
        <v>0</v>
      </c>
      <c r="G728" s="93">
        <v>36.6</v>
      </c>
      <c r="H728" s="93">
        <v>0</v>
      </c>
      <c r="N728" s="88"/>
      <c r="O728" s="88"/>
      <c r="P728" s="88"/>
    </row>
    <row r="729" spans="1:16">
      <c r="A729" s="94">
        <v>88904</v>
      </c>
      <c r="B729" s="87" t="s">
        <v>1154</v>
      </c>
      <c r="C729" s="12" t="s">
        <v>10</v>
      </c>
      <c r="D729" s="93">
        <v>53.05</v>
      </c>
      <c r="E729" s="93">
        <v>0</v>
      </c>
      <c r="F729" s="93">
        <v>53.05</v>
      </c>
      <c r="G729" s="93">
        <v>0</v>
      </c>
      <c r="H729" s="93">
        <v>0</v>
      </c>
      <c r="N729" s="88"/>
      <c r="O729" s="88"/>
      <c r="P729" s="88"/>
    </row>
    <row r="730" spans="1:16">
      <c r="A730" s="94">
        <v>89009</v>
      </c>
      <c r="B730" s="87" t="s">
        <v>112</v>
      </c>
      <c r="C730" s="12" t="s">
        <v>10</v>
      </c>
      <c r="D730" s="93">
        <v>25.34</v>
      </c>
      <c r="E730" s="93">
        <v>0</v>
      </c>
      <c r="F730" s="93">
        <v>0</v>
      </c>
      <c r="G730" s="93">
        <v>25.34</v>
      </c>
      <c r="H730" s="93">
        <v>0</v>
      </c>
      <c r="N730" s="88"/>
      <c r="O730" s="88"/>
      <c r="P730" s="88"/>
    </row>
    <row r="731" spans="1:16">
      <c r="A731" s="94">
        <v>89010</v>
      </c>
      <c r="B731" s="87" t="s">
        <v>113</v>
      </c>
      <c r="C731" s="12" t="s">
        <v>10</v>
      </c>
      <c r="D731" s="93">
        <v>5.7</v>
      </c>
      <c r="E731" s="93">
        <v>0</v>
      </c>
      <c r="F731" s="93">
        <v>0</v>
      </c>
      <c r="G731" s="93">
        <v>5.7</v>
      </c>
      <c r="H731" s="93">
        <v>0</v>
      </c>
      <c r="N731" s="88"/>
      <c r="O731" s="88"/>
      <c r="P731" s="88"/>
    </row>
    <row r="732" spans="1:16">
      <c r="A732" s="94">
        <v>89011</v>
      </c>
      <c r="B732" s="87" t="s">
        <v>1155</v>
      </c>
      <c r="C732" s="12" t="s">
        <v>10</v>
      </c>
      <c r="D732" s="93">
        <v>14.37</v>
      </c>
      <c r="E732" s="93">
        <v>0</v>
      </c>
      <c r="F732" s="93">
        <v>0</v>
      </c>
      <c r="G732" s="93">
        <v>14.37</v>
      </c>
      <c r="H732" s="93">
        <v>0</v>
      </c>
      <c r="N732" s="88"/>
      <c r="O732" s="88"/>
      <c r="P732" s="88"/>
    </row>
    <row r="733" spans="1:16">
      <c r="A733" s="94">
        <v>89012</v>
      </c>
      <c r="B733" s="87" t="s">
        <v>1156</v>
      </c>
      <c r="C733" s="12" t="s">
        <v>10</v>
      </c>
      <c r="D733" s="93">
        <v>1.95</v>
      </c>
      <c r="E733" s="93">
        <v>0</v>
      </c>
      <c r="F733" s="93">
        <v>0</v>
      </c>
      <c r="G733" s="93">
        <v>1.95</v>
      </c>
      <c r="H733" s="93">
        <v>0</v>
      </c>
      <c r="N733" s="88"/>
      <c r="O733" s="88"/>
      <c r="P733" s="88"/>
    </row>
    <row r="734" spans="1:16">
      <c r="A734" s="94">
        <v>89013</v>
      </c>
      <c r="B734" s="87" t="s">
        <v>1157</v>
      </c>
      <c r="C734" s="12" t="s">
        <v>10</v>
      </c>
      <c r="D734" s="93">
        <v>83.02</v>
      </c>
      <c r="E734" s="93">
        <v>0</v>
      </c>
      <c r="F734" s="93">
        <v>0</v>
      </c>
      <c r="G734" s="93">
        <v>83.02</v>
      </c>
      <c r="H734" s="93">
        <v>0</v>
      </c>
      <c r="N734" s="88"/>
      <c r="O734" s="88"/>
      <c r="P734" s="88"/>
    </row>
    <row r="735" spans="1:16">
      <c r="A735" s="94">
        <v>89014</v>
      </c>
      <c r="B735" s="87" t="s">
        <v>1158</v>
      </c>
      <c r="C735" s="12" t="s">
        <v>10</v>
      </c>
      <c r="D735" s="93">
        <v>18.68</v>
      </c>
      <c r="E735" s="93">
        <v>0</v>
      </c>
      <c r="F735" s="93">
        <v>0</v>
      </c>
      <c r="G735" s="93">
        <v>18.68</v>
      </c>
      <c r="H735" s="93">
        <v>0</v>
      </c>
      <c r="N735" s="88"/>
      <c r="O735" s="88"/>
      <c r="P735" s="88"/>
    </row>
    <row r="736" spans="1:16">
      <c r="A736" s="94">
        <v>89015</v>
      </c>
      <c r="B736" s="87" t="s">
        <v>1159</v>
      </c>
      <c r="C736" s="12" t="s">
        <v>10</v>
      </c>
      <c r="D736" s="93">
        <v>2.21</v>
      </c>
      <c r="E736" s="93">
        <v>0</v>
      </c>
      <c r="F736" s="93">
        <v>0</v>
      </c>
      <c r="G736" s="93">
        <v>2.21</v>
      </c>
      <c r="H736" s="93">
        <v>0</v>
      </c>
      <c r="N736" s="88"/>
      <c r="O736" s="88"/>
      <c r="P736" s="88"/>
    </row>
    <row r="737" spans="1:16">
      <c r="A737" s="94">
        <v>89016</v>
      </c>
      <c r="B737" s="87" t="s">
        <v>1160</v>
      </c>
      <c r="C737" s="12" t="s">
        <v>10</v>
      </c>
      <c r="D737" s="93">
        <v>0.3</v>
      </c>
      <c r="E737" s="93">
        <v>0</v>
      </c>
      <c r="F737" s="93">
        <v>0</v>
      </c>
      <c r="G737" s="93">
        <v>0.3</v>
      </c>
      <c r="H737" s="93">
        <v>0</v>
      </c>
      <c r="N737" s="88"/>
      <c r="O737" s="88"/>
      <c r="P737" s="88"/>
    </row>
    <row r="738" spans="1:16">
      <c r="A738" s="94">
        <v>89017</v>
      </c>
      <c r="B738" s="87" t="s">
        <v>1161</v>
      </c>
      <c r="C738" s="12" t="s">
        <v>10</v>
      </c>
      <c r="D738" s="93">
        <v>25.19</v>
      </c>
      <c r="E738" s="93">
        <v>0</v>
      </c>
      <c r="F738" s="93">
        <v>0</v>
      </c>
      <c r="G738" s="93">
        <v>25.19</v>
      </c>
      <c r="H738" s="93">
        <v>0</v>
      </c>
      <c r="N738" s="88"/>
      <c r="O738" s="88"/>
      <c r="P738" s="88"/>
    </row>
    <row r="739" spans="1:16">
      <c r="A739" s="94">
        <v>89018</v>
      </c>
      <c r="B739" s="87" t="s">
        <v>1162</v>
      </c>
      <c r="C739" s="12" t="s">
        <v>10</v>
      </c>
      <c r="D739" s="93">
        <v>5.67</v>
      </c>
      <c r="E739" s="93">
        <v>0</v>
      </c>
      <c r="F739" s="93">
        <v>0</v>
      </c>
      <c r="G739" s="93">
        <v>5.67</v>
      </c>
      <c r="H739" s="93">
        <v>0</v>
      </c>
      <c r="N739" s="88"/>
      <c r="O739" s="88"/>
      <c r="P739" s="88"/>
    </row>
    <row r="740" spans="1:16">
      <c r="A740" s="94">
        <v>89019</v>
      </c>
      <c r="B740" s="87" t="s">
        <v>1163</v>
      </c>
      <c r="C740" s="12" t="s">
        <v>10</v>
      </c>
      <c r="D740" s="93">
        <v>0.28000000000000003</v>
      </c>
      <c r="E740" s="93">
        <v>0</v>
      </c>
      <c r="F740" s="93">
        <v>0</v>
      </c>
      <c r="G740" s="93">
        <v>0.28000000000000003</v>
      </c>
      <c r="H740" s="93">
        <v>0</v>
      </c>
      <c r="N740" s="88"/>
      <c r="O740" s="88"/>
      <c r="P740" s="88"/>
    </row>
    <row r="741" spans="1:16">
      <c r="A741" s="94">
        <v>89020</v>
      </c>
      <c r="B741" s="87" t="s">
        <v>1164</v>
      </c>
      <c r="C741" s="12" t="s">
        <v>10</v>
      </c>
      <c r="D741" s="93">
        <v>0.03</v>
      </c>
      <c r="E741" s="93">
        <v>0</v>
      </c>
      <c r="F741" s="93">
        <v>0</v>
      </c>
      <c r="G741" s="93">
        <v>0.03</v>
      </c>
      <c r="H741" s="93">
        <v>0</v>
      </c>
      <c r="N741" s="88"/>
      <c r="O741" s="88"/>
      <c r="P741" s="88"/>
    </row>
    <row r="742" spans="1:16">
      <c r="A742" s="94">
        <v>89023</v>
      </c>
      <c r="B742" s="87" t="s">
        <v>1165</v>
      </c>
      <c r="C742" s="12" t="s">
        <v>10</v>
      </c>
      <c r="D742" s="93">
        <v>2.86</v>
      </c>
      <c r="E742" s="93">
        <v>0</v>
      </c>
      <c r="F742" s="93">
        <v>0</v>
      </c>
      <c r="G742" s="93">
        <v>2.86</v>
      </c>
      <c r="H742" s="93">
        <v>0</v>
      </c>
      <c r="N742" s="88"/>
      <c r="O742" s="88"/>
      <c r="P742" s="88"/>
    </row>
    <row r="743" spans="1:16">
      <c r="A743" s="94">
        <v>89024</v>
      </c>
      <c r="B743" s="87" t="s">
        <v>1166</v>
      </c>
      <c r="C743" s="12" t="s">
        <v>10</v>
      </c>
      <c r="D743" s="93">
        <v>0.47</v>
      </c>
      <c r="E743" s="93">
        <v>0</v>
      </c>
      <c r="F743" s="93">
        <v>0</v>
      </c>
      <c r="G743" s="93">
        <v>0.47</v>
      </c>
      <c r="H743" s="93">
        <v>0</v>
      </c>
      <c r="N743" s="88"/>
      <c r="O743" s="88"/>
      <c r="P743" s="88"/>
    </row>
    <row r="744" spans="1:16">
      <c r="A744" s="94">
        <v>89025</v>
      </c>
      <c r="B744" s="87" t="s">
        <v>1167</v>
      </c>
      <c r="C744" s="12" t="s">
        <v>10</v>
      </c>
      <c r="D744" s="93">
        <v>5.37</v>
      </c>
      <c r="E744" s="93">
        <v>0</v>
      </c>
      <c r="F744" s="93">
        <v>0</v>
      </c>
      <c r="G744" s="93">
        <v>5.37</v>
      </c>
      <c r="H744" s="93">
        <v>0</v>
      </c>
      <c r="N744" s="88"/>
      <c r="O744" s="88"/>
      <c r="P744" s="88"/>
    </row>
    <row r="745" spans="1:16">
      <c r="A745" s="94">
        <v>89026</v>
      </c>
      <c r="B745" s="87" t="s">
        <v>1168</v>
      </c>
      <c r="C745" s="12" t="s">
        <v>10</v>
      </c>
      <c r="D745" s="93">
        <v>117.47</v>
      </c>
      <c r="E745" s="93">
        <v>0</v>
      </c>
      <c r="F745" s="93">
        <v>117.47</v>
      </c>
      <c r="G745" s="93">
        <v>0</v>
      </c>
      <c r="H745" s="93">
        <v>0</v>
      </c>
      <c r="N745" s="88"/>
      <c r="O745" s="88"/>
      <c r="P745" s="88"/>
    </row>
    <row r="746" spans="1:16">
      <c r="A746" s="94">
        <v>89029</v>
      </c>
      <c r="B746" s="87" t="s">
        <v>1169</v>
      </c>
      <c r="C746" s="12" t="s">
        <v>10</v>
      </c>
      <c r="D746" s="93">
        <v>19.55</v>
      </c>
      <c r="E746" s="93">
        <v>0</v>
      </c>
      <c r="F746" s="93">
        <v>0</v>
      </c>
      <c r="G746" s="93">
        <v>19.55</v>
      </c>
      <c r="H746" s="93">
        <v>0</v>
      </c>
      <c r="N746" s="88"/>
      <c r="O746" s="88"/>
      <c r="P746" s="88"/>
    </row>
    <row r="747" spans="1:16">
      <c r="A747" s="94">
        <v>89030</v>
      </c>
      <c r="B747" s="87" t="s">
        <v>1170</v>
      </c>
      <c r="C747" s="12" t="s">
        <v>10</v>
      </c>
      <c r="D747" s="93">
        <v>4.4000000000000004</v>
      </c>
      <c r="E747" s="93">
        <v>0</v>
      </c>
      <c r="F747" s="93">
        <v>0</v>
      </c>
      <c r="G747" s="93">
        <v>4.4000000000000004</v>
      </c>
      <c r="H747" s="93">
        <v>0</v>
      </c>
      <c r="N747" s="88"/>
      <c r="O747" s="88"/>
      <c r="P747" s="88"/>
    </row>
    <row r="748" spans="1:16">
      <c r="A748" s="94">
        <v>89033</v>
      </c>
      <c r="B748" s="87" t="s">
        <v>114</v>
      </c>
      <c r="C748" s="12" t="s">
        <v>10</v>
      </c>
      <c r="D748" s="93">
        <v>8.26</v>
      </c>
      <c r="E748" s="93">
        <v>0</v>
      </c>
      <c r="F748" s="93">
        <v>0</v>
      </c>
      <c r="G748" s="93">
        <v>8.26</v>
      </c>
      <c r="H748" s="93">
        <v>0</v>
      </c>
      <c r="N748" s="88"/>
      <c r="O748" s="88"/>
      <c r="P748" s="88"/>
    </row>
    <row r="749" spans="1:16">
      <c r="A749" s="94">
        <v>89034</v>
      </c>
      <c r="B749" s="87" t="s">
        <v>115</v>
      </c>
      <c r="C749" s="12" t="s">
        <v>10</v>
      </c>
      <c r="D749" s="93">
        <v>1.1399999999999999</v>
      </c>
      <c r="E749" s="93">
        <v>0</v>
      </c>
      <c r="F749" s="93">
        <v>0</v>
      </c>
      <c r="G749" s="93">
        <v>1.1399999999999999</v>
      </c>
      <c r="H749" s="93">
        <v>0</v>
      </c>
      <c r="N749" s="88"/>
      <c r="O749" s="88"/>
      <c r="P749" s="88"/>
    </row>
    <row r="750" spans="1:16">
      <c r="A750" s="94">
        <v>89128</v>
      </c>
      <c r="B750" s="87" t="s">
        <v>1171</v>
      </c>
      <c r="C750" s="12" t="s">
        <v>10</v>
      </c>
      <c r="D750" s="93">
        <v>21.55</v>
      </c>
      <c r="E750" s="93">
        <v>0</v>
      </c>
      <c r="F750" s="93">
        <v>0</v>
      </c>
      <c r="G750" s="93">
        <v>21.55</v>
      </c>
      <c r="H750" s="93">
        <v>0</v>
      </c>
      <c r="N750" s="88"/>
      <c r="O750" s="88"/>
      <c r="P750" s="88"/>
    </row>
    <row r="751" spans="1:16">
      <c r="A751" s="94">
        <v>89129</v>
      </c>
      <c r="B751" s="87" t="s">
        <v>1172</v>
      </c>
      <c r="C751" s="12" t="s">
        <v>10</v>
      </c>
      <c r="D751" s="93">
        <v>2.92</v>
      </c>
      <c r="E751" s="93">
        <v>0</v>
      </c>
      <c r="F751" s="93">
        <v>0</v>
      </c>
      <c r="G751" s="93">
        <v>2.92</v>
      </c>
      <c r="H751" s="93">
        <v>0</v>
      </c>
      <c r="N751" s="88"/>
      <c r="O751" s="88"/>
      <c r="P751" s="88"/>
    </row>
    <row r="752" spans="1:16">
      <c r="A752" s="94">
        <v>89130</v>
      </c>
      <c r="B752" s="87" t="s">
        <v>1173</v>
      </c>
      <c r="C752" s="12" t="s">
        <v>10</v>
      </c>
      <c r="D752" s="93">
        <v>29.89</v>
      </c>
      <c r="E752" s="93">
        <v>0</v>
      </c>
      <c r="F752" s="93">
        <v>0</v>
      </c>
      <c r="G752" s="93">
        <v>29.89</v>
      </c>
      <c r="H752" s="93">
        <v>0</v>
      </c>
      <c r="N752" s="88"/>
      <c r="O752" s="88"/>
      <c r="P752" s="88"/>
    </row>
    <row r="753" spans="1:16">
      <c r="A753" s="94">
        <v>89131</v>
      </c>
      <c r="B753" s="87" t="s">
        <v>1174</v>
      </c>
      <c r="C753" s="12" t="s">
        <v>10</v>
      </c>
      <c r="D753" s="93">
        <v>4.05</v>
      </c>
      <c r="E753" s="93">
        <v>0</v>
      </c>
      <c r="F753" s="93">
        <v>0</v>
      </c>
      <c r="G753" s="93">
        <v>4.05</v>
      </c>
      <c r="H753" s="93">
        <v>0</v>
      </c>
      <c r="N753" s="88"/>
      <c r="O753" s="88"/>
      <c r="P753" s="88"/>
    </row>
    <row r="754" spans="1:16">
      <c r="A754" s="94">
        <v>89210</v>
      </c>
      <c r="B754" s="87" t="s">
        <v>1175</v>
      </c>
      <c r="C754" s="12" t="s">
        <v>10</v>
      </c>
      <c r="D754" s="93">
        <v>16.2</v>
      </c>
      <c r="E754" s="93">
        <v>0</v>
      </c>
      <c r="F754" s="93">
        <v>0</v>
      </c>
      <c r="G754" s="93">
        <v>16.2</v>
      </c>
      <c r="H754" s="93">
        <v>0</v>
      </c>
      <c r="N754" s="88"/>
      <c r="O754" s="88"/>
      <c r="P754" s="88"/>
    </row>
    <row r="755" spans="1:16">
      <c r="A755" s="94">
        <v>89211</v>
      </c>
      <c r="B755" s="87" t="s">
        <v>1176</v>
      </c>
      <c r="C755" s="12" t="s">
        <v>10</v>
      </c>
      <c r="D755" s="93">
        <v>2.25</v>
      </c>
      <c r="E755" s="93">
        <v>0</v>
      </c>
      <c r="F755" s="93">
        <v>0</v>
      </c>
      <c r="G755" s="93">
        <v>2.25</v>
      </c>
      <c r="H755" s="93">
        <v>0</v>
      </c>
      <c r="N755" s="88"/>
      <c r="O755" s="88"/>
      <c r="P755" s="88"/>
    </row>
    <row r="756" spans="1:16">
      <c r="A756" s="94">
        <v>89212</v>
      </c>
      <c r="B756" s="87" t="s">
        <v>116</v>
      </c>
      <c r="C756" s="12" t="s">
        <v>10</v>
      </c>
      <c r="D756" s="93">
        <v>15.86</v>
      </c>
      <c r="E756" s="93">
        <v>0</v>
      </c>
      <c r="F756" s="93">
        <v>0</v>
      </c>
      <c r="G756" s="93">
        <v>15.86</v>
      </c>
      <c r="H756" s="93">
        <v>0</v>
      </c>
      <c r="N756" s="88"/>
      <c r="O756" s="88"/>
      <c r="P756" s="88"/>
    </row>
    <row r="757" spans="1:16">
      <c r="A757" s="94">
        <v>89213</v>
      </c>
      <c r="B757" s="87" t="s">
        <v>117</v>
      </c>
      <c r="C757" s="12" t="s">
        <v>10</v>
      </c>
      <c r="D757" s="93">
        <v>2.4900000000000002</v>
      </c>
      <c r="E757" s="93">
        <v>0</v>
      </c>
      <c r="F757" s="93">
        <v>0</v>
      </c>
      <c r="G757" s="93">
        <v>2.4900000000000002</v>
      </c>
      <c r="H757" s="93">
        <v>0</v>
      </c>
      <c r="N757" s="88"/>
      <c r="O757" s="88"/>
      <c r="P757" s="88"/>
    </row>
    <row r="758" spans="1:16">
      <c r="A758" s="94">
        <v>89214</v>
      </c>
      <c r="B758" s="87" t="s">
        <v>118</v>
      </c>
      <c r="C758" s="12" t="s">
        <v>10</v>
      </c>
      <c r="D758" s="93">
        <v>14.89</v>
      </c>
      <c r="E758" s="93">
        <v>0</v>
      </c>
      <c r="F758" s="93">
        <v>0</v>
      </c>
      <c r="G758" s="93">
        <v>14.89</v>
      </c>
      <c r="H758" s="93">
        <v>0</v>
      </c>
      <c r="N758" s="88"/>
      <c r="O758" s="88"/>
      <c r="P758" s="88"/>
    </row>
    <row r="759" spans="1:16">
      <c r="A759" s="94">
        <v>89215</v>
      </c>
      <c r="B759" s="87" t="s">
        <v>119</v>
      </c>
      <c r="C759" s="12" t="s">
        <v>10</v>
      </c>
      <c r="D759" s="93">
        <v>54.78</v>
      </c>
      <c r="E759" s="93">
        <v>0</v>
      </c>
      <c r="F759" s="93">
        <v>54.78</v>
      </c>
      <c r="G759" s="93">
        <v>0</v>
      </c>
      <c r="H759" s="93">
        <v>0</v>
      </c>
      <c r="N759" s="88"/>
      <c r="O759" s="88"/>
      <c r="P759" s="88"/>
    </row>
    <row r="760" spans="1:16">
      <c r="A760" s="94">
        <v>89221</v>
      </c>
      <c r="B760" s="87" t="s">
        <v>1177</v>
      </c>
      <c r="C760" s="12" t="s">
        <v>10</v>
      </c>
      <c r="D760" s="93">
        <v>0.97</v>
      </c>
      <c r="E760" s="93">
        <v>0</v>
      </c>
      <c r="F760" s="93">
        <v>0</v>
      </c>
      <c r="G760" s="93">
        <v>0.97</v>
      </c>
      <c r="H760" s="93">
        <v>0</v>
      </c>
      <c r="N760" s="88"/>
      <c r="O760" s="88"/>
      <c r="P760" s="88"/>
    </row>
    <row r="761" spans="1:16">
      <c r="A761" s="94">
        <v>89222</v>
      </c>
      <c r="B761" s="87" t="s">
        <v>1178</v>
      </c>
      <c r="C761" s="12" t="s">
        <v>10</v>
      </c>
      <c r="D761" s="93">
        <v>0.11</v>
      </c>
      <c r="E761" s="93">
        <v>0</v>
      </c>
      <c r="F761" s="93">
        <v>0</v>
      </c>
      <c r="G761" s="93">
        <v>0.11</v>
      </c>
      <c r="H761" s="93">
        <v>0</v>
      </c>
      <c r="N761" s="88"/>
      <c r="O761" s="88"/>
      <c r="P761" s="88"/>
    </row>
    <row r="762" spans="1:16">
      <c r="A762" s="94">
        <v>89223</v>
      </c>
      <c r="B762" s="87" t="s">
        <v>1179</v>
      </c>
      <c r="C762" s="12" t="s">
        <v>10</v>
      </c>
      <c r="D762" s="93">
        <v>0.91</v>
      </c>
      <c r="E762" s="93">
        <v>0</v>
      </c>
      <c r="F762" s="93">
        <v>0</v>
      </c>
      <c r="G762" s="93">
        <v>0.91</v>
      </c>
      <c r="H762" s="93">
        <v>0</v>
      </c>
      <c r="N762" s="88"/>
      <c r="O762" s="88"/>
      <c r="P762" s="88"/>
    </row>
    <row r="763" spans="1:16">
      <c r="A763" s="94">
        <v>89224</v>
      </c>
      <c r="B763" s="87" t="s">
        <v>1180</v>
      </c>
      <c r="C763" s="12" t="s">
        <v>10</v>
      </c>
      <c r="D763" s="93">
        <v>2.0499999999999998</v>
      </c>
      <c r="E763" s="93">
        <v>0</v>
      </c>
      <c r="F763" s="93">
        <v>0</v>
      </c>
      <c r="G763" s="93">
        <v>0</v>
      </c>
      <c r="H763" s="93">
        <v>0</v>
      </c>
      <c r="N763" s="88"/>
      <c r="O763" s="88"/>
      <c r="P763" s="88"/>
    </row>
    <row r="764" spans="1:16">
      <c r="A764" s="94">
        <v>89228</v>
      </c>
      <c r="B764" s="87" t="s">
        <v>120</v>
      </c>
      <c r="C764" s="12" t="s">
        <v>10</v>
      </c>
      <c r="D764" s="93">
        <v>24.16</v>
      </c>
      <c r="E764" s="93">
        <v>0</v>
      </c>
      <c r="F764" s="93">
        <v>0</v>
      </c>
      <c r="G764" s="93">
        <v>24.16</v>
      </c>
      <c r="H764" s="93">
        <v>0</v>
      </c>
      <c r="N764" s="88"/>
      <c r="O764" s="88"/>
      <c r="P764" s="88"/>
    </row>
    <row r="765" spans="1:16">
      <c r="A765" s="94">
        <v>89229</v>
      </c>
      <c r="B765" s="87" t="s">
        <v>121</v>
      </c>
      <c r="C765" s="12" t="s">
        <v>10</v>
      </c>
      <c r="D765" s="93">
        <v>4.34</v>
      </c>
      <c r="E765" s="93">
        <v>0</v>
      </c>
      <c r="F765" s="93">
        <v>0</v>
      </c>
      <c r="G765" s="93">
        <v>4.34</v>
      </c>
      <c r="H765" s="93">
        <v>0</v>
      </c>
      <c r="N765" s="88"/>
      <c r="O765" s="88"/>
      <c r="P765" s="88"/>
    </row>
    <row r="766" spans="1:16">
      <c r="A766" s="94">
        <v>89230</v>
      </c>
      <c r="B766" s="87" t="s">
        <v>1181</v>
      </c>
      <c r="C766" s="12" t="s">
        <v>10</v>
      </c>
      <c r="D766" s="93">
        <v>89.84</v>
      </c>
      <c r="E766" s="93">
        <v>0</v>
      </c>
      <c r="F766" s="93">
        <v>0</v>
      </c>
      <c r="G766" s="93">
        <v>89.84</v>
      </c>
      <c r="H766" s="93">
        <v>0</v>
      </c>
      <c r="N766" s="88"/>
      <c r="O766" s="88"/>
      <c r="P766" s="88"/>
    </row>
    <row r="767" spans="1:16">
      <c r="A767" s="94">
        <v>89231</v>
      </c>
      <c r="B767" s="87" t="s">
        <v>1182</v>
      </c>
      <c r="C767" s="12" t="s">
        <v>10</v>
      </c>
      <c r="D767" s="93">
        <v>14.23</v>
      </c>
      <c r="E767" s="93">
        <v>0</v>
      </c>
      <c r="F767" s="93">
        <v>0</v>
      </c>
      <c r="G767" s="93">
        <v>14.23</v>
      </c>
      <c r="H767" s="93">
        <v>0</v>
      </c>
      <c r="N767" s="88"/>
      <c r="O767" s="88"/>
      <c r="P767" s="88"/>
    </row>
    <row r="768" spans="1:16">
      <c r="A768" s="94">
        <v>89232</v>
      </c>
      <c r="B768" s="87" t="s">
        <v>1183</v>
      </c>
      <c r="C768" s="12" t="s">
        <v>10</v>
      </c>
      <c r="D768" s="93">
        <v>160.26</v>
      </c>
      <c r="E768" s="93">
        <v>0</v>
      </c>
      <c r="F768" s="93">
        <v>0</v>
      </c>
      <c r="G768" s="93">
        <v>160.26</v>
      </c>
      <c r="H768" s="93">
        <v>0</v>
      </c>
      <c r="N768" s="88"/>
      <c r="O768" s="88"/>
      <c r="P768" s="88"/>
    </row>
    <row r="769" spans="1:16">
      <c r="A769" s="94">
        <v>89233</v>
      </c>
      <c r="B769" s="87" t="s">
        <v>1184</v>
      </c>
      <c r="C769" s="12" t="s">
        <v>10</v>
      </c>
      <c r="D769" s="93">
        <v>98.59</v>
      </c>
      <c r="E769" s="93">
        <v>0</v>
      </c>
      <c r="F769" s="93">
        <v>98.59</v>
      </c>
      <c r="G769" s="93">
        <v>0</v>
      </c>
      <c r="H769" s="93">
        <v>0</v>
      </c>
      <c r="N769" s="88"/>
      <c r="O769" s="88"/>
      <c r="P769" s="88"/>
    </row>
    <row r="770" spans="1:16">
      <c r="A770" s="94">
        <v>89236</v>
      </c>
      <c r="B770" s="87" t="s">
        <v>1185</v>
      </c>
      <c r="C770" s="12" t="s">
        <v>10</v>
      </c>
      <c r="D770" s="93">
        <v>209.88</v>
      </c>
      <c r="E770" s="93">
        <v>0</v>
      </c>
      <c r="F770" s="93">
        <v>0</v>
      </c>
      <c r="G770" s="93">
        <v>209.88</v>
      </c>
      <c r="H770" s="93">
        <v>0</v>
      </c>
      <c r="N770" s="88"/>
      <c r="O770" s="88"/>
      <c r="P770" s="88"/>
    </row>
    <row r="771" spans="1:16">
      <c r="A771" s="94">
        <v>89237</v>
      </c>
      <c r="B771" s="87" t="s">
        <v>1186</v>
      </c>
      <c r="C771" s="12" t="s">
        <v>10</v>
      </c>
      <c r="D771" s="93">
        <v>33.25</v>
      </c>
      <c r="E771" s="93">
        <v>0</v>
      </c>
      <c r="F771" s="93">
        <v>0</v>
      </c>
      <c r="G771" s="93">
        <v>33.25</v>
      </c>
      <c r="H771" s="93">
        <v>0</v>
      </c>
      <c r="N771" s="88"/>
      <c r="O771" s="88"/>
      <c r="P771" s="88"/>
    </row>
    <row r="772" spans="1:16">
      <c r="A772" s="94">
        <v>89238</v>
      </c>
      <c r="B772" s="87" t="s">
        <v>1187</v>
      </c>
      <c r="C772" s="12" t="s">
        <v>10</v>
      </c>
      <c r="D772" s="93">
        <v>374.37</v>
      </c>
      <c r="E772" s="93">
        <v>0</v>
      </c>
      <c r="F772" s="93">
        <v>0</v>
      </c>
      <c r="G772" s="93">
        <v>374.37</v>
      </c>
      <c r="H772" s="93">
        <v>0</v>
      </c>
      <c r="N772" s="88"/>
      <c r="O772" s="88"/>
      <c r="P772" s="88"/>
    </row>
    <row r="773" spans="1:16">
      <c r="A773" s="94">
        <v>89239</v>
      </c>
      <c r="B773" s="87" t="s">
        <v>1188</v>
      </c>
      <c r="C773" s="12" t="s">
        <v>10</v>
      </c>
      <c r="D773" s="93">
        <v>260.72000000000003</v>
      </c>
      <c r="E773" s="93">
        <v>0</v>
      </c>
      <c r="F773" s="93">
        <v>260.72000000000003</v>
      </c>
      <c r="G773" s="93">
        <v>0</v>
      </c>
      <c r="H773" s="93">
        <v>0</v>
      </c>
      <c r="N773" s="88"/>
      <c r="O773" s="88"/>
      <c r="P773" s="88"/>
    </row>
    <row r="774" spans="1:16">
      <c r="A774" s="94">
        <v>89240</v>
      </c>
      <c r="B774" s="87" t="s">
        <v>1189</v>
      </c>
      <c r="C774" s="12" t="s">
        <v>10</v>
      </c>
      <c r="D774" s="93">
        <v>64.41</v>
      </c>
      <c r="E774" s="93">
        <v>0</v>
      </c>
      <c r="F774" s="93">
        <v>0</v>
      </c>
      <c r="G774" s="93">
        <v>64.41</v>
      </c>
      <c r="H774" s="93">
        <v>0</v>
      </c>
      <c r="N774" s="88"/>
      <c r="O774" s="88"/>
      <c r="P774" s="88"/>
    </row>
    <row r="775" spans="1:16">
      <c r="A775" s="94">
        <v>89241</v>
      </c>
      <c r="B775" s="87" t="s">
        <v>122</v>
      </c>
      <c r="C775" s="12" t="s">
        <v>10</v>
      </c>
      <c r="D775" s="93">
        <v>11.59</v>
      </c>
      <c r="E775" s="93">
        <v>0</v>
      </c>
      <c r="F775" s="93">
        <v>0</v>
      </c>
      <c r="G775" s="93">
        <v>11.59</v>
      </c>
      <c r="H775" s="93">
        <v>0</v>
      </c>
      <c r="N775" s="88"/>
      <c r="O775" s="88"/>
      <c r="P775" s="88"/>
    </row>
    <row r="776" spans="1:16">
      <c r="A776" s="94">
        <v>89246</v>
      </c>
      <c r="B776" s="87" t="s">
        <v>123</v>
      </c>
      <c r="C776" s="12" t="s">
        <v>10</v>
      </c>
      <c r="D776" s="93">
        <v>182.37</v>
      </c>
      <c r="E776" s="93">
        <v>0</v>
      </c>
      <c r="F776" s="93">
        <v>0</v>
      </c>
      <c r="G776" s="93">
        <v>182.37</v>
      </c>
      <c r="H776" s="93">
        <v>0</v>
      </c>
      <c r="N776" s="88"/>
      <c r="O776" s="88"/>
      <c r="P776" s="88"/>
    </row>
    <row r="777" spans="1:16">
      <c r="A777" s="94">
        <v>89247</v>
      </c>
      <c r="B777" s="87" t="s">
        <v>124</v>
      </c>
      <c r="C777" s="12" t="s">
        <v>10</v>
      </c>
      <c r="D777" s="93">
        <v>28.89</v>
      </c>
      <c r="E777" s="93">
        <v>0</v>
      </c>
      <c r="F777" s="93">
        <v>0</v>
      </c>
      <c r="G777" s="93">
        <v>28.89</v>
      </c>
      <c r="H777" s="93">
        <v>0</v>
      </c>
      <c r="N777" s="88"/>
      <c r="O777" s="88"/>
      <c r="P777" s="88"/>
    </row>
    <row r="778" spans="1:16">
      <c r="A778" s="94">
        <v>89248</v>
      </c>
      <c r="B778" s="87" t="s">
        <v>125</v>
      </c>
      <c r="C778" s="12" t="s">
        <v>10</v>
      </c>
      <c r="D778" s="93">
        <v>325.3</v>
      </c>
      <c r="E778" s="93">
        <v>0</v>
      </c>
      <c r="F778" s="93">
        <v>0</v>
      </c>
      <c r="G778" s="93">
        <v>325.3</v>
      </c>
      <c r="H778" s="93">
        <v>0</v>
      </c>
      <c r="N778" s="88"/>
      <c r="O778" s="88"/>
      <c r="P778" s="88"/>
    </row>
    <row r="779" spans="1:16">
      <c r="A779" s="94">
        <v>89249</v>
      </c>
      <c r="B779" s="87" t="s">
        <v>126</v>
      </c>
      <c r="C779" s="12" t="s">
        <v>10</v>
      </c>
      <c r="D779" s="93">
        <v>222.24</v>
      </c>
      <c r="E779" s="93">
        <v>0</v>
      </c>
      <c r="F779" s="93">
        <v>222.24</v>
      </c>
      <c r="G779" s="93">
        <v>0</v>
      </c>
      <c r="H779" s="93">
        <v>0</v>
      </c>
      <c r="N779" s="88"/>
      <c r="O779" s="88"/>
      <c r="P779" s="88"/>
    </row>
    <row r="780" spans="1:16">
      <c r="A780" s="94">
        <v>89253</v>
      </c>
      <c r="B780" s="87" t="s">
        <v>1190</v>
      </c>
      <c r="C780" s="12" t="s">
        <v>10</v>
      </c>
      <c r="D780" s="93">
        <v>52.78</v>
      </c>
      <c r="E780" s="93">
        <v>0</v>
      </c>
      <c r="F780" s="93">
        <v>0</v>
      </c>
      <c r="G780" s="93">
        <v>52.78</v>
      </c>
      <c r="H780" s="93">
        <v>0</v>
      </c>
      <c r="N780" s="88"/>
      <c r="O780" s="88"/>
      <c r="P780" s="88"/>
    </row>
    <row r="781" spans="1:16">
      <c r="A781" s="94">
        <v>89254</v>
      </c>
      <c r="B781" s="87" t="s">
        <v>127</v>
      </c>
      <c r="C781" s="12" t="s">
        <v>10</v>
      </c>
      <c r="D781" s="93">
        <v>9.5</v>
      </c>
      <c r="E781" s="93">
        <v>0</v>
      </c>
      <c r="F781" s="93">
        <v>0</v>
      </c>
      <c r="G781" s="93">
        <v>9.5</v>
      </c>
      <c r="H781" s="93">
        <v>0</v>
      </c>
      <c r="N781" s="88"/>
      <c r="O781" s="88"/>
      <c r="P781" s="88"/>
    </row>
    <row r="782" spans="1:16">
      <c r="A782" s="94">
        <v>89255</v>
      </c>
      <c r="B782" s="87" t="s">
        <v>1191</v>
      </c>
      <c r="C782" s="12" t="s">
        <v>10</v>
      </c>
      <c r="D782" s="93">
        <v>84.85</v>
      </c>
      <c r="E782" s="93">
        <v>0</v>
      </c>
      <c r="F782" s="93">
        <v>0</v>
      </c>
      <c r="G782" s="93">
        <v>84.85</v>
      </c>
      <c r="H782" s="93">
        <v>0</v>
      </c>
      <c r="N782" s="88"/>
      <c r="O782" s="88"/>
      <c r="P782" s="88"/>
    </row>
    <row r="783" spans="1:16">
      <c r="A783" s="94">
        <v>89256</v>
      </c>
      <c r="B783" s="87" t="s">
        <v>1192</v>
      </c>
      <c r="C783" s="12" t="s">
        <v>10</v>
      </c>
      <c r="D783" s="93">
        <v>50.02</v>
      </c>
      <c r="E783" s="93">
        <v>0</v>
      </c>
      <c r="F783" s="93">
        <v>50.02</v>
      </c>
      <c r="G783" s="93">
        <v>0</v>
      </c>
      <c r="H783" s="93">
        <v>0</v>
      </c>
      <c r="N783" s="88"/>
      <c r="O783" s="88"/>
      <c r="P783" s="88"/>
    </row>
    <row r="784" spans="1:16">
      <c r="A784" s="94">
        <v>89259</v>
      </c>
      <c r="B784" s="87" t="s">
        <v>1193</v>
      </c>
      <c r="C784" s="12" t="s">
        <v>10</v>
      </c>
      <c r="D784" s="93">
        <v>10.02</v>
      </c>
      <c r="E784" s="93">
        <v>0</v>
      </c>
      <c r="F784" s="93">
        <v>0</v>
      </c>
      <c r="G784" s="93">
        <v>10.02</v>
      </c>
      <c r="H784" s="93">
        <v>0</v>
      </c>
      <c r="N784" s="88"/>
      <c r="O784" s="88"/>
      <c r="P784" s="88"/>
    </row>
    <row r="785" spans="1:16">
      <c r="A785" s="94">
        <v>89260</v>
      </c>
      <c r="B785" s="87" t="s">
        <v>1194</v>
      </c>
      <c r="C785" s="12" t="s">
        <v>10</v>
      </c>
      <c r="D785" s="93">
        <v>2.1</v>
      </c>
      <c r="E785" s="93">
        <v>0</v>
      </c>
      <c r="F785" s="93">
        <v>0</v>
      </c>
      <c r="G785" s="93">
        <v>2.1</v>
      </c>
      <c r="H785" s="93">
        <v>0</v>
      </c>
      <c r="N785" s="88"/>
      <c r="O785" s="88"/>
      <c r="P785" s="88"/>
    </row>
    <row r="786" spans="1:16">
      <c r="A786" s="94">
        <v>89262</v>
      </c>
      <c r="B786" s="87" t="s">
        <v>1195</v>
      </c>
      <c r="C786" s="12" t="s">
        <v>10</v>
      </c>
      <c r="D786" s="93">
        <v>18.8</v>
      </c>
      <c r="E786" s="93">
        <v>0</v>
      </c>
      <c r="F786" s="93">
        <v>0</v>
      </c>
      <c r="G786" s="93">
        <v>18.8</v>
      </c>
      <c r="H786" s="93">
        <v>0</v>
      </c>
      <c r="N786" s="88"/>
      <c r="O786" s="88"/>
      <c r="P786" s="88"/>
    </row>
    <row r="787" spans="1:16">
      <c r="A787" s="94">
        <v>89264</v>
      </c>
      <c r="B787" s="87" t="s">
        <v>1196</v>
      </c>
      <c r="C787" s="12" t="s">
        <v>10</v>
      </c>
      <c r="D787" s="93">
        <v>8.11</v>
      </c>
      <c r="E787" s="93">
        <v>0</v>
      </c>
      <c r="F787" s="93">
        <v>0</v>
      </c>
      <c r="G787" s="93">
        <v>8.11</v>
      </c>
      <c r="H787" s="93">
        <v>0</v>
      </c>
      <c r="N787" s="88"/>
      <c r="O787" s="88"/>
      <c r="P787" s="88"/>
    </row>
    <row r="788" spans="1:16">
      <c r="A788" s="94">
        <v>89265</v>
      </c>
      <c r="B788" s="87" t="s">
        <v>1197</v>
      </c>
      <c r="C788" s="12" t="s">
        <v>10</v>
      </c>
      <c r="D788" s="93">
        <v>1.7</v>
      </c>
      <c r="E788" s="93">
        <v>0</v>
      </c>
      <c r="F788" s="93">
        <v>0</v>
      </c>
      <c r="G788" s="93">
        <v>1.7</v>
      </c>
      <c r="H788" s="93">
        <v>0</v>
      </c>
      <c r="N788" s="88"/>
      <c r="O788" s="88"/>
      <c r="P788" s="88"/>
    </row>
    <row r="789" spans="1:16">
      <c r="A789" s="94">
        <v>89266</v>
      </c>
      <c r="B789" s="87" t="s">
        <v>1198</v>
      </c>
      <c r="C789" s="12" t="s">
        <v>10</v>
      </c>
      <c r="D789" s="93">
        <v>0.65</v>
      </c>
      <c r="E789" s="93">
        <v>0</v>
      </c>
      <c r="F789" s="93">
        <v>0</v>
      </c>
      <c r="G789" s="93">
        <v>0.65</v>
      </c>
      <c r="H789" s="93">
        <v>0</v>
      </c>
      <c r="N789" s="88"/>
      <c r="O789" s="88"/>
      <c r="P789" s="88"/>
    </row>
    <row r="790" spans="1:16">
      <c r="A790" s="94">
        <v>89267</v>
      </c>
      <c r="B790" s="87" t="s">
        <v>1199</v>
      </c>
      <c r="C790" s="12" t="s">
        <v>10</v>
      </c>
      <c r="D790" s="93">
        <v>27.6</v>
      </c>
      <c r="E790" s="93">
        <v>0</v>
      </c>
      <c r="F790" s="93">
        <v>0</v>
      </c>
      <c r="G790" s="93">
        <v>27.6</v>
      </c>
      <c r="H790" s="93">
        <v>0</v>
      </c>
      <c r="N790" s="88"/>
      <c r="O790" s="88"/>
      <c r="P790" s="88"/>
    </row>
    <row r="791" spans="1:16">
      <c r="A791" s="94">
        <v>89268</v>
      </c>
      <c r="B791" s="87" t="s">
        <v>1200</v>
      </c>
      <c r="C791" s="12" t="s">
        <v>10</v>
      </c>
      <c r="D791" s="93">
        <v>4.96</v>
      </c>
      <c r="E791" s="93">
        <v>0</v>
      </c>
      <c r="F791" s="93">
        <v>0</v>
      </c>
      <c r="G791" s="93">
        <v>4.96</v>
      </c>
      <c r="H791" s="93">
        <v>0</v>
      </c>
      <c r="N791" s="88"/>
      <c r="O791" s="88"/>
      <c r="P791" s="88"/>
    </row>
    <row r="792" spans="1:16">
      <c r="A792" s="94">
        <v>89269</v>
      </c>
      <c r="B792" s="87" t="s">
        <v>1201</v>
      </c>
      <c r="C792" s="12" t="s">
        <v>10</v>
      </c>
      <c r="D792" s="93">
        <v>1.93</v>
      </c>
      <c r="E792" s="93">
        <v>0</v>
      </c>
      <c r="F792" s="93">
        <v>0</v>
      </c>
      <c r="G792" s="93">
        <v>1.93</v>
      </c>
      <c r="H792" s="93">
        <v>0</v>
      </c>
      <c r="N792" s="88"/>
      <c r="O792" s="88"/>
      <c r="P792" s="88"/>
    </row>
    <row r="793" spans="1:16">
      <c r="A793" s="94">
        <v>89270</v>
      </c>
      <c r="B793" s="87" t="s">
        <v>1202</v>
      </c>
      <c r="C793" s="12" t="s">
        <v>10</v>
      </c>
      <c r="D793" s="93">
        <v>44.38</v>
      </c>
      <c r="E793" s="93">
        <v>0</v>
      </c>
      <c r="F793" s="93">
        <v>0</v>
      </c>
      <c r="G793" s="93">
        <v>44.38</v>
      </c>
      <c r="H793" s="93">
        <v>0</v>
      </c>
      <c r="N793" s="88"/>
      <c r="O793" s="88"/>
      <c r="P793" s="88"/>
    </row>
    <row r="794" spans="1:16">
      <c r="A794" s="94">
        <v>89271</v>
      </c>
      <c r="B794" s="87" t="s">
        <v>1203</v>
      </c>
      <c r="C794" s="12" t="s">
        <v>10</v>
      </c>
      <c r="D794" s="93">
        <v>17.12</v>
      </c>
      <c r="E794" s="93">
        <v>0</v>
      </c>
      <c r="F794" s="93">
        <v>17.12</v>
      </c>
      <c r="G794" s="93">
        <v>0</v>
      </c>
      <c r="H794" s="93">
        <v>0</v>
      </c>
      <c r="N794" s="88"/>
      <c r="O794" s="88"/>
      <c r="P794" s="88"/>
    </row>
    <row r="795" spans="1:16">
      <c r="A795" s="94">
        <v>89274</v>
      </c>
      <c r="B795" s="87" t="s">
        <v>1204</v>
      </c>
      <c r="C795" s="12" t="s">
        <v>10</v>
      </c>
      <c r="D795" s="93">
        <v>1.18</v>
      </c>
      <c r="E795" s="93">
        <v>0</v>
      </c>
      <c r="F795" s="93">
        <v>0</v>
      </c>
      <c r="G795" s="93">
        <v>1.18</v>
      </c>
      <c r="H795" s="93">
        <v>0</v>
      </c>
      <c r="N795" s="88"/>
      <c r="O795" s="88"/>
      <c r="P795" s="88"/>
    </row>
    <row r="796" spans="1:16">
      <c r="A796" s="94">
        <v>89275</v>
      </c>
      <c r="B796" s="87" t="s">
        <v>1205</v>
      </c>
      <c r="C796" s="12" t="s">
        <v>10</v>
      </c>
      <c r="D796" s="93">
        <v>0.14000000000000001</v>
      </c>
      <c r="E796" s="93">
        <v>0</v>
      </c>
      <c r="F796" s="93">
        <v>0</v>
      </c>
      <c r="G796" s="93">
        <v>0.14000000000000001</v>
      </c>
      <c r="H796" s="93">
        <v>0</v>
      </c>
      <c r="N796" s="88"/>
      <c r="O796" s="88"/>
      <c r="P796" s="88"/>
    </row>
    <row r="797" spans="1:16">
      <c r="A797" s="94">
        <v>89276</v>
      </c>
      <c r="B797" s="87" t="s">
        <v>1206</v>
      </c>
      <c r="C797" s="12" t="s">
        <v>10</v>
      </c>
      <c r="D797" s="93">
        <v>1.1100000000000001</v>
      </c>
      <c r="E797" s="93">
        <v>0</v>
      </c>
      <c r="F797" s="93">
        <v>0</v>
      </c>
      <c r="G797" s="93">
        <v>1.1100000000000001</v>
      </c>
      <c r="H797" s="93">
        <v>0</v>
      </c>
      <c r="N797" s="88"/>
      <c r="O797" s="88"/>
      <c r="P797" s="88"/>
    </row>
    <row r="798" spans="1:16">
      <c r="A798" s="94">
        <v>89277</v>
      </c>
      <c r="B798" s="87" t="s">
        <v>1207</v>
      </c>
      <c r="C798" s="12" t="s">
        <v>10</v>
      </c>
      <c r="D798" s="93">
        <v>5.01</v>
      </c>
      <c r="E798" s="93">
        <v>0</v>
      </c>
      <c r="F798" s="93">
        <v>5.01</v>
      </c>
      <c r="G798" s="93">
        <v>0</v>
      </c>
      <c r="H798" s="93">
        <v>0</v>
      </c>
      <c r="N798" s="88"/>
      <c r="O798" s="88"/>
      <c r="P798" s="88"/>
    </row>
    <row r="799" spans="1:16">
      <c r="A799" s="94">
        <v>89280</v>
      </c>
      <c r="B799" s="87" t="s">
        <v>1208</v>
      </c>
      <c r="C799" s="12" t="s">
        <v>10</v>
      </c>
      <c r="D799" s="93">
        <v>19.899999999999999</v>
      </c>
      <c r="E799" s="93">
        <v>0</v>
      </c>
      <c r="F799" s="93">
        <v>0</v>
      </c>
      <c r="G799" s="93">
        <v>19.899999999999999</v>
      </c>
      <c r="H799" s="93">
        <v>0</v>
      </c>
      <c r="N799" s="88"/>
      <c r="O799" s="88"/>
      <c r="P799" s="88"/>
    </row>
    <row r="800" spans="1:16">
      <c r="A800" s="94">
        <v>89281</v>
      </c>
      <c r="B800" s="87" t="s">
        <v>1209</v>
      </c>
      <c r="C800" s="12" t="s">
        <v>10</v>
      </c>
      <c r="D800" s="93">
        <v>2.76</v>
      </c>
      <c r="E800" s="93">
        <v>0</v>
      </c>
      <c r="F800" s="93">
        <v>0</v>
      </c>
      <c r="G800" s="93">
        <v>2.76</v>
      </c>
      <c r="H800" s="93">
        <v>0</v>
      </c>
      <c r="N800" s="88"/>
      <c r="O800" s="88"/>
      <c r="P800" s="88"/>
    </row>
    <row r="801" spans="1:16">
      <c r="A801" s="94">
        <v>89870</v>
      </c>
      <c r="B801" s="87" t="s">
        <v>128</v>
      </c>
      <c r="C801" s="12" t="s">
        <v>10</v>
      </c>
      <c r="D801" s="93">
        <v>22.12</v>
      </c>
      <c r="E801" s="93">
        <v>0</v>
      </c>
      <c r="F801" s="93">
        <v>0</v>
      </c>
      <c r="G801" s="93">
        <v>22.12</v>
      </c>
      <c r="H801" s="93">
        <v>0</v>
      </c>
      <c r="N801" s="88"/>
      <c r="O801" s="88"/>
      <c r="P801" s="88"/>
    </row>
    <row r="802" spans="1:16">
      <c r="A802" s="94">
        <v>89871</v>
      </c>
      <c r="B802" s="87" t="s">
        <v>129</v>
      </c>
      <c r="C802" s="12" t="s">
        <v>10</v>
      </c>
      <c r="D802" s="93">
        <v>4.08</v>
      </c>
      <c r="E802" s="93">
        <v>0</v>
      </c>
      <c r="F802" s="93">
        <v>0</v>
      </c>
      <c r="G802" s="93">
        <v>4.08</v>
      </c>
      <c r="H802" s="93">
        <v>0</v>
      </c>
      <c r="N802" s="88"/>
      <c r="O802" s="88"/>
      <c r="P802" s="88"/>
    </row>
    <row r="803" spans="1:16">
      <c r="A803" s="94">
        <v>89872</v>
      </c>
      <c r="B803" s="87" t="s">
        <v>130</v>
      </c>
      <c r="C803" s="12" t="s">
        <v>10</v>
      </c>
      <c r="D803" s="93">
        <v>1.59</v>
      </c>
      <c r="E803" s="93">
        <v>0</v>
      </c>
      <c r="F803" s="93">
        <v>0</v>
      </c>
      <c r="G803" s="93">
        <v>1.59</v>
      </c>
      <c r="H803" s="93">
        <v>0</v>
      </c>
      <c r="N803" s="88"/>
      <c r="O803" s="88"/>
      <c r="P803" s="88"/>
    </row>
    <row r="804" spans="1:16">
      <c r="A804" s="94">
        <v>89873</v>
      </c>
      <c r="B804" s="87" t="s">
        <v>131</v>
      </c>
      <c r="C804" s="12" t="s">
        <v>10</v>
      </c>
      <c r="D804" s="93">
        <v>41.49</v>
      </c>
      <c r="E804" s="93">
        <v>0</v>
      </c>
      <c r="F804" s="93">
        <v>0</v>
      </c>
      <c r="G804" s="93">
        <v>41.49</v>
      </c>
      <c r="H804" s="93">
        <v>0</v>
      </c>
      <c r="N804" s="88"/>
      <c r="O804" s="88"/>
      <c r="P804" s="88"/>
    </row>
    <row r="805" spans="1:16">
      <c r="A805" s="94">
        <v>89874</v>
      </c>
      <c r="B805" s="87" t="s">
        <v>132</v>
      </c>
      <c r="C805" s="12" t="s">
        <v>10</v>
      </c>
      <c r="D805" s="93">
        <v>104.02</v>
      </c>
      <c r="E805" s="93">
        <v>0</v>
      </c>
      <c r="F805" s="93">
        <v>104.02</v>
      </c>
      <c r="G805" s="93">
        <v>0</v>
      </c>
      <c r="H805" s="93">
        <v>0</v>
      </c>
      <c r="N805" s="88"/>
      <c r="O805" s="88"/>
      <c r="P805" s="88"/>
    </row>
    <row r="806" spans="1:16">
      <c r="A806" s="94">
        <v>89878</v>
      </c>
      <c r="B806" s="87" t="s">
        <v>133</v>
      </c>
      <c r="C806" s="12" t="s">
        <v>10</v>
      </c>
      <c r="D806" s="93">
        <v>23.4</v>
      </c>
      <c r="E806" s="93">
        <v>0</v>
      </c>
      <c r="F806" s="93">
        <v>0</v>
      </c>
      <c r="G806" s="93">
        <v>23.4</v>
      </c>
      <c r="H806" s="93">
        <v>0</v>
      </c>
      <c r="N806" s="88"/>
      <c r="O806" s="88"/>
      <c r="P806" s="88"/>
    </row>
    <row r="807" spans="1:16">
      <c r="A807" s="94">
        <v>89879</v>
      </c>
      <c r="B807" s="87" t="s">
        <v>134</v>
      </c>
      <c r="C807" s="12" t="s">
        <v>10</v>
      </c>
      <c r="D807" s="93">
        <v>4.32</v>
      </c>
      <c r="E807" s="93">
        <v>0</v>
      </c>
      <c r="F807" s="93">
        <v>0</v>
      </c>
      <c r="G807" s="93">
        <v>4.32</v>
      </c>
      <c r="H807" s="93">
        <v>0</v>
      </c>
      <c r="N807" s="88"/>
      <c r="O807" s="88"/>
      <c r="P807" s="88"/>
    </row>
    <row r="808" spans="1:16">
      <c r="A808" s="94">
        <v>89880</v>
      </c>
      <c r="B808" s="87" t="s">
        <v>135</v>
      </c>
      <c r="C808" s="12" t="s">
        <v>10</v>
      </c>
      <c r="D808" s="93">
        <v>1.69</v>
      </c>
      <c r="E808" s="93">
        <v>0</v>
      </c>
      <c r="F808" s="93">
        <v>0</v>
      </c>
      <c r="G808" s="93">
        <v>1.69</v>
      </c>
      <c r="H808" s="93">
        <v>0</v>
      </c>
      <c r="N808" s="88"/>
      <c r="O808" s="88"/>
      <c r="P808" s="88"/>
    </row>
    <row r="809" spans="1:16">
      <c r="A809" s="94">
        <v>89881</v>
      </c>
      <c r="B809" s="87" t="s">
        <v>136</v>
      </c>
      <c r="C809" s="12" t="s">
        <v>10</v>
      </c>
      <c r="D809" s="93">
        <v>43.89</v>
      </c>
      <c r="E809" s="93">
        <v>0</v>
      </c>
      <c r="F809" s="93">
        <v>0</v>
      </c>
      <c r="G809" s="93">
        <v>43.89</v>
      </c>
      <c r="H809" s="93">
        <v>0</v>
      </c>
      <c r="N809" s="88"/>
      <c r="O809" s="88"/>
      <c r="P809" s="88"/>
    </row>
    <row r="810" spans="1:16">
      <c r="A810" s="94">
        <v>89882</v>
      </c>
      <c r="B810" s="87" t="s">
        <v>137</v>
      </c>
      <c r="C810" s="12" t="s">
        <v>10</v>
      </c>
      <c r="D810" s="93">
        <v>120.02</v>
      </c>
      <c r="E810" s="93">
        <v>0</v>
      </c>
      <c r="F810" s="93">
        <v>120.02</v>
      </c>
      <c r="G810" s="93">
        <v>0</v>
      </c>
      <c r="H810" s="93">
        <v>0</v>
      </c>
      <c r="N810" s="88"/>
      <c r="O810" s="88"/>
      <c r="P810" s="88"/>
    </row>
    <row r="811" spans="1:16">
      <c r="A811" s="94">
        <v>90582</v>
      </c>
      <c r="B811" s="87" t="s">
        <v>1210</v>
      </c>
      <c r="C811" s="12" t="s">
        <v>10</v>
      </c>
      <c r="D811" s="93">
        <v>0.36</v>
      </c>
      <c r="E811" s="93">
        <v>0</v>
      </c>
      <c r="F811" s="93">
        <v>0</v>
      </c>
      <c r="G811" s="93">
        <v>0.36</v>
      </c>
      <c r="H811" s="93">
        <v>0</v>
      </c>
      <c r="N811" s="88"/>
      <c r="O811" s="88"/>
      <c r="P811" s="88"/>
    </row>
    <row r="812" spans="1:16">
      <c r="A812" s="94">
        <v>90583</v>
      </c>
      <c r="B812" s="87" t="s">
        <v>1211</v>
      </c>
      <c r="C812" s="12" t="s">
        <v>10</v>
      </c>
      <c r="D812" s="93">
        <v>0.04</v>
      </c>
      <c r="E812" s="93">
        <v>0</v>
      </c>
      <c r="F812" s="93">
        <v>0</v>
      </c>
      <c r="G812" s="93">
        <v>0.04</v>
      </c>
      <c r="H812" s="93">
        <v>0</v>
      </c>
      <c r="N812" s="88"/>
      <c r="O812" s="88"/>
      <c r="P812" s="88"/>
    </row>
    <row r="813" spans="1:16">
      <c r="A813" s="94">
        <v>90584</v>
      </c>
      <c r="B813" s="87" t="s">
        <v>1212</v>
      </c>
      <c r="C813" s="12" t="s">
        <v>10</v>
      </c>
      <c r="D813" s="93">
        <v>0.28000000000000003</v>
      </c>
      <c r="E813" s="93">
        <v>0</v>
      </c>
      <c r="F813" s="93">
        <v>0</v>
      </c>
      <c r="G813" s="93">
        <v>0.28000000000000003</v>
      </c>
      <c r="H813" s="93">
        <v>0</v>
      </c>
      <c r="N813" s="88"/>
      <c r="O813" s="88"/>
      <c r="P813" s="88"/>
    </row>
    <row r="814" spans="1:16">
      <c r="A814" s="94">
        <v>90585</v>
      </c>
      <c r="B814" s="87" t="s">
        <v>1213</v>
      </c>
      <c r="C814" s="12" t="s">
        <v>10</v>
      </c>
      <c r="D814" s="93">
        <v>1.02</v>
      </c>
      <c r="E814" s="93">
        <v>0</v>
      </c>
      <c r="F814" s="93">
        <v>0</v>
      </c>
      <c r="G814" s="93">
        <v>0</v>
      </c>
      <c r="H814" s="93">
        <v>0</v>
      </c>
      <c r="N814" s="88"/>
      <c r="O814" s="88"/>
      <c r="P814" s="88"/>
    </row>
    <row r="815" spans="1:16">
      <c r="A815" s="94">
        <v>90621</v>
      </c>
      <c r="B815" s="87" t="s">
        <v>138</v>
      </c>
      <c r="C815" s="12" t="s">
        <v>10</v>
      </c>
      <c r="D815" s="93">
        <v>1.47</v>
      </c>
      <c r="E815" s="93">
        <v>0</v>
      </c>
      <c r="F815" s="93">
        <v>0</v>
      </c>
      <c r="G815" s="93">
        <v>1.47</v>
      </c>
      <c r="H815" s="93">
        <v>0</v>
      </c>
      <c r="N815" s="88"/>
      <c r="O815" s="88"/>
      <c r="P815" s="88"/>
    </row>
    <row r="816" spans="1:16">
      <c r="A816" s="94">
        <v>90622</v>
      </c>
      <c r="B816" s="87" t="s">
        <v>139</v>
      </c>
      <c r="C816" s="12" t="s">
        <v>10</v>
      </c>
      <c r="D816" s="93">
        <v>0.17</v>
      </c>
      <c r="E816" s="93">
        <v>0</v>
      </c>
      <c r="F816" s="93">
        <v>0</v>
      </c>
      <c r="G816" s="93">
        <v>0.17</v>
      </c>
      <c r="H816" s="93">
        <v>0</v>
      </c>
      <c r="N816" s="88"/>
      <c r="O816" s="88"/>
      <c r="P816" s="88"/>
    </row>
    <row r="817" spans="1:16">
      <c r="A817" s="94">
        <v>90623</v>
      </c>
      <c r="B817" s="87" t="s">
        <v>140</v>
      </c>
      <c r="C817" s="12" t="s">
        <v>10</v>
      </c>
      <c r="D817" s="93">
        <v>1.84</v>
      </c>
      <c r="E817" s="93">
        <v>0</v>
      </c>
      <c r="F817" s="93">
        <v>0</v>
      </c>
      <c r="G817" s="93">
        <v>1.84</v>
      </c>
      <c r="H817" s="93">
        <v>0</v>
      </c>
      <c r="N817" s="88"/>
      <c r="O817" s="88"/>
      <c r="P817" s="88"/>
    </row>
    <row r="818" spans="1:16">
      <c r="A818" s="94">
        <v>90624</v>
      </c>
      <c r="B818" s="87" t="s">
        <v>141</v>
      </c>
      <c r="C818" s="12" t="s">
        <v>10</v>
      </c>
      <c r="D818" s="93">
        <v>2.56</v>
      </c>
      <c r="E818" s="93">
        <v>0</v>
      </c>
      <c r="F818" s="93">
        <v>0</v>
      </c>
      <c r="G818" s="93">
        <v>0</v>
      </c>
      <c r="H818" s="93">
        <v>0</v>
      </c>
      <c r="N818" s="88"/>
      <c r="O818" s="88"/>
      <c r="P818" s="88"/>
    </row>
    <row r="819" spans="1:16">
      <c r="A819" s="94">
        <v>90627</v>
      </c>
      <c r="B819" s="87" t="s">
        <v>142</v>
      </c>
      <c r="C819" s="12" t="s">
        <v>10</v>
      </c>
      <c r="D819" s="93">
        <v>26.79</v>
      </c>
      <c r="E819" s="93">
        <v>0</v>
      </c>
      <c r="F819" s="93">
        <v>0</v>
      </c>
      <c r="G819" s="93">
        <v>26.79</v>
      </c>
      <c r="H819" s="93">
        <v>0</v>
      </c>
      <c r="N819" s="88"/>
      <c r="O819" s="88"/>
      <c r="P819" s="88"/>
    </row>
    <row r="820" spans="1:16">
      <c r="A820" s="94">
        <v>90628</v>
      </c>
      <c r="B820" s="87" t="s">
        <v>143</v>
      </c>
      <c r="C820" s="12" t="s">
        <v>10</v>
      </c>
      <c r="D820" s="93">
        <v>3.82</v>
      </c>
      <c r="E820" s="93">
        <v>0</v>
      </c>
      <c r="F820" s="93">
        <v>0</v>
      </c>
      <c r="G820" s="93">
        <v>3.82</v>
      </c>
      <c r="H820" s="93">
        <v>0</v>
      </c>
      <c r="N820" s="88"/>
      <c r="O820" s="88"/>
      <c r="P820" s="88"/>
    </row>
    <row r="821" spans="1:16">
      <c r="A821" s="94">
        <v>90629</v>
      </c>
      <c r="B821" s="87" t="s">
        <v>144</v>
      </c>
      <c r="C821" s="12" t="s">
        <v>10</v>
      </c>
      <c r="D821" s="93">
        <v>33.520000000000003</v>
      </c>
      <c r="E821" s="93">
        <v>0</v>
      </c>
      <c r="F821" s="93">
        <v>0</v>
      </c>
      <c r="G821" s="93">
        <v>33.520000000000003</v>
      </c>
      <c r="H821" s="93">
        <v>0</v>
      </c>
      <c r="N821" s="88"/>
      <c r="O821" s="88"/>
      <c r="P821" s="88"/>
    </row>
    <row r="822" spans="1:16">
      <c r="A822" s="94">
        <v>90630</v>
      </c>
      <c r="B822" s="87" t="s">
        <v>1214</v>
      </c>
      <c r="C822" s="12" t="s">
        <v>10</v>
      </c>
      <c r="D822" s="93">
        <v>10.39</v>
      </c>
      <c r="E822" s="93">
        <v>0</v>
      </c>
      <c r="F822" s="93">
        <v>0</v>
      </c>
      <c r="G822" s="93">
        <v>0</v>
      </c>
      <c r="H822" s="93">
        <v>0</v>
      </c>
      <c r="N822" s="88"/>
      <c r="O822" s="88"/>
      <c r="P822" s="88"/>
    </row>
    <row r="823" spans="1:16">
      <c r="A823" s="94">
        <v>90633</v>
      </c>
      <c r="B823" s="87" t="s">
        <v>145</v>
      </c>
      <c r="C823" s="12" t="s">
        <v>10</v>
      </c>
      <c r="D823" s="93">
        <v>3.01</v>
      </c>
      <c r="E823" s="93">
        <v>0</v>
      </c>
      <c r="F823" s="93">
        <v>0</v>
      </c>
      <c r="G823" s="93">
        <v>3.01</v>
      </c>
      <c r="H823" s="93">
        <v>0</v>
      </c>
      <c r="N823" s="88"/>
      <c r="O823" s="88"/>
      <c r="P823" s="88"/>
    </row>
    <row r="824" spans="1:16">
      <c r="A824" s="94">
        <v>90634</v>
      </c>
      <c r="B824" s="87" t="s">
        <v>146</v>
      </c>
      <c r="C824" s="12" t="s">
        <v>10</v>
      </c>
      <c r="D824" s="93">
        <v>0.35</v>
      </c>
      <c r="E824" s="93">
        <v>0</v>
      </c>
      <c r="F824" s="93">
        <v>0</v>
      </c>
      <c r="G824" s="93">
        <v>0.35</v>
      </c>
      <c r="H824" s="93">
        <v>0</v>
      </c>
      <c r="N824" s="88"/>
      <c r="O824" s="88"/>
      <c r="P824" s="88"/>
    </row>
    <row r="825" spans="1:16">
      <c r="A825" s="94">
        <v>90635</v>
      </c>
      <c r="B825" s="87" t="s">
        <v>147</v>
      </c>
      <c r="C825" s="12" t="s">
        <v>10</v>
      </c>
      <c r="D825" s="93">
        <v>3.29</v>
      </c>
      <c r="E825" s="93">
        <v>0</v>
      </c>
      <c r="F825" s="93">
        <v>0</v>
      </c>
      <c r="G825" s="93">
        <v>3.29</v>
      </c>
      <c r="H825" s="93">
        <v>0</v>
      </c>
      <c r="N825" s="88"/>
      <c r="O825" s="88"/>
      <c r="P825" s="88"/>
    </row>
    <row r="826" spans="1:16">
      <c r="A826" s="94">
        <v>90636</v>
      </c>
      <c r="B826" s="87" t="s">
        <v>148</v>
      </c>
      <c r="C826" s="12" t="s">
        <v>10</v>
      </c>
      <c r="D826" s="93">
        <v>5.13</v>
      </c>
      <c r="E826" s="93">
        <v>0</v>
      </c>
      <c r="F826" s="93">
        <v>0</v>
      </c>
      <c r="G826" s="93">
        <v>0</v>
      </c>
      <c r="H826" s="93">
        <v>0</v>
      </c>
      <c r="N826" s="88"/>
      <c r="O826" s="88"/>
      <c r="P826" s="88"/>
    </row>
    <row r="827" spans="1:16">
      <c r="A827" s="94">
        <v>90639</v>
      </c>
      <c r="B827" s="87" t="s">
        <v>1215</v>
      </c>
      <c r="C827" s="12" t="s">
        <v>10</v>
      </c>
      <c r="D827" s="93">
        <v>4.49</v>
      </c>
      <c r="E827" s="93">
        <v>0</v>
      </c>
      <c r="F827" s="93">
        <v>0</v>
      </c>
      <c r="G827" s="93">
        <v>4.49</v>
      </c>
      <c r="H827" s="93">
        <v>0</v>
      </c>
      <c r="N827" s="88"/>
      <c r="O827" s="88"/>
      <c r="P827" s="88"/>
    </row>
    <row r="828" spans="1:16">
      <c r="A828" s="94">
        <v>90640</v>
      </c>
      <c r="B828" s="87" t="s">
        <v>1216</v>
      </c>
      <c r="C828" s="12" t="s">
        <v>10</v>
      </c>
      <c r="D828" s="93">
        <v>0.53</v>
      </c>
      <c r="E828" s="93">
        <v>0</v>
      </c>
      <c r="F828" s="93">
        <v>0</v>
      </c>
      <c r="G828" s="93">
        <v>0.53</v>
      </c>
      <c r="H828" s="93">
        <v>0</v>
      </c>
      <c r="N828" s="88"/>
      <c r="O828" s="88"/>
      <c r="P828" s="88"/>
    </row>
    <row r="829" spans="1:16">
      <c r="A829" s="94">
        <v>90641</v>
      </c>
      <c r="B829" s="87" t="s">
        <v>1217</v>
      </c>
      <c r="C829" s="12" t="s">
        <v>10</v>
      </c>
      <c r="D829" s="93">
        <v>4.91</v>
      </c>
      <c r="E829" s="93">
        <v>0</v>
      </c>
      <c r="F829" s="93">
        <v>0</v>
      </c>
      <c r="G829" s="93">
        <v>4.91</v>
      </c>
      <c r="H829" s="93">
        <v>0</v>
      </c>
      <c r="N829" s="88"/>
      <c r="O829" s="88"/>
      <c r="P829" s="88"/>
    </row>
    <row r="830" spans="1:16">
      <c r="A830" s="94">
        <v>90642</v>
      </c>
      <c r="B830" s="87" t="s">
        <v>1218</v>
      </c>
      <c r="C830" s="12" t="s">
        <v>10</v>
      </c>
      <c r="D830" s="93">
        <v>5.43</v>
      </c>
      <c r="E830" s="93">
        <v>0</v>
      </c>
      <c r="F830" s="93">
        <v>5.43</v>
      </c>
      <c r="G830" s="93">
        <v>0</v>
      </c>
      <c r="H830" s="93">
        <v>0</v>
      </c>
      <c r="N830" s="88"/>
      <c r="O830" s="88"/>
      <c r="P830" s="88"/>
    </row>
    <row r="831" spans="1:16">
      <c r="A831" s="94">
        <v>90646</v>
      </c>
      <c r="B831" s="87" t="s">
        <v>1219</v>
      </c>
      <c r="C831" s="12" t="s">
        <v>10</v>
      </c>
      <c r="D831" s="93">
        <v>0.57999999999999996</v>
      </c>
      <c r="E831" s="93">
        <v>0</v>
      </c>
      <c r="F831" s="93">
        <v>0</v>
      </c>
      <c r="G831" s="93">
        <v>0.57999999999999996</v>
      </c>
      <c r="H831" s="93">
        <v>0</v>
      </c>
      <c r="N831" s="88"/>
      <c r="O831" s="88"/>
      <c r="P831" s="88"/>
    </row>
    <row r="832" spans="1:16">
      <c r="A832" s="94">
        <v>90647</v>
      </c>
      <c r="B832" s="87" t="s">
        <v>1220</v>
      </c>
      <c r="C832" s="12" t="s">
        <v>10</v>
      </c>
      <c r="D832" s="93">
        <v>0.06</v>
      </c>
      <c r="E832" s="93">
        <v>0</v>
      </c>
      <c r="F832" s="93">
        <v>0</v>
      </c>
      <c r="G832" s="93">
        <v>0.06</v>
      </c>
      <c r="H832" s="93">
        <v>0</v>
      </c>
      <c r="N832" s="88"/>
      <c r="O832" s="88"/>
      <c r="P832" s="88"/>
    </row>
    <row r="833" spans="1:16">
      <c r="A833" s="94">
        <v>90648</v>
      </c>
      <c r="B833" s="87" t="s">
        <v>1221</v>
      </c>
      <c r="C833" s="12" t="s">
        <v>10</v>
      </c>
      <c r="D833" s="93">
        <v>0.64</v>
      </c>
      <c r="E833" s="93">
        <v>0</v>
      </c>
      <c r="F833" s="93">
        <v>0</v>
      </c>
      <c r="G833" s="93">
        <v>0.64</v>
      </c>
      <c r="H833" s="93">
        <v>0</v>
      </c>
      <c r="N833" s="88"/>
      <c r="O833" s="88"/>
      <c r="P833" s="88"/>
    </row>
    <row r="834" spans="1:16">
      <c r="A834" s="94">
        <v>90649</v>
      </c>
      <c r="B834" s="87" t="s">
        <v>1222</v>
      </c>
      <c r="C834" s="12" t="s">
        <v>10</v>
      </c>
      <c r="D834" s="93">
        <v>7.98</v>
      </c>
      <c r="E834" s="93">
        <v>0</v>
      </c>
      <c r="F834" s="93">
        <v>0</v>
      </c>
      <c r="G834" s="93">
        <v>0</v>
      </c>
      <c r="H834" s="93">
        <v>0</v>
      </c>
      <c r="N834" s="88"/>
      <c r="O834" s="88"/>
      <c r="P834" s="88"/>
    </row>
    <row r="835" spans="1:16">
      <c r="A835" s="94">
        <v>90652</v>
      </c>
      <c r="B835" s="87" t="s">
        <v>1223</v>
      </c>
      <c r="C835" s="12" t="s">
        <v>10</v>
      </c>
      <c r="D835" s="93">
        <v>2.92</v>
      </c>
      <c r="E835" s="93">
        <v>0</v>
      </c>
      <c r="F835" s="93">
        <v>0</v>
      </c>
      <c r="G835" s="93">
        <v>2.92</v>
      </c>
      <c r="H835" s="93">
        <v>0</v>
      </c>
      <c r="N835" s="88"/>
      <c r="O835" s="88"/>
      <c r="P835" s="88"/>
    </row>
    <row r="836" spans="1:16">
      <c r="A836" s="94">
        <v>90653</v>
      </c>
      <c r="B836" s="87" t="s">
        <v>1224</v>
      </c>
      <c r="C836" s="12" t="s">
        <v>10</v>
      </c>
      <c r="D836" s="93">
        <v>0.34</v>
      </c>
      <c r="E836" s="93">
        <v>0</v>
      </c>
      <c r="F836" s="93">
        <v>0</v>
      </c>
      <c r="G836" s="93">
        <v>0.34</v>
      </c>
      <c r="H836" s="93">
        <v>0</v>
      </c>
      <c r="N836" s="88"/>
      <c r="O836" s="88"/>
      <c r="P836" s="88"/>
    </row>
    <row r="837" spans="1:16">
      <c r="A837" s="94">
        <v>90654</v>
      </c>
      <c r="B837" s="87" t="s">
        <v>1225</v>
      </c>
      <c r="C837" s="12" t="s">
        <v>10</v>
      </c>
      <c r="D837" s="93">
        <v>3.19</v>
      </c>
      <c r="E837" s="93">
        <v>0</v>
      </c>
      <c r="F837" s="93">
        <v>0</v>
      </c>
      <c r="G837" s="93">
        <v>3.19</v>
      </c>
      <c r="H837" s="93">
        <v>0</v>
      </c>
      <c r="N837" s="88"/>
      <c r="O837" s="88"/>
      <c r="P837" s="88"/>
    </row>
    <row r="838" spans="1:16">
      <c r="A838" s="94">
        <v>90655</v>
      </c>
      <c r="B838" s="87" t="s">
        <v>1226</v>
      </c>
      <c r="C838" s="12" t="s">
        <v>10</v>
      </c>
      <c r="D838" s="93">
        <v>5.25</v>
      </c>
      <c r="E838" s="93">
        <v>0</v>
      </c>
      <c r="F838" s="93">
        <v>0</v>
      </c>
      <c r="G838" s="93">
        <v>0</v>
      </c>
      <c r="H838" s="93">
        <v>0</v>
      </c>
      <c r="N838" s="88"/>
      <c r="O838" s="88"/>
      <c r="P838" s="88"/>
    </row>
    <row r="839" spans="1:16">
      <c r="A839" s="94">
        <v>90658</v>
      </c>
      <c r="B839" s="87" t="s">
        <v>1227</v>
      </c>
      <c r="C839" s="12" t="s">
        <v>10</v>
      </c>
      <c r="D839" s="93">
        <v>3.13</v>
      </c>
      <c r="E839" s="93">
        <v>0</v>
      </c>
      <c r="F839" s="93">
        <v>0</v>
      </c>
      <c r="G839" s="93">
        <v>3.13</v>
      </c>
      <c r="H839" s="93">
        <v>0</v>
      </c>
      <c r="N839" s="88"/>
      <c r="O839" s="88"/>
      <c r="P839" s="88"/>
    </row>
    <row r="840" spans="1:16">
      <c r="A840" s="94">
        <v>90659</v>
      </c>
      <c r="B840" s="87" t="s">
        <v>1228</v>
      </c>
      <c r="C840" s="12" t="s">
        <v>10</v>
      </c>
      <c r="D840" s="93">
        <v>0.37</v>
      </c>
      <c r="E840" s="93">
        <v>0</v>
      </c>
      <c r="F840" s="93">
        <v>0</v>
      </c>
      <c r="G840" s="93">
        <v>0.37</v>
      </c>
      <c r="H840" s="93">
        <v>0</v>
      </c>
      <c r="N840" s="88"/>
      <c r="O840" s="88"/>
      <c r="P840" s="88"/>
    </row>
    <row r="841" spans="1:16">
      <c r="A841" s="94">
        <v>90660</v>
      </c>
      <c r="B841" s="87" t="s">
        <v>1229</v>
      </c>
      <c r="C841" s="12" t="s">
        <v>10</v>
      </c>
      <c r="D841" s="93">
        <v>3.42</v>
      </c>
      <c r="E841" s="93">
        <v>0</v>
      </c>
      <c r="F841" s="93">
        <v>0</v>
      </c>
      <c r="G841" s="93">
        <v>3.42</v>
      </c>
      <c r="H841" s="93">
        <v>0</v>
      </c>
      <c r="N841" s="88"/>
      <c r="O841" s="88"/>
      <c r="P841" s="88"/>
    </row>
    <row r="842" spans="1:16">
      <c r="A842" s="94">
        <v>90661</v>
      </c>
      <c r="B842" s="87" t="s">
        <v>1230</v>
      </c>
      <c r="C842" s="12" t="s">
        <v>10</v>
      </c>
      <c r="D842" s="93">
        <v>5.25</v>
      </c>
      <c r="E842" s="93">
        <v>0</v>
      </c>
      <c r="F842" s="93">
        <v>0</v>
      </c>
      <c r="G842" s="93">
        <v>0</v>
      </c>
      <c r="H842" s="93">
        <v>0</v>
      </c>
      <c r="N842" s="88"/>
      <c r="O842" s="88"/>
      <c r="P842" s="88"/>
    </row>
    <row r="843" spans="1:16">
      <c r="A843" s="94">
        <v>90664</v>
      </c>
      <c r="B843" s="87" t="s">
        <v>1231</v>
      </c>
      <c r="C843" s="12" t="s">
        <v>10</v>
      </c>
      <c r="D843" s="93">
        <v>4.51</v>
      </c>
      <c r="E843" s="93">
        <v>0</v>
      </c>
      <c r="F843" s="93">
        <v>0</v>
      </c>
      <c r="G843" s="93">
        <v>4.51</v>
      </c>
      <c r="H843" s="93">
        <v>0</v>
      </c>
      <c r="N843" s="88"/>
      <c r="O843" s="88"/>
      <c r="P843" s="88"/>
    </row>
    <row r="844" spans="1:16">
      <c r="A844" s="94">
        <v>90665</v>
      </c>
      <c r="B844" s="87" t="s">
        <v>1232</v>
      </c>
      <c r="C844" s="12" t="s">
        <v>10</v>
      </c>
      <c r="D844" s="93">
        <v>0.51</v>
      </c>
      <c r="E844" s="93">
        <v>0</v>
      </c>
      <c r="F844" s="93">
        <v>0</v>
      </c>
      <c r="G844" s="93">
        <v>0.51</v>
      </c>
      <c r="H844" s="93">
        <v>0</v>
      </c>
      <c r="N844" s="88"/>
      <c r="O844" s="88"/>
      <c r="P844" s="88"/>
    </row>
    <row r="845" spans="1:16">
      <c r="A845" s="94">
        <v>90666</v>
      </c>
      <c r="B845" s="87" t="s">
        <v>1233</v>
      </c>
      <c r="C845" s="12" t="s">
        <v>10</v>
      </c>
      <c r="D845" s="93">
        <v>4.93</v>
      </c>
      <c r="E845" s="93">
        <v>0</v>
      </c>
      <c r="F845" s="93">
        <v>0</v>
      </c>
      <c r="G845" s="93">
        <v>4.93</v>
      </c>
      <c r="H845" s="93">
        <v>0</v>
      </c>
      <c r="N845" s="88"/>
      <c r="O845" s="88"/>
      <c r="P845" s="88"/>
    </row>
    <row r="846" spans="1:16">
      <c r="A846" s="94">
        <v>90667</v>
      </c>
      <c r="B846" s="87" t="s">
        <v>1234</v>
      </c>
      <c r="C846" s="12" t="s">
        <v>10</v>
      </c>
      <c r="D846" s="93">
        <v>8.82</v>
      </c>
      <c r="E846" s="93">
        <v>0</v>
      </c>
      <c r="F846" s="93">
        <v>8.82</v>
      </c>
      <c r="G846" s="93">
        <v>0</v>
      </c>
      <c r="H846" s="93">
        <v>0</v>
      </c>
      <c r="N846" s="88"/>
      <c r="O846" s="88"/>
      <c r="P846" s="88"/>
    </row>
    <row r="847" spans="1:16">
      <c r="A847" s="94">
        <v>90670</v>
      </c>
      <c r="B847" s="87" t="s">
        <v>1235</v>
      </c>
      <c r="C847" s="12" t="s">
        <v>10</v>
      </c>
      <c r="D847" s="93">
        <v>122.94</v>
      </c>
      <c r="E847" s="93">
        <v>0</v>
      </c>
      <c r="F847" s="93">
        <v>0</v>
      </c>
      <c r="G847" s="93">
        <v>122.94</v>
      </c>
      <c r="H847" s="93">
        <v>0</v>
      </c>
      <c r="N847" s="88"/>
      <c r="O847" s="88"/>
      <c r="P847" s="88"/>
    </row>
    <row r="848" spans="1:16">
      <c r="A848" s="94">
        <v>90671</v>
      </c>
      <c r="B848" s="87" t="s">
        <v>1236</v>
      </c>
      <c r="C848" s="12" t="s">
        <v>10</v>
      </c>
      <c r="D848" s="93">
        <v>17.059999999999999</v>
      </c>
      <c r="E848" s="93">
        <v>0</v>
      </c>
      <c r="F848" s="93">
        <v>0</v>
      </c>
      <c r="G848" s="93">
        <v>17.059999999999999</v>
      </c>
      <c r="H848" s="93">
        <v>0</v>
      </c>
      <c r="N848" s="88"/>
      <c r="O848" s="88"/>
      <c r="P848" s="88"/>
    </row>
    <row r="849" spans="1:16">
      <c r="A849" s="94">
        <v>90672</v>
      </c>
      <c r="B849" s="87" t="s">
        <v>1237</v>
      </c>
      <c r="C849" s="12" t="s">
        <v>10</v>
      </c>
      <c r="D849" s="93">
        <v>153.85</v>
      </c>
      <c r="E849" s="93">
        <v>0</v>
      </c>
      <c r="F849" s="93">
        <v>0</v>
      </c>
      <c r="G849" s="93">
        <v>153.85</v>
      </c>
      <c r="H849" s="93">
        <v>0</v>
      </c>
      <c r="N849" s="88"/>
      <c r="O849" s="88"/>
      <c r="P849" s="88"/>
    </row>
    <row r="850" spans="1:16">
      <c r="A850" s="94">
        <v>90673</v>
      </c>
      <c r="B850" s="87" t="s">
        <v>1238</v>
      </c>
      <c r="C850" s="12" t="s">
        <v>10</v>
      </c>
      <c r="D850" s="93">
        <v>70.599999999999994</v>
      </c>
      <c r="E850" s="93">
        <v>0</v>
      </c>
      <c r="F850" s="93">
        <v>70.599999999999994</v>
      </c>
      <c r="G850" s="93">
        <v>0</v>
      </c>
      <c r="H850" s="93">
        <v>0</v>
      </c>
      <c r="N850" s="88"/>
      <c r="O850" s="88"/>
      <c r="P850" s="88"/>
    </row>
    <row r="851" spans="1:16">
      <c r="A851" s="94">
        <v>90676</v>
      </c>
      <c r="B851" s="87" t="s">
        <v>1239</v>
      </c>
      <c r="C851" s="12" t="s">
        <v>10</v>
      </c>
      <c r="D851" s="93">
        <v>63.52</v>
      </c>
      <c r="E851" s="93">
        <v>0</v>
      </c>
      <c r="F851" s="93">
        <v>0</v>
      </c>
      <c r="G851" s="93">
        <v>63.52</v>
      </c>
      <c r="H851" s="93">
        <v>0</v>
      </c>
      <c r="N851" s="88"/>
      <c r="O851" s="88"/>
      <c r="P851" s="88"/>
    </row>
    <row r="852" spans="1:16">
      <c r="A852" s="94">
        <v>90677</v>
      </c>
      <c r="B852" s="87" t="s">
        <v>1240</v>
      </c>
      <c r="C852" s="12" t="s">
        <v>10</v>
      </c>
      <c r="D852" s="93">
        <v>8.81</v>
      </c>
      <c r="E852" s="93">
        <v>0</v>
      </c>
      <c r="F852" s="93">
        <v>0</v>
      </c>
      <c r="G852" s="93">
        <v>8.81</v>
      </c>
      <c r="H852" s="93">
        <v>0</v>
      </c>
      <c r="N852" s="88"/>
      <c r="O852" s="88"/>
      <c r="P852" s="88"/>
    </row>
    <row r="853" spans="1:16">
      <c r="A853" s="94">
        <v>90678</v>
      </c>
      <c r="B853" s="87" t="s">
        <v>1241</v>
      </c>
      <c r="C853" s="12" t="s">
        <v>10</v>
      </c>
      <c r="D853" s="93">
        <v>79.489999999999995</v>
      </c>
      <c r="E853" s="93">
        <v>0</v>
      </c>
      <c r="F853" s="93">
        <v>0</v>
      </c>
      <c r="G853" s="93">
        <v>79.489999999999995</v>
      </c>
      <c r="H853" s="93">
        <v>0</v>
      </c>
      <c r="N853" s="88"/>
      <c r="O853" s="88"/>
      <c r="P853" s="88"/>
    </row>
    <row r="854" spans="1:16">
      <c r="A854" s="94">
        <v>90679</v>
      </c>
      <c r="B854" s="87" t="s">
        <v>1242</v>
      </c>
      <c r="C854" s="12" t="s">
        <v>10</v>
      </c>
      <c r="D854" s="93">
        <v>54.11</v>
      </c>
      <c r="E854" s="93">
        <v>0</v>
      </c>
      <c r="F854" s="93">
        <v>54.11</v>
      </c>
      <c r="G854" s="93">
        <v>0</v>
      </c>
      <c r="H854" s="93">
        <v>0</v>
      </c>
      <c r="N854" s="88"/>
      <c r="O854" s="88"/>
      <c r="P854" s="88"/>
    </row>
    <row r="855" spans="1:16">
      <c r="A855" s="94">
        <v>90682</v>
      </c>
      <c r="B855" s="87" t="s">
        <v>1243</v>
      </c>
      <c r="C855" s="12" t="s">
        <v>10</v>
      </c>
      <c r="D855" s="93">
        <v>23.82</v>
      </c>
      <c r="E855" s="93">
        <v>0</v>
      </c>
      <c r="F855" s="93">
        <v>0</v>
      </c>
      <c r="G855" s="93">
        <v>23.82</v>
      </c>
      <c r="H855" s="93">
        <v>0</v>
      </c>
      <c r="N855" s="88"/>
      <c r="O855" s="88"/>
      <c r="P855" s="88"/>
    </row>
    <row r="856" spans="1:16">
      <c r="A856" s="94">
        <v>90683</v>
      </c>
      <c r="B856" s="87" t="s">
        <v>1244</v>
      </c>
      <c r="C856" s="12" t="s">
        <v>10</v>
      </c>
      <c r="D856" s="93">
        <v>2.82</v>
      </c>
      <c r="E856" s="93">
        <v>0</v>
      </c>
      <c r="F856" s="93">
        <v>0</v>
      </c>
      <c r="G856" s="93">
        <v>2.82</v>
      </c>
      <c r="H856" s="93">
        <v>0</v>
      </c>
      <c r="N856" s="88"/>
      <c r="O856" s="88"/>
      <c r="P856" s="88"/>
    </row>
    <row r="857" spans="1:16">
      <c r="A857" s="94">
        <v>90684</v>
      </c>
      <c r="B857" s="87" t="s">
        <v>1245</v>
      </c>
      <c r="C857" s="12" t="s">
        <v>10</v>
      </c>
      <c r="D857" s="93">
        <v>26.06</v>
      </c>
      <c r="E857" s="93">
        <v>0</v>
      </c>
      <c r="F857" s="93">
        <v>0</v>
      </c>
      <c r="G857" s="93">
        <v>26.06</v>
      </c>
      <c r="H857" s="93">
        <v>0</v>
      </c>
      <c r="N857" s="88"/>
      <c r="O857" s="88"/>
      <c r="P857" s="88"/>
    </row>
    <row r="858" spans="1:16">
      <c r="A858" s="94">
        <v>90685</v>
      </c>
      <c r="B858" s="87" t="s">
        <v>1246</v>
      </c>
      <c r="C858" s="12" t="s">
        <v>10</v>
      </c>
      <c r="D858" s="93">
        <v>33.57</v>
      </c>
      <c r="E858" s="93">
        <v>0</v>
      </c>
      <c r="F858" s="93">
        <v>33.57</v>
      </c>
      <c r="G858" s="93">
        <v>0</v>
      </c>
      <c r="H858" s="93">
        <v>0</v>
      </c>
      <c r="N858" s="88"/>
      <c r="O858" s="88"/>
      <c r="P858" s="88"/>
    </row>
    <row r="859" spans="1:16">
      <c r="A859" s="94">
        <v>90688</v>
      </c>
      <c r="B859" s="87" t="s">
        <v>1247</v>
      </c>
      <c r="C859" s="12" t="s">
        <v>10</v>
      </c>
      <c r="D859" s="93">
        <v>13.66</v>
      </c>
      <c r="E859" s="93">
        <v>0</v>
      </c>
      <c r="F859" s="93">
        <v>0</v>
      </c>
      <c r="G859" s="93">
        <v>13.66</v>
      </c>
      <c r="H859" s="93">
        <v>0</v>
      </c>
      <c r="N859" s="88"/>
      <c r="O859" s="88"/>
      <c r="P859" s="88"/>
    </row>
    <row r="860" spans="1:16">
      <c r="A860" s="94">
        <v>90689</v>
      </c>
      <c r="B860" s="87" t="s">
        <v>1248</v>
      </c>
      <c r="C860" s="12" t="s">
        <v>10</v>
      </c>
      <c r="D860" s="93">
        <v>1.38</v>
      </c>
      <c r="E860" s="93">
        <v>0</v>
      </c>
      <c r="F860" s="93">
        <v>0</v>
      </c>
      <c r="G860" s="93">
        <v>1.38</v>
      </c>
      <c r="H860" s="93">
        <v>0</v>
      </c>
      <c r="N860" s="88"/>
      <c r="O860" s="88"/>
      <c r="P860" s="88"/>
    </row>
    <row r="861" spans="1:16">
      <c r="A861" s="94">
        <v>90690</v>
      </c>
      <c r="B861" s="87" t="s">
        <v>1249</v>
      </c>
      <c r="C861" s="12" t="s">
        <v>10</v>
      </c>
      <c r="D861" s="93">
        <v>17.079999999999998</v>
      </c>
      <c r="E861" s="93">
        <v>0</v>
      </c>
      <c r="F861" s="93">
        <v>0</v>
      </c>
      <c r="G861" s="93">
        <v>17.079999999999998</v>
      </c>
      <c r="H861" s="93">
        <v>0</v>
      </c>
      <c r="N861" s="88"/>
      <c r="O861" s="88"/>
      <c r="P861" s="88"/>
    </row>
    <row r="862" spans="1:16">
      <c r="A862" s="94">
        <v>90691</v>
      </c>
      <c r="B862" s="87" t="s">
        <v>1250</v>
      </c>
      <c r="C862" s="12" t="s">
        <v>10</v>
      </c>
      <c r="D862" s="93">
        <v>30.92</v>
      </c>
      <c r="E862" s="93">
        <v>0</v>
      </c>
      <c r="F862" s="93">
        <v>30.92</v>
      </c>
      <c r="G862" s="93">
        <v>0</v>
      </c>
      <c r="H862" s="93">
        <v>0</v>
      </c>
      <c r="N862" s="88"/>
      <c r="O862" s="88"/>
      <c r="P862" s="88"/>
    </row>
    <row r="863" spans="1:16">
      <c r="A863" s="94">
        <v>90957</v>
      </c>
      <c r="B863" s="87" t="s">
        <v>149</v>
      </c>
      <c r="C863" s="12" t="s">
        <v>10</v>
      </c>
      <c r="D863" s="93">
        <v>2.79</v>
      </c>
      <c r="E863" s="93">
        <v>0</v>
      </c>
      <c r="F863" s="93">
        <v>0</v>
      </c>
      <c r="G863" s="93">
        <v>2.79</v>
      </c>
      <c r="H863" s="93">
        <v>0</v>
      </c>
      <c r="N863" s="88"/>
      <c r="O863" s="88"/>
      <c r="P863" s="88"/>
    </row>
    <row r="864" spans="1:16">
      <c r="A864" s="94">
        <v>90958</v>
      </c>
      <c r="B864" s="87" t="s">
        <v>150</v>
      </c>
      <c r="C864" s="12" t="s">
        <v>10</v>
      </c>
      <c r="D864" s="93">
        <v>0.38</v>
      </c>
      <c r="E864" s="93">
        <v>0</v>
      </c>
      <c r="F864" s="93">
        <v>0</v>
      </c>
      <c r="G864" s="93">
        <v>0.38</v>
      </c>
      <c r="H864" s="93">
        <v>0</v>
      </c>
      <c r="N864" s="88"/>
      <c r="O864" s="88"/>
      <c r="P864" s="88"/>
    </row>
    <row r="865" spans="1:16">
      <c r="A865" s="94">
        <v>90960</v>
      </c>
      <c r="B865" s="87" t="s">
        <v>151</v>
      </c>
      <c r="C865" s="12" t="s">
        <v>10</v>
      </c>
      <c r="D865" s="93">
        <v>3.73</v>
      </c>
      <c r="E865" s="93">
        <v>0</v>
      </c>
      <c r="F865" s="93">
        <v>0</v>
      </c>
      <c r="G865" s="93">
        <v>3.73</v>
      </c>
      <c r="H865" s="93">
        <v>0</v>
      </c>
      <c r="N865" s="88"/>
      <c r="O865" s="88"/>
      <c r="P865" s="88"/>
    </row>
    <row r="866" spans="1:16">
      <c r="A866" s="94">
        <v>90961</v>
      </c>
      <c r="B866" s="87" t="s">
        <v>152</v>
      </c>
      <c r="C866" s="12" t="s">
        <v>10</v>
      </c>
      <c r="D866" s="93">
        <v>0.51</v>
      </c>
      <c r="E866" s="93">
        <v>0</v>
      </c>
      <c r="F866" s="93">
        <v>0</v>
      </c>
      <c r="G866" s="93">
        <v>0.51</v>
      </c>
      <c r="H866" s="93">
        <v>0</v>
      </c>
      <c r="N866" s="88"/>
      <c r="O866" s="88"/>
      <c r="P866" s="88"/>
    </row>
    <row r="867" spans="1:16">
      <c r="A867" s="94">
        <v>90962</v>
      </c>
      <c r="B867" s="87" t="s">
        <v>153</v>
      </c>
      <c r="C867" s="12" t="s">
        <v>10</v>
      </c>
      <c r="D867" s="93">
        <v>4.66</v>
      </c>
      <c r="E867" s="93">
        <v>0</v>
      </c>
      <c r="F867" s="93">
        <v>0</v>
      </c>
      <c r="G867" s="93">
        <v>4.66</v>
      </c>
      <c r="H867" s="93">
        <v>0</v>
      </c>
      <c r="N867" s="88"/>
      <c r="O867" s="88"/>
      <c r="P867" s="88"/>
    </row>
    <row r="868" spans="1:16">
      <c r="A868" s="94">
        <v>90963</v>
      </c>
      <c r="B868" s="87" t="s">
        <v>1251</v>
      </c>
      <c r="C868" s="12" t="s">
        <v>10</v>
      </c>
      <c r="D868" s="93">
        <v>8.82</v>
      </c>
      <c r="E868" s="93">
        <v>0</v>
      </c>
      <c r="F868" s="93">
        <v>8.82</v>
      </c>
      <c r="G868" s="93">
        <v>0</v>
      </c>
      <c r="H868" s="93">
        <v>0</v>
      </c>
      <c r="N868" s="88"/>
      <c r="O868" s="88"/>
      <c r="P868" s="88"/>
    </row>
    <row r="869" spans="1:16">
      <c r="A869" s="94">
        <v>90968</v>
      </c>
      <c r="B869" s="87" t="s">
        <v>1252</v>
      </c>
      <c r="C869" s="12" t="s">
        <v>10</v>
      </c>
      <c r="D869" s="93">
        <v>3.74</v>
      </c>
      <c r="E869" s="93">
        <v>0</v>
      </c>
      <c r="F869" s="93">
        <v>0</v>
      </c>
      <c r="G869" s="93">
        <v>3.74</v>
      </c>
      <c r="H869" s="93">
        <v>0</v>
      </c>
      <c r="N869" s="88"/>
      <c r="O869" s="88"/>
      <c r="P869" s="88"/>
    </row>
    <row r="870" spans="1:16">
      <c r="A870" s="94">
        <v>90969</v>
      </c>
      <c r="B870" s="87" t="s">
        <v>1253</v>
      </c>
      <c r="C870" s="12" t="s">
        <v>10</v>
      </c>
      <c r="D870" s="93">
        <v>0.51</v>
      </c>
      <c r="E870" s="93">
        <v>0</v>
      </c>
      <c r="F870" s="93">
        <v>0</v>
      </c>
      <c r="G870" s="93">
        <v>0.51</v>
      </c>
      <c r="H870" s="93">
        <v>0</v>
      </c>
      <c r="N870" s="88"/>
      <c r="O870" s="88"/>
      <c r="P870" s="88"/>
    </row>
    <row r="871" spans="1:16">
      <c r="A871" s="94">
        <v>90970</v>
      </c>
      <c r="B871" s="87" t="s">
        <v>1254</v>
      </c>
      <c r="C871" s="12" t="s">
        <v>10</v>
      </c>
      <c r="D871" s="93">
        <v>4.68</v>
      </c>
      <c r="E871" s="93">
        <v>0</v>
      </c>
      <c r="F871" s="93">
        <v>0</v>
      </c>
      <c r="G871" s="93">
        <v>4.68</v>
      </c>
      <c r="H871" s="93">
        <v>0</v>
      </c>
      <c r="N871" s="88"/>
      <c r="O871" s="88"/>
      <c r="P871" s="88"/>
    </row>
    <row r="872" spans="1:16">
      <c r="A872" s="94">
        <v>90971</v>
      </c>
      <c r="B872" s="87" t="s">
        <v>1255</v>
      </c>
      <c r="C872" s="12" t="s">
        <v>10</v>
      </c>
      <c r="D872" s="93">
        <v>35.75</v>
      </c>
      <c r="E872" s="93">
        <v>0</v>
      </c>
      <c r="F872" s="93">
        <v>35.75</v>
      </c>
      <c r="G872" s="93">
        <v>0</v>
      </c>
      <c r="H872" s="93">
        <v>0</v>
      </c>
      <c r="N872" s="88"/>
      <c r="O872" s="88"/>
      <c r="P872" s="88"/>
    </row>
    <row r="873" spans="1:16">
      <c r="A873" s="94">
        <v>90975</v>
      </c>
      <c r="B873" s="87" t="s">
        <v>154</v>
      </c>
      <c r="C873" s="12" t="s">
        <v>10</v>
      </c>
      <c r="D873" s="93">
        <v>9.49</v>
      </c>
      <c r="E873" s="93">
        <v>0</v>
      </c>
      <c r="F873" s="93">
        <v>0</v>
      </c>
      <c r="G873" s="93">
        <v>9.49</v>
      </c>
      <c r="H873" s="93">
        <v>0</v>
      </c>
      <c r="N873" s="88"/>
      <c r="O873" s="88"/>
      <c r="P873" s="88"/>
    </row>
    <row r="874" spans="1:16">
      <c r="A874" s="94">
        <v>90976</v>
      </c>
      <c r="B874" s="87" t="s">
        <v>155</v>
      </c>
      <c r="C874" s="12" t="s">
        <v>10</v>
      </c>
      <c r="D874" s="93">
        <v>1.31</v>
      </c>
      <c r="E874" s="93">
        <v>0</v>
      </c>
      <c r="F874" s="93">
        <v>0</v>
      </c>
      <c r="G874" s="93">
        <v>1.31</v>
      </c>
      <c r="H874" s="93">
        <v>0</v>
      </c>
      <c r="N874" s="88"/>
      <c r="O874" s="88"/>
      <c r="P874" s="88"/>
    </row>
    <row r="875" spans="1:16">
      <c r="A875" s="94">
        <v>90977</v>
      </c>
      <c r="B875" s="87" t="s">
        <v>156</v>
      </c>
      <c r="C875" s="12" t="s">
        <v>10</v>
      </c>
      <c r="D875" s="93">
        <v>11.88</v>
      </c>
      <c r="E875" s="93">
        <v>0</v>
      </c>
      <c r="F875" s="93">
        <v>0</v>
      </c>
      <c r="G875" s="93">
        <v>11.88</v>
      </c>
      <c r="H875" s="93">
        <v>0</v>
      </c>
      <c r="N875" s="88"/>
      <c r="O875" s="88"/>
      <c r="P875" s="88"/>
    </row>
    <row r="876" spans="1:16">
      <c r="A876" s="94">
        <v>90978</v>
      </c>
      <c r="B876" s="87" t="s">
        <v>1256</v>
      </c>
      <c r="C876" s="12" t="s">
        <v>10</v>
      </c>
      <c r="D876" s="93">
        <v>92.76</v>
      </c>
      <c r="E876" s="93">
        <v>0</v>
      </c>
      <c r="F876" s="93">
        <v>92.76</v>
      </c>
      <c r="G876" s="93">
        <v>0</v>
      </c>
      <c r="H876" s="93">
        <v>0</v>
      </c>
      <c r="N876" s="88"/>
      <c r="O876" s="88"/>
      <c r="P876" s="88"/>
    </row>
    <row r="877" spans="1:16">
      <c r="A877" s="94">
        <v>90992</v>
      </c>
      <c r="B877" s="87" t="s">
        <v>1257</v>
      </c>
      <c r="C877" s="12" t="s">
        <v>10</v>
      </c>
      <c r="D877" s="93">
        <v>4.43</v>
      </c>
      <c r="E877" s="93">
        <v>0</v>
      </c>
      <c r="F877" s="93">
        <v>0</v>
      </c>
      <c r="G877" s="93">
        <v>4.43</v>
      </c>
      <c r="H877" s="93">
        <v>0</v>
      </c>
      <c r="N877" s="88"/>
      <c r="O877" s="88"/>
      <c r="P877" s="88"/>
    </row>
    <row r="878" spans="1:16">
      <c r="A878" s="94">
        <v>90993</v>
      </c>
      <c r="B878" s="87" t="s">
        <v>1258</v>
      </c>
      <c r="C878" s="12" t="s">
        <v>10</v>
      </c>
      <c r="D878" s="93">
        <v>0.61</v>
      </c>
      <c r="E878" s="93">
        <v>0</v>
      </c>
      <c r="F878" s="93">
        <v>0</v>
      </c>
      <c r="G878" s="93">
        <v>0.61</v>
      </c>
      <c r="H878" s="93">
        <v>0</v>
      </c>
      <c r="N878" s="88"/>
      <c r="O878" s="88"/>
      <c r="P878" s="88"/>
    </row>
    <row r="879" spans="1:16">
      <c r="A879" s="94">
        <v>90994</v>
      </c>
      <c r="B879" s="87" t="s">
        <v>1259</v>
      </c>
      <c r="C879" s="12" t="s">
        <v>10</v>
      </c>
      <c r="D879" s="93">
        <v>5.55</v>
      </c>
      <c r="E879" s="93">
        <v>0</v>
      </c>
      <c r="F879" s="93">
        <v>0</v>
      </c>
      <c r="G879" s="93">
        <v>5.55</v>
      </c>
      <c r="H879" s="93">
        <v>0</v>
      </c>
      <c r="N879" s="88"/>
      <c r="O879" s="88"/>
      <c r="P879" s="88"/>
    </row>
    <row r="880" spans="1:16">
      <c r="A880" s="94">
        <v>90995</v>
      </c>
      <c r="B880" s="87" t="s">
        <v>1260</v>
      </c>
      <c r="C880" s="12" t="s">
        <v>10</v>
      </c>
      <c r="D880" s="93">
        <v>48.57</v>
      </c>
      <c r="E880" s="93">
        <v>0</v>
      </c>
      <c r="F880" s="93">
        <v>48.57</v>
      </c>
      <c r="G880" s="93">
        <v>0</v>
      </c>
      <c r="H880" s="93">
        <v>0</v>
      </c>
      <c r="N880" s="88"/>
      <c r="O880" s="88"/>
      <c r="P880" s="88"/>
    </row>
    <row r="881" spans="1:16">
      <c r="A881" s="94">
        <v>91021</v>
      </c>
      <c r="B881" s="87" t="s">
        <v>1261</v>
      </c>
      <c r="C881" s="12" t="s">
        <v>10</v>
      </c>
      <c r="D881" s="93">
        <v>3.44</v>
      </c>
      <c r="E881" s="93">
        <v>0</v>
      </c>
      <c r="F881" s="93">
        <v>0</v>
      </c>
      <c r="G881" s="93">
        <v>3.44</v>
      </c>
      <c r="H881" s="93">
        <v>0</v>
      </c>
      <c r="N881" s="88"/>
      <c r="O881" s="88"/>
      <c r="P881" s="88"/>
    </row>
    <row r="882" spans="1:16">
      <c r="A882" s="94">
        <v>91026</v>
      </c>
      <c r="B882" s="87" t="s">
        <v>157</v>
      </c>
      <c r="C882" s="12" t="s">
        <v>10</v>
      </c>
      <c r="D882" s="93">
        <v>11.42</v>
      </c>
      <c r="E882" s="93">
        <v>0</v>
      </c>
      <c r="F882" s="93">
        <v>0</v>
      </c>
      <c r="G882" s="93">
        <v>11.42</v>
      </c>
      <c r="H882" s="93">
        <v>0</v>
      </c>
      <c r="N882" s="88"/>
      <c r="O882" s="88"/>
      <c r="P882" s="88"/>
    </row>
    <row r="883" spans="1:16">
      <c r="A883" s="94">
        <v>91027</v>
      </c>
      <c r="B883" s="87" t="s">
        <v>158</v>
      </c>
      <c r="C883" s="12" t="s">
        <v>10</v>
      </c>
      <c r="D883" s="93">
        <v>2.39</v>
      </c>
      <c r="E883" s="93">
        <v>0</v>
      </c>
      <c r="F883" s="93">
        <v>0</v>
      </c>
      <c r="G883" s="93">
        <v>2.39</v>
      </c>
      <c r="H883" s="93">
        <v>0</v>
      </c>
      <c r="N883" s="88"/>
      <c r="O883" s="88"/>
      <c r="P883" s="88"/>
    </row>
    <row r="884" spans="1:16">
      <c r="A884" s="94">
        <v>91028</v>
      </c>
      <c r="B884" s="87" t="s">
        <v>159</v>
      </c>
      <c r="C884" s="12" t="s">
        <v>10</v>
      </c>
      <c r="D884" s="93">
        <v>0.92</v>
      </c>
      <c r="E884" s="93">
        <v>0</v>
      </c>
      <c r="F884" s="93">
        <v>0</v>
      </c>
      <c r="G884" s="93">
        <v>0.92</v>
      </c>
      <c r="H884" s="93">
        <v>0</v>
      </c>
      <c r="N884" s="88"/>
      <c r="O884" s="88"/>
      <c r="P884" s="88"/>
    </row>
    <row r="885" spans="1:16">
      <c r="A885" s="94">
        <v>91029</v>
      </c>
      <c r="B885" s="87" t="s">
        <v>160</v>
      </c>
      <c r="C885" s="12" t="s">
        <v>10</v>
      </c>
      <c r="D885" s="93">
        <v>21.42</v>
      </c>
      <c r="E885" s="93">
        <v>0</v>
      </c>
      <c r="F885" s="93">
        <v>0</v>
      </c>
      <c r="G885" s="93">
        <v>21.42</v>
      </c>
      <c r="H885" s="93">
        <v>0</v>
      </c>
      <c r="N885" s="88"/>
      <c r="O885" s="88"/>
      <c r="P885" s="88"/>
    </row>
    <row r="886" spans="1:16">
      <c r="A886" s="94">
        <v>91030</v>
      </c>
      <c r="B886" s="87" t="s">
        <v>161</v>
      </c>
      <c r="C886" s="12" t="s">
        <v>10</v>
      </c>
      <c r="D886" s="93">
        <v>84.01</v>
      </c>
      <c r="E886" s="93">
        <v>0</v>
      </c>
      <c r="F886" s="93">
        <v>84.01</v>
      </c>
      <c r="G886" s="93">
        <v>0</v>
      </c>
      <c r="H886" s="93">
        <v>0</v>
      </c>
      <c r="N886" s="88"/>
      <c r="O886" s="88"/>
      <c r="P886" s="88"/>
    </row>
    <row r="887" spans="1:16">
      <c r="A887" s="94">
        <v>91273</v>
      </c>
      <c r="B887" s="87" t="s">
        <v>1262</v>
      </c>
      <c r="C887" s="12" t="s">
        <v>10</v>
      </c>
      <c r="D887" s="93">
        <v>0.48</v>
      </c>
      <c r="E887" s="93">
        <v>0</v>
      </c>
      <c r="F887" s="93">
        <v>0</v>
      </c>
      <c r="G887" s="93">
        <v>0.48</v>
      </c>
      <c r="H887" s="93">
        <v>0</v>
      </c>
      <c r="N887" s="88"/>
      <c r="O887" s="88"/>
      <c r="P887" s="88"/>
    </row>
    <row r="888" spans="1:16">
      <c r="A888" s="94">
        <v>91274</v>
      </c>
      <c r="B888" s="87" t="s">
        <v>1263</v>
      </c>
      <c r="C888" s="12" t="s">
        <v>10</v>
      </c>
      <c r="D888" s="93">
        <v>0.06</v>
      </c>
      <c r="E888" s="93">
        <v>0</v>
      </c>
      <c r="F888" s="93">
        <v>0</v>
      </c>
      <c r="G888" s="93">
        <v>0.06</v>
      </c>
      <c r="H888" s="93">
        <v>0</v>
      </c>
      <c r="N888" s="88"/>
      <c r="O888" s="88"/>
      <c r="P888" s="88"/>
    </row>
    <row r="889" spans="1:16">
      <c r="A889" s="94">
        <v>91275</v>
      </c>
      <c r="B889" s="87" t="s">
        <v>1264</v>
      </c>
      <c r="C889" s="12" t="s">
        <v>10</v>
      </c>
      <c r="D889" s="93">
        <v>0.6</v>
      </c>
      <c r="E889" s="93">
        <v>0</v>
      </c>
      <c r="F889" s="93">
        <v>0</v>
      </c>
      <c r="G889" s="93">
        <v>0.6</v>
      </c>
      <c r="H889" s="93">
        <v>0</v>
      </c>
      <c r="N889" s="88"/>
      <c r="O889" s="88"/>
      <c r="P889" s="88"/>
    </row>
    <row r="890" spans="1:16">
      <c r="A890" s="94">
        <v>91276</v>
      </c>
      <c r="B890" s="87" t="s">
        <v>1265</v>
      </c>
      <c r="C890" s="12" t="s">
        <v>10</v>
      </c>
      <c r="D890" s="93">
        <v>6.73</v>
      </c>
      <c r="E890" s="93">
        <v>0</v>
      </c>
      <c r="F890" s="93">
        <v>6.73</v>
      </c>
      <c r="G890" s="93">
        <v>0</v>
      </c>
      <c r="H890" s="93">
        <v>0</v>
      </c>
      <c r="N890" s="88"/>
      <c r="O890" s="88"/>
      <c r="P890" s="88"/>
    </row>
    <row r="891" spans="1:16">
      <c r="A891" s="94">
        <v>91279</v>
      </c>
      <c r="B891" s="87" t="s">
        <v>1266</v>
      </c>
      <c r="C891" s="12" t="s">
        <v>10</v>
      </c>
      <c r="D891" s="93">
        <v>0.67</v>
      </c>
      <c r="E891" s="93">
        <v>0</v>
      </c>
      <c r="F891" s="93">
        <v>0</v>
      </c>
      <c r="G891" s="93">
        <v>0.67</v>
      </c>
      <c r="H891" s="93">
        <v>0</v>
      </c>
      <c r="N891" s="88"/>
      <c r="O891" s="88"/>
      <c r="P891" s="88"/>
    </row>
    <row r="892" spans="1:16">
      <c r="A892" s="94">
        <v>91280</v>
      </c>
      <c r="B892" s="87" t="s">
        <v>1267</v>
      </c>
      <c r="C892" s="12" t="s">
        <v>10</v>
      </c>
      <c r="D892" s="93">
        <v>7.0000000000000007E-2</v>
      </c>
      <c r="E892" s="93">
        <v>0</v>
      </c>
      <c r="F892" s="93">
        <v>0</v>
      </c>
      <c r="G892" s="93">
        <v>7.0000000000000007E-2</v>
      </c>
      <c r="H892" s="93">
        <v>0</v>
      </c>
      <c r="N892" s="88"/>
      <c r="O892" s="88"/>
      <c r="P892" s="88"/>
    </row>
    <row r="893" spans="1:16">
      <c r="A893" s="94">
        <v>91281</v>
      </c>
      <c r="B893" s="87" t="s">
        <v>1268</v>
      </c>
      <c r="C893" s="12" t="s">
        <v>10</v>
      </c>
      <c r="D893" s="93">
        <v>0.85</v>
      </c>
      <c r="E893" s="93">
        <v>0</v>
      </c>
      <c r="F893" s="93">
        <v>0</v>
      </c>
      <c r="G893" s="93">
        <v>0.85</v>
      </c>
      <c r="H893" s="93">
        <v>0</v>
      </c>
      <c r="N893" s="88"/>
      <c r="O893" s="88"/>
      <c r="P893" s="88"/>
    </row>
    <row r="894" spans="1:16">
      <c r="A894" s="94">
        <v>91282</v>
      </c>
      <c r="B894" s="87" t="s">
        <v>1269</v>
      </c>
      <c r="C894" s="12" t="s">
        <v>10</v>
      </c>
      <c r="D894" s="93">
        <v>16.09</v>
      </c>
      <c r="E894" s="93">
        <v>0</v>
      </c>
      <c r="F894" s="93">
        <v>16.09</v>
      </c>
      <c r="G894" s="93">
        <v>0</v>
      </c>
      <c r="H894" s="93">
        <v>0</v>
      </c>
      <c r="N894" s="88"/>
      <c r="O894" s="88"/>
      <c r="P894" s="88"/>
    </row>
    <row r="895" spans="1:16">
      <c r="A895" s="94">
        <v>91354</v>
      </c>
      <c r="B895" s="87" t="s">
        <v>162</v>
      </c>
      <c r="C895" s="12" t="s">
        <v>10</v>
      </c>
      <c r="D895" s="93">
        <v>8.7799999999999994</v>
      </c>
      <c r="E895" s="93">
        <v>0</v>
      </c>
      <c r="F895" s="93">
        <v>0</v>
      </c>
      <c r="G895" s="93">
        <v>8.7799999999999994</v>
      </c>
      <c r="H895" s="93">
        <v>0</v>
      </c>
      <c r="N895" s="88"/>
      <c r="O895" s="88"/>
      <c r="P895" s="88"/>
    </row>
    <row r="896" spans="1:16">
      <c r="A896" s="94">
        <v>91355</v>
      </c>
      <c r="B896" s="87" t="s">
        <v>163</v>
      </c>
      <c r="C896" s="12" t="s">
        <v>10</v>
      </c>
      <c r="D896" s="93">
        <v>1.84</v>
      </c>
      <c r="E896" s="93">
        <v>0</v>
      </c>
      <c r="F896" s="93">
        <v>0</v>
      </c>
      <c r="G896" s="93">
        <v>1.84</v>
      </c>
      <c r="H896" s="93">
        <v>0</v>
      </c>
      <c r="N896" s="88"/>
      <c r="O896" s="88"/>
      <c r="P896" s="88"/>
    </row>
    <row r="897" spans="1:16">
      <c r="A897" s="94">
        <v>91356</v>
      </c>
      <c r="B897" s="87" t="s">
        <v>164</v>
      </c>
      <c r="C897" s="12" t="s">
        <v>10</v>
      </c>
      <c r="D897" s="93">
        <v>0.71</v>
      </c>
      <c r="E897" s="93">
        <v>0</v>
      </c>
      <c r="F897" s="93">
        <v>0</v>
      </c>
      <c r="G897" s="93">
        <v>0.71</v>
      </c>
      <c r="H897" s="93">
        <v>0</v>
      </c>
      <c r="N897" s="88"/>
      <c r="O897" s="88"/>
      <c r="P897" s="88"/>
    </row>
    <row r="898" spans="1:16">
      <c r="A898" s="94">
        <v>91359</v>
      </c>
      <c r="B898" s="87" t="s">
        <v>1270</v>
      </c>
      <c r="C898" s="12" t="s">
        <v>10</v>
      </c>
      <c r="D898" s="93">
        <v>10.130000000000001</v>
      </c>
      <c r="E898" s="93">
        <v>0</v>
      </c>
      <c r="F898" s="93">
        <v>0</v>
      </c>
      <c r="G898" s="93">
        <v>10.130000000000001</v>
      </c>
      <c r="H898" s="93">
        <v>0</v>
      </c>
      <c r="N898" s="88"/>
      <c r="O898" s="88"/>
      <c r="P898" s="88"/>
    </row>
    <row r="899" spans="1:16">
      <c r="A899" s="94">
        <v>91360</v>
      </c>
      <c r="B899" s="87" t="s">
        <v>1271</v>
      </c>
      <c r="C899" s="12" t="s">
        <v>10</v>
      </c>
      <c r="D899" s="93">
        <v>2.12</v>
      </c>
      <c r="E899" s="93">
        <v>0</v>
      </c>
      <c r="F899" s="93">
        <v>0</v>
      </c>
      <c r="G899" s="93">
        <v>2.12</v>
      </c>
      <c r="H899" s="93">
        <v>0</v>
      </c>
      <c r="N899" s="88"/>
      <c r="O899" s="88"/>
      <c r="P899" s="88"/>
    </row>
    <row r="900" spans="1:16">
      <c r="A900" s="94">
        <v>91361</v>
      </c>
      <c r="B900" s="87" t="s">
        <v>1272</v>
      </c>
      <c r="C900" s="12" t="s">
        <v>10</v>
      </c>
      <c r="D900" s="93">
        <v>0.82</v>
      </c>
      <c r="E900" s="93">
        <v>0</v>
      </c>
      <c r="F900" s="93">
        <v>0</v>
      </c>
      <c r="G900" s="93">
        <v>0.82</v>
      </c>
      <c r="H900" s="93">
        <v>0</v>
      </c>
      <c r="N900" s="88"/>
      <c r="O900" s="88"/>
      <c r="P900" s="88"/>
    </row>
    <row r="901" spans="1:16">
      <c r="A901" s="94">
        <v>91367</v>
      </c>
      <c r="B901" s="87" t="s">
        <v>1273</v>
      </c>
      <c r="C901" s="12" t="s">
        <v>10</v>
      </c>
      <c r="D901" s="93">
        <v>13.1</v>
      </c>
      <c r="E901" s="93">
        <v>0</v>
      </c>
      <c r="F901" s="93">
        <v>0</v>
      </c>
      <c r="G901" s="93">
        <v>13.1</v>
      </c>
      <c r="H901" s="93">
        <v>0</v>
      </c>
      <c r="N901" s="88"/>
      <c r="O901" s="88"/>
      <c r="P901" s="88"/>
    </row>
    <row r="902" spans="1:16">
      <c r="A902" s="94">
        <v>91368</v>
      </c>
      <c r="B902" s="87" t="s">
        <v>1274</v>
      </c>
      <c r="C902" s="12" t="s">
        <v>10</v>
      </c>
      <c r="D902" s="93">
        <v>2.42</v>
      </c>
      <c r="E902" s="93">
        <v>0</v>
      </c>
      <c r="F902" s="93">
        <v>0</v>
      </c>
      <c r="G902" s="93">
        <v>2.42</v>
      </c>
      <c r="H902" s="93">
        <v>0</v>
      </c>
      <c r="N902" s="88"/>
      <c r="O902" s="88"/>
      <c r="P902" s="88"/>
    </row>
    <row r="903" spans="1:16">
      <c r="A903" s="94">
        <v>91369</v>
      </c>
      <c r="B903" s="87" t="s">
        <v>1275</v>
      </c>
      <c r="C903" s="12" t="s">
        <v>10</v>
      </c>
      <c r="D903" s="93">
        <v>0.94</v>
      </c>
      <c r="E903" s="93">
        <v>0</v>
      </c>
      <c r="F903" s="93">
        <v>0</v>
      </c>
      <c r="G903" s="93">
        <v>0.94</v>
      </c>
      <c r="H903" s="93">
        <v>0</v>
      </c>
      <c r="N903" s="88"/>
      <c r="O903" s="88"/>
      <c r="P903" s="88"/>
    </row>
    <row r="904" spans="1:16">
      <c r="A904" s="94">
        <v>91375</v>
      </c>
      <c r="B904" s="87" t="s">
        <v>1276</v>
      </c>
      <c r="C904" s="12" t="s">
        <v>10</v>
      </c>
      <c r="D904" s="93">
        <v>7.4</v>
      </c>
      <c r="E904" s="93">
        <v>0</v>
      </c>
      <c r="F904" s="93">
        <v>0</v>
      </c>
      <c r="G904" s="93">
        <v>7.4</v>
      </c>
      <c r="H904" s="93">
        <v>0</v>
      </c>
      <c r="N904" s="88"/>
      <c r="O904" s="88"/>
      <c r="P904" s="88"/>
    </row>
    <row r="905" spans="1:16">
      <c r="A905" s="94">
        <v>91376</v>
      </c>
      <c r="B905" s="87" t="s">
        <v>1277</v>
      </c>
      <c r="C905" s="12" t="s">
        <v>10</v>
      </c>
      <c r="D905" s="93">
        <v>1.55</v>
      </c>
      <c r="E905" s="93">
        <v>0</v>
      </c>
      <c r="F905" s="93">
        <v>0</v>
      </c>
      <c r="G905" s="93">
        <v>1.55</v>
      </c>
      <c r="H905" s="93">
        <v>0</v>
      </c>
      <c r="N905" s="88"/>
      <c r="O905" s="88"/>
      <c r="P905" s="88"/>
    </row>
    <row r="906" spans="1:16">
      <c r="A906" s="94">
        <v>91377</v>
      </c>
      <c r="B906" s="87" t="s">
        <v>1278</v>
      </c>
      <c r="C906" s="12" t="s">
        <v>10</v>
      </c>
      <c r="D906" s="93">
        <v>0.6</v>
      </c>
      <c r="E906" s="93">
        <v>0</v>
      </c>
      <c r="F906" s="93">
        <v>0</v>
      </c>
      <c r="G906" s="93">
        <v>0.6</v>
      </c>
      <c r="H906" s="93">
        <v>0</v>
      </c>
      <c r="N906" s="88"/>
      <c r="O906" s="88"/>
      <c r="P906" s="88"/>
    </row>
    <row r="907" spans="1:16">
      <c r="A907" s="94">
        <v>91380</v>
      </c>
      <c r="B907" s="87" t="s">
        <v>1279</v>
      </c>
      <c r="C907" s="12" t="s">
        <v>10</v>
      </c>
      <c r="D907" s="93">
        <v>14.85</v>
      </c>
      <c r="E907" s="93">
        <v>0</v>
      </c>
      <c r="F907" s="93">
        <v>0</v>
      </c>
      <c r="G907" s="93">
        <v>14.85</v>
      </c>
      <c r="H907" s="93">
        <v>0</v>
      </c>
      <c r="N907" s="88"/>
      <c r="O907" s="88"/>
      <c r="P907" s="88"/>
    </row>
    <row r="908" spans="1:16">
      <c r="A908" s="94">
        <v>91381</v>
      </c>
      <c r="B908" s="87" t="s">
        <v>1280</v>
      </c>
      <c r="C908" s="12" t="s">
        <v>10</v>
      </c>
      <c r="D908" s="93">
        <v>2.74</v>
      </c>
      <c r="E908" s="93">
        <v>0</v>
      </c>
      <c r="F908" s="93">
        <v>0</v>
      </c>
      <c r="G908" s="93">
        <v>2.74</v>
      </c>
      <c r="H908" s="93">
        <v>0</v>
      </c>
      <c r="N908" s="88"/>
      <c r="O908" s="88"/>
      <c r="P908" s="88"/>
    </row>
    <row r="909" spans="1:16">
      <c r="A909" s="94">
        <v>91382</v>
      </c>
      <c r="B909" s="87" t="s">
        <v>1281</v>
      </c>
      <c r="C909" s="12" t="s">
        <v>10</v>
      </c>
      <c r="D909" s="93">
        <v>1.07</v>
      </c>
      <c r="E909" s="93">
        <v>0</v>
      </c>
      <c r="F909" s="93">
        <v>0</v>
      </c>
      <c r="G909" s="93">
        <v>1.07</v>
      </c>
      <c r="H909" s="93">
        <v>0</v>
      </c>
      <c r="N909" s="88"/>
      <c r="O909" s="88"/>
      <c r="P909" s="88"/>
    </row>
    <row r="910" spans="1:16">
      <c r="A910" s="94">
        <v>91383</v>
      </c>
      <c r="B910" s="87" t="s">
        <v>1282</v>
      </c>
      <c r="C910" s="12" t="s">
        <v>10</v>
      </c>
      <c r="D910" s="93">
        <v>27.85</v>
      </c>
      <c r="E910" s="93">
        <v>0</v>
      </c>
      <c r="F910" s="93">
        <v>0</v>
      </c>
      <c r="G910" s="93">
        <v>27.85</v>
      </c>
      <c r="H910" s="93">
        <v>0</v>
      </c>
      <c r="N910" s="88"/>
      <c r="O910" s="88"/>
      <c r="P910" s="88"/>
    </row>
    <row r="911" spans="1:16">
      <c r="A911" s="94">
        <v>91384</v>
      </c>
      <c r="B911" s="87" t="s">
        <v>1283</v>
      </c>
      <c r="C911" s="12" t="s">
        <v>10</v>
      </c>
      <c r="D911" s="93">
        <v>83.66</v>
      </c>
      <c r="E911" s="93">
        <v>0</v>
      </c>
      <c r="F911" s="93">
        <v>83.66</v>
      </c>
      <c r="G911" s="93">
        <v>0</v>
      </c>
      <c r="H911" s="93">
        <v>0</v>
      </c>
      <c r="N911" s="88"/>
      <c r="O911" s="88"/>
      <c r="P911" s="88"/>
    </row>
    <row r="912" spans="1:16">
      <c r="A912" s="94">
        <v>91390</v>
      </c>
      <c r="B912" s="87" t="s">
        <v>1284</v>
      </c>
      <c r="C912" s="12" t="s">
        <v>10</v>
      </c>
      <c r="D912" s="93">
        <v>9.6</v>
      </c>
      <c r="E912" s="93">
        <v>0</v>
      </c>
      <c r="F912" s="93">
        <v>0</v>
      </c>
      <c r="G912" s="93">
        <v>9.6</v>
      </c>
      <c r="H912" s="93">
        <v>0</v>
      </c>
      <c r="N912" s="88"/>
      <c r="O912" s="88"/>
      <c r="P912" s="88"/>
    </row>
    <row r="913" spans="1:16">
      <c r="A913" s="94">
        <v>91391</v>
      </c>
      <c r="B913" s="87" t="s">
        <v>1285</v>
      </c>
      <c r="C913" s="12" t="s">
        <v>10</v>
      </c>
      <c r="D913" s="93">
        <v>2.0099999999999998</v>
      </c>
      <c r="E913" s="93">
        <v>0</v>
      </c>
      <c r="F913" s="93">
        <v>0</v>
      </c>
      <c r="G913" s="93">
        <v>2.0099999999999998</v>
      </c>
      <c r="H913" s="93">
        <v>0</v>
      </c>
      <c r="N913" s="88"/>
      <c r="O913" s="88"/>
      <c r="P913" s="88"/>
    </row>
    <row r="914" spans="1:16">
      <c r="A914" s="94">
        <v>91392</v>
      </c>
      <c r="B914" s="87" t="s">
        <v>1286</v>
      </c>
      <c r="C914" s="12" t="s">
        <v>10</v>
      </c>
      <c r="D914" s="93">
        <v>0.78</v>
      </c>
      <c r="E914" s="93">
        <v>0</v>
      </c>
      <c r="F914" s="93">
        <v>0</v>
      </c>
      <c r="G914" s="93">
        <v>0.78</v>
      </c>
      <c r="H914" s="93">
        <v>0</v>
      </c>
      <c r="N914" s="88"/>
      <c r="O914" s="88"/>
      <c r="P914" s="88"/>
    </row>
    <row r="915" spans="1:16">
      <c r="A915" s="94">
        <v>91396</v>
      </c>
      <c r="B915" s="87" t="s">
        <v>1287</v>
      </c>
      <c r="C915" s="12" t="s">
        <v>10</v>
      </c>
      <c r="D915" s="93">
        <v>12.98</v>
      </c>
      <c r="E915" s="93">
        <v>0</v>
      </c>
      <c r="F915" s="93">
        <v>0</v>
      </c>
      <c r="G915" s="93">
        <v>12.98</v>
      </c>
      <c r="H915" s="93">
        <v>0</v>
      </c>
      <c r="N915" s="88"/>
      <c r="O915" s="88"/>
      <c r="P915" s="88"/>
    </row>
    <row r="916" spans="1:16">
      <c r="A916" s="94">
        <v>91397</v>
      </c>
      <c r="B916" s="87" t="s">
        <v>1288</v>
      </c>
      <c r="C916" s="12" t="s">
        <v>10</v>
      </c>
      <c r="D916" s="93">
        <v>2.72</v>
      </c>
      <c r="E916" s="93">
        <v>0</v>
      </c>
      <c r="F916" s="93">
        <v>0</v>
      </c>
      <c r="G916" s="93">
        <v>2.72</v>
      </c>
      <c r="H916" s="93">
        <v>0</v>
      </c>
      <c r="N916" s="88"/>
      <c r="O916" s="88"/>
      <c r="P916" s="88"/>
    </row>
    <row r="917" spans="1:16">
      <c r="A917" s="94">
        <v>91398</v>
      </c>
      <c r="B917" s="87" t="s">
        <v>1289</v>
      </c>
      <c r="C917" s="12" t="s">
        <v>10</v>
      </c>
      <c r="D917" s="93">
        <v>1.05</v>
      </c>
      <c r="E917" s="93">
        <v>0</v>
      </c>
      <c r="F917" s="93">
        <v>0</v>
      </c>
      <c r="G917" s="93">
        <v>1.05</v>
      </c>
      <c r="H917" s="93">
        <v>0</v>
      </c>
      <c r="N917" s="88"/>
      <c r="O917" s="88"/>
      <c r="P917" s="88"/>
    </row>
    <row r="918" spans="1:16">
      <c r="A918" s="94">
        <v>91402</v>
      </c>
      <c r="B918" s="87" t="s">
        <v>1290</v>
      </c>
      <c r="C918" s="12" t="s">
        <v>10</v>
      </c>
      <c r="D918" s="93">
        <v>0.9</v>
      </c>
      <c r="E918" s="93">
        <v>0</v>
      </c>
      <c r="F918" s="93">
        <v>0</v>
      </c>
      <c r="G918" s="93">
        <v>0.9</v>
      </c>
      <c r="H918" s="93">
        <v>0</v>
      </c>
      <c r="N918" s="88"/>
      <c r="O918" s="88"/>
      <c r="P918" s="88"/>
    </row>
    <row r="919" spans="1:16">
      <c r="A919" s="94">
        <v>91466</v>
      </c>
      <c r="B919" s="87" t="s">
        <v>1291</v>
      </c>
      <c r="C919" s="12" t="s">
        <v>10</v>
      </c>
      <c r="D919" s="93">
        <v>0.81</v>
      </c>
      <c r="E919" s="93">
        <v>0</v>
      </c>
      <c r="F919" s="93">
        <v>0</v>
      </c>
      <c r="G919" s="93">
        <v>0.81</v>
      </c>
      <c r="H919" s="93">
        <v>0</v>
      </c>
      <c r="N919" s="88"/>
      <c r="O919" s="88"/>
      <c r="P919" s="88"/>
    </row>
    <row r="920" spans="1:16">
      <c r="A920" s="94">
        <v>91467</v>
      </c>
      <c r="B920" s="87" t="s">
        <v>1292</v>
      </c>
      <c r="C920" s="12" t="s">
        <v>10</v>
      </c>
      <c r="D920" s="93">
        <v>93.29</v>
      </c>
      <c r="E920" s="93">
        <v>0</v>
      </c>
      <c r="F920" s="93">
        <v>93.29</v>
      </c>
      <c r="G920" s="93">
        <v>0</v>
      </c>
      <c r="H920" s="93">
        <v>0</v>
      </c>
      <c r="N920" s="88"/>
      <c r="O920" s="88"/>
      <c r="P920" s="88"/>
    </row>
    <row r="921" spans="1:16">
      <c r="A921" s="94">
        <v>91468</v>
      </c>
      <c r="B921" s="87" t="s">
        <v>1293</v>
      </c>
      <c r="C921" s="12" t="s">
        <v>10</v>
      </c>
      <c r="D921" s="93">
        <v>13.76</v>
      </c>
      <c r="E921" s="93">
        <v>0</v>
      </c>
      <c r="F921" s="93">
        <v>0</v>
      </c>
      <c r="G921" s="93">
        <v>13.76</v>
      </c>
      <c r="H921" s="93">
        <v>0</v>
      </c>
      <c r="N921" s="88"/>
      <c r="O921" s="88"/>
      <c r="P921" s="88"/>
    </row>
    <row r="922" spans="1:16">
      <c r="A922" s="94">
        <v>91469</v>
      </c>
      <c r="B922" s="87" t="s">
        <v>165</v>
      </c>
      <c r="C922" s="12" t="s">
        <v>10</v>
      </c>
      <c r="D922" s="93">
        <v>2.97</v>
      </c>
      <c r="E922" s="93">
        <v>0</v>
      </c>
      <c r="F922" s="93">
        <v>0</v>
      </c>
      <c r="G922" s="93">
        <v>2.97</v>
      </c>
      <c r="H922" s="93">
        <v>0</v>
      </c>
      <c r="N922" s="88"/>
      <c r="O922" s="88"/>
      <c r="P922" s="88"/>
    </row>
    <row r="923" spans="1:16">
      <c r="A923" s="94">
        <v>91484</v>
      </c>
      <c r="B923" s="87" t="s">
        <v>1294</v>
      </c>
      <c r="C923" s="12" t="s">
        <v>10</v>
      </c>
      <c r="D923" s="93">
        <v>0.94</v>
      </c>
      <c r="E923" s="93">
        <v>0</v>
      </c>
      <c r="F923" s="93">
        <v>0</v>
      </c>
      <c r="G923" s="93">
        <v>0.94</v>
      </c>
      <c r="H923" s="93">
        <v>0</v>
      </c>
      <c r="N923" s="88"/>
      <c r="O923" s="88"/>
      <c r="P923" s="88"/>
    </row>
    <row r="924" spans="1:16">
      <c r="A924" s="94">
        <v>91485</v>
      </c>
      <c r="B924" s="87" t="s">
        <v>1295</v>
      </c>
      <c r="C924" s="12" t="s">
        <v>10</v>
      </c>
      <c r="D924" s="93">
        <v>126.62</v>
      </c>
      <c r="E924" s="93">
        <v>0</v>
      </c>
      <c r="F924" s="93">
        <v>126.62</v>
      </c>
      <c r="G924" s="93">
        <v>0</v>
      </c>
      <c r="H924" s="93">
        <v>0</v>
      </c>
      <c r="N924" s="88"/>
      <c r="O924" s="88"/>
      <c r="P924" s="88"/>
    </row>
    <row r="925" spans="1:16">
      <c r="A925" s="94">
        <v>91529</v>
      </c>
      <c r="B925" s="87" t="s">
        <v>1296</v>
      </c>
      <c r="C925" s="12" t="s">
        <v>10</v>
      </c>
      <c r="D925" s="93">
        <v>0.71</v>
      </c>
      <c r="E925" s="93">
        <v>0</v>
      </c>
      <c r="F925" s="93">
        <v>0</v>
      </c>
      <c r="G925" s="93">
        <v>0.71</v>
      </c>
      <c r="H925" s="93">
        <v>0</v>
      </c>
      <c r="N925" s="88"/>
      <c r="O925" s="88"/>
      <c r="P925" s="88"/>
    </row>
    <row r="926" spans="1:16">
      <c r="A926" s="94">
        <v>91530</v>
      </c>
      <c r="B926" s="87" t="s">
        <v>1297</v>
      </c>
      <c r="C926" s="12" t="s">
        <v>10</v>
      </c>
      <c r="D926" s="93">
        <v>0.09</v>
      </c>
      <c r="E926" s="93">
        <v>0</v>
      </c>
      <c r="F926" s="93">
        <v>0</v>
      </c>
      <c r="G926" s="93">
        <v>0.09</v>
      </c>
      <c r="H926" s="93">
        <v>0</v>
      </c>
      <c r="N926" s="88"/>
      <c r="O926" s="88"/>
      <c r="P926" s="88"/>
    </row>
    <row r="927" spans="1:16">
      <c r="A927" s="94">
        <v>91531</v>
      </c>
      <c r="B927" s="87" t="s">
        <v>1298</v>
      </c>
      <c r="C927" s="12" t="s">
        <v>10</v>
      </c>
      <c r="D927" s="93">
        <v>0.9</v>
      </c>
      <c r="E927" s="93">
        <v>0</v>
      </c>
      <c r="F927" s="93">
        <v>0</v>
      </c>
      <c r="G927" s="93">
        <v>0.9</v>
      </c>
      <c r="H927" s="93">
        <v>0</v>
      </c>
      <c r="N927" s="88"/>
      <c r="O927" s="88"/>
      <c r="P927" s="88"/>
    </row>
    <row r="928" spans="1:16">
      <c r="A928" s="94">
        <v>91532</v>
      </c>
      <c r="B928" s="87" t="s">
        <v>1299</v>
      </c>
      <c r="C928" s="12" t="s">
        <v>10</v>
      </c>
      <c r="D928" s="93">
        <v>4.88</v>
      </c>
      <c r="E928" s="93">
        <v>0</v>
      </c>
      <c r="F928" s="93">
        <v>4.88</v>
      </c>
      <c r="G928" s="93">
        <v>0</v>
      </c>
      <c r="H928" s="93">
        <v>0</v>
      </c>
      <c r="N928" s="88"/>
      <c r="O928" s="88"/>
      <c r="P928" s="88"/>
    </row>
    <row r="929" spans="1:16">
      <c r="A929" s="94">
        <v>91629</v>
      </c>
      <c r="B929" s="87" t="s">
        <v>1300</v>
      </c>
      <c r="C929" s="12" t="s">
        <v>10</v>
      </c>
      <c r="D929" s="93">
        <v>9.26</v>
      </c>
      <c r="E929" s="93">
        <v>0</v>
      </c>
      <c r="F929" s="93">
        <v>0</v>
      </c>
      <c r="G929" s="93">
        <v>9.26</v>
      </c>
      <c r="H929" s="93">
        <v>0</v>
      </c>
      <c r="N929" s="88"/>
      <c r="O929" s="88"/>
      <c r="P929" s="88"/>
    </row>
    <row r="930" spans="1:16">
      <c r="A930" s="94">
        <v>91630</v>
      </c>
      <c r="B930" s="87" t="s">
        <v>1301</v>
      </c>
      <c r="C930" s="12" t="s">
        <v>10</v>
      </c>
      <c r="D930" s="93">
        <v>1.94</v>
      </c>
      <c r="E930" s="93">
        <v>0</v>
      </c>
      <c r="F930" s="93">
        <v>0</v>
      </c>
      <c r="G930" s="93">
        <v>1.94</v>
      </c>
      <c r="H930" s="93">
        <v>0</v>
      </c>
      <c r="N930" s="88"/>
      <c r="O930" s="88"/>
      <c r="P930" s="88"/>
    </row>
    <row r="931" spans="1:16">
      <c r="A931" s="94">
        <v>91631</v>
      </c>
      <c r="B931" s="87" t="s">
        <v>1302</v>
      </c>
      <c r="C931" s="12" t="s">
        <v>10</v>
      </c>
      <c r="D931" s="93">
        <v>0.75</v>
      </c>
      <c r="E931" s="93">
        <v>0</v>
      </c>
      <c r="F931" s="93">
        <v>0</v>
      </c>
      <c r="G931" s="93">
        <v>0.75</v>
      </c>
      <c r="H931" s="93">
        <v>0</v>
      </c>
      <c r="N931" s="88"/>
      <c r="O931" s="88"/>
      <c r="P931" s="88"/>
    </row>
    <row r="932" spans="1:16">
      <c r="A932" s="94">
        <v>91632</v>
      </c>
      <c r="B932" s="87" t="s">
        <v>1303</v>
      </c>
      <c r="C932" s="12" t="s">
        <v>10</v>
      </c>
      <c r="D932" s="93">
        <v>17.38</v>
      </c>
      <c r="E932" s="93">
        <v>0</v>
      </c>
      <c r="F932" s="93">
        <v>0</v>
      </c>
      <c r="G932" s="93">
        <v>17.38</v>
      </c>
      <c r="H932" s="93">
        <v>0</v>
      </c>
      <c r="N932" s="88"/>
      <c r="O932" s="88"/>
      <c r="P932" s="88"/>
    </row>
    <row r="933" spans="1:16">
      <c r="A933" s="94">
        <v>91633</v>
      </c>
      <c r="B933" s="87" t="s">
        <v>1304</v>
      </c>
      <c r="C933" s="12" t="s">
        <v>10</v>
      </c>
      <c r="D933" s="93">
        <v>78.959999999999994</v>
      </c>
      <c r="E933" s="93">
        <v>0</v>
      </c>
      <c r="F933" s="93">
        <v>78.959999999999994</v>
      </c>
      <c r="G933" s="93">
        <v>0</v>
      </c>
      <c r="H933" s="93">
        <v>0</v>
      </c>
      <c r="N933" s="88"/>
      <c r="O933" s="88"/>
      <c r="P933" s="88"/>
    </row>
    <row r="934" spans="1:16">
      <c r="A934" s="94">
        <v>91640</v>
      </c>
      <c r="B934" s="87" t="s">
        <v>1305</v>
      </c>
      <c r="C934" s="12" t="s">
        <v>10</v>
      </c>
      <c r="D934" s="93">
        <v>22.84</v>
      </c>
      <c r="E934" s="93">
        <v>0</v>
      </c>
      <c r="F934" s="93">
        <v>0</v>
      </c>
      <c r="G934" s="93">
        <v>22.84</v>
      </c>
      <c r="H934" s="93">
        <v>0</v>
      </c>
      <c r="N934" s="88"/>
      <c r="O934" s="88"/>
      <c r="P934" s="88"/>
    </row>
    <row r="935" spans="1:16">
      <c r="A935" s="94">
        <v>91641</v>
      </c>
      <c r="B935" s="87" t="s">
        <v>1306</v>
      </c>
      <c r="C935" s="12" t="s">
        <v>10</v>
      </c>
      <c r="D935" s="93">
        <v>4.79</v>
      </c>
      <c r="E935" s="93">
        <v>0</v>
      </c>
      <c r="F935" s="93">
        <v>0</v>
      </c>
      <c r="G935" s="93">
        <v>4.79</v>
      </c>
      <c r="H935" s="93">
        <v>0</v>
      </c>
      <c r="N935" s="88"/>
      <c r="O935" s="88"/>
      <c r="P935" s="88"/>
    </row>
    <row r="936" spans="1:16">
      <c r="A936" s="94">
        <v>91642</v>
      </c>
      <c r="B936" s="87" t="s">
        <v>1307</v>
      </c>
      <c r="C936" s="12" t="s">
        <v>10</v>
      </c>
      <c r="D936" s="93">
        <v>1.85</v>
      </c>
      <c r="E936" s="93">
        <v>0</v>
      </c>
      <c r="F936" s="93">
        <v>0</v>
      </c>
      <c r="G936" s="93">
        <v>1.85</v>
      </c>
      <c r="H936" s="93">
        <v>0</v>
      </c>
      <c r="N936" s="88"/>
      <c r="O936" s="88"/>
      <c r="P936" s="88"/>
    </row>
    <row r="937" spans="1:16">
      <c r="A937" s="94">
        <v>91643</v>
      </c>
      <c r="B937" s="87" t="s">
        <v>1308</v>
      </c>
      <c r="C937" s="12" t="s">
        <v>10</v>
      </c>
      <c r="D937" s="93">
        <v>42.84</v>
      </c>
      <c r="E937" s="93">
        <v>0</v>
      </c>
      <c r="F937" s="93">
        <v>0</v>
      </c>
      <c r="G937" s="93">
        <v>42.84</v>
      </c>
      <c r="H937" s="93">
        <v>0</v>
      </c>
      <c r="N937" s="88"/>
      <c r="O937" s="88"/>
      <c r="P937" s="88"/>
    </row>
    <row r="938" spans="1:16">
      <c r="A938" s="94">
        <v>91644</v>
      </c>
      <c r="B938" s="87" t="s">
        <v>1309</v>
      </c>
      <c r="C938" s="12" t="s">
        <v>10</v>
      </c>
      <c r="D938" s="93">
        <v>177.7</v>
      </c>
      <c r="E938" s="93">
        <v>0</v>
      </c>
      <c r="F938" s="93">
        <v>177.7</v>
      </c>
      <c r="G938" s="93">
        <v>0</v>
      </c>
      <c r="H938" s="93">
        <v>0</v>
      </c>
      <c r="N938" s="88"/>
      <c r="O938" s="88"/>
      <c r="P938" s="88"/>
    </row>
    <row r="939" spans="1:16">
      <c r="A939" s="94">
        <v>91688</v>
      </c>
      <c r="B939" s="87" t="s">
        <v>1310</v>
      </c>
      <c r="C939" s="12" t="s">
        <v>10</v>
      </c>
      <c r="D939" s="93">
        <v>7.0000000000000007E-2</v>
      </c>
      <c r="E939" s="93">
        <v>0</v>
      </c>
      <c r="F939" s="93">
        <v>0</v>
      </c>
      <c r="G939" s="93">
        <v>7.0000000000000007E-2</v>
      </c>
      <c r="H939" s="93">
        <v>0</v>
      </c>
      <c r="N939" s="88"/>
      <c r="O939" s="88"/>
      <c r="P939" s="88"/>
    </row>
    <row r="940" spans="1:16">
      <c r="A940" s="94">
        <v>91689</v>
      </c>
      <c r="B940" s="87" t="s">
        <v>1311</v>
      </c>
      <c r="C940" s="12" t="s">
        <v>10</v>
      </c>
      <c r="D940" s="93">
        <v>0.01</v>
      </c>
      <c r="E940" s="93">
        <v>0</v>
      </c>
      <c r="F940" s="93">
        <v>0</v>
      </c>
      <c r="G940" s="93">
        <v>0.01</v>
      </c>
      <c r="H940" s="93">
        <v>0</v>
      </c>
      <c r="N940" s="88"/>
      <c r="O940" s="88"/>
      <c r="P940" s="88"/>
    </row>
    <row r="941" spans="1:16">
      <c r="A941" s="94">
        <v>91690</v>
      </c>
      <c r="B941" s="87" t="s">
        <v>1312</v>
      </c>
      <c r="C941" s="12" t="s">
        <v>10</v>
      </c>
      <c r="D941" s="93">
        <v>0.05</v>
      </c>
      <c r="E941" s="93">
        <v>0</v>
      </c>
      <c r="F941" s="93">
        <v>0</v>
      </c>
      <c r="G941" s="93">
        <v>0.05</v>
      </c>
      <c r="H941" s="93">
        <v>0</v>
      </c>
      <c r="N941" s="88"/>
      <c r="O941" s="88"/>
      <c r="P941" s="88"/>
    </row>
    <row r="942" spans="1:16">
      <c r="A942" s="94">
        <v>91691</v>
      </c>
      <c r="B942" s="87" t="s">
        <v>1313</v>
      </c>
      <c r="C942" s="12" t="s">
        <v>10</v>
      </c>
      <c r="D942" s="93">
        <v>2.59</v>
      </c>
      <c r="E942" s="93">
        <v>0</v>
      </c>
      <c r="F942" s="93">
        <v>0</v>
      </c>
      <c r="G942" s="93">
        <v>0</v>
      </c>
      <c r="H942" s="93">
        <v>0</v>
      </c>
      <c r="N942" s="88"/>
      <c r="O942" s="88"/>
      <c r="P942" s="88"/>
    </row>
    <row r="943" spans="1:16">
      <c r="A943" s="94">
        <v>92040</v>
      </c>
      <c r="B943" s="87" t="s">
        <v>1314</v>
      </c>
      <c r="C943" s="12" t="s">
        <v>10</v>
      </c>
      <c r="D943" s="93">
        <v>4.13</v>
      </c>
      <c r="E943" s="93">
        <v>0</v>
      </c>
      <c r="F943" s="93">
        <v>0</v>
      </c>
      <c r="G943" s="93">
        <v>4.13</v>
      </c>
      <c r="H943" s="93">
        <v>0</v>
      </c>
      <c r="N943" s="88"/>
      <c r="O943" s="88"/>
      <c r="P943" s="88"/>
    </row>
    <row r="944" spans="1:16">
      <c r="A944" s="94">
        <v>92041</v>
      </c>
      <c r="B944" s="87" t="s">
        <v>1315</v>
      </c>
      <c r="C944" s="12" t="s">
        <v>10</v>
      </c>
      <c r="D944" s="93">
        <v>0.43</v>
      </c>
      <c r="E944" s="93">
        <v>0</v>
      </c>
      <c r="F944" s="93">
        <v>0</v>
      </c>
      <c r="G944" s="93">
        <v>0.43</v>
      </c>
      <c r="H944" s="93">
        <v>0</v>
      </c>
      <c r="N944" s="88"/>
      <c r="O944" s="88"/>
      <c r="P944" s="88"/>
    </row>
    <row r="945" spans="1:16">
      <c r="A945" s="94">
        <v>92042</v>
      </c>
      <c r="B945" s="87" t="s">
        <v>1316</v>
      </c>
      <c r="C945" s="12" t="s">
        <v>10</v>
      </c>
      <c r="D945" s="93">
        <v>3.44</v>
      </c>
      <c r="E945" s="93">
        <v>0</v>
      </c>
      <c r="F945" s="93">
        <v>0</v>
      </c>
      <c r="G945" s="93">
        <v>3.44</v>
      </c>
      <c r="H945" s="93">
        <v>0</v>
      </c>
      <c r="N945" s="88"/>
      <c r="O945" s="88"/>
      <c r="P945" s="88"/>
    </row>
    <row r="946" spans="1:16">
      <c r="A946" s="94">
        <v>92101</v>
      </c>
      <c r="B946" s="87" t="s">
        <v>1317</v>
      </c>
      <c r="C946" s="12" t="s">
        <v>10</v>
      </c>
      <c r="D946" s="93">
        <v>14.29</v>
      </c>
      <c r="E946" s="93">
        <v>0</v>
      </c>
      <c r="F946" s="93">
        <v>0</v>
      </c>
      <c r="G946" s="93">
        <v>14.29</v>
      </c>
      <c r="H946" s="93">
        <v>0</v>
      </c>
      <c r="N946" s="88"/>
      <c r="O946" s="88"/>
      <c r="P946" s="88"/>
    </row>
    <row r="947" spans="1:16">
      <c r="A947" s="94">
        <v>92102</v>
      </c>
      <c r="B947" s="87" t="s">
        <v>1318</v>
      </c>
      <c r="C947" s="12" t="s">
        <v>10</v>
      </c>
      <c r="D947" s="93">
        <v>2.99</v>
      </c>
      <c r="E947" s="93">
        <v>0</v>
      </c>
      <c r="F947" s="93">
        <v>0</v>
      </c>
      <c r="G947" s="93">
        <v>2.99</v>
      </c>
      <c r="H947" s="93">
        <v>0</v>
      </c>
      <c r="N947" s="88"/>
      <c r="O947" s="88"/>
      <c r="P947" s="88"/>
    </row>
    <row r="948" spans="1:16">
      <c r="A948" s="94">
        <v>92103</v>
      </c>
      <c r="B948" s="87" t="s">
        <v>1319</v>
      </c>
      <c r="C948" s="12" t="s">
        <v>10</v>
      </c>
      <c r="D948" s="93">
        <v>1.1599999999999999</v>
      </c>
      <c r="E948" s="93">
        <v>0</v>
      </c>
      <c r="F948" s="93">
        <v>0</v>
      </c>
      <c r="G948" s="93">
        <v>1.1599999999999999</v>
      </c>
      <c r="H948" s="93">
        <v>0</v>
      </c>
      <c r="N948" s="88"/>
      <c r="O948" s="88"/>
      <c r="P948" s="88"/>
    </row>
    <row r="949" spans="1:16">
      <c r="A949" s="94">
        <v>92104</v>
      </c>
      <c r="B949" s="87" t="s">
        <v>1320</v>
      </c>
      <c r="C949" s="12" t="s">
        <v>10</v>
      </c>
      <c r="D949" s="93">
        <v>26.81</v>
      </c>
      <c r="E949" s="93">
        <v>0</v>
      </c>
      <c r="F949" s="93">
        <v>0</v>
      </c>
      <c r="G949" s="93">
        <v>26.81</v>
      </c>
      <c r="H949" s="93">
        <v>0</v>
      </c>
      <c r="N949" s="88"/>
      <c r="O949" s="88"/>
      <c r="P949" s="88"/>
    </row>
    <row r="950" spans="1:16">
      <c r="A950" s="94">
        <v>92105</v>
      </c>
      <c r="B950" s="87" t="s">
        <v>1321</v>
      </c>
      <c r="C950" s="12" t="s">
        <v>10</v>
      </c>
      <c r="D950" s="93">
        <v>113.52</v>
      </c>
      <c r="E950" s="93">
        <v>0</v>
      </c>
      <c r="F950" s="93">
        <v>113.52</v>
      </c>
      <c r="G950" s="93">
        <v>0</v>
      </c>
      <c r="H950" s="93">
        <v>0</v>
      </c>
      <c r="N950" s="88"/>
      <c r="O950" s="88"/>
      <c r="P950" s="88"/>
    </row>
    <row r="951" spans="1:16">
      <c r="A951" s="94">
        <v>92108</v>
      </c>
      <c r="B951" s="87" t="s">
        <v>166</v>
      </c>
      <c r="C951" s="12" t="s">
        <v>10</v>
      </c>
      <c r="D951" s="93">
        <v>0.7</v>
      </c>
      <c r="E951" s="93">
        <v>0</v>
      </c>
      <c r="F951" s="93">
        <v>0</v>
      </c>
      <c r="G951" s="93">
        <v>0.7</v>
      </c>
      <c r="H951" s="93">
        <v>0</v>
      </c>
      <c r="N951" s="88"/>
      <c r="O951" s="88"/>
      <c r="P951" s="88"/>
    </row>
    <row r="952" spans="1:16">
      <c r="A952" s="94">
        <v>92109</v>
      </c>
      <c r="B952" s="87" t="s">
        <v>167</v>
      </c>
      <c r="C952" s="12" t="s">
        <v>10</v>
      </c>
      <c r="D952" s="93">
        <v>0.08</v>
      </c>
      <c r="E952" s="93">
        <v>0</v>
      </c>
      <c r="F952" s="93">
        <v>0</v>
      </c>
      <c r="G952" s="93">
        <v>0.08</v>
      </c>
      <c r="H952" s="93">
        <v>0</v>
      </c>
      <c r="N952" s="88"/>
      <c r="O952" s="88"/>
      <c r="P952" s="88"/>
    </row>
    <row r="953" spans="1:16">
      <c r="A953" s="94">
        <v>92110</v>
      </c>
      <c r="B953" s="87" t="s">
        <v>168</v>
      </c>
      <c r="C953" s="12" t="s">
        <v>10</v>
      </c>
      <c r="D953" s="93">
        <v>0.55000000000000004</v>
      </c>
      <c r="E953" s="93">
        <v>0</v>
      </c>
      <c r="F953" s="93">
        <v>0</v>
      </c>
      <c r="G953" s="93">
        <v>0.55000000000000004</v>
      </c>
      <c r="H953" s="93">
        <v>0</v>
      </c>
      <c r="N953" s="88"/>
      <c r="O953" s="88"/>
      <c r="P953" s="88"/>
    </row>
    <row r="954" spans="1:16">
      <c r="A954" s="94">
        <v>92111</v>
      </c>
      <c r="B954" s="87" t="s">
        <v>169</v>
      </c>
      <c r="C954" s="12" t="s">
        <v>10</v>
      </c>
      <c r="D954" s="93">
        <v>1.02</v>
      </c>
      <c r="E954" s="93">
        <v>0</v>
      </c>
      <c r="F954" s="93">
        <v>0</v>
      </c>
      <c r="G954" s="93">
        <v>0</v>
      </c>
      <c r="H954" s="93">
        <v>0</v>
      </c>
      <c r="N954" s="88"/>
      <c r="O954" s="88"/>
      <c r="P954" s="88"/>
    </row>
    <row r="955" spans="1:16">
      <c r="A955" s="94">
        <v>92114</v>
      </c>
      <c r="B955" s="87" t="s">
        <v>170</v>
      </c>
      <c r="C955" s="12" t="s">
        <v>10</v>
      </c>
      <c r="D955" s="93">
        <v>7.0000000000000007E-2</v>
      </c>
      <c r="E955" s="93">
        <v>0</v>
      </c>
      <c r="F955" s="93">
        <v>0</v>
      </c>
      <c r="G955" s="93">
        <v>7.0000000000000007E-2</v>
      </c>
      <c r="H955" s="93">
        <v>0</v>
      </c>
      <c r="N955" s="88"/>
      <c r="O955" s="88"/>
      <c r="P955" s="88"/>
    </row>
    <row r="956" spans="1:16">
      <c r="A956" s="94">
        <v>92115</v>
      </c>
      <c r="B956" s="87" t="s">
        <v>171</v>
      </c>
      <c r="C956" s="12" t="s">
        <v>10</v>
      </c>
      <c r="D956" s="93">
        <v>0</v>
      </c>
      <c r="E956" s="93">
        <v>0</v>
      </c>
      <c r="F956" s="93">
        <v>0</v>
      </c>
      <c r="G956" s="93">
        <v>0</v>
      </c>
      <c r="H956" s="93">
        <v>0</v>
      </c>
      <c r="N956" s="88"/>
      <c r="O956" s="88"/>
      <c r="P956" s="88"/>
    </row>
    <row r="957" spans="1:16">
      <c r="A957" s="94">
        <v>92116</v>
      </c>
      <c r="B957" s="87" t="s">
        <v>172</v>
      </c>
      <c r="C957" s="12" t="s">
        <v>10</v>
      </c>
      <c r="D957" s="93">
        <v>0.09</v>
      </c>
      <c r="E957" s="93">
        <v>0</v>
      </c>
      <c r="F957" s="93">
        <v>0</v>
      </c>
      <c r="G957" s="93">
        <v>0.09</v>
      </c>
      <c r="H957" s="93">
        <v>0</v>
      </c>
      <c r="N957" s="88"/>
      <c r="O957" s="88"/>
      <c r="P957" s="88"/>
    </row>
    <row r="958" spans="1:16">
      <c r="A958" s="94">
        <v>92133</v>
      </c>
      <c r="B958" s="87" t="s">
        <v>1322</v>
      </c>
      <c r="C958" s="12" t="s">
        <v>10</v>
      </c>
      <c r="D958" s="93">
        <v>8.06</v>
      </c>
      <c r="E958" s="93">
        <v>0</v>
      </c>
      <c r="F958" s="93">
        <v>0</v>
      </c>
      <c r="G958" s="93">
        <v>8.06</v>
      </c>
      <c r="H958" s="93">
        <v>0</v>
      </c>
      <c r="N958" s="88"/>
      <c r="O958" s="88"/>
      <c r="P958" s="88"/>
    </row>
    <row r="959" spans="1:16">
      <c r="A959" s="94">
        <v>92134</v>
      </c>
      <c r="B959" s="87" t="s">
        <v>1323</v>
      </c>
      <c r="C959" s="12" t="s">
        <v>10</v>
      </c>
      <c r="D959" s="93">
        <v>1.27</v>
      </c>
      <c r="E959" s="93">
        <v>0</v>
      </c>
      <c r="F959" s="93">
        <v>0</v>
      </c>
      <c r="G959" s="93">
        <v>1.27</v>
      </c>
      <c r="H959" s="93">
        <v>0</v>
      </c>
      <c r="N959" s="88"/>
      <c r="O959" s="88"/>
      <c r="P959" s="88"/>
    </row>
    <row r="960" spans="1:16">
      <c r="A960" s="94">
        <v>92135</v>
      </c>
      <c r="B960" s="87" t="s">
        <v>1324</v>
      </c>
      <c r="C960" s="12" t="s">
        <v>10</v>
      </c>
      <c r="D960" s="93">
        <v>0.5</v>
      </c>
      <c r="E960" s="93">
        <v>0</v>
      </c>
      <c r="F960" s="93">
        <v>0</v>
      </c>
      <c r="G960" s="93">
        <v>0.5</v>
      </c>
      <c r="H960" s="93">
        <v>0</v>
      </c>
      <c r="N960" s="88"/>
      <c r="O960" s="88"/>
      <c r="P960" s="88"/>
    </row>
    <row r="961" spans="1:16">
      <c r="A961" s="94">
        <v>92136</v>
      </c>
      <c r="B961" s="87" t="s">
        <v>1325</v>
      </c>
      <c r="C961" s="12" t="s">
        <v>10</v>
      </c>
      <c r="D961" s="93">
        <v>10.07</v>
      </c>
      <c r="E961" s="93">
        <v>0</v>
      </c>
      <c r="F961" s="93">
        <v>0</v>
      </c>
      <c r="G961" s="93">
        <v>10.07</v>
      </c>
      <c r="H961" s="93">
        <v>0</v>
      </c>
      <c r="N961" s="88"/>
      <c r="O961" s="88"/>
      <c r="P961" s="88"/>
    </row>
    <row r="962" spans="1:16">
      <c r="A962" s="94">
        <v>92137</v>
      </c>
      <c r="B962" s="87" t="s">
        <v>1326</v>
      </c>
      <c r="C962" s="12" t="s">
        <v>10</v>
      </c>
      <c r="D962" s="93">
        <v>23.36</v>
      </c>
      <c r="E962" s="93">
        <v>0</v>
      </c>
      <c r="F962" s="93">
        <v>23.36</v>
      </c>
      <c r="G962" s="93">
        <v>0</v>
      </c>
      <c r="H962" s="93">
        <v>0</v>
      </c>
      <c r="N962" s="88"/>
      <c r="O962" s="88"/>
      <c r="P962" s="88"/>
    </row>
    <row r="963" spans="1:16">
      <c r="A963" s="94">
        <v>92140</v>
      </c>
      <c r="B963" s="87" t="s">
        <v>173</v>
      </c>
      <c r="C963" s="12" t="s">
        <v>10</v>
      </c>
      <c r="D963" s="93">
        <v>2.4500000000000002</v>
      </c>
      <c r="E963" s="93">
        <v>0</v>
      </c>
      <c r="F963" s="93">
        <v>0</v>
      </c>
      <c r="G963" s="93">
        <v>2.4500000000000002</v>
      </c>
      <c r="H963" s="93">
        <v>0</v>
      </c>
      <c r="N963" s="88"/>
      <c r="O963" s="88"/>
      <c r="P963" s="88"/>
    </row>
    <row r="964" spans="1:16">
      <c r="A964" s="94">
        <v>92141</v>
      </c>
      <c r="B964" s="87" t="s">
        <v>174</v>
      </c>
      <c r="C964" s="12" t="s">
        <v>10</v>
      </c>
      <c r="D964" s="93">
        <v>0.38</v>
      </c>
      <c r="E964" s="93">
        <v>0</v>
      </c>
      <c r="F964" s="93">
        <v>0</v>
      </c>
      <c r="G964" s="93">
        <v>0.38</v>
      </c>
      <c r="H964" s="93">
        <v>0</v>
      </c>
      <c r="N964" s="88"/>
      <c r="O964" s="88"/>
      <c r="P964" s="88"/>
    </row>
    <row r="965" spans="1:16">
      <c r="A965" s="94">
        <v>92142</v>
      </c>
      <c r="B965" s="87" t="s">
        <v>175</v>
      </c>
      <c r="C965" s="12" t="s">
        <v>10</v>
      </c>
      <c r="D965" s="93">
        <v>0.15</v>
      </c>
      <c r="E965" s="93">
        <v>0</v>
      </c>
      <c r="F965" s="93">
        <v>0</v>
      </c>
      <c r="G965" s="93">
        <v>0.15</v>
      </c>
      <c r="H965" s="93">
        <v>0</v>
      </c>
      <c r="N965" s="88"/>
      <c r="O965" s="88"/>
      <c r="P965" s="88"/>
    </row>
    <row r="966" spans="1:16">
      <c r="A966" s="94">
        <v>92143</v>
      </c>
      <c r="B966" s="87" t="s">
        <v>176</v>
      </c>
      <c r="C966" s="12" t="s">
        <v>10</v>
      </c>
      <c r="D966" s="93">
        <v>3.07</v>
      </c>
      <c r="E966" s="93">
        <v>0</v>
      </c>
      <c r="F966" s="93">
        <v>0</v>
      </c>
      <c r="G966" s="93">
        <v>3.07</v>
      </c>
      <c r="H966" s="93">
        <v>0</v>
      </c>
      <c r="N966" s="88"/>
      <c r="O966" s="88"/>
      <c r="P966" s="88"/>
    </row>
    <row r="967" spans="1:16">
      <c r="A967" s="94">
        <v>92144</v>
      </c>
      <c r="B967" s="87" t="s">
        <v>177</v>
      </c>
      <c r="C967" s="12" t="s">
        <v>10</v>
      </c>
      <c r="D967" s="93">
        <v>31.71</v>
      </c>
      <c r="E967" s="93">
        <v>0</v>
      </c>
      <c r="F967" s="93">
        <v>31.71</v>
      </c>
      <c r="G967" s="93">
        <v>0</v>
      </c>
      <c r="H967" s="93">
        <v>0</v>
      </c>
      <c r="N967" s="88"/>
      <c r="O967" s="88"/>
      <c r="P967" s="88"/>
    </row>
    <row r="968" spans="1:16">
      <c r="A968" s="94">
        <v>92237</v>
      </c>
      <c r="B968" s="87" t="s">
        <v>1327</v>
      </c>
      <c r="C968" s="12" t="s">
        <v>10</v>
      </c>
      <c r="D968" s="93">
        <v>16.72</v>
      </c>
      <c r="E968" s="93">
        <v>0</v>
      </c>
      <c r="F968" s="93">
        <v>0</v>
      </c>
      <c r="G968" s="93">
        <v>16.72</v>
      </c>
      <c r="H968" s="93">
        <v>0</v>
      </c>
      <c r="N968" s="88"/>
      <c r="O968" s="88"/>
      <c r="P968" s="88"/>
    </row>
    <row r="969" spans="1:16">
      <c r="A969" s="94">
        <v>92238</v>
      </c>
      <c r="B969" s="87" t="s">
        <v>1328</v>
      </c>
      <c r="C969" s="12" t="s">
        <v>10</v>
      </c>
      <c r="D969" s="93">
        <v>3.51</v>
      </c>
      <c r="E969" s="93">
        <v>0</v>
      </c>
      <c r="F969" s="93">
        <v>0</v>
      </c>
      <c r="G969" s="93">
        <v>3.51</v>
      </c>
      <c r="H969" s="93">
        <v>0</v>
      </c>
      <c r="N969" s="88"/>
      <c r="O969" s="88"/>
      <c r="P969" s="88"/>
    </row>
    <row r="970" spans="1:16">
      <c r="A970" s="94">
        <v>92239</v>
      </c>
      <c r="B970" s="87" t="s">
        <v>1329</v>
      </c>
      <c r="C970" s="12" t="s">
        <v>10</v>
      </c>
      <c r="D970" s="93">
        <v>1.36</v>
      </c>
      <c r="E970" s="93">
        <v>0</v>
      </c>
      <c r="F970" s="93">
        <v>0</v>
      </c>
      <c r="G970" s="93">
        <v>1.36</v>
      </c>
      <c r="H970" s="93">
        <v>0</v>
      </c>
      <c r="N970" s="88"/>
      <c r="O970" s="88"/>
      <c r="P970" s="88"/>
    </row>
    <row r="971" spans="1:16">
      <c r="A971" s="94">
        <v>92240</v>
      </c>
      <c r="B971" s="87" t="s">
        <v>1330</v>
      </c>
      <c r="C971" s="12" t="s">
        <v>10</v>
      </c>
      <c r="D971" s="93">
        <v>31.36</v>
      </c>
      <c r="E971" s="93">
        <v>0</v>
      </c>
      <c r="F971" s="93">
        <v>0</v>
      </c>
      <c r="G971" s="93">
        <v>31.36</v>
      </c>
      <c r="H971" s="93">
        <v>0</v>
      </c>
      <c r="N971" s="88"/>
      <c r="O971" s="88"/>
      <c r="P971" s="88"/>
    </row>
    <row r="972" spans="1:16">
      <c r="A972" s="94">
        <v>92241</v>
      </c>
      <c r="B972" s="87" t="s">
        <v>1331</v>
      </c>
      <c r="C972" s="12" t="s">
        <v>10</v>
      </c>
      <c r="D972" s="93">
        <v>162.9</v>
      </c>
      <c r="E972" s="93">
        <v>0</v>
      </c>
      <c r="F972" s="93">
        <v>162.9</v>
      </c>
      <c r="G972" s="93">
        <v>0</v>
      </c>
      <c r="H972" s="93">
        <v>0</v>
      </c>
      <c r="N972" s="88"/>
      <c r="O972" s="88"/>
      <c r="P972" s="88"/>
    </row>
    <row r="973" spans="1:16">
      <c r="A973" s="94">
        <v>92712</v>
      </c>
      <c r="B973" s="87" t="s">
        <v>1332</v>
      </c>
      <c r="C973" s="12" t="s">
        <v>10</v>
      </c>
      <c r="D973" s="93">
        <v>0.18</v>
      </c>
      <c r="E973" s="93">
        <v>0</v>
      </c>
      <c r="F973" s="93">
        <v>0</v>
      </c>
      <c r="G973" s="93">
        <v>0.18</v>
      </c>
      <c r="H973" s="93">
        <v>0</v>
      </c>
      <c r="N973" s="88"/>
      <c r="O973" s="88"/>
      <c r="P973" s="88"/>
    </row>
    <row r="974" spans="1:16">
      <c r="A974" s="94">
        <v>92713</v>
      </c>
      <c r="B974" s="87" t="s">
        <v>1333</v>
      </c>
      <c r="C974" s="12" t="s">
        <v>10</v>
      </c>
      <c r="D974" s="93">
        <v>0.02</v>
      </c>
      <c r="E974" s="93">
        <v>0</v>
      </c>
      <c r="F974" s="93">
        <v>0</v>
      </c>
      <c r="G974" s="93">
        <v>0.02</v>
      </c>
      <c r="H974" s="93">
        <v>0</v>
      </c>
      <c r="N974" s="88"/>
      <c r="O974" s="88"/>
      <c r="P974" s="88"/>
    </row>
    <row r="975" spans="1:16">
      <c r="A975" s="94">
        <v>92714</v>
      </c>
      <c r="B975" s="87" t="s">
        <v>1334</v>
      </c>
      <c r="C975" s="12" t="s">
        <v>10</v>
      </c>
      <c r="D975" s="93">
        <v>0.23</v>
      </c>
      <c r="E975" s="93">
        <v>0</v>
      </c>
      <c r="F975" s="93">
        <v>0</v>
      </c>
      <c r="G975" s="93">
        <v>0.23</v>
      </c>
      <c r="H975" s="93">
        <v>0</v>
      </c>
      <c r="N975" s="88"/>
      <c r="O975" s="88"/>
      <c r="P975" s="88"/>
    </row>
    <row r="976" spans="1:16">
      <c r="A976" s="94">
        <v>92715</v>
      </c>
      <c r="B976" s="87" t="s">
        <v>1335</v>
      </c>
      <c r="C976" s="12" t="s">
        <v>10</v>
      </c>
      <c r="D976" s="93">
        <v>16.12</v>
      </c>
      <c r="E976" s="93">
        <v>0</v>
      </c>
      <c r="F976" s="93">
        <v>16.12</v>
      </c>
      <c r="G976" s="93">
        <v>0</v>
      </c>
      <c r="H976" s="93">
        <v>0</v>
      </c>
      <c r="N976" s="88"/>
      <c r="O976" s="88"/>
      <c r="P976" s="88"/>
    </row>
    <row r="977" spans="1:16">
      <c r="A977" s="94">
        <v>92956</v>
      </c>
      <c r="B977" s="87" t="s">
        <v>1336</v>
      </c>
      <c r="C977" s="12" t="s">
        <v>10</v>
      </c>
      <c r="D977" s="93">
        <v>3.03</v>
      </c>
      <c r="E977" s="93">
        <v>0</v>
      </c>
      <c r="F977" s="93">
        <v>0</v>
      </c>
      <c r="G977" s="93">
        <v>3.03</v>
      </c>
      <c r="H977" s="93">
        <v>0</v>
      </c>
      <c r="N977" s="88"/>
      <c r="O977" s="88"/>
      <c r="P977" s="88"/>
    </row>
    <row r="978" spans="1:16">
      <c r="A978" s="94">
        <v>92957</v>
      </c>
      <c r="B978" s="87" t="s">
        <v>1337</v>
      </c>
      <c r="C978" s="12" t="s">
        <v>10</v>
      </c>
      <c r="D978" s="93">
        <v>0.36</v>
      </c>
      <c r="E978" s="93">
        <v>0</v>
      </c>
      <c r="F978" s="93">
        <v>0</v>
      </c>
      <c r="G978" s="93">
        <v>0.36</v>
      </c>
      <c r="H978" s="93">
        <v>0</v>
      </c>
      <c r="N978" s="88"/>
      <c r="O978" s="88"/>
      <c r="P978" s="88"/>
    </row>
    <row r="979" spans="1:16">
      <c r="A979" s="94">
        <v>92958</v>
      </c>
      <c r="B979" s="87" t="s">
        <v>1338</v>
      </c>
      <c r="C979" s="12" t="s">
        <v>10</v>
      </c>
      <c r="D979" s="93">
        <v>3.31</v>
      </c>
      <c r="E979" s="93">
        <v>0</v>
      </c>
      <c r="F979" s="93">
        <v>0</v>
      </c>
      <c r="G979" s="93">
        <v>3.31</v>
      </c>
      <c r="H979" s="93">
        <v>0</v>
      </c>
      <c r="N979" s="88"/>
      <c r="O979" s="88"/>
      <c r="P979" s="88"/>
    </row>
    <row r="980" spans="1:16">
      <c r="A980" s="94">
        <v>92959</v>
      </c>
      <c r="B980" s="87" t="s">
        <v>1339</v>
      </c>
      <c r="C980" s="12" t="s">
        <v>10</v>
      </c>
      <c r="D980" s="93">
        <v>5.47</v>
      </c>
      <c r="E980" s="93">
        <v>0</v>
      </c>
      <c r="F980" s="93">
        <v>5.47</v>
      </c>
      <c r="G980" s="93">
        <v>0</v>
      </c>
      <c r="H980" s="93">
        <v>0</v>
      </c>
      <c r="N980" s="88"/>
      <c r="O980" s="88"/>
      <c r="P980" s="88"/>
    </row>
    <row r="981" spans="1:16">
      <c r="A981" s="94">
        <v>92963</v>
      </c>
      <c r="B981" s="87" t="s">
        <v>1340</v>
      </c>
      <c r="C981" s="12" t="s">
        <v>10</v>
      </c>
      <c r="D981" s="93">
        <v>1.1399999999999999</v>
      </c>
      <c r="E981" s="93">
        <v>0</v>
      </c>
      <c r="F981" s="93">
        <v>0</v>
      </c>
      <c r="G981" s="93">
        <v>1.1399999999999999</v>
      </c>
      <c r="H981" s="93">
        <v>0</v>
      </c>
      <c r="N981" s="88"/>
      <c r="O981" s="88"/>
      <c r="P981" s="88"/>
    </row>
    <row r="982" spans="1:16">
      <c r="A982" s="94">
        <v>92964</v>
      </c>
      <c r="B982" s="87" t="s">
        <v>178</v>
      </c>
      <c r="C982" s="12" t="s">
        <v>10</v>
      </c>
      <c r="D982" s="93">
        <v>0.13</v>
      </c>
      <c r="E982" s="93">
        <v>0</v>
      </c>
      <c r="F982" s="93">
        <v>0</v>
      </c>
      <c r="G982" s="93">
        <v>0.13</v>
      </c>
      <c r="H982" s="93">
        <v>0</v>
      </c>
      <c r="N982" s="88"/>
      <c r="O982" s="88"/>
      <c r="P982" s="88"/>
    </row>
    <row r="983" spans="1:16">
      <c r="A983" s="94">
        <v>92965</v>
      </c>
      <c r="B983" s="87" t="s">
        <v>1341</v>
      </c>
      <c r="C983" s="12" t="s">
        <v>10</v>
      </c>
      <c r="D983" s="93">
        <v>1.42</v>
      </c>
      <c r="E983" s="93">
        <v>0</v>
      </c>
      <c r="F983" s="93">
        <v>0</v>
      </c>
      <c r="G983" s="93">
        <v>1.42</v>
      </c>
      <c r="H983" s="93">
        <v>0</v>
      </c>
      <c r="N983" s="88"/>
      <c r="O983" s="88"/>
      <c r="P983" s="88"/>
    </row>
    <row r="984" spans="1:16">
      <c r="A984" s="94">
        <v>93220</v>
      </c>
      <c r="B984" s="87" t="s">
        <v>1342</v>
      </c>
      <c r="C984" s="12" t="s">
        <v>10</v>
      </c>
      <c r="D984" s="93">
        <v>191.17</v>
      </c>
      <c r="E984" s="93">
        <v>0</v>
      </c>
      <c r="F984" s="93">
        <v>0</v>
      </c>
      <c r="G984" s="93">
        <v>191.17</v>
      </c>
      <c r="H984" s="93">
        <v>0</v>
      </c>
      <c r="N984" s="88"/>
      <c r="O984" s="88"/>
      <c r="P984" s="88"/>
    </row>
    <row r="985" spans="1:16">
      <c r="A985" s="94">
        <v>93221</v>
      </c>
      <c r="B985" s="87" t="s">
        <v>1343</v>
      </c>
      <c r="C985" s="12" t="s">
        <v>10</v>
      </c>
      <c r="D985" s="93">
        <v>26.54</v>
      </c>
      <c r="E985" s="93">
        <v>0</v>
      </c>
      <c r="F985" s="93">
        <v>0</v>
      </c>
      <c r="G985" s="93">
        <v>26.54</v>
      </c>
      <c r="H985" s="93">
        <v>0</v>
      </c>
      <c r="N985" s="88"/>
      <c r="O985" s="88"/>
      <c r="P985" s="88"/>
    </row>
    <row r="986" spans="1:16">
      <c r="A986" s="94">
        <v>93222</v>
      </c>
      <c r="B986" s="87" t="s">
        <v>1344</v>
      </c>
      <c r="C986" s="12" t="s">
        <v>10</v>
      </c>
      <c r="D986" s="93">
        <v>239.24</v>
      </c>
      <c r="E986" s="93">
        <v>0</v>
      </c>
      <c r="F986" s="93">
        <v>0</v>
      </c>
      <c r="G986" s="93">
        <v>239.24</v>
      </c>
      <c r="H986" s="93">
        <v>0</v>
      </c>
      <c r="N986" s="88"/>
      <c r="O986" s="88"/>
      <c r="P986" s="88"/>
    </row>
    <row r="987" spans="1:16">
      <c r="A987" s="94">
        <v>93223</v>
      </c>
      <c r="B987" s="87" t="s">
        <v>1345</v>
      </c>
      <c r="C987" s="12" t="s">
        <v>10</v>
      </c>
      <c r="D987" s="93">
        <v>92.2</v>
      </c>
      <c r="E987" s="93">
        <v>0</v>
      </c>
      <c r="F987" s="93">
        <v>92.2</v>
      </c>
      <c r="G987" s="93">
        <v>0</v>
      </c>
      <c r="H987" s="93">
        <v>0</v>
      </c>
      <c r="N987" s="88"/>
      <c r="O987" s="88"/>
      <c r="P987" s="88"/>
    </row>
    <row r="988" spans="1:16">
      <c r="A988" s="94">
        <v>93229</v>
      </c>
      <c r="B988" s="87" t="s">
        <v>179</v>
      </c>
      <c r="C988" s="12" t="s">
        <v>10</v>
      </c>
      <c r="D988" s="93">
        <v>0.3</v>
      </c>
      <c r="E988" s="93">
        <v>0</v>
      </c>
      <c r="F988" s="93">
        <v>0</v>
      </c>
      <c r="G988" s="93">
        <v>0.3</v>
      </c>
      <c r="H988" s="93">
        <v>0</v>
      </c>
      <c r="N988" s="88"/>
      <c r="O988" s="88"/>
      <c r="P988" s="88"/>
    </row>
    <row r="989" spans="1:16">
      <c r="A989" s="94">
        <v>93230</v>
      </c>
      <c r="B989" s="87" t="s">
        <v>180</v>
      </c>
      <c r="C989" s="12" t="s">
        <v>10</v>
      </c>
      <c r="D989" s="93">
        <v>0.03</v>
      </c>
      <c r="E989" s="93">
        <v>0</v>
      </c>
      <c r="F989" s="93">
        <v>0</v>
      </c>
      <c r="G989" s="93">
        <v>0.03</v>
      </c>
      <c r="H989" s="93">
        <v>0</v>
      </c>
      <c r="N989" s="88"/>
      <c r="O989" s="88"/>
      <c r="P989" s="88"/>
    </row>
    <row r="990" spans="1:16">
      <c r="A990" s="94">
        <v>93231</v>
      </c>
      <c r="B990" s="87" t="s">
        <v>181</v>
      </c>
      <c r="C990" s="12" t="s">
        <v>10</v>
      </c>
      <c r="D990" s="93">
        <v>0.28000000000000003</v>
      </c>
      <c r="E990" s="93">
        <v>0</v>
      </c>
      <c r="F990" s="93">
        <v>0</v>
      </c>
      <c r="G990" s="93">
        <v>0.28000000000000003</v>
      </c>
      <c r="H990" s="93">
        <v>0</v>
      </c>
      <c r="N990" s="88"/>
      <c r="O990" s="88"/>
      <c r="P990" s="88"/>
    </row>
    <row r="991" spans="1:16">
      <c r="A991" s="94">
        <v>93232</v>
      </c>
      <c r="B991" s="87" t="s">
        <v>1346</v>
      </c>
      <c r="C991" s="12" t="s">
        <v>10</v>
      </c>
      <c r="D991" s="93">
        <v>6.82</v>
      </c>
      <c r="E991" s="93">
        <v>0</v>
      </c>
      <c r="F991" s="93">
        <v>6.82</v>
      </c>
      <c r="G991" s="93">
        <v>0</v>
      </c>
      <c r="H991" s="93">
        <v>0</v>
      </c>
      <c r="N991" s="88"/>
      <c r="O991" s="88"/>
      <c r="P991" s="88"/>
    </row>
    <row r="992" spans="1:16">
      <c r="A992" s="94">
        <v>93235</v>
      </c>
      <c r="B992" s="87" t="s">
        <v>1347</v>
      </c>
      <c r="C992" s="12" t="s">
        <v>10</v>
      </c>
      <c r="D992" s="93">
        <v>0.79</v>
      </c>
      <c r="E992" s="93">
        <v>0</v>
      </c>
      <c r="F992" s="93">
        <v>0</v>
      </c>
      <c r="G992" s="93">
        <v>0.79</v>
      </c>
      <c r="H992" s="93">
        <v>0</v>
      </c>
      <c r="N992" s="88"/>
      <c r="O992" s="88"/>
      <c r="P992" s="88"/>
    </row>
    <row r="993" spans="1:16">
      <c r="A993" s="94">
        <v>93238</v>
      </c>
      <c r="B993" s="87" t="s">
        <v>1348</v>
      </c>
      <c r="C993" s="12" t="s">
        <v>10</v>
      </c>
      <c r="D993" s="93">
        <v>0.67</v>
      </c>
      <c r="E993" s="93">
        <v>0</v>
      </c>
      <c r="F993" s="93">
        <v>0</v>
      </c>
      <c r="G993" s="93">
        <v>0.67</v>
      </c>
      <c r="H993" s="93">
        <v>0</v>
      </c>
      <c r="N993" s="88"/>
      <c r="O993" s="88"/>
      <c r="P993" s="88"/>
    </row>
    <row r="994" spans="1:16">
      <c r="A994" s="94">
        <v>93239</v>
      </c>
      <c r="B994" s="87" t="s">
        <v>1349</v>
      </c>
      <c r="C994" s="12" t="s">
        <v>10</v>
      </c>
      <c r="D994" s="93">
        <v>3.07</v>
      </c>
      <c r="E994" s="93">
        <v>0</v>
      </c>
      <c r="F994" s="93">
        <v>0</v>
      </c>
      <c r="G994" s="93">
        <v>3.07</v>
      </c>
      <c r="H994" s="93">
        <v>0</v>
      </c>
      <c r="N994" s="88"/>
      <c r="O994" s="88"/>
      <c r="P994" s="88"/>
    </row>
    <row r="995" spans="1:16">
      <c r="A995" s="94">
        <v>93240</v>
      </c>
      <c r="B995" s="87" t="s">
        <v>1350</v>
      </c>
      <c r="C995" s="12" t="s">
        <v>10</v>
      </c>
      <c r="D995" s="93">
        <v>7.06</v>
      </c>
      <c r="E995" s="93">
        <v>0</v>
      </c>
      <c r="F995" s="93">
        <v>7.06</v>
      </c>
      <c r="G995" s="93">
        <v>0</v>
      </c>
      <c r="H995" s="93">
        <v>0</v>
      </c>
      <c r="N995" s="88"/>
      <c r="O995" s="88"/>
      <c r="P995" s="88"/>
    </row>
    <row r="996" spans="1:16">
      <c r="A996" s="94">
        <v>93267</v>
      </c>
      <c r="B996" s="87" t="s">
        <v>1351</v>
      </c>
      <c r="C996" s="12" t="s">
        <v>10</v>
      </c>
      <c r="D996" s="93">
        <v>25.26</v>
      </c>
      <c r="E996" s="93">
        <v>0</v>
      </c>
      <c r="F996" s="93">
        <v>0</v>
      </c>
      <c r="G996" s="93">
        <v>25.26</v>
      </c>
      <c r="H996" s="93">
        <v>0</v>
      </c>
      <c r="N996" s="88"/>
      <c r="O996" s="88"/>
      <c r="P996" s="88"/>
    </row>
    <row r="997" spans="1:16">
      <c r="A997" s="94">
        <v>93269</v>
      </c>
      <c r="B997" s="87" t="s">
        <v>1352</v>
      </c>
      <c r="C997" s="12" t="s">
        <v>10</v>
      </c>
      <c r="D997" s="93">
        <v>2.99</v>
      </c>
      <c r="E997" s="93">
        <v>0</v>
      </c>
      <c r="F997" s="93">
        <v>0</v>
      </c>
      <c r="G997" s="93">
        <v>2.99</v>
      </c>
      <c r="H997" s="93">
        <v>0</v>
      </c>
      <c r="N997" s="88"/>
      <c r="O997" s="88"/>
      <c r="P997" s="88"/>
    </row>
    <row r="998" spans="1:16">
      <c r="A998" s="94">
        <v>93270</v>
      </c>
      <c r="B998" s="87" t="s">
        <v>1353</v>
      </c>
      <c r="C998" s="12" t="s">
        <v>10</v>
      </c>
      <c r="D998" s="93">
        <v>27.63</v>
      </c>
      <c r="E998" s="93">
        <v>0</v>
      </c>
      <c r="F998" s="93">
        <v>0</v>
      </c>
      <c r="G998" s="93">
        <v>27.63</v>
      </c>
      <c r="H998" s="93">
        <v>0</v>
      </c>
      <c r="N998" s="88"/>
      <c r="O998" s="88"/>
      <c r="P998" s="88"/>
    </row>
    <row r="999" spans="1:16">
      <c r="A999" s="94">
        <v>93271</v>
      </c>
      <c r="B999" s="87" t="s">
        <v>1354</v>
      </c>
      <c r="C999" s="12" t="s">
        <v>10</v>
      </c>
      <c r="D999" s="93">
        <v>7.66</v>
      </c>
      <c r="E999" s="93">
        <v>0</v>
      </c>
      <c r="F999" s="93">
        <v>0</v>
      </c>
      <c r="G999" s="93">
        <v>0</v>
      </c>
      <c r="H999" s="93">
        <v>0</v>
      </c>
      <c r="N999" s="88"/>
      <c r="O999" s="88"/>
      <c r="P999" s="88"/>
    </row>
    <row r="1000" spans="1:16">
      <c r="A1000" s="94">
        <v>93277</v>
      </c>
      <c r="B1000" s="87" t="s">
        <v>1355</v>
      </c>
      <c r="C1000" s="12" t="s">
        <v>10</v>
      </c>
      <c r="D1000" s="93">
        <v>0.31</v>
      </c>
      <c r="E1000" s="93">
        <v>0</v>
      </c>
      <c r="F1000" s="93">
        <v>0</v>
      </c>
      <c r="G1000" s="93">
        <v>0.31</v>
      </c>
      <c r="H1000" s="93">
        <v>0</v>
      </c>
      <c r="N1000" s="88"/>
      <c r="O1000" s="88"/>
      <c r="P1000" s="88"/>
    </row>
    <row r="1001" spans="1:16">
      <c r="A1001" s="94">
        <v>93278</v>
      </c>
      <c r="B1001" s="87" t="s">
        <v>1356</v>
      </c>
      <c r="C1001" s="12" t="s">
        <v>10</v>
      </c>
      <c r="D1001" s="93">
        <v>0.03</v>
      </c>
      <c r="E1001" s="93">
        <v>0</v>
      </c>
      <c r="F1001" s="93">
        <v>0</v>
      </c>
      <c r="G1001" s="93">
        <v>0.03</v>
      </c>
      <c r="H1001" s="93">
        <v>0</v>
      </c>
      <c r="N1001" s="88"/>
      <c r="O1001" s="88"/>
      <c r="P1001" s="88"/>
    </row>
    <row r="1002" spans="1:16">
      <c r="A1002" s="94">
        <v>93279</v>
      </c>
      <c r="B1002" s="87" t="s">
        <v>1357</v>
      </c>
      <c r="C1002" s="12" t="s">
        <v>10</v>
      </c>
      <c r="D1002" s="93">
        <v>0.28999999999999998</v>
      </c>
      <c r="E1002" s="93">
        <v>0</v>
      </c>
      <c r="F1002" s="93">
        <v>0</v>
      </c>
      <c r="G1002" s="93">
        <v>0.28999999999999998</v>
      </c>
      <c r="H1002" s="93">
        <v>0</v>
      </c>
      <c r="N1002" s="88"/>
      <c r="O1002" s="88"/>
      <c r="P1002" s="88"/>
    </row>
    <row r="1003" spans="1:16">
      <c r="A1003" s="94">
        <v>93280</v>
      </c>
      <c r="B1003" s="87" t="s">
        <v>1358</v>
      </c>
      <c r="C1003" s="12" t="s">
        <v>10</v>
      </c>
      <c r="D1003" s="93">
        <v>0.63</v>
      </c>
      <c r="E1003" s="93">
        <v>0</v>
      </c>
      <c r="F1003" s="93">
        <v>0</v>
      </c>
      <c r="G1003" s="93">
        <v>0</v>
      </c>
      <c r="H1003" s="93">
        <v>0</v>
      </c>
      <c r="N1003" s="88"/>
      <c r="O1003" s="88"/>
      <c r="P1003" s="88"/>
    </row>
    <row r="1004" spans="1:16">
      <c r="A1004" s="94">
        <v>93283</v>
      </c>
      <c r="B1004" s="87" t="s">
        <v>1359</v>
      </c>
      <c r="C1004" s="12" t="s">
        <v>10</v>
      </c>
      <c r="D1004" s="93">
        <v>53.09</v>
      </c>
      <c r="E1004" s="93">
        <v>0</v>
      </c>
      <c r="F1004" s="93">
        <v>0</v>
      </c>
      <c r="G1004" s="93">
        <v>53.09</v>
      </c>
      <c r="H1004" s="93">
        <v>0</v>
      </c>
      <c r="N1004" s="88"/>
      <c r="O1004" s="88"/>
      <c r="P1004" s="88"/>
    </row>
    <row r="1005" spans="1:16">
      <c r="A1005" s="94">
        <v>93284</v>
      </c>
      <c r="B1005" s="87" t="s">
        <v>1360</v>
      </c>
      <c r="C1005" s="12" t="s">
        <v>10</v>
      </c>
      <c r="D1005" s="93">
        <v>10.08</v>
      </c>
      <c r="E1005" s="93">
        <v>0</v>
      </c>
      <c r="F1005" s="93">
        <v>0</v>
      </c>
      <c r="G1005" s="93">
        <v>10.08</v>
      </c>
      <c r="H1005" s="93">
        <v>0</v>
      </c>
      <c r="N1005" s="88"/>
      <c r="O1005" s="88"/>
      <c r="P1005" s="88"/>
    </row>
    <row r="1006" spans="1:16">
      <c r="A1006" s="94">
        <v>93285</v>
      </c>
      <c r="B1006" s="87" t="s">
        <v>1361</v>
      </c>
      <c r="C1006" s="12" t="s">
        <v>10</v>
      </c>
      <c r="D1006" s="93">
        <v>85.35</v>
      </c>
      <c r="E1006" s="93">
        <v>0</v>
      </c>
      <c r="F1006" s="93">
        <v>0</v>
      </c>
      <c r="G1006" s="93">
        <v>85.35</v>
      </c>
      <c r="H1006" s="93">
        <v>0</v>
      </c>
      <c r="N1006" s="88"/>
      <c r="O1006" s="88"/>
      <c r="P1006" s="88"/>
    </row>
    <row r="1007" spans="1:16">
      <c r="A1007" s="94">
        <v>93286</v>
      </c>
      <c r="B1007" s="87" t="s">
        <v>1362</v>
      </c>
      <c r="C1007" s="12" t="s">
        <v>10</v>
      </c>
      <c r="D1007" s="93">
        <v>181.22</v>
      </c>
      <c r="E1007" s="93">
        <v>0</v>
      </c>
      <c r="F1007" s="93">
        <v>0</v>
      </c>
      <c r="G1007" s="93">
        <v>0</v>
      </c>
      <c r="H1007" s="93">
        <v>0</v>
      </c>
      <c r="N1007" s="88"/>
      <c r="O1007" s="88"/>
      <c r="P1007" s="88"/>
    </row>
    <row r="1008" spans="1:16">
      <c r="A1008" s="94">
        <v>93296</v>
      </c>
      <c r="B1008" s="87" t="s">
        <v>1363</v>
      </c>
      <c r="C1008" s="12" t="s">
        <v>10</v>
      </c>
      <c r="D1008" s="93">
        <v>3.71</v>
      </c>
      <c r="E1008" s="93">
        <v>0</v>
      </c>
      <c r="F1008" s="93">
        <v>0</v>
      </c>
      <c r="G1008" s="93">
        <v>3.71</v>
      </c>
      <c r="H1008" s="93">
        <v>0</v>
      </c>
      <c r="N1008" s="88"/>
      <c r="O1008" s="88"/>
      <c r="P1008" s="88"/>
    </row>
    <row r="1009" spans="1:16">
      <c r="A1009" s="94">
        <v>93397</v>
      </c>
      <c r="B1009" s="87" t="s">
        <v>1364</v>
      </c>
      <c r="C1009" s="12" t="s">
        <v>10</v>
      </c>
      <c r="D1009" s="93">
        <v>9.26</v>
      </c>
      <c r="E1009" s="93">
        <v>0</v>
      </c>
      <c r="F1009" s="93">
        <v>0</v>
      </c>
      <c r="G1009" s="93">
        <v>9.26</v>
      </c>
      <c r="H1009" s="93">
        <v>0</v>
      </c>
      <c r="N1009" s="88"/>
      <c r="O1009" s="88"/>
      <c r="P1009" s="88"/>
    </row>
    <row r="1010" spans="1:16">
      <c r="A1010" s="94">
        <v>93398</v>
      </c>
      <c r="B1010" s="87" t="s">
        <v>1365</v>
      </c>
      <c r="C1010" s="12" t="s">
        <v>10</v>
      </c>
      <c r="D1010" s="93">
        <v>1.94</v>
      </c>
      <c r="E1010" s="93">
        <v>0</v>
      </c>
      <c r="F1010" s="93">
        <v>0</v>
      </c>
      <c r="G1010" s="93">
        <v>1.94</v>
      </c>
      <c r="H1010" s="93">
        <v>0</v>
      </c>
      <c r="N1010" s="88"/>
      <c r="O1010" s="88"/>
      <c r="P1010" s="88"/>
    </row>
    <row r="1011" spans="1:16">
      <c r="A1011" s="94">
        <v>93399</v>
      </c>
      <c r="B1011" s="87" t="s">
        <v>1366</v>
      </c>
      <c r="C1011" s="12" t="s">
        <v>10</v>
      </c>
      <c r="D1011" s="93">
        <v>0.75</v>
      </c>
      <c r="E1011" s="93">
        <v>0</v>
      </c>
      <c r="F1011" s="93">
        <v>0</v>
      </c>
      <c r="G1011" s="93">
        <v>0.75</v>
      </c>
      <c r="H1011" s="93">
        <v>0</v>
      </c>
      <c r="N1011" s="88"/>
      <c r="O1011" s="88"/>
      <c r="P1011" s="88"/>
    </row>
    <row r="1012" spans="1:16">
      <c r="A1012" s="94">
        <v>93400</v>
      </c>
      <c r="B1012" s="87" t="s">
        <v>1367</v>
      </c>
      <c r="C1012" s="12" t="s">
        <v>10</v>
      </c>
      <c r="D1012" s="93">
        <v>17.38</v>
      </c>
      <c r="E1012" s="93">
        <v>0</v>
      </c>
      <c r="F1012" s="93">
        <v>0</v>
      </c>
      <c r="G1012" s="93">
        <v>17.38</v>
      </c>
      <c r="H1012" s="93">
        <v>0</v>
      </c>
      <c r="N1012" s="88"/>
      <c r="O1012" s="88"/>
      <c r="P1012" s="88"/>
    </row>
    <row r="1013" spans="1:16">
      <c r="A1013" s="94">
        <v>93401</v>
      </c>
      <c r="B1013" s="87" t="s">
        <v>1368</v>
      </c>
      <c r="C1013" s="12" t="s">
        <v>10</v>
      </c>
      <c r="D1013" s="93">
        <v>93.29</v>
      </c>
      <c r="E1013" s="93">
        <v>0</v>
      </c>
      <c r="F1013" s="93">
        <v>93.29</v>
      </c>
      <c r="G1013" s="93">
        <v>0</v>
      </c>
      <c r="H1013" s="93">
        <v>0</v>
      </c>
      <c r="N1013" s="88"/>
      <c r="O1013" s="88"/>
      <c r="P1013" s="88"/>
    </row>
    <row r="1014" spans="1:16">
      <c r="A1014" s="94">
        <v>93404</v>
      </c>
      <c r="B1014" s="87" t="s">
        <v>1369</v>
      </c>
      <c r="C1014" s="12" t="s">
        <v>10</v>
      </c>
      <c r="D1014" s="93">
        <v>5.26</v>
      </c>
      <c r="E1014" s="93">
        <v>0</v>
      </c>
      <c r="F1014" s="93">
        <v>0</v>
      </c>
      <c r="G1014" s="93">
        <v>5.26</v>
      </c>
      <c r="H1014" s="93">
        <v>0</v>
      </c>
      <c r="N1014" s="88"/>
      <c r="O1014" s="88"/>
      <c r="P1014" s="88"/>
    </row>
    <row r="1015" spans="1:16">
      <c r="A1015" s="94">
        <v>93405</v>
      </c>
      <c r="B1015" s="87" t="s">
        <v>1370</v>
      </c>
      <c r="C1015" s="12" t="s">
        <v>10</v>
      </c>
      <c r="D1015" s="93">
        <v>0.53</v>
      </c>
      <c r="E1015" s="93">
        <v>0</v>
      </c>
      <c r="F1015" s="93">
        <v>0</v>
      </c>
      <c r="G1015" s="93">
        <v>0.53</v>
      </c>
      <c r="H1015" s="93">
        <v>0</v>
      </c>
      <c r="N1015" s="88"/>
      <c r="O1015" s="88"/>
      <c r="P1015" s="88"/>
    </row>
    <row r="1016" spans="1:16">
      <c r="A1016" s="94">
        <v>93406</v>
      </c>
      <c r="B1016" s="87" t="s">
        <v>1371</v>
      </c>
      <c r="C1016" s="12" t="s">
        <v>10</v>
      </c>
      <c r="D1016" s="93">
        <v>6.57</v>
      </c>
      <c r="E1016" s="93">
        <v>0</v>
      </c>
      <c r="F1016" s="93">
        <v>0</v>
      </c>
      <c r="G1016" s="93">
        <v>6.57</v>
      </c>
      <c r="H1016" s="93">
        <v>0</v>
      </c>
      <c r="N1016" s="88"/>
      <c r="O1016" s="88"/>
      <c r="P1016" s="88"/>
    </row>
    <row r="1017" spans="1:16">
      <c r="A1017" s="94">
        <v>93407</v>
      </c>
      <c r="B1017" s="87" t="s">
        <v>1372</v>
      </c>
      <c r="C1017" s="12" t="s">
        <v>10</v>
      </c>
      <c r="D1017" s="93">
        <v>27.81</v>
      </c>
      <c r="E1017" s="93">
        <v>0</v>
      </c>
      <c r="F1017" s="93">
        <v>27.81</v>
      </c>
      <c r="G1017" s="93">
        <v>0</v>
      </c>
      <c r="H1017" s="93">
        <v>0</v>
      </c>
      <c r="N1017" s="88"/>
      <c r="O1017" s="88"/>
      <c r="P1017" s="88"/>
    </row>
    <row r="1018" spans="1:16">
      <c r="A1018" s="94">
        <v>93411</v>
      </c>
      <c r="B1018" s="87" t="s">
        <v>1373</v>
      </c>
      <c r="C1018" s="12" t="s">
        <v>10</v>
      </c>
      <c r="D1018" s="93">
        <v>0.21</v>
      </c>
      <c r="E1018" s="93">
        <v>0</v>
      </c>
      <c r="F1018" s="93">
        <v>0</v>
      </c>
      <c r="G1018" s="93">
        <v>0.21</v>
      </c>
      <c r="H1018" s="93">
        <v>0</v>
      </c>
      <c r="N1018" s="88"/>
      <c r="O1018" s="88"/>
      <c r="P1018" s="88"/>
    </row>
    <row r="1019" spans="1:16">
      <c r="A1019" s="94">
        <v>93412</v>
      </c>
      <c r="B1019" s="87" t="s">
        <v>1374</v>
      </c>
      <c r="C1019" s="12" t="s">
        <v>10</v>
      </c>
      <c r="D1019" s="93">
        <v>0.03</v>
      </c>
      <c r="E1019" s="93">
        <v>0</v>
      </c>
      <c r="F1019" s="93">
        <v>0</v>
      </c>
      <c r="G1019" s="93">
        <v>0.03</v>
      </c>
      <c r="H1019" s="93">
        <v>0</v>
      </c>
      <c r="N1019" s="88"/>
      <c r="O1019" s="88"/>
      <c r="P1019" s="88"/>
    </row>
    <row r="1020" spans="1:16">
      <c r="A1020" s="94">
        <v>93413</v>
      </c>
      <c r="B1020" s="87" t="s">
        <v>1375</v>
      </c>
      <c r="C1020" s="12" t="s">
        <v>10</v>
      </c>
      <c r="D1020" s="93">
        <v>0.18</v>
      </c>
      <c r="E1020" s="93">
        <v>0</v>
      </c>
      <c r="F1020" s="93">
        <v>0</v>
      </c>
      <c r="G1020" s="93">
        <v>0.18</v>
      </c>
      <c r="H1020" s="93">
        <v>0</v>
      </c>
      <c r="N1020" s="88"/>
      <c r="O1020" s="88"/>
      <c r="P1020" s="88"/>
    </row>
    <row r="1021" spans="1:16">
      <c r="A1021" s="94">
        <v>93414</v>
      </c>
      <c r="B1021" s="87" t="s">
        <v>1376</v>
      </c>
      <c r="C1021" s="12" t="s">
        <v>10</v>
      </c>
      <c r="D1021" s="93">
        <v>11.76</v>
      </c>
      <c r="E1021" s="93">
        <v>0</v>
      </c>
      <c r="F1021" s="93">
        <v>11.76</v>
      </c>
      <c r="G1021" s="93">
        <v>0</v>
      </c>
      <c r="H1021" s="93">
        <v>0</v>
      </c>
      <c r="N1021" s="88"/>
      <c r="O1021" s="88"/>
      <c r="P1021" s="88"/>
    </row>
    <row r="1022" spans="1:16">
      <c r="A1022" s="94">
        <v>93417</v>
      </c>
      <c r="B1022" s="87" t="s">
        <v>1377</v>
      </c>
      <c r="C1022" s="12" t="s">
        <v>10</v>
      </c>
      <c r="D1022" s="93">
        <v>2.76</v>
      </c>
      <c r="E1022" s="93">
        <v>0</v>
      </c>
      <c r="F1022" s="93">
        <v>0</v>
      </c>
      <c r="G1022" s="93">
        <v>2.76</v>
      </c>
      <c r="H1022" s="93">
        <v>0</v>
      </c>
      <c r="N1022" s="88"/>
      <c r="O1022" s="88"/>
      <c r="P1022" s="88"/>
    </row>
    <row r="1023" spans="1:16">
      <c r="A1023" s="94">
        <v>93418</v>
      </c>
      <c r="B1023" s="87" t="s">
        <v>1378</v>
      </c>
      <c r="C1023" s="12" t="s">
        <v>10</v>
      </c>
      <c r="D1023" s="93">
        <v>0.49</v>
      </c>
      <c r="E1023" s="93">
        <v>0</v>
      </c>
      <c r="F1023" s="93">
        <v>0</v>
      </c>
      <c r="G1023" s="93">
        <v>0.49</v>
      </c>
      <c r="H1023" s="93">
        <v>0</v>
      </c>
      <c r="N1023" s="88"/>
      <c r="O1023" s="88"/>
      <c r="P1023" s="88"/>
    </row>
    <row r="1024" spans="1:16">
      <c r="A1024" s="94">
        <v>93419</v>
      </c>
      <c r="B1024" s="87" t="s">
        <v>182</v>
      </c>
      <c r="C1024" s="12" t="s">
        <v>10</v>
      </c>
      <c r="D1024" s="93">
        <v>2.46</v>
      </c>
      <c r="E1024" s="93">
        <v>0</v>
      </c>
      <c r="F1024" s="93">
        <v>0</v>
      </c>
      <c r="G1024" s="93">
        <v>2.46</v>
      </c>
      <c r="H1024" s="93">
        <v>0</v>
      </c>
      <c r="N1024" s="88"/>
      <c r="O1024" s="88"/>
      <c r="P1024" s="88"/>
    </row>
    <row r="1025" spans="1:16">
      <c r="A1025" s="94">
        <v>93420</v>
      </c>
      <c r="B1025" s="87" t="s">
        <v>1379</v>
      </c>
      <c r="C1025" s="12" t="s">
        <v>10</v>
      </c>
      <c r="D1025" s="93">
        <v>39.57</v>
      </c>
      <c r="E1025" s="93">
        <v>0</v>
      </c>
      <c r="F1025" s="93">
        <v>39.57</v>
      </c>
      <c r="G1025" s="93">
        <v>0</v>
      </c>
      <c r="H1025" s="93">
        <v>0</v>
      </c>
      <c r="N1025" s="88"/>
      <c r="O1025" s="88"/>
      <c r="P1025" s="88"/>
    </row>
    <row r="1026" spans="1:16">
      <c r="A1026" s="94">
        <v>93423</v>
      </c>
      <c r="B1026" s="87" t="s">
        <v>1380</v>
      </c>
      <c r="C1026" s="12" t="s">
        <v>10</v>
      </c>
      <c r="D1026" s="93">
        <v>3.91</v>
      </c>
      <c r="E1026" s="93">
        <v>0</v>
      </c>
      <c r="F1026" s="93">
        <v>0</v>
      </c>
      <c r="G1026" s="93">
        <v>3.91</v>
      </c>
      <c r="H1026" s="93">
        <v>0</v>
      </c>
      <c r="N1026" s="88"/>
      <c r="O1026" s="88"/>
      <c r="P1026" s="88"/>
    </row>
    <row r="1027" spans="1:16">
      <c r="A1027" s="94">
        <v>93424</v>
      </c>
      <c r="B1027" s="87" t="s">
        <v>1381</v>
      </c>
      <c r="C1027" s="12" t="s">
        <v>10</v>
      </c>
      <c r="D1027" s="93">
        <v>0.7</v>
      </c>
      <c r="E1027" s="93">
        <v>0</v>
      </c>
      <c r="F1027" s="93">
        <v>0</v>
      </c>
      <c r="G1027" s="93">
        <v>0.7</v>
      </c>
      <c r="H1027" s="93">
        <v>0</v>
      </c>
      <c r="N1027" s="88"/>
      <c r="O1027" s="88"/>
      <c r="P1027" s="88"/>
    </row>
    <row r="1028" spans="1:16">
      <c r="A1028" s="94">
        <v>93425</v>
      </c>
      <c r="B1028" s="87" t="s">
        <v>1382</v>
      </c>
      <c r="C1028" s="12" t="s">
        <v>10</v>
      </c>
      <c r="D1028" s="93">
        <v>3.48</v>
      </c>
      <c r="E1028" s="93">
        <v>0</v>
      </c>
      <c r="F1028" s="93">
        <v>0</v>
      </c>
      <c r="G1028" s="93">
        <v>3.48</v>
      </c>
      <c r="H1028" s="93">
        <v>0</v>
      </c>
      <c r="N1028" s="88"/>
      <c r="O1028" s="88"/>
      <c r="P1028" s="88"/>
    </row>
    <row r="1029" spans="1:16">
      <c r="A1029" s="94">
        <v>93426</v>
      </c>
      <c r="B1029" s="87" t="s">
        <v>1383</v>
      </c>
      <c r="C1029" s="12" t="s">
        <v>10</v>
      </c>
      <c r="D1029" s="93">
        <v>94.56</v>
      </c>
      <c r="E1029" s="93">
        <v>0</v>
      </c>
      <c r="F1029" s="93">
        <v>94.56</v>
      </c>
      <c r="G1029" s="93">
        <v>0</v>
      </c>
      <c r="H1029" s="93">
        <v>0</v>
      </c>
      <c r="N1029" s="88"/>
      <c r="O1029" s="88"/>
      <c r="P1029" s="88"/>
    </row>
    <row r="1030" spans="1:16">
      <c r="A1030" s="94">
        <v>93429</v>
      </c>
      <c r="B1030" s="87" t="s">
        <v>1384</v>
      </c>
      <c r="C1030" s="12" t="s">
        <v>10</v>
      </c>
      <c r="D1030" s="93">
        <v>68</v>
      </c>
      <c r="E1030" s="93">
        <v>0</v>
      </c>
      <c r="F1030" s="93">
        <v>0</v>
      </c>
      <c r="G1030" s="93">
        <v>68</v>
      </c>
      <c r="H1030" s="93">
        <v>0</v>
      </c>
      <c r="N1030" s="88"/>
      <c r="O1030" s="88"/>
      <c r="P1030" s="88"/>
    </row>
    <row r="1031" spans="1:16">
      <c r="A1031" s="94">
        <v>93430</v>
      </c>
      <c r="B1031" s="87" t="s">
        <v>1385</v>
      </c>
      <c r="C1031" s="12" t="s">
        <v>10</v>
      </c>
      <c r="D1031" s="93">
        <v>12.24</v>
      </c>
      <c r="E1031" s="93">
        <v>0</v>
      </c>
      <c r="F1031" s="93">
        <v>0</v>
      </c>
      <c r="G1031" s="93">
        <v>12.24</v>
      </c>
      <c r="H1031" s="93">
        <v>0</v>
      </c>
      <c r="N1031" s="88"/>
      <c r="O1031" s="88"/>
      <c r="P1031" s="88"/>
    </row>
    <row r="1032" spans="1:16">
      <c r="A1032" s="94">
        <v>93431</v>
      </c>
      <c r="B1032" s="87" t="s">
        <v>1386</v>
      </c>
      <c r="C1032" s="12" t="s">
        <v>10</v>
      </c>
      <c r="D1032" s="93">
        <v>109.31</v>
      </c>
      <c r="E1032" s="93">
        <v>0</v>
      </c>
      <c r="F1032" s="93">
        <v>0</v>
      </c>
      <c r="G1032" s="93">
        <v>109.31</v>
      </c>
      <c r="H1032" s="93">
        <v>0</v>
      </c>
      <c r="N1032" s="88"/>
      <c r="O1032" s="88"/>
      <c r="P1032" s="88"/>
    </row>
    <row r="1033" spans="1:16">
      <c r="A1033" s="94">
        <v>93432</v>
      </c>
      <c r="B1033" s="87" t="s">
        <v>1387</v>
      </c>
      <c r="C1033" s="12" t="s">
        <v>10</v>
      </c>
      <c r="D1033" s="93">
        <v>1694.4</v>
      </c>
      <c r="E1033" s="93">
        <v>0</v>
      </c>
      <c r="F1033" s="93">
        <v>1694.4</v>
      </c>
      <c r="G1033" s="93">
        <v>0</v>
      </c>
      <c r="H1033" s="93">
        <v>0</v>
      </c>
      <c r="N1033" s="88"/>
      <c r="O1033" s="88"/>
      <c r="P1033" s="88"/>
    </row>
    <row r="1034" spans="1:16">
      <c r="A1034" s="94">
        <v>93435</v>
      </c>
      <c r="B1034" s="87" t="s">
        <v>1388</v>
      </c>
      <c r="C1034" s="12" t="s">
        <v>10</v>
      </c>
      <c r="D1034" s="93">
        <v>3.68</v>
      </c>
      <c r="E1034" s="93">
        <v>0</v>
      </c>
      <c r="F1034" s="93">
        <v>0</v>
      </c>
      <c r="G1034" s="93">
        <v>3.68</v>
      </c>
      <c r="H1034" s="93">
        <v>0</v>
      </c>
      <c r="N1034" s="88"/>
      <c r="O1034" s="88"/>
      <c r="P1034" s="88"/>
    </row>
    <row r="1035" spans="1:16">
      <c r="A1035" s="94">
        <v>93436</v>
      </c>
      <c r="B1035" s="87" t="s">
        <v>1389</v>
      </c>
      <c r="C1035" s="12" t="s">
        <v>10</v>
      </c>
      <c r="D1035" s="93">
        <v>0.77</v>
      </c>
      <c r="E1035" s="93">
        <v>0</v>
      </c>
      <c r="F1035" s="93">
        <v>0</v>
      </c>
      <c r="G1035" s="93">
        <v>0.77</v>
      </c>
      <c r="H1035" s="93">
        <v>0</v>
      </c>
      <c r="N1035" s="88"/>
      <c r="O1035" s="88"/>
      <c r="P1035" s="88"/>
    </row>
    <row r="1036" spans="1:16">
      <c r="A1036" s="94">
        <v>93437</v>
      </c>
      <c r="B1036" s="87" t="s">
        <v>1390</v>
      </c>
      <c r="C1036" s="12" t="s">
        <v>10</v>
      </c>
      <c r="D1036" s="93">
        <v>6.9</v>
      </c>
      <c r="E1036" s="93">
        <v>0</v>
      </c>
      <c r="F1036" s="93">
        <v>0</v>
      </c>
      <c r="G1036" s="93">
        <v>6.9</v>
      </c>
      <c r="H1036" s="93">
        <v>0</v>
      </c>
      <c r="N1036" s="88"/>
      <c r="O1036" s="88"/>
      <c r="P1036" s="88"/>
    </row>
    <row r="1037" spans="1:16">
      <c r="A1037" s="94">
        <v>93438</v>
      </c>
      <c r="B1037" s="87" t="s">
        <v>1391</v>
      </c>
      <c r="C1037" s="12" t="s">
        <v>10</v>
      </c>
      <c r="D1037" s="93">
        <v>17.510000000000002</v>
      </c>
      <c r="E1037" s="93">
        <v>0</v>
      </c>
      <c r="F1037" s="93">
        <v>17.510000000000002</v>
      </c>
      <c r="G1037" s="93">
        <v>0</v>
      </c>
      <c r="H1037" s="93">
        <v>0</v>
      </c>
      <c r="N1037" s="88"/>
      <c r="O1037" s="88"/>
      <c r="P1037" s="88"/>
    </row>
    <row r="1038" spans="1:16">
      <c r="A1038" s="94">
        <v>95114</v>
      </c>
      <c r="B1038" s="87" t="s">
        <v>1392</v>
      </c>
      <c r="C1038" s="12" t="s">
        <v>10</v>
      </c>
      <c r="D1038" s="93">
        <v>1.1000000000000001</v>
      </c>
      <c r="E1038" s="93">
        <v>0</v>
      </c>
      <c r="F1038" s="93">
        <v>0</v>
      </c>
      <c r="G1038" s="93">
        <v>1.1000000000000001</v>
      </c>
      <c r="H1038" s="93">
        <v>0</v>
      </c>
      <c r="N1038" s="88"/>
      <c r="O1038" s="88"/>
      <c r="P1038" s="88"/>
    </row>
    <row r="1039" spans="1:16">
      <c r="A1039" s="94">
        <v>95115</v>
      </c>
      <c r="B1039" s="87" t="s">
        <v>1393</v>
      </c>
      <c r="C1039" s="12" t="s">
        <v>10</v>
      </c>
      <c r="D1039" s="93">
        <v>0.13</v>
      </c>
      <c r="E1039" s="93">
        <v>0</v>
      </c>
      <c r="F1039" s="93">
        <v>0</v>
      </c>
      <c r="G1039" s="93">
        <v>0.13</v>
      </c>
      <c r="H1039" s="93">
        <v>0</v>
      </c>
      <c r="N1039" s="88"/>
      <c r="O1039" s="88"/>
      <c r="P1039" s="88"/>
    </row>
    <row r="1040" spans="1:16">
      <c r="A1040" s="94">
        <v>95116</v>
      </c>
      <c r="B1040" s="87" t="s">
        <v>183</v>
      </c>
      <c r="C1040" s="12" t="s">
        <v>10</v>
      </c>
      <c r="D1040" s="93">
        <v>31.99</v>
      </c>
      <c r="E1040" s="93">
        <v>0</v>
      </c>
      <c r="F1040" s="93">
        <v>0</v>
      </c>
      <c r="G1040" s="93">
        <v>31.99</v>
      </c>
      <c r="H1040" s="93">
        <v>0</v>
      </c>
      <c r="N1040" s="88"/>
      <c r="O1040" s="88"/>
      <c r="P1040" s="88"/>
    </row>
    <row r="1041" spans="1:16">
      <c r="A1041" s="94">
        <v>95117</v>
      </c>
      <c r="B1041" s="87" t="s">
        <v>184</v>
      </c>
      <c r="C1041" s="12" t="s">
        <v>10</v>
      </c>
      <c r="D1041" s="93">
        <v>5.04</v>
      </c>
      <c r="E1041" s="93">
        <v>0</v>
      </c>
      <c r="F1041" s="93">
        <v>0</v>
      </c>
      <c r="G1041" s="93">
        <v>5.04</v>
      </c>
      <c r="H1041" s="93">
        <v>0</v>
      </c>
      <c r="N1041" s="88"/>
      <c r="O1041" s="88"/>
      <c r="P1041" s="88"/>
    </row>
    <row r="1042" spans="1:16">
      <c r="A1042" s="94">
        <v>95118</v>
      </c>
      <c r="B1042" s="87" t="s">
        <v>1394</v>
      </c>
      <c r="C1042" s="12" t="s">
        <v>10</v>
      </c>
      <c r="D1042" s="93">
        <v>35.07</v>
      </c>
      <c r="E1042" s="93">
        <v>0</v>
      </c>
      <c r="F1042" s="93">
        <v>0</v>
      </c>
      <c r="G1042" s="93">
        <v>35.07</v>
      </c>
      <c r="H1042" s="93">
        <v>0</v>
      </c>
      <c r="N1042" s="88"/>
      <c r="O1042" s="88"/>
      <c r="P1042" s="88"/>
    </row>
    <row r="1043" spans="1:16">
      <c r="A1043" s="94">
        <v>95119</v>
      </c>
      <c r="B1043" s="87" t="s">
        <v>1395</v>
      </c>
      <c r="C1043" s="12" t="s">
        <v>10</v>
      </c>
      <c r="D1043" s="93">
        <v>6.31</v>
      </c>
      <c r="E1043" s="93">
        <v>0</v>
      </c>
      <c r="F1043" s="93">
        <v>0</v>
      </c>
      <c r="G1043" s="93">
        <v>6.31</v>
      </c>
      <c r="H1043" s="93">
        <v>0</v>
      </c>
      <c r="N1043" s="88"/>
      <c r="O1043" s="88"/>
      <c r="P1043" s="88"/>
    </row>
    <row r="1044" spans="1:16">
      <c r="A1044" s="94">
        <v>95120</v>
      </c>
      <c r="B1044" s="87" t="s">
        <v>1396</v>
      </c>
      <c r="C1044" s="12" t="s">
        <v>10</v>
      </c>
      <c r="D1044" s="93">
        <v>52.27</v>
      </c>
      <c r="E1044" s="93">
        <v>0</v>
      </c>
      <c r="F1044" s="93">
        <v>0</v>
      </c>
      <c r="G1044" s="93">
        <v>0</v>
      </c>
      <c r="H1044" s="93">
        <v>0</v>
      </c>
      <c r="N1044" s="88"/>
      <c r="O1044" s="88"/>
      <c r="P1044" s="88"/>
    </row>
    <row r="1045" spans="1:16">
      <c r="A1045" s="94">
        <v>95123</v>
      </c>
      <c r="B1045" s="87" t="s">
        <v>185</v>
      </c>
      <c r="C1045" s="12" t="s">
        <v>10</v>
      </c>
      <c r="D1045" s="93">
        <v>11.4</v>
      </c>
      <c r="E1045" s="93">
        <v>0</v>
      </c>
      <c r="F1045" s="93">
        <v>0</v>
      </c>
      <c r="G1045" s="93">
        <v>11.4</v>
      </c>
      <c r="H1045" s="93">
        <v>0</v>
      </c>
      <c r="N1045" s="88"/>
      <c r="O1045" s="88"/>
      <c r="P1045" s="88"/>
    </row>
    <row r="1046" spans="1:16">
      <c r="A1046" s="94">
        <v>95124</v>
      </c>
      <c r="B1046" s="87" t="s">
        <v>186</v>
      </c>
      <c r="C1046" s="12" t="s">
        <v>10</v>
      </c>
      <c r="D1046" s="93">
        <v>1.79</v>
      </c>
      <c r="E1046" s="93">
        <v>0</v>
      </c>
      <c r="F1046" s="93">
        <v>0</v>
      </c>
      <c r="G1046" s="93">
        <v>1.79</v>
      </c>
      <c r="H1046" s="93">
        <v>0</v>
      </c>
      <c r="N1046" s="88"/>
      <c r="O1046" s="88"/>
      <c r="P1046" s="88"/>
    </row>
    <row r="1047" spans="1:16">
      <c r="A1047" s="94">
        <v>95125</v>
      </c>
      <c r="B1047" s="87" t="s">
        <v>187</v>
      </c>
      <c r="C1047" s="12" t="s">
        <v>10</v>
      </c>
      <c r="D1047" s="93">
        <v>12.47</v>
      </c>
      <c r="E1047" s="93">
        <v>0</v>
      </c>
      <c r="F1047" s="93">
        <v>0</v>
      </c>
      <c r="G1047" s="93">
        <v>12.47</v>
      </c>
      <c r="H1047" s="93">
        <v>0</v>
      </c>
      <c r="N1047" s="88"/>
      <c r="O1047" s="88"/>
      <c r="P1047" s="88"/>
    </row>
    <row r="1048" spans="1:16">
      <c r="A1048" s="94">
        <v>95126</v>
      </c>
      <c r="B1048" s="87" t="s">
        <v>1397</v>
      </c>
      <c r="C1048" s="12" t="s">
        <v>10</v>
      </c>
      <c r="D1048" s="93">
        <v>86.87</v>
      </c>
      <c r="E1048" s="93">
        <v>0</v>
      </c>
      <c r="F1048" s="93">
        <v>86.87</v>
      </c>
      <c r="G1048" s="93">
        <v>0</v>
      </c>
      <c r="H1048" s="93">
        <v>0</v>
      </c>
      <c r="N1048" s="88"/>
      <c r="O1048" s="88"/>
      <c r="P1048" s="88"/>
    </row>
    <row r="1049" spans="1:16">
      <c r="A1049" s="94">
        <v>95129</v>
      </c>
      <c r="B1049" s="87" t="s">
        <v>1398</v>
      </c>
      <c r="C1049" s="12" t="s">
        <v>10</v>
      </c>
      <c r="D1049" s="93">
        <v>20.23</v>
      </c>
      <c r="E1049" s="93">
        <v>0</v>
      </c>
      <c r="F1049" s="93">
        <v>0</v>
      </c>
      <c r="G1049" s="93">
        <v>20.23</v>
      </c>
      <c r="H1049" s="93">
        <v>0</v>
      </c>
      <c r="N1049" s="88"/>
      <c r="O1049" s="88"/>
      <c r="P1049" s="88"/>
    </row>
    <row r="1050" spans="1:16">
      <c r="A1050" s="94">
        <v>95130</v>
      </c>
      <c r="B1050" s="87" t="s">
        <v>1399</v>
      </c>
      <c r="C1050" s="12" t="s">
        <v>10</v>
      </c>
      <c r="D1050" s="93">
        <v>3.64</v>
      </c>
      <c r="E1050" s="93">
        <v>0</v>
      </c>
      <c r="F1050" s="93">
        <v>0</v>
      </c>
      <c r="G1050" s="93">
        <v>3.64</v>
      </c>
      <c r="H1050" s="93">
        <v>0</v>
      </c>
      <c r="N1050" s="88"/>
      <c r="O1050" s="88"/>
      <c r="P1050" s="88"/>
    </row>
    <row r="1051" spans="1:16">
      <c r="A1051" s="94">
        <v>95131</v>
      </c>
      <c r="B1051" s="87" t="s">
        <v>1400</v>
      </c>
      <c r="C1051" s="12" t="s">
        <v>10</v>
      </c>
      <c r="D1051" s="93">
        <v>37.94</v>
      </c>
      <c r="E1051" s="93">
        <v>0</v>
      </c>
      <c r="F1051" s="93">
        <v>0</v>
      </c>
      <c r="G1051" s="93">
        <v>37.94</v>
      </c>
      <c r="H1051" s="93">
        <v>0</v>
      </c>
      <c r="N1051" s="88"/>
      <c r="O1051" s="88"/>
      <c r="P1051" s="88"/>
    </row>
    <row r="1052" spans="1:16">
      <c r="A1052" s="94">
        <v>95132</v>
      </c>
      <c r="B1052" s="87" t="s">
        <v>1401</v>
      </c>
      <c r="C1052" s="12" t="s">
        <v>10</v>
      </c>
      <c r="D1052" s="93">
        <v>19.02</v>
      </c>
      <c r="E1052" s="93">
        <v>0</v>
      </c>
      <c r="F1052" s="93">
        <v>19.02</v>
      </c>
      <c r="G1052" s="93">
        <v>0</v>
      </c>
      <c r="H1052" s="93">
        <v>0</v>
      </c>
      <c r="N1052" s="88"/>
      <c r="O1052" s="88"/>
      <c r="P1052" s="88"/>
    </row>
    <row r="1053" spans="1:16">
      <c r="A1053" s="94">
        <v>95136</v>
      </c>
      <c r="B1053" s="87" t="s">
        <v>1402</v>
      </c>
      <c r="C1053" s="12" t="s">
        <v>10</v>
      </c>
      <c r="D1053" s="93">
        <v>0.03</v>
      </c>
      <c r="E1053" s="93">
        <v>0</v>
      </c>
      <c r="F1053" s="93">
        <v>0</v>
      </c>
      <c r="G1053" s="93">
        <v>0.03</v>
      </c>
      <c r="H1053" s="93">
        <v>0</v>
      </c>
      <c r="N1053" s="88"/>
      <c r="O1053" s="88"/>
      <c r="P1053" s="88"/>
    </row>
    <row r="1054" spans="1:16">
      <c r="A1054" s="94">
        <v>95137</v>
      </c>
      <c r="B1054" s="87" t="s">
        <v>1403</v>
      </c>
      <c r="C1054" s="12" t="s">
        <v>10</v>
      </c>
      <c r="D1054" s="93">
        <v>0.01</v>
      </c>
      <c r="E1054" s="93">
        <v>0</v>
      </c>
      <c r="F1054" s="93">
        <v>0</v>
      </c>
      <c r="G1054" s="93">
        <v>0.01</v>
      </c>
      <c r="H1054" s="93">
        <v>0</v>
      </c>
      <c r="N1054" s="88"/>
      <c r="O1054" s="88"/>
      <c r="P1054" s="88"/>
    </row>
    <row r="1055" spans="1:16">
      <c r="A1055" s="94">
        <v>95138</v>
      </c>
      <c r="B1055" s="87" t="s">
        <v>1404</v>
      </c>
      <c r="C1055" s="12" t="s">
        <v>10</v>
      </c>
      <c r="D1055" s="93">
        <v>0.02</v>
      </c>
      <c r="E1055" s="93">
        <v>0</v>
      </c>
      <c r="F1055" s="93">
        <v>0</v>
      </c>
      <c r="G1055" s="93">
        <v>0.02</v>
      </c>
      <c r="H1055" s="93">
        <v>0</v>
      </c>
      <c r="N1055" s="88"/>
      <c r="O1055" s="88"/>
      <c r="P1055" s="88"/>
    </row>
    <row r="1056" spans="1:16">
      <c r="A1056" s="94">
        <v>95208</v>
      </c>
      <c r="B1056" s="87" t="s">
        <v>1405</v>
      </c>
      <c r="C1056" s="12" t="s">
        <v>10</v>
      </c>
      <c r="D1056" s="93">
        <v>28.62</v>
      </c>
      <c r="E1056" s="93">
        <v>0</v>
      </c>
      <c r="F1056" s="93">
        <v>0</v>
      </c>
      <c r="G1056" s="93">
        <v>28.62</v>
      </c>
      <c r="H1056" s="93">
        <v>0</v>
      </c>
      <c r="N1056" s="88"/>
      <c r="O1056" s="88"/>
      <c r="P1056" s="88"/>
    </row>
    <row r="1057" spans="1:16">
      <c r="A1057" s="94">
        <v>95209</v>
      </c>
      <c r="B1057" s="87" t="s">
        <v>1406</v>
      </c>
      <c r="C1057" s="12" t="s">
        <v>10</v>
      </c>
      <c r="D1057" s="93">
        <v>3.39</v>
      </c>
      <c r="E1057" s="93">
        <v>0</v>
      </c>
      <c r="F1057" s="93">
        <v>0</v>
      </c>
      <c r="G1057" s="93">
        <v>3.39</v>
      </c>
      <c r="H1057" s="93">
        <v>0</v>
      </c>
      <c r="N1057" s="88"/>
      <c r="O1057" s="88"/>
      <c r="P1057" s="88"/>
    </row>
    <row r="1058" spans="1:16">
      <c r="A1058" s="94">
        <v>95210</v>
      </c>
      <c r="B1058" s="87" t="s">
        <v>1407</v>
      </c>
      <c r="C1058" s="12" t="s">
        <v>10</v>
      </c>
      <c r="D1058" s="93">
        <v>31.3</v>
      </c>
      <c r="E1058" s="93">
        <v>0</v>
      </c>
      <c r="F1058" s="93">
        <v>0</v>
      </c>
      <c r="G1058" s="93">
        <v>31.3</v>
      </c>
      <c r="H1058" s="93">
        <v>0</v>
      </c>
      <c r="N1058" s="88"/>
      <c r="O1058" s="88"/>
      <c r="P1058" s="88"/>
    </row>
    <row r="1059" spans="1:16">
      <c r="A1059" s="94">
        <v>95211</v>
      </c>
      <c r="B1059" s="87" t="s">
        <v>1408</v>
      </c>
      <c r="C1059" s="12" t="s">
        <v>10</v>
      </c>
      <c r="D1059" s="93">
        <v>7.66</v>
      </c>
      <c r="E1059" s="93">
        <v>0</v>
      </c>
      <c r="F1059" s="93">
        <v>0</v>
      </c>
      <c r="G1059" s="93">
        <v>0</v>
      </c>
      <c r="H1059" s="93">
        <v>0</v>
      </c>
      <c r="N1059" s="88"/>
      <c r="O1059" s="88"/>
      <c r="P1059" s="88"/>
    </row>
    <row r="1060" spans="1:16">
      <c r="A1060" s="94">
        <v>95214</v>
      </c>
      <c r="B1060" s="87" t="s">
        <v>1409</v>
      </c>
      <c r="C1060" s="12" t="s">
        <v>10</v>
      </c>
      <c r="D1060" s="93">
        <v>0.22</v>
      </c>
      <c r="E1060" s="93">
        <v>0</v>
      </c>
      <c r="F1060" s="93">
        <v>0</v>
      </c>
      <c r="G1060" s="93">
        <v>0.22</v>
      </c>
      <c r="H1060" s="93">
        <v>0</v>
      </c>
      <c r="N1060" s="88"/>
      <c r="O1060" s="88"/>
      <c r="P1060" s="88"/>
    </row>
    <row r="1061" spans="1:16">
      <c r="A1061" s="94">
        <v>95215</v>
      </c>
      <c r="B1061" s="87" t="s">
        <v>1410</v>
      </c>
      <c r="C1061" s="12" t="s">
        <v>10</v>
      </c>
      <c r="D1061" s="93">
        <v>0.02</v>
      </c>
      <c r="E1061" s="93">
        <v>0</v>
      </c>
      <c r="F1061" s="93">
        <v>0</v>
      </c>
      <c r="G1061" s="93">
        <v>0.02</v>
      </c>
      <c r="H1061" s="93">
        <v>0</v>
      </c>
      <c r="N1061" s="88"/>
      <c r="O1061" s="88"/>
      <c r="P1061" s="88"/>
    </row>
    <row r="1062" spans="1:16">
      <c r="A1062" s="94">
        <v>95216</v>
      </c>
      <c r="B1062" s="87" t="s">
        <v>1411</v>
      </c>
      <c r="C1062" s="12" t="s">
        <v>10</v>
      </c>
      <c r="D1062" s="93">
        <v>0.15</v>
      </c>
      <c r="E1062" s="93">
        <v>0</v>
      </c>
      <c r="F1062" s="93">
        <v>0</v>
      </c>
      <c r="G1062" s="93">
        <v>0.15</v>
      </c>
      <c r="H1062" s="93">
        <v>0</v>
      </c>
      <c r="N1062" s="88"/>
      <c r="O1062" s="88"/>
      <c r="P1062" s="88"/>
    </row>
    <row r="1063" spans="1:16">
      <c r="A1063" s="94">
        <v>95217</v>
      </c>
      <c r="B1063" s="87" t="s">
        <v>1412</v>
      </c>
      <c r="C1063" s="12" t="s">
        <v>10</v>
      </c>
      <c r="D1063" s="93">
        <v>0.51</v>
      </c>
      <c r="E1063" s="93">
        <v>0</v>
      </c>
      <c r="F1063" s="93">
        <v>0</v>
      </c>
      <c r="G1063" s="93">
        <v>0</v>
      </c>
      <c r="H1063" s="93">
        <v>0</v>
      </c>
      <c r="N1063" s="88"/>
      <c r="O1063" s="88"/>
      <c r="P1063" s="88"/>
    </row>
    <row r="1064" spans="1:16">
      <c r="A1064" s="94">
        <v>95255</v>
      </c>
      <c r="B1064" s="87" t="s">
        <v>188</v>
      </c>
      <c r="C1064" s="12" t="s">
        <v>10</v>
      </c>
      <c r="D1064" s="93">
        <v>0.98</v>
      </c>
      <c r="E1064" s="93">
        <v>0</v>
      </c>
      <c r="F1064" s="93">
        <v>0</v>
      </c>
      <c r="G1064" s="93">
        <v>0.98</v>
      </c>
      <c r="H1064" s="93">
        <v>0</v>
      </c>
      <c r="N1064" s="88"/>
      <c r="O1064" s="88"/>
      <c r="P1064" s="88"/>
    </row>
    <row r="1065" spans="1:16">
      <c r="A1065" s="94">
        <v>95256</v>
      </c>
      <c r="B1065" s="87" t="s">
        <v>189</v>
      </c>
      <c r="C1065" s="12" t="s">
        <v>10</v>
      </c>
      <c r="D1065" s="93">
        <v>0.11</v>
      </c>
      <c r="E1065" s="93">
        <v>0</v>
      </c>
      <c r="F1065" s="93">
        <v>0</v>
      </c>
      <c r="G1065" s="93">
        <v>0.11</v>
      </c>
      <c r="H1065" s="93">
        <v>0</v>
      </c>
      <c r="N1065" s="88"/>
      <c r="O1065" s="88"/>
      <c r="P1065" s="88"/>
    </row>
    <row r="1066" spans="1:16">
      <c r="A1066" s="94">
        <v>95257</v>
      </c>
      <c r="B1066" s="87" t="s">
        <v>190</v>
      </c>
      <c r="C1066" s="12" t="s">
        <v>10</v>
      </c>
      <c r="D1066" s="93">
        <v>1.23</v>
      </c>
      <c r="E1066" s="93">
        <v>0</v>
      </c>
      <c r="F1066" s="93">
        <v>0</v>
      </c>
      <c r="G1066" s="93">
        <v>1.23</v>
      </c>
      <c r="H1066" s="93">
        <v>0</v>
      </c>
      <c r="N1066" s="88"/>
      <c r="O1066" s="88"/>
      <c r="P1066" s="88"/>
    </row>
    <row r="1067" spans="1:16">
      <c r="A1067" s="94">
        <v>95260</v>
      </c>
      <c r="B1067" s="87" t="s">
        <v>1413</v>
      </c>
      <c r="C1067" s="12" t="s">
        <v>10</v>
      </c>
      <c r="D1067" s="93">
        <v>0.57999999999999996</v>
      </c>
      <c r="E1067" s="93">
        <v>0</v>
      </c>
      <c r="F1067" s="93">
        <v>0</v>
      </c>
      <c r="G1067" s="93">
        <v>0.57999999999999996</v>
      </c>
      <c r="H1067" s="93">
        <v>0</v>
      </c>
      <c r="N1067" s="88"/>
      <c r="O1067" s="88"/>
      <c r="P1067" s="88"/>
    </row>
    <row r="1068" spans="1:16">
      <c r="A1068" s="94">
        <v>95261</v>
      </c>
      <c r="B1068" s="87" t="s">
        <v>1414</v>
      </c>
      <c r="C1068" s="12" t="s">
        <v>10</v>
      </c>
      <c r="D1068" s="93">
        <v>0.11</v>
      </c>
      <c r="E1068" s="93">
        <v>0</v>
      </c>
      <c r="F1068" s="93">
        <v>0</v>
      </c>
      <c r="G1068" s="93">
        <v>0.11</v>
      </c>
      <c r="H1068" s="93">
        <v>0</v>
      </c>
      <c r="N1068" s="88"/>
      <c r="O1068" s="88"/>
      <c r="P1068" s="88"/>
    </row>
    <row r="1069" spans="1:16">
      <c r="A1069" s="94">
        <v>95262</v>
      </c>
      <c r="B1069" s="87" t="s">
        <v>1415</v>
      </c>
      <c r="C1069" s="12" t="s">
        <v>10</v>
      </c>
      <c r="D1069" s="93">
        <v>1.02</v>
      </c>
      <c r="E1069" s="93">
        <v>0</v>
      </c>
      <c r="F1069" s="93">
        <v>0</v>
      </c>
      <c r="G1069" s="93">
        <v>1.02</v>
      </c>
      <c r="H1069" s="93">
        <v>0</v>
      </c>
      <c r="N1069" s="88"/>
      <c r="O1069" s="88"/>
      <c r="P1069" s="88"/>
    </row>
    <row r="1070" spans="1:16">
      <c r="A1070" s="94">
        <v>95263</v>
      </c>
      <c r="B1070" s="87" t="s">
        <v>1416</v>
      </c>
      <c r="C1070" s="12" t="s">
        <v>10</v>
      </c>
      <c r="D1070" s="93">
        <v>3.64</v>
      </c>
      <c r="E1070" s="93">
        <v>0</v>
      </c>
      <c r="F1070" s="93">
        <v>3.64</v>
      </c>
      <c r="G1070" s="93">
        <v>0</v>
      </c>
      <c r="H1070" s="93">
        <v>0</v>
      </c>
      <c r="N1070" s="88"/>
      <c r="O1070" s="88"/>
      <c r="P1070" s="88"/>
    </row>
    <row r="1071" spans="1:16">
      <c r="A1071" s="94">
        <v>95266</v>
      </c>
      <c r="B1071" s="87" t="s">
        <v>1417</v>
      </c>
      <c r="C1071" s="12" t="s">
        <v>10</v>
      </c>
      <c r="D1071" s="93">
        <v>0.41</v>
      </c>
      <c r="E1071" s="93">
        <v>0</v>
      </c>
      <c r="F1071" s="93">
        <v>0</v>
      </c>
      <c r="G1071" s="93">
        <v>0.41</v>
      </c>
      <c r="H1071" s="93">
        <v>0</v>
      </c>
      <c r="N1071" s="88"/>
      <c r="O1071" s="88"/>
      <c r="P1071" s="88"/>
    </row>
    <row r="1072" spans="1:16">
      <c r="A1072" s="94">
        <v>95267</v>
      </c>
      <c r="B1072" s="87" t="s">
        <v>1418</v>
      </c>
      <c r="C1072" s="12" t="s">
        <v>10</v>
      </c>
      <c r="D1072" s="93">
        <v>0.04</v>
      </c>
      <c r="E1072" s="93">
        <v>0</v>
      </c>
      <c r="F1072" s="93">
        <v>0</v>
      </c>
      <c r="G1072" s="93">
        <v>0.04</v>
      </c>
      <c r="H1072" s="93">
        <v>0</v>
      </c>
      <c r="N1072" s="88"/>
      <c r="O1072" s="88"/>
      <c r="P1072" s="88"/>
    </row>
    <row r="1073" spans="1:16">
      <c r="A1073" s="94">
        <v>95268</v>
      </c>
      <c r="B1073" s="87" t="s">
        <v>1419</v>
      </c>
      <c r="C1073" s="12" t="s">
        <v>10</v>
      </c>
      <c r="D1073" s="93">
        <v>0.4</v>
      </c>
      <c r="E1073" s="93">
        <v>0</v>
      </c>
      <c r="F1073" s="93">
        <v>0</v>
      </c>
      <c r="G1073" s="93">
        <v>0.4</v>
      </c>
      <c r="H1073" s="93">
        <v>0</v>
      </c>
      <c r="N1073" s="88"/>
      <c r="O1073" s="88"/>
      <c r="P1073" s="88"/>
    </row>
    <row r="1074" spans="1:16">
      <c r="A1074" s="94">
        <v>95269</v>
      </c>
      <c r="B1074" s="87" t="s">
        <v>1420</v>
      </c>
      <c r="C1074" s="12" t="s">
        <v>10</v>
      </c>
      <c r="D1074" s="93">
        <v>6.82</v>
      </c>
      <c r="E1074" s="93">
        <v>0</v>
      </c>
      <c r="F1074" s="93">
        <v>6.82</v>
      </c>
      <c r="G1074" s="93">
        <v>0</v>
      </c>
      <c r="H1074" s="93">
        <v>0</v>
      </c>
      <c r="N1074" s="88"/>
      <c r="O1074" s="88"/>
      <c r="P1074" s="88"/>
    </row>
    <row r="1075" spans="1:16">
      <c r="A1075" s="94">
        <v>95272</v>
      </c>
      <c r="B1075" s="87" t="s">
        <v>1421</v>
      </c>
      <c r="C1075" s="12" t="s">
        <v>10</v>
      </c>
      <c r="D1075" s="93">
        <v>0.4</v>
      </c>
      <c r="E1075" s="93">
        <v>0</v>
      </c>
      <c r="F1075" s="93">
        <v>0</v>
      </c>
      <c r="G1075" s="93">
        <v>0.4</v>
      </c>
      <c r="H1075" s="93">
        <v>0</v>
      </c>
      <c r="N1075" s="88"/>
      <c r="O1075" s="88"/>
      <c r="P1075" s="88"/>
    </row>
    <row r="1076" spans="1:16">
      <c r="A1076" s="94">
        <v>95273</v>
      </c>
      <c r="B1076" s="87" t="s">
        <v>1422</v>
      </c>
      <c r="C1076" s="12" t="s">
        <v>10</v>
      </c>
      <c r="D1076" s="93">
        <v>0.04</v>
      </c>
      <c r="E1076" s="93">
        <v>0</v>
      </c>
      <c r="F1076" s="93">
        <v>0</v>
      </c>
      <c r="G1076" s="93">
        <v>0.04</v>
      </c>
      <c r="H1076" s="93">
        <v>0</v>
      </c>
      <c r="N1076" s="88"/>
      <c r="O1076" s="88"/>
      <c r="P1076" s="88"/>
    </row>
    <row r="1077" spans="1:16">
      <c r="A1077" s="94">
        <v>95274</v>
      </c>
      <c r="B1077" s="87" t="s">
        <v>1423</v>
      </c>
      <c r="C1077" s="12" t="s">
        <v>10</v>
      </c>
      <c r="D1077" s="93">
        <v>0.31</v>
      </c>
      <c r="E1077" s="93">
        <v>0</v>
      </c>
      <c r="F1077" s="93">
        <v>0</v>
      </c>
      <c r="G1077" s="93">
        <v>0.31</v>
      </c>
      <c r="H1077" s="93">
        <v>0</v>
      </c>
      <c r="N1077" s="88"/>
      <c r="O1077" s="88"/>
      <c r="P1077" s="88"/>
    </row>
    <row r="1078" spans="1:16">
      <c r="A1078" s="94">
        <v>95275</v>
      </c>
      <c r="B1078" s="87" t="s">
        <v>1424</v>
      </c>
      <c r="C1078" s="12" t="s">
        <v>10</v>
      </c>
      <c r="D1078" s="93">
        <v>2.08</v>
      </c>
      <c r="E1078" s="93">
        <v>0</v>
      </c>
      <c r="F1078" s="93">
        <v>0</v>
      </c>
      <c r="G1078" s="93">
        <v>0</v>
      </c>
      <c r="H1078" s="93">
        <v>0</v>
      </c>
      <c r="N1078" s="88"/>
      <c r="O1078" s="88"/>
      <c r="P1078" s="88"/>
    </row>
    <row r="1079" spans="1:16">
      <c r="A1079" s="94">
        <v>95278</v>
      </c>
      <c r="B1079" s="87" t="s">
        <v>1425</v>
      </c>
      <c r="C1079" s="12" t="s">
        <v>10</v>
      </c>
      <c r="D1079" s="93">
        <v>0.44</v>
      </c>
      <c r="E1079" s="93">
        <v>0</v>
      </c>
      <c r="F1079" s="93">
        <v>0</v>
      </c>
      <c r="G1079" s="93">
        <v>0.44</v>
      </c>
      <c r="H1079" s="93">
        <v>0</v>
      </c>
      <c r="N1079" s="88"/>
      <c r="O1079" s="88"/>
      <c r="P1079" s="88"/>
    </row>
    <row r="1080" spans="1:16">
      <c r="A1080" s="94">
        <v>95279</v>
      </c>
      <c r="B1080" s="87" t="s">
        <v>1426</v>
      </c>
      <c r="C1080" s="12" t="s">
        <v>10</v>
      </c>
      <c r="D1080" s="93">
        <v>0.05</v>
      </c>
      <c r="E1080" s="93">
        <v>0</v>
      </c>
      <c r="F1080" s="93">
        <v>0</v>
      </c>
      <c r="G1080" s="93">
        <v>0.05</v>
      </c>
      <c r="H1080" s="93">
        <v>0</v>
      </c>
      <c r="N1080" s="88"/>
      <c r="O1080" s="88"/>
      <c r="P1080" s="88"/>
    </row>
    <row r="1081" spans="1:16">
      <c r="A1081" s="94">
        <v>95280</v>
      </c>
      <c r="B1081" s="87" t="s">
        <v>1427</v>
      </c>
      <c r="C1081" s="12" t="s">
        <v>10</v>
      </c>
      <c r="D1081" s="93">
        <v>0.34</v>
      </c>
      <c r="E1081" s="93">
        <v>0</v>
      </c>
      <c r="F1081" s="93">
        <v>0</v>
      </c>
      <c r="G1081" s="93">
        <v>0.34</v>
      </c>
      <c r="H1081" s="93">
        <v>0</v>
      </c>
      <c r="N1081" s="88"/>
      <c r="O1081" s="88"/>
      <c r="P1081" s="88"/>
    </row>
    <row r="1082" spans="1:16">
      <c r="A1082" s="94">
        <v>95281</v>
      </c>
      <c r="B1082" s="87" t="s">
        <v>1428</v>
      </c>
      <c r="C1082" s="12" t="s">
        <v>10</v>
      </c>
      <c r="D1082" s="93">
        <v>6.82</v>
      </c>
      <c r="E1082" s="93">
        <v>0</v>
      </c>
      <c r="F1082" s="93">
        <v>6.82</v>
      </c>
      <c r="G1082" s="93">
        <v>0</v>
      </c>
      <c r="H1082" s="93">
        <v>0</v>
      </c>
      <c r="N1082" s="88"/>
      <c r="O1082" s="88"/>
      <c r="P1082" s="88"/>
    </row>
    <row r="1083" spans="1:16">
      <c r="A1083" s="94">
        <v>95617</v>
      </c>
      <c r="B1083" s="87" t="s">
        <v>1429</v>
      </c>
      <c r="C1083" s="12" t="s">
        <v>10</v>
      </c>
      <c r="D1083" s="93">
        <v>0.8</v>
      </c>
      <c r="E1083" s="93">
        <v>0</v>
      </c>
      <c r="F1083" s="93">
        <v>0</v>
      </c>
      <c r="G1083" s="93">
        <v>0.8</v>
      </c>
      <c r="H1083" s="93">
        <v>0</v>
      </c>
      <c r="N1083" s="88"/>
      <c r="O1083" s="88"/>
      <c r="P1083" s="88"/>
    </row>
    <row r="1084" spans="1:16">
      <c r="A1084" s="94">
        <v>95618</v>
      </c>
      <c r="B1084" s="87" t="s">
        <v>1430</v>
      </c>
      <c r="C1084" s="12" t="s">
        <v>10</v>
      </c>
      <c r="D1084" s="93">
        <v>0.09</v>
      </c>
      <c r="E1084" s="93">
        <v>0</v>
      </c>
      <c r="F1084" s="93">
        <v>0</v>
      </c>
      <c r="G1084" s="93">
        <v>0.09</v>
      </c>
      <c r="H1084" s="93">
        <v>0</v>
      </c>
      <c r="N1084" s="88"/>
      <c r="O1084" s="88"/>
      <c r="P1084" s="88"/>
    </row>
    <row r="1085" spans="1:16">
      <c r="A1085" s="94">
        <v>95619</v>
      </c>
      <c r="B1085" s="87" t="s">
        <v>1431</v>
      </c>
      <c r="C1085" s="12" t="s">
        <v>10</v>
      </c>
      <c r="D1085" s="93">
        <v>1.01</v>
      </c>
      <c r="E1085" s="93">
        <v>0</v>
      </c>
      <c r="F1085" s="93">
        <v>0</v>
      </c>
      <c r="G1085" s="93">
        <v>1.01</v>
      </c>
      <c r="H1085" s="93">
        <v>0</v>
      </c>
      <c r="N1085" s="88"/>
      <c r="O1085" s="88"/>
      <c r="P1085" s="88"/>
    </row>
    <row r="1086" spans="1:16">
      <c r="A1086" s="94">
        <v>95627</v>
      </c>
      <c r="B1086" s="87" t="s">
        <v>1432</v>
      </c>
      <c r="C1086" s="12" t="s">
        <v>10</v>
      </c>
      <c r="D1086" s="93">
        <v>24.24</v>
      </c>
      <c r="E1086" s="93">
        <v>0</v>
      </c>
      <c r="F1086" s="93">
        <v>0</v>
      </c>
      <c r="G1086" s="93">
        <v>24.24</v>
      </c>
      <c r="H1086" s="93">
        <v>0</v>
      </c>
      <c r="N1086" s="88"/>
      <c r="O1086" s="88"/>
      <c r="P1086" s="88"/>
    </row>
    <row r="1087" spans="1:16">
      <c r="A1087" s="94">
        <v>95628</v>
      </c>
      <c r="B1087" s="87" t="s">
        <v>1433</v>
      </c>
      <c r="C1087" s="12" t="s">
        <v>10</v>
      </c>
      <c r="D1087" s="93">
        <v>3.36</v>
      </c>
      <c r="E1087" s="93">
        <v>0</v>
      </c>
      <c r="F1087" s="93">
        <v>0</v>
      </c>
      <c r="G1087" s="93">
        <v>3.36</v>
      </c>
      <c r="H1087" s="93">
        <v>0</v>
      </c>
      <c r="N1087" s="88"/>
      <c r="O1087" s="88"/>
      <c r="P1087" s="88"/>
    </row>
    <row r="1088" spans="1:16">
      <c r="A1088" s="94">
        <v>95629</v>
      </c>
      <c r="B1088" s="87" t="s">
        <v>1434</v>
      </c>
      <c r="C1088" s="12" t="s">
        <v>10</v>
      </c>
      <c r="D1088" s="93">
        <v>30.34</v>
      </c>
      <c r="E1088" s="93">
        <v>0</v>
      </c>
      <c r="F1088" s="93">
        <v>0</v>
      </c>
      <c r="G1088" s="93">
        <v>30.34</v>
      </c>
      <c r="H1088" s="93">
        <v>0</v>
      </c>
      <c r="N1088" s="88"/>
      <c r="O1088" s="88"/>
      <c r="P1088" s="88"/>
    </row>
    <row r="1089" spans="1:16">
      <c r="A1089" s="94">
        <v>95630</v>
      </c>
      <c r="B1089" s="87" t="s">
        <v>1435</v>
      </c>
      <c r="C1089" s="12" t="s">
        <v>10</v>
      </c>
      <c r="D1089" s="93">
        <v>52.66</v>
      </c>
      <c r="E1089" s="93">
        <v>0</v>
      </c>
      <c r="F1089" s="93">
        <v>52.66</v>
      </c>
      <c r="G1089" s="93">
        <v>0</v>
      </c>
      <c r="H1089" s="93">
        <v>0</v>
      </c>
      <c r="N1089" s="88"/>
      <c r="O1089" s="88"/>
      <c r="P1089" s="88"/>
    </row>
    <row r="1090" spans="1:16">
      <c r="A1090" s="94">
        <v>95698</v>
      </c>
      <c r="B1090" s="87" t="s">
        <v>1436</v>
      </c>
      <c r="C1090" s="12" t="s">
        <v>10</v>
      </c>
      <c r="D1090" s="93">
        <v>3.27</v>
      </c>
      <c r="E1090" s="93">
        <v>0</v>
      </c>
      <c r="F1090" s="93">
        <v>0</v>
      </c>
      <c r="G1090" s="93">
        <v>3.27</v>
      </c>
      <c r="H1090" s="93">
        <v>0</v>
      </c>
      <c r="N1090" s="88"/>
      <c r="O1090" s="88"/>
      <c r="P1090" s="88"/>
    </row>
    <row r="1091" spans="1:16">
      <c r="A1091" s="94">
        <v>95699</v>
      </c>
      <c r="B1091" s="87" t="s">
        <v>1437</v>
      </c>
      <c r="C1091" s="12" t="s">
        <v>10</v>
      </c>
      <c r="D1091" s="93">
        <v>0.38</v>
      </c>
      <c r="E1091" s="93">
        <v>0</v>
      </c>
      <c r="F1091" s="93">
        <v>0</v>
      </c>
      <c r="G1091" s="93">
        <v>0.38</v>
      </c>
      <c r="H1091" s="93">
        <v>0</v>
      </c>
      <c r="N1091" s="88"/>
      <c r="O1091" s="88"/>
      <c r="P1091" s="88"/>
    </row>
    <row r="1092" spans="1:16">
      <c r="A1092" s="94">
        <v>95700</v>
      </c>
      <c r="B1092" s="87" t="s">
        <v>1438</v>
      </c>
      <c r="C1092" s="12" t="s">
        <v>10</v>
      </c>
      <c r="D1092" s="93">
        <v>4.09</v>
      </c>
      <c r="E1092" s="93">
        <v>0</v>
      </c>
      <c r="F1092" s="93">
        <v>0</v>
      </c>
      <c r="G1092" s="93">
        <v>4.09</v>
      </c>
      <c r="H1092" s="93">
        <v>0</v>
      </c>
      <c r="N1092" s="88"/>
      <c r="O1092" s="88"/>
      <c r="P1092" s="88"/>
    </row>
    <row r="1093" spans="1:16">
      <c r="A1093" s="94">
        <v>95701</v>
      </c>
      <c r="B1093" s="87" t="s">
        <v>1439</v>
      </c>
      <c r="C1093" s="12" t="s">
        <v>10</v>
      </c>
      <c r="D1093" s="93">
        <v>2.56</v>
      </c>
      <c r="E1093" s="93">
        <v>0</v>
      </c>
      <c r="F1093" s="93">
        <v>0</v>
      </c>
      <c r="G1093" s="93">
        <v>0</v>
      </c>
      <c r="H1093" s="93">
        <v>0</v>
      </c>
      <c r="N1093" s="88"/>
      <c r="O1093" s="88"/>
      <c r="P1093" s="88"/>
    </row>
    <row r="1094" spans="1:16">
      <c r="A1094" s="94">
        <v>95704</v>
      </c>
      <c r="B1094" s="87" t="s">
        <v>1440</v>
      </c>
      <c r="C1094" s="12" t="s">
        <v>10</v>
      </c>
      <c r="D1094" s="93">
        <v>25.67</v>
      </c>
      <c r="E1094" s="93">
        <v>0</v>
      </c>
      <c r="F1094" s="93">
        <v>0</v>
      </c>
      <c r="G1094" s="93">
        <v>25.67</v>
      </c>
      <c r="H1094" s="93">
        <v>0</v>
      </c>
      <c r="N1094" s="88"/>
      <c r="O1094" s="88"/>
      <c r="P1094" s="88"/>
    </row>
    <row r="1095" spans="1:16">
      <c r="A1095" s="94">
        <v>95705</v>
      </c>
      <c r="B1095" s="87" t="s">
        <v>1441</v>
      </c>
      <c r="C1095" s="12" t="s">
        <v>10</v>
      </c>
      <c r="D1095" s="93">
        <v>3.66</v>
      </c>
      <c r="E1095" s="93">
        <v>0</v>
      </c>
      <c r="F1095" s="93">
        <v>0</v>
      </c>
      <c r="G1095" s="93">
        <v>3.66</v>
      </c>
      <c r="H1095" s="93">
        <v>0</v>
      </c>
      <c r="N1095" s="88"/>
      <c r="O1095" s="88"/>
      <c r="P1095" s="88"/>
    </row>
    <row r="1096" spans="1:16">
      <c r="A1096" s="94">
        <v>95706</v>
      </c>
      <c r="B1096" s="87" t="s">
        <v>1442</v>
      </c>
      <c r="C1096" s="12" t="s">
        <v>10</v>
      </c>
      <c r="D1096" s="93">
        <v>32.130000000000003</v>
      </c>
      <c r="E1096" s="93">
        <v>0</v>
      </c>
      <c r="F1096" s="93">
        <v>0</v>
      </c>
      <c r="G1096" s="93">
        <v>32.130000000000003</v>
      </c>
      <c r="H1096" s="93">
        <v>0</v>
      </c>
      <c r="N1096" s="88"/>
      <c r="O1096" s="88"/>
      <c r="P1096" s="88"/>
    </row>
    <row r="1097" spans="1:16">
      <c r="A1097" s="94">
        <v>95707</v>
      </c>
      <c r="B1097" s="87" t="s">
        <v>1443</v>
      </c>
      <c r="C1097" s="12" t="s">
        <v>10</v>
      </c>
      <c r="D1097" s="93">
        <v>28.6</v>
      </c>
      <c r="E1097" s="93">
        <v>0</v>
      </c>
      <c r="F1097" s="93">
        <v>0</v>
      </c>
      <c r="G1097" s="93">
        <v>0</v>
      </c>
      <c r="H1097" s="93">
        <v>0</v>
      </c>
      <c r="N1097" s="88"/>
      <c r="O1097" s="88"/>
      <c r="P1097" s="88"/>
    </row>
    <row r="1098" spans="1:16">
      <c r="A1098" s="94">
        <v>95710</v>
      </c>
      <c r="B1098" s="87" t="s">
        <v>1444</v>
      </c>
      <c r="C1098" s="12" t="s">
        <v>10</v>
      </c>
      <c r="D1098" s="93">
        <v>30.86</v>
      </c>
      <c r="E1098" s="93">
        <v>0</v>
      </c>
      <c r="F1098" s="93">
        <v>0</v>
      </c>
      <c r="G1098" s="93">
        <v>30.86</v>
      </c>
      <c r="H1098" s="93">
        <v>0</v>
      </c>
      <c r="N1098" s="88"/>
      <c r="O1098" s="88"/>
      <c r="P1098" s="88"/>
    </row>
    <row r="1099" spans="1:16">
      <c r="A1099" s="94">
        <v>95711</v>
      </c>
      <c r="B1099" s="87" t="s">
        <v>1445</v>
      </c>
      <c r="C1099" s="12" t="s">
        <v>10</v>
      </c>
      <c r="D1099" s="93">
        <v>4.18</v>
      </c>
      <c r="E1099" s="93">
        <v>0</v>
      </c>
      <c r="F1099" s="93">
        <v>0</v>
      </c>
      <c r="G1099" s="93">
        <v>4.18</v>
      </c>
      <c r="H1099" s="93">
        <v>0</v>
      </c>
      <c r="N1099" s="88"/>
      <c r="O1099" s="88"/>
      <c r="P1099" s="88"/>
    </row>
    <row r="1100" spans="1:16">
      <c r="A1100" s="94">
        <v>95712</v>
      </c>
      <c r="B1100" s="87" t="s">
        <v>1446</v>
      </c>
      <c r="C1100" s="12" t="s">
        <v>10</v>
      </c>
      <c r="D1100" s="93">
        <v>38.57</v>
      </c>
      <c r="E1100" s="93">
        <v>0</v>
      </c>
      <c r="F1100" s="93">
        <v>0</v>
      </c>
      <c r="G1100" s="93">
        <v>38.57</v>
      </c>
      <c r="H1100" s="93">
        <v>0</v>
      </c>
      <c r="N1100" s="88"/>
      <c r="O1100" s="88"/>
      <c r="P1100" s="88"/>
    </row>
    <row r="1101" spans="1:16">
      <c r="A1101" s="94">
        <v>95713</v>
      </c>
      <c r="B1101" s="87" t="s">
        <v>1447</v>
      </c>
      <c r="C1101" s="12" t="s">
        <v>10</v>
      </c>
      <c r="D1101" s="93">
        <v>53.05</v>
      </c>
      <c r="E1101" s="93">
        <v>0</v>
      </c>
      <c r="F1101" s="93">
        <v>53.05</v>
      </c>
      <c r="G1101" s="93">
        <v>0</v>
      </c>
      <c r="H1101" s="93">
        <v>0</v>
      </c>
      <c r="N1101" s="88"/>
      <c r="O1101" s="88"/>
      <c r="P1101" s="88"/>
    </row>
    <row r="1102" spans="1:16">
      <c r="A1102" s="94">
        <v>95716</v>
      </c>
      <c r="B1102" s="87" t="s">
        <v>1448</v>
      </c>
      <c r="C1102" s="12" t="s">
        <v>10</v>
      </c>
      <c r="D1102" s="93">
        <v>29.7</v>
      </c>
      <c r="E1102" s="93">
        <v>0</v>
      </c>
      <c r="F1102" s="93">
        <v>0</v>
      </c>
      <c r="G1102" s="93">
        <v>29.7</v>
      </c>
      <c r="H1102" s="93">
        <v>0</v>
      </c>
      <c r="N1102" s="88"/>
      <c r="O1102" s="88"/>
      <c r="P1102" s="88"/>
    </row>
    <row r="1103" spans="1:16">
      <c r="A1103" s="94">
        <v>95717</v>
      </c>
      <c r="B1103" s="87" t="s">
        <v>1449</v>
      </c>
      <c r="C1103" s="12" t="s">
        <v>10</v>
      </c>
      <c r="D1103" s="93">
        <v>4.03</v>
      </c>
      <c r="E1103" s="93">
        <v>0</v>
      </c>
      <c r="F1103" s="93">
        <v>0</v>
      </c>
      <c r="G1103" s="93">
        <v>4.03</v>
      </c>
      <c r="H1103" s="93">
        <v>0</v>
      </c>
      <c r="N1103" s="88"/>
      <c r="O1103" s="88"/>
      <c r="P1103" s="88"/>
    </row>
    <row r="1104" spans="1:16">
      <c r="A1104" s="94">
        <v>95718</v>
      </c>
      <c r="B1104" s="87" t="s">
        <v>1450</v>
      </c>
      <c r="C1104" s="12" t="s">
        <v>10</v>
      </c>
      <c r="D1104" s="93">
        <v>37.130000000000003</v>
      </c>
      <c r="E1104" s="93">
        <v>0</v>
      </c>
      <c r="F1104" s="93">
        <v>0</v>
      </c>
      <c r="G1104" s="93">
        <v>37.130000000000003</v>
      </c>
      <c r="H1104" s="93">
        <v>0</v>
      </c>
      <c r="N1104" s="88"/>
      <c r="O1104" s="88"/>
      <c r="P1104" s="88"/>
    </row>
    <row r="1105" spans="1:16">
      <c r="A1105" s="94">
        <v>95719</v>
      </c>
      <c r="B1105" s="87" t="s">
        <v>1451</v>
      </c>
      <c r="C1105" s="12" t="s">
        <v>10</v>
      </c>
      <c r="D1105" s="93">
        <v>53.05</v>
      </c>
      <c r="E1105" s="93">
        <v>0</v>
      </c>
      <c r="F1105" s="93">
        <v>53.05</v>
      </c>
      <c r="G1105" s="93">
        <v>0</v>
      </c>
      <c r="H1105" s="93">
        <v>0</v>
      </c>
      <c r="N1105" s="88"/>
      <c r="O1105" s="88"/>
      <c r="P1105" s="88"/>
    </row>
    <row r="1106" spans="1:16">
      <c r="A1106" s="94">
        <v>95869</v>
      </c>
      <c r="B1106" s="87" t="s">
        <v>191</v>
      </c>
      <c r="C1106" s="12" t="s">
        <v>10</v>
      </c>
      <c r="D1106" s="93">
        <v>1.1200000000000001</v>
      </c>
      <c r="E1106" s="93">
        <v>0</v>
      </c>
      <c r="F1106" s="93">
        <v>0</v>
      </c>
      <c r="G1106" s="93">
        <v>1.1200000000000001</v>
      </c>
      <c r="H1106" s="93">
        <v>0</v>
      </c>
      <c r="N1106" s="88"/>
      <c r="O1106" s="88"/>
      <c r="P1106" s="88"/>
    </row>
    <row r="1107" spans="1:16">
      <c r="A1107" s="94">
        <v>95870</v>
      </c>
      <c r="B1107" s="87" t="s">
        <v>192</v>
      </c>
      <c r="C1107" s="12" t="s">
        <v>10</v>
      </c>
      <c r="D1107" s="93">
        <v>5.57</v>
      </c>
      <c r="E1107" s="93">
        <v>0</v>
      </c>
      <c r="F1107" s="93">
        <v>0</v>
      </c>
      <c r="G1107" s="93">
        <v>5.57</v>
      </c>
      <c r="H1107" s="93">
        <v>0</v>
      </c>
      <c r="N1107" s="88"/>
      <c r="O1107" s="88"/>
      <c r="P1107" s="88"/>
    </row>
    <row r="1108" spans="1:16">
      <c r="A1108" s="94">
        <v>95871</v>
      </c>
      <c r="B1108" s="87" t="s">
        <v>193</v>
      </c>
      <c r="C1108" s="12" t="s">
        <v>10</v>
      </c>
      <c r="D1108" s="93">
        <v>161.1</v>
      </c>
      <c r="E1108" s="93">
        <v>0</v>
      </c>
      <c r="F1108" s="93">
        <v>161.1</v>
      </c>
      <c r="G1108" s="93">
        <v>0</v>
      </c>
      <c r="H1108" s="93">
        <v>0</v>
      </c>
      <c r="N1108" s="88"/>
      <c r="O1108" s="88"/>
      <c r="P1108" s="88"/>
    </row>
    <row r="1109" spans="1:16">
      <c r="A1109" s="94">
        <v>95874</v>
      </c>
      <c r="B1109" s="87" t="s">
        <v>196</v>
      </c>
      <c r="C1109" s="12" t="s">
        <v>10</v>
      </c>
      <c r="D1109" s="93">
        <v>6.24</v>
      </c>
      <c r="E1109" s="93">
        <v>0</v>
      </c>
      <c r="F1109" s="93">
        <v>0</v>
      </c>
      <c r="G1109" s="93">
        <v>6.24</v>
      </c>
      <c r="H1109" s="93">
        <v>0</v>
      </c>
      <c r="N1109" s="88"/>
      <c r="O1109" s="88"/>
      <c r="P1109" s="88"/>
    </row>
    <row r="1110" spans="1:16">
      <c r="A1110" s="94">
        <v>96008</v>
      </c>
      <c r="B1110" s="87" t="s">
        <v>1452</v>
      </c>
      <c r="C1110" s="12" t="s">
        <v>10</v>
      </c>
      <c r="D1110" s="93">
        <v>13.37</v>
      </c>
      <c r="E1110" s="93">
        <v>0</v>
      </c>
      <c r="F1110" s="93">
        <v>0</v>
      </c>
      <c r="G1110" s="93">
        <v>13.37</v>
      </c>
      <c r="H1110" s="93">
        <v>0</v>
      </c>
      <c r="N1110" s="88"/>
      <c r="O1110" s="88"/>
      <c r="P1110" s="88"/>
    </row>
    <row r="1111" spans="1:16">
      <c r="A1111" s="94">
        <v>96009</v>
      </c>
      <c r="B1111" s="87" t="s">
        <v>1453</v>
      </c>
      <c r="C1111" s="12" t="s">
        <v>10</v>
      </c>
      <c r="D1111" s="93">
        <v>1.85</v>
      </c>
      <c r="E1111" s="93">
        <v>0</v>
      </c>
      <c r="F1111" s="93">
        <v>0</v>
      </c>
      <c r="G1111" s="93">
        <v>1.85</v>
      </c>
      <c r="H1111" s="93">
        <v>0</v>
      </c>
      <c r="N1111" s="88"/>
      <c r="O1111" s="88"/>
      <c r="P1111" s="88"/>
    </row>
    <row r="1112" spans="1:16">
      <c r="A1112" s="94">
        <v>96011</v>
      </c>
      <c r="B1112" s="87" t="s">
        <v>1454</v>
      </c>
      <c r="C1112" s="12" t="s">
        <v>10</v>
      </c>
      <c r="D1112" s="93">
        <v>14.63</v>
      </c>
      <c r="E1112" s="93">
        <v>0</v>
      </c>
      <c r="F1112" s="93">
        <v>0</v>
      </c>
      <c r="G1112" s="93">
        <v>14.63</v>
      </c>
      <c r="H1112" s="93">
        <v>0</v>
      </c>
      <c r="N1112" s="88"/>
      <c r="O1112" s="88"/>
      <c r="P1112" s="88"/>
    </row>
    <row r="1113" spans="1:16">
      <c r="A1113" s="94">
        <v>96012</v>
      </c>
      <c r="B1113" s="87" t="s">
        <v>1455</v>
      </c>
      <c r="C1113" s="12" t="s">
        <v>10</v>
      </c>
      <c r="D1113" s="93">
        <v>101.41</v>
      </c>
      <c r="E1113" s="93">
        <v>0</v>
      </c>
      <c r="F1113" s="93">
        <v>101.41</v>
      </c>
      <c r="G1113" s="93">
        <v>0</v>
      </c>
      <c r="H1113" s="93">
        <v>0</v>
      </c>
      <c r="N1113" s="88"/>
      <c r="O1113" s="88"/>
      <c r="P1113" s="88"/>
    </row>
    <row r="1114" spans="1:16">
      <c r="A1114" s="94">
        <v>96015</v>
      </c>
      <c r="B1114" s="87" t="s">
        <v>1456</v>
      </c>
      <c r="C1114" s="12" t="s">
        <v>10</v>
      </c>
      <c r="D1114" s="93">
        <v>13.25</v>
      </c>
      <c r="E1114" s="93">
        <v>0</v>
      </c>
      <c r="F1114" s="93">
        <v>0</v>
      </c>
      <c r="G1114" s="93">
        <v>13.25</v>
      </c>
      <c r="H1114" s="93">
        <v>0</v>
      </c>
      <c r="N1114" s="88"/>
      <c r="O1114" s="88"/>
      <c r="P1114" s="88"/>
    </row>
    <row r="1115" spans="1:16">
      <c r="A1115" s="94">
        <v>96016</v>
      </c>
      <c r="B1115" s="87" t="s">
        <v>1457</v>
      </c>
      <c r="C1115" s="12" t="s">
        <v>10</v>
      </c>
      <c r="D1115" s="93">
        <v>1.83</v>
      </c>
      <c r="E1115" s="93">
        <v>0</v>
      </c>
      <c r="F1115" s="93">
        <v>0</v>
      </c>
      <c r="G1115" s="93">
        <v>1.83</v>
      </c>
      <c r="H1115" s="93">
        <v>0</v>
      </c>
      <c r="N1115" s="88"/>
      <c r="O1115" s="88"/>
      <c r="P1115" s="88"/>
    </row>
    <row r="1116" spans="1:16">
      <c r="A1116" s="94">
        <v>96018</v>
      </c>
      <c r="B1116" s="87" t="s">
        <v>1458</v>
      </c>
      <c r="C1116" s="12" t="s">
        <v>10</v>
      </c>
      <c r="D1116" s="93">
        <v>14.5</v>
      </c>
      <c r="E1116" s="93">
        <v>0</v>
      </c>
      <c r="F1116" s="93">
        <v>0</v>
      </c>
      <c r="G1116" s="93">
        <v>14.5</v>
      </c>
      <c r="H1116" s="93">
        <v>0</v>
      </c>
      <c r="N1116" s="88"/>
      <c r="O1116" s="88"/>
      <c r="P1116" s="88"/>
    </row>
    <row r="1117" spans="1:16">
      <c r="A1117" s="94">
        <v>96019</v>
      </c>
      <c r="B1117" s="87" t="s">
        <v>1459</v>
      </c>
      <c r="C1117" s="12" t="s">
        <v>10</v>
      </c>
      <c r="D1117" s="93">
        <v>101.41</v>
      </c>
      <c r="E1117" s="93">
        <v>0</v>
      </c>
      <c r="F1117" s="93">
        <v>101.41</v>
      </c>
      <c r="G1117" s="93">
        <v>0</v>
      </c>
      <c r="H1117" s="93">
        <v>0</v>
      </c>
      <c r="N1117" s="88"/>
      <c r="O1117" s="88"/>
      <c r="P1117" s="88"/>
    </row>
    <row r="1118" spans="1:16">
      <c r="A1118" s="94">
        <v>96023</v>
      </c>
      <c r="B1118" s="87" t="s">
        <v>1460</v>
      </c>
      <c r="C1118" s="12" t="s">
        <v>10</v>
      </c>
      <c r="D1118" s="93">
        <v>10.24</v>
      </c>
      <c r="E1118" s="93">
        <v>0</v>
      </c>
      <c r="F1118" s="93">
        <v>0</v>
      </c>
      <c r="G1118" s="93">
        <v>10.24</v>
      </c>
      <c r="H1118" s="93">
        <v>0</v>
      </c>
      <c r="N1118" s="88"/>
      <c r="O1118" s="88"/>
      <c r="P1118" s="88"/>
    </row>
    <row r="1119" spans="1:16">
      <c r="A1119" s="94">
        <v>96024</v>
      </c>
      <c r="B1119" s="87" t="s">
        <v>1461</v>
      </c>
      <c r="C1119" s="12" t="s">
        <v>10</v>
      </c>
      <c r="D1119" s="93">
        <v>1.41</v>
      </c>
      <c r="E1119" s="93">
        <v>0</v>
      </c>
      <c r="F1119" s="93">
        <v>0</v>
      </c>
      <c r="G1119" s="93">
        <v>1.41</v>
      </c>
      <c r="H1119" s="93">
        <v>0</v>
      </c>
      <c r="N1119" s="88"/>
      <c r="O1119" s="88"/>
      <c r="P1119" s="88"/>
    </row>
    <row r="1120" spans="1:16">
      <c r="A1120" s="94">
        <v>96026</v>
      </c>
      <c r="B1120" s="87" t="s">
        <v>1462</v>
      </c>
      <c r="C1120" s="12" t="s">
        <v>10</v>
      </c>
      <c r="D1120" s="93">
        <v>11.2</v>
      </c>
      <c r="E1120" s="93">
        <v>0</v>
      </c>
      <c r="F1120" s="93">
        <v>0</v>
      </c>
      <c r="G1120" s="93">
        <v>11.2</v>
      </c>
      <c r="H1120" s="93">
        <v>0</v>
      </c>
      <c r="N1120" s="88"/>
      <c r="O1120" s="88"/>
      <c r="P1120" s="88"/>
    </row>
    <row r="1121" spans="1:16">
      <c r="A1121" s="94">
        <v>96027</v>
      </c>
      <c r="B1121" s="87" t="s">
        <v>1463</v>
      </c>
      <c r="C1121" s="12" t="s">
        <v>10</v>
      </c>
      <c r="D1121" s="93">
        <v>70.67</v>
      </c>
      <c r="E1121" s="93">
        <v>0</v>
      </c>
      <c r="F1121" s="93">
        <v>70.67</v>
      </c>
      <c r="G1121" s="93">
        <v>0</v>
      </c>
      <c r="H1121" s="93">
        <v>0</v>
      </c>
      <c r="N1121" s="88"/>
      <c r="O1121" s="88"/>
      <c r="P1121" s="88"/>
    </row>
    <row r="1122" spans="1:16">
      <c r="A1122" s="94">
        <v>96030</v>
      </c>
      <c r="B1122" s="87" t="s">
        <v>1464</v>
      </c>
      <c r="C1122" s="12" t="s">
        <v>10</v>
      </c>
      <c r="D1122" s="93">
        <v>17.14</v>
      </c>
      <c r="E1122" s="93">
        <v>0</v>
      </c>
      <c r="F1122" s="93">
        <v>0</v>
      </c>
      <c r="G1122" s="93">
        <v>17.14</v>
      </c>
      <c r="H1122" s="93">
        <v>0</v>
      </c>
      <c r="N1122" s="88"/>
      <c r="O1122" s="88"/>
      <c r="P1122" s="88"/>
    </row>
    <row r="1123" spans="1:16">
      <c r="A1123" s="94">
        <v>96031</v>
      </c>
      <c r="B1123" s="87" t="s">
        <v>1465</v>
      </c>
      <c r="C1123" s="12" t="s">
        <v>10</v>
      </c>
      <c r="D1123" s="93">
        <v>3.16</v>
      </c>
      <c r="E1123" s="93">
        <v>0</v>
      </c>
      <c r="F1123" s="93">
        <v>0</v>
      </c>
      <c r="G1123" s="93">
        <v>3.16</v>
      </c>
      <c r="H1123" s="93">
        <v>0</v>
      </c>
      <c r="N1123" s="88"/>
      <c r="O1123" s="88"/>
      <c r="P1123" s="88"/>
    </row>
    <row r="1124" spans="1:16">
      <c r="A1124" s="94">
        <v>96032</v>
      </c>
      <c r="B1124" s="87" t="s">
        <v>1466</v>
      </c>
      <c r="C1124" s="12" t="s">
        <v>10</v>
      </c>
      <c r="D1124" s="93">
        <v>1.23</v>
      </c>
      <c r="E1124" s="93">
        <v>0</v>
      </c>
      <c r="F1124" s="93">
        <v>0</v>
      </c>
      <c r="G1124" s="93">
        <v>1.23</v>
      </c>
      <c r="H1124" s="93">
        <v>0</v>
      </c>
      <c r="N1124" s="88"/>
      <c r="O1124" s="88"/>
      <c r="P1124" s="88"/>
    </row>
    <row r="1125" spans="1:16">
      <c r="A1125" s="94">
        <v>96033</v>
      </c>
      <c r="B1125" s="87" t="s">
        <v>1467</v>
      </c>
      <c r="C1125" s="12" t="s">
        <v>10</v>
      </c>
      <c r="D1125" s="93">
        <v>32.15</v>
      </c>
      <c r="E1125" s="93">
        <v>0</v>
      </c>
      <c r="F1125" s="93">
        <v>0</v>
      </c>
      <c r="G1125" s="93">
        <v>32.15</v>
      </c>
      <c r="H1125" s="93">
        <v>0</v>
      </c>
      <c r="N1125" s="88"/>
      <c r="O1125" s="88"/>
      <c r="P1125" s="88"/>
    </row>
    <row r="1126" spans="1:16">
      <c r="A1126" s="94">
        <v>96034</v>
      </c>
      <c r="B1126" s="87" t="s">
        <v>1468</v>
      </c>
      <c r="C1126" s="12" t="s">
        <v>10</v>
      </c>
      <c r="D1126" s="93">
        <v>83.66</v>
      </c>
      <c r="E1126" s="93">
        <v>0</v>
      </c>
      <c r="F1126" s="93">
        <v>83.66</v>
      </c>
      <c r="G1126" s="93">
        <v>0</v>
      </c>
      <c r="H1126" s="93">
        <v>0</v>
      </c>
      <c r="N1126" s="88"/>
      <c r="O1126" s="88"/>
      <c r="P1126" s="88"/>
    </row>
    <row r="1127" spans="1:16">
      <c r="A1127" s="94">
        <v>96053</v>
      </c>
      <c r="B1127" s="87" t="s">
        <v>1469</v>
      </c>
      <c r="C1127" s="12" t="s">
        <v>10</v>
      </c>
      <c r="D1127" s="93">
        <v>10.36</v>
      </c>
      <c r="E1127" s="93">
        <v>0</v>
      </c>
      <c r="F1127" s="93">
        <v>0</v>
      </c>
      <c r="G1127" s="93">
        <v>10.36</v>
      </c>
      <c r="H1127" s="93">
        <v>0</v>
      </c>
      <c r="N1127" s="88"/>
      <c r="O1127" s="88"/>
      <c r="P1127" s="88"/>
    </row>
    <row r="1128" spans="1:16">
      <c r="A1128" s="94">
        <v>96054</v>
      </c>
      <c r="B1128" s="87" t="s">
        <v>1470</v>
      </c>
      <c r="C1128" s="12" t="s">
        <v>10</v>
      </c>
      <c r="D1128" s="93">
        <v>16.82</v>
      </c>
      <c r="E1128" s="93">
        <v>0</v>
      </c>
      <c r="F1128" s="93">
        <v>0</v>
      </c>
      <c r="G1128" s="93">
        <v>16.82</v>
      </c>
      <c r="H1128" s="93">
        <v>0</v>
      </c>
      <c r="N1128" s="88"/>
      <c r="O1128" s="88"/>
      <c r="P1128" s="88"/>
    </row>
    <row r="1129" spans="1:16">
      <c r="A1129" s="94">
        <v>96055</v>
      </c>
      <c r="B1129" s="87" t="s">
        <v>1471</v>
      </c>
      <c r="C1129" s="12" t="s">
        <v>10</v>
      </c>
      <c r="D1129" s="93">
        <v>1.43</v>
      </c>
      <c r="E1129" s="93">
        <v>0</v>
      </c>
      <c r="F1129" s="93">
        <v>0</v>
      </c>
      <c r="G1129" s="93">
        <v>1.43</v>
      </c>
      <c r="H1129" s="93">
        <v>0</v>
      </c>
      <c r="N1129" s="88"/>
      <c r="O1129" s="88"/>
      <c r="P1129" s="88"/>
    </row>
    <row r="1130" spans="1:16">
      <c r="A1130" s="94">
        <v>96056</v>
      </c>
      <c r="B1130" s="87" t="s">
        <v>1472</v>
      </c>
      <c r="C1130" s="12" t="s">
        <v>10</v>
      </c>
      <c r="D1130" s="93">
        <v>11.33</v>
      </c>
      <c r="E1130" s="93">
        <v>0</v>
      </c>
      <c r="F1130" s="93">
        <v>0</v>
      </c>
      <c r="G1130" s="93">
        <v>11.33</v>
      </c>
      <c r="H1130" s="93">
        <v>0</v>
      </c>
      <c r="N1130" s="88"/>
      <c r="O1130" s="88"/>
      <c r="P1130" s="88"/>
    </row>
    <row r="1131" spans="1:16">
      <c r="A1131" s="94">
        <v>96057</v>
      </c>
      <c r="B1131" s="87" t="s">
        <v>1473</v>
      </c>
      <c r="C1131" s="12" t="s">
        <v>10</v>
      </c>
      <c r="D1131" s="93">
        <v>70.67</v>
      </c>
      <c r="E1131" s="93">
        <v>0</v>
      </c>
      <c r="F1131" s="93">
        <v>70.67</v>
      </c>
      <c r="G1131" s="93">
        <v>0</v>
      </c>
      <c r="H1131" s="93">
        <v>0</v>
      </c>
      <c r="N1131" s="88"/>
      <c r="O1131" s="88"/>
      <c r="P1131" s="88"/>
    </row>
    <row r="1132" spans="1:16">
      <c r="A1132" s="94">
        <v>96060</v>
      </c>
      <c r="B1132" s="87" t="s">
        <v>1474</v>
      </c>
      <c r="C1132" s="12" t="s">
        <v>10</v>
      </c>
      <c r="D1132" s="93">
        <v>1.7</v>
      </c>
      <c r="E1132" s="93">
        <v>0</v>
      </c>
      <c r="F1132" s="93">
        <v>0</v>
      </c>
      <c r="G1132" s="93">
        <v>1.7</v>
      </c>
      <c r="H1132" s="93">
        <v>0</v>
      </c>
      <c r="N1132" s="88"/>
      <c r="O1132" s="88"/>
      <c r="P1132" s="88"/>
    </row>
    <row r="1133" spans="1:16">
      <c r="A1133" s="94">
        <v>96061</v>
      </c>
      <c r="B1133" s="87" t="s">
        <v>1475</v>
      </c>
      <c r="C1133" s="12" t="s">
        <v>10</v>
      </c>
      <c r="D1133" s="93">
        <v>21.03</v>
      </c>
      <c r="E1133" s="93">
        <v>0</v>
      </c>
      <c r="F1133" s="93">
        <v>0</v>
      </c>
      <c r="G1133" s="93">
        <v>21.03</v>
      </c>
      <c r="H1133" s="93">
        <v>0</v>
      </c>
      <c r="N1133" s="88"/>
      <c r="O1133" s="88"/>
      <c r="P1133" s="88"/>
    </row>
    <row r="1134" spans="1:16">
      <c r="A1134" s="94">
        <v>96062</v>
      </c>
      <c r="B1134" s="87" t="s">
        <v>1476</v>
      </c>
      <c r="C1134" s="12" t="s">
        <v>10</v>
      </c>
      <c r="D1134" s="93">
        <v>30.92</v>
      </c>
      <c r="E1134" s="93">
        <v>0</v>
      </c>
      <c r="F1134" s="93">
        <v>30.92</v>
      </c>
      <c r="G1134" s="93">
        <v>0</v>
      </c>
      <c r="H1134" s="93">
        <v>0</v>
      </c>
      <c r="N1134" s="88"/>
      <c r="O1134" s="88"/>
      <c r="P1134" s="88"/>
    </row>
    <row r="1135" spans="1:16">
      <c r="A1135" s="94">
        <v>96241</v>
      </c>
      <c r="B1135" s="87" t="s">
        <v>1477</v>
      </c>
      <c r="C1135" s="12" t="s">
        <v>10</v>
      </c>
      <c r="D1135" s="93">
        <v>14.52</v>
      </c>
      <c r="E1135" s="93">
        <v>0</v>
      </c>
      <c r="F1135" s="93">
        <v>0</v>
      </c>
      <c r="G1135" s="93">
        <v>14.52</v>
      </c>
      <c r="H1135" s="93">
        <v>0</v>
      </c>
      <c r="N1135" s="88"/>
      <c r="O1135" s="88"/>
      <c r="P1135" s="88"/>
    </row>
    <row r="1136" spans="1:16">
      <c r="A1136" s="94">
        <v>96242</v>
      </c>
      <c r="B1136" s="87" t="s">
        <v>1478</v>
      </c>
      <c r="C1136" s="12" t="s">
        <v>10</v>
      </c>
      <c r="D1136" s="93">
        <v>1.97</v>
      </c>
      <c r="E1136" s="93">
        <v>0</v>
      </c>
      <c r="F1136" s="93">
        <v>0</v>
      </c>
      <c r="G1136" s="93">
        <v>1.97</v>
      </c>
      <c r="H1136" s="93">
        <v>0</v>
      </c>
      <c r="N1136" s="88"/>
      <c r="O1136" s="88"/>
      <c r="P1136" s="88"/>
    </row>
    <row r="1137" spans="1:16">
      <c r="A1137" s="94">
        <v>96243</v>
      </c>
      <c r="B1137" s="87" t="s">
        <v>1479</v>
      </c>
      <c r="C1137" s="12" t="s">
        <v>10</v>
      </c>
      <c r="D1137" s="93">
        <v>18.149999999999999</v>
      </c>
      <c r="E1137" s="93">
        <v>0</v>
      </c>
      <c r="F1137" s="93">
        <v>0</v>
      </c>
      <c r="G1137" s="93">
        <v>18.149999999999999</v>
      </c>
      <c r="H1137" s="93">
        <v>0</v>
      </c>
      <c r="N1137" s="88"/>
      <c r="O1137" s="88"/>
      <c r="P1137" s="88"/>
    </row>
    <row r="1138" spans="1:16">
      <c r="A1138" s="94">
        <v>96244</v>
      </c>
      <c r="B1138" s="87" t="s">
        <v>1480</v>
      </c>
      <c r="C1138" s="12" t="s">
        <v>10</v>
      </c>
      <c r="D1138" s="93">
        <v>10.27</v>
      </c>
      <c r="E1138" s="93">
        <v>0</v>
      </c>
      <c r="F1138" s="93">
        <v>10.27</v>
      </c>
      <c r="G1138" s="93">
        <v>0</v>
      </c>
      <c r="H1138" s="93">
        <v>0</v>
      </c>
      <c r="N1138" s="88"/>
      <c r="O1138" s="88"/>
      <c r="P1138" s="88"/>
    </row>
    <row r="1139" spans="1:16">
      <c r="A1139" s="94">
        <v>96298</v>
      </c>
      <c r="B1139" s="87" t="s">
        <v>1481</v>
      </c>
      <c r="C1139" s="12" t="s">
        <v>10</v>
      </c>
      <c r="D1139" s="93">
        <v>40.08</v>
      </c>
      <c r="E1139" s="93">
        <v>0</v>
      </c>
      <c r="F1139" s="93">
        <v>0</v>
      </c>
      <c r="G1139" s="93">
        <v>40.08</v>
      </c>
      <c r="H1139" s="93">
        <v>0</v>
      </c>
      <c r="N1139" s="88"/>
      <c r="O1139" s="88"/>
      <c r="P1139" s="88"/>
    </row>
    <row r="1140" spans="1:16">
      <c r="A1140" s="94">
        <v>96299</v>
      </c>
      <c r="B1140" s="87" t="s">
        <v>1482</v>
      </c>
      <c r="C1140" s="12" t="s">
        <v>10</v>
      </c>
      <c r="D1140" s="93">
        <v>5.56</v>
      </c>
      <c r="E1140" s="93">
        <v>0</v>
      </c>
      <c r="F1140" s="93">
        <v>0</v>
      </c>
      <c r="G1140" s="93">
        <v>5.56</v>
      </c>
      <c r="H1140" s="93">
        <v>0</v>
      </c>
      <c r="N1140" s="88"/>
      <c r="O1140" s="88"/>
      <c r="P1140" s="88"/>
    </row>
    <row r="1141" spans="1:16">
      <c r="A1141" s="94">
        <v>96300</v>
      </c>
      <c r="B1141" s="87" t="s">
        <v>1483</v>
      </c>
      <c r="C1141" s="12" t="s">
        <v>10</v>
      </c>
      <c r="D1141" s="93">
        <v>50.16</v>
      </c>
      <c r="E1141" s="93">
        <v>0</v>
      </c>
      <c r="F1141" s="93">
        <v>0</v>
      </c>
      <c r="G1141" s="93">
        <v>50.16</v>
      </c>
      <c r="H1141" s="93">
        <v>0</v>
      </c>
      <c r="N1141" s="88"/>
      <c r="O1141" s="88"/>
      <c r="P1141" s="88"/>
    </row>
    <row r="1142" spans="1:16">
      <c r="A1142" s="94">
        <v>96301</v>
      </c>
      <c r="B1142" s="87" t="s">
        <v>1484</v>
      </c>
      <c r="C1142" s="12" t="s">
        <v>10</v>
      </c>
      <c r="D1142" s="93">
        <v>28.98</v>
      </c>
      <c r="E1142" s="93">
        <v>0</v>
      </c>
      <c r="F1142" s="93">
        <v>28.98</v>
      </c>
      <c r="G1142" s="93">
        <v>0</v>
      </c>
      <c r="H1142" s="93">
        <v>0</v>
      </c>
      <c r="N1142" s="88"/>
      <c r="O1142" s="88"/>
      <c r="P1142" s="88"/>
    </row>
    <row r="1143" spans="1:16">
      <c r="A1143" s="94">
        <v>96304</v>
      </c>
      <c r="B1143" s="87" t="s">
        <v>1485</v>
      </c>
      <c r="C1143" s="12" t="s">
        <v>10</v>
      </c>
      <c r="D1143" s="93">
        <v>0.13</v>
      </c>
      <c r="E1143" s="93">
        <v>0</v>
      </c>
      <c r="F1143" s="93">
        <v>0</v>
      </c>
      <c r="G1143" s="93">
        <v>0.13</v>
      </c>
      <c r="H1143" s="93">
        <v>0</v>
      </c>
      <c r="N1143" s="88"/>
      <c r="O1143" s="88"/>
      <c r="P1143" s="88"/>
    </row>
    <row r="1144" spans="1:16">
      <c r="A1144" s="94">
        <v>96305</v>
      </c>
      <c r="B1144" s="87" t="s">
        <v>1486</v>
      </c>
      <c r="C1144" s="12" t="s">
        <v>10</v>
      </c>
      <c r="D1144" s="93">
        <v>0.01</v>
      </c>
      <c r="E1144" s="93">
        <v>0</v>
      </c>
      <c r="F1144" s="93">
        <v>0</v>
      </c>
      <c r="G1144" s="93">
        <v>0.01</v>
      </c>
      <c r="H1144" s="93">
        <v>0</v>
      </c>
      <c r="N1144" s="88"/>
      <c r="O1144" s="88"/>
      <c r="P1144" s="88"/>
    </row>
    <row r="1145" spans="1:16">
      <c r="A1145" s="94">
        <v>96306</v>
      </c>
      <c r="B1145" s="87" t="s">
        <v>1487</v>
      </c>
      <c r="C1145" s="12" t="s">
        <v>10</v>
      </c>
      <c r="D1145" s="93">
        <v>0.17</v>
      </c>
      <c r="E1145" s="93">
        <v>0</v>
      </c>
      <c r="F1145" s="93">
        <v>0</v>
      </c>
      <c r="G1145" s="93">
        <v>0.17</v>
      </c>
      <c r="H1145" s="93">
        <v>0</v>
      </c>
      <c r="N1145" s="88"/>
      <c r="O1145" s="88"/>
      <c r="P1145" s="88"/>
    </row>
    <row r="1146" spans="1:16">
      <c r="A1146" s="94">
        <v>96307</v>
      </c>
      <c r="B1146" s="87" t="s">
        <v>1488</v>
      </c>
      <c r="C1146" s="12" t="s">
        <v>10</v>
      </c>
      <c r="D1146" s="93">
        <v>1.04</v>
      </c>
      <c r="E1146" s="93">
        <v>0</v>
      </c>
      <c r="F1146" s="93">
        <v>0</v>
      </c>
      <c r="G1146" s="93">
        <v>0</v>
      </c>
      <c r="H1146" s="93">
        <v>0</v>
      </c>
      <c r="N1146" s="88"/>
      <c r="O1146" s="88"/>
      <c r="P1146" s="88"/>
    </row>
    <row r="1147" spans="1:16">
      <c r="A1147" s="94">
        <v>96457</v>
      </c>
      <c r="B1147" s="87" t="s">
        <v>1489</v>
      </c>
      <c r="C1147" s="12" t="s">
        <v>10</v>
      </c>
      <c r="D1147" s="93">
        <v>37.659999999999997</v>
      </c>
      <c r="E1147" s="93">
        <v>0</v>
      </c>
      <c r="F1147" s="93">
        <v>37.659999999999997</v>
      </c>
      <c r="G1147" s="93">
        <v>0</v>
      </c>
      <c r="H1147" s="93">
        <v>0</v>
      </c>
      <c r="N1147" s="88"/>
      <c r="O1147" s="88"/>
      <c r="P1147" s="88"/>
    </row>
    <row r="1148" spans="1:16">
      <c r="A1148" s="94">
        <v>96458</v>
      </c>
      <c r="B1148" s="87" t="s">
        <v>1490</v>
      </c>
      <c r="C1148" s="12" t="s">
        <v>10</v>
      </c>
      <c r="D1148" s="93">
        <v>33.64</v>
      </c>
      <c r="E1148" s="93">
        <v>0</v>
      </c>
      <c r="F1148" s="93">
        <v>0</v>
      </c>
      <c r="G1148" s="93">
        <v>33.64</v>
      </c>
      <c r="H1148" s="93">
        <v>0</v>
      </c>
      <c r="N1148" s="88"/>
      <c r="O1148" s="88"/>
      <c r="P1148" s="88"/>
    </row>
    <row r="1149" spans="1:16">
      <c r="A1149" s="94">
        <v>96459</v>
      </c>
      <c r="B1149" s="87" t="s">
        <v>1491</v>
      </c>
      <c r="C1149" s="12" t="s">
        <v>10</v>
      </c>
      <c r="D1149" s="93">
        <v>3.73</v>
      </c>
      <c r="E1149" s="93">
        <v>0</v>
      </c>
      <c r="F1149" s="93">
        <v>0</v>
      </c>
      <c r="G1149" s="93">
        <v>3.73</v>
      </c>
      <c r="H1149" s="93">
        <v>0</v>
      </c>
      <c r="N1149" s="88"/>
      <c r="O1149" s="88"/>
      <c r="P1149" s="88"/>
    </row>
    <row r="1150" spans="1:16">
      <c r="A1150" s="94">
        <v>96460</v>
      </c>
      <c r="B1150" s="87" t="s">
        <v>1492</v>
      </c>
      <c r="C1150" s="12" t="s">
        <v>10</v>
      </c>
      <c r="D1150" s="93">
        <v>26.88</v>
      </c>
      <c r="E1150" s="93">
        <v>0</v>
      </c>
      <c r="F1150" s="93">
        <v>0</v>
      </c>
      <c r="G1150" s="93">
        <v>26.88</v>
      </c>
      <c r="H1150" s="93">
        <v>0</v>
      </c>
      <c r="N1150" s="88"/>
      <c r="O1150" s="88"/>
      <c r="P1150" s="88"/>
    </row>
    <row r="1151" spans="1:16">
      <c r="A1151" s="94">
        <v>98760</v>
      </c>
      <c r="B1151" s="87" t="s">
        <v>1493</v>
      </c>
      <c r="C1151" s="12" t="s">
        <v>10</v>
      </c>
      <c r="D1151" s="93">
        <v>7.0000000000000007E-2</v>
      </c>
      <c r="E1151" s="93">
        <v>0</v>
      </c>
      <c r="F1151" s="93">
        <v>0</v>
      </c>
      <c r="G1151" s="93">
        <v>7.0000000000000007E-2</v>
      </c>
      <c r="H1151" s="93">
        <v>0</v>
      </c>
      <c r="N1151" s="88"/>
      <c r="O1151" s="88"/>
      <c r="P1151" s="88"/>
    </row>
    <row r="1152" spans="1:16">
      <c r="A1152" s="94">
        <v>98761</v>
      </c>
      <c r="B1152" s="87" t="s">
        <v>1494</v>
      </c>
      <c r="C1152" s="12" t="s">
        <v>10</v>
      </c>
      <c r="D1152" s="93">
        <v>0.01</v>
      </c>
      <c r="E1152" s="93">
        <v>0</v>
      </c>
      <c r="F1152" s="93">
        <v>0</v>
      </c>
      <c r="G1152" s="93">
        <v>0.01</v>
      </c>
      <c r="H1152" s="93">
        <v>0</v>
      </c>
      <c r="N1152" s="88"/>
      <c r="O1152" s="88"/>
      <c r="P1152" s="88"/>
    </row>
    <row r="1153" spans="1:16">
      <c r="A1153" s="94">
        <v>98762</v>
      </c>
      <c r="B1153" s="87" t="s">
        <v>1495</v>
      </c>
      <c r="C1153" s="12" t="s">
        <v>10</v>
      </c>
      <c r="D1153" s="93">
        <v>0.08</v>
      </c>
      <c r="E1153" s="93">
        <v>0</v>
      </c>
      <c r="F1153" s="93">
        <v>0</v>
      </c>
      <c r="G1153" s="93">
        <v>0.08</v>
      </c>
      <c r="H1153" s="93">
        <v>0</v>
      </c>
      <c r="N1153" s="88"/>
      <c r="O1153" s="88"/>
      <c r="P1153" s="88"/>
    </row>
    <row r="1154" spans="1:16">
      <c r="A1154" s="94">
        <v>98763</v>
      </c>
      <c r="B1154" s="87" t="s">
        <v>1496</v>
      </c>
      <c r="C1154" s="12" t="s">
        <v>10</v>
      </c>
      <c r="D1154" s="93">
        <v>3.76</v>
      </c>
      <c r="E1154" s="93">
        <v>0</v>
      </c>
      <c r="F1154" s="93">
        <v>0</v>
      </c>
      <c r="G1154" s="93">
        <v>0</v>
      </c>
      <c r="H1154" s="93">
        <v>0</v>
      </c>
      <c r="N1154" s="88"/>
      <c r="O1154" s="88"/>
      <c r="P1154" s="88"/>
    </row>
    <row r="1155" spans="1:16">
      <c r="A1155" s="94">
        <v>99829</v>
      </c>
      <c r="B1155" s="87" t="s">
        <v>1497</v>
      </c>
      <c r="C1155" s="12" t="s">
        <v>10</v>
      </c>
      <c r="D1155" s="93">
        <v>0.12</v>
      </c>
      <c r="E1155" s="93">
        <v>0</v>
      </c>
      <c r="F1155" s="93">
        <v>0</v>
      </c>
      <c r="G1155" s="93">
        <v>0.12</v>
      </c>
      <c r="H1155" s="93">
        <v>0</v>
      </c>
      <c r="N1155" s="88"/>
      <c r="O1155" s="88"/>
      <c r="P1155" s="88"/>
    </row>
    <row r="1156" spans="1:16">
      <c r="A1156" s="94">
        <v>99830</v>
      </c>
      <c r="B1156" s="87" t="s">
        <v>1498</v>
      </c>
      <c r="C1156" s="12" t="s">
        <v>10</v>
      </c>
      <c r="D1156" s="93">
        <v>0.01</v>
      </c>
      <c r="E1156" s="93">
        <v>0</v>
      </c>
      <c r="F1156" s="93">
        <v>0</v>
      </c>
      <c r="G1156" s="93">
        <v>0.01</v>
      </c>
      <c r="H1156" s="93">
        <v>0</v>
      </c>
      <c r="N1156" s="88"/>
      <c r="O1156" s="88"/>
      <c r="P1156" s="88"/>
    </row>
    <row r="1157" spans="1:16">
      <c r="A1157" s="94">
        <v>99831</v>
      </c>
      <c r="B1157" s="87" t="s">
        <v>1499</v>
      </c>
      <c r="C1157" s="12" t="s">
        <v>10</v>
      </c>
      <c r="D1157" s="93">
        <v>0.17</v>
      </c>
      <c r="E1157" s="93">
        <v>0</v>
      </c>
      <c r="F1157" s="93">
        <v>0</v>
      </c>
      <c r="G1157" s="93">
        <v>0.17</v>
      </c>
      <c r="H1157" s="93">
        <v>0</v>
      </c>
      <c r="N1157" s="88"/>
      <c r="O1157" s="88"/>
      <c r="P1157" s="88"/>
    </row>
    <row r="1158" spans="1:16">
      <c r="A1158" s="94">
        <v>99832</v>
      </c>
      <c r="B1158" s="87" t="s">
        <v>1500</v>
      </c>
      <c r="C1158" s="12" t="s">
        <v>10</v>
      </c>
      <c r="D1158" s="93">
        <v>0.97</v>
      </c>
      <c r="E1158" s="93">
        <v>0</v>
      </c>
      <c r="F1158" s="93">
        <v>0</v>
      </c>
      <c r="G1158" s="93">
        <v>0</v>
      </c>
      <c r="H1158" s="93">
        <v>0</v>
      </c>
      <c r="N1158" s="88"/>
      <c r="O1158" s="88"/>
      <c r="P1158" s="88"/>
    </row>
    <row r="1159" spans="1:16">
      <c r="A1159" s="94">
        <v>100637</v>
      </c>
      <c r="B1159" s="87" t="s">
        <v>1501</v>
      </c>
      <c r="C1159" s="12" t="s">
        <v>10</v>
      </c>
      <c r="D1159" s="93">
        <v>83.52</v>
      </c>
      <c r="E1159" s="93">
        <v>0</v>
      </c>
      <c r="F1159" s="93">
        <v>0</v>
      </c>
      <c r="G1159" s="93">
        <v>83.52</v>
      </c>
      <c r="H1159" s="93">
        <v>0</v>
      </c>
      <c r="N1159" s="88"/>
      <c r="O1159" s="88"/>
      <c r="P1159" s="88"/>
    </row>
    <row r="1160" spans="1:16">
      <c r="A1160" s="94">
        <v>100638</v>
      </c>
      <c r="B1160" s="87" t="s">
        <v>1502</v>
      </c>
      <c r="C1160" s="12" t="s">
        <v>10</v>
      </c>
      <c r="D1160" s="93">
        <v>15.03</v>
      </c>
      <c r="E1160" s="93">
        <v>0</v>
      </c>
      <c r="F1160" s="93">
        <v>0</v>
      </c>
      <c r="G1160" s="93">
        <v>15.03</v>
      </c>
      <c r="H1160" s="93">
        <v>0</v>
      </c>
      <c r="N1160" s="88"/>
      <c r="O1160" s="88"/>
      <c r="P1160" s="88"/>
    </row>
    <row r="1161" spans="1:16">
      <c r="A1161" s="94">
        <v>100639</v>
      </c>
      <c r="B1161" s="87" t="s">
        <v>1503</v>
      </c>
      <c r="C1161" s="12" t="s">
        <v>10</v>
      </c>
      <c r="D1161" s="93">
        <v>134.26</v>
      </c>
      <c r="E1161" s="93">
        <v>0</v>
      </c>
      <c r="F1161" s="93">
        <v>0</v>
      </c>
      <c r="G1161" s="93">
        <v>134.26</v>
      </c>
      <c r="H1161" s="93">
        <v>0</v>
      </c>
      <c r="N1161" s="88"/>
      <c r="O1161" s="88"/>
      <c r="P1161" s="88"/>
    </row>
    <row r="1162" spans="1:16">
      <c r="A1162" s="94">
        <v>100640</v>
      </c>
      <c r="B1162" s="87" t="s">
        <v>1504</v>
      </c>
      <c r="C1162" s="12" t="s">
        <v>10</v>
      </c>
      <c r="D1162" s="93">
        <v>195.16</v>
      </c>
      <c r="E1162" s="93">
        <v>0</v>
      </c>
      <c r="F1162" s="93">
        <v>0</v>
      </c>
      <c r="G1162" s="93">
        <v>0</v>
      </c>
      <c r="H1162" s="93">
        <v>0</v>
      </c>
      <c r="N1162" s="88"/>
      <c r="O1162" s="88"/>
      <c r="P1162" s="88"/>
    </row>
    <row r="1163" spans="1:16">
      <c r="A1163" s="94">
        <v>100643</v>
      </c>
      <c r="B1163" s="87" t="s">
        <v>1505</v>
      </c>
      <c r="C1163" s="12" t="s">
        <v>10</v>
      </c>
      <c r="D1163" s="93">
        <v>219.92</v>
      </c>
      <c r="E1163" s="93">
        <v>0</v>
      </c>
      <c r="F1163" s="93">
        <v>0</v>
      </c>
      <c r="G1163" s="93">
        <v>219.92</v>
      </c>
      <c r="H1163" s="93">
        <v>0</v>
      </c>
      <c r="N1163" s="88"/>
      <c r="O1163" s="88"/>
      <c r="P1163" s="88"/>
    </row>
    <row r="1164" spans="1:16">
      <c r="A1164" s="94">
        <v>100644</v>
      </c>
      <c r="B1164" s="87" t="s">
        <v>1506</v>
      </c>
      <c r="C1164" s="12" t="s">
        <v>10</v>
      </c>
      <c r="D1164" s="93">
        <v>39.58</v>
      </c>
      <c r="E1164" s="93">
        <v>0</v>
      </c>
      <c r="F1164" s="93">
        <v>0</v>
      </c>
      <c r="G1164" s="93">
        <v>39.58</v>
      </c>
      <c r="H1164" s="93">
        <v>0</v>
      </c>
      <c r="N1164" s="88"/>
      <c r="O1164" s="88"/>
      <c r="P1164" s="88"/>
    </row>
    <row r="1165" spans="1:16">
      <c r="A1165" s="94">
        <v>100645</v>
      </c>
      <c r="B1165" s="87" t="s">
        <v>1507</v>
      </c>
      <c r="C1165" s="12" t="s">
        <v>10</v>
      </c>
      <c r="D1165" s="93">
        <v>353.52</v>
      </c>
      <c r="E1165" s="93">
        <v>0</v>
      </c>
      <c r="F1165" s="93">
        <v>0</v>
      </c>
      <c r="G1165" s="93">
        <v>353.52</v>
      </c>
      <c r="H1165" s="93">
        <v>0</v>
      </c>
      <c r="N1165" s="88"/>
      <c r="O1165" s="88"/>
      <c r="P1165" s="88"/>
    </row>
    <row r="1166" spans="1:16">
      <c r="A1166" s="94">
        <v>100646</v>
      </c>
      <c r="B1166" s="87" t="s">
        <v>1508</v>
      </c>
      <c r="C1166" s="12" t="s">
        <v>10</v>
      </c>
      <c r="D1166" s="93">
        <v>278.8</v>
      </c>
      <c r="E1166" s="93">
        <v>0</v>
      </c>
      <c r="F1166" s="93">
        <v>0</v>
      </c>
      <c r="G1166" s="93">
        <v>0</v>
      </c>
      <c r="H1166" s="93">
        <v>0</v>
      </c>
      <c r="N1166" s="88"/>
      <c r="O1166" s="88"/>
      <c r="P1166" s="88"/>
    </row>
    <row r="1167" spans="1:16">
      <c r="A1167" s="94">
        <v>55960</v>
      </c>
      <c r="B1167" s="87" t="s">
        <v>6432</v>
      </c>
      <c r="C1167" s="12" t="s">
        <v>9</v>
      </c>
      <c r="D1167" s="93">
        <v>4.6900000000000004</v>
      </c>
      <c r="E1167" s="93">
        <v>2.12</v>
      </c>
      <c r="F1167" s="93">
        <v>2.57</v>
      </c>
      <c r="G1167" s="93">
        <v>0</v>
      </c>
      <c r="H1167" s="93">
        <v>0</v>
      </c>
      <c r="N1167" s="88"/>
      <c r="O1167" s="88"/>
      <c r="P1167" s="88"/>
    </row>
    <row r="1168" spans="1:16">
      <c r="A1168" s="94">
        <v>92259</v>
      </c>
      <c r="B1168" s="87" t="s">
        <v>1509</v>
      </c>
      <c r="C1168" s="12" t="s">
        <v>4</v>
      </c>
      <c r="D1168" s="93">
        <v>314.81</v>
      </c>
      <c r="E1168" s="93">
        <v>84.37</v>
      </c>
      <c r="F1168" s="93">
        <v>182.17</v>
      </c>
      <c r="G1168" s="93">
        <v>27.74</v>
      </c>
      <c r="H1168" s="93">
        <v>0</v>
      </c>
      <c r="N1168" s="88"/>
      <c r="O1168" s="88"/>
      <c r="P1168" s="88"/>
    </row>
    <row r="1169" spans="1:16">
      <c r="A1169" s="94">
        <v>92260</v>
      </c>
      <c r="B1169" s="87" t="s">
        <v>1510</v>
      </c>
      <c r="C1169" s="12" t="s">
        <v>4</v>
      </c>
      <c r="D1169" s="93">
        <v>366</v>
      </c>
      <c r="E1169" s="93">
        <v>124.54</v>
      </c>
      <c r="F1169" s="93">
        <v>193.2</v>
      </c>
      <c r="G1169" s="93">
        <v>27.73</v>
      </c>
      <c r="H1169" s="93">
        <v>0</v>
      </c>
      <c r="N1169" s="88"/>
      <c r="O1169" s="88"/>
      <c r="P1169" s="88"/>
    </row>
    <row r="1170" spans="1:16">
      <c r="A1170" s="94">
        <v>92261</v>
      </c>
      <c r="B1170" s="87" t="s">
        <v>1511</v>
      </c>
      <c r="C1170" s="12" t="s">
        <v>4</v>
      </c>
      <c r="D1170" s="93">
        <v>415.63</v>
      </c>
      <c r="E1170" s="93">
        <v>163.5</v>
      </c>
      <c r="F1170" s="93">
        <v>203.87</v>
      </c>
      <c r="G1170" s="93">
        <v>27.73</v>
      </c>
      <c r="H1170" s="93">
        <v>0</v>
      </c>
      <c r="N1170" s="88"/>
      <c r="O1170" s="88"/>
      <c r="P1170" s="88"/>
    </row>
    <row r="1171" spans="1:16">
      <c r="A1171" s="94">
        <v>92262</v>
      </c>
      <c r="B1171" s="87" t="s">
        <v>1512</v>
      </c>
      <c r="C1171" s="12" t="s">
        <v>4</v>
      </c>
      <c r="D1171" s="93">
        <v>495.53</v>
      </c>
      <c r="E1171" s="93">
        <v>226.22</v>
      </c>
      <c r="F1171" s="93">
        <v>221.05</v>
      </c>
      <c r="G1171" s="93">
        <v>27.73</v>
      </c>
      <c r="H1171" s="93">
        <v>0</v>
      </c>
      <c r="N1171" s="88"/>
      <c r="O1171" s="88"/>
      <c r="P1171" s="88"/>
    </row>
    <row r="1172" spans="1:16">
      <c r="A1172" s="94">
        <v>92539</v>
      </c>
      <c r="B1172" s="87" t="s">
        <v>1513</v>
      </c>
      <c r="C1172" s="12" t="s">
        <v>9</v>
      </c>
      <c r="D1172" s="93">
        <v>51.84</v>
      </c>
      <c r="E1172" s="93">
        <v>13.4</v>
      </c>
      <c r="F1172" s="93">
        <v>38.39</v>
      </c>
      <c r="G1172" s="93">
        <v>0.03</v>
      </c>
      <c r="H1172" s="93">
        <v>0</v>
      </c>
      <c r="N1172" s="88"/>
      <c r="O1172" s="88"/>
      <c r="P1172" s="88"/>
    </row>
    <row r="1173" spans="1:16">
      <c r="A1173" s="94">
        <v>92540</v>
      </c>
      <c r="B1173" s="87" t="s">
        <v>1514</v>
      </c>
      <c r="C1173" s="12" t="s">
        <v>9</v>
      </c>
      <c r="D1173" s="93">
        <v>59.39</v>
      </c>
      <c r="E1173" s="93">
        <v>19.11</v>
      </c>
      <c r="F1173" s="93">
        <v>40.229999999999997</v>
      </c>
      <c r="G1173" s="93">
        <v>0.03</v>
      </c>
      <c r="H1173" s="93">
        <v>0</v>
      </c>
      <c r="N1173" s="88"/>
      <c r="O1173" s="88"/>
      <c r="P1173" s="88"/>
    </row>
    <row r="1174" spans="1:16">
      <c r="A1174" s="94">
        <v>92541</v>
      </c>
      <c r="B1174" s="87" t="s">
        <v>1515</v>
      </c>
      <c r="C1174" s="12" t="s">
        <v>9</v>
      </c>
      <c r="D1174" s="93">
        <v>55.41</v>
      </c>
      <c r="E1174" s="93">
        <v>13.81</v>
      </c>
      <c r="F1174" s="93">
        <v>41.55</v>
      </c>
      <c r="G1174" s="93">
        <v>0.03</v>
      </c>
      <c r="H1174" s="93">
        <v>0</v>
      </c>
      <c r="N1174" s="88"/>
      <c r="O1174" s="88"/>
      <c r="P1174" s="88"/>
    </row>
    <row r="1175" spans="1:16">
      <c r="A1175" s="94">
        <v>92542</v>
      </c>
      <c r="B1175" s="87" t="s">
        <v>1516</v>
      </c>
      <c r="C1175" s="12" t="s">
        <v>9</v>
      </c>
      <c r="D1175" s="93">
        <v>67.8</v>
      </c>
      <c r="E1175" s="93">
        <v>19.84</v>
      </c>
      <c r="F1175" s="93">
        <v>47.91</v>
      </c>
      <c r="G1175" s="93">
        <v>0.03</v>
      </c>
      <c r="H1175" s="93">
        <v>0</v>
      </c>
      <c r="N1175" s="88"/>
      <c r="O1175" s="88"/>
      <c r="P1175" s="88"/>
    </row>
    <row r="1176" spans="1:16">
      <c r="A1176" s="94">
        <v>92543</v>
      </c>
      <c r="B1176" s="87" t="s">
        <v>1517</v>
      </c>
      <c r="C1176" s="12" t="s">
        <v>9</v>
      </c>
      <c r="D1176" s="93">
        <v>14.37</v>
      </c>
      <c r="E1176" s="93">
        <v>3.05</v>
      </c>
      <c r="F1176" s="93">
        <v>11.32</v>
      </c>
      <c r="G1176" s="93">
        <v>0</v>
      </c>
      <c r="H1176" s="93">
        <v>0</v>
      </c>
      <c r="N1176" s="88"/>
      <c r="O1176" s="88"/>
      <c r="P1176" s="88"/>
    </row>
    <row r="1177" spans="1:16">
      <c r="A1177" s="94">
        <v>92544</v>
      </c>
      <c r="B1177" s="87" t="s">
        <v>1518</v>
      </c>
      <c r="C1177" s="12" t="s">
        <v>9</v>
      </c>
      <c r="D1177" s="93">
        <v>12.15</v>
      </c>
      <c r="E1177" s="93">
        <v>2.4300000000000002</v>
      </c>
      <c r="F1177" s="93">
        <v>9.7200000000000006</v>
      </c>
      <c r="G1177" s="93">
        <v>0</v>
      </c>
      <c r="H1177" s="93">
        <v>0</v>
      </c>
      <c r="N1177" s="88"/>
      <c r="O1177" s="88"/>
      <c r="P1177" s="88"/>
    </row>
    <row r="1178" spans="1:16">
      <c r="A1178" s="94">
        <v>92545</v>
      </c>
      <c r="B1178" s="87" t="s">
        <v>1519</v>
      </c>
      <c r="C1178" s="12" t="s">
        <v>4</v>
      </c>
      <c r="D1178" s="93">
        <v>681.39</v>
      </c>
      <c r="E1178" s="93">
        <v>234.97</v>
      </c>
      <c r="F1178" s="93">
        <v>398.16</v>
      </c>
      <c r="G1178" s="93">
        <v>27.73</v>
      </c>
      <c r="H1178" s="93">
        <v>0</v>
      </c>
      <c r="N1178" s="88"/>
      <c r="O1178" s="88"/>
      <c r="P1178" s="88"/>
    </row>
    <row r="1179" spans="1:16">
      <c r="A1179" s="94">
        <v>92546</v>
      </c>
      <c r="B1179" s="87" t="s">
        <v>1520</v>
      </c>
      <c r="C1179" s="12" t="s">
        <v>4</v>
      </c>
      <c r="D1179" s="93">
        <v>838.67</v>
      </c>
      <c r="E1179" s="93">
        <v>310.26</v>
      </c>
      <c r="F1179" s="93">
        <v>480.15</v>
      </c>
      <c r="G1179" s="93">
        <v>27.73</v>
      </c>
      <c r="H1179" s="93">
        <v>0</v>
      </c>
      <c r="N1179" s="88"/>
      <c r="O1179" s="88"/>
      <c r="P1179" s="88"/>
    </row>
    <row r="1180" spans="1:16">
      <c r="A1180" s="94">
        <v>92547</v>
      </c>
      <c r="B1180" s="87" t="s">
        <v>1521</v>
      </c>
      <c r="C1180" s="12" t="s">
        <v>4</v>
      </c>
      <c r="D1180" s="93">
        <v>879.32</v>
      </c>
      <c r="E1180" s="93">
        <v>310.26</v>
      </c>
      <c r="F1180" s="93">
        <v>520.79999999999995</v>
      </c>
      <c r="G1180" s="93">
        <v>27.73</v>
      </c>
      <c r="H1180" s="93">
        <v>0</v>
      </c>
      <c r="N1180" s="88"/>
      <c r="O1180" s="88"/>
      <c r="P1180" s="88"/>
    </row>
    <row r="1181" spans="1:16">
      <c r="A1181" s="94">
        <v>92548</v>
      </c>
      <c r="B1181" s="87" t="s">
        <v>1522</v>
      </c>
      <c r="C1181" s="12" t="s">
        <v>4</v>
      </c>
      <c r="D1181" s="93">
        <v>979.08</v>
      </c>
      <c r="E1181" s="93">
        <v>350.42</v>
      </c>
      <c r="F1181" s="93">
        <v>580.4</v>
      </c>
      <c r="G1181" s="93">
        <v>27.73</v>
      </c>
      <c r="H1181" s="93">
        <v>0</v>
      </c>
      <c r="N1181" s="88"/>
      <c r="O1181" s="88"/>
      <c r="P1181" s="88"/>
    </row>
    <row r="1182" spans="1:16">
      <c r="A1182" s="94">
        <v>92549</v>
      </c>
      <c r="B1182" s="87" t="s">
        <v>1523</v>
      </c>
      <c r="C1182" s="12" t="s">
        <v>4</v>
      </c>
      <c r="D1182" s="93">
        <v>1244.99</v>
      </c>
      <c r="E1182" s="93">
        <v>501.02</v>
      </c>
      <c r="F1182" s="93">
        <v>695.71</v>
      </c>
      <c r="G1182" s="93">
        <v>27.73</v>
      </c>
      <c r="H1182" s="93">
        <v>0</v>
      </c>
      <c r="N1182" s="88"/>
      <c r="O1182" s="88"/>
      <c r="P1182" s="88"/>
    </row>
    <row r="1183" spans="1:16">
      <c r="A1183" s="94">
        <v>92550</v>
      </c>
      <c r="B1183" s="87" t="s">
        <v>1524</v>
      </c>
      <c r="C1183" s="12" t="s">
        <v>4</v>
      </c>
      <c r="D1183" s="93">
        <v>1537.09</v>
      </c>
      <c r="E1183" s="93">
        <v>539.96</v>
      </c>
      <c r="F1183" s="93">
        <v>948.87</v>
      </c>
      <c r="G1183" s="93">
        <v>27.73</v>
      </c>
      <c r="H1183" s="93">
        <v>0</v>
      </c>
      <c r="N1183" s="88"/>
      <c r="O1183" s="88"/>
      <c r="P1183" s="88"/>
    </row>
    <row r="1184" spans="1:16">
      <c r="A1184" s="94">
        <v>92551</v>
      </c>
      <c r="B1184" s="87" t="s">
        <v>1525</v>
      </c>
      <c r="C1184" s="12" t="s">
        <v>4</v>
      </c>
      <c r="D1184" s="93">
        <v>1590.79</v>
      </c>
      <c r="E1184" s="93">
        <v>539.96</v>
      </c>
      <c r="F1184" s="93">
        <v>1002.57</v>
      </c>
      <c r="G1184" s="93">
        <v>27.73</v>
      </c>
      <c r="H1184" s="93">
        <v>0</v>
      </c>
      <c r="N1184" s="88"/>
      <c r="O1184" s="88"/>
      <c r="P1184" s="88"/>
    </row>
    <row r="1185" spans="1:16">
      <c r="A1185" s="94">
        <v>92552</v>
      </c>
      <c r="B1185" s="87" t="s">
        <v>1526</v>
      </c>
      <c r="C1185" s="12" t="s">
        <v>4</v>
      </c>
      <c r="D1185" s="93">
        <v>1732.34</v>
      </c>
      <c r="E1185" s="93">
        <v>602.64</v>
      </c>
      <c r="F1185" s="93">
        <v>1081.44</v>
      </c>
      <c r="G1185" s="93">
        <v>27.73</v>
      </c>
      <c r="H1185" s="93">
        <v>0</v>
      </c>
      <c r="N1185" s="88"/>
      <c r="O1185" s="88"/>
      <c r="P1185" s="88"/>
    </row>
    <row r="1186" spans="1:16">
      <c r="A1186" s="94">
        <v>92553</v>
      </c>
      <c r="B1186" s="87" t="s">
        <v>1527</v>
      </c>
      <c r="C1186" s="12" t="s">
        <v>4</v>
      </c>
      <c r="D1186" s="93">
        <v>2008.3</v>
      </c>
      <c r="E1186" s="93">
        <v>753.25</v>
      </c>
      <c r="F1186" s="93">
        <v>1206.79</v>
      </c>
      <c r="G1186" s="93">
        <v>27.73</v>
      </c>
      <c r="H1186" s="93">
        <v>0</v>
      </c>
      <c r="N1186" s="88"/>
      <c r="O1186" s="88"/>
      <c r="P1186" s="88"/>
    </row>
    <row r="1187" spans="1:16">
      <c r="A1187" s="94">
        <v>92554</v>
      </c>
      <c r="B1187" s="87" t="s">
        <v>1528</v>
      </c>
      <c r="C1187" s="12" t="s">
        <v>4</v>
      </c>
      <c r="D1187" s="93">
        <v>2069.3200000000002</v>
      </c>
      <c r="E1187" s="93">
        <v>753.24</v>
      </c>
      <c r="F1187" s="93">
        <v>1267.82</v>
      </c>
      <c r="G1187" s="93">
        <v>27.73</v>
      </c>
      <c r="H1187" s="93">
        <v>0</v>
      </c>
      <c r="N1187" s="88"/>
      <c r="O1187" s="88"/>
      <c r="P1187" s="88"/>
    </row>
    <row r="1188" spans="1:16">
      <c r="A1188" s="94">
        <v>92555</v>
      </c>
      <c r="B1188" s="87" t="s">
        <v>1529</v>
      </c>
      <c r="C1188" s="12" t="s">
        <v>4</v>
      </c>
      <c r="D1188" s="93">
        <v>673.45</v>
      </c>
      <c r="E1188" s="93">
        <v>234.97</v>
      </c>
      <c r="F1188" s="93">
        <v>390.22</v>
      </c>
      <c r="G1188" s="93">
        <v>27.73</v>
      </c>
      <c r="H1188" s="93">
        <v>0</v>
      </c>
      <c r="N1188" s="88"/>
      <c r="O1188" s="88"/>
      <c r="P1188" s="88"/>
    </row>
    <row r="1189" spans="1:16">
      <c r="A1189" s="94">
        <v>92556</v>
      </c>
      <c r="B1189" s="87" t="s">
        <v>1530</v>
      </c>
      <c r="C1189" s="12" t="s">
        <v>4</v>
      </c>
      <c r="D1189" s="93">
        <v>825.56</v>
      </c>
      <c r="E1189" s="93">
        <v>310.26</v>
      </c>
      <c r="F1189" s="93">
        <v>467.04</v>
      </c>
      <c r="G1189" s="93">
        <v>27.73</v>
      </c>
      <c r="H1189" s="93">
        <v>0</v>
      </c>
      <c r="N1189" s="88"/>
      <c r="O1189" s="88"/>
      <c r="P1189" s="88"/>
    </row>
    <row r="1190" spans="1:16">
      <c r="A1190" s="94">
        <v>92557</v>
      </c>
      <c r="B1190" s="87" t="s">
        <v>1531</v>
      </c>
      <c r="C1190" s="12" t="s">
        <v>4</v>
      </c>
      <c r="D1190" s="93">
        <v>866.2</v>
      </c>
      <c r="E1190" s="93">
        <v>310.26</v>
      </c>
      <c r="F1190" s="93">
        <v>507.68</v>
      </c>
      <c r="G1190" s="93">
        <v>27.73</v>
      </c>
      <c r="H1190" s="93">
        <v>0</v>
      </c>
      <c r="N1190" s="88"/>
      <c r="O1190" s="88"/>
      <c r="P1190" s="88"/>
    </row>
    <row r="1191" spans="1:16">
      <c r="A1191" s="94">
        <v>92558</v>
      </c>
      <c r="B1191" s="87" t="s">
        <v>1532</v>
      </c>
      <c r="C1191" s="12" t="s">
        <v>4</v>
      </c>
      <c r="D1191" s="93">
        <v>971.14</v>
      </c>
      <c r="E1191" s="93">
        <v>350.42</v>
      </c>
      <c r="F1191" s="93">
        <v>572.46</v>
      </c>
      <c r="G1191" s="93">
        <v>27.73</v>
      </c>
      <c r="H1191" s="93">
        <v>0</v>
      </c>
      <c r="N1191" s="88"/>
      <c r="O1191" s="88"/>
      <c r="P1191" s="88"/>
    </row>
    <row r="1192" spans="1:16">
      <c r="A1192" s="94">
        <v>92559</v>
      </c>
      <c r="B1192" s="87" t="s">
        <v>1533</v>
      </c>
      <c r="C1192" s="12" t="s">
        <v>4</v>
      </c>
      <c r="D1192" s="93">
        <v>1231.02</v>
      </c>
      <c r="E1192" s="93">
        <v>501.02</v>
      </c>
      <c r="F1192" s="93">
        <v>681.74</v>
      </c>
      <c r="G1192" s="93">
        <v>27.73</v>
      </c>
      <c r="H1192" s="93">
        <v>0</v>
      </c>
      <c r="N1192" s="88"/>
      <c r="O1192" s="88"/>
      <c r="P1192" s="88"/>
    </row>
    <row r="1193" spans="1:16">
      <c r="A1193" s="94">
        <v>92560</v>
      </c>
      <c r="B1193" s="87" t="s">
        <v>1534</v>
      </c>
      <c r="C1193" s="12" t="s">
        <v>4</v>
      </c>
      <c r="D1193" s="93">
        <v>1515.78</v>
      </c>
      <c r="E1193" s="93">
        <v>539.96</v>
      </c>
      <c r="F1193" s="93">
        <v>927.56</v>
      </c>
      <c r="G1193" s="93">
        <v>27.73</v>
      </c>
      <c r="H1193" s="93">
        <v>0</v>
      </c>
      <c r="N1193" s="88"/>
      <c r="O1193" s="88"/>
      <c r="P1193" s="88"/>
    </row>
    <row r="1194" spans="1:16">
      <c r="A1194" s="94">
        <v>92561</v>
      </c>
      <c r="B1194" s="87" t="s">
        <v>1535</v>
      </c>
      <c r="C1194" s="12" t="s">
        <v>4</v>
      </c>
      <c r="D1194" s="93">
        <v>1570.43</v>
      </c>
      <c r="E1194" s="93">
        <v>539.96</v>
      </c>
      <c r="F1194" s="93">
        <v>982.21</v>
      </c>
      <c r="G1194" s="93">
        <v>27.73</v>
      </c>
      <c r="H1194" s="93">
        <v>0</v>
      </c>
      <c r="N1194" s="88"/>
      <c r="O1194" s="88"/>
      <c r="P1194" s="88"/>
    </row>
    <row r="1195" spans="1:16">
      <c r="A1195" s="94">
        <v>92562</v>
      </c>
      <c r="B1195" s="87" t="s">
        <v>1536</v>
      </c>
      <c r="C1195" s="12" t="s">
        <v>4</v>
      </c>
      <c r="D1195" s="93">
        <v>1698.87</v>
      </c>
      <c r="E1195" s="93">
        <v>602.65</v>
      </c>
      <c r="F1195" s="93">
        <v>1047.96</v>
      </c>
      <c r="G1195" s="93">
        <v>27.73</v>
      </c>
      <c r="H1195" s="93">
        <v>0</v>
      </c>
      <c r="N1195" s="88"/>
      <c r="O1195" s="88"/>
      <c r="P1195" s="88"/>
    </row>
    <row r="1196" spans="1:16">
      <c r="A1196" s="94">
        <v>92563</v>
      </c>
      <c r="B1196" s="87" t="s">
        <v>1537</v>
      </c>
      <c r="C1196" s="12" t="s">
        <v>4</v>
      </c>
      <c r="D1196" s="93">
        <v>1967.59</v>
      </c>
      <c r="E1196" s="93">
        <v>753.25</v>
      </c>
      <c r="F1196" s="93">
        <v>1166.08</v>
      </c>
      <c r="G1196" s="93">
        <v>27.73</v>
      </c>
      <c r="H1196" s="93">
        <v>0</v>
      </c>
      <c r="N1196" s="88"/>
      <c r="O1196" s="88"/>
      <c r="P1196" s="88"/>
    </row>
    <row r="1197" spans="1:16">
      <c r="A1197" s="94">
        <v>92564</v>
      </c>
      <c r="B1197" s="87" t="s">
        <v>1538</v>
      </c>
      <c r="C1197" s="12" t="s">
        <v>4</v>
      </c>
      <c r="D1197" s="93">
        <v>2019.82</v>
      </c>
      <c r="E1197" s="93">
        <v>753.25</v>
      </c>
      <c r="F1197" s="93">
        <v>1218.31</v>
      </c>
      <c r="G1197" s="93">
        <v>27.73</v>
      </c>
      <c r="H1197" s="93">
        <v>0</v>
      </c>
      <c r="N1197" s="88"/>
      <c r="O1197" s="88"/>
      <c r="P1197" s="88"/>
    </row>
    <row r="1198" spans="1:16">
      <c r="A1198" s="94">
        <v>92565</v>
      </c>
      <c r="B1198" s="87" t="s">
        <v>1539</v>
      </c>
      <c r="C1198" s="12" t="s">
        <v>9</v>
      </c>
      <c r="D1198" s="93">
        <v>26.12</v>
      </c>
      <c r="E1198" s="93">
        <v>8.48</v>
      </c>
      <c r="F1198" s="93">
        <v>17.64</v>
      </c>
      <c r="G1198" s="93">
        <v>0</v>
      </c>
      <c r="H1198" s="93">
        <v>0</v>
      </c>
      <c r="N1198" s="88"/>
      <c r="O1198" s="88"/>
      <c r="P1198" s="88"/>
    </row>
    <row r="1199" spans="1:16">
      <c r="A1199" s="94">
        <v>92566</v>
      </c>
      <c r="B1199" s="87" t="s">
        <v>1540</v>
      </c>
      <c r="C1199" s="12" t="s">
        <v>9</v>
      </c>
      <c r="D1199" s="93">
        <v>15.37</v>
      </c>
      <c r="E1199" s="93">
        <v>3.18</v>
      </c>
      <c r="F1199" s="93">
        <v>12.19</v>
      </c>
      <c r="G1199" s="93">
        <v>0</v>
      </c>
      <c r="H1199" s="93">
        <v>0</v>
      </c>
      <c r="N1199" s="88"/>
      <c r="O1199" s="88"/>
      <c r="P1199" s="88"/>
    </row>
    <row r="1200" spans="1:16">
      <c r="A1200" s="94">
        <v>92567</v>
      </c>
      <c r="B1200" s="87" t="s">
        <v>1541</v>
      </c>
      <c r="C1200" s="12" t="s">
        <v>9</v>
      </c>
      <c r="D1200" s="93">
        <v>23.13</v>
      </c>
      <c r="E1200" s="93">
        <v>6.32</v>
      </c>
      <c r="F1200" s="93">
        <v>16.809999999999999</v>
      </c>
      <c r="G1200" s="93">
        <v>0</v>
      </c>
      <c r="H1200" s="93">
        <v>0</v>
      </c>
      <c r="N1200" s="88"/>
      <c r="O1200" s="88"/>
      <c r="P1200" s="88"/>
    </row>
    <row r="1201" spans="1:16">
      <c r="A1201" s="94">
        <v>100379</v>
      </c>
      <c r="B1201" s="87" t="s">
        <v>1542</v>
      </c>
      <c r="C1201" s="12" t="s">
        <v>9</v>
      </c>
      <c r="D1201" s="93">
        <v>26.12</v>
      </c>
      <c r="E1201" s="93">
        <v>8.48</v>
      </c>
      <c r="F1201" s="93">
        <v>17.64</v>
      </c>
      <c r="G1201" s="93">
        <v>0</v>
      </c>
      <c r="H1201" s="93">
        <v>0</v>
      </c>
      <c r="N1201" s="88"/>
      <c r="O1201" s="88"/>
      <c r="P1201" s="88"/>
    </row>
    <row r="1202" spans="1:16">
      <c r="A1202" s="94">
        <v>100380</v>
      </c>
      <c r="B1202" s="87" t="s">
        <v>1543</v>
      </c>
      <c r="C1202" s="12" t="s">
        <v>9</v>
      </c>
      <c r="D1202" s="93">
        <v>35.21</v>
      </c>
      <c r="E1202" s="93">
        <v>13.45</v>
      </c>
      <c r="F1202" s="93">
        <v>21.41</v>
      </c>
      <c r="G1202" s="93">
        <v>0.33</v>
      </c>
      <c r="H1202" s="93">
        <v>0</v>
      </c>
      <c r="N1202" s="88"/>
      <c r="O1202" s="88"/>
      <c r="P1202" s="88"/>
    </row>
    <row r="1203" spans="1:16">
      <c r="A1203" s="94">
        <v>100381</v>
      </c>
      <c r="B1203" s="87" t="s">
        <v>1544</v>
      </c>
      <c r="C1203" s="12" t="s">
        <v>9</v>
      </c>
      <c r="D1203" s="93">
        <v>39.94</v>
      </c>
      <c r="E1203" s="93">
        <v>16.84</v>
      </c>
      <c r="F1203" s="93">
        <v>23.1</v>
      </c>
      <c r="G1203" s="93">
        <v>0</v>
      </c>
      <c r="H1203" s="93">
        <v>0</v>
      </c>
      <c r="N1203" s="88"/>
      <c r="O1203" s="88"/>
      <c r="P1203" s="88"/>
    </row>
    <row r="1204" spans="1:16">
      <c r="A1204" s="94">
        <v>100383</v>
      </c>
      <c r="B1204" s="87" t="s">
        <v>1545</v>
      </c>
      <c r="C1204" s="12" t="s">
        <v>9</v>
      </c>
      <c r="D1204" s="93">
        <v>16.8</v>
      </c>
      <c r="E1204" s="93">
        <v>3.67</v>
      </c>
      <c r="F1204" s="93">
        <v>12.85</v>
      </c>
      <c r="G1204" s="93">
        <v>0.26</v>
      </c>
      <c r="H1204" s="93">
        <v>0</v>
      </c>
      <c r="N1204" s="88"/>
      <c r="O1204" s="88"/>
      <c r="P1204" s="88"/>
    </row>
    <row r="1205" spans="1:16">
      <c r="A1205" s="94">
        <v>100384</v>
      </c>
      <c r="B1205" s="87" t="s">
        <v>1546</v>
      </c>
      <c r="C1205" s="12" t="s">
        <v>9</v>
      </c>
      <c r="D1205" s="93">
        <v>17.87</v>
      </c>
      <c r="E1205" s="93">
        <v>4.68</v>
      </c>
      <c r="F1205" s="93">
        <v>13.19</v>
      </c>
      <c r="G1205" s="93">
        <v>0</v>
      </c>
      <c r="H1205" s="93">
        <v>0</v>
      </c>
      <c r="N1205" s="88"/>
      <c r="O1205" s="88"/>
      <c r="P1205" s="88"/>
    </row>
    <row r="1206" spans="1:16">
      <c r="A1206" s="94">
        <v>100385</v>
      </c>
      <c r="B1206" s="87" t="s">
        <v>1547</v>
      </c>
      <c r="C1206" s="12" t="s">
        <v>9</v>
      </c>
      <c r="D1206" s="93">
        <v>23.13</v>
      </c>
      <c r="E1206" s="93">
        <v>6.32</v>
      </c>
      <c r="F1206" s="93">
        <v>16.809999999999999</v>
      </c>
      <c r="G1206" s="93">
        <v>0</v>
      </c>
      <c r="H1206" s="93">
        <v>0</v>
      </c>
      <c r="N1206" s="88"/>
      <c r="O1206" s="88"/>
      <c r="P1206" s="88"/>
    </row>
    <row r="1207" spans="1:16">
      <c r="A1207" s="94">
        <v>100386</v>
      </c>
      <c r="B1207" s="87" t="s">
        <v>1548</v>
      </c>
      <c r="C1207" s="12" t="s">
        <v>9</v>
      </c>
      <c r="D1207" s="93">
        <v>30.11</v>
      </c>
      <c r="E1207" s="93">
        <v>9.5299999999999994</v>
      </c>
      <c r="F1207" s="93">
        <v>20.18</v>
      </c>
      <c r="G1207" s="93">
        <v>0.37</v>
      </c>
      <c r="H1207" s="93">
        <v>0</v>
      </c>
      <c r="N1207" s="88"/>
      <c r="O1207" s="88"/>
      <c r="P1207" s="88"/>
    </row>
    <row r="1208" spans="1:16">
      <c r="A1208" s="94">
        <v>100387</v>
      </c>
      <c r="B1208" s="87" t="s">
        <v>1549</v>
      </c>
      <c r="C1208" s="12" t="s">
        <v>9</v>
      </c>
      <c r="D1208" s="93">
        <v>36.81</v>
      </c>
      <c r="E1208" s="93">
        <v>12.2</v>
      </c>
      <c r="F1208" s="93">
        <v>24.61</v>
      </c>
      <c r="G1208" s="93">
        <v>0</v>
      </c>
      <c r="H1208" s="93">
        <v>0</v>
      </c>
      <c r="N1208" s="88"/>
      <c r="O1208" s="88"/>
      <c r="P1208" s="88"/>
    </row>
    <row r="1209" spans="1:16">
      <c r="A1209" s="94">
        <v>100388</v>
      </c>
      <c r="B1209" s="87" t="s">
        <v>1550</v>
      </c>
      <c r="C1209" s="12" t="s">
        <v>9</v>
      </c>
      <c r="D1209" s="93">
        <v>14.85</v>
      </c>
      <c r="E1209" s="93">
        <v>6.54</v>
      </c>
      <c r="F1209" s="93">
        <v>8.2899999999999991</v>
      </c>
      <c r="G1209" s="93">
        <v>0.01</v>
      </c>
      <c r="H1209" s="93">
        <v>0</v>
      </c>
      <c r="N1209" s="88"/>
      <c r="O1209" s="88"/>
      <c r="P1209" s="88"/>
    </row>
    <row r="1210" spans="1:16">
      <c r="A1210" s="94">
        <v>100389</v>
      </c>
      <c r="B1210" s="87" t="s">
        <v>1551</v>
      </c>
      <c r="C1210" s="12" t="s">
        <v>9</v>
      </c>
      <c r="D1210" s="93">
        <v>12.89</v>
      </c>
      <c r="E1210" s="93">
        <v>7.04</v>
      </c>
      <c r="F1210" s="93">
        <v>5.84</v>
      </c>
      <c r="G1210" s="93">
        <v>0</v>
      </c>
      <c r="H1210" s="93">
        <v>0</v>
      </c>
      <c r="N1210" s="88"/>
      <c r="O1210" s="88"/>
      <c r="P1210" s="88"/>
    </row>
    <row r="1211" spans="1:16">
      <c r="A1211" s="94">
        <v>100390</v>
      </c>
      <c r="B1211" s="87" t="s">
        <v>1552</v>
      </c>
      <c r="C1211" s="12" t="s">
        <v>9</v>
      </c>
      <c r="D1211" s="93">
        <v>17.88</v>
      </c>
      <c r="E1211" s="93">
        <v>8.8699999999999992</v>
      </c>
      <c r="F1211" s="93">
        <v>8.99</v>
      </c>
      <c r="G1211" s="93">
        <v>0.01</v>
      </c>
      <c r="H1211" s="93">
        <v>0</v>
      </c>
      <c r="N1211" s="88"/>
      <c r="O1211" s="88"/>
      <c r="P1211" s="88"/>
    </row>
    <row r="1212" spans="1:16">
      <c r="A1212" s="94">
        <v>100391</v>
      </c>
      <c r="B1212" s="87" t="s">
        <v>1553</v>
      </c>
      <c r="C1212" s="12" t="s">
        <v>9</v>
      </c>
      <c r="D1212" s="93">
        <v>14.86</v>
      </c>
      <c r="E1212" s="93">
        <v>8.56</v>
      </c>
      <c r="F1212" s="93">
        <v>6.3</v>
      </c>
      <c r="G1212" s="93">
        <v>0</v>
      </c>
      <c r="H1212" s="93">
        <v>0</v>
      </c>
      <c r="N1212" s="88"/>
      <c r="O1212" s="88"/>
      <c r="P1212" s="88"/>
    </row>
    <row r="1213" spans="1:16">
      <c r="A1213" s="94">
        <v>100392</v>
      </c>
      <c r="B1213" s="87" t="s">
        <v>1554</v>
      </c>
      <c r="C1213" s="12" t="s">
        <v>9</v>
      </c>
      <c r="D1213" s="93">
        <v>11.69</v>
      </c>
      <c r="E1213" s="93">
        <v>5.0999999999999996</v>
      </c>
      <c r="F1213" s="93">
        <v>6.58</v>
      </c>
      <c r="G1213" s="93">
        <v>0</v>
      </c>
      <c r="H1213" s="93">
        <v>0</v>
      </c>
      <c r="N1213" s="88"/>
      <c r="O1213" s="88"/>
      <c r="P1213" s="88"/>
    </row>
    <row r="1214" spans="1:16">
      <c r="A1214" s="94">
        <v>100393</v>
      </c>
      <c r="B1214" s="87" t="s">
        <v>1555</v>
      </c>
      <c r="C1214" s="12" t="s">
        <v>9</v>
      </c>
      <c r="D1214" s="93">
        <v>14.7</v>
      </c>
      <c r="E1214" s="93">
        <v>7.95</v>
      </c>
      <c r="F1214" s="93">
        <v>6.75</v>
      </c>
      <c r="G1214" s="93">
        <v>0</v>
      </c>
      <c r="H1214" s="93">
        <v>0</v>
      </c>
      <c r="N1214" s="88"/>
      <c r="O1214" s="88"/>
      <c r="P1214" s="88"/>
    </row>
    <row r="1215" spans="1:16">
      <c r="A1215" s="94">
        <v>100394</v>
      </c>
      <c r="B1215" s="87" t="s">
        <v>1556</v>
      </c>
      <c r="C1215" s="12" t="s">
        <v>9</v>
      </c>
      <c r="D1215" s="93">
        <v>14.06</v>
      </c>
      <c r="E1215" s="93">
        <v>6.94</v>
      </c>
      <c r="F1215" s="93">
        <v>7.11</v>
      </c>
      <c r="G1215" s="93">
        <v>0</v>
      </c>
      <c r="H1215" s="93">
        <v>0</v>
      </c>
      <c r="N1215" s="88"/>
      <c r="O1215" s="88"/>
      <c r="P1215" s="88"/>
    </row>
    <row r="1216" spans="1:16">
      <c r="A1216" s="94">
        <v>100395</v>
      </c>
      <c r="B1216" s="87" t="s">
        <v>1557</v>
      </c>
      <c r="C1216" s="12" t="s">
        <v>9</v>
      </c>
      <c r="D1216" s="93">
        <v>17.73</v>
      </c>
      <c r="E1216" s="93">
        <v>10.3</v>
      </c>
      <c r="F1216" s="93">
        <v>7.43</v>
      </c>
      <c r="G1216" s="93">
        <v>0</v>
      </c>
      <c r="H1216" s="93">
        <v>0</v>
      </c>
      <c r="N1216" s="88"/>
      <c r="O1216" s="88"/>
      <c r="P1216" s="88"/>
    </row>
    <row r="1217" spans="1:16">
      <c r="A1217" s="94">
        <v>94189</v>
      </c>
      <c r="B1217" s="87" t="s">
        <v>1558</v>
      </c>
      <c r="C1217" s="12" t="s">
        <v>9</v>
      </c>
      <c r="D1217" s="93">
        <v>25.97</v>
      </c>
      <c r="E1217" s="93">
        <v>3</v>
      </c>
      <c r="F1217" s="93">
        <v>22.97</v>
      </c>
      <c r="G1217" s="93">
        <v>0</v>
      </c>
      <c r="H1217" s="93">
        <v>0</v>
      </c>
      <c r="N1217" s="88"/>
      <c r="O1217" s="88"/>
      <c r="P1217" s="88"/>
    </row>
    <row r="1218" spans="1:16">
      <c r="A1218" s="94">
        <v>94192</v>
      </c>
      <c r="B1218" s="87" t="s">
        <v>1559</v>
      </c>
      <c r="C1218" s="12" t="s">
        <v>9</v>
      </c>
      <c r="D1218" s="93">
        <v>28.03</v>
      </c>
      <c r="E1218" s="93">
        <v>4.59</v>
      </c>
      <c r="F1218" s="93">
        <v>23.44</v>
      </c>
      <c r="G1218" s="93">
        <v>0</v>
      </c>
      <c r="H1218" s="93">
        <v>0</v>
      </c>
      <c r="N1218" s="88"/>
      <c r="O1218" s="88"/>
      <c r="P1218" s="88"/>
    </row>
    <row r="1219" spans="1:16">
      <c r="A1219" s="94">
        <v>94195</v>
      </c>
      <c r="B1219" s="87" t="s">
        <v>1560</v>
      </c>
      <c r="C1219" s="12" t="s">
        <v>9</v>
      </c>
      <c r="D1219" s="93">
        <v>27.48</v>
      </c>
      <c r="E1219" s="93">
        <v>5.16</v>
      </c>
      <c r="F1219" s="93">
        <v>22.3</v>
      </c>
      <c r="G1219" s="93">
        <v>0.01</v>
      </c>
      <c r="H1219" s="93">
        <v>0</v>
      </c>
      <c r="N1219" s="88"/>
      <c r="O1219" s="88"/>
      <c r="P1219" s="88"/>
    </row>
    <row r="1220" spans="1:16">
      <c r="A1220" s="94">
        <v>94198</v>
      </c>
      <c r="B1220" s="87" t="s">
        <v>1561</v>
      </c>
      <c r="C1220" s="12" t="s">
        <v>9</v>
      </c>
      <c r="D1220" s="93">
        <v>30.2</v>
      </c>
      <c r="E1220" s="93">
        <v>7.24</v>
      </c>
      <c r="F1220" s="93">
        <v>22.94</v>
      </c>
      <c r="G1220" s="93">
        <v>0.01</v>
      </c>
      <c r="H1220" s="93">
        <v>0</v>
      </c>
      <c r="N1220" s="88"/>
      <c r="O1220" s="88"/>
      <c r="P1220" s="88"/>
    </row>
    <row r="1221" spans="1:16">
      <c r="A1221" s="94">
        <v>94201</v>
      </c>
      <c r="B1221" s="87" t="s">
        <v>1562</v>
      </c>
      <c r="C1221" s="12" t="s">
        <v>9</v>
      </c>
      <c r="D1221" s="93">
        <v>39.29</v>
      </c>
      <c r="E1221" s="93">
        <v>8.15</v>
      </c>
      <c r="F1221" s="93">
        <v>31.09</v>
      </c>
      <c r="G1221" s="93">
        <v>0.03</v>
      </c>
      <c r="H1221" s="93">
        <v>0</v>
      </c>
      <c r="N1221" s="88"/>
      <c r="O1221" s="88"/>
      <c r="P1221" s="88"/>
    </row>
    <row r="1222" spans="1:16">
      <c r="A1222" s="94">
        <v>94204</v>
      </c>
      <c r="B1222" s="87" t="s">
        <v>1563</v>
      </c>
      <c r="C1222" s="12" t="s">
        <v>9</v>
      </c>
      <c r="D1222" s="93">
        <v>43.93</v>
      </c>
      <c r="E1222" s="93">
        <v>11.7</v>
      </c>
      <c r="F1222" s="93">
        <v>32.18</v>
      </c>
      <c r="G1222" s="93">
        <v>0.03</v>
      </c>
      <c r="H1222" s="93">
        <v>0</v>
      </c>
      <c r="N1222" s="88"/>
      <c r="O1222" s="88"/>
      <c r="P1222" s="88"/>
    </row>
    <row r="1223" spans="1:16">
      <c r="A1223" s="94">
        <v>94224</v>
      </c>
      <c r="B1223" s="87" t="s">
        <v>1564</v>
      </c>
      <c r="C1223" s="12" t="s">
        <v>6</v>
      </c>
      <c r="D1223" s="93">
        <v>20.98</v>
      </c>
      <c r="E1223" s="93">
        <v>13.68</v>
      </c>
      <c r="F1223" s="93">
        <v>7.26</v>
      </c>
      <c r="G1223" s="93">
        <v>0.02</v>
      </c>
      <c r="H1223" s="93">
        <v>0</v>
      </c>
      <c r="N1223" s="88"/>
      <c r="O1223" s="88"/>
      <c r="P1223" s="88"/>
    </row>
    <row r="1224" spans="1:16">
      <c r="A1224" s="94">
        <v>94225</v>
      </c>
      <c r="B1224" s="87" t="s">
        <v>1565</v>
      </c>
      <c r="C1224" s="12" t="s">
        <v>9</v>
      </c>
      <c r="D1224" s="93">
        <v>23.81</v>
      </c>
      <c r="E1224" s="93">
        <v>1.49</v>
      </c>
      <c r="F1224" s="93">
        <v>22.32</v>
      </c>
      <c r="G1224" s="93">
        <v>0</v>
      </c>
      <c r="H1224" s="93">
        <v>0</v>
      </c>
      <c r="N1224" s="88"/>
      <c r="O1224" s="88"/>
      <c r="P1224" s="88"/>
    </row>
    <row r="1225" spans="1:16">
      <c r="A1225" s="94">
        <v>94226</v>
      </c>
      <c r="B1225" s="87" t="s">
        <v>1566</v>
      </c>
      <c r="C1225" s="12" t="s">
        <v>9</v>
      </c>
      <c r="D1225" s="93">
        <v>14.24</v>
      </c>
      <c r="E1225" s="93">
        <v>5.35</v>
      </c>
      <c r="F1225" s="93">
        <v>8.89</v>
      </c>
      <c r="G1225" s="93">
        <v>0</v>
      </c>
      <c r="H1225" s="93">
        <v>0</v>
      </c>
      <c r="N1225" s="88"/>
      <c r="O1225" s="88"/>
      <c r="P1225" s="88"/>
    </row>
    <row r="1226" spans="1:16">
      <c r="A1226" s="94">
        <v>94232</v>
      </c>
      <c r="B1226" s="87" t="s">
        <v>1567</v>
      </c>
      <c r="C1226" s="12" t="s">
        <v>4</v>
      </c>
      <c r="D1226" s="93">
        <v>2.4500000000000002</v>
      </c>
      <c r="E1226" s="93">
        <v>1.94</v>
      </c>
      <c r="F1226" s="93">
        <v>0.51</v>
      </c>
      <c r="G1226" s="93">
        <v>0</v>
      </c>
      <c r="H1226" s="93">
        <v>0</v>
      </c>
      <c r="N1226" s="88"/>
      <c r="O1226" s="88"/>
      <c r="P1226" s="88"/>
    </row>
    <row r="1227" spans="1:16">
      <c r="A1227" s="94">
        <v>94440</v>
      </c>
      <c r="B1227" s="87" t="s">
        <v>1568</v>
      </c>
      <c r="C1227" s="12" t="s">
        <v>9</v>
      </c>
      <c r="D1227" s="93">
        <v>27.48</v>
      </c>
      <c r="E1227" s="93">
        <v>5.16</v>
      </c>
      <c r="F1227" s="93">
        <v>22.3</v>
      </c>
      <c r="G1227" s="93">
        <v>0.01</v>
      </c>
      <c r="H1227" s="93">
        <v>0</v>
      </c>
      <c r="N1227" s="88"/>
      <c r="O1227" s="88"/>
      <c r="P1227" s="88"/>
    </row>
    <row r="1228" spans="1:16">
      <c r="A1228" s="94">
        <v>94441</v>
      </c>
      <c r="B1228" s="87" t="s">
        <v>1569</v>
      </c>
      <c r="C1228" s="12" t="s">
        <v>9</v>
      </c>
      <c r="D1228" s="93">
        <v>30.2</v>
      </c>
      <c r="E1228" s="93">
        <v>7.24</v>
      </c>
      <c r="F1228" s="93">
        <v>22.94</v>
      </c>
      <c r="G1228" s="93">
        <v>0.01</v>
      </c>
      <c r="H1228" s="93">
        <v>0</v>
      </c>
      <c r="N1228" s="88"/>
      <c r="O1228" s="88"/>
      <c r="P1228" s="88"/>
    </row>
    <row r="1229" spans="1:16">
      <c r="A1229" s="94">
        <v>94442</v>
      </c>
      <c r="B1229" s="87" t="s">
        <v>1570</v>
      </c>
      <c r="C1229" s="12" t="s">
        <v>9</v>
      </c>
      <c r="D1229" s="93">
        <v>27.48</v>
      </c>
      <c r="E1229" s="93">
        <v>5.16</v>
      </c>
      <c r="F1229" s="93">
        <v>22.3</v>
      </c>
      <c r="G1229" s="93">
        <v>0.01</v>
      </c>
      <c r="H1229" s="93">
        <v>0</v>
      </c>
      <c r="N1229" s="88"/>
      <c r="O1229" s="88"/>
      <c r="P1229" s="88"/>
    </row>
    <row r="1230" spans="1:16">
      <c r="A1230" s="94">
        <v>94443</v>
      </c>
      <c r="B1230" s="87" t="s">
        <v>1571</v>
      </c>
      <c r="C1230" s="12" t="s">
        <v>9</v>
      </c>
      <c r="D1230" s="93">
        <v>30.2</v>
      </c>
      <c r="E1230" s="93">
        <v>7.24</v>
      </c>
      <c r="F1230" s="93">
        <v>22.94</v>
      </c>
      <c r="G1230" s="93">
        <v>0.01</v>
      </c>
      <c r="H1230" s="93">
        <v>0</v>
      </c>
      <c r="N1230" s="88"/>
      <c r="O1230" s="88"/>
      <c r="P1230" s="88"/>
    </row>
    <row r="1231" spans="1:16">
      <c r="A1231" s="94">
        <v>94445</v>
      </c>
      <c r="B1231" s="87" t="s">
        <v>1572</v>
      </c>
      <c r="C1231" s="12" t="s">
        <v>9</v>
      </c>
      <c r="D1231" s="93">
        <v>39.29</v>
      </c>
      <c r="E1231" s="93">
        <v>8.15</v>
      </c>
      <c r="F1231" s="93">
        <v>31.09</v>
      </c>
      <c r="G1231" s="93">
        <v>0.03</v>
      </c>
      <c r="H1231" s="93">
        <v>0</v>
      </c>
      <c r="N1231" s="88"/>
      <c r="O1231" s="88"/>
      <c r="P1231" s="88"/>
    </row>
    <row r="1232" spans="1:16">
      <c r="A1232" s="94">
        <v>94446</v>
      </c>
      <c r="B1232" s="87" t="s">
        <v>1573</v>
      </c>
      <c r="C1232" s="12" t="s">
        <v>9</v>
      </c>
      <c r="D1232" s="93">
        <v>43.93</v>
      </c>
      <c r="E1232" s="93">
        <v>11.7</v>
      </c>
      <c r="F1232" s="93">
        <v>32.18</v>
      </c>
      <c r="G1232" s="93">
        <v>0.03</v>
      </c>
      <c r="H1232" s="93">
        <v>0</v>
      </c>
      <c r="N1232" s="88"/>
      <c r="O1232" s="88"/>
      <c r="P1232" s="88"/>
    </row>
    <row r="1233" spans="1:16">
      <c r="A1233" s="94">
        <v>94447</v>
      </c>
      <c r="B1233" s="87" t="s">
        <v>1574</v>
      </c>
      <c r="C1233" s="12" t="s">
        <v>9</v>
      </c>
      <c r="D1233" s="93">
        <v>39.29</v>
      </c>
      <c r="E1233" s="93">
        <v>8.15</v>
      </c>
      <c r="F1233" s="93">
        <v>31.09</v>
      </c>
      <c r="G1233" s="93">
        <v>0.03</v>
      </c>
      <c r="H1233" s="93">
        <v>0</v>
      </c>
      <c r="N1233" s="88"/>
      <c r="O1233" s="88"/>
      <c r="P1233" s="88"/>
    </row>
    <row r="1234" spans="1:16">
      <c r="A1234" s="94">
        <v>94448</v>
      </c>
      <c r="B1234" s="87" t="s">
        <v>1575</v>
      </c>
      <c r="C1234" s="12" t="s">
        <v>9</v>
      </c>
      <c r="D1234" s="93">
        <v>43.93</v>
      </c>
      <c r="E1234" s="93">
        <v>11.7</v>
      </c>
      <c r="F1234" s="93">
        <v>32.18</v>
      </c>
      <c r="G1234" s="93">
        <v>0.03</v>
      </c>
      <c r="H1234" s="93">
        <v>0</v>
      </c>
      <c r="N1234" s="88"/>
      <c r="O1234" s="88"/>
      <c r="P1234" s="88"/>
    </row>
    <row r="1235" spans="1:16">
      <c r="A1235" s="94">
        <v>94207</v>
      </c>
      <c r="B1235" s="87" t="s">
        <v>1576</v>
      </c>
      <c r="C1235" s="12" t="s">
        <v>9</v>
      </c>
      <c r="D1235" s="93">
        <v>39.270000000000003</v>
      </c>
      <c r="E1235" s="93">
        <v>3.9</v>
      </c>
      <c r="F1235" s="93">
        <v>35.369999999999997</v>
      </c>
      <c r="G1235" s="93">
        <v>0</v>
      </c>
      <c r="H1235" s="93">
        <v>0</v>
      </c>
      <c r="N1235" s="88"/>
      <c r="O1235" s="88"/>
      <c r="P1235" s="88"/>
    </row>
    <row r="1236" spans="1:16">
      <c r="A1236" s="94">
        <v>94210</v>
      </c>
      <c r="B1236" s="87" t="s">
        <v>1577</v>
      </c>
      <c r="C1236" s="12" t="s">
        <v>9</v>
      </c>
      <c r="D1236" s="93">
        <v>41.8</v>
      </c>
      <c r="E1236" s="93">
        <v>4.32</v>
      </c>
      <c r="F1236" s="93">
        <v>37.479999999999997</v>
      </c>
      <c r="G1236" s="93">
        <v>0</v>
      </c>
      <c r="H1236" s="93">
        <v>0</v>
      </c>
      <c r="N1236" s="88"/>
      <c r="O1236" s="88"/>
      <c r="P1236" s="88"/>
    </row>
    <row r="1237" spans="1:16">
      <c r="A1237" s="94">
        <v>94218</v>
      </c>
      <c r="B1237" s="87" t="s">
        <v>1578</v>
      </c>
      <c r="C1237" s="12" t="s">
        <v>9</v>
      </c>
      <c r="D1237" s="93">
        <v>88.07</v>
      </c>
      <c r="E1237" s="93">
        <v>4.33</v>
      </c>
      <c r="F1237" s="93">
        <v>83.74</v>
      </c>
      <c r="G1237" s="93">
        <v>0</v>
      </c>
      <c r="H1237" s="93">
        <v>0</v>
      </c>
      <c r="N1237" s="88"/>
      <c r="O1237" s="88"/>
      <c r="P1237" s="88"/>
    </row>
    <row r="1238" spans="1:16">
      <c r="A1238" s="94">
        <v>94213</v>
      </c>
      <c r="B1238" s="87" t="s">
        <v>1579</v>
      </c>
      <c r="C1238" s="12" t="s">
        <v>9</v>
      </c>
      <c r="D1238" s="93">
        <v>68.260000000000005</v>
      </c>
      <c r="E1238" s="93">
        <v>2.73</v>
      </c>
      <c r="F1238" s="93">
        <v>65.53</v>
      </c>
      <c r="G1238" s="93">
        <v>0</v>
      </c>
      <c r="H1238" s="93">
        <v>0</v>
      </c>
      <c r="N1238" s="88"/>
      <c r="O1238" s="88"/>
      <c r="P1238" s="88"/>
    </row>
    <row r="1239" spans="1:16">
      <c r="A1239" s="94">
        <v>94216</v>
      </c>
      <c r="B1239" s="87" t="s">
        <v>1580</v>
      </c>
      <c r="C1239" s="12" t="s">
        <v>9</v>
      </c>
      <c r="D1239" s="93">
        <v>204.16</v>
      </c>
      <c r="E1239" s="93">
        <v>1.7</v>
      </c>
      <c r="F1239" s="93">
        <v>202.46</v>
      </c>
      <c r="G1239" s="93">
        <v>0</v>
      </c>
      <c r="H1239" s="93">
        <v>0</v>
      </c>
      <c r="N1239" s="88"/>
      <c r="O1239" s="88"/>
      <c r="P1239" s="88"/>
    </row>
    <row r="1240" spans="1:16">
      <c r="A1240" s="94">
        <v>94219</v>
      </c>
      <c r="B1240" s="87" t="s">
        <v>1581</v>
      </c>
      <c r="C1240" s="12" t="s">
        <v>6</v>
      </c>
      <c r="D1240" s="93">
        <v>26.12</v>
      </c>
      <c r="E1240" s="93">
        <v>10.84</v>
      </c>
      <c r="F1240" s="93">
        <v>15.22</v>
      </c>
      <c r="G1240" s="93">
        <v>0.03</v>
      </c>
      <c r="H1240" s="93">
        <v>0</v>
      </c>
      <c r="N1240" s="88"/>
      <c r="O1240" s="88"/>
      <c r="P1240" s="88"/>
    </row>
    <row r="1241" spans="1:16">
      <c r="A1241" s="94">
        <v>94220</v>
      </c>
      <c r="B1241" s="87" t="s">
        <v>1582</v>
      </c>
      <c r="C1241" s="12" t="s">
        <v>6</v>
      </c>
      <c r="D1241" s="93">
        <v>38.869999999999997</v>
      </c>
      <c r="E1241" s="93">
        <v>10.81</v>
      </c>
      <c r="F1241" s="93">
        <v>28</v>
      </c>
      <c r="G1241" s="93">
        <v>0.03</v>
      </c>
      <c r="H1241" s="93">
        <v>0</v>
      </c>
      <c r="N1241" s="88"/>
      <c r="O1241" s="88"/>
      <c r="P1241" s="88"/>
    </row>
    <row r="1242" spans="1:16">
      <c r="A1242" s="94">
        <v>94221</v>
      </c>
      <c r="B1242" s="87" t="s">
        <v>1583</v>
      </c>
      <c r="C1242" s="12" t="s">
        <v>6</v>
      </c>
      <c r="D1242" s="93">
        <v>20.74</v>
      </c>
      <c r="E1242" s="93">
        <v>6.71</v>
      </c>
      <c r="F1242" s="93">
        <v>13.97</v>
      </c>
      <c r="G1242" s="93">
        <v>0.03</v>
      </c>
      <c r="H1242" s="93">
        <v>0</v>
      </c>
      <c r="N1242" s="88"/>
      <c r="O1242" s="88"/>
      <c r="P1242" s="88"/>
    </row>
    <row r="1243" spans="1:16">
      <c r="A1243" s="94">
        <v>94222</v>
      </c>
      <c r="B1243" s="87" t="s">
        <v>1584</v>
      </c>
      <c r="C1243" s="12" t="s">
        <v>6</v>
      </c>
      <c r="D1243" s="93">
        <v>33.49</v>
      </c>
      <c r="E1243" s="93">
        <v>6.69</v>
      </c>
      <c r="F1243" s="93">
        <v>26.74</v>
      </c>
      <c r="G1243" s="93">
        <v>0.03</v>
      </c>
      <c r="H1243" s="93">
        <v>0</v>
      </c>
      <c r="N1243" s="88"/>
      <c r="O1243" s="88"/>
      <c r="P1243" s="88"/>
    </row>
    <row r="1244" spans="1:16">
      <c r="A1244" s="94">
        <v>94223</v>
      </c>
      <c r="B1244" s="87" t="s">
        <v>1585</v>
      </c>
      <c r="C1244" s="12" t="s">
        <v>6</v>
      </c>
      <c r="D1244" s="93">
        <v>48.35</v>
      </c>
      <c r="E1244" s="93">
        <v>1.93</v>
      </c>
      <c r="F1244" s="93">
        <v>46.42</v>
      </c>
      <c r="G1244" s="93">
        <v>0</v>
      </c>
      <c r="H1244" s="93">
        <v>0</v>
      </c>
      <c r="N1244" s="88"/>
      <c r="O1244" s="88"/>
      <c r="P1244" s="88"/>
    </row>
    <row r="1245" spans="1:16">
      <c r="A1245" s="94">
        <v>94451</v>
      </c>
      <c r="B1245" s="87" t="s">
        <v>1586</v>
      </c>
      <c r="C1245" s="12" t="s">
        <v>6</v>
      </c>
      <c r="D1245" s="93">
        <v>113.19</v>
      </c>
      <c r="E1245" s="93">
        <v>1.97</v>
      </c>
      <c r="F1245" s="93">
        <v>111.22</v>
      </c>
      <c r="G1245" s="93">
        <v>0</v>
      </c>
      <c r="H1245" s="93">
        <v>0</v>
      </c>
      <c r="N1245" s="88"/>
      <c r="O1245" s="88"/>
      <c r="P1245" s="88"/>
    </row>
    <row r="1246" spans="1:16">
      <c r="A1246" s="94">
        <v>100325</v>
      </c>
      <c r="B1246" s="87" t="s">
        <v>1587</v>
      </c>
      <c r="C1246" s="12" t="s">
        <v>6</v>
      </c>
      <c r="D1246" s="93">
        <v>46.43</v>
      </c>
      <c r="E1246" s="93">
        <v>1.38</v>
      </c>
      <c r="F1246" s="93">
        <v>45.05</v>
      </c>
      <c r="G1246" s="93">
        <v>0</v>
      </c>
      <c r="H1246" s="93">
        <v>0</v>
      </c>
      <c r="N1246" s="88"/>
      <c r="O1246" s="88"/>
      <c r="P1246" s="88"/>
    </row>
    <row r="1247" spans="1:16">
      <c r="A1247" s="94">
        <v>100327</v>
      </c>
      <c r="B1247" s="87" t="s">
        <v>1588</v>
      </c>
      <c r="C1247" s="12" t="s">
        <v>6</v>
      </c>
      <c r="D1247" s="93">
        <v>43.92</v>
      </c>
      <c r="E1247" s="93">
        <v>5.73</v>
      </c>
      <c r="F1247" s="93">
        <v>38.19</v>
      </c>
      <c r="G1247" s="93">
        <v>0</v>
      </c>
      <c r="H1247" s="93">
        <v>0</v>
      </c>
      <c r="N1247" s="88"/>
      <c r="O1247" s="88"/>
      <c r="P1247" s="88"/>
    </row>
    <row r="1248" spans="1:16">
      <c r="A1248" s="94">
        <v>100328</v>
      </c>
      <c r="B1248" s="87" t="s">
        <v>1589</v>
      </c>
      <c r="C1248" s="12" t="s">
        <v>9</v>
      </c>
      <c r="D1248" s="93">
        <v>10.69</v>
      </c>
      <c r="E1248" s="93">
        <v>4.99</v>
      </c>
      <c r="F1248" s="93">
        <v>5.7</v>
      </c>
      <c r="G1248" s="93">
        <v>0</v>
      </c>
      <c r="H1248" s="93">
        <v>0</v>
      </c>
      <c r="N1248" s="88"/>
      <c r="O1248" s="88"/>
      <c r="P1248" s="88"/>
    </row>
    <row r="1249" spans="1:16">
      <c r="A1249" s="94">
        <v>100329</v>
      </c>
      <c r="B1249" s="87" t="s">
        <v>1590</v>
      </c>
      <c r="C1249" s="12" t="s">
        <v>9</v>
      </c>
      <c r="D1249" s="93">
        <v>13.42</v>
      </c>
      <c r="E1249" s="93">
        <v>7.11</v>
      </c>
      <c r="F1249" s="93">
        <v>6.31</v>
      </c>
      <c r="G1249" s="93">
        <v>0</v>
      </c>
      <c r="H1249" s="93">
        <v>0</v>
      </c>
      <c r="N1249" s="88"/>
      <c r="O1249" s="88"/>
      <c r="P1249" s="88"/>
    </row>
    <row r="1250" spans="1:16">
      <c r="A1250" s="94">
        <v>100330</v>
      </c>
      <c r="B1250" s="87" t="s">
        <v>1591</v>
      </c>
      <c r="C1250" s="12" t="s">
        <v>9</v>
      </c>
      <c r="D1250" s="93">
        <v>14.54</v>
      </c>
      <c r="E1250" s="93">
        <v>6.74</v>
      </c>
      <c r="F1250" s="93">
        <v>7.8</v>
      </c>
      <c r="G1250" s="93">
        <v>0</v>
      </c>
      <c r="H1250" s="93">
        <v>0</v>
      </c>
      <c r="N1250" s="88"/>
      <c r="O1250" s="88"/>
      <c r="P1250" s="88"/>
    </row>
    <row r="1251" spans="1:16">
      <c r="A1251" s="94">
        <v>100331</v>
      </c>
      <c r="B1251" s="87" t="s">
        <v>1592</v>
      </c>
      <c r="C1251" s="12" t="s">
        <v>9</v>
      </c>
      <c r="D1251" s="93">
        <v>19.2</v>
      </c>
      <c r="E1251" s="93">
        <v>10.32</v>
      </c>
      <c r="F1251" s="93">
        <v>8.8800000000000008</v>
      </c>
      <c r="G1251" s="93">
        <v>0</v>
      </c>
      <c r="H1251" s="93">
        <v>0</v>
      </c>
      <c r="N1251" s="88"/>
      <c r="O1251" s="88"/>
      <c r="P1251" s="88"/>
    </row>
    <row r="1252" spans="1:16">
      <c r="A1252" s="94">
        <v>100434</v>
      </c>
      <c r="B1252" s="87" t="s">
        <v>1593</v>
      </c>
      <c r="C1252" s="12" t="s">
        <v>6</v>
      </c>
      <c r="D1252" s="93">
        <v>42.45</v>
      </c>
      <c r="E1252" s="93">
        <v>6.05</v>
      </c>
      <c r="F1252" s="93">
        <v>36.4</v>
      </c>
      <c r="G1252" s="93">
        <v>0</v>
      </c>
      <c r="H1252" s="93">
        <v>0</v>
      </c>
      <c r="N1252" s="88"/>
      <c r="O1252" s="88"/>
      <c r="P1252" s="88"/>
    </row>
    <row r="1253" spans="1:16">
      <c r="A1253" s="94">
        <v>100435</v>
      </c>
      <c r="B1253" s="87" t="s">
        <v>1594</v>
      </c>
      <c r="C1253" s="12" t="s">
        <v>6</v>
      </c>
      <c r="D1253" s="93">
        <v>26.72</v>
      </c>
      <c r="E1253" s="93">
        <v>3.99</v>
      </c>
      <c r="F1253" s="93">
        <v>22.73</v>
      </c>
      <c r="G1253" s="93">
        <v>0</v>
      </c>
      <c r="H1253" s="93">
        <v>0</v>
      </c>
      <c r="N1253" s="88"/>
      <c r="O1253" s="88"/>
      <c r="P1253" s="88"/>
    </row>
    <row r="1254" spans="1:16">
      <c r="A1254" s="94">
        <v>94227</v>
      </c>
      <c r="B1254" s="87" t="s">
        <v>1595</v>
      </c>
      <c r="C1254" s="12" t="s">
        <v>6</v>
      </c>
      <c r="D1254" s="93">
        <v>49.15</v>
      </c>
      <c r="E1254" s="93">
        <v>6.98</v>
      </c>
      <c r="F1254" s="93">
        <v>42.17</v>
      </c>
      <c r="G1254" s="93">
        <v>0</v>
      </c>
      <c r="H1254" s="93">
        <v>0</v>
      </c>
      <c r="N1254" s="88"/>
      <c r="O1254" s="88"/>
      <c r="P1254" s="88"/>
    </row>
    <row r="1255" spans="1:16">
      <c r="A1255" s="94">
        <v>94228</v>
      </c>
      <c r="B1255" s="87" t="s">
        <v>1596</v>
      </c>
      <c r="C1255" s="12" t="s">
        <v>6</v>
      </c>
      <c r="D1255" s="93">
        <v>66.09</v>
      </c>
      <c r="E1255" s="93">
        <v>9.59</v>
      </c>
      <c r="F1255" s="93">
        <v>56.5</v>
      </c>
      <c r="G1255" s="93">
        <v>0</v>
      </c>
      <c r="H1255" s="93">
        <v>0</v>
      </c>
      <c r="N1255" s="88"/>
      <c r="O1255" s="88"/>
      <c r="P1255" s="88"/>
    </row>
    <row r="1256" spans="1:16">
      <c r="A1256" s="94">
        <v>94229</v>
      </c>
      <c r="B1256" s="87" t="s">
        <v>1597</v>
      </c>
      <c r="C1256" s="12" t="s">
        <v>6</v>
      </c>
      <c r="D1256" s="93">
        <v>127.64</v>
      </c>
      <c r="E1256" s="93">
        <v>17.25</v>
      </c>
      <c r="F1256" s="93">
        <v>110.39</v>
      </c>
      <c r="G1256" s="93">
        <v>0</v>
      </c>
      <c r="H1256" s="93">
        <v>0</v>
      </c>
      <c r="N1256" s="88"/>
      <c r="O1256" s="88"/>
      <c r="P1256" s="88"/>
    </row>
    <row r="1257" spans="1:16">
      <c r="A1257" s="94">
        <v>94231</v>
      </c>
      <c r="B1257" s="87" t="s">
        <v>1598</v>
      </c>
      <c r="C1257" s="12" t="s">
        <v>6</v>
      </c>
      <c r="D1257" s="93">
        <v>39.33</v>
      </c>
      <c r="E1257" s="93">
        <v>4.78</v>
      </c>
      <c r="F1257" s="93">
        <v>34.549999999999997</v>
      </c>
      <c r="G1257" s="93">
        <v>0</v>
      </c>
      <c r="H1257" s="93">
        <v>0</v>
      </c>
      <c r="N1257" s="88"/>
      <c r="O1257" s="88"/>
      <c r="P1257" s="88"/>
    </row>
    <row r="1258" spans="1:16">
      <c r="A1258" s="94">
        <v>94449</v>
      </c>
      <c r="B1258" s="87" t="s">
        <v>1599</v>
      </c>
      <c r="C1258" s="12" t="s">
        <v>9</v>
      </c>
      <c r="D1258" s="93">
        <v>44.8</v>
      </c>
      <c r="E1258" s="93">
        <v>3.9</v>
      </c>
      <c r="F1258" s="93">
        <v>40.9</v>
      </c>
      <c r="G1258" s="93">
        <v>0</v>
      </c>
      <c r="H1258" s="93">
        <v>0</v>
      </c>
      <c r="N1258" s="88"/>
      <c r="O1258" s="88"/>
      <c r="P1258" s="88"/>
    </row>
    <row r="1259" spans="1:16">
      <c r="A1259" s="94">
        <v>92255</v>
      </c>
      <c r="B1259" s="87" t="s">
        <v>1600</v>
      </c>
      <c r="C1259" s="12" t="s">
        <v>4</v>
      </c>
      <c r="D1259" s="93">
        <v>160.57</v>
      </c>
      <c r="E1259" s="93">
        <v>79.67</v>
      </c>
      <c r="F1259" s="93">
        <v>32.61</v>
      </c>
      <c r="G1259" s="93">
        <v>27.75</v>
      </c>
      <c r="H1259" s="93">
        <v>0</v>
      </c>
      <c r="N1259" s="88"/>
      <c r="O1259" s="88"/>
      <c r="P1259" s="88"/>
    </row>
    <row r="1260" spans="1:16">
      <c r="A1260" s="94">
        <v>92256</v>
      </c>
      <c r="B1260" s="87" t="s">
        <v>1601</v>
      </c>
      <c r="C1260" s="12" t="s">
        <v>4</v>
      </c>
      <c r="D1260" s="93">
        <v>205.59</v>
      </c>
      <c r="E1260" s="93">
        <v>117.68</v>
      </c>
      <c r="F1260" s="93">
        <v>39.619999999999997</v>
      </c>
      <c r="G1260" s="93">
        <v>27.75</v>
      </c>
      <c r="H1260" s="93">
        <v>0</v>
      </c>
      <c r="N1260" s="88"/>
      <c r="O1260" s="88"/>
      <c r="P1260" s="88"/>
    </row>
    <row r="1261" spans="1:16">
      <c r="A1261" s="94">
        <v>92257</v>
      </c>
      <c r="B1261" s="87" t="s">
        <v>1602</v>
      </c>
      <c r="C1261" s="12" t="s">
        <v>4</v>
      </c>
      <c r="D1261" s="93">
        <v>249.85</v>
      </c>
      <c r="E1261" s="93">
        <v>154.96</v>
      </c>
      <c r="F1261" s="93">
        <v>46.61</v>
      </c>
      <c r="G1261" s="93">
        <v>27.74</v>
      </c>
      <c r="H1261" s="93">
        <v>0</v>
      </c>
      <c r="N1261" s="88"/>
      <c r="O1261" s="88"/>
      <c r="P1261" s="88"/>
    </row>
    <row r="1262" spans="1:16">
      <c r="A1262" s="94">
        <v>92258</v>
      </c>
      <c r="B1262" s="87" t="s">
        <v>1603</v>
      </c>
      <c r="C1262" s="12" t="s">
        <v>4</v>
      </c>
      <c r="D1262" s="93">
        <v>321.02</v>
      </c>
      <c r="E1262" s="93">
        <v>214.89</v>
      </c>
      <c r="F1262" s="93">
        <v>57.85</v>
      </c>
      <c r="G1262" s="93">
        <v>27.74</v>
      </c>
      <c r="H1262" s="93">
        <v>0</v>
      </c>
      <c r="N1262" s="88"/>
      <c r="O1262" s="88"/>
      <c r="P1262" s="88"/>
    </row>
    <row r="1263" spans="1:16">
      <c r="A1263" s="94">
        <v>92568</v>
      </c>
      <c r="B1263" s="87" t="s">
        <v>1604</v>
      </c>
      <c r="C1263" s="12" t="s">
        <v>9</v>
      </c>
      <c r="D1263" s="93">
        <v>91.25</v>
      </c>
      <c r="E1263" s="93">
        <v>10.32</v>
      </c>
      <c r="F1263" s="93">
        <v>80.930000000000007</v>
      </c>
      <c r="G1263" s="93">
        <v>0</v>
      </c>
      <c r="H1263" s="93">
        <v>0</v>
      </c>
      <c r="N1263" s="88"/>
      <c r="O1263" s="88"/>
      <c r="P1263" s="88"/>
    </row>
    <row r="1264" spans="1:16">
      <c r="A1264" s="94">
        <v>92569</v>
      </c>
      <c r="B1264" s="87" t="s">
        <v>1605</v>
      </c>
      <c r="C1264" s="12" t="s">
        <v>9</v>
      </c>
      <c r="D1264" s="93">
        <v>50.07</v>
      </c>
      <c r="E1264" s="93">
        <v>4.45</v>
      </c>
      <c r="F1264" s="93">
        <v>45.62</v>
      </c>
      <c r="G1264" s="93">
        <v>0</v>
      </c>
      <c r="H1264" s="93">
        <v>0</v>
      </c>
      <c r="N1264" s="88"/>
      <c r="O1264" s="88"/>
      <c r="P1264" s="88"/>
    </row>
    <row r="1265" spans="1:16">
      <c r="A1265" s="94">
        <v>92570</v>
      </c>
      <c r="B1265" s="87" t="s">
        <v>1606</v>
      </c>
      <c r="C1265" s="12" t="s">
        <v>9</v>
      </c>
      <c r="D1265" s="93">
        <v>31.24</v>
      </c>
      <c r="E1265" s="93">
        <v>2.09</v>
      </c>
      <c r="F1265" s="93">
        <v>29.15</v>
      </c>
      <c r="G1265" s="93">
        <v>0</v>
      </c>
      <c r="H1265" s="93">
        <v>0</v>
      </c>
      <c r="N1265" s="88"/>
      <c r="O1265" s="88"/>
      <c r="P1265" s="88"/>
    </row>
    <row r="1266" spans="1:16">
      <c r="A1266" s="94">
        <v>92571</v>
      </c>
      <c r="B1266" s="87" t="s">
        <v>1607</v>
      </c>
      <c r="C1266" s="12" t="s">
        <v>9</v>
      </c>
      <c r="D1266" s="93">
        <v>99.51</v>
      </c>
      <c r="E1266" s="93">
        <v>16.72</v>
      </c>
      <c r="F1266" s="93">
        <v>82.79</v>
      </c>
      <c r="G1266" s="93">
        <v>0</v>
      </c>
      <c r="H1266" s="93">
        <v>0</v>
      </c>
      <c r="N1266" s="88"/>
      <c r="O1266" s="88"/>
      <c r="P1266" s="88"/>
    </row>
    <row r="1267" spans="1:16">
      <c r="A1267" s="94">
        <v>92572</v>
      </c>
      <c r="B1267" s="87" t="s">
        <v>1608</v>
      </c>
      <c r="C1267" s="12" t="s">
        <v>9</v>
      </c>
      <c r="D1267" s="93">
        <v>58.86</v>
      </c>
      <c r="E1267" s="93">
        <v>8.52</v>
      </c>
      <c r="F1267" s="93">
        <v>50.34</v>
      </c>
      <c r="G1267" s="93">
        <v>0</v>
      </c>
      <c r="H1267" s="93">
        <v>0</v>
      </c>
      <c r="N1267" s="88"/>
      <c r="O1267" s="88"/>
      <c r="P1267" s="88"/>
    </row>
    <row r="1268" spans="1:16">
      <c r="A1268" s="94">
        <v>92573</v>
      </c>
      <c r="B1268" s="87" t="s">
        <v>1609</v>
      </c>
      <c r="C1268" s="12" t="s">
        <v>9</v>
      </c>
      <c r="D1268" s="93">
        <v>34.83</v>
      </c>
      <c r="E1268" s="93">
        <v>4.96</v>
      </c>
      <c r="F1268" s="93">
        <v>29.87</v>
      </c>
      <c r="G1268" s="93">
        <v>0</v>
      </c>
      <c r="H1268" s="93">
        <v>0</v>
      </c>
      <c r="N1268" s="88"/>
      <c r="O1268" s="88"/>
      <c r="P1268" s="88"/>
    </row>
    <row r="1269" spans="1:16">
      <c r="A1269" s="94">
        <v>92574</v>
      </c>
      <c r="B1269" s="87" t="s">
        <v>1610</v>
      </c>
      <c r="C1269" s="12" t="s">
        <v>9</v>
      </c>
      <c r="D1269" s="93">
        <v>93.04</v>
      </c>
      <c r="E1269" s="93">
        <v>11.23</v>
      </c>
      <c r="F1269" s="93">
        <v>81.81</v>
      </c>
      <c r="G1269" s="93">
        <v>0</v>
      </c>
      <c r="H1269" s="93">
        <v>0</v>
      </c>
      <c r="N1269" s="88"/>
      <c r="O1269" s="88"/>
      <c r="P1269" s="88"/>
    </row>
    <row r="1270" spans="1:16">
      <c r="A1270" s="94">
        <v>92575</v>
      </c>
      <c r="B1270" s="87" t="s">
        <v>1611</v>
      </c>
      <c r="C1270" s="12" t="s">
        <v>9</v>
      </c>
      <c r="D1270" s="93">
        <v>45.95</v>
      </c>
      <c r="E1270" s="93">
        <v>4.3899999999999997</v>
      </c>
      <c r="F1270" s="93">
        <v>41.56</v>
      </c>
      <c r="G1270" s="93">
        <v>0</v>
      </c>
      <c r="H1270" s="93">
        <v>0</v>
      </c>
      <c r="N1270" s="88"/>
      <c r="O1270" s="88"/>
      <c r="P1270" s="88"/>
    </row>
    <row r="1271" spans="1:16">
      <c r="A1271" s="94">
        <v>92576</v>
      </c>
      <c r="B1271" s="87" t="s">
        <v>1612</v>
      </c>
      <c r="C1271" s="12" t="s">
        <v>9</v>
      </c>
      <c r="D1271" s="93">
        <v>24.63</v>
      </c>
      <c r="E1271" s="93">
        <v>1.64</v>
      </c>
      <c r="F1271" s="93">
        <v>22.99</v>
      </c>
      <c r="G1271" s="93">
        <v>0</v>
      </c>
      <c r="H1271" s="93">
        <v>0</v>
      </c>
      <c r="N1271" s="88"/>
      <c r="O1271" s="88"/>
      <c r="P1271" s="88"/>
    </row>
    <row r="1272" spans="1:16">
      <c r="A1272" s="94">
        <v>92577</v>
      </c>
      <c r="B1272" s="87" t="s">
        <v>1613</v>
      </c>
      <c r="C1272" s="12" t="s">
        <v>9</v>
      </c>
      <c r="D1272" s="93">
        <v>101.56</v>
      </c>
      <c r="E1272" s="93">
        <v>17.54</v>
      </c>
      <c r="F1272" s="93">
        <v>84.02</v>
      </c>
      <c r="G1272" s="93">
        <v>0</v>
      </c>
      <c r="H1272" s="93">
        <v>0</v>
      </c>
      <c r="N1272" s="88"/>
      <c r="O1272" s="88"/>
      <c r="P1272" s="88"/>
    </row>
    <row r="1273" spans="1:16">
      <c r="A1273" s="94">
        <v>92578</v>
      </c>
      <c r="B1273" s="87" t="s">
        <v>1614</v>
      </c>
      <c r="C1273" s="12" t="s">
        <v>9</v>
      </c>
      <c r="D1273" s="93">
        <v>50.75</v>
      </c>
      <c r="E1273" s="93">
        <v>8.01</v>
      </c>
      <c r="F1273" s="93">
        <v>42.74</v>
      </c>
      <c r="G1273" s="93">
        <v>0</v>
      </c>
      <c r="H1273" s="93">
        <v>0</v>
      </c>
      <c r="N1273" s="88"/>
      <c r="O1273" s="88"/>
      <c r="P1273" s="88"/>
    </row>
    <row r="1274" spans="1:16">
      <c r="A1274" s="94">
        <v>92579</v>
      </c>
      <c r="B1274" s="87" t="s">
        <v>1615</v>
      </c>
      <c r="C1274" s="12" t="s">
        <v>9</v>
      </c>
      <c r="D1274" s="93">
        <v>27.5</v>
      </c>
      <c r="E1274" s="93">
        <v>3.95</v>
      </c>
      <c r="F1274" s="93">
        <v>23.55</v>
      </c>
      <c r="G1274" s="93">
        <v>0</v>
      </c>
      <c r="H1274" s="93">
        <v>0</v>
      </c>
      <c r="N1274" s="88"/>
      <c r="O1274" s="88"/>
      <c r="P1274" s="88"/>
    </row>
    <row r="1275" spans="1:16">
      <c r="A1275" s="94">
        <v>92580</v>
      </c>
      <c r="B1275" s="87" t="s">
        <v>1616</v>
      </c>
      <c r="C1275" s="12" t="s">
        <v>9</v>
      </c>
      <c r="D1275" s="93">
        <v>34.9</v>
      </c>
      <c r="E1275" s="93">
        <v>6.23</v>
      </c>
      <c r="F1275" s="93">
        <v>28.67</v>
      </c>
      <c r="G1275" s="93">
        <v>0</v>
      </c>
      <c r="H1275" s="93">
        <v>0</v>
      </c>
      <c r="N1275" s="88"/>
      <c r="O1275" s="88"/>
      <c r="P1275" s="88"/>
    </row>
    <row r="1276" spans="1:16">
      <c r="A1276" s="94">
        <v>92581</v>
      </c>
      <c r="B1276" s="87" t="s">
        <v>1617</v>
      </c>
      <c r="C1276" s="12" t="s">
        <v>9</v>
      </c>
      <c r="D1276" s="93">
        <v>36.049999999999997</v>
      </c>
      <c r="E1276" s="93">
        <v>5.65</v>
      </c>
      <c r="F1276" s="93">
        <v>30.4</v>
      </c>
      <c r="G1276" s="93">
        <v>0</v>
      </c>
      <c r="H1276" s="93">
        <v>0</v>
      </c>
      <c r="N1276" s="88"/>
      <c r="O1276" s="88"/>
      <c r="P1276" s="88"/>
    </row>
    <row r="1277" spans="1:16">
      <c r="A1277" s="94">
        <v>92582</v>
      </c>
      <c r="B1277" s="87" t="s">
        <v>1618</v>
      </c>
      <c r="C1277" s="12" t="s">
        <v>4</v>
      </c>
      <c r="D1277" s="93">
        <v>527.25</v>
      </c>
      <c r="E1277" s="93">
        <v>115.4</v>
      </c>
      <c r="F1277" s="93">
        <v>363.58</v>
      </c>
      <c r="G1277" s="93">
        <v>27.74</v>
      </c>
      <c r="H1277" s="93">
        <v>0</v>
      </c>
      <c r="N1277" s="88"/>
      <c r="O1277" s="88"/>
      <c r="P1277" s="88"/>
    </row>
    <row r="1278" spans="1:16">
      <c r="A1278" s="94">
        <v>92584</v>
      </c>
      <c r="B1278" s="87" t="s">
        <v>1619</v>
      </c>
      <c r="C1278" s="12" t="s">
        <v>4</v>
      </c>
      <c r="D1278" s="93">
        <v>609.64</v>
      </c>
      <c r="E1278" s="93">
        <v>115.39</v>
      </c>
      <c r="F1278" s="93">
        <v>445.99</v>
      </c>
      <c r="G1278" s="93">
        <v>27.73</v>
      </c>
      <c r="H1278" s="93">
        <v>0</v>
      </c>
      <c r="N1278" s="88"/>
      <c r="O1278" s="88"/>
      <c r="P1278" s="88"/>
    </row>
    <row r="1279" spans="1:16">
      <c r="A1279" s="94">
        <v>92586</v>
      </c>
      <c r="B1279" s="87" t="s">
        <v>1620</v>
      </c>
      <c r="C1279" s="12" t="s">
        <v>4</v>
      </c>
      <c r="D1279" s="93">
        <v>692.02</v>
      </c>
      <c r="E1279" s="93">
        <v>115.39</v>
      </c>
      <c r="F1279" s="93">
        <v>528.37</v>
      </c>
      <c r="G1279" s="93">
        <v>27.73</v>
      </c>
      <c r="H1279" s="93">
        <v>0</v>
      </c>
      <c r="N1279" s="88"/>
      <c r="O1279" s="88"/>
      <c r="P1279" s="88"/>
    </row>
    <row r="1280" spans="1:16">
      <c r="A1280" s="94">
        <v>92588</v>
      </c>
      <c r="B1280" s="87" t="s">
        <v>1621</v>
      </c>
      <c r="C1280" s="12" t="s">
        <v>4</v>
      </c>
      <c r="D1280" s="93">
        <v>884.86</v>
      </c>
      <c r="E1280" s="93">
        <v>171.3</v>
      </c>
      <c r="F1280" s="93">
        <v>665.3</v>
      </c>
      <c r="G1280" s="93">
        <v>27.73</v>
      </c>
      <c r="H1280" s="93">
        <v>0</v>
      </c>
      <c r="N1280" s="88"/>
      <c r="O1280" s="88"/>
      <c r="P1280" s="88"/>
    </row>
    <row r="1281" spans="1:16">
      <c r="A1281" s="94">
        <v>92590</v>
      </c>
      <c r="B1281" s="87" t="s">
        <v>1622</v>
      </c>
      <c r="C1281" s="12" t="s">
        <v>4</v>
      </c>
      <c r="D1281" s="93">
        <v>967.24</v>
      </c>
      <c r="E1281" s="93">
        <v>171.3</v>
      </c>
      <c r="F1281" s="93">
        <v>747.68</v>
      </c>
      <c r="G1281" s="93">
        <v>27.73</v>
      </c>
      <c r="H1281" s="93">
        <v>0</v>
      </c>
      <c r="N1281" s="88"/>
      <c r="O1281" s="88"/>
      <c r="P1281" s="88"/>
    </row>
    <row r="1282" spans="1:16">
      <c r="A1282" s="94">
        <v>92592</v>
      </c>
      <c r="B1282" s="87" t="s">
        <v>1623</v>
      </c>
      <c r="C1282" s="12" t="s">
        <v>4</v>
      </c>
      <c r="D1282" s="93">
        <v>1093.8900000000001</v>
      </c>
      <c r="E1282" s="93">
        <v>208.56</v>
      </c>
      <c r="F1282" s="93">
        <v>837.07</v>
      </c>
      <c r="G1282" s="93">
        <v>27.73</v>
      </c>
      <c r="H1282" s="93">
        <v>0</v>
      </c>
      <c r="N1282" s="88"/>
      <c r="O1282" s="88"/>
      <c r="P1282" s="88"/>
    </row>
    <row r="1283" spans="1:16">
      <c r="A1283" s="94">
        <v>92593</v>
      </c>
      <c r="B1283" s="87" t="s">
        <v>197</v>
      </c>
      <c r="C1283" s="12" t="s">
        <v>11</v>
      </c>
      <c r="D1283" s="93">
        <v>8.2899999999999991</v>
      </c>
      <c r="E1283" s="93">
        <v>1.58</v>
      </c>
      <c r="F1283" s="93">
        <v>6.41</v>
      </c>
      <c r="G1283" s="93">
        <v>0.16</v>
      </c>
      <c r="H1283" s="93">
        <v>0</v>
      </c>
      <c r="N1283" s="88"/>
      <c r="O1283" s="88"/>
      <c r="P1283" s="88"/>
    </row>
    <row r="1284" spans="1:16">
      <c r="A1284" s="94">
        <v>92594</v>
      </c>
      <c r="B1284" s="87" t="s">
        <v>1624</v>
      </c>
      <c r="C1284" s="12" t="s">
        <v>4</v>
      </c>
      <c r="D1284" s="93">
        <v>1262.53</v>
      </c>
      <c r="E1284" s="93">
        <v>226.46</v>
      </c>
      <c r="F1284" s="93">
        <v>987.81</v>
      </c>
      <c r="G1284" s="93">
        <v>27.73</v>
      </c>
      <c r="H1284" s="93">
        <v>0</v>
      </c>
      <c r="N1284" s="88"/>
      <c r="O1284" s="88"/>
      <c r="P1284" s="88"/>
    </row>
    <row r="1285" spans="1:16">
      <c r="A1285" s="94">
        <v>92596</v>
      </c>
      <c r="B1285" s="87" t="s">
        <v>1625</v>
      </c>
      <c r="C1285" s="12" t="s">
        <v>4</v>
      </c>
      <c r="D1285" s="93">
        <v>1419.61</v>
      </c>
      <c r="E1285" s="93">
        <v>286.39</v>
      </c>
      <c r="F1285" s="93">
        <v>1084.96</v>
      </c>
      <c r="G1285" s="93">
        <v>27.73</v>
      </c>
      <c r="H1285" s="93">
        <v>0</v>
      </c>
      <c r="N1285" s="88"/>
      <c r="O1285" s="88"/>
      <c r="P1285" s="88"/>
    </row>
    <row r="1286" spans="1:16">
      <c r="A1286" s="94">
        <v>92598</v>
      </c>
      <c r="B1286" s="87" t="s">
        <v>1626</v>
      </c>
      <c r="C1286" s="12" t="s">
        <v>4</v>
      </c>
      <c r="D1286" s="93">
        <v>1502</v>
      </c>
      <c r="E1286" s="93">
        <v>286.39</v>
      </c>
      <c r="F1286" s="93">
        <v>1167.3499999999999</v>
      </c>
      <c r="G1286" s="93">
        <v>27.73</v>
      </c>
      <c r="H1286" s="93">
        <v>0</v>
      </c>
      <c r="N1286" s="88"/>
      <c r="O1286" s="88"/>
      <c r="P1286" s="88"/>
    </row>
    <row r="1287" spans="1:16">
      <c r="A1287" s="94">
        <v>92600</v>
      </c>
      <c r="B1287" s="87" t="s">
        <v>1627</v>
      </c>
      <c r="C1287" s="12" t="s">
        <v>4</v>
      </c>
      <c r="D1287" s="93">
        <v>1605.21</v>
      </c>
      <c r="E1287" s="93">
        <v>286.39</v>
      </c>
      <c r="F1287" s="93">
        <v>1270.56</v>
      </c>
      <c r="G1287" s="93">
        <v>27.73</v>
      </c>
      <c r="H1287" s="93">
        <v>0</v>
      </c>
      <c r="N1287" s="88"/>
      <c r="O1287" s="88"/>
      <c r="P1287" s="88"/>
    </row>
    <row r="1288" spans="1:16">
      <c r="A1288" s="94">
        <v>92602</v>
      </c>
      <c r="B1288" s="87" t="s">
        <v>1628</v>
      </c>
      <c r="C1288" s="12" t="s">
        <v>4</v>
      </c>
      <c r="D1288" s="93">
        <v>527.25</v>
      </c>
      <c r="E1288" s="93">
        <v>115.4</v>
      </c>
      <c r="F1288" s="93">
        <v>363.58</v>
      </c>
      <c r="G1288" s="93">
        <v>27.74</v>
      </c>
      <c r="H1288" s="93">
        <v>0</v>
      </c>
      <c r="N1288" s="88"/>
      <c r="O1288" s="88"/>
      <c r="P1288" s="88"/>
    </row>
    <row r="1289" spans="1:16">
      <c r="A1289" s="94">
        <v>92604</v>
      </c>
      <c r="B1289" s="87" t="s">
        <v>1629</v>
      </c>
      <c r="C1289" s="12" t="s">
        <v>4</v>
      </c>
      <c r="D1289" s="93">
        <v>588.80999999999995</v>
      </c>
      <c r="E1289" s="93">
        <v>115.39</v>
      </c>
      <c r="F1289" s="93">
        <v>425.16</v>
      </c>
      <c r="G1289" s="93">
        <v>27.73</v>
      </c>
      <c r="H1289" s="93">
        <v>0</v>
      </c>
      <c r="N1289" s="88"/>
      <c r="O1289" s="88"/>
      <c r="P1289" s="88"/>
    </row>
    <row r="1290" spans="1:16">
      <c r="A1290" s="94">
        <v>92606</v>
      </c>
      <c r="B1290" s="87" t="s">
        <v>1630</v>
      </c>
      <c r="C1290" s="12" t="s">
        <v>4</v>
      </c>
      <c r="D1290" s="93">
        <v>671.2</v>
      </c>
      <c r="E1290" s="93">
        <v>115.39</v>
      </c>
      <c r="F1290" s="93">
        <v>507.55</v>
      </c>
      <c r="G1290" s="93">
        <v>27.73</v>
      </c>
      <c r="H1290" s="93">
        <v>0</v>
      </c>
      <c r="N1290" s="88"/>
      <c r="O1290" s="88"/>
      <c r="P1290" s="88"/>
    </row>
    <row r="1291" spans="1:16">
      <c r="A1291" s="94">
        <v>92608</v>
      </c>
      <c r="B1291" s="87" t="s">
        <v>1631</v>
      </c>
      <c r="C1291" s="12" t="s">
        <v>4</v>
      </c>
      <c r="D1291" s="93">
        <v>843.21</v>
      </c>
      <c r="E1291" s="93">
        <v>171.3</v>
      </c>
      <c r="F1291" s="93">
        <v>623.65</v>
      </c>
      <c r="G1291" s="93">
        <v>27.73</v>
      </c>
      <c r="H1291" s="93">
        <v>0</v>
      </c>
      <c r="N1291" s="88"/>
      <c r="O1291" s="88"/>
      <c r="P1291" s="88"/>
    </row>
    <row r="1292" spans="1:16">
      <c r="A1292" s="94">
        <v>92610</v>
      </c>
      <c r="B1292" s="87" t="s">
        <v>1632</v>
      </c>
      <c r="C1292" s="12" t="s">
        <v>4</v>
      </c>
      <c r="D1292" s="93">
        <v>925.59</v>
      </c>
      <c r="E1292" s="93">
        <v>171.3</v>
      </c>
      <c r="F1292" s="93">
        <v>706.03</v>
      </c>
      <c r="G1292" s="93">
        <v>27.73</v>
      </c>
      <c r="H1292" s="93">
        <v>0</v>
      </c>
      <c r="N1292" s="88"/>
      <c r="O1292" s="88"/>
      <c r="P1292" s="88"/>
    </row>
    <row r="1293" spans="1:16">
      <c r="A1293" s="94">
        <v>92612</v>
      </c>
      <c r="B1293" s="87" t="s">
        <v>1633</v>
      </c>
      <c r="C1293" s="12" t="s">
        <v>4</v>
      </c>
      <c r="D1293" s="93">
        <v>1052.24</v>
      </c>
      <c r="E1293" s="93">
        <v>208.56</v>
      </c>
      <c r="F1293" s="93">
        <v>795.42</v>
      </c>
      <c r="G1293" s="93">
        <v>27.73</v>
      </c>
      <c r="H1293" s="93">
        <v>0</v>
      </c>
      <c r="N1293" s="88"/>
      <c r="O1293" s="88"/>
      <c r="P1293" s="88"/>
    </row>
    <row r="1294" spans="1:16">
      <c r="A1294" s="94">
        <v>92614</v>
      </c>
      <c r="B1294" s="87" t="s">
        <v>1634</v>
      </c>
      <c r="C1294" s="12" t="s">
        <v>4</v>
      </c>
      <c r="D1294" s="93">
        <v>1179.23</v>
      </c>
      <c r="E1294" s="93">
        <v>226.46</v>
      </c>
      <c r="F1294" s="93">
        <v>904.51</v>
      </c>
      <c r="G1294" s="93">
        <v>27.73</v>
      </c>
      <c r="H1294" s="93">
        <v>0</v>
      </c>
      <c r="N1294" s="88"/>
      <c r="O1294" s="88"/>
      <c r="P1294" s="88"/>
    </row>
    <row r="1295" spans="1:16">
      <c r="A1295" s="94">
        <v>92616</v>
      </c>
      <c r="B1295" s="87" t="s">
        <v>1635</v>
      </c>
      <c r="C1295" s="12" t="s">
        <v>4</v>
      </c>
      <c r="D1295" s="93">
        <v>1357.14</v>
      </c>
      <c r="E1295" s="93">
        <v>286.39</v>
      </c>
      <c r="F1295" s="93">
        <v>1022.49</v>
      </c>
      <c r="G1295" s="93">
        <v>27.73</v>
      </c>
      <c r="H1295" s="93">
        <v>0</v>
      </c>
      <c r="N1295" s="88"/>
      <c r="O1295" s="88"/>
      <c r="P1295" s="88"/>
    </row>
    <row r="1296" spans="1:16">
      <c r="A1296" s="94">
        <v>92618</v>
      </c>
      <c r="B1296" s="87" t="s">
        <v>1636</v>
      </c>
      <c r="C1296" s="12" t="s">
        <v>4</v>
      </c>
      <c r="D1296" s="93">
        <v>1439.52</v>
      </c>
      <c r="E1296" s="93">
        <v>286.39</v>
      </c>
      <c r="F1296" s="93">
        <v>1104.8699999999999</v>
      </c>
      <c r="G1296" s="93">
        <v>27.73</v>
      </c>
      <c r="H1296" s="93">
        <v>0</v>
      </c>
      <c r="N1296" s="88"/>
      <c r="O1296" s="88"/>
      <c r="P1296" s="88"/>
    </row>
    <row r="1297" spans="1:16">
      <c r="A1297" s="94">
        <v>92620</v>
      </c>
      <c r="B1297" s="87" t="s">
        <v>1637</v>
      </c>
      <c r="C1297" s="12" t="s">
        <v>4</v>
      </c>
      <c r="D1297" s="93">
        <v>1521.91</v>
      </c>
      <c r="E1297" s="93">
        <v>286.39</v>
      </c>
      <c r="F1297" s="93">
        <v>1187.26</v>
      </c>
      <c r="G1297" s="93">
        <v>27.73</v>
      </c>
      <c r="H1297" s="93">
        <v>0</v>
      </c>
      <c r="N1297" s="88"/>
      <c r="O1297" s="88"/>
      <c r="P1297" s="88"/>
    </row>
    <row r="1298" spans="1:16">
      <c r="A1298" s="94">
        <v>100357</v>
      </c>
      <c r="B1298" s="87" t="s">
        <v>1638</v>
      </c>
      <c r="C1298" s="12" t="s">
        <v>4</v>
      </c>
      <c r="D1298" s="93">
        <v>700.07</v>
      </c>
      <c r="E1298" s="93">
        <v>234.97</v>
      </c>
      <c r="F1298" s="93">
        <v>416.84</v>
      </c>
      <c r="G1298" s="93">
        <v>27.73</v>
      </c>
      <c r="H1298" s="93">
        <v>0</v>
      </c>
      <c r="N1298" s="88"/>
      <c r="O1298" s="88"/>
      <c r="P1298" s="88"/>
    </row>
    <row r="1299" spans="1:16">
      <c r="A1299" s="94">
        <v>100358</v>
      </c>
      <c r="B1299" s="87" t="s">
        <v>1639</v>
      </c>
      <c r="C1299" s="12" t="s">
        <v>4</v>
      </c>
      <c r="D1299" s="93">
        <v>969.9</v>
      </c>
      <c r="E1299" s="93">
        <v>385.56</v>
      </c>
      <c r="F1299" s="93">
        <v>536.08000000000004</v>
      </c>
      <c r="G1299" s="93">
        <v>27.73</v>
      </c>
      <c r="H1299" s="93">
        <v>0</v>
      </c>
      <c r="N1299" s="88"/>
      <c r="O1299" s="88"/>
      <c r="P1299" s="88"/>
    </row>
    <row r="1300" spans="1:16">
      <c r="A1300" s="94">
        <v>100359</v>
      </c>
      <c r="B1300" s="87" t="s">
        <v>1640</v>
      </c>
      <c r="C1300" s="12" t="s">
        <v>4</v>
      </c>
      <c r="D1300" s="93">
        <v>1011.67</v>
      </c>
      <c r="E1300" s="93">
        <v>385.56</v>
      </c>
      <c r="F1300" s="93">
        <v>577.85</v>
      </c>
      <c r="G1300" s="93">
        <v>27.73</v>
      </c>
      <c r="H1300" s="93">
        <v>0</v>
      </c>
      <c r="N1300" s="88"/>
      <c r="O1300" s="88"/>
      <c r="P1300" s="88"/>
    </row>
    <row r="1301" spans="1:16">
      <c r="A1301" s="94">
        <v>100360</v>
      </c>
      <c r="B1301" s="87" t="s">
        <v>1641</v>
      </c>
      <c r="C1301" s="12" t="s">
        <v>4</v>
      </c>
      <c r="D1301" s="93">
        <v>1119.56</v>
      </c>
      <c r="E1301" s="93">
        <v>425.72</v>
      </c>
      <c r="F1301" s="93">
        <v>645.58000000000004</v>
      </c>
      <c r="G1301" s="93">
        <v>27.73</v>
      </c>
      <c r="H1301" s="93">
        <v>0</v>
      </c>
      <c r="N1301" s="88"/>
      <c r="O1301" s="88"/>
      <c r="P1301" s="88"/>
    </row>
    <row r="1302" spans="1:16">
      <c r="A1302" s="94">
        <v>100361</v>
      </c>
      <c r="B1302" s="87" t="s">
        <v>1642</v>
      </c>
      <c r="C1302" s="12" t="s">
        <v>4</v>
      </c>
      <c r="D1302" s="93">
        <v>1406.96</v>
      </c>
      <c r="E1302" s="93">
        <v>576.32000000000005</v>
      </c>
      <c r="F1302" s="93">
        <v>782.38</v>
      </c>
      <c r="G1302" s="93">
        <v>27.73</v>
      </c>
      <c r="H1302" s="93">
        <v>0</v>
      </c>
      <c r="N1302" s="88"/>
      <c r="O1302" s="88"/>
      <c r="P1302" s="88"/>
    </row>
    <row r="1303" spans="1:16">
      <c r="A1303" s="94">
        <v>100362</v>
      </c>
      <c r="B1303" s="87" t="s">
        <v>1643</v>
      </c>
      <c r="C1303" s="12" t="s">
        <v>4</v>
      </c>
      <c r="D1303" s="93">
        <v>1862.39</v>
      </c>
      <c r="E1303" s="93">
        <v>615.26</v>
      </c>
      <c r="F1303" s="93">
        <v>1198.8699999999999</v>
      </c>
      <c r="G1303" s="93">
        <v>27.73</v>
      </c>
      <c r="H1303" s="93">
        <v>0</v>
      </c>
      <c r="N1303" s="88"/>
      <c r="O1303" s="88"/>
      <c r="P1303" s="88"/>
    </row>
    <row r="1304" spans="1:16">
      <c r="A1304" s="94">
        <v>100363</v>
      </c>
      <c r="B1304" s="87" t="s">
        <v>1644</v>
      </c>
      <c r="C1304" s="12" t="s">
        <v>4</v>
      </c>
      <c r="D1304" s="93">
        <v>1924.36</v>
      </c>
      <c r="E1304" s="93">
        <v>615.26</v>
      </c>
      <c r="F1304" s="93">
        <v>1260.8399999999999</v>
      </c>
      <c r="G1304" s="93">
        <v>27.73</v>
      </c>
      <c r="H1304" s="93">
        <v>0</v>
      </c>
      <c r="N1304" s="88"/>
      <c r="O1304" s="88"/>
      <c r="P1304" s="88"/>
    </row>
    <row r="1305" spans="1:16">
      <c r="A1305" s="94">
        <v>100364</v>
      </c>
      <c r="B1305" s="87" t="s">
        <v>1645</v>
      </c>
      <c r="C1305" s="12" t="s">
        <v>4</v>
      </c>
      <c r="D1305" s="93">
        <v>2093.25</v>
      </c>
      <c r="E1305" s="93">
        <v>677.95</v>
      </c>
      <c r="F1305" s="93">
        <v>1367.04</v>
      </c>
      <c r="G1305" s="93">
        <v>27.73</v>
      </c>
      <c r="H1305" s="93">
        <v>0</v>
      </c>
      <c r="N1305" s="88"/>
      <c r="O1305" s="88"/>
      <c r="P1305" s="88"/>
    </row>
    <row r="1306" spans="1:16">
      <c r="A1306" s="94">
        <v>100365</v>
      </c>
      <c r="B1306" s="87" t="s">
        <v>1646</v>
      </c>
      <c r="C1306" s="12" t="s">
        <v>4</v>
      </c>
      <c r="D1306" s="93">
        <v>2415.7800000000002</v>
      </c>
      <c r="E1306" s="93">
        <v>828.54</v>
      </c>
      <c r="F1306" s="93">
        <v>1538.98</v>
      </c>
      <c r="G1306" s="93">
        <v>27.73</v>
      </c>
      <c r="H1306" s="93">
        <v>0</v>
      </c>
      <c r="N1306" s="88"/>
      <c r="O1306" s="88"/>
      <c r="P1306" s="88"/>
    </row>
    <row r="1307" spans="1:16">
      <c r="A1307" s="94">
        <v>100366</v>
      </c>
      <c r="B1307" s="87" t="s">
        <v>1647</v>
      </c>
      <c r="C1307" s="12" t="s">
        <v>4</v>
      </c>
      <c r="D1307" s="93">
        <v>2561.41</v>
      </c>
      <c r="E1307" s="93">
        <v>828.54</v>
      </c>
      <c r="F1307" s="93">
        <v>1684.61</v>
      </c>
      <c r="G1307" s="93">
        <v>27.73</v>
      </c>
      <c r="H1307" s="93">
        <v>0</v>
      </c>
      <c r="N1307" s="88"/>
      <c r="O1307" s="88"/>
      <c r="P1307" s="88"/>
    </row>
    <row r="1308" spans="1:16">
      <c r="A1308" s="94">
        <v>100367</v>
      </c>
      <c r="B1308" s="87" t="s">
        <v>1648</v>
      </c>
      <c r="C1308" s="12" t="s">
        <v>4</v>
      </c>
      <c r="D1308" s="93">
        <v>684.19</v>
      </c>
      <c r="E1308" s="93">
        <v>234.97</v>
      </c>
      <c r="F1308" s="93">
        <v>400.96</v>
      </c>
      <c r="G1308" s="93">
        <v>27.73</v>
      </c>
      <c r="H1308" s="93">
        <v>0</v>
      </c>
      <c r="N1308" s="88"/>
      <c r="O1308" s="88"/>
      <c r="P1308" s="88"/>
    </row>
    <row r="1309" spans="1:16">
      <c r="A1309" s="94">
        <v>100368</v>
      </c>
      <c r="B1309" s="87" t="s">
        <v>1649</v>
      </c>
      <c r="C1309" s="12" t="s">
        <v>4</v>
      </c>
      <c r="D1309" s="93">
        <v>949.54</v>
      </c>
      <c r="E1309" s="93">
        <v>385.57</v>
      </c>
      <c r="F1309" s="93">
        <v>515.71</v>
      </c>
      <c r="G1309" s="93">
        <v>27.73</v>
      </c>
      <c r="H1309" s="93">
        <v>0</v>
      </c>
      <c r="N1309" s="88"/>
      <c r="O1309" s="88"/>
      <c r="P1309" s="88"/>
    </row>
    <row r="1310" spans="1:16">
      <c r="A1310" s="94">
        <v>100369</v>
      </c>
      <c r="B1310" s="87" t="s">
        <v>1650</v>
      </c>
      <c r="C1310" s="12" t="s">
        <v>4</v>
      </c>
      <c r="D1310" s="93">
        <v>991.32</v>
      </c>
      <c r="E1310" s="93">
        <v>385.56</v>
      </c>
      <c r="F1310" s="93">
        <v>557.5</v>
      </c>
      <c r="G1310" s="93">
        <v>27.73</v>
      </c>
      <c r="H1310" s="93">
        <v>0</v>
      </c>
      <c r="N1310" s="88"/>
      <c r="O1310" s="88"/>
      <c r="P1310" s="88"/>
    </row>
    <row r="1311" spans="1:16">
      <c r="A1311" s="94">
        <v>100370</v>
      </c>
      <c r="B1311" s="87" t="s">
        <v>1651</v>
      </c>
      <c r="C1311" s="12" t="s">
        <v>4</v>
      </c>
      <c r="D1311" s="93">
        <v>1159.1099999999999</v>
      </c>
      <c r="E1311" s="93">
        <v>425.72</v>
      </c>
      <c r="F1311" s="93">
        <v>685.13</v>
      </c>
      <c r="G1311" s="93">
        <v>27.73</v>
      </c>
      <c r="H1311" s="93">
        <v>0</v>
      </c>
      <c r="N1311" s="88"/>
      <c r="O1311" s="88"/>
      <c r="P1311" s="88"/>
    </row>
    <row r="1312" spans="1:16">
      <c r="A1312" s="94">
        <v>100371</v>
      </c>
      <c r="B1312" s="87" t="s">
        <v>1652</v>
      </c>
      <c r="C1312" s="12" t="s">
        <v>4</v>
      </c>
      <c r="D1312" s="93">
        <v>1352.03</v>
      </c>
      <c r="E1312" s="93">
        <v>576.33000000000004</v>
      </c>
      <c r="F1312" s="93">
        <v>727.44</v>
      </c>
      <c r="G1312" s="93">
        <v>27.73</v>
      </c>
      <c r="H1312" s="93">
        <v>0</v>
      </c>
      <c r="N1312" s="88"/>
      <c r="O1312" s="88"/>
      <c r="P1312" s="88"/>
    </row>
    <row r="1313" spans="1:16">
      <c r="A1313" s="94">
        <v>100372</v>
      </c>
      <c r="B1313" s="87" t="s">
        <v>1653</v>
      </c>
      <c r="C1313" s="12" t="s">
        <v>4</v>
      </c>
      <c r="D1313" s="93">
        <v>1774.59</v>
      </c>
      <c r="E1313" s="93">
        <v>615.26</v>
      </c>
      <c r="F1313" s="93">
        <v>1111.07</v>
      </c>
      <c r="G1313" s="93">
        <v>27.73</v>
      </c>
      <c r="H1313" s="93">
        <v>0</v>
      </c>
      <c r="N1313" s="88"/>
      <c r="O1313" s="88"/>
      <c r="P1313" s="88"/>
    </row>
    <row r="1314" spans="1:16">
      <c r="A1314" s="94">
        <v>100373</v>
      </c>
      <c r="B1314" s="87" t="s">
        <v>1654</v>
      </c>
      <c r="C1314" s="12" t="s">
        <v>4</v>
      </c>
      <c r="D1314" s="93">
        <v>1825.8</v>
      </c>
      <c r="E1314" s="93">
        <v>615.26</v>
      </c>
      <c r="F1314" s="93">
        <v>1162.28</v>
      </c>
      <c r="G1314" s="93">
        <v>27.73</v>
      </c>
      <c r="H1314" s="93">
        <v>0</v>
      </c>
      <c r="N1314" s="88"/>
      <c r="O1314" s="88"/>
      <c r="P1314" s="88"/>
    </row>
    <row r="1315" spans="1:16">
      <c r="A1315" s="94">
        <v>100374</v>
      </c>
      <c r="B1315" s="87" t="s">
        <v>1655</v>
      </c>
      <c r="C1315" s="12" t="s">
        <v>4</v>
      </c>
      <c r="D1315" s="93">
        <v>1960.54</v>
      </c>
      <c r="E1315" s="93">
        <v>677.95</v>
      </c>
      <c r="F1315" s="93">
        <v>1234.33</v>
      </c>
      <c r="G1315" s="93">
        <v>27.73</v>
      </c>
      <c r="H1315" s="93">
        <v>0</v>
      </c>
      <c r="N1315" s="88"/>
      <c r="O1315" s="88"/>
      <c r="P1315" s="88"/>
    </row>
    <row r="1316" spans="1:16">
      <c r="A1316" s="94">
        <v>100375</v>
      </c>
      <c r="B1316" s="87" t="s">
        <v>1656</v>
      </c>
      <c r="C1316" s="12" t="s">
        <v>4</v>
      </c>
      <c r="D1316" s="93">
        <v>2223.42</v>
      </c>
      <c r="E1316" s="93">
        <v>828.55</v>
      </c>
      <c r="F1316" s="93">
        <v>1346.61</v>
      </c>
      <c r="G1316" s="93">
        <v>27.73</v>
      </c>
      <c r="H1316" s="93">
        <v>0</v>
      </c>
      <c r="N1316" s="88"/>
      <c r="O1316" s="88"/>
      <c r="P1316" s="88"/>
    </row>
    <row r="1317" spans="1:16">
      <c r="A1317" s="94">
        <v>100376</v>
      </c>
      <c r="B1317" s="87" t="s">
        <v>1657</v>
      </c>
      <c r="C1317" s="12" t="s">
        <v>4</v>
      </c>
      <c r="D1317" s="93">
        <v>2169.84</v>
      </c>
      <c r="E1317" s="93">
        <v>828.55</v>
      </c>
      <c r="F1317" s="93">
        <v>1293.03</v>
      </c>
      <c r="G1317" s="93">
        <v>27.73</v>
      </c>
      <c r="H1317" s="93">
        <v>0</v>
      </c>
      <c r="N1317" s="88"/>
      <c r="O1317" s="88"/>
      <c r="P1317" s="88"/>
    </row>
    <row r="1318" spans="1:16">
      <c r="A1318" s="94">
        <v>100377</v>
      </c>
      <c r="B1318" s="87" t="s">
        <v>1658</v>
      </c>
      <c r="C1318" s="12" t="s">
        <v>11</v>
      </c>
      <c r="D1318" s="93">
        <v>8.59</v>
      </c>
      <c r="E1318" s="93">
        <v>1.47</v>
      </c>
      <c r="F1318" s="93">
        <v>6.54</v>
      </c>
      <c r="G1318" s="93">
        <v>0.32</v>
      </c>
      <c r="H1318" s="93">
        <v>0</v>
      </c>
      <c r="N1318" s="88"/>
      <c r="O1318" s="88"/>
      <c r="P1318" s="88"/>
    </row>
    <row r="1319" spans="1:16">
      <c r="A1319" s="94">
        <v>100378</v>
      </c>
      <c r="B1319" s="87" t="s">
        <v>1659</v>
      </c>
      <c r="C1319" s="12" t="s">
        <v>11</v>
      </c>
      <c r="D1319" s="93">
        <v>7.98</v>
      </c>
      <c r="E1319" s="93">
        <v>1.39</v>
      </c>
      <c r="F1319" s="93">
        <v>6.35</v>
      </c>
      <c r="G1319" s="93">
        <v>0.12</v>
      </c>
      <c r="H1319" s="93">
        <v>0</v>
      </c>
      <c r="N1319" s="88"/>
      <c r="O1319" s="88"/>
      <c r="P1319" s="88"/>
    </row>
    <row r="1320" spans="1:16">
      <c r="A1320" s="94">
        <v>100382</v>
      </c>
      <c r="B1320" s="87" t="s">
        <v>1660</v>
      </c>
      <c r="C1320" s="12" t="s">
        <v>9</v>
      </c>
      <c r="D1320" s="93">
        <v>15.37</v>
      </c>
      <c r="E1320" s="93">
        <v>3.18</v>
      </c>
      <c r="F1320" s="93">
        <v>12.19</v>
      </c>
      <c r="G1320" s="93">
        <v>0</v>
      </c>
      <c r="H1320" s="93">
        <v>0</v>
      </c>
      <c r="N1320" s="88"/>
      <c r="O1320" s="88"/>
      <c r="P1320" s="88"/>
    </row>
    <row r="1321" spans="1:16">
      <c r="A1321" s="94">
        <v>94444</v>
      </c>
      <c r="B1321" s="87" t="s">
        <v>1661</v>
      </c>
      <c r="C1321" s="12" t="s">
        <v>9</v>
      </c>
      <c r="D1321" s="93">
        <v>875.35</v>
      </c>
      <c r="E1321" s="93">
        <v>5.13</v>
      </c>
      <c r="F1321" s="93">
        <v>870.2</v>
      </c>
      <c r="G1321" s="93">
        <v>0.01</v>
      </c>
      <c r="H1321" s="93">
        <v>0</v>
      </c>
      <c r="N1321" s="88"/>
      <c r="O1321" s="88"/>
      <c r="P1321" s="88"/>
    </row>
    <row r="1322" spans="1:16">
      <c r="A1322" s="95" t="s">
        <v>6433</v>
      </c>
      <c r="B1322" s="87" t="s">
        <v>6434</v>
      </c>
      <c r="C1322" s="12" t="s">
        <v>6</v>
      </c>
      <c r="D1322" s="93">
        <v>27.06</v>
      </c>
      <c r="E1322" s="93">
        <v>8.89</v>
      </c>
      <c r="F1322" s="93">
        <v>18.07</v>
      </c>
      <c r="G1322" s="93">
        <v>0.1</v>
      </c>
      <c r="H1322" s="93">
        <v>0</v>
      </c>
      <c r="N1322" s="88"/>
      <c r="O1322" s="88"/>
      <c r="P1322" s="88"/>
    </row>
    <row r="1323" spans="1:16">
      <c r="A1323" s="95" t="s">
        <v>1662</v>
      </c>
      <c r="B1323" s="87" t="s">
        <v>198</v>
      </c>
      <c r="C1323" s="12" t="s">
        <v>9</v>
      </c>
      <c r="D1323" s="93">
        <v>5.55</v>
      </c>
      <c r="E1323" s="93">
        <v>0.2</v>
      </c>
      <c r="F1323" s="93">
        <v>5.35</v>
      </c>
      <c r="G1323" s="93">
        <v>0</v>
      </c>
      <c r="H1323" s="93">
        <v>0</v>
      </c>
      <c r="N1323" s="88"/>
      <c r="O1323" s="88"/>
      <c r="P1323" s="88"/>
    </row>
    <row r="1324" spans="1:16">
      <c r="A1324" s="95" t="s">
        <v>6435</v>
      </c>
      <c r="B1324" s="87" t="s">
        <v>6436</v>
      </c>
      <c r="C1324" s="12" t="s">
        <v>9</v>
      </c>
      <c r="D1324" s="93">
        <v>10.83</v>
      </c>
      <c r="E1324" s="93">
        <v>0.2</v>
      </c>
      <c r="F1324" s="93">
        <v>10.63</v>
      </c>
      <c r="G1324" s="93">
        <v>0</v>
      </c>
      <c r="H1324" s="93">
        <v>0</v>
      </c>
      <c r="N1324" s="88"/>
      <c r="O1324" s="88"/>
      <c r="P1324" s="88"/>
    </row>
    <row r="1325" spans="1:16">
      <c r="A1325" s="95" t="s">
        <v>6437</v>
      </c>
      <c r="B1325" s="87" t="s">
        <v>6438</v>
      </c>
      <c r="C1325" s="12" t="s">
        <v>5</v>
      </c>
      <c r="D1325" s="93">
        <v>160.63999999999999</v>
      </c>
      <c r="E1325" s="93">
        <v>13.82</v>
      </c>
      <c r="F1325" s="93">
        <v>146.82</v>
      </c>
      <c r="G1325" s="93">
        <v>0</v>
      </c>
      <c r="H1325" s="93">
        <v>0</v>
      </c>
      <c r="N1325" s="88"/>
      <c r="O1325" s="88"/>
      <c r="P1325" s="88"/>
    </row>
    <row r="1326" spans="1:16">
      <c r="A1326" s="95" t="s">
        <v>1663</v>
      </c>
      <c r="B1326" s="87" t="s">
        <v>199</v>
      </c>
      <c r="C1326" s="12" t="s">
        <v>5</v>
      </c>
      <c r="D1326" s="93">
        <v>123.09</v>
      </c>
      <c r="E1326" s="93">
        <v>21.28</v>
      </c>
      <c r="F1326" s="93">
        <v>101.81</v>
      </c>
      <c r="G1326" s="93">
        <v>0</v>
      </c>
      <c r="H1326" s="93">
        <v>0</v>
      </c>
      <c r="N1326" s="88"/>
      <c r="O1326" s="88"/>
      <c r="P1326" s="88"/>
    </row>
    <row r="1327" spans="1:16">
      <c r="A1327" s="95" t="s">
        <v>6439</v>
      </c>
      <c r="B1327" s="87" t="s">
        <v>6440</v>
      </c>
      <c r="C1327" s="12" t="s">
        <v>5</v>
      </c>
      <c r="D1327" s="93">
        <v>75.930000000000007</v>
      </c>
      <c r="E1327" s="93">
        <v>13.82</v>
      </c>
      <c r="F1327" s="93">
        <v>62.11</v>
      </c>
      <c r="G1327" s="93">
        <v>0</v>
      </c>
      <c r="H1327" s="93">
        <v>0</v>
      </c>
      <c r="N1327" s="88"/>
      <c r="O1327" s="88"/>
      <c r="P1327" s="88"/>
    </row>
    <row r="1328" spans="1:16">
      <c r="A1328" s="95" t="s">
        <v>6441</v>
      </c>
      <c r="B1328" s="87" t="s">
        <v>6442</v>
      </c>
      <c r="C1328" s="12" t="s">
        <v>6</v>
      </c>
      <c r="D1328" s="93">
        <v>66.760000000000005</v>
      </c>
      <c r="E1328" s="93">
        <v>8.7899999999999991</v>
      </c>
      <c r="F1328" s="93">
        <v>57.97</v>
      </c>
      <c r="G1328" s="93">
        <v>0</v>
      </c>
      <c r="H1328" s="93">
        <v>0</v>
      </c>
      <c r="N1328" s="88"/>
      <c r="O1328" s="88"/>
      <c r="P1328" s="88"/>
    </row>
    <row r="1329" spans="1:16">
      <c r="A1329" s="95" t="s">
        <v>6443</v>
      </c>
      <c r="B1329" s="87" t="s">
        <v>6444</v>
      </c>
      <c r="C1329" s="12" t="s">
        <v>6</v>
      </c>
      <c r="D1329" s="93">
        <v>46.03</v>
      </c>
      <c r="E1329" s="93">
        <v>8.7899999999999991</v>
      </c>
      <c r="F1329" s="93">
        <v>37.24</v>
      </c>
      <c r="G1329" s="93">
        <v>0</v>
      </c>
      <c r="H1329" s="93">
        <v>0</v>
      </c>
      <c r="N1329" s="88"/>
      <c r="O1329" s="88"/>
      <c r="P1329" s="88"/>
    </row>
    <row r="1330" spans="1:16">
      <c r="A1330" s="95" t="s">
        <v>6445</v>
      </c>
      <c r="B1330" s="87" t="s">
        <v>6446</v>
      </c>
      <c r="C1330" s="12" t="s">
        <v>6</v>
      </c>
      <c r="D1330" s="93">
        <v>59.46</v>
      </c>
      <c r="E1330" s="93">
        <v>8.7899999999999991</v>
      </c>
      <c r="F1330" s="93">
        <v>50.67</v>
      </c>
      <c r="G1330" s="93">
        <v>0</v>
      </c>
      <c r="H1330" s="93">
        <v>0</v>
      </c>
      <c r="N1330" s="88"/>
      <c r="O1330" s="88"/>
      <c r="P1330" s="88"/>
    </row>
    <row r="1331" spans="1:16">
      <c r="A1331" s="95" t="s">
        <v>6447</v>
      </c>
      <c r="B1331" s="87" t="s">
        <v>6448</v>
      </c>
      <c r="C1331" s="12" t="s">
        <v>6</v>
      </c>
      <c r="D1331" s="93">
        <v>37.28</v>
      </c>
      <c r="E1331" s="93">
        <v>11.93</v>
      </c>
      <c r="F1331" s="93">
        <v>25.35</v>
      </c>
      <c r="G1331" s="93">
        <v>0</v>
      </c>
      <c r="H1331" s="93">
        <v>0</v>
      </c>
      <c r="N1331" s="88"/>
      <c r="O1331" s="88"/>
      <c r="P1331" s="88"/>
    </row>
    <row r="1332" spans="1:16">
      <c r="A1332" s="94">
        <v>83651</v>
      </c>
      <c r="B1332" s="87" t="s">
        <v>6449</v>
      </c>
      <c r="C1332" s="12" t="s">
        <v>6</v>
      </c>
      <c r="D1332" s="93">
        <v>31.38</v>
      </c>
      <c r="E1332" s="93">
        <v>15.17</v>
      </c>
      <c r="F1332" s="93">
        <v>16.21</v>
      </c>
      <c r="G1332" s="93">
        <v>0</v>
      </c>
      <c r="H1332" s="93">
        <v>0</v>
      </c>
      <c r="N1332" s="88"/>
      <c r="O1332" s="88"/>
      <c r="P1332" s="88"/>
    </row>
    <row r="1333" spans="1:16">
      <c r="A1333" s="94">
        <v>83658</v>
      </c>
      <c r="B1333" s="87" t="s">
        <v>6450</v>
      </c>
      <c r="C1333" s="12" t="s">
        <v>6</v>
      </c>
      <c r="D1333" s="93">
        <v>204.72</v>
      </c>
      <c r="E1333" s="93">
        <v>64.23</v>
      </c>
      <c r="F1333" s="93">
        <v>140.49</v>
      </c>
      <c r="G1333" s="93">
        <v>0</v>
      </c>
      <c r="H1333" s="93">
        <v>0</v>
      </c>
      <c r="N1333" s="88"/>
      <c r="O1333" s="88"/>
      <c r="P1333" s="88"/>
    </row>
    <row r="1334" spans="1:16">
      <c r="A1334" s="94">
        <v>83661</v>
      </c>
      <c r="B1334" s="87" t="s">
        <v>6451</v>
      </c>
      <c r="C1334" s="12" t="s">
        <v>6</v>
      </c>
      <c r="D1334" s="93">
        <v>124.36</v>
      </c>
      <c r="E1334" s="93">
        <v>29.79</v>
      </c>
      <c r="F1334" s="93">
        <v>92.12</v>
      </c>
      <c r="G1334" s="93">
        <v>2.4500000000000002</v>
      </c>
      <c r="H1334" s="93">
        <v>0</v>
      </c>
      <c r="N1334" s="88"/>
      <c r="O1334" s="88"/>
      <c r="P1334" s="88"/>
    </row>
    <row r="1335" spans="1:16">
      <c r="A1335" s="94">
        <v>83662</v>
      </c>
      <c r="B1335" s="87" t="s">
        <v>6452</v>
      </c>
      <c r="C1335" s="12" t="s">
        <v>5</v>
      </c>
      <c r="D1335" s="93">
        <v>112.28</v>
      </c>
      <c r="E1335" s="93">
        <v>26.44</v>
      </c>
      <c r="F1335" s="93">
        <v>82.55</v>
      </c>
      <c r="G1335" s="93">
        <v>3.29</v>
      </c>
      <c r="H1335" s="93">
        <v>0</v>
      </c>
      <c r="N1335" s="88"/>
      <c r="O1335" s="88"/>
      <c r="P1335" s="88"/>
    </row>
    <row r="1336" spans="1:16">
      <c r="A1336" s="94">
        <v>83664</v>
      </c>
      <c r="B1336" s="87" t="s">
        <v>6453</v>
      </c>
      <c r="C1336" s="12" t="s">
        <v>6</v>
      </c>
      <c r="D1336" s="93">
        <v>69.22</v>
      </c>
      <c r="E1336" s="93">
        <v>13.93</v>
      </c>
      <c r="F1336" s="93">
        <v>55.29</v>
      </c>
      <c r="G1336" s="93">
        <v>0</v>
      </c>
      <c r="H1336" s="93">
        <v>0</v>
      </c>
      <c r="N1336" s="88"/>
      <c r="O1336" s="88"/>
      <c r="P1336" s="88"/>
    </row>
    <row r="1337" spans="1:16">
      <c r="A1337" s="94">
        <v>83670</v>
      </c>
      <c r="B1337" s="87" t="s">
        <v>6454</v>
      </c>
      <c r="C1337" s="12" t="s">
        <v>6</v>
      </c>
      <c r="D1337" s="93">
        <v>46.66</v>
      </c>
      <c r="E1337" s="93">
        <v>26.91</v>
      </c>
      <c r="F1337" s="93">
        <v>19.75</v>
      </c>
      <c r="G1337" s="93">
        <v>0</v>
      </c>
      <c r="H1337" s="93">
        <v>0</v>
      </c>
      <c r="N1337" s="88"/>
      <c r="O1337" s="88"/>
      <c r="P1337" s="88"/>
    </row>
    <row r="1338" spans="1:16">
      <c r="A1338" s="94">
        <v>83671</v>
      </c>
      <c r="B1338" s="87" t="s">
        <v>6455</v>
      </c>
      <c r="C1338" s="12" t="s">
        <v>6</v>
      </c>
      <c r="D1338" s="93">
        <v>50.09</v>
      </c>
      <c r="E1338" s="93">
        <v>28.51</v>
      </c>
      <c r="F1338" s="93">
        <v>21.58</v>
      </c>
      <c r="G1338" s="93">
        <v>0</v>
      </c>
      <c r="H1338" s="93">
        <v>0</v>
      </c>
      <c r="N1338" s="88"/>
      <c r="O1338" s="88"/>
      <c r="P1338" s="88"/>
    </row>
    <row r="1339" spans="1:16">
      <c r="A1339" s="94">
        <v>83679</v>
      </c>
      <c r="B1339" s="87" t="s">
        <v>6456</v>
      </c>
      <c r="C1339" s="12" t="s">
        <v>6</v>
      </c>
      <c r="D1339" s="93">
        <v>14.02</v>
      </c>
      <c r="E1339" s="93">
        <v>5.31</v>
      </c>
      <c r="F1339" s="93">
        <v>8.7100000000000009</v>
      </c>
      <c r="G1339" s="93">
        <v>0</v>
      </c>
      <c r="H1339" s="93">
        <v>0</v>
      </c>
      <c r="N1339" s="88"/>
      <c r="O1339" s="88"/>
      <c r="P1339" s="88"/>
    </row>
    <row r="1340" spans="1:16">
      <c r="A1340" s="94">
        <v>83680</v>
      </c>
      <c r="B1340" s="87" t="s">
        <v>6457</v>
      </c>
      <c r="C1340" s="12" t="s">
        <v>6</v>
      </c>
      <c r="D1340" s="93">
        <v>16.940000000000001</v>
      </c>
      <c r="E1340" s="93">
        <v>5.31</v>
      </c>
      <c r="F1340" s="93">
        <v>11.63</v>
      </c>
      <c r="G1340" s="93">
        <v>0</v>
      </c>
      <c r="H1340" s="93">
        <v>0</v>
      </c>
      <c r="N1340" s="88"/>
      <c r="O1340" s="88"/>
      <c r="P1340" s="88"/>
    </row>
    <row r="1341" spans="1:16">
      <c r="A1341" s="94">
        <v>83681</v>
      </c>
      <c r="B1341" s="87" t="s">
        <v>6458</v>
      </c>
      <c r="C1341" s="12" t="s">
        <v>6</v>
      </c>
      <c r="D1341" s="93">
        <v>18.28</v>
      </c>
      <c r="E1341" s="93">
        <v>5.31</v>
      </c>
      <c r="F1341" s="93">
        <v>12.97</v>
      </c>
      <c r="G1341" s="93">
        <v>0</v>
      </c>
      <c r="H1341" s="93">
        <v>0</v>
      </c>
      <c r="N1341" s="88"/>
      <c r="O1341" s="88"/>
      <c r="P1341" s="88"/>
    </row>
    <row r="1342" spans="1:16">
      <c r="A1342" s="94">
        <v>92743</v>
      </c>
      <c r="B1342" s="87" t="s">
        <v>1664</v>
      </c>
      <c r="C1342" s="12" t="s">
        <v>5</v>
      </c>
      <c r="D1342" s="93">
        <v>527.98</v>
      </c>
      <c r="E1342" s="93">
        <v>96.75</v>
      </c>
      <c r="F1342" s="93">
        <v>401.63</v>
      </c>
      <c r="G1342" s="93">
        <v>29.6</v>
      </c>
      <c r="H1342" s="93">
        <v>0</v>
      </c>
      <c r="N1342" s="88"/>
      <c r="O1342" s="88"/>
      <c r="P1342" s="88"/>
    </row>
    <row r="1343" spans="1:16">
      <c r="A1343" s="94">
        <v>92744</v>
      </c>
      <c r="B1343" s="87" t="s">
        <v>1665</v>
      </c>
      <c r="C1343" s="12" t="s">
        <v>5</v>
      </c>
      <c r="D1343" s="93">
        <v>507.16</v>
      </c>
      <c r="E1343" s="93">
        <v>46.71</v>
      </c>
      <c r="F1343" s="93">
        <v>446.72</v>
      </c>
      <c r="G1343" s="93">
        <v>13.73</v>
      </c>
      <c r="H1343" s="93">
        <v>0</v>
      </c>
      <c r="N1343" s="88"/>
      <c r="O1343" s="88"/>
      <c r="P1343" s="88"/>
    </row>
    <row r="1344" spans="1:16">
      <c r="A1344" s="94">
        <v>92745</v>
      </c>
      <c r="B1344" s="87" t="s">
        <v>1666</v>
      </c>
      <c r="C1344" s="12" t="s">
        <v>5</v>
      </c>
      <c r="D1344" s="93">
        <v>651.72</v>
      </c>
      <c r="E1344" s="93">
        <v>116.42</v>
      </c>
      <c r="F1344" s="93">
        <v>499.89</v>
      </c>
      <c r="G1344" s="93">
        <v>35.409999999999997</v>
      </c>
      <c r="H1344" s="93">
        <v>0</v>
      </c>
      <c r="N1344" s="88"/>
      <c r="O1344" s="88"/>
      <c r="P1344" s="88"/>
    </row>
    <row r="1345" spans="1:16">
      <c r="A1345" s="94">
        <v>92746</v>
      </c>
      <c r="B1345" s="87" t="s">
        <v>1667</v>
      </c>
      <c r="C1345" s="12" t="s">
        <v>5</v>
      </c>
      <c r="D1345" s="93">
        <v>598.36</v>
      </c>
      <c r="E1345" s="93">
        <v>65.709999999999994</v>
      </c>
      <c r="F1345" s="93">
        <v>512.61</v>
      </c>
      <c r="G1345" s="93">
        <v>20.04</v>
      </c>
      <c r="H1345" s="93">
        <v>0</v>
      </c>
      <c r="N1345" s="88"/>
      <c r="O1345" s="88"/>
      <c r="P1345" s="88"/>
    </row>
    <row r="1346" spans="1:16">
      <c r="A1346" s="94">
        <v>92747</v>
      </c>
      <c r="B1346" s="87" t="s">
        <v>1668</v>
      </c>
      <c r="C1346" s="12" t="s">
        <v>5</v>
      </c>
      <c r="D1346" s="93">
        <v>721.96</v>
      </c>
      <c r="E1346" s="93">
        <v>127.78</v>
      </c>
      <c r="F1346" s="93">
        <v>554.87</v>
      </c>
      <c r="G1346" s="93">
        <v>39.31</v>
      </c>
      <c r="H1346" s="93">
        <v>0</v>
      </c>
      <c r="N1346" s="88"/>
      <c r="O1346" s="88"/>
      <c r="P1346" s="88"/>
    </row>
    <row r="1347" spans="1:16">
      <c r="A1347" s="94">
        <v>92748</v>
      </c>
      <c r="B1347" s="87" t="s">
        <v>1669</v>
      </c>
      <c r="C1347" s="12" t="s">
        <v>5</v>
      </c>
      <c r="D1347" s="93">
        <v>650.41999999999996</v>
      </c>
      <c r="E1347" s="93">
        <v>76.989999999999995</v>
      </c>
      <c r="F1347" s="93">
        <v>549.16</v>
      </c>
      <c r="G1347" s="93">
        <v>24.27</v>
      </c>
      <c r="H1347" s="93">
        <v>0</v>
      </c>
      <c r="N1347" s="88"/>
      <c r="O1347" s="88"/>
      <c r="P1347" s="88"/>
    </row>
    <row r="1348" spans="1:16">
      <c r="A1348" s="94">
        <v>92749</v>
      </c>
      <c r="B1348" s="87" t="s">
        <v>1670</v>
      </c>
      <c r="C1348" s="12" t="s">
        <v>5</v>
      </c>
      <c r="D1348" s="93">
        <v>747.21</v>
      </c>
      <c r="E1348" s="93">
        <v>95.65</v>
      </c>
      <c r="F1348" s="93">
        <v>621.58000000000004</v>
      </c>
      <c r="G1348" s="93">
        <v>29.98</v>
      </c>
      <c r="H1348" s="93">
        <v>0</v>
      </c>
      <c r="N1348" s="88"/>
      <c r="O1348" s="88"/>
      <c r="P1348" s="88"/>
    </row>
    <row r="1349" spans="1:16">
      <c r="A1349" s="94">
        <v>92750</v>
      </c>
      <c r="B1349" s="87" t="s">
        <v>1671</v>
      </c>
      <c r="C1349" s="12" t="s">
        <v>5</v>
      </c>
      <c r="D1349" s="93">
        <v>1274.71</v>
      </c>
      <c r="E1349" s="93">
        <v>131.49</v>
      </c>
      <c r="F1349" s="93">
        <v>1101.8</v>
      </c>
      <c r="G1349" s="93">
        <v>41.42</v>
      </c>
      <c r="H1349" s="93">
        <v>0</v>
      </c>
      <c r="N1349" s="88"/>
      <c r="O1349" s="88"/>
      <c r="P1349" s="88"/>
    </row>
    <row r="1350" spans="1:16">
      <c r="A1350" s="94">
        <v>92751</v>
      </c>
      <c r="B1350" s="87" t="s">
        <v>1672</v>
      </c>
      <c r="C1350" s="12" t="s">
        <v>5</v>
      </c>
      <c r="D1350" s="93">
        <v>1581.23</v>
      </c>
      <c r="E1350" s="93">
        <v>151.68</v>
      </c>
      <c r="F1350" s="93">
        <v>1381.48</v>
      </c>
      <c r="G1350" s="93">
        <v>48.07</v>
      </c>
      <c r="H1350" s="93">
        <v>0</v>
      </c>
      <c r="N1350" s="88"/>
      <c r="O1350" s="88"/>
      <c r="P1350" s="88"/>
    </row>
    <row r="1351" spans="1:16">
      <c r="A1351" s="94">
        <v>92752</v>
      </c>
      <c r="B1351" s="87" t="s">
        <v>1673</v>
      </c>
      <c r="C1351" s="12" t="s">
        <v>5</v>
      </c>
      <c r="D1351" s="93">
        <v>1886.57</v>
      </c>
      <c r="E1351" s="93">
        <v>171.18</v>
      </c>
      <c r="F1351" s="93">
        <v>1660.91</v>
      </c>
      <c r="G1351" s="93">
        <v>54.48</v>
      </c>
      <c r="H1351" s="93">
        <v>0</v>
      </c>
      <c r="N1351" s="88"/>
      <c r="O1351" s="88"/>
      <c r="P1351" s="88"/>
    </row>
    <row r="1352" spans="1:16">
      <c r="A1352" s="94">
        <v>92753</v>
      </c>
      <c r="B1352" s="87" t="s">
        <v>1674</v>
      </c>
      <c r="C1352" s="12" t="s">
        <v>5</v>
      </c>
      <c r="D1352" s="93">
        <v>480.64</v>
      </c>
      <c r="E1352" s="93">
        <v>67.459999999999994</v>
      </c>
      <c r="F1352" s="93">
        <v>388.17</v>
      </c>
      <c r="G1352" s="93">
        <v>25.01</v>
      </c>
      <c r="H1352" s="93">
        <v>0</v>
      </c>
      <c r="N1352" s="88"/>
      <c r="O1352" s="88"/>
      <c r="P1352" s="88"/>
    </row>
    <row r="1353" spans="1:16">
      <c r="A1353" s="94">
        <v>92754</v>
      </c>
      <c r="B1353" s="87" t="s">
        <v>1675</v>
      </c>
      <c r="C1353" s="12" t="s">
        <v>5</v>
      </c>
      <c r="D1353" s="93">
        <v>439.79</v>
      </c>
      <c r="E1353" s="93">
        <v>62.12</v>
      </c>
      <c r="F1353" s="93">
        <v>355.1</v>
      </c>
      <c r="G1353" s="93">
        <v>22.57</v>
      </c>
      <c r="H1353" s="93">
        <v>0</v>
      </c>
      <c r="N1353" s="88"/>
      <c r="O1353" s="88"/>
      <c r="P1353" s="88"/>
    </row>
    <row r="1354" spans="1:16">
      <c r="A1354" s="94">
        <v>92755</v>
      </c>
      <c r="B1354" s="87" t="s">
        <v>1676</v>
      </c>
      <c r="C1354" s="12" t="s">
        <v>9</v>
      </c>
      <c r="D1354" s="93">
        <v>189.26</v>
      </c>
      <c r="E1354" s="93">
        <v>31.89</v>
      </c>
      <c r="F1354" s="93">
        <v>147.47999999999999</v>
      </c>
      <c r="G1354" s="93">
        <v>9.89</v>
      </c>
      <c r="H1354" s="93">
        <v>0</v>
      </c>
      <c r="N1354" s="88"/>
      <c r="O1354" s="88"/>
      <c r="P1354" s="88"/>
    </row>
    <row r="1355" spans="1:16">
      <c r="A1355" s="94">
        <v>92756</v>
      </c>
      <c r="B1355" s="87" t="s">
        <v>1677</v>
      </c>
      <c r="C1355" s="12" t="s">
        <v>9</v>
      </c>
      <c r="D1355" s="93">
        <v>215.39</v>
      </c>
      <c r="E1355" s="93">
        <v>37.82</v>
      </c>
      <c r="F1355" s="93">
        <v>165.59</v>
      </c>
      <c r="G1355" s="93">
        <v>11.98</v>
      </c>
      <c r="H1355" s="93">
        <v>0</v>
      </c>
      <c r="N1355" s="88"/>
      <c r="O1355" s="88"/>
      <c r="P1355" s="88"/>
    </row>
    <row r="1356" spans="1:16">
      <c r="A1356" s="94">
        <v>92757</v>
      </c>
      <c r="B1356" s="87" t="s">
        <v>1678</v>
      </c>
      <c r="C1356" s="12" t="s">
        <v>9</v>
      </c>
      <c r="D1356" s="93">
        <v>247.06</v>
      </c>
      <c r="E1356" s="93">
        <v>44.81</v>
      </c>
      <c r="F1356" s="93">
        <v>187.77</v>
      </c>
      <c r="G1356" s="93">
        <v>14.48</v>
      </c>
      <c r="H1356" s="93">
        <v>0</v>
      </c>
      <c r="N1356" s="88"/>
      <c r="O1356" s="88"/>
      <c r="P1356" s="88"/>
    </row>
    <row r="1357" spans="1:16">
      <c r="A1357" s="94">
        <v>92758</v>
      </c>
      <c r="B1357" s="87" t="s">
        <v>1679</v>
      </c>
      <c r="C1357" s="12" t="s">
        <v>5</v>
      </c>
      <c r="D1357" s="93">
        <v>598.27</v>
      </c>
      <c r="E1357" s="93">
        <v>65.150000000000006</v>
      </c>
      <c r="F1357" s="93">
        <v>533.12</v>
      </c>
      <c r="G1357" s="93">
        <v>0</v>
      </c>
      <c r="H1357" s="93">
        <v>0</v>
      </c>
      <c r="N1357" s="88"/>
      <c r="O1357" s="88"/>
      <c r="P1357" s="88"/>
    </row>
    <row r="1358" spans="1:16">
      <c r="A1358" s="94">
        <v>91069</v>
      </c>
      <c r="B1358" s="87" t="s">
        <v>1680</v>
      </c>
      <c r="C1358" s="12" t="s">
        <v>9</v>
      </c>
      <c r="D1358" s="93">
        <v>90.08</v>
      </c>
      <c r="E1358" s="93">
        <v>20.23</v>
      </c>
      <c r="F1358" s="93">
        <v>65.540000000000006</v>
      </c>
      <c r="G1358" s="93">
        <v>3.68</v>
      </c>
      <c r="H1358" s="93">
        <v>0</v>
      </c>
      <c r="N1358" s="88"/>
      <c r="O1358" s="88"/>
      <c r="P1358" s="88"/>
    </row>
    <row r="1359" spans="1:16">
      <c r="A1359" s="94">
        <v>91070</v>
      </c>
      <c r="B1359" s="87" t="s">
        <v>1681</v>
      </c>
      <c r="C1359" s="12" t="s">
        <v>9</v>
      </c>
      <c r="D1359" s="93">
        <v>100.52</v>
      </c>
      <c r="E1359" s="93">
        <v>21.45</v>
      </c>
      <c r="F1359" s="93">
        <v>74.400000000000006</v>
      </c>
      <c r="G1359" s="93">
        <v>3.96</v>
      </c>
      <c r="H1359" s="93">
        <v>0</v>
      </c>
      <c r="N1359" s="88"/>
      <c r="O1359" s="88"/>
      <c r="P1359" s="88"/>
    </row>
    <row r="1360" spans="1:16">
      <c r="A1360" s="94">
        <v>91071</v>
      </c>
      <c r="B1360" s="87" t="s">
        <v>1682</v>
      </c>
      <c r="C1360" s="12" t="s">
        <v>9</v>
      </c>
      <c r="D1360" s="93">
        <v>127.39</v>
      </c>
      <c r="E1360" s="93">
        <v>47.18</v>
      </c>
      <c r="F1360" s="93">
        <v>72.66</v>
      </c>
      <c r="G1360" s="93">
        <v>6.88</v>
      </c>
      <c r="H1360" s="93">
        <v>0</v>
      </c>
      <c r="N1360" s="88"/>
      <c r="O1360" s="88"/>
      <c r="P1360" s="88"/>
    </row>
    <row r="1361" spans="1:16">
      <c r="A1361" s="94">
        <v>91072</v>
      </c>
      <c r="B1361" s="87" t="s">
        <v>1683</v>
      </c>
      <c r="C1361" s="12" t="s">
        <v>9</v>
      </c>
      <c r="D1361" s="93">
        <v>137.83000000000001</v>
      </c>
      <c r="E1361" s="93">
        <v>48.44</v>
      </c>
      <c r="F1361" s="93">
        <v>81.53</v>
      </c>
      <c r="G1361" s="93">
        <v>7.12</v>
      </c>
      <c r="H1361" s="93">
        <v>0</v>
      </c>
      <c r="N1361" s="88"/>
      <c r="O1361" s="88"/>
      <c r="P1361" s="88"/>
    </row>
    <row r="1362" spans="1:16">
      <c r="A1362" s="94">
        <v>91073</v>
      </c>
      <c r="B1362" s="87" t="s">
        <v>1684</v>
      </c>
      <c r="C1362" s="12" t="s">
        <v>9</v>
      </c>
      <c r="D1362" s="93">
        <v>103.77</v>
      </c>
      <c r="E1362" s="93">
        <v>30.94</v>
      </c>
      <c r="F1362" s="93">
        <v>68.12</v>
      </c>
      <c r="G1362" s="93">
        <v>3.56</v>
      </c>
      <c r="H1362" s="93">
        <v>0</v>
      </c>
      <c r="N1362" s="88"/>
      <c r="O1362" s="88"/>
      <c r="P1362" s="88"/>
    </row>
    <row r="1363" spans="1:16">
      <c r="A1363" s="94">
        <v>91074</v>
      </c>
      <c r="B1363" s="87" t="s">
        <v>1685</v>
      </c>
      <c r="C1363" s="12" t="s">
        <v>9</v>
      </c>
      <c r="D1363" s="93">
        <v>115.65</v>
      </c>
      <c r="E1363" s="93">
        <v>33.22</v>
      </c>
      <c r="F1363" s="93">
        <v>77.27</v>
      </c>
      <c r="G1363" s="93">
        <v>3.88</v>
      </c>
      <c r="H1363" s="93">
        <v>0</v>
      </c>
      <c r="N1363" s="88"/>
      <c r="O1363" s="88"/>
      <c r="P1363" s="88"/>
    </row>
    <row r="1364" spans="1:16">
      <c r="A1364" s="94">
        <v>91075</v>
      </c>
      <c r="B1364" s="87" t="s">
        <v>1686</v>
      </c>
      <c r="C1364" s="12" t="s">
        <v>9</v>
      </c>
      <c r="D1364" s="93">
        <v>143.51</v>
      </c>
      <c r="E1364" s="93">
        <v>60.66</v>
      </c>
      <c r="F1364" s="93">
        <v>76.03</v>
      </c>
      <c r="G1364" s="93">
        <v>5.59</v>
      </c>
      <c r="H1364" s="93">
        <v>0</v>
      </c>
      <c r="N1364" s="88"/>
      <c r="O1364" s="88"/>
      <c r="P1364" s="88"/>
    </row>
    <row r="1365" spans="1:16">
      <c r="A1365" s="94">
        <v>91076</v>
      </c>
      <c r="B1365" s="87" t="s">
        <v>1687</v>
      </c>
      <c r="C1365" s="12" t="s">
        <v>9</v>
      </c>
      <c r="D1365" s="93">
        <v>155.38</v>
      </c>
      <c r="E1365" s="93">
        <v>63.02</v>
      </c>
      <c r="F1365" s="93">
        <v>85.14</v>
      </c>
      <c r="G1365" s="93">
        <v>5.87</v>
      </c>
      <c r="H1365" s="93">
        <v>0</v>
      </c>
      <c r="N1365" s="88"/>
      <c r="O1365" s="88"/>
      <c r="P1365" s="88"/>
    </row>
    <row r="1366" spans="1:16">
      <c r="A1366" s="94">
        <v>91077</v>
      </c>
      <c r="B1366" s="87" t="s">
        <v>1688</v>
      </c>
      <c r="C1366" s="12" t="s">
        <v>9</v>
      </c>
      <c r="D1366" s="93">
        <v>103.92</v>
      </c>
      <c r="E1366" s="93">
        <v>13.9</v>
      </c>
      <c r="F1366" s="93">
        <v>86.56</v>
      </c>
      <c r="G1366" s="93">
        <v>2.77</v>
      </c>
      <c r="H1366" s="93">
        <v>0</v>
      </c>
      <c r="N1366" s="88"/>
      <c r="O1366" s="88"/>
      <c r="P1366" s="88"/>
    </row>
    <row r="1367" spans="1:16">
      <c r="A1367" s="94">
        <v>91078</v>
      </c>
      <c r="B1367" s="87" t="s">
        <v>1689</v>
      </c>
      <c r="C1367" s="12" t="s">
        <v>9</v>
      </c>
      <c r="D1367" s="93">
        <v>121.97</v>
      </c>
      <c r="E1367" s="93">
        <v>14.97</v>
      </c>
      <c r="F1367" s="93">
        <v>103.23</v>
      </c>
      <c r="G1367" s="93">
        <v>3</v>
      </c>
      <c r="H1367" s="93">
        <v>0</v>
      </c>
      <c r="N1367" s="88"/>
      <c r="O1367" s="88"/>
      <c r="P1367" s="88"/>
    </row>
    <row r="1368" spans="1:16">
      <c r="A1368" s="94">
        <v>91079</v>
      </c>
      <c r="B1368" s="87" t="s">
        <v>1690</v>
      </c>
      <c r="C1368" s="12" t="s">
        <v>9</v>
      </c>
      <c r="D1368" s="93">
        <v>109.03</v>
      </c>
      <c r="E1368" s="93">
        <v>17.440000000000001</v>
      </c>
      <c r="F1368" s="93">
        <v>87.87</v>
      </c>
      <c r="G1368" s="93">
        <v>2.98</v>
      </c>
      <c r="H1368" s="93">
        <v>0</v>
      </c>
      <c r="N1368" s="88"/>
      <c r="O1368" s="88"/>
      <c r="P1368" s="88"/>
    </row>
    <row r="1369" spans="1:16">
      <c r="A1369" s="94">
        <v>91080</v>
      </c>
      <c r="B1369" s="87" t="s">
        <v>1691</v>
      </c>
      <c r="C1369" s="12" t="s">
        <v>9</v>
      </c>
      <c r="D1369" s="93">
        <v>126.89</v>
      </c>
      <c r="E1369" s="93">
        <v>18.46</v>
      </c>
      <c r="F1369" s="93">
        <v>104.42</v>
      </c>
      <c r="G1369" s="93">
        <v>3.19</v>
      </c>
      <c r="H1369" s="93">
        <v>0</v>
      </c>
      <c r="N1369" s="88"/>
      <c r="O1369" s="88"/>
      <c r="P1369" s="88"/>
    </row>
    <row r="1370" spans="1:16">
      <c r="A1370" s="94">
        <v>91081</v>
      </c>
      <c r="B1370" s="87" t="s">
        <v>1692</v>
      </c>
      <c r="C1370" s="12" t="s">
        <v>9</v>
      </c>
      <c r="D1370" s="93">
        <v>119.13</v>
      </c>
      <c r="E1370" s="93">
        <v>25.4</v>
      </c>
      <c r="F1370" s="93">
        <v>89.38</v>
      </c>
      <c r="G1370" s="93">
        <v>3.1</v>
      </c>
      <c r="H1370" s="93">
        <v>0</v>
      </c>
      <c r="N1370" s="88"/>
      <c r="O1370" s="88"/>
      <c r="P1370" s="88"/>
    </row>
    <row r="1371" spans="1:16">
      <c r="A1371" s="94">
        <v>91082</v>
      </c>
      <c r="B1371" s="87" t="s">
        <v>1693</v>
      </c>
      <c r="C1371" s="12" t="s">
        <v>9</v>
      </c>
      <c r="D1371" s="93">
        <v>138.4</v>
      </c>
      <c r="E1371" s="93">
        <v>27.4</v>
      </c>
      <c r="F1371" s="93">
        <v>106.23</v>
      </c>
      <c r="G1371" s="93">
        <v>3.39</v>
      </c>
      <c r="H1371" s="93">
        <v>0</v>
      </c>
      <c r="N1371" s="88"/>
      <c r="O1371" s="88"/>
      <c r="P1371" s="88"/>
    </row>
    <row r="1372" spans="1:16">
      <c r="A1372" s="94">
        <v>91083</v>
      </c>
      <c r="B1372" s="87" t="s">
        <v>1694</v>
      </c>
      <c r="C1372" s="12" t="s">
        <v>9</v>
      </c>
      <c r="D1372" s="93">
        <v>128.18</v>
      </c>
      <c r="E1372" s="93">
        <v>32</v>
      </c>
      <c r="F1372" s="93">
        <v>91.46</v>
      </c>
      <c r="G1372" s="93">
        <v>3.38</v>
      </c>
      <c r="H1372" s="93">
        <v>0</v>
      </c>
      <c r="N1372" s="88"/>
      <c r="O1372" s="88"/>
      <c r="P1372" s="88"/>
    </row>
    <row r="1373" spans="1:16">
      <c r="A1373" s="94">
        <v>91084</v>
      </c>
      <c r="B1373" s="87" t="s">
        <v>1695</v>
      </c>
      <c r="C1373" s="12" t="s">
        <v>9</v>
      </c>
      <c r="D1373" s="93">
        <v>147.19999999999999</v>
      </c>
      <c r="E1373" s="93">
        <v>33.94</v>
      </c>
      <c r="F1373" s="93">
        <v>108.22</v>
      </c>
      <c r="G1373" s="93">
        <v>3.59</v>
      </c>
      <c r="H1373" s="93">
        <v>0</v>
      </c>
      <c r="N1373" s="88"/>
      <c r="O1373" s="88"/>
      <c r="P1373" s="88"/>
    </row>
    <row r="1374" spans="1:16">
      <c r="A1374" s="94">
        <v>91086</v>
      </c>
      <c r="B1374" s="87" t="s">
        <v>1696</v>
      </c>
      <c r="C1374" s="12" t="s">
        <v>9</v>
      </c>
      <c r="D1374" s="93">
        <v>99.92</v>
      </c>
      <c r="E1374" s="93">
        <v>27.27</v>
      </c>
      <c r="F1374" s="93">
        <v>67.349999999999994</v>
      </c>
      <c r="G1374" s="93">
        <v>4.7300000000000004</v>
      </c>
      <c r="H1374" s="93">
        <v>0</v>
      </c>
      <c r="N1374" s="88"/>
      <c r="O1374" s="88"/>
      <c r="P1374" s="88"/>
    </row>
    <row r="1375" spans="1:16">
      <c r="A1375" s="94">
        <v>91087</v>
      </c>
      <c r="B1375" s="87" t="s">
        <v>1697</v>
      </c>
      <c r="C1375" s="12" t="s">
        <v>9</v>
      </c>
      <c r="D1375" s="93">
        <v>110.68</v>
      </c>
      <c r="E1375" s="93">
        <v>28.65</v>
      </c>
      <c r="F1375" s="93">
        <v>76.34</v>
      </c>
      <c r="G1375" s="93">
        <v>5.03</v>
      </c>
      <c r="H1375" s="93">
        <v>0</v>
      </c>
      <c r="N1375" s="88"/>
      <c r="O1375" s="88"/>
      <c r="P1375" s="88"/>
    </row>
    <row r="1376" spans="1:16">
      <c r="A1376" s="94">
        <v>91088</v>
      </c>
      <c r="B1376" s="87" t="s">
        <v>200</v>
      </c>
      <c r="C1376" s="12" t="s">
        <v>9</v>
      </c>
      <c r="D1376" s="93">
        <v>138.52000000000001</v>
      </c>
      <c r="E1376" s="93">
        <v>55.29</v>
      </c>
      <c r="F1376" s="93">
        <v>74.760000000000005</v>
      </c>
      <c r="G1376" s="93">
        <v>7.87</v>
      </c>
      <c r="H1376" s="93">
        <v>0</v>
      </c>
      <c r="N1376" s="88"/>
      <c r="O1376" s="88"/>
      <c r="P1376" s="88"/>
    </row>
    <row r="1377" spans="1:16">
      <c r="A1377" s="94">
        <v>91089</v>
      </c>
      <c r="B1377" s="87" t="s">
        <v>201</v>
      </c>
      <c r="C1377" s="12" t="s">
        <v>9</v>
      </c>
      <c r="D1377" s="93">
        <v>149.38999999999999</v>
      </c>
      <c r="E1377" s="93">
        <v>56.79</v>
      </c>
      <c r="F1377" s="93">
        <v>83.74</v>
      </c>
      <c r="G1377" s="93">
        <v>8.17</v>
      </c>
      <c r="H1377" s="93">
        <v>0</v>
      </c>
      <c r="N1377" s="88"/>
      <c r="O1377" s="88"/>
      <c r="P1377" s="88"/>
    </row>
    <row r="1378" spans="1:16">
      <c r="A1378" s="94">
        <v>91090</v>
      </c>
      <c r="B1378" s="87" t="s">
        <v>1698</v>
      </c>
      <c r="C1378" s="12" t="s">
        <v>9</v>
      </c>
      <c r="D1378" s="93">
        <v>111.83</v>
      </c>
      <c r="E1378" s="93">
        <v>37</v>
      </c>
      <c r="F1378" s="93">
        <v>69.709999999999994</v>
      </c>
      <c r="G1378" s="93">
        <v>4.07</v>
      </c>
      <c r="H1378" s="93">
        <v>0</v>
      </c>
      <c r="N1378" s="88"/>
      <c r="O1378" s="88"/>
      <c r="P1378" s="88"/>
    </row>
    <row r="1379" spans="1:16">
      <c r="A1379" s="94">
        <v>91091</v>
      </c>
      <c r="B1379" s="87" t="s">
        <v>1699</v>
      </c>
      <c r="C1379" s="12" t="s">
        <v>9</v>
      </c>
      <c r="D1379" s="93">
        <v>124.16</v>
      </c>
      <c r="E1379" s="93">
        <v>39.58</v>
      </c>
      <c r="F1379" s="93">
        <v>78.97</v>
      </c>
      <c r="G1379" s="93">
        <v>4.42</v>
      </c>
      <c r="H1379" s="93">
        <v>0</v>
      </c>
      <c r="N1379" s="88"/>
      <c r="O1379" s="88"/>
      <c r="P1379" s="88"/>
    </row>
    <row r="1380" spans="1:16">
      <c r="A1380" s="94">
        <v>91092</v>
      </c>
      <c r="B1380" s="87" t="s">
        <v>202</v>
      </c>
      <c r="C1380" s="12" t="s">
        <v>9</v>
      </c>
      <c r="D1380" s="93">
        <v>152.41</v>
      </c>
      <c r="E1380" s="93">
        <v>67.48</v>
      </c>
      <c r="F1380" s="93">
        <v>77.739999999999995</v>
      </c>
      <c r="G1380" s="93">
        <v>6.08</v>
      </c>
      <c r="H1380" s="93">
        <v>0</v>
      </c>
      <c r="N1380" s="88"/>
      <c r="O1380" s="88"/>
      <c r="P1380" s="88"/>
    </row>
    <row r="1381" spans="1:16">
      <c r="A1381" s="94">
        <v>91093</v>
      </c>
      <c r="B1381" s="87" t="s">
        <v>203</v>
      </c>
      <c r="C1381" s="12" t="s">
        <v>9</v>
      </c>
      <c r="D1381" s="93">
        <v>165.03</v>
      </c>
      <c r="E1381" s="93">
        <v>70.27</v>
      </c>
      <c r="F1381" s="93">
        <v>87.11</v>
      </c>
      <c r="G1381" s="93">
        <v>6.4</v>
      </c>
      <c r="H1381" s="93">
        <v>0</v>
      </c>
      <c r="N1381" s="88"/>
      <c r="O1381" s="88"/>
      <c r="P1381" s="88"/>
    </row>
    <row r="1382" spans="1:16">
      <c r="A1382" s="94">
        <v>91094</v>
      </c>
      <c r="B1382" s="87" t="s">
        <v>1700</v>
      </c>
      <c r="C1382" s="12" t="s">
        <v>9</v>
      </c>
      <c r="D1382" s="93">
        <v>110.08</v>
      </c>
      <c r="E1382" s="93">
        <v>18.68</v>
      </c>
      <c r="F1382" s="93">
        <v>87.36</v>
      </c>
      <c r="G1382" s="93">
        <v>3.42</v>
      </c>
      <c r="H1382" s="93">
        <v>0</v>
      </c>
      <c r="N1382" s="88"/>
      <c r="O1382" s="88"/>
      <c r="P1382" s="88"/>
    </row>
    <row r="1383" spans="1:16">
      <c r="A1383" s="94">
        <v>91095</v>
      </c>
      <c r="B1383" s="87" t="s">
        <v>1701</v>
      </c>
      <c r="C1383" s="12" t="s">
        <v>9</v>
      </c>
      <c r="D1383" s="93">
        <v>128.44999999999999</v>
      </c>
      <c r="E1383" s="93">
        <v>19.93</v>
      </c>
      <c r="F1383" s="93">
        <v>104.09</v>
      </c>
      <c r="G1383" s="93">
        <v>3.71</v>
      </c>
      <c r="H1383" s="93">
        <v>0</v>
      </c>
      <c r="N1383" s="88"/>
      <c r="O1383" s="88"/>
      <c r="P1383" s="88"/>
    </row>
    <row r="1384" spans="1:16">
      <c r="A1384" s="94">
        <v>91096</v>
      </c>
      <c r="B1384" s="87" t="s">
        <v>1702</v>
      </c>
      <c r="C1384" s="12" t="s">
        <v>9</v>
      </c>
      <c r="D1384" s="93">
        <v>112.41</v>
      </c>
      <c r="E1384" s="93">
        <v>20.36</v>
      </c>
      <c r="F1384" s="93">
        <v>88.09</v>
      </c>
      <c r="G1384" s="93">
        <v>3.29</v>
      </c>
      <c r="H1384" s="93">
        <v>0</v>
      </c>
      <c r="N1384" s="88"/>
      <c r="O1384" s="88"/>
      <c r="P1384" s="88"/>
    </row>
    <row r="1385" spans="1:16">
      <c r="A1385" s="94">
        <v>91097</v>
      </c>
      <c r="B1385" s="87" t="s">
        <v>1703</v>
      </c>
      <c r="C1385" s="12" t="s">
        <v>9</v>
      </c>
      <c r="D1385" s="93">
        <v>130.65</v>
      </c>
      <c r="E1385" s="93">
        <v>21.58</v>
      </c>
      <c r="F1385" s="93">
        <v>104.8</v>
      </c>
      <c r="G1385" s="93">
        <v>3.52</v>
      </c>
      <c r="H1385" s="93">
        <v>0</v>
      </c>
      <c r="N1385" s="88"/>
      <c r="O1385" s="88"/>
      <c r="P1385" s="88"/>
    </row>
    <row r="1386" spans="1:16">
      <c r="A1386" s="94">
        <v>91098</v>
      </c>
      <c r="B1386" s="87" t="s">
        <v>1704</v>
      </c>
      <c r="C1386" s="12" t="s">
        <v>9</v>
      </c>
      <c r="D1386" s="93">
        <v>125.16</v>
      </c>
      <c r="E1386" s="93">
        <v>30.34</v>
      </c>
      <c r="F1386" s="93">
        <v>90.2</v>
      </c>
      <c r="G1386" s="93">
        <v>3.49</v>
      </c>
      <c r="H1386" s="93">
        <v>0</v>
      </c>
      <c r="N1386" s="88"/>
      <c r="O1386" s="88"/>
      <c r="P1386" s="88"/>
    </row>
    <row r="1387" spans="1:16">
      <c r="A1387" s="94">
        <v>91099</v>
      </c>
      <c r="B1387" s="87" t="s">
        <v>1705</v>
      </c>
      <c r="C1387" s="12" t="s">
        <v>9</v>
      </c>
      <c r="D1387" s="93">
        <v>144.9</v>
      </c>
      <c r="E1387" s="93">
        <v>32.619999999999997</v>
      </c>
      <c r="F1387" s="93">
        <v>107.19</v>
      </c>
      <c r="G1387" s="93">
        <v>3.81</v>
      </c>
      <c r="H1387" s="93">
        <v>0</v>
      </c>
      <c r="N1387" s="88"/>
      <c r="O1387" s="88"/>
      <c r="P1387" s="88"/>
    </row>
    <row r="1388" spans="1:16">
      <c r="A1388" s="94">
        <v>91100</v>
      </c>
      <c r="B1388" s="87" t="s">
        <v>1706</v>
      </c>
      <c r="C1388" s="12" t="s">
        <v>9</v>
      </c>
      <c r="D1388" s="93">
        <v>132.16999999999999</v>
      </c>
      <c r="E1388" s="93">
        <v>35.56</v>
      </c>
      <c r="F1388" s="93">
        <v>91.87</v>
      </c>
      <c r="G1388" s="93">
        <v>3.54</v>
      </c>
      <c r="H1388" s="93">
        <v>0</v>
      </c>
      <c r="N1388" s="88"/>
      <c r="O1388" s="88"/>
      <c r="P1388" s="88"/>
    </row>
    <row r="1389" spans="1:16">
      <c r="A1389" s="94">
        <v>91101</v>
      </c>
      <c r="B1389" s="87" t="s">
        <v>1707</v>
      </c>
      <c r="C1389" s="12" t="s">
        <v>9</v>
      </c>
      <c r="D1389" s="93">
        <v>151.76</v>
      </c>
      <c r="E1389" s="93">
        <v>37.799999999999997</v>
      </c>
      <c r="F1389" s="93">
        <v>108.78</v>
      </c>
      <c r="G1389" s="93">
        <v>3.83</v>
      </c>
      <c r="H1389" s="93">
        <v>0</v>
      </c>
      <c r="N1389" s="88"/>
      <c r="O1389" s="88"/>
      <c r="P1389" s="88"/>
    </row>
    <row r="1390" spans="1:16">
      <c r="A1390" s="94">
        <v>93952</v>
      </c>
      <c r="B1390" s="87" t="s">
        <v>204</v>
      </c>
      <c r="C1390" s="12" t="s">
        <v>6</v>
      </c>
      <c r="D1390" s="93">
        <v>179.1</v>
      </c>
      <c r="E1390" s="93">
        <v>86.49</v>
      </c>
      <c r="F1390" s="93">
        <v>73.27</v>
      </c>
      <c r="G1390" s="93">
        <v>17.95</v>
      </c>
      <c r="H1390" s="93">
        <v>0</v>
      </c>
      <c r="N1390" s="88"/>
      <c r="O1390" s="88"/>
      <c r="P1390" s="88"/>
    </row>
    <row r="1391" spans="1:16">
      <c r="A1391" s="94">
        <v>93953</v>
      </c>
      <c r="B1391" s="87" t="s">
        <v>1708</v>
      </c>
      <c r="C1391" s="12" t="s">
        <v>6</v>
      </c>
      <c r="D1391" s="93">
        <v>165.96</v>
      </c>
      <c r="E1391" s="93">
        <v>77.17</v>
      </c>
      <c r="F1391" s="93">
        <v>71.41</v>
      </c>
      <c r="G1391" s="93">
        <v>16.059999999999999</v>
      </c>
      <c r="H1391" s="93">
        <v>0</v>
      </c>
      <c r="N1391" s="88"/>
      <c r="O1391" s="88"/>
      <c r="P1391" s="88"/>
    </row>
    <row r="1392" spans="1:16">
      <c r="A1392" s="94">
        <v>93954</v>
      </c>
      <c r="B1392" s="87" t="s">
        <v>1709</v>
      </c>
      <c r="C1392" s="12" t="s">
        <v>6</v>
      </c>
      <c r="D1392" s="93">
        <v>158.11000000000001</v>
      </c>
      <c r="E1392" s="93">
        <v>71.64</v>
      </c>
      <c r="F1392" s="93">
        <v>70.239999999999995</v>
      </c>
      <c r="G1392" s="93">
        <v>14.97</v>
      </c>
      <c r="H1392" s="93">
        <v>0</v>
      </c>
      <c r="N1392" s="88"/>
      <c r="O1392" s="88"/>
      <c r="P1392" s="88"/>
    </row>
    <row r="1393" spans="1:16">
      <c r="A1393" s="94">
        <v>93955</v>
      </c>
      <c r="B1393" s="87" t="s">
        <v>205</v>
      </c>
      <c r="C1393" s="12" t="s">
        <v>6</v>
      </c>
      <c r="D1393" s="93">
        <v>152.52000000000001</v>
      </c>
      <c r="E1393" s="93">
        <v>67.73</v>
      </c>
      <c r="F1393" s="93">
        <v>69.39</v>
      </c>
      <c r="G1393" s="93">
        <v>14.18</v>
      </c>
      <c r="H1393" s="93">
        <v>0</v>
      </c>
      <c r="N1393" s="88"/>
      <c r="O1393" s="88"/>
      <c r="P1393" s="88"/>
    </row>
    <row r="1394" spans="1:16">
      <c r="A1394" s="94">
        <v>93956</v>
      </c>
      <c r="B1394" s="87" t="s">
        <v>1710</v>
      </c>
      <c r="C1394" s="12" t="s">
        <v>6</v>
      </c>
      <c r="D1394" s="93">
        <v>148.16999999999999</v>
      </c>
      <c r="E1394" s="93">
        <v>64.73</v>
      </c>
      <c r="F1394" s="93">
        <v>68.66</v>
      </c>
      <c r="G1394" s="93">
        <v>13.58</v>
      </c>
      <c r="H1394" s="93">
        <v>0</v>
      </c>
      <c r="N1394" s="88"/>
      <c r="O1394" s="88"/>
      <c r="P1394" s="88"/>
    </row>
    <row r="1395" spans="1:16">
      <c r="A1395" s="94">
        <v>93957</v>
      </c>
      <c r="B1395" s="87" t="s">
        <v>206</v>
      </c>
      <c r="C1395" s="12" t="s">
        <v>6</v>
      </c>
      <c r="D1395" s="93">
        <v>189.63</v>
      </c>
      <c r="E1395" s="93">
        <v>88.06</v>
      </c>
      <c r="F1395" s="93">
        <v>81.98</v>
      </c>
      <c r="G1395" s="93">
        <v>18.2</v>
      </c>
      <c r="H1395" s="93">
        <v>0</v>
      </c>
      <c r="N1395" s="88"/>
      <c r="O1395" s="88"/>
      <c r="P1395" s="88"/>
    </row>
    <row r="1396" spans="1:16">
      <c r="A1396" s="94">
        <v>93958</v>
      </c>
      <c r="B1396" s="87" t="s">
        <v>1711</v>
      </c>
      <c r="C1396" s="12" t="s">
        <v>6</v>
      </c>
      <c r="D1396" s="93">
        <v>175.69</v>
      </c>
      <c r="E1396" s="93">
        <v>78.19</v>
      </c>
      <c r="F1396" s="93">
        <v>79.94</v>
      </c>
      <c r="G1396" s="93">
        <v>16.239999999999998</v>
      </c>
      <c r="H1396" s="93">
        <v>0</v>
      </c>
      <c r="N1396" s="88"/>
      <c r="O1396" s="88"/>
      <c r="P1396" s="88"/>
    </row>
    <row r="1397" spans="1:16">
      <c r="A1397" s="94">
        <v>93959</v>
      </c>
      <c r="B1397" s="87" t="s">
        <v>1712</v>
      </c>
      <c r="C1397" s="12" t="s">
        <v>6</v>
      </c>
      <c r="D1397" s="93">
        <v>167.45</v>
      </c>
      <c r="E1397" s="93">
        <v>72.459999999999994</v>
      </c>
      <c r="F1397" s="93">
        <v>78.63</v>
      </c>
      <c r="G1397" s="93">
        <v>15.1</v>
      </c>
      <c r="H1397" s="93">
        <v>0</v>
      </c>
      <c r="N1397" s="88"/>
      <c r="O1397" s="88"/>
      <c r="P1397" s="88"/>
    </row>
    <row r="1398" spans="1:16">
      <c r="A1398" s="94">
        <v>93960</v>
      </c>
      <c r="B1398" s="87" t="s">
        <v>207</v>
      </c>
      <c r="C1398" s="12" t="s">
        <v>6</v>
      </c>
      <c r="D1398" s="93">
        <v>161.66</v>
      </c>
      <c r="E1398" s="93">
        <v>68.430000000000007</v>
      </c>
      <c r="F1398" s="93">
        <v>77.73</v>
      </c>
      <c r="G1398" s="93">
        <v>14.28</v>
      </c>
      <c r="H1398" s="93">
        <v>0</v>
      </c>
      <c r="N1398" s="88"/>
      <c r="O1398" s="88"/>
      <c r="P1398" s="88"/>
    </row>
    <row r="1399" spans="1:16">
      <c r="A1399" s="94">
        <v>93961</v>
      </c>
      <c r="B1399" s="87" t="s">
        <v>1713</v>
      </c>
      <c r="C1399" s="12" t="s">
        <v>6</v>
      </c>
      <c r="D1399" s="93">
        <v>157.13999999999999</v>
      </c>
      <c r="E1399" s="93">
        <v>65.319999999999993</v>
      </c>
      <c r="F1399" s="93">
        <v>76.959999999999994</v>
      </c>
      <c r="G1399" s="93">
        <v>13.66</v>
      </c>
      <c r="H1399" s="93">
        <v>0</v>
      </c>
      <c r="N1399" s="88"/>
      <c r="O1399" s="88"/>
      <c r="P1399" s="88"/>
    </row>
    <row r="1400" spans="1:16">
      <c r="A1400" s="94">
        <v>93962</v>
      </c>
      <c r="B1400" s="87" t="s">
        <v>208</v>
      </c>
      <c r="C1400" s="12" t="s">
        <v>6</v>
      </c>
      <c r="D1400" s="93">
        <v>169.21</v>
      </c>
      <c r="E1400" s="93">
        <v>83.5</v>
      </c>
      <c r="F1400" s="93">
        <v>67.03</v>
      </c>
      <c r="G1400" s="93">
        <v>17.350000000000001</v>
      </c>
      <c r="H1400" s="93">
        <v>0</v>
      </c>
      <c r="N1400" s="88"/>
      <c r="O1400" s="88"/>
      <c r="P1400" s="88"/>
    </row>
    <row r="1401" spans="1:16">
      <c r="A1401" s="94">
        <v>93963</v>
      </c>
      <c r="B1401" s="87" t="s">
        <v>1714</v>
      </c>
      <c r="C1401" s="12" t="s">
        <v>6</v>
      </c>
      <c r="D1401" s="93">
        <v>156.09</v>
      </c>
      <c r="E1401" s="93">
        <v>74.14</v>
      </c>
      <c r="F1401" s="93">
        <v>65.22</v>
      </c>
      <c r="G1401" s="93">
        <v>15.47</v>
      </c>
      <c r="H1401" s="93">
        <v>0</v>
      </c>
      <c r="N1401" s="88"/>
      <c r="O1401" s="88"/>
      <c r="P1401" s="88"/>
    </row>
    <row r="1402" spans="1:16">
      <c r="A1402" s="94">
        <v>93964</v>
      </c>
      <c r="B1402" s="87" t="s">
        <v>1715</v>
      </c>
      <c r="C1402" s="12" t="s">
        <v>6</v>
      </c>
      <c r="D1402" s="93">
        <v>148.26</v>
      </c>
      <c r="E1402" s="93">
        <v>68.62</v>
      </c>
      <c r="F1402" s="93">
        <v>64.040000000000006</v>
      </c>
      <c r="G1402" s="93">
        <v>14.39</v>
      </c>
      <c r="H1402" s="93">
        <v>0</v>
      </c>
      <c r="N1402" s="88"/>
      <c r="O1402" s="88"/>
      <c r="P1402" s="88"/>
    </row>
    <row r="1403" spans="1:16">
      <c r="A1403" s="94">
        <v>93965</v>
      </c>
      <c r="B1403" s="87" t="s">
        <v>1716</v>
      </c>
      <c r="C1403" s="12" t="s">
        <v>6</v>
      </c>
      <c r="D1403" s="93">
        <v>140.13</v>
      </c>
      <c r="E1403" s="93">
        <v>62.54</v>
      </c>
      <c r="F1403" s="93">
        <v>62.83</v>
      </c>
      <c r="G1403" s="93">
        <v>13.59</v>
      </c>
      <c r="H1403" s="93">
        <v>0</v>
      </c>
      <c r="N1403" s="88"/>
      <c r="O1403" s="88"/>
      <c r="P1403" s="88"/>
    </row>
    <row r="1404" spans="1:16">
      <c r="A1404" s="94">
        <v>93966</v>
      </c>
      <c r="B1404" s="87" t="s">
        <v>1717</v>
      </c>
      <c r="C1404" s="12" t="s">
        <v>6</v>
      </c>
      <c r="D1404" s="93">
        <v>138.41</v>
      </c>
      <c r="E1404" s="93">
        <v>61.81</v>
      </c>
      <c r="F1404" s="93">
        <v>62.51</v>
      </c>
      <c r="G1404" s="93">
        <v>12.97</v>
      </c>
      <c r="H1404" s="93">
        <v>0</v>
      </c>
      <c r="N1404" s="88"/>
      <c r="O1404" s="88"/>
      <c r="P1404" s="88"/>
    </row>
    <row r="1405" spans="1:16">
      <c r="A1405" s="94">
        <v>93967</v>
      </c>
      <c r="B1405" s="87" t="s">
        <v>209</v>
      </c>
      <c r="C1405" s="12" t="s">
        <v>6</v>
      </c>
      <c r="D1405" s="93">
        <v>179.7</v>
      </c>
      <c r="E1405" s="93">
        <v>85.02</v>
      </c>
      <c r="F1405" s="93">
        <v>75.73</v>
      </c>
      <c r="G1405" s="93">
        <v>17.62</v>
      </c>
      <c r="H1405" s="93">
        <v>0</v>
      </c>
      <c r="N1405" s="88"/>
      <c r="O1405" s="88"/>
      <c r="P1405" s="88"/>
    </row>
    <row r="1406" spans="1:16">
      <c r="A1406" s="94">
        <v>93968</v>
      </c>
      <c r="B1406" s="87" t="s">
        <v>1718</v>
      </c>
      <c r="C1406" s="12" t="s">
        <v>6</v>
      </c>
      <c r="D1406" s="93">
        <v>165.82</v>
      </c>
      <c r="E1406" s="93">
        <v>75.2</v>
      </c>
      <c r="F1406" s="93">
        <v>73.709999999999994</v>
      </c>
      <c r="G1406" s="93">
        <v>15.65</v>
      </c>
      <c r="H1406" s="93">
        <v>0</v>
      </c>
      <c r="N1406" s="88"/>
      <c r="O1406" s="88"/>
      <c r="P1406" s="88"/>
    </row>
    <row r="1407" spans="1:16">
      <c r="A1407" s="94">
        <v>93969</v>
      </c>
      <c r="B1407" s="87" t="s">
        <v>1719</v>
      </c>
      <c r="C1407" s="12" t="s">
        <v>6</v>
      </c>
      <c r="D1407" s="93">
        <v>157.61000000000001</v>
      </c>
      <c r="E1407" s="93">
        <v>69.42</v>
      </c>
      <c r="F1407" s="93">
        <v>72.44</v>
      </c>
      <c r="G1407" s="93">
        <v>14.54</v>
      </c>
      <c r="H1407" s="93">
        <v>0</v>
      </c>
      <c r="N1407" s="88"/>
      <c r="O1407" s="88"/>
      <c r="P1407" s="88"/>
    </row>
    <row r="1408" spans="1:16">
      <c r="A1408" s="94">
        <v>93970</v>
      </c>
      <c r="B1408" s="87" t="s">
        <v>1720</v>
      </c>
      <c r="C1408" s="12" t="s">
        <v>6</v>
      </c>
      <c r="D1408" s="93">
        <v>151.87</v>
      </c>
      <c r="E1408" s="93">
        <v>65.47</v>
      </c>
      <c r="F1408" s="93">
        <v>71.56</v>
      </c>
      <c r="G1408" s="93">
        <v>13.67</v>
      </c>
      <c r="H1408" s="93">
        <v>0</v>
      </c>
      <c r="N1408" s="88"/>
      <c r="O1408" s="88"/>
      <c r="P1408" s="88"/>
    </row>
    <row r="1409" spans="1:16">
      <c r="A1409" s="94">
        <v>93971</v>
      </c>
      <c r="B1409" s="87" t="s">
        <v>1721</v>
      </c>
      <c r="C1409" s="12" t="s">
        <v>6</v>
      </c>
      <c r="D1409" s="93">
        <v>142.93</v>
      </c>
      <c r="E1409" s="93">
        <v>60.6</v>
      </c>
      <c r="F1409" s="93">
        <v>70.56</v>
      </c>
      <c r="G1409" s="93">
        <v>10.65</v>
      </c>
      <c r="H1409" s="93">
        <v>0</v>
      </c>
      <c r="N1409" s="88"/>
      <c r="O1409" s="88"/>
      <c r="P1409" s="88"/>
    </row>
    <row r="1410" spans="1:16">
      <c r="A1410" s="94">
        <v>95108</v>
      </c>
      <c r="B1410" s="87" t="s">
        <v>1722</v>
      </c>
      <c r="C1410" s="12" t="s">
        <v>4</v>
      </c>
      <c r="D1410" s="93">
        <v>24.43</v>
      </c>
      <c r="E1410" s="93">
        <v>14.87</v>
      </c>
      <c r="F1410" s="93">
        <v>9.43</v>
      </c>
      <c r="G1410" s="93">
        <v>0.12</v>
      </c>
      <c r="H1410" s="93">
        <v>0</v>
      </c>
      <c r="N1410" s="88"/>
      <c r="O1410" s="88"/>
      <c r="P1410" s="88"/>
    </row>
    <row r="1411" spans="1:16">
      <c r="A1411" s="94">
        <v>100332</v>
      </c>
      <c r="B1411" s="87" t="s">
        <v>1723</v>
      </c>
      <c r="C1411" s="12" t="s">
        <v>9</v>
      </c>
      <c r="D1411" s="93">
        <v>582.38</v>
      </c>
      <c r="E1411" s="93">
        <v>56.55</v>
      </c>
      <c r="F1411" s="93">
        <v>519.23</v>
      </c>
      <c r="G1411" s="93">
        <v>6.6</v>
      </c>
      <c r="H1411" s="93">
        <v>0</v>
      </c>
      <c r="N1411" s="88"/>
      <c r="O1411" s="88"/>
      <c r="P1411" s="88"/>
    </row>
    <row r="1412" spans="1:16">
      <c r="A1412" s="94">
        <v>100333</v>
      </c>
      <c r="B1412" s="87" t="s">
        <v>1724</v>
      </c>
      <c r="C1412" s="12" t="s">
        <v>9</v>
      </c>
      <c r="D1412" s="93">
        <v>357.04</v>
      </c>
      <c r="E1412" s="93">
        <v>41.55</v>
      </c>
      <c r="F1412" s="93">
        <v>311.98</v>
      </c>
      <c r="G1412" s="93">
        <v>3.51</v>
      </c>
      <c r="H1412" s="93">
        <v>0</v>
      </c>
      <c r="N1412" s="88"/>
      <c r="O1412" s="88"/>
      <c r="P1412" s="88"/>
    </row>
    <row r="1413" spans="1:16">
      <c r="A1413" s="94">
        <v>100334</v>
      </c>
      <c r="B1413" s="87" t="s">
        <v>1725</v>
      </c>
      <c r="C1413" s="12" t="s">
        <v>9</v>
      </c>
      <c r="D1413" s="93">
        <v>459.97</v>
      </c>
      <c r="E1413" s="93">
        <v>47.41</v>
      </c>
      <c r="F1413" s="93">
        <v>407.63</v>
      </c>
      <c r="G1413" s="93">
        <v>4.93</v>
      </c>
      <c r="H1413" s="93">
        <v>0</v>
      </c>
      <c r="N1413" s="88"/>
      <c r="O1413" s="88"/>
      <c r="P1413" s="88"/>
    </row>
    <row r="1414" spans="1:16">
      <c r="A1414" s="94">
        <v>100335</v>
      </c>
      <c r="B1414" s="87" t="s">
        <v>1726</v>
      </c>
      <c r="C1414" s="12" t="s">
        <v>9</v>
      </c>
      <c r="D1414" s="93">
        <v>290.95999999999998</v>
      </c>
      <c r="E1414" s="93">
        <v>36.17</v>
      </c>
      <c r="F1414" s="93">
        <v>252.18</v>
      </c>
      <c r="G1414" s="93">
        <v>2.61</v>
      </c>
      <c r="H1414" s="93">
        <v>0</v>
      </c>
      <c r="N1414" s="88"/>
      <c r="O1414" s="88"/>
      <c r="P1414" s="88"/>
    </row>
    <row r="1415" spans="1:16">
      <c r="A1415" s="94">
        <v>100341</v>
      </c>
      <c r="B1415" s="87" t="s">
        <v>1727</v>
      </c>
      <c r="C1415" s="12" t="s">
        <v>9</v>
      </c>
      <c r="D1415" s="93">
        <v>24.67</v>
      </c>
      <c r="E1415" s="93">
        <v>11.69</v>
      </c>
      <c r="F1415" s="93">
        <v>9.6199999999999992</v>
      </c>
      <c r="G1415" s="93">
        <v>3.36</v>
      </c>
      <c r="H1415" s="93">
        <v>0</v>
      </c>
      <c r="N1415" s="88"/>
      <c r="O1415" s="88"/>
      <c r="P1415" s="88"/>
    </row>
    <row r="1416" spans="1:16">
      <c r="A1416" s="94">
        <v>100342</v>
      </c>
      <c r="B1416" s="87" t="s">
        <v>1728</v>
      </c>
      <c r="C1416" s="12" t="s">
        <v>11</v>
      </c>
      <c r="D1416" s="93">
        <v>11.51</v>
      </c>
      <c r="E1416" s="93">
        <v>2.83</v>
      </c>
      <c r="F1416" s="93">
        <v>8.68</v>
      </c>
      <c r="G1416" s="93">
        <v>0</v>
      </c>
      <c r="H1416" s="93">
        <v>0</v>
      </c>
      <c r="N1416" s="88"/>
      <c r="O1416" s="88"/>
      <c r="P1416" s="88"/>
    </row>
    <row r="1417" spans="1:16">
      <c r="A1417" s="94">
        <v>100343</v>
      </c>
      <c r="B1417" s="87" t="s">
        <v>1729</v>
      </c>
      <c r="C1417" s="12" t="s">
        <v>11</v>
      </c>
      <c r="D1417" s="93">
        <v>10.67</v>
      </c>
      <c r="E1417" s="93">
        <v>1.94</v>
      </c>
      <c r="F1417" s="93">
        <v>8.73</v>
      </c>
      <c r="G1417" s="93">
        <v>0</v>
      </c>
      <c r="H1417" s="93">
        <v>0</v>
      </c>
      <c r="N1417" s="88"/>
      <c r="O1417" s="88"/>
      <c r="P1417" s="88"/>
    </row>
    <row r="1418" spans="1:16">
      <c r="A1418" s="94">
        <v>100344</v>
      </c>
      <c r="B1418" s="87" t="s">
        <v>1730</v>
      </c>
      <c r="C1418" s="12" t="s">
        <v>11</v>
      </c>
      <c r="D1418" s="93">
        <v>9.4700000000000006</v>
      </c>
      <c r="E1418" s="93">
        <v>1.37</v>
      </c>
      <c r="F1418" s="93">
        <v>8.1</v>
      </c>
      <c r="G1418" s="93">
        <v>0</v>
      </c>
      <c r="H1418" s="93">
        <v>0</v>
      </c>
      <c r="N1418" s="88"/>
      <c r="O1418" s="88"/>
      <c r="P1418" s="88"/>
    </row>
    <row r="1419" spans="1:16">
      <c r="A1419" s="94">
        <v>100345</v>
      </c>
      <c r="B1419" s="87" t="s">
        <v>1731</v>
      </c>
      <c r="C1419" s="12" t="s">
        <v>11</v>
      </c>
      <c r="D1419" s="93">
        <v>7.95</v>
      </c>
      <c r="E1419" s="93">
        <v>0.96</v>
      </c>
      <c r="F1419" s="93">
        <v>6.99</v>
      </c>
      <c r="G1419" s="93">
        <v>0</v>
      </c>
      <c r="H1419" s="93">
        <v>0</v>
      </c>
      <c r="N1419" s="88"/>
      <c r="O1419" s="88"/>
      <c r="P1419" s="88"/>
    </row>
    <row r="1420" spans="1:16">
      <c r="A1420" s="94">
        <v>100346</v>
      </c>
      <c r="B1420" s="87" t="s">
        <v>1732</v>
      </c>
      <c r="C1420" s="12" t="s">
        <v>11</v>
      </c>
      <c r="D1420" s="93">
        <v>7.49</v>
      </c>
      <c r="E1420" s="93">
        <v>0.62</v>
      </c>
      <c r="F1420" s="93">
        <v>6.87</v>
      </c>
      <c r="G1420" s="93">
        <v>0</v>
      </c>
      <c r="H1420" s="93">
        <v>0</v>
      </c>
      <c r="N1420" s="88"/>
      <c r="O1420" s="88"/>
      <c r="P1420" s="88"/>
    </row>
    <row r="1421" spans="1:16">
      <c r="A1421" s="94">
        <v>100347</v>
      </c>
      <c r="B1421" s="87" t="s">
        <v>1733</v>
      </c>
      <c r="C1421" s="12" t="s">
        <v>11</v>
      </c>
      <c r="D1421" s="93">
        <v>8.35</v>
      </c>
      <c r="E1421" s="93">
        <v>0.4</v>
      </c>
      <c r="F1421" s="93">
        <v>7.95</v>
      </c>
      <c r="G1421" s="93">
        <v>0</v>
      </c>
      <c r="H1421" s="93">
        <v>0</v>
      </c>
      <c r="N1421" s="88"/>
      <c r="O1421" s="88"/>
      <c r="P1421" s="88"/>
    </row>
    <row r="1422" spans="1:16">
      <c r="A1422" s="94">
        <v>100348</v>
      </c>
      <c r="B1422" s="87" t="s">
        <v>1734</v>
      </c>
      <c r="C1422" s="12" t="s">
        <v>11</v>
      </c>
      <c r="D1422" s="93">
        <v>8.1300000000000008</v>
      </c>
      <c r="E1422" s="93">
        <v>0.22</v>
      </c>
      <c r="F1422" s="93">
        <v>7.91</v>
      </c>
      <c r="G1422" s="93">
        <v>0</v>
      </c>
      <c r="H1422" s="93">
        <v>0</v>
      </c>
      <c r="N1422" s="88"/>
      <c r="O1422" s="88"/>
      <c r="P1422" s="88"/>
    </row>
    <row r="1423" spans="1:16">
      <c r="A1423" s="94">
        <v>100349</v>
      </c>
      <c r="B1423" s="87" t="s">
        <v>1735</v>
      </c>
      <c r="C1423" s="12" t="s">
        <v>5</v>
      </c>
      <c r="D1423" s="93">
        <v>405</v>
      </c>
      <c r="E1423" s="93">
        <v>18.559999999999999</v>
      </c>
      <c r="F1423" s="93">
        <v>386.2</v>
      </c>
      <c r="G1423" s="93">
        <v>0.12</v>
      </c>
      <c r="H1423" s="93">
        <v>0</v>
      </c>
      <c r="N1423" s="88"/>
      <c r="O1423" s="88"/>
      <c r="P1423" s="88"/>
    </row>
    <row r="1424" spans="1:16">
      <c r="A1424" s="95" t="s">
        <v>6459</v>
      </c>
      <c r="B1424" s="87" t="s">
        <v>6460</v>
      </c>
      <c r="C1424" s="12" t="s">
        <v>4</v>
      </c>
      <c r="D1424" s="93">
        <v>435.57</v>
      </c>
      <c r="E1424" s="93">
        <v>73.47</v>
      </c>
      <c r="F1424" s="93">
        <v>362.1</v>
      </c>
      <c r="G1424" s="93">
        <v>0</v>
      </c>
      <c r="H1424" s="93">
        <v>0</v>
      </c>
      <c r="N1424" s="88"/>
      <c r="O1424" s="88"/>
      <c r="P1424" s="88"/>
    </row>
    <row r="1425" spans="1:16">
      <c r="A1425" s="95" t="s">
        <v>1736</v>
      </c>
      <c r="B1425" s="87" t="s">
        <v>1737</v>
      </c>
      <c r="C1425" s="12" t="s">
        <v>4</v>
      </c>
      <c r="D1425" s="93">
        <v>668.39</v>
      </c>
      <c r="E1425" s="93">
        <v>307.39999999999998</v>
      </c>
      <c r="F1425" s="93">
        <v>360.43</v>
      </c>
      <c r="G1425" s="93">
        <v>0.16</v>
      </c>
      <c r="H1425" s="93">
        <v>0</v>
      </c>
      <c r="N1425" s="88"/>
      <c r="O1425" s="88"/>
      <c r="P1425" s="88"/>
    </row>
    <row r="1426" spans="1:16">
      <c r="A1426" s="95" t="s">
        <v>1738</v>
      </c>
      <c r="B1426" s="87" t="s">
        <v>1739</v>
      </c>
      <c r="C1426" s="12" t="s">
        <v>4</v>
      </c>
      <c r="D1426" s="93">
        <v>1091.57</v>
      </c>
      <c r="E1426" s="93">
        <v>495.91</v>
      </c>
      <c r="F1426" s="93">
        <v>594.62</v>
      </c>
      <c r="G1426" s="93">
        <v>0.34</v>
      </c>
      <c r="H1426" s="93">
        <v>0</v>
      </c>
      <c r="N1426" s="88"/>
      <c r="O1426" s="88"/>
      <c r="P1426" s="88"/>
    </row>
    <row r="1427" spans="1:16">
      <c r="A1427" s="95" t="s">
        <v>1740</v>
      </c>
      <c r="B1427" s="87" t="s">
        <v>1741</v>
      </c>
      <c r="C1427" s="12" t="s">
        <v>4</v>
      </c>
      <c r="D1427" s="93">
        <v>1631.21</v>
      </c>
      <c r="E1427" s="93">
        <v>733.92</v>
      </c>
      <c r="F1427" s="93">
        <v>895.63</v>
      </c>
      <c r="G1427" s="93">
        <v>0.56999999999999995</v>
      </c>
      <c r="H1427" s="93">
        <v>0</v>
      </c>
      <c r="N1427" s="88"/>
      <c r="O1427" s="88"/>
      <c r="P1427" s="88"/>
    </row>
    <row r="1428" spans="1:16">
      <c r="A1428" s="95" t="s">
        <v>1742</v>
      </c>
      <c r="B1428" s="87" t="s">
        <v>1743</v>
      </c>
      <c r="C1428" s="12" t="s">
        <v>4</v>
      </c>
      <c r="D1428" s="93">
        <v>2294.64</v>
      </c>
      <c r="E1428" s="93">
        <v>1023.75</v>
      </c>
      <c r="F1428" s="93">
        <v>1268.33</v>
      </c>
      <c r="G1428" s="93">
        <v>0.94</v>
      </c>
      <c r="H1428" s="93">
        <v>0</v>
      </c>
      <c r="N1428" s="88"/>
      <c r="O1428" s="88"/>
      <c r="P1428" s="88"/>
    </row>
    <row r="1429" spans="1:16">
      <c r="A1429" s="95" t="s">
        <v>6461</v>
      </c>
      <c r="B1429" s="87" t="s">
        <v>6462</v>
      </c>
      <c r="C1429" s="12" t="s">
        <v>4</v>
      </c>
      <c r="D1429" s="93">
        <v>3087.71</v>
      </c>
      <c r="E1429" s="93">
        <v>1367.55</v>
      </c>
      <c r="F1429" s="93">
        <v>1716.5</v>
      </c>
      <c r="G1429" s="93">
        <v>1.39</v>
      </c>
      <c r="H1429" s="93">
        <v>0</v>
      </c>
      <c r="N1429" s="88"/>
      <c r="O1429" s="88"/>
      <c r="P1429" s="88"/>
    </row>
    <row r="1430" spans="1:16">
      <c r="A1430" s="95" t="s">
        <v>6463</v>
      </c>
      <c r="B1430" s="87" t="s">
        <v>6464</v>
      </c>
      <c r="C1430" s="12" t="s">
        <v>4</v>
      </c>
      <c r="D1430" s="93">
        <v>940.84</v>
      </c>
      <c r="E1430" s="93">
        <v>430</v>
      </c>
      <c r="F1430" s="93">
        <v>509.99</v>
      </c>
      <c r="G1430" s="93">
        <v>0.27</v>
      </c>
      <c r="H1430" s="93">
        <v>0</v>
      </c>
      <c r="N1430" s="88"/>
      <c r="O1430" s="88"/>
      <c r="P1430" s="88"/>
    </row>
    <row r="1431" spans="1:16">
      <c r="A1431" s="95" t="s">
        <v>6465</v>
      </c>
      <c r="B1431" s="87" t="s">
        <v>6466</v>
      </c>
      <c r="C1431" s="12" t="s">
        <v>4</v>
      </c>
      <c r="D1431" s="93">
        <v>1545.81</v>
      </c>
      <c r="E1431" s="93">
        <v>698.65</v>
      </c>
      <c r="F1431" s="93">
        <v>845.58</v>
      </c>
      <c r="G1431" s="93">
        <v>0.56000000000000005</v>
      </c>
      <c r="H1431" s="93">
        <v>0</v>
      </c>
      <c r="N1431" s="88"/>
      <c r="O1431" s="88"/>
      <c r="P1431" s="88"/>
    </row>
    <row r="1432" spans="1:16">
      <c r="A1432" s="95" t="s">
        <v>6467</v>
      </c>
      <c r="B1432" s="87" t="s">
        <v>6468</v>
      </c>
      <c r="C1432" s="12" t="s">
        <v>4</v>
      </c>
      <c r="D1432" s="93">
        <v>2314.59</v>
      </c>
      <c r="E1432" s="93">
        <v>1036.9000000000001</v>
      </c>
      <c r="F1432" s="93">
        <v>1275.1300000000001</v>
      </c>
      <c r="G1432" s="93">
        <v>0.94</v>
      </c>
      <c r="H1432" s="93">
        <v>0</v>
      </c>
      <c r="N1432" s="88"/>
      <c r="O1432" s="88"/>
      <c r="P1432" s="88"/>
    </row>
    <row r="1433" spans="1:16">
      <c r="A1433" s="95" t="s">
        <v>6469</v>
      </c>
      <c r="B1433" s="87" t="s">
        <v>6470</v>
      </c>
      <c r="C1433" s="12" t="s">
        <v>4</v>
      </c>
      <c r="D1433" s="93">
        <v>2907.97</v>
      </c>
      <c r="E1433" s="93">
        <v>1297.74</v>
      </c>
      <c r="F1433" s="93">
        <v>1606.44</v>
      </c>
      <c r="G1433" s="93">
        <v>1.43</v>
      </c>
      <c r="H1433" s="93">
        <v>0</v>
      </c>
      <c r="N1433" s="88"/>
      <c r="O1433" s="88"/>
      <c r="P1433" s="88"/>
    </row>
    <row r="1434" spans="1:16">
      <c r="A1434" s="95" t="s">
        <v>6471</v>
      </c>
      <c r="B1434" s="87" t="s">
        <v>6472</v>
      </c>
      <c r="C1434" s="12" t="s">
        <v>4</v>
      </c>
      <c r="D1434" s="93">
        <v>4375.91</v>
      </c>
      <c r="E1434" s="93">
        <v>1933.67</v>
      </c>
      <c r="F1434" s="93">
        <v>2436.89</v>
      </c>
      <c r="G1434" s="93">
        <v>2.0699999999999998</v>
      </c>
      <c r="H1434" s="93">
        <v>0</v>
      </c>
      <c r="N1434" s="88"/>
      <c r="O1434" s="88"/>
      <c r="P1434" s="88"/>
    </row>
    <row r="1435" spans="1:16">
      <c r="A1435" s="95" t="s">
        <v>6473</v>
      </c>
      <c r="B1435" s="87" t="s">
        <v>6474</v>
      </c>
      <c r="C1435" s="12" t="s">
        <v>4</v>
      </c>
      <c r="D1435" s="93">
        <v>1212.81</v>
      </c>
      <c r="E1435" s="93">
        <v>552.35</v>
      </c>
      <c r="F1435" s="93">
        <v>659.27</v>
      </c>
      <c r="G1435" s="93">
        <v>0.41</v>
      </c>
      <c r="H1435" s="93">
        <v>0</v>
      </c>
      <c r="N1435" s="88"/>
      <c r="O1435" s="88"/>
      <c r="P1435" s="88"/>
    </row>
    <row r="1436" spans="1:16">
      <c r="A1436" s="95" t="s">
        <v>6475</v>
      </c>
      <c r="B1436" s="87" t="s">
        <v>6476</v>
      </c>
      <c r="C1436" s="12" t="s">
        <v>4</v>
      </c>
      <c r="D1436" s="93">
        <v>1999.51</v>
      </c>
      <c r="E1436" s="93">
        <v>901.06</v>
      </c>
      <c r="F1436" s="93">
        <v>1096.3399999999999</v>
      </c>
      <c r="G1436" s="93">
        <v>0.75</v>
      </c>
      <c r="H1436" s="93">
        <v>0</v>
      </c>
      <c r="N1436" s="88"/>
      <c r="O1436" s="88"/>
      <c r="P1436" s="88"/>
    </row>
    <row r="1437" spans="1:16">
      <c r="A1437" s="95" t="s">
        <v>6477</v>
      </c>
      <c r="B1437" s="87" t="s">
        <v>6478</v>
      </c>
      <c r="C1437" s="12" t="s">
        <v>4</v>
      </c>
      <c r="D1437" s="93">
        <v>2997.57</v>
      </c>
      <c r="E1437" s="93">
        <v>1339.75</v>
      </c>
      <c r="F1437" s="93">
        <v>1654.41</v>
      </c>
      <c r="G1437" s="93">
        <v>1.28</v>
      </c>
      <c r="H1437" s="93">
        <v>0</v>
      </c>
      <c r="N1437" s="88"/>
      <c r="O1437" s="88"/>
      <c r="P1437" s="88"/>
    </row>
    <row r="1438" spans="1:16">
      <c r="A1438" s="95" t="s">
        <v>6479</v>
      </c>
      <c r="B1438" s="87" t="s">
        <v>6480</v>
      </c>
      <c r="C1438" s="12" t="s">
        <v>4</v>
      </c>
      <c r="D1438" s="93">
        <v>4216.17</v>
      </c>
      <c r="E1438" s="93">
        <v>1871.7</v>
      </c>
      <c r="F1438" s="93">
        <v>2339.44</v>
      </c>
      <c r="G1438" s="93">
        <v>1.93</v>
      </c>
      <c r="H1438" s="93">
        <v>0</v>
      </c>
      <c r="N1438" s="88"/>
      <c r="O1438" s="88"/>
      <c r="P1438" s="88"/>
    </row>
    <row r="1439" spans="1:16">
      <c r="A1439" s="95" t="s">
        <v>6481</v>
      </c>
      <c r="B1439" s="87" t="s">
        <v>6482</v>
      </c>
      <c r="C1439" s="12" t="s">
        <v>4</v>
      </c>
      <c r="D1439" s="93">
        <v>5664.2</v>
      </c>
      <c r="E1439" s="93">
        <v>2499.8000000000002</v>
      </c>
      <c r="F1439" s="93">
        <v>3157.36</v>
      </c>
      <c r="G1439" s="93">
        <v>2.75</v>
      </c>
      <c r="H1439" s="93">
        <v>0</v>
      </c>
      <c r="N1439" s="88"/>
      <c r="O1439" s="88"/>
      <c r="P1439" s="88"/>
    </row>
    <row r="1440" spans="1:16">
      <c r="A1440" s="95" t="s">
        <v>6483</v>
      </c>
      <c r="B1440" s="87" t="s">
        <v>6484</v>
      </c>
      <c r="C1440" s="12" t="s">
        <v>4</v>
      </c>
      <c r="D1440" s="93">
        <v>1538.27</v>
      </c>
      <c r="E1440" s="93">
        <v>493.64</v>
      </c>
      <c r="F1440" s="93">
        <v>922.96</v>
      </c>
      <c r="G1440" s="93">
        <v>118.97</v>
      </c>
      <c r="H1440" s="93">
        <v>0</v>
      </c>
      <c r="N1440" s="88"/>
      <c r="O1440" s="88"/>
      <c r="P1440" s="88"/>
    </row>
    <row r="1441" spans="1:16">
      <c r="A1441" s="94">
        <v>83659</v>
      </c>
      <c r="B1441" s="87" t="s">
        <v>6485</v>
      </c>
      <c r="C1441" s="12" t="s">
        <v>4</v>
      </c>
      <c r="D1441" s="93">
        <v>875.43</v>
      </c>
      <c r="E1441" s="93">
        <v>374.69</v>
      </c>
      <c r="F1441" s="93">
        <v>500.74</v>
      </c>
      <c r="G1441" s="93">
        <v>0</v>
      </c>
      <c r="H1441" s="93">
        <v>0</v>
      </c>
      <c r="N1441" s="88"/>
      <c r="O1441" s="88"/>
      <c r="P1441" s="88"/>
    </row>
    <row r="1442" spans="1:16">
      <c r="A1442" s="94">
        <v>83716</v>
      </c>
      <c r="B1442" s="87" t="s">
        <v>1744</v>
      </c>
      <c r="C1442" s="12" t="s">
        <v>4</v>
      </c>
      <c r="D1442" s="93">
        <v>434.8</v>
      </c>
      <c r="E1442" s="93">
        <v>72.930000000000007</v>
      </c>
      <c r="F1442" s="93">
        <v>361.87</v>
      </c>
      <c r="G1442" s="93">
        <v>0</v>
      </c>
      <c r="H1442" s="93">
        <v>0</v>
      </c>
      <c r="N1442" s="88"/>
      <c r="O1442" s="88"/>
      <c r="P1442" s="88"/>
    </row>
    <row r="1443" spans="1:16">
      <c r="A1443" s="94">
        <v>97933</v>
      </c>
      <c r="B1443" s="87" t="s">
        <v>6486</v>
      </c>
      <c r="C1443" s="12" t="s">
        <v>4</v>
      </c>
      <c r="D1443" s="93">
        <v>501.55</v>
      </c>
      <c r="E1443" s="93">
        <v>34.15</v>
      </c>
      <c r="F1443" s="93">
        <v>453.01</v>
      </c>
      <c r="G1443" s="93">
        <v>14.39</v>
      </c>
      <c r="H1443" s="93">
        <v>0</v>
      </c>
      <c r="N1443" s="88"/>
      <c r="O1443" s="88"/>
      <c r="P1443" s="88"/>
    </row>
    <row r="1444" spans="1:16">
      <c r="A1444" s="94">
        <v>97947</v>
      </c>
      <c r="B1444" s="87" t="s">
        <v>6487</v>
      </c>
      <c r="C1444" s="12" t="s">
        <v>4</v>
      </c>
      <c r="D1444" s="93">
        <v>1450.48</v>
      </c>
      <c r="E1444" s="93">
        <v>445.3</v>
      </c>
      <c r="F1444" s="93">
        <v>1001.8</v>
      </c>
      <c r="G1444" s="93">
        <v>2.73</v>
      </c>
      <c r="H1444" s="93">
        <v>0</v>
      </c>
      <c r="N1444" s="88"/>
      <c r="O1444" s="88"/>
      <c r="P1444" s="88"/>
    </row>
    <row r="1445" spans="1:16">
      <c r="A1445" s="94">
        <v>97948</v>
      </c>
      <c r="B1445" s="87" t="s">
        <v>6488</v>
      </c>
      <c r="C1445" s="12" t="s">
        <v>4</v>
      </c>
      <c r="D1445" s="93">
        <v>2604.98</v>
      </c>
      <c r="E1445" s="93">
        <v>809.7</v>
      </c>
      <c r="F1445" s="93">
        <v>1786.55</v>
      </c>
      <c r="G1445" s="93">
        <v>7.3</v>
      </c>
      <c r="H1445" s="93">
        <v>0</v>
      </c>
      <c r="N1445" s="88"/>
      <c r="O1445" s="88"/>
      <c r="P1445" s="88"/>
    </row>
    <row r="1446" spans="1:16">
      <c r="A1446" s="94">
        <v>97953</v>
      </c>
      <c r="B1446" s="87" t="s">
        <v>6489</v>
      </c>
      <c r="C1446" s="12" t="s">
        <v>4</v>
      </c>
      <c r="D1446" s="93">
        <v>920.31</v>
      </c>
      <c r="E1446" s="93">
        <v>294.83</v>
      </c>
      <c r="F1446" s="93">
        <v>622.64</v>
      </c>
      <c r="G1446" s="93">
        <v>2.4500000000000002</v>
      </c>
      <c r="H1446" s="93">
        <v>0</v>
      </c>
      <c r="N1446" s="88"/>
      <c r="O1446" s="88"/>
      <c r="P1446" s="88"/>
    </row>
    <row r="1447" spans="1:16">
      <c r="A1447" s="94">
        <v>97955</v>
      </c>
      <c r="B1447" s="87" t="s">
        <v>6490</v>
      </c>
      <c r="C1447" s="12" t="s">
        <v>4</v>
      </c>
      <c r="D1447" s="93">
        <v>2030.24</v>
      </c>
      <c r="E1447" s="93">
        <v>619.57000000000005</v>
      </c>
      <c r="F1447" s="93">
        <v>1401.79</v>
      </c>
      <c r="G1447" s="93">
        <v>7.41</v>
      </c>
      <c r="H1447" s="93">
        <v>0</v>
      </c>
      <c r="N1447" s="88"/>
      <c r="O1447" s="88"/>
      <c r="P1447" s="88"/>
    </row>
    <row r="1448" spans="1:16">
      <c r="A1448" s="94">
        <v>97974</v>
      </c>
      <c r="B1448" s="87" t="s">
        <v>6491</v>
      </c>
      <c r="C1448" s="12" t="s">
        <v>4</v>
      </c>
      <c r="D1448" s="93">
        <v>338.19</v>
      </c>
      <c r="E1448" s="93">
        <v>78.84</v>
      </c>
      <c r="F1448" s="93">
        <v>250.08</v>
      </c>
      <c r="G1448" s="93">
        <v>9</v>
      </c>
      <c r="H1448" s="93">
        <v>0</v>
      </c>
      <c r="N1448" s="88"/>
      <c r="O1448" s="88"/>
      <c r="P1448" s="88"/>
    </row>
    <row r="1449" spans="1:16">
      <c r="A1449" s="94">
        <v>97975</v>
      </c>
      <c r="B1449" s="87" t="s">
        <v>6492</v>
      </c>
      <c r="C1449" s="12" t="s">
        <v>4</v>
      </c>
      <c r="D1449" s="93">
        <v>425.16</v>
      </c>
      <c r="E1449" s="93">
        <v>93.97</v>
      </c>
      <c r="F1449" s="93">
        <v>317.83999999999997</v>
      </c>
      <c r="G1449" s="93">
        <v>13.06</v>
      </c>
      <c r="H1449" s="93">
        <v>0</v>
      </c>
      <c r="N1449" s="88"/>
      <c r="O1449" s="88"/>
      <c r="P1449" s="88"/>
    </row>
    <row r="1450" spans="1:16">
      <c r="A1450" s="94">
        <v>97976</v>
      </c>
      <c r="B1450" s="87" t="s">
        <v>6493</v>
      </c>
      <c r="C1450" s="12" t="s">
        <v>4</v>
      </c>
      <c r="D1450" s="93">
        <v>984.21</v>
      </c>
      <c r="E1450" s="93">
        <v>370.49</v>
      </c>
      <c r="F1450" s="93">
        <v>608.26</v>
      </c>
      <c r="G1450" s="93">
        <v>4.62</v>
      </c>
      <c r="H1450" s="93">
        <v>0</v>
      </c>
      <c r="N1450" s="88"/>
      <c r="O1450" s="88"/>
      <c r="P1450" s="88"/>
    </row>
    <row r="1451" spans="1:16">
      <c r="A1451" s="94">
        <v>97977</v>
      </c>
      <c r="B1451" s="87" t="s">
        <v>6494</v>
      </c>
      <c r="C1451" s="12" t="s">
        <v>4</v>
      </c>
      <c r="D1451" s="93">
        <v>1443.82</v>
      </c>
      <c r="E1451" s="93">
        <v>552.67999999999995</v>
      </c>
      <c r="F1451" s="93">
        <v>885.25</v>
      </c>
      <c r="G1451" s="93">
        <v>4.8499999999999996</v>
      </c>
      <c r="H1451" s="93">
        <v>0</v>
      </c>
      <c r="N1451" s="88"/>
      <c r="O1451" s="88"/>
      <c r="P1451" s="88"/>
    </row>
    <row r="1452" spans="1:16">
      <c r="A1452" s="94">
        <v>97978</v>
      </c>
      <c r="B1452" s="87" t="s">
        <v>6495</v>
      </c>
      <c r="C1452" s="12" t="s">
        <v>4</v>
      </c>
      <c r="D1452" s="93">
        <v>671.18</v>
      </c>
      <c r="E1452" s="93">
        <v>202.23</v>
      </c>
      <c r="F1452" s="93">
        <v>442.07</v>
      </c>
      <c r="G1452" s="93">
        <v>26.08</v>
      </c>
      <c r="H1452" s="93">
        <v>0</v>
      </c>
      <c r="N1452" s="88"/>
      <c r="O1452" s="88"/>
      <c r="P1452" s="88"/>
    </row>
    <row r="1453" spans="1:16">
      <c r="A1453" s="94">
        <v>97980</v>
      </c>
      <c r="B1453" s="87" t="s">
        <v>6496</v>
      </c>
      <c r="C1453" s="12" t="s">
        <v>4</v>
      </c>
      <c r="D1453" s="93">
        <v>1836.55</v>
      </c>
      <c r="E1453" s="93">
        <v>692.6</v>
      </c>
      <c r="F1453" s="93">
        <v>1131.01</v>
      </c>
      <c r="G1453" s="93">
        <v>11.35</v>
      </c>
      <c r="H1453" s="93">
        <v>0</v>
      </c>
      <c r="N1453" s="88"/>
      <c r="O1453" s="88"/>
      <c r="P1453" s="88"/>
    </row>
    <row r="1454" spans="1:16">
      <c r="A1454" s="94">
        <v>97981</v>
      </c>
      <c r="B1454" s="87" t="s">
        <v>6497</v>
      </c>
      <c r="C1454" s="12" t="s">
        <v>6</v>
      </c>
      <c r="D1454" s="93">
        <v>1122.1099999999999</v>
      </c>
      <c r="E1454" s="93">
        <v>453.08</v>
      </c>
      <c r="F1454" s="93">
        <v>668.04</v>
      </c>
      <c r="G1454" s="93">
        <v>0.54</v>
      </c>
      <c r="H1454" s="93">
        <v>0</v>
      </c>
      <c r="N1454" s="88"/>
      <c r="O1454" s="88"/>
      <c r="P1454" s="88"/>
    </row>
    <row r="1455" spans="1:16">
      <c r="A1455" s="94">
        <v>97983</v>
      </c>
      <c r="B1455" s="87" t="s">
        <v>6498</v>
      </c>
      <c r="C1455" s="12" t="s">
        <v>6</v>
      </c>
      <c r="D1455" s="93">
        <v>306.51</v>
      </c>
      <c r="E1455" s="93">
        <v>52.19</v>
      </c>
      <c r="F1455" s="93">
        <v>240.15</v>
      </c>
      <c r="G1455" s="93">
        <v>14.11</v>
      </c>
      <c r="H1455" s="93">
        <v>0</v>
      </c>
      <c r="N1455" s="88"/>
      <c r="O1455" s="88"/>
      <c r="P1455" s="88"/>
    </row>
    <row r="1456" spans="1:16">
      <c r="A1456" s="94">
        <v>97985</v>
      </c>
      <c r="B1456" s="87" t="s">
        <v>6499</v>
      </c>
      <c r="C1456" s="12" t="s">
        <v>6</v>
      </c>
      <c r="D1456" s="93">
        <v>1358.97</v>
      </c>
      <c r="E1456" s="93">
        <v>553.41</v>
      </c>
      <c r="F1456" s="93">
        <v>804.44</v>
      </c>
      <c r="G1456" s="93">
        <v>0.6</v>
      </c>
      <c r="H1456" s="93">
        <v>0</v>
      </c>
      <c r="N1456" s="88"/>
      <c r="O1456" s="88"/>
      <c r="P1456" s="88"/>
    </row>
    <row r="1457" spans="1:16">
      <c r="A1457" s="94">
        <v>97986</v>
      </c>
      <c r="B1457" s="87" t="s">
        <v>6500</v>
      </c>
      <c r="C1457" s="12" t="s">
        <v>4</v>
      </c>
      <c r="D1457" s="93">
        <v>1184.71</v>
      </c>
      <c r="E1457" s="93">
        <v>295.58999999999997</v>
      </c>
      <c r="F1457" s="93">
        <v>849.54</v>
      </c>
      <c r="G1457" s="93">
        <v>38.51</v>
      </c>
      <c r="H1457" s="93">
        <v>0</v>
      </c>
      <c r="N1457" s="88"/>
      <c r="O1457" s="88"/>
      <c r="P1457" s="88"/>
    </row>
    <row r="1458" spans="1:16">
      <c r="A1458" s="94">
        <v>97987</v>
      </c>
      <c r="B1458" s="87" t="s">
        <v>6501</v>
      </c>
      <c r="C1458" s="12" t="s">
        <v>6</v>
      </c>
      <c r="D1458" s="93">
        <v>397.84</v>
      </c>
      <c r="E1458" s="93">
        <v>61.84</v>
      </c>
      <c r="F1458" s="93">
        <v>319.52</v>
      </c>
      <c r="G1458" s="93">
        <v>16.41</v>
      </c>
      <c r="H1458" s="93">
        <v>0</v>
      </c>
      <c r="N1458" s="88"/>
      <c r="O1458" s="88"/>
      <c r="P1458" s="88"/>
    </row>
    <row r="1459" spans="1:16">
      <c r="A1459" s="94">
        <v>97988</v>
      </c>
      <c r="B1459" s="87" t="s">
        <v>6502</v>
      </c>
      <c r="C1459" s="12" t="s">
        <v>4</v>
      </c>
      <c r="D1459" s="93">
        <v>2662</v>
      </c>
      <c r="E1459" s="93">
        <v>976.17</v>
      </c>
      <c r="F1459" s="93">
        <v>1666.6</v>
      </c>
      <c r="G1459" s="93">
        <v>16.78</v>
      </c>
      <c r="H1459" s="93">
        <v>0</v>
      </c>
      <c r="N1459" s="88"/>
      <c r="O1459" s="88"/>
      <c r="P1459" s="88"/>
    </row>
    <row r="1460" spans="1:16">
      <c r="A1460" s="94">
        <v>97989</v>
      </c>
      <c r="B1460" s="87" t="s">
        <v>6503</v>
      </c>
      <c r="C1460" s="12" t="s">
        <v>6</v>
      </c>
      <c r="D1460" s="93">
        <v>1595.9</v>
      </c>
      <c r="E1460" s="93">
        <v>653.66999999999996</v>
      </c>
      <c r="F1460" s="93">
        <v>940.95</v>
      </c>
      <c r="G1460" s="93">
        <v>0.7</v>
      </c>
      <c r="H1460" s="93">
        <v>0</v>
      </c>
      <c r="N1460" s="88"/>
      <c r="O1460" s="88"/>
      <c r="P1460" s="88"/>
    </row>
    <row r="1461" spans="1:16">
      <c r="A1461" s="94">
        <v>97990</v>
      </c>
      <c r="B1461" s="87" t="s">
        <v>6504</v>
      </c>
      <c r="C1461" s="12" t="s">
        <v>4</v>
      </c>
      <c r="D1461" s="93">
        <v>1822.43</v>
      </c>
      <c r="E1461" s="93">
        <v>431.4</v>
      </c>
      <c r="F1461" s="93">
        <v>1288.28</v>
      </c>
      <c r="G1461" s="93">
        <v>101.12</v>
      </c>
      <c r="H1461" s="93">
        <v>0</v>
      </c>
      <c r="N1461" s="88"/>
      <c r="O1461" s="88"/>
      <c r="P1461" s="88"/>
    </row>
    <row r="1462" spans="1:16">
      <c r="A1462" s="94">
        <v>97991</v>
      </c>
      <c r="B1462" s="87" t="s">
        <v>6505</v>
      </c>
      <c r="C1462" s="12" t="s">
        <v>6</v>
      </c>
      <c r="D1462" s="93">
        <v>564.36</v>
      </c>
      <c r="E1462" s="93">
        <v>79.12</v>
      </c>
      <c r="F1462" s="93">
        <v>443.87</v>
      </c>
      <c r="G1462" s="93">
        <v>41.27</v>
      </c>
      <c r="H1462" s="93">
        <v>0</v>
      </c>
      <c r="N1462" s="88"/>
      <c r="O1462" s="88"/>
      <c r="P1462" s="88"/>
    </row>
    <row r="1463" spans="1:16">
      <c r="A1463" s="94">
        <v>97992</v>
      </c>
      <c r="B1463" s="87" t="s">
        <v>6506</v>
      </c>
      <c r="C1463" s="12" t="s">
        <v>4</v>
      </c>
      <c r="D1463" s="93">
        <v>3385.72</v>
      </c>
      <c r="E1463" s="93">
        <v>1210.33</v>
      </c>
      <c r="F1463" s="93">
        <v>2150.35</v>
      </c>
      <c r="G1463" s="93">
        <v>21.77</v>
      </c>
      <c r="H1463" s="93">
        <v>0</v>
      </c>
      <c r="N1463" s="88"/>
      <c r="O1463" s="88"/>
      <c r="P1463" s="88"/>
    </row>
    <row r="1464" spans="1:16">
      <c r="A1464" s="94">
        <v>97993</v>
      </c>
      <c r="B1464" s="87" t="s">
        <v>6507</v>
      </c>
      <c r="C1464" s="12" t="s">
        <v>6</v>
      </c>
      <c r="D1464" s="93">
        <v>1951.24</v>
      </c>
      <c r="E1464" s="93">
        <v>804.1</v>
      </c>
      <c r="F1464" s="93">
        <v>1145.6400000000001</v>
      </c>
      <c r="G1464" s="93">
        <v>0.82</v>
      </c>
      <c r="H1464" s="93">
        <v>0</v>
      </c>
      <c r="N1464" s="88"/>
      <c r="O1464" s="88"/>
      <c r="P1464" s="88"/>
    </row>
    <row r="1465" spans="1:16">
      <c r="A1465" s="94">
        <v>97994</v>
      </c>
      <c r="B1465" s="87" t="s">
        <v>6508</v>
      </c>
      <c r="C1465" s="12" t="s">
        <v>4</v>
      </c>
      <c r="D1465" s="93">
        <v>2183.88</v>
      </c>
      <c r="E1465" s="93">
        <v>836.21</v>
      </c>
      <c r="F1465" s="93">
        <v>1329.03</v>
      </c>
      <c r="G1465" s="93">
        <v>16.579999999999998</v>
      </c>
      <c r="H1465" s="93">
        <v>0</v>
      </c>
      <c r="N1465" s="88"/>
      <c r="O1465" s="88"/>
      <c r="P1465" s="88"/>
    </row>
    <row r="1466" spans="1:16">
      <c r="A1466" s="94">
        <v>97995</v>
      </c>
      <c r="B1466" s="87" t="s">
        <v>6509</v>
      </c>
      <c r="C1466" s="12" t="s">
        <v>6</v>
      </c>
      <c r="D1466" s="93">
        <v>1079.08</v>
      </c>
      <c r="E1466" s="93">
        <v>482.28</v>
      </c>
      <c r="F1466" s="93">
        <v>595.99</v>
      </c>
      <c r="G1466" s="93">
        <v>0.43</v>
      </c>
      <c r="H1466" s="93">
        <v>0</v>
      </c>
      <c r="N1466" s="88"/>
      <c r="O1466" s="88"/>
      <c r="P1466" s="88"/>
    </row>
    <row r="1467" spans="1:16">
      <c r="A1467" s="94">
        <v>97996</v>
      </c>
      <c r="B1467" s="87" t="s">
        <v>6510</v>
      </c>
      <c r="C1467" s="12" t="s">
        <v>4</v>
      </c>
      <c r="D1467" s="93">
        <v>2760.53</v>
      </c>
      <c r="E1467" s="93">
        <v>1048.33</v>
      </c>
      <c r="F1467" s="93">
        <v>1688.72</v>
      </c>
      <c r="G1467" s="93">
        <v>20.83</v>
      </c>
      <c r="H1467" s="93">
        <v>0</v>
      </c>
      <c r="N1467" s="88"/>
      <c r="O1467" s="88"/>
      <c r="P1467" s="88"/>
    </row>
    <row r="1468" spans="1:16">
      <c r="A1468" s="94">
        <v>97997</v>
      </c>
      <c r="B1468" s="87" t="s">
        <v>6511</v>
      </c>
      <c r="C1468" s="12" t="s">
        <v>6</v>
      </c>
      <c r="D1468" s="93">
        <v>1291.3900000000001</v>
      </c>
      <c r="E1468" s="93">
        <v>578.74</v>
      </c>
      <c r="F1468" s="93">
        <v>711.67</v>
      </c>
      <c r="G1468" s="93">
        <v>0.53</v>
      </c>
      <c r="H1468" s="93">
        <v>0</v>
      </c>
      <c r="N1468" s="88"/>
      <c r="O1468" s="88"/>
      <c r="P1468" s="88"/>
    </row>
    <row r="1469" spans="1:16">
      <c r="A1469" s="94">
        <v>97999</v>
      </c>
      <c r="B1469" s="87" t="s">
        <v>6512</v>
      </c>
      <c r="C1469" s="12" t="s">
        <v>6</v>
      </c>
      <c r="D1469" s="93">
        <v>1503.71</v>
      </c>
      <c r="E1469" s="93">
        <v>675.17</v>
      </c>
      <c r="F1469" s="93">
        <v>827.41</v>
      </c>
      <c r="G1469" s="93">
        <v>0.61</v>
      </c>
      <c r="H1469" s="93">
        <v>0</v>
      </c>
      <c r="N1469" s="88"/>
      <c r="O1469" s="88"/>
      <c r="P1469" s="88"/>
    </row>
    <row r="1470" spans="1:16">
      <c r="A1470" s="94">
        <v>98001</v>
      </c>
      <c r="B1470" s="87" t="s">
        <v>6513</v>
      </c>
      <c r="C1470" s="12" t="s">
        <v>6</v>
      </c>
      <c r="D1470" s="93">
        <v>1716.02</v>
      </c>
      <c r="E1470" s="93">
        <v>771.6</v>
      </c>
      <c r="F1470" s="93">
        <v>943.13</v>
      </c>
      <c r="G1470" s="93">
        <v>0.69</v>
      </c>
      <c r="H1470" s="93">
        <v>0</v>
      </c>
      <c r="N1470" s="88"/>
      <c r="O1470" s="88"/>
      <c r="P1470" s="88"/>
    </row>
    <row r="1471" spans="1:16">
      <c r="A1471" s="94">
        <v>98002</v>
      </c>
      <c r="B1471" s="87" t="s">
        <v>6514</v>
      </c>
      <c r="C1471" s="12" t="s">
        <v>4</v>
      </c>
      <c r="D1471" s="93">
        <v>4512.7700000000004</v>
      </c>
      <c r="E1471" s="93">
        <v>1684.53</v>
      </c>
      <c r="F1471" s="93">
        <v>2772.18</v>
      </c>
      <c r="G1471" s="93">
        <v>51.64</v>
      </c>
      <c r="H1471" s="93">
        <v>0</v>
      </c>
      <c r="N1471" s="88"/>
      <c r="O1471" s="88"/>
      <c r="P1471" s="88"/>
    </row>
    <row r="1472" spans="1:16">
      <c r="A1472" s="94">
        <v>98003</v>
      </c>
      <c r="B1472" s="87" t="s">
        <v>6515</v>
      </c>
      <c r="C1472" s="12" t="s">
        <v>6</v>
      </c>
      <c r="D1472" s="93">
        <v>1928.39</v>
      </c>
      <c r="E1472" s="93">
        <v>868.04</v>
      </c>
      <c r="F1472" s="93">
        <v>1058.9000000000001</v>
      </c>
      <c r="G1472" s="93">
        <v>0.78</v>
      </c>
      <c r="H1472" s="93">
        <v>0</v>
      </c>
      <c r="N1472" s="88"/>
      <c r="O1472" s="88"/>
      <c r="P1472" s="88"/>
    </row>
    <row r="1473" spans="1:16">
      <c r="A1473" s="94">
        <v>98005</v>
      </c>
      <c r="B1473" s="87" t="s">
        <v>6516</v>
      </c>
      <c r="C1473" s="12" t="s">
        <v>6</v>
      </c>
      <c r="D1473" s="93">
        <v>2140.71</v>
      </c>
      <c r="E1473" s="93">
        <v>964.47</v>
      </c>
      <c r="F1473" s="93">
        <v>1174.6300000000001</v>
      </c>
      <c r="G1473" s="93">
        <v>0.87</v>
      </c>
      <c r="H1473" s="93">
        <v>0</v>
      </c>
      <c r="N1473" s="88"/>
      <c r="O1473" s="88"/>
      <c r="P1473" s="88"/>
    </row>
    <row r="1474" spans="1:16">
      <c r="A1474" s="94">
        <v>98006</v>
      </c>
      <c r="B1474" s="87" t="s">
        <v>6517</v>
      </c>
      <c r="C1474" s="12" t="s">
        <v>4</v>
      </c>
      <c r="D1474" s="93">
        <v>5671.63</v>
      </c>
      <c r="E1474" s="93">
        <v>2108.69</v>
      </c>
      <c r="F1474" s="93">
        <v>3492.61</v>
      </c>
      <c r="G1474" s="93">
        <v>64.709999999999994</v>
      </c>
      <c r="H1474" s="93">
        <v>0</v>
      </c>
      <c r="N1474" s="88"/>
      <c r="O1474" s="88"/>
      <c r="P1474" s="88"/>
    </row>
    <row r="1475" spans="1:16">
      <c r="A1475" s="94">
        <v>98007</v>
      </c>
      <c r="B1475" s="87" t="s">
        <v>6518</v>
      </c>
      <c r="C1475" s="12" t="s">
        <v>6</v>
      </c>
      <c r="D1475" s="93">
        <v>2353.02</v>
      </c>
      <c r="E1475" s="93">
        <v>1060.95</v>
      </c>
      <c r="F1475" s="93">
        <v>1290.3</v>
      </c>
      <c r="G1475" s="93">
        <v>0.96</v>
      </c>
      <c r="H1475" s="93">
        <v>0</v>
      </c>
      <c r="N1475" s="88"/>
      <c r="O1475" s="88"/>
      <c r="P1475" s="88"/>
    </row>
    <row r="1476" spans="1:16">
      <c r="A1476" s="94">
        <v>98008</v>
      </c>
      <c r="B1476" s="87" t="s">
        <v>6519</v>
      </c>
      <c r="C1476" s="12" t="s">
        <v>4</v>
      </c>
      <c r="D1476" s="93">
        <v>3422.95</v>
      </c>
      <c r="E1476" s="93">
        <v>1265.8599999999999</v>
      </c>
      <c r="F1476" s="93">
        <v>2127.3200000000002</v>
      </c>
      <c r="G1476" s="93">
        <v>26.36</v>
      </c>
      <c r="H1476" s="93">
        <v>0</v>
      </c>
      <c r="N1476" s="88"/>
      <c r="O1476" s="88"/>
      <c r="P1476" s="88"/>
    </row>
    <row r="1477" spans="1:16">
      <c r="A1477" s="94">
        <v>98009</v>
      </c>
      <c r="B1477" s="87" t="s">
        <v>6520</v>
      </c>
      <c r="C1477" s="12" t="s">
        <v>6</v>
      </c>
      <c r="D1477" s="93">
        <v>1503.71</v>
      </c>
      <c r="E1477" s="93">
        <v>675.17</v>
      </c>
      <c r="F1477" s="93">
        <v>827.41</v>
      </c>
      <c r="G1477" s="93">
        <v>0.61</v>
      </c>
      <c r="H1477" s="93">
        <v>0</v>
      </c>
      <c r="N1477" s="88"/>
      <c r="O1477" s="88"/>
      <c r="P1477" s="88"/>
    </row>
    <row r="1478" spans="1:16">
      <c r="A1478" s="94">
        <v>98010</v>
      </c>
      <c r="B1478" s="87" t="s">
        <v>6521</v>
      </c>
      <c r="C1478" s="12" t="s">
        <v>4</v>
      </c>
      <c r="D1478" s="93">
        <v>4165.8</v>
      </c>
      <c r="E1478" s="93">
        <v>1517.61</v>
      </c>
      <c r="F1478" s="93">
        <v>2594.61</v>
      </c>
      <c r="G1478" s="93">
        <v>49.39</v>
      </c>
      <c r="H1478" s="93">
        <v>0</v>
      </c>
      <c r="N1478" s="88"/>
      <c r="O1478" s="88"/>
      <c r="P1478" s="88"/>
    </row>
    <row r="1479" spans="1:16">
      <c r="A1479" s="94">
        <v>98011</v>
      </c>
      <c r="B1479" s="87" t="s">
        <v>6522</v>
      </c>
      <c r="C1479" s="12" t="s">
        <v>6</v>
      </c>
      <c r="D1479" s="93">
        <v>1716.02</v>
      </c>
      <c r="E1479" s="93">
        <v>771.6</v>
      </c>
      <c r="F1479" s="93">
        <v>943.13</v>
      </c>
      <c r="G1479" s="93">
        <v>0.69</v>
      </c>
      <c r="H1479" s="93">
        <v>0</v>
      </c>
      <c r="N1479" s="88"/>
      <c r="O1479" s="88"/>
      <c r="P1479" s="88"/>
    </row>
    <row r="1480" spans="1:16">
      <c r="A1480" s="94">
        <v>98012</v>
      </c>
      <c r="B1480" s="87" t="s">
        <v>6523</v>
      </c>
      <c r="C1480" s="12" t="s">
        <v>4</v>
      </c>
      <c r="D1480" s="93">
        <v>4891.03</v>
      </c>
      <c r="E1480" s="93">
        <v>1769.36</v>
      </c>
      <c r="F1480" s="93">
        <v>3058.54</v>
      </c>
      <c r="G1480" s="93">
        <v>58.14</v>
      </c>
      <c r="H1480" s="93">
        <v>0</v>
      </c>
      <c r="N1480" s="88"/>
      <c r="O1480" s="88"/>
      <c r="P1480" s="88"/>
    </row>
    <row r="1481" spans="1:16">
      <c r="A1481" s="94">
        <v>98013</v>
      </c>
      <c r="B1481" s="87" t="s">
        <v>6524</v>
      </c>
      <c r="C1481" s="12" t="s">
        <v>6</v>
      </c>
      <c r="D1481" s="93">
        <v>1928.39</v>
      </c>
      <c r="E1481" s="93">
        <v>868.04</v>
      </c>
      <c r="F1481" s="93">
        <v>1058.9000000000001</v>
      </c>
      <c r="G1481" s="93">
        <v>0.78</v>
      </c>
      <c r="H1481" s="93">
        <v>0</v>
      </c>
      <c r="N1481" s="88"/>
      <c r="O1481" s="88"/>
      <c r="P1481" s="88"/>
    </row>
    <row r="1482" spans="1:16">
      <c r="A1482" s="94">
        <v>98014</v>
      </c>
      <c r="B1482" s="87" t="s">
        <v>6525</v>
      </c>
      <c r="C1482" s="12" t="s">
        <v>4</v>
      </c>
      <c r="D1482" s="93">
        <v>5616.13</v>
      </c>
      <c r="E1482" s="93">
        <v>2021.08</v>
      </c>
      <c r="F1482" s="93">
        <v>3522.45</v>
      </c>
      <c r="G1482" s="93">
        <v>66.83</v>
      </c>
      <c r="H1482" s="93">
        <v>0</v>
      </c>
      <c r="N1482" s="88"/>
      <c r="O1482" s="88"/>
      <c r="P1482" s="88"/>
    </row>
    <row r="1483" spans="1:16">
      <c r="A1483" s="94">
        <v>98015</v>
      </c>
      <c r="B1483" s="87" t="s">
        <v>6526</v>
      </c>
      <c r="C1483" s="12" t="s">
        <v>6</v>
      </c>
      <c r="D1483" s="93">
        <v>2140.71</v>
      </c>
      <c r="E1483" s="93">
        <v>964.47</v>
      </c>
      <c r="F1483" s="93">
        <v>1174.6300000000001</v>
      </c>
      <c r="G1483" s="93">
        <v>0.87</v>
      </c>
      <c r="H1483" s="93">
        <v>0</v>
      </c>
      <c r="N1483" s="88"/>
      <c r="O1483" s="88"/>
      <c r="P1483" s="88"/>
    </row>
    <row r="1484" spans="1:16">
      <c r="A1484" s="94">
        <v>98016</v>
      </c>
      <c r="B1484" s="87" t="s">
        <v>6527</v>
      </c>
      <c r="C1484" s="12" t="s">
        <v>4</v>
      </c>
      <c r="D1484" s="93">
        <v>6341.38</v>
      </c>
      <c r="E1484" s="93">
        <v>2272.83</v>
      </c>
      <c r="F1484" s="93">
        <v>3986.44</v>
      </c>
      <c r="G1484" s="93">
        <v>75.569999999999993</v>
      </c>
      <c r="H1484" s="93">
        <v>0</v>
      </c>
      <c r="N1484" s="88"/>
      <c r="O1484" s="88"/>
      <c r="P1484" s="88"/>
    </row>
    <row r="1485" spans="1:16">
      <c r="A1485" s="94">
        <v>98017</v>
      </c>
      <c r="B1485" s="87" t="s">
        <v>6528</v>
      </c>
      <c r="C1485" s="12" t="s">
        <v>6</v>
      </c>
      <c r="D1485" s="93">
        <v>2353.02</v>
      </c>
      <c r="E1485" s="93">
        <v>1060.95</v>
      </c>
      <c r="F1485" s="93">
        <v>1290.3</v>
      </c>
      <c r="G1485" s="93">
        <v>0.96</v>
      </c>
      <c r="H1485" s="93">
        <v>0</v>
      </c>
      <c r="N1485" s="88"/>
      <c r="O1485" s="88"/>
      <c r="P1485" s="88"/>
    </row>
    <row r="1486" spans="1:16">
      <c r="A1486" s="94">
        <v>98018</v>
      </c>
      <c r="B1486" s="87" t="s">
        <v>6529</v>
      </c>
      <c r="C1486" s="12" t="s">
        <v>4</v>
      </c>
      <c r="D1486" s="93">
        <v>7066.57</v>
      </c>
      <c r="E1486" s="93">
        <v>2524.62</v>
      </c>
      <c r="F1486" s="93">
        <v>4450.38</v>
      </c>
      <c r="G1486" s="93">
        <v>84.24</v>
      </c>
      <c r="H1486" s="93">
        <v>0</v>
      </c>
      <c r="N1486" s="88"/>
      <c r="O1486" s="88"/>
      <c r="P1486" s="88"/>
    </row>
    <row r="1487" spans="1:16">
      <c r="A1487" s="94">
        <v>98019</v>
      </c>
      <c r="B1487" s="87" t="s">
        <v>6530</v>
      </c>
      <c r="C1487" s="12" t="s">
        <v>6</v>
      </c>
      <c r="D1487" s="93">
        <v>2597.64</v>
      </c>
      <c r="E1487" s="93">
        <v>1167.25</v>
      </c>
      <c r="F1487" s="93">
        <v>1428.38</v>
      </c>
      <c r="G1487" s="93">
        <v>1.0900000000000001</v>
      </c>
      <c r="H1487" s="93">
        <v>0</v>
      </c>
      <c r="N1487" s="88"/>
      <c r="O1487" s="88"/>
      <c r="P1487" s="88"/>
    </row>
    <row r="1488" spans="1:16">
      <c r="A1488" s="94">
        <v>98020</v>
      </c>
      <c r="B1488" s="87" t="s">
        <v>6531</v>
      </c>
      <c r="C1488" s="12" t="s">
        <v>4</v>
      </c>
      <c r="D1488" s="93">
        <v>5043.55</v>
      </c>
      <c r="E1488" s="93">
        <v>1816.68</v>
      </c>
      <c r="F1488" s="93">
        <v>3179.62</v>
      </c>
      <c r="G1488" s="93">
        <v>42.07</v>
      </c>
      <c r="H1488" s="93">
        <v>0</v>
      </c>
      <c r="N1488" s="88"/>
      <c r="O1488" s="88"/>
      <c r="P1488" s="88"/>
    </row>
    <row r="1489" spans="1:16">
      <c r="A1489" s="94">
        <v>98021</v>
      </c>
      <c r="B1489" s="87" t="s">
        <v>6532</v>
      </c>
      <c r="C1489" s="12" t="s">
        <v>6</v>
      </c>
      <c r="D1489" s="93">
        <v>1960.68</v>
      </c>
      <c r="E1489" s="93">
        <v>877.93</v>
      </c>
      <c r="F1489" s="93">
        <v>1081.22</v>
      </c>
      <c r="G1489" s="93">
        <v>0.83</v>
      </c>
      <c r="H1489" s="93">
        <v>0</v>
      </c>
      <c r="N1489" s="88"/>
      <c r="O1489" s="88"/>
      <c r="P1489" s="88"/>
    </row>
    <row r="1490" spans="1:16">
      <c r="A1490" s="94">
        <v>98022</v>
      </c>
      <c r="B1490" s="87" t="s">
        <v>6533</v>
      </c>
      <c r="C1490" s="12" t="s">
        <v>4</v>
      </c>
      <c r="D1490" s="93">
        <v>5907.25</v>
      </c>
      <c r="E1490" s="93">
        <v>2107.7399999999998</v>
      </c>
      <c r="F1490" s="93">
        <v>3744.27</v>
      </c>
      <c r="G1490" s="93">
        <v>49.08</v>
      </c>
      <c r="H1490" s="93">
        <v>0</v>
      </c>
      <c r="N1490" s="88"/>
      <c r="O1490" s="88"/>
      <c r="P1490" s="88"/>
    </row>
    <row r="1491" spans="1:16">
      <c r="A1491" s="94">
        <v>98023</v>
      </c>
      <c r="B1491" s="87" t="s">
        <v>6534</v>
      </c>
      <c r="C1491" s="12" t="s">
        <v>6</v>
      </c>
      <c r="D1491" s="93">
        <v>2173</v>
      </c>
      <c r="E1491" s="93">
        <v>974.34</v>
      </c>
      <c r="F1491" s="93">
        <v>1196.97</v>
      </c>
      <c r="G1491" s="93">
        <v>0.91</v>
      </c>
      <c r="H1491" s="93">
        <v>0</v>
      </c>
      <c r="N1491" s="88"/>
      <c r="O1491" s="88"/>
      <c r="P1491" s="88"/>
    </row>
    <row r="1492" spans="1:16">
      <c r="A1492" s="94">
        <v>98024</v>
      </c>
      <c r="B1492" s="87" t="s">
        <v>6535</v>
      </c>
      <c r="C1492" s="12" t="s">
        <v>4</v>
      </c>
      <c r="D1492" s="93">
        <v>6811.31</v>
      </c>
      <c r="E1492" s="93">
        <v>2399.02</v>
      </c>
      <c r="F1492" s="93">
        <v>4316.84</v>
      </c>
      <c r="G1492" s="93">
        <v>88.34</v>
      </c>
      <c r="H1492" s="93">
        <v>0</v>
      </c>
      <c r="N1492" s="88"/>
      <c r="O1492" s="88"/>
      <c r="P1492" s="88"/>
    </row>
    <row r="1493" spans="1:16">
      <c r="A1493" s="94">
        <v>98025</v>
      </c>
      <c r="B1493" s="87" t="s">
        <v>6536</v>
      </c>
      <c r="C1493" s="12" t="s">
        <v>6</v>
      </c>
      <c r="D1493" s="93">
        <v>2385.3200000000002</v>
      </c>
      <c r="E1493" s="93">
        <v>1070.83</v>
      </c>
      <c r="F1493" s="93">
        <v>1312.64</v>
      </c>
      <c r="G1493" s="93">
        <v>1</v>
      </c>
      <c r="H1493" s="93">
        <v>0</v>
      </c>
      <c r="N1493" s="88"/>
      <c r="O1493" s="88"/>
      <c r="P1493" s="88"/>
    </row>
    <row r="1494" spans="1:16">
      <c r="A1494" s="94">
        <v>98026</v>
      </c>
      <c r="B1494" s="87" t="s">
        <v>6537</v>
      </c>
      <c r="C1494" s="12" t="s">
        <v>4</v>
      </c>
      <c r="D1494" s="93">
        <v>7680.03</v>
      </c>
      <c r="E1494" s="93">
        <v>2690.27</v>
      </c>
      <c r="F1494" s="93">
        <v>4882.47</v>
      </c>
      <c r="G1494" s="93">
        <v>99.2</v>
      </c>
      <c r="H1494" s="93">
        <v>0</v>
      </c>
      <c r="N1494" s="88"/>
      <c r="O1494" s="88"/>
      <c r="P1494" s="88"/>
    </row>
    <row r="1495" spans="1:16">
      <c r="A1495" s="94">
        <v>98027</v>
      </c>
      <c r="B1495" s="87" t="s">
        <v>6538</v>
      </c>
      <c r="C1495" s="12" t="s">
        <v>6</v>
      </c>
      <c r="D1495" s="93">
        <v>2597.64</v>
      </c>
      <c r="E1495" s="93">
        <v>1167.25</v>
      </c>
      <c r="F1495" s="93">
        <v>1428.38</v>
      </c>
      <c r="G1495" s="93">
        <v>1.0900000000000001</v>
      </c>
      <c r="H1495" s="93">
        <v>0</v>
      </c>
      <c r="N1495" s="88"/>
      <c r="O1495" s="88"/>
      <c r="P1495" s="88"/>
    </row>
    <row r="1496" spans="1:16">
      <c r="A1496" s="94">
        <v>98028</v>
      </c>
      <c r="B1496" s="87" t="s">
        <v>6539</v>
      </c>
      <c r="C1496" s="12" t="s">
        <v>4</v>
      </c>
      <c r="D1496" s="93">
        <v>8548.69</v>
      </c>
      <c r="E1496" s="93">
        <v>2981.49</v>
      </c>
      <c r="F1496" s="93">
        <v>5448.04</v>
      </c>
      <c r="G1496" s="93">
        <v>110.11</v>
      </c>
      <c r="H1496" s="93">
        <v>0</v>
      </c>
      <c r="N1496" s="88"/>
      <c r="O1496" s="88"/>
      <c r="P1496" s="88"/>
    </row>
    <row r="1497" spans="1:16">
      <c r="A1497" s="94">
        <v>98029</v>
      </c>
      <c r="B1497" s="87" t="s">
        <v>6540</v>
      </c>
      <c r="C1497" s="12" t="s">
        <v>6</v>
      </c>
      <c r="D1497" s="93">
        <v>2816.62</v>
      </c>
      <c r="E1497" s="93">
        <v>1265.72</v>
      </c>
      <c r="F1497" s="93">
        <v>1548.71</v>
      </c>
      <c r="G1497" s="93">
        <v>1.19</v>
      </c>
      <c r="H1497" s="93">
        <v>0</v>
      </c>
      <c r="N1497" s="88"/>
      <c r="O1497" s="88"/>
      <c r="P1497" s="88"/>
    </row>
    <row r="1498" spans="1:16">
      <c r="A1498" s="94">
        <v>98030</v>
      </c>
      <c r="B1498" s="87" t="s">
        <v>6541</v>
      </c>
      <c r="C1498" s="12" t="s">
        <v>4</v>
      </c>
      <c r="D1498" s="93">
        <v>6975.71</v>
      </c>
      <c r="E1498" s="93">
        <v>2396.6</v>
      </c>
      <c r="F1498" s="93">
        <v>4481.21</v>
      </c>
      <c r="G1498" s="93">
        <v>90.54</v>
      </c>
      <c r="H1498" s="93">
        <v>0</v>
      </c>
      <c r="N1498" s="88"/>
      <c r="O1498" s="88"/>
      <c r="P1498" s="88"/>
    </row>
    <row r="1499" spans="1:16">
      <c r="A1499" s="94">
        <v>98031</v>
      </c>
      <c r="B1499" s="87" t="s">
        <v>6542</v>
      </c>
      <c r="C1499" s="12" t="s">
        <v>6</v>
      </c>
      <c r="D1499" s="93">
        <v>2392.0700000000002</v>
      </c>
      <c r="E1499" s="93">
        <v>1072.8800000000001</v>
      </c>
      <c r="F1499" s="93">
        <v>1317.31</v>
      </c>
      <c r="G1499" s="93">
        <v>1.02</v>
      </c>
      <c r="H1499" s="93">
        <v>0</v>
      </c>
      <c r="N1499" s="88"/>
      <c r="O1499" s="88"/>
      <c r="P1499" s="88"/>
    </row>
    <row r="1500" spans="1:16">
      <c r="A1500" s="94">
        <v>98032</v>
      </c>
      <c r="B1500" s="87" t="s">
        <v>6543</v>
      </c>
      <c r="C1500" s="12" t="s">
        <v>4</v>
      </c>
      <c r="D1500" s="93">
        <v>8019.76</v>
      </c>
      <c r="E1500" s="93">
        <v>2729.18</v>
      </c>
      <c r="F1500" s="93">
        <v>5178.43</v>
      </c>
      <c r="G1500" s="93">
        <v>103.61</v>
      </c>
      <c r="H1500" s="93">
        <v>0</v>
      </c>
      <c r="N1500" s="88"/>
      <c r="O1500" s="88"/>
      <c r="P1500" s="88"/>
    </row>
    <row r="1501" spans="1:16">
      <c r="A1501" s="94">
        <v>98033</v>
      </c>
      <c r="B1501" s="87" t="s">
        <v>6544</v>
      </c>
      <c r="C1501" s="12" t="s">
        <v>6</v>
      </c>
      <c r="D1501" s="93">
        <v>2604.38</v>
      </c>
      <c r="E1501" s="93">
        <v>1169.31</v>
      </c>
      <c r="F1501" s="93">
        <v>1433.04</v>
      </c>
      <c r="G1501" s="93">
        <v>1.1000000000000001</v>
      </c>
      <c r="H1501" s="93">
        <v>0</v>
      </c>
      <c r="N1501" s="88"/>
      <c r="O1501" s="88"/>
      <c r="P1501" s="88"/>
    </row>
    <row r="1502" spans="1:16">
      <c r="A1502" s="94">
        <v>98034</v>
      </c>
      <c r="B1502" s="87" t="s">
        <v>6545</v>
      </c>
      <c r="C1502" s="12" t="s">
        <v>4</v>
      </c>
      <c r="D1502" s="93">
        <v>9063.83</v>
      </c>
      <c r="E1502" s="93">
        <v>3061.76</v>
      </c>
      <c r="F1502" s="93">
        <v>5875.64</v>
      </c>
      <c r="G1502" s="93">
        <v>116.7</v>
      </c>
      <c r="H1502" s="93">
        <v>0</v>
      </c>
      <c r="N1502" s="88"/>
      <c r="O1502" s="88"/>
      <c r="P1502" s="88"/>
    </row>
    <row r="1503" spans="1:16">
      <c r="A1503" s="94">
        <v>98035</v>
      </c>
      <c r="B1503" s="87" t="s">
        <v>6546</v>
      </c>
      <c r="C1503" s="12" t="s">
        <v>6</v>
      </c>
      <c r="D1503" s="93">
        <v>2816.62</v>
      </c>
      <c r="E1503" s="93">
        <v>1265.72</v>
      </c>
      <c r="F1503" s="93">
        <v>1548.71</v>
      </c>
      <c r="G1503" s="93">
        <v>1.19</v>
      </c>
      <c r="H1503" s="93">
        <v>0</v>
      </c>
      <c r="N1503" s="88"/>
      <c r="O1503" s="88"/>
      <c r="P1503" s="88"/>
    </row>
    <row r="1504" spans="1:16">
      <c r="A1504" s="94">
        <v>98036</v>
      </c>
      <c r="B1504" s="87" t="s">
        <v>6547</v>
      </c>
      <c r="C1504" s="12" t="s">
        <v>4</v>
      </c>
      <c r="D1504" s="93">
        <v>10107.92</v>
      </c>
      <c r="E1504" s="93">
        <v>3394.36</v>
      </c>
      <c r="F1504" s="93">
        <v>6572.93</v>
      </c>
      <c r="G1504" s="93">
        <v>129.74</v>
      </c>
      <c r="H1504" s="93">
        <v>0</v>
      </c>
      <c r="N1504" s="88"/>
      <c r="O1504" s="88"/>
      <c r="P1504" s="88"/>
    </row>
    <row r="1505" spans="1:16">
      <c r="A1505" s="94">
        <v>98037</v>
      </c>
      <c r="B1505" s="87" t="s">
        <v>6548</v>
      </c>
      <c r="C1505" s="12" t="s">
        <v>6</v>
      </c>
      <c r="D1505" s="93">
        <v>3035.68</v>
      </c>
      <c r="E1505" s="93">
        <v>1364.22</v>
      </c>
      <c r="F1505" s="93">
        <v>1669.08</v>
      </c>
      <c r="G1505" s="93">
        <v>1.3</v>
      </c>
      <c r="H1505" s="93">
        <v>0</v>
      </c>
      <c r="N1505" s="88"/>
      <c r="O1505" s="88"/>
      <c r="P1505" s="88"/>
    </row>
    <row r="1506" spans="1:16">
      <c r="A1506" s="94">
        <v>98038</v>
      </c>
      <c r="B1506" s="87" t="s">
        <v>6549</v>
      </c>
      <c r="C1506" s="12" t="s">
        <v>4</v>
      </c>
      <c r="D1506" s="93">
        <v>9268.52</v>
      </c>
      <c r="E1506" s="93">
        <v>3104.51</v>
      </c>
      <c r="F1506" s="93">
        <v>6035.21</v>
      </c>
      <c r="G1506" s="93">
        <v>118.87</v>
      </c>
      <c r="H1506" s="93">
        <v>0</v>
      </c>
      <c r="N1506" s="88"/>
      <c r="O1506" s="88"/>
      <c r="P1506" s="88"/>
    </row>
    <row r="1507" spans="1:16">
      <c r="A1507" s="94">
        <v>98039</v>
      </c>
      <c r="B1507" s="87" t="s">
        <v>6550</v>
      </c>
      <c r="C1507" s="12" t="s">
        <v>6</v>
      </c>
      <c r="D1507" s="93">
        <v>2823.36</v>
      </c>
      <c r="E1507" s="93">
        <v>1267.78</v>
      </c>
      <c r="F1507" s="93">
        <v>1553.37</v>
      </c>
      <c r="G1507" s="93">
        <v>1.2</v>
      </c>
      <c r="H1507" s="93">
        <v>0</v>
      </c>
      <c r="N1507" s="88"/>
      <c r="O1507" s="88"/>
      <c r="P1507" s="88"/>
    </row>
    <row r="1508" spans="1:16">
      <c r="A1508" s="94">
        <v>98040</v>
      </c>
      <c r="B1508" s="87" t="s">
        <v>6551</v>
      </c>
      <c r="C1508" s="12" t="s">
        <v>4</v>
      </c>
      <c r="D1508" s="93">
        <v>10470.530000000001</v>
      </c>
      <c r="E1508" s="93">
        <v>3477.33</v>
      </c>
      <c r="F1508" s="93">
        <v>6847.77</v>
      </c>
      <c r="G1508" s="93">
        <v>134.12</v>
      </c>
      <c r="H1508" s="93">
        <v>0</v>
      </c>
      <c r="N1508" s="88"/>
      <c r="O1508" s="88"/>
      <c r="P1508" s="88"/>
    </row>
    <row r="1509" spans="1:16">
      <c r="A1509" s="94">
        <v>98041</v>
      </c>
      <c r="B1509" s="87" t="s">
        <v>6552</v>
      </c>
      <c r="C1509" s="12" t="s">
        <v>6</v>
      </c>
      <c r="D1509" s="93">
        <v>3035.68</v>
      </c>
      <c r="E1509" s="93">
        <v>1364.22</v>
      </c>
      <c r="F1509" s="93">
        <v>1669.08</v>
      </c>
      <c r="G1509" s="93">
        <v>1.3</v>
      </c>
      <c r="H1509" s="93">
        <v>0</v>
      </c>
      <c r="N1509" s="88"/>
      <c r="O1509" s="88"/>
      <c r="P1509" s="88"/>
    </row>
    <row r="1510" spans="1:16">
      <c r="A1510" s="94">
        <v>98042</v>
      </c>
      <c r="B1510" s="87" t="s">
        <v>6553</v>
      </c>
      <c r="C1510" s="12" t="s">
        <v>4</v>
      </c>
      <c r="D1510" s="93">
        <v>11672.58</v>
      </c>
      <c r="E1510" s="93">
        <v>3850.14</v>
      </c>
      <c r="F1510" s="93">
        <v>7660.37</v>
      </c>
      <c r="G1510" s="93">
        <v>149.38999999999999</v>
      </c>
      <c r="H1510" s="93">
        <v>0</v>
      </c>
      <c r="N1510" s="88"/>
      <c r="O1510" s="88"/>
      <c r="P1510" s="88"/>
    </row>
    <row r="1511" spans="1:16">
      <c r="A1511" s="94">
        <v>98043</v>
      </c>
      <c r="B1511" s="87" t="s">
        <v>6554</v>
      </c>
      <c r="C1511" s="12" t="s">
        <v>6</v>
      </c>
      <c r="D1511" s="93">
        <v>3254.74</v>
      </c>
      <c r="E1511" s="93">
        <v>1462.71</v>
      </c>
      <c r="F1511" s="93">
        <v>1789.46</v>
      </c>
      <c r="G1511" s="93">
        <v>1.41</v>
      </c>
      <c r="H1511" s="93">
        <v>0</v>
      </c>
      <c r="N1511" s="88"/>
      <c r="O1511" s="88"/>
      <c r="P1511" s="88"/>
    </row>
    <row r="1512" spans="1:16">
      <c r="A1512" s="94">
        <v>98044</v>
      </c>
      <c r="B1512" s="87" t="s">
        <v>6555</v>
      </c>
      <c r="C1512" s="12" t="s">
        <v>4</v>
      </c>
      <c r="D1512" s="93">
        <v>11885.74</v>
      </c>
      <c r="E1512" s="93">
        <v>3893.33</v>
      </c>
      <c r="F1512" s="93">
        <v>7827.89</v>
      </c>
      <c r="G1512" s="93">
        <v>151.6</v>
      </c>
      <c r="H1512" s="93">
        <v>0</v>
      </c>
      <c r="N1512" s="88"/>
      <c r="O1512" s="88"/>
      <c r="P1512" s="88"/>
    </row>
    <row r="1513" spans="1:16">
      <c r="A1513" s="94">
        <v>98045</v>
      </c>
      <c r="B1513" s="87" t="s">
        <v>6556</v>
      </c>
      <c r="C1513" s="12" t="s">
        <v>6</v>
      </c>
      <c r="D1513" s="93">
        <v>3254.74</v>
      </c>
      <c r="E1513" s="93">
        <v>1462.71</v>
      </c>
      <c r="F1513" s="93">
        <v>1789.46</v>
      </c>
      <c r="G1513" s="93">
        <v>1.41</v>
      </c>
      <c r="H1513" s="93">
        <v>0</v>
      </c>
      <c r="N1513" s="88"/>
      <c r="O1513" s="88"/>
      <c r="P1513" s="88"/>
    </row>
    <row r="1514" spans="1:16">
      <c r="A1514" s="94">
        <v>98046</v>
      </c>
      <c r="B1514" s="87" t="s">
        <v>6557</v>
      </c>
      <c r="C1514" s="12" t="s">
        <v>4</v>
      </c>
      <c r="D1514" s="93">
        <v>13246.95</v>
      </c>
      <c r="E1514" s="93">
        <v>4306.51</v>
      </c>
      <c r="F1514" s="93">
        <v>8756.9599999999991</v>
      </c>
      <c r="G1514" s="93">
        <v>169.01</v>
      </c>
      <c r="H1514" s="93">
        <v>0</v>
      </c>
      <c r="N1514" s="88"/>
      <c r="O1514" s="88"/>
      <c r="P1514" s="88"/>
    </row>
    <row r="1515" spans="1:16">
      <c r="A1515" s="94">
        <v>98047</v>
      </c>
      <c r="B1515" s="87" t="s">
        <v>6558</v>
      </c>
      <c r="C1515" s="12" t="s">
        <v>6</v>
      </c>
      <c r="D1515" s="93">
        <v>3473.8</v>
      </c>
      <c r="E1515" s="93">
        <v>1561.22</v>
      </c>
      <c r="F1515" s="93">
        <v>1909.85</v>
      </c>
      <c r="G1515" s="93">
        <v>1.49</v>
      </c>
      <c r="H1515" s="93">
        <v>0</v>
      </c>
      <c r="N1515" s="88"/>
      <c r="O1515" s="88"/>
      <c r="P1515" s="88"/>
    </row>
    <row r="1516" spans="1:16">
      <c r="A1516" s="94">
        <v>98048</v>
      </c>
      <c r="B1516" s="87" t="s">
        <v>6559</v>
      </c>
      <c r="C1516" s="12" t="s">
        <v>4</v>
      </c>
      <c r="D1516" s="93">
        <v>14831.21</v>
      </c>
      <c r="E1516" s="93">
        <v>4763.43</v>
      </c>
      <c r="F1516" s="93">
        <v>9862.89</v>
      </c>
      <c r="G1516" s="93">
        <v>188.62</v>
      </c>
      <c r="H1516" s="93">
        <v>0</v>
      </c>
      <c r="N1516" s="88"/>
      <c r="O1516" s="88"/>
      <c r="P1516" s="88"/>
    </row>
    <row r="1517" spans="1:16">
      <c r="A1517" s="94">
        <v>98049</v>
      </c>
      <c r="B1517" s="87" t="s">
        <v>6560</v>
      </c>
      <c r="C1517" s="12" t="s">
        <v>6</v>
      </c>
      <c r="D1517" s="93">
        <v>3626.9</v>
      </c>
      <c r="E1517" s="93">
        <v>1639.54</v>
      </c>
      <c r="F1517" s="93">
        <v>1984.63</v>
      </c>
      <c r="G1517" s="93">
        <v>1.5</v>
      </c>
      <c r="H1517" s="93">
        <v>0</v>
      </c>
      <c r="N1517" s="88"/>
      <c r="O1517" s="88"/>
      <c r="P1517" s="88"/>
    </row>
    <row r="1518" spans="1:16">
      <c r="A1518" s="94">
        <v>98050</v>
      </c>
      <c r="B1518" s="87" t="s">
        <v>6561</v>
      </c>
      <c r="C1518" s="12" t="s">
        <v>6</v>
      </c>
      <c r="D1518" s="93">
        <v>161.12</v>
      </c>
      <c r="E1518" s="93">
        <v>26.57</v>
      </c>
      <c r="F1518" s="93">
        <v>127.69</v>
      </c>
      <c r="G1518" s="93">
        <v>6.84</v>
      </c>
      <c r="H1518" s="93">
        <v>0</v>
      </c>
      <c r="N1518" s="88"/>
      <c r="O1518" s="88"/>
      <c r="P1518" s="88"/>
    </row>
    <row r="1519" spans="1:16">
      <c r="A1519" s="94">
        <v>98051</v>
      </c>
      <c r="B1519" s="87" t="s">
        <v>6562</v>
      </c>
      <c r="C1519" s="12" t="s">
        <v>6</v>
      </c>
      <c r="D1519" s="93">
        <v>880.66</v>
      </c>
      <c r="E1519" s="93">
        <v>352.85</v>
      </c>
      <c r="F1519" s="93">
        <v>526.94000000000005</v>
      </c>
      <c r="G1519" s="93">
        <v>0.47</v>
      </c>
      <c r="H1519" s="93">
        <v>0</v>
      </c>
      <c r="N1519" s="88"/>
      <c r="O1519" s="88"/>
      <c r="P1519" s="88"/>
    </row>
    <row r="1520" spans="1:16">
      <c r="A1520" s="94">
        <v>98405</v>
      </c>
      <c r="B1520" s="87" t="s">
        <v>6563</v>
      </c>
      <c r="C1520" s="12" t="s">
        <v>4</v>
      </c>
      <c r="D1520" s="93">
        <v>2253.2399999999998</v>
      </c>
      <c r="E1520" s="93">
        <v>838.8</v>
      </c>
      <c r="F1520" s="93">
        <v>1398.59</v>
      </c>
      <c r="G1520" s="93">
        <v>13.85</v>
      </c>
      <c r="H1520" s="93">
        <v>0</v>
      </c>
      <c r="N1520" s="88"/>
      <c r="O1520" s="88"/>
      <c r="P1520" s="88"/>
    </row>
    <row r="1521" spans="1:16">
      <c r="A1521" s="94">
        <v>98406</v>
      </c>
      <c r="B1521" s="87" t="s">
        <v>6564</v>
      </c>
      <c r="C1521" s="12" t="s">
        <v>4</v>
      </c>
      <c r="D1521" s="93">
        <v>5092.13</v>
      </c>
      <c r="E1521" s="93">
        <v>1896.58</v>
      </c>
      <c r="F1521" s="93">
        <v>3132.33</v>
      </c>
      <c r="G1521" s="93">
        <v>58.2</v>
      </c>
      <c r="H1521" s="93">
        <v>0</v>
      </c>
      <c r="N1521" s="88"/>
      <c r="O1521" s="88"/>
      <c r="P1521" s="88"/>
    </row>
    <row r="1522" spans="1:16">
      <c r="A1522" s="94">
        <v>98407</v>
      </c>
      <c r="B1522" s="87" t="s">
        <v>6565</v>
      </c>
      <c r="C1522" s="12" t="s">
        <v>4</v>
      </c>
      <c r="D1522" s="93">
        <v>3337.08</v>
      </c>
      <c r="E1522" s="93">
        <v>1260.3499999999999</v>
      </c>
      <c r="F1522" s="93">
        <v>2048.44</v>
      </c>
      <c r="G1522" s="93">
        <v>25.05</v>
      </c>
      <c r="H1522" s="93">
        <v>0</v>
      </c>
      <c r="N1522" s="88"/>
      <c r="O1522" s="88"/>
      <c r="P1522" s="88"/>
    </row>
    <row r="1523" spans="1:16">
      <c r="A1523" s="94">
        <v>98408</v>
      </c>
      <c r="B1523" s="87" t="s">
        <v>6566</v>
      </c>
      <c r="C1523" s="12" t="s">
        <v>4</v>
      </c>
      <c r="D1523" s="93">
        <v>3913.68</v>
      </c>
      <c r="E1523" s="93">
        <v>1472.46</v>
      </c>
      <c r="F1523" s="93">
        <v>2408.08</v>
      </c>
      <c r="G1523" s="93">
        <v>29.32</v>
      </c>
      <c r="H1523" s="93">
        <v>0</v>
      </c>
      <c r="N1523" s="88"/>
      <c r="O1523" s="88"/>
      <c r="P1523" s="88"/>
    </row>
    <row r="1524" spans="1:16">
      <c r="A1524" s="94">
        <v>98409</v>
      </c>
      <c r="B1524" s="87" t="s">
        <v>6567</v>
      </c>
      <c r="C1524" s="12" t="s">
        <v>6</v>
      </c>
      <c r="D1524" s="93">
        <v>236.2</v>
      </c>
      <c r="E1524" s="93">
        <v>43.29</v>
      </c>
      <c r="F1524" s="93">
        <v>180.75</v>
      </c>
      <c r="G1524" s="93">
        <v>12.12</v>
      </c>
      <c r="H1524" s="93">
        <v>0</v>
      </c>
      <c r="N1524" s="88"/>
      <c r="O1524" s="88"/>
      <c r="P1524" s="88"/>
    </row>
    <row r="1525" spans="1:16">
      <c r="A1525" s="94">
        <v>98410</v>
      </c>
      <c r="B1525" s="87" t="s">
        <v>6568</v>
      </c>
      <c r="C1525" s="12" t="s">
        <v>4</v>
      </c>
      <c r="D1525" s="93">
        <v>861.77</v>
      </c>
      <c r="E1525" s="93">
        <v>222.99</v>
      </c>
      <c r="F1525" s="93">
        <v>608.04999999999995</v>
      </c>
      <c r="G1525" s="93">
        <v>29.96</v>
      </c>
      <c r="H1525" s="93">
        <v>0</v>
      </c>
      <c r="N1525" s="88"/>
      <c r="O1525" s="88"/>
      <c r="P1525" s="88"/>
    </row>
    <row r="1526" spans="1:16">
      <c r="A1526" s="94">
        <v>98414</v>
      </c>
      <c r="B1526" s="87" t="s">
        <v>6569</v>
      </c>
      <c r="C1526" s="12" t="s">
        <v>4</v>
      </c>
      <c r="D1526" s="93">
        <v>861.97</v>
      </c>
      <c r="E1526" s="93">
        <v>245.58</v>
      </c>
      <c r="F1526" s="93">
        <v>585.15</v>
      </c>
      <c r="G1526" s="93">
        <v>30.16</v>
      </c>
      <c r="H1526" s="93">
        <v>0</v>
      </c>
      <c r="N1526" s="88"/>
      <c r="O1526" s="88"/>
      <c r="P1526" s="88"/>
    </row>
    <row r="1527" spans="1:16">
      <c r="A1527" s="94">
        <v>98415</v>
      </c>
      <c r="B1527" s="87" t="s">
        <v>1745</v>
      </c>
      <c r="C1527" s="12" t="s">
        <v>4</v>
      </c>
      <c r="D1527" s="93">
        <v>956.59</v>
      </c>
      <c r="E1527" s="93">
        <v>245.51</v>
      </c>
      <c r="F1527" s="93">
        <v>679.85</v>
      </c>
      <c r="G1527" s="93">
        <v>30.15</v>
      </c>
      <c r="H1527" s="93">
        <v>0</v>
      </c>
      <c r="N1527" s="88"/>
      <c r="O1527" s="88"/>
      <c r="P1527" s="88"/>
    </row>
    <row r="1528" spans="1:16">
      <c r="A1528" s="94">
        <v>98416</v>
      </c>
      <c r="B1528" s="87" t="s">
        <v>1746</v>
      </c>
      <c r="C1528" s="12" t="s">
        <v>4</v>
      </c>
      <c r="D1528" s="93">
        <v>1015.22</v>
      </c>
      <c r="E1528" s="93">
        <v>271.64999999999998</v>
      </c>
      <c r="F1528" s="93">
        <v>705.26</v>
      </c>
      <c r="G1528" s="93">
        <v>37.200000000000003</v>
      </c>
      <c r="H1528" s="93">
        <v>0</v>
      </c>
      <c r="N1528" s="88"/>
      <c r="O1528" s="88"/>
      <c r="P1528" s="88"/>
    </row>
    <row r="1529" spans="1:16">
      <c r="A1529" s="94">
        <v>98417</v>
      </c>
      <c r="B1529" s="87" t="s">
        <v>1747</v>
      </c>
      <c r="C1529" s="12" t="s">
        <v>4</v>
      </c>
      <c r="D1529" s="93">
        <v>1168.48</v>
      </c>
      <c r="E1529" s="93">
        <v>297.73</v>
      </c>
      <c r="F1529" s="93">
        <v>825.33</v>
      </c>
      <c r="G1529" s="93">
        <v>44.28</v>
      </c>
      <c r="H1529" s="93">
        <v>0</v>
      </c>
      <c r="N1529" s="88"/>
      <c r="O1529" s="88"/>
      <c r="P1529" s="88"/>
    </row>
    <row r="1530" spans="1:16">
      <c r="A1530" s="94">
        <v>98418</v>
      </c>
      <c r="B1530" s="87" t="s">
        <v>1748</v>
      </c>
      <c r="C1530" s="12" t="s">
        <v>4</v>
      </c>
      <c r="D1530" s="93">
        <v>1249.04</v>
      </c>
      <c r="E1530" s="93">
        <v>311</v>
      </c>
      <c r="F1530" s="93">
        <v>889.2</v>
      </c>
      <c r="G1530" s="93">
        <v>47.69</v>
      </c>
      <c r="H1530" s="93">
        <v>0</v>
      </c>
      <c r="N1530" s="88"/>
      <c r="O1530" s="88"/>
      <c r="P1530" s="88"/>
    </row>
    <row r="1531" spans="1:16">
      <c r="A1531" s="94">
        <v>98419</v>
      </c>
      <c r="B1531" s="87" t="s">
        <v>1749</v>
      </c>
      <c r="C1531" s="12" t="s">
        <v>4</v>
      </c>
      <c r="D1531" s="93">
        <v>1329.6</v>
      </c>
      <c r="E1531" s="93">
        <v>324.29000000000002</v>
      </c>
      <c r="F1531" s="93">
        <v>953.03</v>
      </c>
      <c r="G1531" s="93">
        <v>51.12</v>
      </c>
      <c r="H1531" s="93">
        <v>0</v>
      </c>
      <c r="N1531" s="88"/>
      <c r="O1531" s="88"/>
      <c r="P1531" s="88"/>
    </row>
    <row r="1532" spans="1:16">
      <c r="A1532" s="94">
        <v>98420</v>
      </c>
      <c r="B1532" s="87" t="s">
        <v>1750</v>
      </c>
      <c r="C1532" s="12" t="s">
        <v>4</v>
      </c>
      <c r="D1532" s="93">
        <v>1471.99</v>
      </c>
      <c r="E1532" s="93">
        <v>285.7</v>
      </c>
      <c r="F1532" s="93">
        <v>1155.02</v>
      </c>
      <c r="G1532" s="93">
        <v>30.16</v>
      </c>
      <c r="H1532" s="93">
        <v>0</v>
      </c>
      <c r="N1532" s="88"/>
      <c r="O1532" s="88"/>
      <c r="P1532" s="88"/>
    </row>
    <row r="1533" spans="1:16">
      <c r="A1533" s="94">
        <v>98421</v>
      </c>
      <c r="B1533" s="87" t="s">
        <v>1751</v>
      </c>
      <c r="C1533" s="12" t="s">
        <v>4</v>
      </c>
      <c r="D1533" s="93">
        <v>1625.24</v>
      </c>
      <c r="E1533" s="93">
        <v>311.79000000000002</v>
      </c>
      <c r="F1533" s="93">
        <v>1275.1099999999999</v>
      </c>
      <c r="G1533" s="93">
        <v>37.200000000000003</v>
      </c>
      <c r="H1533" s="93">
        <v>0</v>
      </c>
      <c r="N1533" s="88"/>
      <c r="O1533" s="88"/>
      <c r="P1533" s="88"/>
    </row>
    <row r="1534" spans="1:16">
      <c r="A1534" s="94">
        <v>98422</v>
      </c>
      <c r="B1534" s="87" t="s">
        <v>1752</v>
      </c>
      <c r="C1534" s="12" t="s">
        <v>4</v>
      </c>
      <c r="D1534" s="93">
        <v>1778.5</v>
      </c>
      <c r="E1534" s="93">
        <v>337.89</v>
      </c>
      <c r="F1534" s="93">
        <v>1395.17</v>
      </c>
      <c r="G1534" s="93">
        <v>44.27</v>
      </c>
      <c r="H1534" s="93">
        <v>0</v>
      </c>
      <c r="N1534" s="88"/>
      <c r="O1534" s="88"/>
      <c r="P1534" s="88"/>
    </row>
    <row r="1535" spans="1:16">
      <c r="A1535" s="94">
        <v>98423</v>
      </c>
      <c r="B1535" s="87" t="s">
        <v>1753</v>
      </c>
      <c r="C1535" s="12" t="s">
        <v>4</v>
      </c>
      <c r="D1535" s="93">
        <v>1859.06</v>
      </c>
      <c r="E1535" s="93">
        <v>351.16</v>
      </c>
      <c r="F1535" s="93">
        <v>1459.03</v>
      </c>
      <c r="G1535" s="93">
        <v>47.69</v>
      </c>
      <c r="H1535" s="93">
        <v>0</v>
      </c>
      <c r="N1535" s="88"/>
      <c r="O1535" s="88"/>
      <c r="P1535" s="88"/>
    </row>
    <row r="1536" spans="1:16">
      <c r="A1536" s="94">
        <v>98424</v>
      </c>
      <c r="B1536" s="87" t="s">
        <v>1754</v>
      </c>
      <c r="C1536" s="12" t="s">
        <v>4</v>
      </c>
      <c r="D1536" s="93">
        <v>1939.62</v>
      </c>
      <c r="E1536" s="93">
        <v>364.46</v>
      </c>
      <c r="F1536" s="93">
        <v>1522.85</v>
      </c>
      <c r="G1536" s="93">
        <v>51.12</v>
      </c>
      <c r="H1536" s="93">
        <v>0</v>
      </c>
      <c r="N1536" s="88"/>
      <c r="O1536" s="88"/>
      <c r="P1536" s="88"/>
    </row>
    <row r="1537" spans="1:16">
      <c r="A1537" s="94">
        <v>98425</v>
      </c>
      <c r="B1537" s="87" t="s">
        <v>1755</v>
      </c>
      <c r="C1537" s="12" t="s">
        <v>4</v>
      </c>
      <c r="D1537" s="93">
        <v>2662</v>
      </c>
      <c r="E1537" s="93">
        <v>976.17</v>
      </c>
      <c r="F1537" s="93">
        <v>1666.6</v>
      </c>
      <c r="G1537" s="93">
        <v>16.78</v>
      </c>
      <c r="H1537" s="93">
        <v>0</v>
      </c>
      <c r="N1537" s="88"/>
      <c r="O1537" s="88"/>
      <c r="P1537" s="88"/>
    </row>
    <row r="1538" spans="1:16">
      <c r="A1538" s="94">
        <v>98426</v>
      </c>
      <c r="B1538" s="87" t="s">
        <v>1756</v>
      </c>
      <c r="C1538" s="12" t="s">
        <v>4</v>
      </c>
      <c r="D1538" s="93">
        <v>3459.95</v>
      </c>
      <c r="E1538" s="93">
        <v>1303.0899999999999</v>
      </c>
      <c r="F1538" s="93">
        <v>2137.02</v>
      </c>
      <c r="G1538" s="93">
        <v>17.11</v>
      </c>
      <c r="H1538" s="93">
        <v>0</v>
      </c>
      <c r="N1538" s="88"/>
      <c r="O1538" s="88"/>
      <c r="P1538" s="88"/>
    </row>
    <row r="1539" spans="1:16">
      <c r="A1539" s="94">
        <v>98427</v>
      </c>
      <c r="B1539" s="87" t="s">
        <v>1757</v>
      </c>
      <c r="C1539" s="12" t="s">
        <v>4</v>
      </c>
      <c r="D1539" s="93">
        <v>4257.8999999999996</v>
      </c>
      <c r="E1539" s="93">
        <v>1629.91</v>
      </c>
      <c r="F1539" s="93">
        <v>2607.4899999999998</v>
      </c>
      <c r="G1539" s="93">
        <v>17.47</v>
      </c>
      <c r="H1539" s="93">
        <v>0</v>
      </c>
      <c r="N1539" s="88"/>
      <c r="O1539" s="88"/>
      <c r="P1539" s="88"/>
    </row>
    <row r="1540" spans="1:16">
      <c r="A1540" s="94">
        <v>98428</v>
      </c>
      <c r="B1540" s="87" t="s">
        <v>1758</v>
      </c>
      <c r="C1540" s="12" t="s">
        <v>4</v>
      </c>
      <c r="D1540" s="93">
        <v>4698.2299999999996</v>
      </c>
      <c r="E1540" s="93">
        <v>1806.4</v>
      </c>
      <c r="F1540" s="93">
        <v>2870.91</v>
      </c>
      <c r="G1540" s="93">
        <v>17.7</v>
      </c>
      <c r="H1540" s="93">
        <v>0</v>
      </c>
      <c r="N1540" s="88"/>
      <c r="O1540" s="88"/>
      <c r="P1540" s="88"/>
    </row>
    <row r="1541" spans="1:16">
      <c r="A1541" s="94">
        <v>98429</v>
      </c>
      <c r="B1541" s="87" t="s">
        <v>1759</v>
      </c>
      <c r="C1541" s="12" t="s">
        <v>4</v>
      </c>
      <c r="D1541" s="93">
        <v>5138.5600000000004</v>
      </c>
      <c r="E1541" s="93">
        <v>1982.78</v>
      </c>
      <c r="F1541" s="93">
        <v>3134.41</v>
      </c>
      <c r="G1541" s="93">
        <v>17.940000000000001</v>
      </c>
      <c r="H1541" s="93">
        <v>0</v>
      </c>
      <c r="N1541" s="88"/>
      <c r="O1541" s="88"/>
      <c r="P1541" s="88"/>
    </row>
    <row r="1542" spans="1:16">
      <c r="A1542" s="94">
        <v>98430</v>
      </c>
      <c r="B1542" s="87" t="s">
        <v>1760</v>
      </c>
      <c r="C1542" s="12" t="s">
        <v>4</v>
      </c>
      <c r="D1542" s="93">
        <v>3272.02</v>
      </c>
      <c r="E1542" s="93">
        <v>1016.23</v>
      </c>
      <c r="F1542" s="93">
        <v>2236.5100000000002</v>
      </c>
      <c r="G1542" s="93">
        <v>16.8</v>
      </c>
      <c r="H1542" s="93">
        <v>0</v>
      </c>
      <c r="N1542" s="88"/>
      <c r="O1542" s="88"/>
      <c r="P1542" s="88"/>
    </row>
    <row r="1543" spans="1:16">
      <c r="A1543" s="94">
        <v>98431</v>
      </c>
      <c r="B1543" s="87" t="s">
        <v>1761</v>
      </c>
      <c r="C1543" s="12" t="s">
        <v>4</v>
      </c>
      <c r="D1543" s="93">
        <v>4069.97</v>
      </c>
      <c r="E1543" s="93">
        <v>1343.17</v>
      </c>
      <c r="F1543" s="93">
        <v>2706.9</v>
      </c>
      <c r="G1543" s="93">
        <v>17.14</v>
      </c>
      <c r="H1543" s="93">
        <v>0</v>
      </c>
      <c r="N1543" s="88"/>
      <c r="O1543" s="88"/>
      <c r="P1543" s="88"/>
    </row>
    <row r="1544" spans="1:16">
      <c r="A1544" s="94">
        <v>98432</v>
      </c>
      <c r="B1544" s="87" t="s">
        <v>1762</v>
      </c>
      <c r="C1544" s="12" t="s">
        <v>4</v>
      </c>
      <c r="D1544" s="93">
        <v>4867.92</v>
      </c>
      <c r="E1544" s="93">
        <v>1670.03</v>
      </c>
      <c r="F1544" s="93">
        <v>3177.33</v>
      </c>
      <c r="G1544" s="93">
        <v>17.5</v>
      </c>
      <c r="H1544" s="93">
        <v>0</v>
      </c>
      <c r="N1544" s="88"/>
      <c r="O1544" s="88"/>
      <c r="P1544" s="88"/>
    </row>
    <row r="1545" spans="1:16">
      <c r="A1545" s="94">
        <v>98433</v>
      </c>
      <c r="B1545" s="87" t="s">
        <v>1763</v>
      </c>
      <c r="C1545" s="12" t="s">
        <v>4</v>
      </c>
      <c r="D1545" s="93">
        <v>5308.25</v>
      </c>
      <c r="E1545" s="93">
        <v>1846.51</v>
      </c>
      <c r="F1545" s="93">
        <v>3440.76</v>
      </c>
      <c r="G1545" s="93">
        <v>17.73</v>
      </c>
      <c r="H1545" s="93">
        <v>0</v>
      </c>
      <c r="N1545" s="88"/>
      <c r="O1545" s="88"/>
      <c r="P1545" s="88"/>
    </row>
    <row r="1546" spans="1:16">
      <c r="A1546" s="94">
        <v>98434</v>
      </c>
      <c r="B1546" s="87" t="s">
        <v>1764</v>
      </c>
      <c r="C1546" s="12" t="s">
        <v>4</v>
      </c>
      <c r="D1546" s="93">
        <v>5748.58</v>
      </c>
      <c r="E1546" s="93">
        <v>2022.91</v>
      </c>
      <c r="F1546" s="93">
        <v>3704.24</v>
      </c>
      <c r="G1546" s="93">
        <v>17.97</v>
      </c>
      <c r="H1546" s="93">
        <v>0</v>
      </c>
      <c r="N1546" s="88"/>
      <c r="O1546" s="88"/>
      <c r="P1546" s="88"/>
    </row>
    <row r="1547" spans="1:16">
      <c r="A1547" s="94">
        <v>99240</v>
      </c>
      <c r="B1547" s="87" t="s">
        <v>6570</v>
      </c>
      <c r="C1547" s="12" t="s">
        <v>6</v>
      </c>
      <c r="D1547" s="93">
        <v>387.79</v>
      </c>
      <c r="E1547" s="93">
        <v>61.21</v>
      </c>
      <c r="F1547" s="93">
        <v>310.11</v>
      </c>
      <c r="G1547" s="93">
        <v>16.399999999999999</v>
      </c>
      <c r="H1547" s="93">
        <v>0</v>
      </c>
      <c r="N1547" s="88"/>
      <c r="O1547" s="88"/>
      <c r="P1547" s="88"/>
    </row>
    <row r="1548" spans="1:16">
      <c r="A1548" s="94">
        <v>99241</v>
      </c>
      <c r="B1548" s="87" t="s">
        <v>6571</v>
      </c>
      <c r="C1548" s="12" t="s">
        <v>6</v>
      </c>
      <c r="D1548" s="93">
        <v>1451.04</v>
      </c>
      <c r="E1548" s="93">
        <v>671.95</v>
      </c>
      <c r="F1548" s="93">
        <v>778.03</v>
      </c>
      <c r="G1548" s="93">
        <v>0.56999999999999995</v>
      </c>
      <c r="H1548" s="93">
        <v>0</v>
      </c>
      <c r="N1548" s="88"/>
      <c r="O1548" s="88"/>
      <c r="P1548" s="88"/>
    </row>
    <row r="1549" spans="1:16">
      <c r="A1549" s="94">
        <v>99242</v>
      </c>
      <c r="B1549" s="87" t="s">
        <v>6572</v>
      </c>
      <c r="C1549" s="12" t="s">
        <v>4</v>
      </c>
      <c r="D1549" s="93">
        <v>2577.36</v>
      </c>
      <c r="E1549" s="93">
        <v>971.04</v>
      </c>
      <c r="F1549" s="93">
        <v>1587.21</v>
      </c>
      <c r="G1549" s="93">
        <v>16.71</v>
      </c>
      <c r="H1549" s="93">
        <v>0</v>
      </c>
      <c r="N1549" s="88"/>
      <c r="O1549" s="88"/>
      <c r="P1549" s="88"/>
    </row>
    <row r="1550" spans="1:16">
      <c r="A1550" s="94">
        <v>99243</v>
      </c>
      <c r="B1550" s="87" t="s">
        <v>6573</v>
      </c>
      <c r="C1550" s="12" t="s">
        <v>6</v>
      </c>
      <c r="D1550" s="93">
        <v>1528.07</v>
      </c>
      <c r="E1550" s="93">
        <v>649.54</v>
      </c>
      <c r="F1550" s="93">
        <v>877.35</v>
      </c>
      <c r="G1550" s="93">
        <v>0.64</v>
      </c>
      <c r="H1550" s="93">
        <v>0</v>
      </c>
      <c r="N1550" s="88"/>
      <c r="O1550" s="88"/>
      <c r="P1550" s="88"/>
    </row>
    <row r="1551" spans="1:16">
      <c r="A1551" s="94">
        <v>99244</v>
      </c>
      <c r="B1551" s="87" t="s">
        <v>6574</v>
      </c>
      <c r="C1551" s="12" t="s">
        <v>4</v>
      </c>
      <c r="D1551" s="93">
        <v>4057.41</v>
      </c>
      <c r="E1551" s="93">
        <v>1511.05</v>
      </c>
      <c r="F1551" s="93">
        <v>2492.94</v>
      </c>
      <c r="G1551" s="93">
        <v>49.3</v>
      </c>
      <c r="H1551" s="93">
        <v>0</v>
      </c>
      <c r="N1551" s="88"/>
      <c r="O1551" s="88"/>
      <c r="P1551" s="88"/>
    </row>
    <row r="1552" spans="1:16">
      <c r="A1552" s="94">
        <v>99245</v>
      </c>
      <c r="B1552" s="87" t="s">
        <v>6575</v>
      </c>
      <c r="C1552" s="12" t="s">
        <v>4</v>
      </c>
      <c r="D1552" s="93">
        <v>1772.85</v>
      </c>
      <c r="E1552" s="93">
        <v>428.38</v>
      </c>
      <c r="F1552" s="93">
        <v>1241.78</v>
      </c>
      <c r="G1552" s="93">
        <v>101.09</v>
      </c>
      <c r="H1552" s="93">
        <v>0</v>
      </c>
      <c r="N1552" s="88"/>
      <c r="O1552" s="88"/>
      <c r="P1552" s="88"/>
    </row>
    <row r="1553" spans="1:16">
      <c r="A1553" s="94">
        <v>99246</v>
      </c>
      <c r="B1553" s="87" t="s">
        <v>6576</v>
      </c>
      <c r="C1553" s="12" t="s">
        <v>6</v>
      </c>
      <c r="D1553" s="93">
        <v>550.65</v>
      </c>
      <c r="E1553" s="93">
        <v>78.28</v>
      </c>
      <c r="F1553" s="93">
        <v>431.01</v>
      </c>
      <c r="G1553" s="93">
        <v>41.26</v>
      </c>
      <c r="H1553" s="93">
        <v>0</v>
      </c>
      <c r="N1553" s="88"/>
      <c r="O1553" s="88"/>
      <c r="P1553" s="88"/>
    </row>
    <row r="1554" spans="1:16">
      <c r="A1554" s="94">
        <v>99247</v>
      </c>
      <c r="B1554" s="87" t="s">
        <v>6577</v>
      </c>
      <c r="C1554" s="12" t="s">
        <v>6</v>
      </c>
      <c r="D1554" s="93">
        <v>1655.61</v>
      </c>
      <c r="E1554" s="93">
        <v>767.92</v>
      </c>
      <c r="F1554" s="93">
        <v>886.49</v>
      </c>
      <c r="G1554" s="93">
        <v>0.64</v>
      </c>
      <c r="H1554" s="93">
        <v>0</v>
      </c>
      <c r="N1554" s="88"/>
      <c r="O1554" s="88"/>
      <c r="P1554" s="88"/>
    </row>
    <row r="1555" spans="1:16">
      <c r="A1555" s="94">
        <v>99248</v>
      </c>
      <c r="B1555" s="87" t="s">
        <v>6578</v>
      </c>
      <c r="C1555" s="12" t="s">
        <v>4</v>
      </c>
      <c r="D1555" s="93">
        <v>3280.64</v>
      </c>
      <c r="E1555" s="93">
        <v>1203.96</v>
      </c>
      <c r="F1555" s="93">
        <v>2051.81</v>
      </c>
      <c r="G1555" s="93">
        <v>21.67</v>
      </c>
      <c r="H1555" s="93">
        <v>0</v>
      </c>
      <c r="N1555" s="88"/>
      <c r="O1555" s="88"/>
      <c r="P1555" s="88"/>
    </row>
    <row r="1556" spans="1:16">
      <c r="A1556" s="94">
        <v>99249</v>
      </c>
      <c r="B1556" s="87" t="s">
        <v>6579</v>
      </c>
      <c r="C1556" s="12" t="s">
        <v>6</v>
      </c>
      <c r="D1556" s="93">
        <v>1872.85</v>
      </c>
      <c r="E1556" s="93">
        <v>799.32</v>
      </c>
      <c r="F1556" s="93">
        <v>1072.1500000000001</v>
      </c>
      <c r="G1556" s="93">
        <v>0.75</v>
      </c>
      <c r="H1556" s="93">
        <v>0</v>
      </c>
      <c r="N1556" s="88"/>
      <c r="O1556" s="88"/>
      <c r="P1556" s="88"/>
    </row>
    <row r="1557" spans="1:16">
      <c r="A1557" s="94">
        <v>99252</v>
      </c>
      <c r="B1557" s="87" t="s">
        <v>6580</v>
      </c>
      <c r="C1557" s="12" t="s">
        <v>4</v>
      </c>
      <c r="D1557" s="93">
        <v>2128.31</v>
      </c>
      <c r="E1557" s="93">
        <v>832.86</v>
      </c>
      <c r="F1557" s="93">
        <v>1276.9000000000001</v>
      </c>
      <c r="G1557" s="93">
        <v>16.53</v>
      </c>
      <c r="H1557" s="93">
        <v>0</v>
      </c>
      <c r="N1557" s="88"/>
      <c r="O1557" s="88"/>
      <c r="P1557" s="88"/>
    </row>
    <row r="1558" spans="1:16">
      <c r="A1558" s="94">
        <v>99254</v>
      </c>
      <c r="B1558" s="87" t="s">
        <v>6581</v>
      </c>
      <c r="C1558" s="12" t="s">
        <v>6</v>
      </c>
      <c r="D1558" s="93">
        <v>1041.9000000000001</v>
      </c>
      <c r="E1558" s="93">
        <v>480.02</v>
      </c>
      <c r="F1558" s="93">
        <v>561.13</v>
      </c>
      <c r="G1558" s="93">
        <v>0.39</v>
      </c>
      <c r="H1558" s="93">
        <v>0</v>
      </c>
      <c r="N1558" s="88"/>
      <c r="O1558" s="88"/>
      <c r="P1558" s="88"/>
    </row>
    <row r="1559" spans="1:16">
      <c r="A1559" s="94">
        <v>99256</v>
      </c>
      <c r="B1559" s="87" t="s">
        <v>6582</v>
      </c>
      <c r="C1559" s="12" t="s">
        <v>4</v>
      </c>
      <c r="D1559" s="93">
        <v>4763.03</v>
      </c>
      <c r="E1559" s="93">
        <v>1761.61</v>
      </c>
      <c r="F1559" s="93">
        <v>2938.49</v>
      </c>
      <c r="G1559" s="93">
        <v>58.02</v>
      </c>
      <c r="H1559" s="93">
        <v>0</v>
      </c>
      <c r="N1559" s="88"/>
      <c r="O1559" s="88"/>
      <c r="P1559" s="88"/>
    </row>
    <row r="1560" spans="1:16">
      <c r="A1560" s="94">
        <v>99259</v>
      </c>
      <c r="B1560" s="87" t="s">
        <v>6583</v>
      </c>
      <c r="C1560" s="12" t="s">
        <v>4</v>
      </c>
      <c r="D1560" s="93">
        <v>2690.01</v>
      </c>
      <c r="E1560" s="93">
        <v>1044.07</v>
      </c>
      <c r="F1560" s="93">
        <v>1622.58</v>
      </c>
      <c r="G1560" s="93">
        <v>20.76</v>
      </c>
      <c r="H1560" s="93">
        <v>0</v>
      </c>
      <c r="N1560" s="88"/>
      <c r="O1560" s="88"/>
      <c r="P1560" s="88"/>
    </row>
    <row r="1561" spans="1:16">
      <c r="A1561" s="94">
        <v>99261</v>
      </c>
      <c r="B1561" s="87" t="s">
        <v>6584</v>
      </c>
      <c r="C1561" s="12" t="s">
        <v>6</v>
      </c>
      <c r="D1561" s="93">
        <v>1246.47</v>
      </c>
      <c r="E1561" s="93">
        <v>575.99</v>
      </c>
      <c r="F1561" s="93">
        <v>669.58</v>
      </c>
      <c r="G1561" s="93">
        <v>0.48</v>
      </c>
      <c r="H1561" s="93">
        <v>0</v>
      </c>
      <c r="N1561" s="88"/>
      <c r="O1561" s="88"/>
      <c r="P1561" s="88"/>
    </row>
    <row r="1562" spans="1:16">
      <c r="A1562" s="94">
        <v>99263</v>
      </c>
      <c r="B1562" s="87" t="s">
        <v>6585</v>
      </c>
      <c r="C1562" s="12" t="s">
        <v>6</v>
      </c>
      <c r="D1562" s="93">
        <v>1860.23</v>
      </c>
      <c r="E1562" s="93">
        <v>863.9</v>
      </c>
      <c r="F1562" s="93">
        <v>994.99</v>
      </c>
      <c r="G1562" s="93">
        <v>0.72</v>
      </c>
      <c r="H1562" s="93">
        <v>0</v>
      </c>
      <c r="N1562" s="88"/>
      <c r="O1562" s="88"/>
      <c r="P1562" s="88"/>
    </row>
    <row r="1563" spans="1:16">
      <c r="A1563" s="94">
        <v>99265</v>
      </c>
      <c r="B1563" s="87" t="s">
        <v>6586</v>
      </c>
      <c r="C1563" s="12" t="s">
        <v>4</v>
      </c>
      <c r="D1563" s="93">
        <v>3251.63</v>
      </c>
      <c r="E1563" s="93">
        <v>1255.19</v>
      </c>
      <c r="F1563" s="93">
        <v>1968.29</v>
      </c>
      <c r="G1563" s="93">
        <v>24.97</v>
      </c>
      <c r="H1563" s="93">
        <v>0</v>
      </c>
      <c r="N1563" s="88"/>
      <c r="O1563" s="88"/>
      <c r="P1563" s="88"/>
    </row>
    <row r="1564" spans="1:16">
      <c r="A1564" s="94">
        <v>99266</v>
      </c>
      <c r="B1564" s="87" t="s">
        <v>6587</v>
      </c>
      <c r="C1564" s="12" t="s">
        <v>6</v>
      </c>
      <c r="D1564" s="93">
        <v>1451.04</v>
      </c>
      <c r="E1564" s="93">
        <v>671.95</v>
      </c>
      <c r="F1564" s="93">
        <v>778.03</v>
      </c>
      <c r="G1564" s="93">
        <v>0.56999999999999995</v>
      </c>
      <c r="H1564" s="93">
        <v>0</v>
      </c>
      <c r="N1564" s="88"/>
      <c r="O1564" s="88"/>
      <c r="P1564" s="88"/>
    </row>
    <row r="1565" spans="1:16">
      <c r="A1565" s="94">
        <v>99267</v>
      </c>
      <c r="B1565" s="87" t="s">
        <v>6588</v>
      </c>
      <c r="C1565" s="12" t="s">
        <v>4</v>
      </c>
      <c r="D1565" s="93">
        <v>3813.29</v>
      </c>
      <c r="E1565" s="93">
        <v>1466.38</v>
      </c>
      <c r="F1565" s="93">
        <v>2313.92</v>
      </c>
      <c r="G1565" s="93">
        <v>29.23</v>
      </c>
      <c r="H1565" s="93">
        <v>0</v>
      </c>
      <c r="N1565" s="88"/>
      <c r="O1565" s="88"/>
      <c r="P1565" s="88"/>
    </row>
    <row r="1566" spans="1:16">
      <c r="A1566" s="94">
        <v>99268</v>
      </c>
      <c r="B1566" s="87" t="s">
        <v>6589</v>
      </c>
      <c r="C1566" s="12" t="s">
        <v>4</v>
      </c>
      <c r="D1566" s="93">
        <v>331.32</v>
      </c>
      <c r="E1566" s="93">
        <v>78.42</v>
      </c>
      <c r="F1566" s="93">
        <v>243.64</v>
      </c>
      <c r="G1566" s="93">
        <v>8.99</v>
      </c>
      <c r="H1566" s="93">
        <v>0</v>
      </c>
      <c r="N1566" s="88"/>
      <c r="O1566" s="88"/>
      <c r="P1566" s="88"/>
    </row>
    <row r="1567" spans="1:16">
      <c r="A1567" s="94">
        <v>99269</v>
      </c>
      <c r="B1567" s="87" t="s">
        <v>6590</v>
      </c>
      <c r="C1567" s="12" t="s">
        <v>6</v>
      </c>
      <c r="D1567" s="93">
        <v>1655.61</v>
      </c>
      <c r="E1567" s="93">
        <v>767.92</v>
      </c>
      <c r="F1567" s="93">
        <v>886.49</v>
      </c>
      <c r="G1567" s="93">
        <v>0.64</v>
      </c>
      <c r="H1567" s="93">
        <v>0</v>
      </c>
      <c r="N1567" s="88"/>
      <c r="O1567" s="88"/>
      <c r="P1567" s="88"/>
    </row>
    <row r="1568" spans="1:16">
      <c r="A1568" s="94">
        <v>99270</v>
      </c>
      <c r="B1568" s="87" t="s">
        <v>6591</v>
      </c>
      <c r="C1568" s="12" t="s">
        <v>4</v>
      </c>
      <c r="D1568" s="93">
        <v>416.11</v>
      </c>
      <c r="E1568" s="93">
        <v>93.42</v>
      </c>
      <c r="F1568" s="93">
        <v>309.35000000000002</v>
      </c>
      <c r="G1568" s="93">
        <v>13.06</v>
      </c>
      <c r="H1568" s="93">
        <v>0</v>
      </c>
      <c r="N1568" s="88"/>
      <c r="O1568" s="88"/>
      <c r="P1568" s="88"/>
    </row>
    <row r="1569" spans="1:16">
      <c r="A1569" s="94">
        <v>99271</v>
      </c>
      <c r="B1569" s="87" t="s">
        <v>6592</v>
      </c>
      <c r="C1569" s="12" t="s">
        <v>4</v>
      </c>
      <c r="D1569" s="93">
        <v>5468.53</v>
      </c>
      <c r="E1569" s="93">
        <v>2012.15</v>
      </c>
      <c r="F1569" s="93">
        <v>3384</v>
      </c>
      <c r="G1569" s="93">
        <v>66.7</v>
      </c>
      <c r="H1569" s="93">
        <v>0</v>
      </c>
      <c r="N1569" s="88"/>
      <c r="O1569" s="88"/>
      <c r="P1569" s="88"/>
    </row>
    <row r="1570" spans="1:16">
      <c r="A1570" s="94">
        <v>99272</v>
      </c>
      <c r="B1570" s="87" t="s">
        <v>6593</v>
      </c>
      <c r="C1570" s="12" t="s">
        <v>4</v>
      </c>
      <c r="D1570" s="93">
        <v>948.45</v>
      </c>
      <c r="E1570" s="93">
        <v>368.34</v>
      </c>
      <c r="F1570" s="93">
        <v>574.70000000000005</v>
      </c>
      <c r="G1570" s="93">
        <v>4.59</v>
      </c>
      <c r="H1570" s="93">
        <v>0</v>
      </c>
      <c r="N1570" s="88"/>
      <c r="O1570" s="88"/>
      <c r="P1570" s="88"/>
    </row>
    <row r="1571" spans="1:16">
      <c r="A1571" s="94">
        <v>99273</v>
      </c>
      <c r="B1571" s="87" t="s">
        <v>6594</v>
      </c>
      <c r="C1571" s="12" t="s">
        <v>4</v>
      </c>
      <c r="D1571" s="93">
        <v>1383.14</v>
      </c>
      <c r="E1571" s="93">
        <v>549.01</v>
      </c>
      <c r="F1571" s="93">
        <v>828.32</v>
      </c>
      <c r="G1571" s="93">
        <v>4.8099999999999996</v>
      </c>
      <c r="H1571" s="93">
        <v>0</v>
      </c>
      <c r="N1571" s="88"/>
      <c r="O1571" s="88"/>
      <c r="P1571" s="88"/>
    </row>
    <row r="1572" spans="1:16">
      <c r="A1572" s="94">
        <v>99274</v>
      </c>
      <c r="B1572" s="87" t="s">
        <v>6595</v>
      </c>
      <c r="C1572" s="12" t="s">
        <v>4</v>
      </c>
      <c r="D1572" s="93">
        <v>4397.4399999999996</v>
      </c>
      <c r="E1572" s="93">
        <v>1677.55</v>
      </c>
      <c r="F1572" s="93">
        <v>2664</v>
      </c>
      <c r="G1572" s="93">
        <v>51.54</v>
      </c>
      <c r="H1572" s="93">
        <v>0</v>
      </c>
      <c r="N1572" s="88"/>
      <c r="O1572" s="88"/>
      <c r="P1572" s="88"/>
    </row>
    <row r="1573" spans="1:16">
      <c r="A1573" s="94">
        <v>99275</v>
      </c>
      <c r="B1573" s="87" t="s">
        <v>6596</v>
      </c>
      <c r="C1573" s="12" t="s">
        <v>4</v>
      </c>
      <c r="D1573" s="93">
        <v>657.49</v>
      </c>
      <c r="E1573" s="93">
        <v>201.41</v>
      </c>
      <c r="F1573" s="93">
        <v>429.21</v>
      </c>
      <c r="G1573" s="93">
        <v>26.07</v>
      </c>
      <c r="H1573" s="93">
        <v>0</v>
      </c>
      <c r="N1573" s="88"/>
      <c r="O1573" s="88"/>
      <c r="P1573" s="88"/>
    </row>
    <row r="1574" spans="1:16">
      <c r="A1574" s="94">
        <v>99276</v>
      </c>
      <c r="B1574" s="87" t="s">
        <v>6597</v>
      </c>
      <c r="C1574" s="12" t="s">
        <v>6</v>
      </c>
      <c r="D1574" s="93">
        <v>2064.8000000000002</v>
      </c>
      <c r="E1574" s="93">
        <v>959.84</v>
      </c>
      <c r="F1574" s="93">
        <v>1103.47</v>
      </c>
      <c r="G1574" s="93">
        <v>0.8</v>
      </c>
      <c r="H1574" s="93">
        <v>0</v>
      </c>
      <c r="N1574" s="88"/>
      <c r="O1574" s="88"/>
      <c r="P1574" s="88"/>
    </row>
    <row r="1575" spans="1:16">
      <c r="A1575" s="94">
        <v>99277</v>
      </c>
      <c r="B1575" s="87" t="s">
        <v>6598</v>
      </c>
      <c r="C1575" s="12" t="s">
        <v>6</v>
      </c>
      <c r="D1575" s="93">
        <v>1860.23</v>
      </c>
      <c r="E1575" s="93">
        <v>863.9</v>
      </c>
      <c r="F1575" s="93">
        <v>994.99</v>
      </c>
      <c r="G1575" s="93">
        <v>0.72</v>
      </c>
      <c r="H1575" s="93">
        <v>0</v>
      </c>
      <c r="N1575" s="88"/>
      <c r="O1575" s="88"/>
      <c r="P1575" s="88"/>
    </row>
    <row r="1576" spans="1:16">
      <c r="A1576" s="94">
        <v>99278</v>
      </c>
      <c r="B1576" s="87" t="s">
        <v>6599</v>
      </c>
      <c r="C1576" s="12" t="s">
        <v>6</v>
      </c>
      <c r="D1576" s="93">
        <v>230.11</v>
      </c>
      <c r="E1576" s="93">
        <v>42.92</v>
      </c>
      <c r="F1576" s="93">
        <v>175.04</v>
      </c>
      <c r="G1576" s="93">
        <v>12.11</v>
      </c>
      <c r="H1576" s="93">
        <v>0</v>
      </c>
      <c r="N1576" s="88"/>
      <c r="O1576" s="88"/>
      <c r="P1576" s="88"/>
    </row>
    <row r="1577" spans="1:16">
      <c r="A1577" s="94">
        <v>99279</v>
      </c>
      <c r="B1577" s="87" t="s">
        <v>6600</v>
      </c>
      <c r="C1577" s="12" t="s">
        <v>4</v>
      </c>
      <c r="D1577" s="93">
        <v>4961.8599999999997</v>
      </c>
      <c r="E1577" s="93">
        <v>1888.7</v>
      </c>
      <c r="F1577" s="93">
        <v>3010.12</v>
      </c>
      <c r="G1577" s="93">
        <v>58.1</v>
      </c>
      <c r="H1577" s="93">
        <v>0</v>
      </c>
      <c r="N1577" s="88"/>
      <c r="O1577" s="88"/>
      <c r="P1577" s="88"/>
    </row>
    <row r="1578" spans="1:16">
      <c r="A1578" s="94">
        <v>99280</v>
      </c>
      <c r="B1578" s="87" t="s">
        <v>6601</v>
      </c>
      <c r="C1578" s="12" t="s">
        <v>4</v>
      </c>
      <c r="D1578" s="93">
        <v>1772.2</v>
      </c>
      <c r="E1578" s="93">
        <v>688.7</v>
      </c>
      <c r="F1578" s="93">
        <v>1070.6600000000001</v>
      </c>
      <c r="G1578" s="93">
        <v>11.29</v>
      </c>
      <c r="H1578" s="93">
        <v>0</v>
      </c>
      <c r="N1578" s="88"/>
      <c r="O1578" s="88"/>
      <c r="P1578" s="88"/>
    </row>
    <row r="1579" spans="1:16">
      <c r="A1579" s="94">
        <v>99281</v>
      </c>
      <c r="B1579" s="87" t="s">
        <v>6602</v>
      </c>
      <c r="C1579" s="12" t="s">
        <v>6</v>
      </c>
      <c r="D1579" s="93">
        <v>2064.8000000000002</v>
      </c>
      <c r="E1579" s="93">
        <v>959.84</v>
      </c>
      <c r="F1579" s="93">
        <v>1103.47</v>
      </c>
      <c r="G1579" s="93">
        <v>0.8</v>
      </c>
      <c r="H1579" s="93">
        <v>0</v>
      </c>
      <c r="N1579" s="88"/>
      <c r="O1579" s="88"/>
      <c r="P1579" s="88"/>
    </row>
    <row r="1580" spans="1:16">
      <c r="A1580" s="94">
        <v>99282</v>
      </c>
      <c r="B1580" s="87" t="s">
        <v>6603</v>
      </c>
      <c r="C1580" s="12" t="s">
        <v>6</v>
      </c>
      <c r="D1580" s="93">
        <v>2302.79</v>
      </c>
      <c r="E1580" s="93">
        <v>1067.44</v>
      </c>
      <c r="F1580" s="93">
        <v>1233.6099999999999</v>
      </c>
      <c r="G1580" s="93">
        <v>0.94</v>
      </c>
      <c r="H1580" s="93">
        <v>0</v>
      </c>
      <c r="N1580" s="88"/>
      <c r="O1580" s="88"/>
      <c r="P1580" s="88"/>
    </row>
    <row r="1581" spans="1:16">
      <c r="A1581" s="94">
        <v>99283</v>
      </c>
      <c r="B1581" s="87" t="s">
        <v>6604</v>
      </c>
      <c r="C1581" s="12" t="s">
        <v>6</v>
      </c>
      <c r="D1581" s="93">
        <v>1068.3499999999999</v>
      </c>
      <c r="E1581" s="93">
        <v>449.8</v>
      </c>
      <c r="F1581" s="93">
        <v>617.63</v>
      </c>
      <c r="G1581" s="93">
        <v>0.5</v>
      </c>
      <c r="H1581" s="93">
        <v>0</v>
      </c>
      <c r="N1581" s="88"/>
      <c r="O1581" s="88"/>
      <c r="P1581" s="88"/>
    </row>
    <row r="1582" spans="1:16">
      <c r="A1582" s="94">
        <v>99284</v>
      </c>
      <c r="B1582" s="87" t="s">
        <v>6605</v>
      </c>
      <c r="C1582" s="12" t="s">
        <v>4</v>
      </c>
      <c r="D1582" s="93">
        <v>6174.18</v>
      </c>
      <c r="E1582" s="93">
        <v>2262.71</v>
      </c>
      <c r="F1582" s="93">
        <v>3829.63</v>
      </c>
      <c r="G1582" s="93">
        <v>75.41</v>
      </c>
      <c r="H1582" s="93">
        <v>0</v>
      </c>
      <c r="N1582" s="88"/>
      <c r="O1582" s="88"/>
      <c r="P1582" s="88"/>
    </row>
    <row r="1583" spans="1:16">
      <c r="A1583" s="94">
        <v>99285</v>
      </c>
      <c r="B1583" s="87" t="s">
        <v>5552</v>
      </c>
      <c r="C1583" s="12" t="s">
        <v>4</v>
      </c>
      <c r="D1583" s="93">
        <v>840.34</v>
      </c>
      <c r="E1583" s="93">
        <v>221.69</v>
      </c>
      <c r="F1583" s="93">
        <v>587.95000000000005</v>
      </c>
      <c r="G1583" s="93">
        <v>29.95</v>
      </c>
      <c r="H1583" s="93">
        <v>0</v>
      </c>
      <c r="N1583" s="88"/>
      <c r="O1583" s="88"/>
      <c r="P1583" s="88"/>
    </row>
    <row r="1584" spans="1:16">
      <c r="A1584" s="94">
        <v>99286</v>
      </c>
      <c r="B1584" s="87" t="s">
        <v>6606</v>
      </c>
      <c r="C1584" s="12" t="s">
        <v>4</v>
      </c>
      <c r="D1584" s="93">
        <v>5526.42</v>
      </c>
      <c r="E1584" s="93">
        <v>2099.91</v>
      </c>
      <c r="F1584" s="93">
        <v>3356.4</v>
      </c>
      <c r="G1584" s="93">
        <v>64.58</v>
      </c>
      <c r="H1584" s="93">
        <v>0</v>
      </c>
      <c r="N1584" s="88"/>
      <c r="O1584" s="88"/>
      <c r="P1584" s="88"/>
    </row>
    <row r="1585" spans="1:16">
      <c r="A1585" s="94">
        <v>99287</v>
      </c>
      <c r="B1585" s="87" t="s">
        <v>6607</v>
      </c>
      <c r="C1585" s="12" t="s">
        <v>4</v>
      </c>
      <c r="D1585" s="93">
        <v>7795.58</v>
      </c>
      <c r="E1585" s="93">
        <v>2715.59</v>
      </c>
      <c r="F1585" s="93">
        <v>4968.17</v>
      </c>
      <c r="G1585" s="93">
        <v>103.42</v>
      </c>
      <c r="H1585" s="93">
        <v>0</v>
      </c>
      <c r="N1585" s="88"/>
      <c r="O1585" s="88"/>
      <c r="P1585" s="88"/>
    </row>
    <row r="1586" spans="1:16">
      <c r="A1586" s="94">
        <v>99288</v>
      </c>
      <c r="B1586" s="87" t="s">
        <v>6608</v>
      </c>
      <c r="C1586" s="12" t="s">
        <v>6</v>
      </c>
      <c r="D1586" s="93">
        <v>298.51</v>
      </c>
      <c r="E1586" s="93">
        <v>51.69</v>
      </c>
      <c r="F1586" s="93">
        <v>232.66</v>
      </c>
      <c r="G1586" s="93">
        <v>14.11</v>
      </c>
      <c r="H1586" s="93">
        <v>0</v>
      </c>
      <c r="N1586" s="88"/>
      <c r="O1586" s="88"/>
      <c r="P1586" s="88"/>
    </row>
    <row r="1587" spans="1:16">
      <c r="A1587" s="94">
        <v>99289</v>
      </c>
      <c r="B1587" s="87" t="s">
        <v>6609</v>
      </c>
      <c r="C1587" s="12" t="s">
        <v>6</v>
      </c>
      <c r="D1587" s="93">
        <v>2269.37</v>
      </c>
      <c r="E1587" s="93">
        <v>1055.8599999999999</v>
      </c>
      <c r="F1587" s="93">
        <v>1211.8800000000001</v>
      </c>
      <c r="G1587" s="93">
        <v>0.87</v>
      </c>
      <c r="H1587" s="93">
        <v>0</v>
      </c>
      <c r="N1587" s="88"/>
      <c r="O1587" s="88"/>
      <c r="P1587" s="88"/>
    </row>
    <row r="1588" spans="1:16">
      <c r="A1588" s="94">
        <v>99290</v>
      </c>
      <c r="B1588" s="87" t="s">
        <v>6610</v>
      </c>
      <c r="C1588" s="12" t="s">
        <v>4</v>
      </c>
      <c r="D1588" s="93">
        <v>3334.15</v>
      </c>
      <c r="E1588" s="93">
        <v>1260.5</v>
      </c>
      <c r="F1588" s="93">
        <v>2044.02</v>
      </c>
      <c r="G1588" s="93">
        <v>26.27</v>
      </c>
      <c r="H1588" s="93">
        <v>0</v>
      </c>
      <c r="N1588" s="88"/>
      <c r="O1588" s="88"/>
      <c r="P1588" s="88"/>
    </row>
    <row r="1589" spans="1:16">
      <c r="A1589" s="94">
        <v>99291</v>
      </c>
      <c r="B1589" s="87" t="s">
        <v>6611</v>
      </c>
      <c r="C1589" s="12" t="s">
        <v>6</v>
      </c>
      <c r="D1589" s="93">
        <v>2269.37</v>
      </c>
      <c r="E1589" s="93">
        <v>1055.8599999999999</v>
      </c>
      <c r="F1589" s="93">
        <v>1211.8800000000001</v>
      </c>
      <c r="G1589" s="93">
        <v>0.87</v>
      </c>
      <c r="H1589" s="93">
        <v>0</v>
      </c>
      <c r="N1589" s="88"/>
      <c r="O1589" s="88"/>
      <c r="P1589" s="88"/>
    </row>
    <row r="1590" spans="1:16">
      <c r="A1590" s="94">
        <v>99292</v>
      </c>
      <c r="B1590" s="87" t="s">
        <v>6612</v>
      </c>
      <c r="C1590" s="12" t="s">
        <v>4</v>
      </c>
      <c r="D1590" s="93">
        <v>2178.58</v>
      </c>
      <c r="E1590" s="93">
        <v>834.28</v>
      </c>
      <c r="F1590" s="93">
        <v>1328.57</v>
      </c>
      <c r="G1590" s="93">
        <v>13.78</v>
      </c>
      <c r="H1590" s="93">
        <v>0</v>
      </c>
      <c r="N1590" s="88"/>
      <c r="O1590" s="88"/>
      <c r="P1590" s="88"/>
    </row>
    <row r="1591" spans="1:16">
      <c r="A1591" s="94">
        <v>99293</v>
      </c>
      <c r="B1591" s="87" t="s">
        <v>6613</v>
      </c>
      <c r="C1591" s="12" t="s">
        <v>6</v>
      </c>
      <c r="D1591" s="93">
        <v>1298.18</v>
      </c>
      <c r="E1591" s="93">
        <v>549.71</v>
      </c>
      <c r="F1591" s="93">
        <v>747.43</v>
      </c>
      <c r="G1591" s="93">
        <v>0.56000000000000005</v>
      </c>
      <c r="H1591" s="93">
        <v>0</v>
      </c>
      <c r="N1591" s="88"/>
      <c r="O1591" s="88"/>
      <c r="P1591" s="88"/>
    </row>
    <row r="1592" spans="1:16">
      <c r="A1592" s="94">
        <v>99294</v>
      </c>
      <c r="B1592" s="87" t="s">
        <v>6614</v>
      </c>
      <c r="C1592" s="12" t="s">
        <v>4</v>
      </c>
      <c r="D1592" s="93">
        <v>6879.76</v>
      </c>
      <c r="E1592" s="93">
        <v>2513.31</v>
      </c>
      <c r="F1592" s="93">
        <v>4275.16</v>
      </c>
      <c r="G1592" s="93">
        <v>84.08</v>
      </c>
      <c r="H1592" s="93">
        <v>0</v>
      </c>
      <c r="N1592" s="88"/>
      <c r="O1592" s="88"/>
      <c r="P1592" s="88"/>
    </row>
    <row r="1593" spans="1:16">
      <c r="A1593" s="94">
        <v>99295</v>
      </c>
      <c r="B1593" s="87" t="s">
        <v>6612</v>
      </c>
      <c r="C1593" s="12" t="s">
        <v>4</v>
      </c>
      <c r="D1593" s="93">
        <v>1282.3599999999999</v>
      </c>
      <c r="E1593" s="93">
        <v>293.66000000000003</v>
      </c>
      <c r="F1593" s="93">
        <v>949.17</v>
      </c>
      <c r="G1593" s="93">
        <v>38.479999999999997</v>
      </c>
      <c r="H1593" s="93">
        <v>0</v>
      </c>
      <c r="N1593" s="88"/>
      <c r="O1593" s="88"/>
      <c r="P1593" s="88"/>
    </row>
    <row r="1594" spans="1:16">
      <c r="A1594" s="94">
        <v>99296</v>
      </c>
      <c r="B1594" s="87" t="s">
        <v>6615</v>
      </c>
      <c r="C1594" s="12" t="s">
        <v>6</v>
      </c>
      <c r="D1594" s="93">
        <v>2507.36</v>
      </c>
      <c r="E1594" s="93">
        <v>1163.3900000000001</v>
      </c>
      <c r="F1594" s="93">
        <v>1342.09</v>
      </c>
      <c r="G1594" s="93">
        <v>1.01</v>
      </c>
      <c r="H1594" s="93">
        <v>0</v>
      </c>
      <c r="N1594" s="88"/>
      <c r="O1594" s="88"/>
      <c r="P1594" s="88"/>
    </row>
    <row r="1595" spans="1:16">
      <c r="A1595" s="94">
        <v>99297</v>
      </c>
      <c r="B1595" s="87" t="s">
        <v>6616</v>
      </c>
      <c r="C1595" s="12" t="s">
        <v>6</v>
      </c>
      <c r="D1595" s="93">
        <v>2501.59</v>
      </c>
      <c r="E1595" s="93">
        <v>1161.4000000000001</v>
      </c>
      <c r="F1595" s="93">
        <v>1338.33</v>
      </c>
      <c r="G1595" s="93">
        <v>1</v>
      </c>
      <c r="H1595" s="93">
        <v>0</v>
      </c>
      <c r="N1595" s="88"/>
      <c r="O1595" s="88"/>
      <c r="P1595" s="88"/>
    </row>
    <row r="1596" spans="1:16">
      <c r="A1596" s="94">
        <v>99298</v>
      </c>
      <c r="B1596" s="87" t="s">
        <v>6617</v>
      </c>
      <c r="C1596" s="12" t="s">
        <v>4</v>
      </c>
      <c r="D1596" s="93">
        <v>8808.6299999999992</v>
      </c>
      <c r="E1596" s="93">
        <v>3046.3</v>
      </c>
      <c r="F1596" s="93">
        <v>5636.3</v>
      </c>
      <c r="G1596" s="93">
        <v>116.47</v>
      </c>
      <c r="H1596" s="93">
        <v>0</v>
      </c>
      <c r="N1596" s="88"/>
      <c r="O1596" s="88"/>
      <c r="P1596" s="88"/>
    </row>
    <row r="1597" spans="1:16">
      <c r="A1597" s="94">
        <v>99299</v>
      </c>
      <c r="B1597" s="87" t="s">
        <v>6618</v>
      </c>
      <c r="C1597" s="12" t="s">
        <v>6</v>
      </c>
      <c r="D1597" s="93">
        <v>2711.86</v>
      </c>
      <c r="E1597" s="93">
        <v>1259.3399999999999</v>
      </c>
      <c r="F1597" s="93">
        <v>1450.49</v>
      </c>
      <c r="G1597" s="93">
        <v>1.1000000000000001</v>
      </c>
      <c r="H1597" s="93">
        <v>0</v>
      </c>
      <c r="N1597" s="88"/>
      <c r="O1597" s="88"/>
      <c r="P1597" s="88"/>
    </row>
    <row r="1598" spans="1:16">
      <c r="A1598" s="94">
        <v>99300</v>
      </c>
      <c r="B1598" s="87" t="s">
        <v>6619</v>
      </c>
      <c r="C1598" s="12" t="s">
        <v>4</v>
      </c>
      <c r="D1598" s="93">
        <v>9821.7099999999991</v>
      </c>
      <c r="E1598" s="93">
        <v>3377.01</v>
      </c>
      <c r="F1598" s="93">
        <v>6304.49</v>
      </c>
      <c r="G1598" s="93">
        <v>129.5</v>
      </c>
      <c r="H1598" s="93">
        <v>0</v>
      </c>
      <c r="N1598" s="88"/>
      <c r="O1598" s="88"/>
      <c r="P1598" s="88"/>
    </row>
    <row r="1599" spans="1:16">
      <c r="A1599" s="94">
        <v>99301</v>
      </c>
      <c r="B1599" s="87" t="s">
        <v>6620</v>
      </c>
      <c r="C1599" s="12" t="s">
        <v>4</v>
      </c>
      <c r="D1599" s="93">
        <v>4909.55</v>
      </c>
      <c r="E1599" s="93">
        <v>1808.57</v>
      </c>
      <c r="F1599" s="93">
        <v>3053.92</v>
      </c>
      <c r="G1599" s="93">
        <v>41.96</v>
      </c>
      <c r="H1599" s="93">
        <v>0</v>
      </c>
      <c r="N1599" s="88"/>
      <c r="O1599" s="88"/>
      <c r="P1599" s="88"/>
    </row>
    <row r="1600" spans="1:16">
      <c r="A1600" s="94">
        <v>99302</v>
      </c>
      <c r="B1600" s="87" t="s">
        <v>6621</v>
      </c>
      <c r="C1600" s="12" t="s">
        <v>6</v>
      </c>
      <c r="D1600" s="93">
        <v>2922.2</v>
      </c>
      <c r="E1600" s="93">
        <v>1357.31</v>
      </c>
      <c r="F1600" s="93">
        <v>1562.68</v>
      </c>
      <c r="G1600" s="93">
        <v>1.2</v>
      </c>
      <c r="H1600" s="93">
        <v>0</v>
      </c>
      <c r="N1600" s="88"/>
      <c r="O1600" s="88"/>
      <c r="P1600" s="88"/>
    </row>
    <row r="1601" spans="1:16">
      <c r="A1601" s="94">
        <v>99303</v>
      </c>
      <c r="B1601" s="87" t="s">
        <v>6622</v>
      </c>
      <c r="C1601" s="12" t="s">
        <v>4</v>
      </c>
      <c r="D1601" s="93">
        <v>9004.2999999999993</v>
      </c>
      <c r="E1601" s="93">
        <v>3088.5</v>
      </c>
      <c r="F1601" s="93">
        <v>5787.38</v>
      </c>
      <c r="G1601" s="93">
        <v>118.65</v>
      </c>
      <c r="H1601" s="93">
        <v>0</v>
      </c>
      <c r="N1601" s="88"/>
      <c r="O1601" s="88"/>
      <c r="P1601" s="88"/>
    </row>
    <row r="1602" spans="1:16">
      <c r="A1602" s="94">
        <v>99304</v>
      </c>
      <c r="B1602" s="87" t="s">
        <v>6623</v>
      </c>
      <c r="C1602" s="12" t="s">
        <v>6</v>
      </c>
      <c r="D1602" s="93">
        <v>2717.62</v>
      </c>
      <c r="E1602" s="93">
        <v>1261.3399999999999</v>
      </c>
      <c r="F1602" s="93">
        <v>1454.23</v>
      </c>
      <c r="G1602" s="93">
        <v>1.1100000000000001</v>
      </c>
      <c r="H1602" s="93">
        <v>0</v>
      </c>
      <c r="N1602" s="88"/>
      <c r="O1602" s="88"/>
      <c r="P1602" s="88"/>
    </row>
    <row r="1603" spans="1:16">
      <c r="A1603" s="94">
        <v>99305</v>
      </c>
      <c r="B1603" s="87" t="s">
        <v>6624</v>
      </c>
      <c r="C1603" s="12" t="s">
        <v>4</v>
      </c>
      <c r="D1603" s="93">
        <v>10169.799999999999</v>
      </c>
      <c r="E1603" s="93">
        <v>3459.11</v>
      </c>
      <c r="F1603" s="93">
        <v>6565.71</v>
      </c>
      <c r="G1603" s="93">
        <v>133.86000000000001</v>
      </c>
      <c r="H1603" s="93">
        <v>0</v>
      </c>
      <c r="N1603" s="88"/>
      <c r="O1603" s="88"/>
      <c r="P1603" s="88"/>
    </row>
    <row r="1604" spans="1:16">
      <c r="A1604" s="94">
        <v>99306</v>
      </c>
      <c r="B1604" s="87" t="s">
        <v>6625</v>
      </c>
      <c r="C1604" s="12" t="s">
        <v>6</v>
      </c>
      <c r="D1604" s="93">
        <v>2922.2</v>
      </c>
      <c r="E1604" s="93">
        <v>1357.31</v>
      </c>
      <c r="F1604" s="93">
        <v>1562.68</v>
      </c>
      <c r="G1604" s="93">
        <v>1.2</v>
      </c>
      <c r="H1604" s="93">
        <v>0</v>
      </c>
      <c r="N1604" s="88"/>
      <c r="O1604" s="88"/>
      <c r="P1604" s="88"/>
    </row>
    <row r="1605" spans="1:16">
      <c r="A1605" s="94">
        <v>99307</v>
      </c>
      <c r="B1605" s="87" t="s">
        <v>6626</v>
      </c>
      <c r="C1605" s="12" t="s">
        <v>6</v>
      </c>
      <c r="D1605" s="93">
        <v>1887.87</v>
      </c>
      <c r="E1605" s="93">
        <v>873.49</v>
      </c>
      <c r="F1605" s="93">
        <v>1012.96</v>
      </c>
      <c r="G1605" s="93">
        <v>0.76</v>
      </c>
      <c r="H1605" s="93">
        <v>0</v>
      </c>
      <c r="N1605" s="88"/>
      <c r="O1605" s="88"/>
      <c r="P1605" s="88"/>
    </row>
    <row r="1606" spans="1:16">
      <c r="A1606" s="94">
        <v>99308</v>
      </c>
      <c r="B1606" s="87" t="s">
        <v>6627</v>
      </c>
      <c r="C1606" s="12" t="s">
        <v>4</v>
      </c>
      <c r="D1606" s="93">
        <v>11335.33</v>
      </c>
      <c r="E1606" s="93">
        <v>3829.71</v>
      </c>
      <c r="F1606" s="93">
        <v>7344.07</v>
      </c>
      <c r="G1606" s="93">
        <v>149.08000000000001</v>
      </c>
      <c r="H1606" s="93">
        <v>0</v>
      </c>
      <c r="N1606" s="88"/>
      <c r="O1606" s="88"/>
      <c r="P1606" s="88"/>
    </row>
    <row r="1607" spans="1:16">
      <c r="A1607" s="94">
        <v>99309</v>
      </c>
      <c r="B1607" s="87" t="s">
        <v>6628</v>
      </c>
      <c r="C1607" s="12" t="s">
        <v>6</v>
      </c>
      <c r="D1607" s="93">
        <v>3132.54</v>
      </c>
      <c r="E1607" s="93">
        <v>1455.27</v>
      </c>
      <c r="F1607" s="93">
        <v>1674.9</v>
      </c>
      <c r="G1607" s="93">
        <v>1.29</v>
      </c>
      <c r="H1607" s="93">
        <v>0</v>
      </c>
      <c r="N1607" s="88"/>
      <c r="O1607" s="88"/>
      <c r="P1607" s="88"/>
    </row>
    <row r="1608" spans="1:16">
      <c r="A1608" s="94">
        <v>99310</v>
      </c>
      <c r="B1608" s="87" t="s">
        <v>6629</v>
      </c>
      <c r="C1608" s="12" t="s">
        <v>4</v>
      </c>
      <c r="D1608" s="93">
        <v>11538.77</v>
      </c>
      <c r="E1608" s="93">
        <v>3872.3</v>
      </c>
      <c r="F1608" s="93">
        <v>7502.47</v>
      </c>
      <c r="G1608" s="93">
        <v>151.30000000000001</v>
      </c>
      <c r="H1608" s="93">
        <v>0</v>
      </c>
      <c r="N1608" s="88"/>
      <c r="O1608" s="88"/>
      <c r="P1608" s="88"/>
    </row>
    <row r="1609" spans="1:16">
      <c r="A1609" s="94">
        <v>99311</v>
      </c>
      <c r="B1609" s="87" t="s">
        <v>6630</v>
      </c>
      <c r="C1609" s="12" t="s">
        <v>6</v>
      </c>
      <c r="D1609" s="93">
        <v>3132.54</v>
      </c>
      <c r="E1609" s="93">
        <v>1455.27</v>
      </c>
      <c r="F1609" s="93">
        <v>1674.9</v>
      </c>
      <c r="G1609" s="93">
        <v>1.29</v>
      </c>
      <c r="H1609" s="93">
        <v>0</v>
      </c>
      <c r="N1609" s="88"/>
      <c r="O1609" s="88"/>
      <c r="P1609" s="88"/>
    </row>
    <row r="1610" spans="1:16">
      <c r="A1610" s="94">
        <v>99312</v>
      </c>
      <c r="B1610" s="87" t="s">
        <v>6631</v>
      </c>
      <c r="C1610" s="12" t="s">
        <v>4</v>
      </c>
      <c r="D1610" s="93">
        <v>5749.33</v>
      </c>
      <c r="E1610" s="93">
        <v>2098.17</v>
      </c>
      <c r="F1610" s="93">
        <v>3596.15</v>
      </c>
      <c r="G1610" s="93">
        <v>48.95</v>
      </c>
      <c r="H1610" s="93">
        <v>0</v>
      </c>
      <c r="N1610" s="88"/>
      <c r="O1610" s="88"/>
      <c r="P1610" s="88"/>
    </row>
    <row r="1611" spans="1:16">
      <c r="A1611" s="94">
        <v>99313</v>
      </c>
      <c r="B1611" s="87" t="s">
        <v>6632</v>
      </c>
      <c r="C1611" s="12" t="s">
        <v>4</v>
      </c>
      <c r="D1611" s="93">
        <v>12857.84</v>
      </c>
      <c r="E1611" s="93">
        <v>4282.92</v>
      </c>
      <c r="F1611" s="93">
        <v>8392.02</v>
      </c>
      <c r="G1611" s="93">
        <v>168.67</v>
      </c>
      <c r="H1611" s="93">
        <v>0</v>
      </c>
      <c r="N1611" s="88"/>
      <c r="O1611" s="88"/>
      <c r="P1611" s="88"/>
    </row>
    <row r="1612" spans="1:16">
      <c r="A1612" s="94">
        <v>99314</v>
      </c>
      <c r="B1612" s="87" t="s">
        <v>6633</v>
      </c>
      <c r="C1612" s="12" t="s">
        <v>6</v>
      </c>
      <c r="D1612" s="93">
        <v>3342.88</v>
      </c>
      <c r="E1612" s="93">
        <v>1553.24</v>
      </c>
      <c r="F1612" s="93">
        <v>1787.11</v>
      </c>
      <c r="G1612" s="93">
        <v>1.38</v>
      </c>
      <c r="H1612" s="93">
        <v>0</v>
      </c>
      <c r="N1612" s="88"/>
      <c r="O1612" s="88"/>
      <c r="P1612" s="88"/>
    </row>
    <row r="1613" spans="1:16">
      <c r="A1613" s="94">
        <v>99315</v>
      </c>
      <c r="B1613" s="87" t="s">
        <v>6634</v>
      </c>
      <c r="C1613" s="12" t="s">
        <v>4</v>
      </c>
      <c r="D1613" s="93">
        <v>14389.46</v>
      </c>
      <c r="E1613" s="93">
        <v>4736.6499999999996</v>
      </c>
      <c r="F1613" s="93">
        <v>9448.59</v>
      </c>
      <c r="G1613" s="93">
        <v>188.23</v>
      </c>
      <c r="H1613" s="93">
        <v>0</v>
      </c>
      <c r="N1613" s="88"/>
      <c r="O1613" s="88"/>
      <c r="P1613" s="88"/>
    </row>
    <row r="1614" spans="1:16">
      <c r="A1614" s="94">
        <v>99317</v>
      </c>
      <c r="B1614" s="87" t="s">
        <v>6635</v>
      </c>
      <c r="C1614" s="12" t="s">
        <v>6</v>
      </c>
      <c r="D1614" s="93">
        <v>2092.4299999999998</v>
      </c>
      <c r="E1614" s="93">
        <v>969.43</v>
      </c>
      <c r="F1614" s="93">
        <v>1121.43</v>
      </c>
      <c r="G1614" s="93">
        <v>0.84</v>
      </c>
      <c r="H1614" s="93">
        <v>0</v>
      </c>
      <c r="N1614" s="88"/>
      <c r="O1614" s="88"/>
      <c r="P1614" s="88"/>
    </row>
    <row r="1615" spans="1:16">
      <c r="A1615" s="94">
        <v>99318</v>
      </c>
      <c r="B1615" s="87" t="s">
        <v>6636</v>
      </c>
      <c r="C1615" s="12" t="s">
        <v>6</v>
      </c>
      <c r="D1615" s="93">
        <v>158.38</v>
      </c>
      <c r="E1615" s="93">
        <v>26.4</v>
      </c>
      <c r="F1615" s="93">
        <v>125.12</v>
      </c>
      <c r="G1615" s="93">
        <v>6.84</v>
      </c>
      <c r="H1615" s="93">
        <v>0</v>
      </c>
      <c r="N1615" s="88"/>
      <c r="O1615" s="88"/>
      <c r="P1615" s="88"/>
    </row>
    <row r="1616" spans="1:16">
      <c r="A1616" s="94">
        <v>99319</v>
      </c>
      <c r="B1616" s="87" t="s">
        <v>6637</v>
      </c>
      <c r="C1616" s="12" t="s">
        <v>6</v>
      </c>
      <c r="D1616" s="93">
        <v>835.69</v>
      </c>
      <c r="E1616" s="93">
        <v>350.11</v>
      </c>
      <c r="F1616" s="93">
        <v>484.79</v>
      </c>
      <c r="G1616" s="93">
        <v>0.42</v>
      </c>
      <c r="H1616" s="93">
        <v>0</v>
      </c>
      <c r="N1616" s="88"/>
      <c r="O1616" s="88"/>
      <c r="P1616" s="88"/>
    </row>
    <row r="1617" spans="1:16">
      <c r="A1617" s="94">
        <v>99320</v>
      </c>
      <c r="B1617" s="87" t="s">
        <v>6638</v>
      </c>
      <c r="C1617" s="12" t="s">
        <v>4</v>
      </c>
      <c r="D1617" s="93">
        <v>6629.45</v>
      </c>
      <c r="E1617" s="93">
        <v>2388.0100000000002</v>
      </c>
      <c r="F1617" s="93">
        <v>4146.26</v>
      </c>
      <c r="G1617" s="93">
        <v>88.18</v>
      </c>
      <c r="H1617" s="93">
        <v>0</v>
      </c>
      <c r="N1617" s="88"/>
      <c r="O1617" s="88"/>
      <c r="P1617" s="88"/>
    </row>
    <row r="1618" spans="1:16">
      <c r="A1618" s="94">
        <v>99321</v>
      </c>
      <c r="B1618" s="87" t="s">
        <v>6639</v>
      </c>
      <c r="C1618" s="12" t="s">
        <v>6</v>
      </c>
      <c r="D1618" s="93">
        <v>2297.0100000000002</v>
      </c>
      <c r="E1618" s="93">
        <v>1065.44</v>
      </c>
      <c r="F1618" s="93">
        <v>1229.8599999999999</v>
      </c>
      <c r="G1618" s="93">
        <v>0.92</v>
      </c>
      <c r="H1618" s="93">
        <v>0</v>
      </c>
      <c r="N1618" s="88"/>
      <c r="O1618" s="88"/>
      <c r="P1618" s="88"/>
    </row>
    <row r="1619" spans="1:16">
      <c r="A1619" s="94">
        <v>99322</v>
      </c>
      <c r="B1619" s="87" t="s">
        <v>6640</v>
      </c>
      <c r="C1619" s="12" t="s">
        <v>4</v>
      </c>
      <c r="D1619" s="93">
        <v>7474.24</v>
      </c>
      <c r="E1619" s="93">
        <v>2677.8</v>
      </c>
      <c r="F1619" s="93">
        <v>4689.47</v>
      </c>
      <c r="G1619" s="93">
        <v>99.01</v>
      </c>
      <c r="H1619" s="93">
        <v>0</v>
      </c>
      <c r="N1619" s="88"/>
      <c r="O1619" s="88"/>
      <c r="P1619" s="88"/>
    </row>
    <row r="1620" spans="1:16">
      <c r="A1620" s="94">
        <v>99323</v>
      </c>
      <c r="B1620" s="87" t="s">
        <v>6641</v>
      </c>
      <c r="C1620" s="12" t="s">
        <v>6</v>
      </c>
      <c r="D1620" s="93">
        <v>2501.59</v>
      </c>
      <c r="E1620" s="93">
        <v>1161.4000000000001</v>
      </c>
      <c r="F1620" s="93">
        <v>1338.33</v>
      </c>
      <c r="G1620" s="93">
        <v>1</v>
      </c>
      <c r="H1620" s="93">
        <v>0</v>
      </c>
      <c r="N1620" s="88"/>
      <c r="O1620" s="88"/>
      <c r="P1620" s="88"/>
    </row>
    <row r="1621" spans="1:16">
      <c r="A1621" s="94">
        <v>99324</v>
      </c>
      <c r="B1621" s="87" t="s">
        <v>6642</v>
      </c>
      <c r="C1621" s="12" t="s">
        <v>4</v>
      </c>
      <c r="D1621" s="93">
        <v>8318.98</v>
      </c>
      <c r="E1621" s="93">
        <v>2967.58</v>
      </c>
      <c r="F1621" s="93">
        <v>5232.59</v>
      </c>
      <c r="G1621" s="93">
        <v>109.9</v>
      </c>
      <c r="H1621" s="93">
        <v>0</v>
      </c>
      <c r="N1621" s="88"/>
      <c r="O1621" s="88"/>
      <c r="P1621" s="88"/>
    </row>
    <row r="1622" spans="1:16">
      <c r="A1622" s="94">
        <v>99325</v>
      </c>
      <c r="B1622" s="87" t="s">
        <v>6643</v>
      </c>
      <c r="C1622" s="12" t="s">
        <v>6</v>
      </c>
      <c r="D1622" s="93">
        <v>2711.86</v>
      </c>
      <c r="E1622" s="93">
        <v>1259.3399999999999</v>
      </c>
      <c r="F1622" s="93">
        <v>1450.49</v>
      </c>
      <c r="G1622" s="93">
        <v>1.1000000000000001</v>
      </c>
      <c r="H1622" s="93">
        <v>0</v>
      </c>
      <c r="N1622" s="88"/>
      <c r="O1622" s="88"/>
      <c r="P1622" s="88"/>
    </row>
    <row r="1623" spans="1:16">
      <c r="A1623" s="94">
        <v>99326</v>
      </c>
      <c r="B1623" s="87" t="s">
        <v>6644</v>
      </c>
      <c r="C1623" s="12" t="s">
        <v>4</v>
      </c>
      <c r="D1623" s="93">
        <v>6782.53</v>
      </c>
      <c r="E1623" s="93">
        <v>2384.9</v>
      </c>
      <c r="F1623" s="93">
        <v>4300.0200000000004</v>
      </c>
      <c r="G1623" s="93">
        <v>90.37</v>
      </c>
      <c r="H1623" s="93">
        <v>0</v>
      </c>
      <c r="N1623" s="88"/>
      <c r="O1623" s="88"/>
      <c r="P1623" s="88"/>
    </row>
    <row r="1624" spans="1:16">
      <c r="A1624" s="94">
        <v>99327</v>
      </c>
      <c r="B1624" s="87" t="s">
        <v>6645</v>
      </c>
      <c r="C1624" s="12" t="s">
        <v>6</v>
      </c>
      <c r="D1624" s="93">
        <v>3496.77</v>
      </c>
      <c r="E1624" s="93">
        <v>1631.6</v>
      </c>
      <c r="F1624" s="93">
        <v>1862.64</v>
      </c>
      <c r="G1624" s="93">
        <v>1.38</v>
      </c>
      <c r="H1624" s="93">
        <v>0</v>
      </c>
      <c r="N1624" s="88"/>
      <c r="O1624" s="88"/>
      <c r="P1624" s="88"/>
    </row>
    <row r="1625" spans="1:16">
      <c r="A1625" s="94">
        <v>94263</v>
      </c>
      <c r="B1625" s="87" t="s">
        <v>1765</v>
      </c>
      <c r="C1625" s="12" t="s">
        <v>6</v>
      </c>
      <c r="D1625" s="93">
        <v>24.2</v>
      </c>
      <c r="E1625" s="93">
        <v>9.8800000000000008</v>
      </c>
      <c r="F1625" s="93">
        <v>14.01</v>
      </c>
      <c r="G1625" s="93">
        <v>0.31</v>
      </c>
      <c r="H1625" s="93">
        <v>0</v>
      </c>
      <c r="N1625" s="88"/>
      <c r="O1625" s="88"/>
      <c r="P1625" s="88"/>
    </row>
    <row r="1626" spans="1:16">
      <c r="A1626" s="94">
        <v>94264</v>
      </c>
      <c r="B1626" s="87" t="s">
        <v>1766</v>
      </c>
      <c r="C1626" s="12" t="s">
        <v>6</v>
      </c>
      <c r="D1626" s="93">
        <v>26.97</v>
      </c>
      <c r="E1626" s="93">
        <v>11.81</v>
      </c>
      <c r="F1626" s="93">
        <v>14.7</v>
      </c>
      <c r="G1626" s="93">
        <v>0.46</v>
      </c>
      <c r="H1626" s="93">
        <v>0</v>
      </c>
      <c r="N1626" s="88"/>
      <c r="O1626" s="88"/>
      <c r="P1626" s="88"/>
    </row>
    <row r="1627" spans="1:16">
      <c r="A1627" s="94">
        <v>94265</v>
      </c>
      <c r="B1627" s="87" t="s">
        <v>1767</v>
      </c>
      <c r="C1627" s="12" t="s">
        <v>6</v>
      </c>
      <c r="D1627" s="93">
        <v>31.17</v>
      </c>
      <c r="E1627" s="93">
        <v>10.52</v>
      </c>
      <c r="F1627" s="93">
        <v>20.28</v>
      </c>
      <c r="G1627" s="93">
        <v>0.37</v>
      </c>
      <c r="H1627" s="93">
        <v>0</v>
      </c>
      <c r="N1627" s="88"/>
      <c r="O1627" s="88"/>
      <c r="P1627" s="88"/>
    </row>
    <row r="1628" spans="1:16">
      <c r="A1628" s="94">
        <v>94266</v>
      </c>
      <c r="B1628" s="87" t="s">
        <v>1768</v>
      </c>
      <c r="C1628" s="12" t="s">
        <v>6</v>
      </c>
      <c r="D1628" s="93">
        <v>34.36</v>
      </c>
      <c r="E1628" s="93">
        <v>12.75</v>
      </c>
      <c r="F1628" s="93">
        <v>21.08</v>
      </c>
      <c r="G1628" s="93">
        <v>0.53</v>
      </c>
      <c r="H1628" s="93">
        <v>0</v>
      </c>
      <c r="N1628" s="88"/>
      <c r="O1628" s="88"/>
      <c r="P1628" s="88"/>
    </row>
    <row r="1629" spans="1:16">
      <c r="A1629" s="94">
        <v>94267</v>
      </c>
      <c r="B1629" s="87" t="s">
        <v>1769</v>
      </c>
      <c r="C1629" s="12" t="s">
        <v>6</v>
      </c>
      <c r="D1629" s="93">
        <v>37.200000000000003</v>
      </c>
      <c r="E1629" s="93">
        <v>11.13</v>
      </c>
      <c r="F1629" s="93">
        <v>25.67</v>
      </c>
      <c r="G1629" s="93">
        <v>0.4</v>
      </c>
      <c r="H1629" s="93">
        <v>0</v>
      </c>
      <c r="N1629" s="88"/>
      <c r="O1629" s="88"/>
      <c r="P1629" s="88"/>
    </row>
    <row r="1630" spans="1:16">
      <c r="A1630" s="94">
        <v>94268</v>
      </c>
      <c r="B1630" s="87" t="s">
        <v>1770</v>
      </c>
      <c r="C1630" s="12" t="s">
        <v>6</v>
      </c>
      <c r="D1630" s="93">
        <v>40.71</v>
      </c>
      <c r="E1630" s="93">
        <v>13.58</v>
      </c>
      <c r="F1630" s="93">
        <v>26.55</v>
      </c>
      <c r="G1630" s="93">
        <v>0.57999999999999996</v>
      </c>
      <c r="H1630" s="93">
        <v>0</v>
      </c>
      <c r="N1630" s="88"/>
      <c r="O1630" s="88"/>
      <c r="P1630" s="88"/>
    </row>
    <row r="1631" spans="1:16">
      <c r="A1631" s="94">
        <v>94269</v>
      </c>
      <c r="B1631" s="87" t="s">
        <v>1771</v>
      </c>
      <c r="C1631" s="12" t="s">
        <v>6</v>
      </c>
      <c r="D1631" s="93">
        <v>52.59</v>
      </c>
      <c r="E1631" s="93">
        <v>13.43</v>
      </c>
      <c r="F1631" s="93">
        <v>38.590000000000003</v>
      </c>
      <c r="G1631" s="93">
        <v>0.56999999999999995</v>
      </c>
      <c r="H1631" s="93">
        <v>0</v>
      </c>
      <c r="N1631" s="88"/>
      <c r="O1631" s="88"/>
      <c r="P1631" s="88"/>
    </row>
    <row r="1632" spans="1:16">
      <c r="A1632" s="94">
        <v>94270</v>
      </c>
      <c r="B1632" s="87" t="s">
        <v>1772</v>
      </c>
      <c r="C1632" s="12" t="s">
        <v>6</v>
      </c>
      <c r="D1632" s="93">
        <v>57.48</v>
      </c>
      <c r="E1632" s="93">
        <v>16.84</v>
      </c>
      <c r="F1632" s="93">
        <v>39.82</v>
      </c>
      <c r="G1632" s="93">
        <v>0.82</v>
      </c>
      <c r="H1632" s="93">
        <v>0</v>
      </c>
      <c r="N1632" s="88"/>
      <c r="O1632" s="88"/>
      <c r="P1632" s="88"/>
    </row>
    <row r="1633" spans="1:16">
      <c r="A1633" s="94">
        <v>94271</v>
      </c>
      <c r="B1633" s="87" t="s">
        <v>1773</v>
      </c>
      <c r="C1633" s="12" t="s">
        <v>6</v>
      </c>
      <c r="D1633" s="93">
        <v>63.9</v>
      </c>
      <c r="E1633" s="93">
        <v>16.18</v>
      </c>
      <c r="F1633" s="93">
        <v>46.93</v>
      </c>
      <c r="G1633" s="93">
        <v>0.79</v>
      </c>
      <c r="H1633" s="93">
        <v>0</v>
      </c>
      <c r="N1633" s="88"/>
      <c r="O1633" s="88"/>
      <c r="P1633" s="88"/>
    </row>
    <row r="1634" spans="1:16">
      <c r="A1634" s="94">
        <v>94272</v>
      </c>
      <c r="B1634" s="87" t="s">
        <v>1774</v>
      </c>
      <c r="C1634" s="12" t="s">
        <v>6</v>
      </c>
      <c r="D1634" s="93">
        <v>70.42</v>
      </c>
      <c r="E1634" s="93">
        <v>20.72</v>
      </c>
      <c r="F1634" s="93">
        <v>48.59</v>
      </c>
      <c r="G1634" s="93">
        <v>1.1100000000000001</v>
      </c>
      <c r="H1634" s="93">
        <v>0</v>
      </c>
      <c r="N1634" s="88"/>
      <c r="O1634" s="88"/>
      <c r="P1634" s="88"/>
    </row>
    <row r="1635" spans="1:16">
      <c r="A1635" s="94">
        <v>94273</v>
      </c>
      <c r="B1635" s="87" t="s">
        <v>1775</v>
      </c>
      <c r="C1635" s="12" t="s">
        <v>6</v>
      </c>
      <c r="D1635" s="93">
        <v>36.409999999999997</v>
      </c>
      <c r="E1635" s="93">
        <v>11.11</v>
      </c>
      <c r="F1635" s="93">
        <v>25.3</v>
      </c>
      <c r="G1635" s="93">
        <v>0</v>
      </c>
      <c r="H1635" s="93">
        <v>0</v>
      </c>
      <c r="N1635" s="88"/>
      <c r="O1635" s="88"/>
      <c r="P1635" s="88"/>
    </row>
    <row r="1636" spans="1:16">
      <c r="A1636" s="94">
        <v>94274</v>
      </c>
      <c r="B1636" s="87" t="s">
        <v>1776</v>
      </c>
      <c r="C1636" s="12" t="s">
        <v>6</v>
      </c>
      <c r="D1636" s="93">
        <v>39.69</v>
      </c>
      <c r="E1636" s="93">
        <v>13.6</v>
      </c>
      <c r="F1636" s="93">
        <v>26.09</v>
      </c>
      <c r="G1636" s="93">
        <v>0</v>
      </c>
      <c r="H1636" s="93">
        <v>0</v>
      </c>
      <c r="N1636" s="88"/>
      <c r="O1636" s="88"/>
      <c r="P1636" s="88"/>
    </row>
    <row r="1637" spans="1:16">
      <c r="A1637" s="94">
        <v>94275</v>
      </c>
      <c r="B1637" s="87" t="s">
        <v>1777</v>
      </c>
      <c r="C1637" s="12" t="s">
        <v>6</v>
      </c>
      <c r="D1637" s="93">
        <v>34.67</v>
      </c>
      <c r="E1637" s="93">
        <v>10.09</v>
      </c>
      <c r="F1637" s="93">
        <v>24.58</v>
      </c>
      <c r="G1637" s="93">
        <v>0</v>
      </c>
      <c r="H1637" s="93">
        <v>0</v>
      </c>
      <c r="N1637" s="88"/>
      <c r="O1637" s="88"/>
      <c r="P1637" s="88"/>
    </row>
    <row r="1638" spans="1:16">
      <c r="A1638" s="94">
        <v>94276</v>
      </c>
      <c r="B1638" s="87" t="s">
        <v>1778</v>
      </c>
      <c r="C1638" s="12" t="s">
        <v>6</v>
      </c>
      <c r="D1638" s="93">
        <v>37.950000000000003</v>
      </c>
      <c r="E1638" s="93">
        <v>12.57</v>
      </c>
      <c r="F1638" s="93">
        <v>25.38</v>
      </c>
      <c r="G1638" s="93">
        <v>0</v>
      </c>
      <c r="H1638" s="93">
        <v>0</v>
      </c>
      <c r="N1638" s="88"/>
      <c r="O1638" s="88"/>
      <c r="P1638" s="88"/>
    </row>
    <row r="1639" spans="1:16">
      <c r="A1639" s="94">
        <v>94281</v>
      </c>
      <c r="B1639" s="87" t="s">
        <v>1779</v>
      </c>
      <c r="C1639" s="12" t="s">
        <v>6</v>
      </c>
      <c r="D1639" s="93">
        <v>38.24</v>
      </c>
      <c r="E1639" s="93">
        <v>13.83</v>
      </c>
      <c r="F1639" s="93">
        <v>24.41</v>
      </c>
      <c r="G1639" s="93">
        <v>0</v>
      </c>
      <c r="H1639" s="93">
        <v>0</v>
      </c>
      <c r="N1639" s="88"/>
      <c r="O1639" s="88"/>
      <c r="P1639" s="88"/>
    </row>
    <row r="1640" spans="1:16">
      <c r="A1640" s="94">
        <v>94282</v>
      </c>
      <c r="B1640" s="87" t="s">
        <v>1780</v>
      </c>
      <c r="C1640" s="12" t="s">
        <v>6</v>
      </c>
      <c r="D1640" s="93">
        <v>48.21</v>
      </c>
      <c r="E1640" s="93">
        <v>21.35</v>
      </c>
      <c r="F1640" s="93">
        <v>26.86</v>
      </c>
      <c r="G1640" s="93">
        <v>0</v>
      </c>
      <c r="H1640" s="93">
        <v>0</v>
      </c>
      <c r="N1640" s="88"/>
      <c r="O1640" s="88"/>
      <c r="P1640" s="88"/>
    </row>
    <row r="1641" spans="1:16">
      <c r="A1641" s="94">
        <v>94283</v>
      </c>
      <c r="B1641" s="87" t="s">
        <v>1781</v>
      </c>
      <c r="C1641" s="12" t="s">
        <v>6</v>
      </c>
      <c r="D1641" s="93">
        <v>48.92</v>
      </c>
      <c r="E1641" s="93">
        <v>15.08</v>
      </c>
      <c r="F1641" s="93">
        <v>33.840000000000003</v>
      </c>
      <c r="G1641" s="93">
        <v>0</v>
      </c>
      <c r="H1641" s="93">
        <v>0</v>
      </c>
      <c r="N1641" s="88"/>
      <c r="O1641" s="88"/>
      <c r="P1641" s="88"/>
    </row>
    <row r="1642" spans="1:16">
      <c r="A1642" s="94">
        <v>94284</v>
      </c>
      <c r="B1642" s="87" t="s">
        <v>1782</v>
      </c>
      <c r="C1642" s="12" t="s">
        <v>6</v>
      </c>
      <c r="D1642" s="93">
        <v>58.89</v>
      </c>
      <c r="E1642" s="93">
        <v>22.61</v>
      </c>
      <c r="F1642" s="93">
        <v>36.28</v>
      </c>
      <c r="G1642" s="93">
        <v>0</v>
      </c>
      <c r="H1642" s="93">
        <v>0</v>
      </c>
      <c r="N1642" s="88"/>
      <c r="O1642" s="88"/>
      <c r="P1642" s="88"/>
    </row>
    <row r="1643" spans="1:16">
      <c r="A1643" s="94">
        <v>94285</v>
      </c>
      <c r="B1643" s="87" t="s">
        <v>1783</v>
      </c>
      <c r="C1643" s="12" t="s">
        <v>6</v>
      </c>
      <c r="D1643" s="93">
        <v>59.11</v>
      </c>
      <c r="E1643" s="93">
        <v>15.96</v>
      </c>
      <c r="F1643" s="93">
        <v>43.15</v>
      </c>
      <c r="G1643" s="93">
        <v>0</v>
      </c>
      <c r="H1643" s="93">
        <v>0</v>
      </c>
      <c r="N1643" s="88"/>
      <c r="O1643" s="88"/>
      <c r="P1643" s="88"/>
    </row>
    <row r="1644" spans="1:16">
      <c r="A1644" s="94">
        <v>94286</v>
      </c>
      <c r="B1644" s="87" t="s">
        <v>1784</v>
      </c>
      <c r="C1644" s="12" t="s">
        <v>6</v>
      </c>
      <c r="D1644" s="93">
        <v>69.09</v>
      </c>
      <c r="E1644" s="93">
        <v>23.48</v>
      </c>
      <c r="F1644" s="93">
        <v>45.61</v>
      </c>
      <c r="G1644" s="93">
        <v>0</v>
      </c>
      <c r="H1644" s="93">
        <v>0</v>
      </c>
      <c r="N1644" s="88"/>
      <c r="O1644" s="88"/>
      <c r="P1644" s="88"/>
    </row>
    <row r="1645" spans="1:16">
      <c r="A1645" s="94">
        <v>94287</v>
      </c>
      <c r="B1645" s="87" t="s">
        <v>1785</v>
      </c>
      <c r="C1645" s="12" t="s">
        <v>6</v>
      </c>
      <c r="D1645" s="93">
        <v>30.37</v>
      </c>
      <c r="E1645" s="93">
        <v>12.61</v>
      </c>
      <c r="F1645" s="93">
        <v>17.760000000000002</v>
      </c>
      <c r="G1645" s="93">
        <v>0</v>
      </c>
      <c r="H1645" s="93">
        <v>0</v>
      </c>
      <c r="N1645" s="88"/>
      <c r="O1645" s="88"/>
      <c r="P1645" s="88"/>
    </row>
    <row r="1646" spans="1:16">
      <c r="A1646" s="94">
        <v>94288</v>
      </c>
      <c r="B1646" s="87" t="s">
        <v>1786</v>
      </c>
      <c r="C1646" s="12" t="s">
        <v>6</v>
      </c>
      <c r="D1646" s="93">
        <v>39.1</v>
      </c>
      <c r="E1646" s="93">
        <v>19.190000000000001</v>
      </c>
      <c r="F1646" s="93">
        <v>19.91</v>
      </c>
      <c r="G1646" s="93">
        <v>0</v>
      </c>
      <c r="H1646" s="93">
        <v>0</v>
      </c>
      <c r="N1646" s="88"/>
      <c r="O1646" s="88"/>
      <c r="P1646" s="88"/>
    </row>
    <row r="1647" spans="1:16">
      <c r="A1647" s="94">
        <v>94289</v>
      </c>
      <c r="B1647" s="87" t="s">
        <v>1787</v>
      </c>
      <c r="C1647" s="12" t="s">
        <v>6</v>
      </c>
      <c r="D1647" s="93">
        <v>38.15</v>
      </c>
      <c r="E1647" s="93">
        <v>13.72</v>
      </c>
      <c r="F1647" s="93">
        <v>24.43</v>
      </c>
      <c r="G1647" s="93">
        <v>0</v>
      </c>
      <c r="H1647" s="93">
        <v>0</v>
      </c>
      <c r="N1647" s="88"/>
      <c r="O1647" s="88"/>
      <c r="P1647" s="88"/>
    </row>
    <row r="1648" spans="1:16">
      <c r="A1648" s="94">
        <v>94290</v>
      </c>
      <c r="B1648" s="87" t="s">
        <v>1788</v>
      </c>
      <c r="C1648" s="12" t="s">
        <v>6</v>
      </c>
      <c r="D1648" s="93">
        <v>46.88</v>
      </c>
      <c r="E1648" s="93">
        <v>20.3</v>
      </c>
      <c r="F1648" s="93">
        <v>26.58</v>
      </c>
      <c r="G1648" s="93">
        <v>0</v>
      </c>
      <c r="H1648" s="93">
        <v>0</v>
      </c>
      <c r="N1648" s="88"/>
      <c r="O1648" s="88"/>
      <c r="P1648" s="88"/>
    </row>
    <row r="1649" spans="1:16">
      <c r="A1649" s="94">
        <v>94291</v>
      </c>
      <c r="B1649" s="87" t="s">
        <v>1789</v>
      </c>
      <c r="C1649" s="12" t="s">
        <v>6</v>
      </c>
      <c r="D1649" s="93">
        <v>45.49</v>
      </c>
      <c r="E1649" s="93">
        <v>14.49</v>
      </c>
      <c r="F1649" s="93">
        <v>31</v>
      </c>
      <c r="G1649" s="93">
        <v>0</v>
      </c>
      <c r="H1649" s="93">
        <v>0</v>
      </c>
      <c r="N1649" s="88"/>
      <c r="O1649" s="88"/>
      <c r="P1649" s="88"/>
    </row>
    <row r="1650" spans="1:16">
      <c r="A1650" s="94">
        <v>94292</v>
      </c>
      <c r="B1650" s="87" t="s">
        <v>1790</v>
      </c>
      <c r="C1650" s="12" t="s">
        <v>6</v>
      </c>
      <c r="D1650" s="93">
        <v>54.22</v>
      </c>
      <c r="E1650" s="93">
        <v>21.07</v>
      </c>
      <c r="F1650" s="93">
        <v>33.15</v>
      </c>
      <c r="G1650" s="93">
        <v>0</v>
      </c>
      <c r="H1650" s="93">
        <v>0</v>
      </c>
      <c r="N1650" s="88"/>
      <c r="O1650" s="88"/>
      <c r="P1650" s="88"/>
    </row>
    <row r="1651" spans="1:16">
      <c r="A1651" s="94">
        <v>94293</v>
      </c>
      <c r="B1651" s="87" t="s">
        <v>210</v>
      </c>
      <c r="C1651" s="12" t="s">
        <v>6</v>
      </c>
      <c r="D1651" s="93">
        <v>114.5</v>
      </c>
      <c r="E1651" s="93">
        <v>23.08</v>
      </c>
      <c r="F1651" s="93">
        <v>91.42</v>
      </c>
      <c r="G1651" s="93">
        <v>0</v>
      </c>
      <c r="H1651" s="93">
        <v>0</v>
      </c>
      <c r="N1651" s="88"/>
      <c r="O1651" s="88"/>
      <c r="P1651" s="88"/>
    </row>
    <row r="1652" spans="1:16">
      <c r="A1652" s="94">
        <v>94294</v>
      </c>
      <c r="B1652" s="87" t="s">
        <v>1791</v>
      </c>
      <c r="C1652" s="12" t="s">
        <v>6</v>
      </c>
      <c r="D1652" s="93">
        <v>7.21</v>
      </c>
      <c r="E1652" s="93">
        <v>2.11</v>
      </c>
      <c r="F1652" s="93">
        <v>5.07</v>
      </c>
      <c r="G1652" s="93">
        <v>0.01</v>
      </c>
      <c r="H1652" s="93">
        <v>0</v>
      </c>
      <c r="N1652" s="88"/>
      <c r="O1652" s="88"/>
      <c r="P1652" s="88"/>
    </row>
    <row r="1653" spans="1:16">
      <c r="A1653" s="94">
        <v>101570</v>
      </c>
      <c r="B1653" s="87" t="s">
        <v>5553</v>
      </c>
      <c r="C1653" s="12" t="s">
        <v>9</v>
      </c>
      <c r="D1653" s="93">
        <v>16.010000000000002</v>
      </c>
      <c r="E1653" s="93">
        <v>9.92</v>
      </c>
      <c r="F1653" s="93">
        <v>6.09</v>
      </c>
      <c r="G1653" s="93">
        <v>0</v>
      </c>
      <c r="H1653" s="93">
        <v>0</v>
      </c>
      <c r="N1653" s="88"/>
      <c r="O1653" s="88"/>
      <c r="P1653" s="88"/>
    </row>
    <row r="1654" spans="1:16">
      <c r="A1654" s="94">
        <v>101571</v>
      </c>
      <c r="B1654" s="87" t="s">
        <v>5554</v>
      </c>
      <c r="C1654" s="12" t="s">
        <v>9</v>
      </c>
      <c r="D1654" s="93">
        <v>22.53</v>
      </c>
      <c r="E1654" s="93">
        <v>14.68</v>
      </c>
      <c r="F1654" s="93">
        <v>7.85</v>
      </c>
      <c r="G1654" s="93">
        <v>0</v>
      </c>
      <c r="H1654" s="93">
        <v>0</v>
      </c>
      <c r="N1654" s="88"/>
      <c r="O1654" s="88"/>
      <c r="P1654" s="88"/>
    </row>
    <row r="1655" spans="1:16">
      <c r="A1655" s="94">
        <v>101572</v>
      </c>
      <c r="B1655" s="87" t="s">
        <v>5555</v>
      </c>
      <c r="C1655" s="12" t="s">
        <v>9</v>
      </c>
      <c r="D1655" s="93">
        <v>12.36</v>
      </c>
      <c r="E1655" s="93">
        <v>7.39</v>
      </c>
      <c r="F1655" s="93">
        <v>4.97</v>
      </c>
      <c r="G1655" s="93">
        <v>0</v>
      </c>
      <c r="H1655" s="93">
        <v>0</v>
      </c>
      <c r="N1655" s="88"/>
      <c r="O1655" s="88"/>
      <c r="P1655" s="88"/>
    </row>
    <row r="1656" spans="1:16">
      <c r="A1656" s="94">
        <v>101573</v>
      </c>
      <c r="B1656" s="87" t="s">
        <v>5556</v>
      </c>
      <c r="C1656" s="12" t="s">
        <v>9</v>
      </c>
      <c r="D1656" s="93">
        <v>18.88</v>
      </c>
      <c r="E1656" s="93">
        <v>12.14</v>
      </c>
      <c r="F1656" s="93">
        <v>6.74</v>
      </c>
      <c r="G1656" s="93">
        <v>0</v>
      </c>
      <c r="H1656" s="93">
        <v>0</v>
      </c>
      <c r="N1656" s="88"/>
      <c r="O1656" s="88"/>
      <c r="P1656" s="88"/>
    </row>
    <row r="1657" spans="1:16">
      <c r="A1657" s="94">
        <v>101574</v>
      </c>
      <c r="B1657" s="87" t="s">
        <v>5557</v>
      </c>
      <c r="C1657" s="12" t="s">
        <v>9</v>
      </c>
      <c r="D1657" s="93">
        <v>9.11</v>
      </c>
      <c r="E1657" s="93">
        <v>4.82</v>
      </c>
      <c r="F1657" s="93">
        <v>4.29</v>
      </c>
      <c r="G1657" s="93">
        <v>0</v>
      </c>
      <c r="H1657" s="93">
        <v>0</v>
      </c>
      <c r="N1657" s="88"/>
      <c r="O1657" s="88"/>
      <c r="P1657" s="88"/>
    </row>
    <row r="1658" spans="1:16">
      <c r="A1658" s="94">
        <v>101575</v>
      </c>
      <c r="B1658" s="87" t="s">
        <v>5558</v>
      </c>
      <c r="C1658" s="12" t="s">
        <v>9</v>
      </c>
      <c r="D1658" s="93">
        <v>15.74</v>
      </c>
      <c r="E1658" s="93">
        <v>9.58</v>
      </c>
      <c r="F1658" s="93">
        <v>6.16</v>
      </c>
      <c r="G1658" s="93">
        <v>0</v>
      </c>
      <c r="H1658" s="93">
        <v>0</v>
      </c>
      <c r="N1658" s="88"/>
      <c r="O1658" s="88"/>
      <c r="P1658" s="88"/>
    </row>
    <row r="1659" spans="1:16">
      <c r="A1659" s="94">
        <v>101576</v>
      </c>
      <c r="B1659" s="87" t="s">
        <v>5559</v>
      </c>
      <c r="C1659" s="12" t="s">
        <v>9</v>
      </c>
      <c r="D1659" s="93">
        <v>26.6</v>
      </c>
      <c r="E1659" s="93">
        <v>12.85</v>
      </c>
      <c r="F1659" s="93">
        <v>13.75</v>
      </c>
      <c r="G1659" s="93">
        <v>0</v>
      </c>
      <c r="H1659" s="93">
        <v>0</v>
      </c>
      <c r="N1659" s="88"/>
      <c r="O1659" s="88"/>
      <c r="P1659" s="88"/>
    </row>
    <row r="1660" spans="1:16">
      <c r="A1660" s="94">
        <v>101577</v>
      </c>
      <c r="B1660" s="87" t="s">
        <v>5560</v>
      </c>
      <c r="C1660" s="12" t="s">
        <v>9</v>
      </c>
      <c r="D1660" s="93">
        <v>34.950000000000003</v>
      </c>
      <c r="E1660" s="93">
        <v>19.02</v>
      </c>
      <c r="F1660" s="93">
        <v>15.93</v>
      </c>
      <c r="G1660" s="93">
        <v>0</v>
      </c>
      <c r="H1660" s="93">
        <v>0</v>
      </c>
      <c r="N1660" s="88"/>
      <c r="O1660" s="88"/>
      <c r="P1660" s="88"/>
    </row>
    <row r="1661" spans="1:16">
      <c r="A1661" s="94">
        <v>101578</v>
      </c>
      <c r="B1661" s="87" t="s">
        <v>5561</v>
      </c>
      <c r="C1661" s="12" t="s">
        <v>9</v>
      </c>
      <c r="D1661" s="93">
        <v>21.56</v>
      </c>
      <c r="E1661" s="93">
        <v>9.5399999999999991</v>
      </c>
      <c r="F1661" s="93">
        <v>12.02</v>
      </c>
      <c r="G1661" s="93">
        <v>0</v>
      </c>
      <c r="H1661" s="93">
        <v>0</v>
      </c>
      <c r="N1661" s="88"/>
      <c r="O1661" s="88"/>
      <c r="P1661" s="88"/>
    </row>
    <row r="1662" spans="1:16">
      <c r="A1662" s="94">
        <v>101579</v>
      </c>
      <c r="B1662" s="87" t="s">
        <v>5562</v>
      </c>
      <c r="C1662" s="12" t="s">
        <v>9</v>
      </c>
      <c r="D1662" s="93">
        <v>29.9</v>
      </c>
      <c r="E1662" s="93">
        <v>15.72</v>
      </c>
      <c r="F1662" s="93">
        <v>14.18</v>
      </c>
      <c r="G1662" s="93">
        <v>0</v>
      </c>
      <c r="H1662" s="93">
        <v>0</v>
      </c>
      <c r="N1662" s="88"/>
      <c r="O1662" s="88"/>
      <c r="P1662" s="88"/>
    </row>
    <row r="1663" spans="1:16">
      <c r="A1663" s="94">
        <v>101580</v>
      </c>
      <c r="B1663" s="87" t="s">
        <v>5563</v>
      </c>
      <c r="C1663" s="12" t="s">
        <v>9</v>
      </c>
      <c r="D1663" s="93">
        <v>18.29</v>
      </c>
      <c r="E1663" s="93">
        <v>6.23</v>
      </c>
      <c r="F1663" s="93">
        <v>12.06</v>
      </c>
      <c r="G1663" s="93">
        <v>0</v>
      </c>
      <c r="H1663" s="93">
        <v>0</v>
      </c>
      <c r="N1663" s="88"/>
      <c r="O1663" s="88"/>
      <c r="P1663" s="88"/>
    </row>
    <row r="1664" spans="1:16">
      <c r="A1664" s="94">
        <v>101581</v>
      </c>
      <c r="B1664" s="87" t="s">
        <v>5564</v>
      </c>
      <c r="C1664" s="12" t="s">
        <v>9</v>
      </c>
      <c r="D1664" s="93">
        <v>26.76</v>
      </c>
      <c r="E1664" s="93">
        <v>12.4</v>
      </c>
      <c r="F1664" s="93">
        <v>14.36</v>
      </c>
      <c r="G1664" s="93">
        <v>0</v>
      </c>
      <c r="H1664" s="93">
        <v>0</v>
      </c>
      <c r="N1664" s="88"/>
      <c r="O1664" s="88"/>
      <c r="P1664" s="88"/>
    </row>
    <row r="1665" spans="1:16">
      <c r="A1665" s="94">
        <v>101582</v>
      </c>
      <c r="B1665" s="87" t="s">
        <v>5565</v>
      </c>
      <c r="C1665" s="12" t="s">
        <v>9</v>
      </c>
      <c r="D1665" s="93">
        <v>42.63</v>
      </c>
      <c r="E1665" s="93">
        <v>20.34</v>
      </c>
      <c r="F1665" s="93">
        <v>22.29</v>
      </c>
      <c r="G1665" s="93">
        <v>0</v>
      </c>
      <c r="H1665" s="93">
        <v>0</v>
      </c>
      <c r="N1665" s="88"/>
      <c r="O1665" s="88"/>
      <c r="P1665" s="88"/>
    </row>
    <row r="1666" spans="1:16">
      <c r="A1666" s="94">
        <v>101583</v>
      </c>
      <c r="B1666" s="87" t="s">
        <v>5566</v>
      </c>
      <c r="C1666" s="12" t="s">
        <v>9</v>
      </c>
      <c r="D1666" s="93">
        <v>55.64</v>
      </c>
      <c r="E1666" s="93">
        <v>30.1</v>
      </c>
      <c r="F1666" s="93">
        <v>25.54</v>
      </c>
      <c r="G1666" s="93">
        <v>0</v>
      </c>
      <c r="H1666" s="93">
        <v>0</v>
      </c>
      <c r="N1666" s="88"/>
      <c r="O1666" s="88"/>
      <c r="P1666" s="88"/>
    </row>
    <row r="1667" spans="1:16">
      <c r="A1667" s="94">
        <v>101584</v>
      </c>
      <c r="B1667" s="87" t="s">
        <v>5567</v>
      </c>
      <c r="C1667" s="12" t="s">
        <v>9</v>
      </c>
      <c r="D1667" s="93">
        <v>34.32</v>
      </c>
      <c r="E1667" s="93">
        <v>15.11</v>
      </c>
      <c r="F1667" s="93">
        <v>19.21</v>
      </c>
      <c r="G1667" s="93">
        <v>0</v>
      </c>
      <c r="H1667" s="93">
        <v>0</v>
      </c>
      <c r="N1667" s="88"/>
      <c r="O1667" s="88"/>
      <c r="P1667" s="88"/>
    </row>
    <row r="1668" spans="1:16">
      <c r="A1668" s="94">
        <v>101585</v>
      </c>
      <c r="B1668" s="87" t="s">
        <v>5568</v>
      </c>
      <c r="C1668" s="12" t="s">
        <v>9</v>
      </c>
      <c r="D1668" s="93">
        <v>47.32</v>
      </c>
      <c r="E1668" s="93">
        <v>24.87</v>
      </c>
      <c r="F1668" s="93">
        <v>22.45</v>
      </c>
      <c r="G1668" s="93">
        <v>0</v>
      </c>
      <c r="H1668" s="93">
        <v>0</v>
      </c>
      <c r="N1668" s="88"/>
      <c r="O1668" s="88"/>
      <c r="P1668" s="88"/>
    </row>
    <row r="1669" spans="1:16">
      <c r="A1669" s="94">
        <v>101586</v>
      </c>
      <c r="B1669" s="87" t="s">
        <v>5569</v>
      </c>
      <c r="C1669" s="12" t="s">
        <v>9</v>
      </c>
      <c r="D1669" s="93">
        <v>28.39</v>
      </c>
      <c r="E1669" s="93">
        <v>9.86</v>
      </c>
      <c r="F1669" s="93">
        <v>18.53</v>
      </c>
      <c r="G1669" s="93">
        <v>0</v>
      </c>
      <c r="H1669" s="93">
        <v>0</v>
      </c>
      <c r="N1669" s="88"/>
      <c r="O1669" s="88"/>
      <c r="P1669" s="88"/>
    </row>
    <row r="1670" spans="1:16">
      <c r="A1670" s="94">
        <v>101587</v>
      </c>
      <c r="B1670" s="87" t="s">
        <v>5570</v>
      </c>
      <c r="C1670" s="12" t="s">
        <v>9</v>
      </c>
      <c r="D1670" s="93">
        <v>41.52</v>
      </c>
      <c r="E1670" s="93">
        <v>19.63</v>
      </c>
      <c r="F1670" s="93">
        <v>21.89</v>
      </c>
      <c r="G1670" s="93">
        <v>0</v>
      </c>
      <c r="H1670" s="93">
        <v>0</v>
      </c>
      <c r="N1670" s="88"/>
      <c r="O1670" s="88"/>
      <c r="P1670" s="88"/>
    </row>
    <row r="1671" spans="1:16">
      <c r="A1671" s="94">
        <v>101588</v>
      </c>
      <c r="B1671" s="87" t="s">
        <v>5571</v>
      </c>
      <c r="C1671" s="12" t="s">
        <v>9</v>
      </c>
      <c r="D1671" s="93">
        <v>61.25</v>
      </c>
      <c r="E1671" s="93">
        <v>26.32</v>
      </c>
      <c r="F1671" s="93">
        <v>17.690000000000001</v>
      </c>
      <c r="G1671" s="93">
        <v>17.239999999999998</v>
      </c>
      <c r="H1671" s="93">
        <v>0</v>
      </c>
      <c r="N1671" s="88"/>
      <c r="O1671" s="88"/>
      <c r="P1671" s="88"/>
    </row>
    <row r="1672" spans="1:16">
      <c r="A1672" s="94">
        <v>101589</v>
      </c>
      <c r="B1672" s="87" t="s">
        <v>5572</v>
      </c>
      <c r="C1672" s="12" t="s">
        <v>9</v>
      </c>
      <c r="D1672" s="93">
        <v>89.73</v>
      </c>
      <c r="E1672" s="93">
        <v>38.94</v>
      </c>
      <c r="F1672" s="93">
        <v>25.25</v>
      </c>
      <c r="G1672" s="93">
        <v>25.54</v>
      </c>
      <c r="H1672" s="93">
        <v>0</v>
      </c>
      <c r="N1672" s="88"/>
      <c r="O1672" s="88"/>
      <c r="P1672" s="88"/>
    </row>
    <row r="1673" spans="1:16">
      <c r="A1673" s="94">
        <v>101590</v>
      </c>
      <c r="B1673" s="87" t="s">
        <v>5573</v>
      </c>
      <c r="C1673" s="12" t="s">
        <v>9</v>
      </c>
      <c r="D1673" s="93">
        <v>46.15</v>
      </c>
      <c r="E1673" s="93">
        <v>19.57</v>
      </c>
      <c r="F1673" s="93">
        <v>13.77</v>
      </c>
      <c r="G1673" s="93">
        <v>12.81</v>
      </c>
      <c r="H1673" s="93">
        <v>0</v>
      </c>
      <c r="N1673" s="88"/>
      <c r="O1673" s="88"/>
      <c r="P1673" s="88"/>
    </row>
    <row r="1674" spans="1:16">
      <c r="A1674" s="94">
        <v>101591</v>
      </c>
      <c r="B1674" s="87" t="s">
        <v>5574</v>
      </c>
      <c r="C1674" s="12" t="s">
        <v>9</v>
      </c>
      <c r="D1674" s="93">
        <v>74.63</v>
      </c>
      <c r="E1674" s="93">
        <v>32.18</v>
      </c>
      <c r="F1674" s="93">
        <v>21.34</v>
      </c>
      <c r="G1674" s="93">
        <v>21.11</v>
      </c>
      <c r="H1674" s="93">
        <v>0</v>
      </c>
      <c r="N1674" s="88"/>
      <c r="O1674" s="88"/>
      <c r="P1674" s="88"/>
    </row>
    <row r="1675" spans="1:16">
      <c r="A1675" s="94">
        <v>101592</v>
      </c>
      <c r="B1675" s="87" t="s">
        <v>5575</v>
      </c>
      <c r="C1675" s="12" t="s">
        <v>9</v>
      </c>
      <c r="D1675" s="93">
        <v>31.84</v>
      </c>
      <c r="E1675" s="93">
        <v>12.79</v>
      </c>
      <c r="F1675" s="93">
        <v>10.67</v>
      </c>
      <c r="G1675" s="93">
        <v>8.3800000000000008</v>
      </c>
      <c r="H1675" s="93">
        <v>0</v>
      </c>
      <c r="N1675" s="88"/>
      <c r="O1675" s="88"/>
      <c r="P1675" s="88"/>
    </row>
    <row r="1676" spans="1:16">
      <c r="A1676" s="94">
        <v>101593</v>
      </c>
      <c r="B1676" s="87" t="s">
        <v>5576</v>
      </c>
      <c r="C1676" s="12" t="s">
        <v>9</v>
      </c>
      <c r="D1676" s="93">
        <v>60.42</v>
      </c>
      <c r="E1676" s="93">
        <v>25.41</v>
      </c>
      <c r="F1676" s="93">
        <v>18.36</v>
      </c>
      <c r="G1676" s="93">
        <v>16.649999999999999</v>
      </c>
      <c r="H1676" s="93">
        <v>0</v>
      </c>
      <c r="N1676" s="88"/>
      <c r="O1676" s="88"/>
      <c r="P1676" s="88"/>
    </row>
    <row r="1677" spans="1:16">
      <c r="A1677" s="94">
        <v>101600</v>
      </c>
      <c r="B1677" s="87" t="s">
        <v>5577</v>
      </c>
      <c r="C1677" s="12" t="s">
        <v>9</v>
      </c>
      <c r="D1677" s="93">
        <v>11.66</v>
      </c>
      <c r="E1677" s="93">
        <v>5.26</v>
      </c>
      <c r="F1677" s="93">
        <v>2.96</v>
      </c>
      <c r="G1677" s="93">
        <v>3.44</v>
      </c>
      <c r="H1677" s="93">
        <v>0</v>
      </c>
      <c r="N1677" s="88"/>
      <c r="O1677" s="88"/>
      <c r="P1677" s="88"/>
    </row>
    <row r="1678" spans="1:16">
      <c r="A1678" s="94">
        <v>101601</v>
      </c>
      <c r="B1678" s="87" t="s">
        <v>5578</v>
      </c>
      <c r="C1678" s="12" t="s">
        <v>9</v>
      </c>
      <c r="D1678" s="93">
        <v>17.25</v>
      </c>
      <c r="E1678" s="93">
        <v>7.79</v>
      </c>
      <c r="F1678" s="93">
        <v>4.37</v>
      </c>
      <c r="G1678" s="93">
        <v>5.09</v>
      </c>
      <c r="H1678" s="93">
        <v>0</v>
      </c>
      <c r="N1678" s="88"/>
      <c r="O1678" s="88"/>
      <c r="P1678" s="88"/>
    </row>
    <row r="1679" spans="1:16">
      <c r="A1679" s="94">
        <v>101602</v>
      </c>
      <c r="B1679" s="87" t="s">
        <v>5579</v>
      </c>
      <c r="C1679" s="12" t="s">
        <v>9</v>
      </c>
      <c r="D1679" s="93">
        <v>8.64</v>
      </c>
      <c r="E1679" s="93">
        <v>3.93</v>
      </c>
      <c r="F1679" s="93">
        <v>2.16</v>
      </c>
      <c r="G1679" s="93">
        <v>2.5499999999999998</v>
      </c>
      <c r="H1679" s="93">
        <v>0</v>
      </c>
      <c r="N1679" s="88"/>
      <c r="O1679" s="88"/>
      <c r="P1679" s="88"/>
    </row>
    <row r="1680" spans="1:16">
      <c r="A1680" s="94">
        <v>101603</v>
      </c>
      <c r="B1680" s="87" t="s">
        <v>5580</v>
      </c>
      <c r="C1680" s="12" t="s">
        <v>9</v>
      </c>
      <c r="D1680" s="93">
        <v>14.24</v>
      </c>
      <c r="E1680" s="93">
        <v>6.43</v>
      </c>
      <c r="F1680" s="93">
        <v>3.59</v>
      </c>
      <c r="G1680" s="93">
        <v>4.22</v>
      </c>
      <c r="H1680" s="93">
        <v>0</v>
      </c>
      <c r="N1680" s="88"/>
      <c r="O1680" s="88"/>
      <c r="P1680" s="88"/>
    </row>
    <row r="1681" spans="1:16">
      <c r="A1681" s="94">
        <v>101604</v>
      </c>
      <c r="B1681" s="87" t="s">
        <v>5581</v>
      </c>
      <c r="C1681" s="12" t="s">
        <v>9</v>
      </c>
      <c r="D1681" s="93">
        <v>5.65</v>
      </c>
      <c r="E1681" s="93">
        <v>2.59</v>
      </c>
      <c r="F1681" s="93">
        <v>1.38</v>
      </c>
      <c r="G1681" s="93">
        <v>1.68</v>
      </c>
      <c r="H1681" s="93">
        <v>0</v>
      </c>
      <c r="N1681" s="88"/>
      <c r="O1681" s="88"/>
      <c r="P1681" s="88"/>
    </row>
    <row r="1682" spans="1:16">
      <c r="A1682" s="94">
        <v>101605</v>
      </c>
      <c r="B1682" s="87" t="s">
        <v>5582</v>
      </c>
      <c r="C1682" s="12" t="s">
        <v>9</v>
      </c>
      <c r="D1682" s="93">
        <v>11.24</v>
      </c>
      <c r="E1682" s="93">
        <v>5.09</v>
      </c>
      <c r="F1682" s="93">
        <v>2.82</v>
      </c>
      <c r="G1682" s="93">
        <v>3.33</v>
      </c>
      <c r="H1682" s="93">
        <v>0</v>
      </c>
      <c r="N1682" s="88"/>
      <c r="O1682" s="88"/>
      <c r="P1682" s="88"/>
    </row>
    <row r="1683" spans="1:16">
      <c r="A1683" s="94">
        <v>90788</v>
      </c>
      <c r="B1683" s="87" t="s">
        <v>1792</v>
      </c>
      <c r="C1683" s="12" t="s">
        <v>4</v>
      </c>
      <c r="D1683" s="93">
        <v>504.03</v>
      </c>
      <c r="E1683" s="93">
        <v>12.86</v>
      </c>
      <c r="F1683" s="93">
        <v>491.17</v>
      </c>
      <c r="G1683" s="93">
        <v>0</v>
      </c>
      <c r="H1683" s="93">
        <v>0</v>
      </c>
      <c r="N1683" s="88"/>
      <c r="O1683" s="88"/>
      <c r="P1683" s="88"/>
    </row>
    <row r="1684" spans="1:16">
      <c r="A1684" s="94">
        <v>90789</v>
      </c>
      <c r="B1684" s="87" t="s">
        <v>1793</v>
      </c>
      <c r="C1684" s="12" t="s">
        <v>4</v>
      </c>
      <c r="D1684" s="93">
        <v>505.69</v>
      </c>
      <c r="E1684" s="93">
        <v>14.2</v>
      </c>
      <c r="F1684" s="93">
        <v>491.49</v>
      </c>
      <c r="G1684" s="93">
        <v>0</v>
      </c>
      <c r="H1684" s="93">
        <v>0</v>
      </c>
      <c r="N1684" s="88"/>
      <c r="O1684" s="88"/>
      <c r="P1684" s="88"/>
    </row>
    <row r="1685" spans="1:16">
      <c r="A1685" s="94">
        <v>90790</v>
      </c>
      <c r="B1685" s="87" t="s">
        <v>1794</v>
      </c>
      <c r="C1685" s="12" t="s">
        <v>4</v>
      </c>
      <c r="D1685" s="93">
        <v>521.94000000000005</v>
      </c>
      <c r="E1685" s="93">
        <v>15.52</v>
      </c>
      <c r="F1685" s="93">
        <v>506.42</v>
      </c>
      <c r="G1685" s="93">
        <v>0</v>
      </c>
      <c r="H1685" s="93">
        <v>0</v>
      </c>
      <c r="N1685" s="88"/>
      <c r="O1685" s="88"/>
      <c r="P1685" s="88"/>
    </row>
    <row r="1686" spans="1:16">
      <c r="A1686" s="94">
        <v>90791</v>
      </c>
      <c r="B1686" s="87" t="s">
        <v>5583</v>
      </c>
      <c r="C1686" s="12" t="s">
        <v>4</v>
      </c>
      <c r="D1686" s="93">
        <v>612.70000000000005</v>
      </c>
      <c r="E1686" s="93">
        <v>21</v>
      </c>
      <c r="F1686" s="93">
        <v>591.70000000000005</v>
      </c>
      <c r="G1686" s="93">
        <v>0</v>
      </c>
      <c r="H1686" s="93">
        <v>0</v>
      </c>
      <c r="N1686" s="88"/>
      <c r="O1686" s="88"/>
      <c r="P1686" s="88"/>
    </row>
    <row r="1687" spans="1:16">
      <c r="A1687" s="94">
        <v>90793</v>
      </c>
      <c r="B1687" s="87" t="s">
        <v>5584</v>
      </c>
      <c r="C1687" s="12" t="s">
        <v>4</v>
      </c>
      <c r="D1687" s="93">
        <v>653.65</v>
      </c>
      <c r="E1687" s="93">
        <v>25.99</v>
      </c>
      <c r="F1687" s="93">
        <v>627.66</v>
      </c>
      <c r="G1687" s="93">
        <v>0</v>
      </c>
      <c r="H1687" s="93">
        <v>0</v>
      </c>
      <c r="N1687" s="88"/>
      <c r="O1687" s="88"/>
      <c r="P1687" s="88"/>
    </row>
    <row r="1688" spans="1:16">
      <c r="A1688" s="94">
        <v>90794</v>
      </c>
      <c r="B1688" s="87" t="s">
        <v>5585</v>
      </c>
      <c r="C1688" s="12" t="s">
        <v>4</v>
      </c>
      <c r="D1688" s="93">
        <v>444.63</v>
      </c>
      <c r="E1688" s="93">
        <v>43.03</v>
      </c>
      <c r="F1688" s="93">
        <v>401.6</v>
      </c>
      <c r="G1688" s="93">
        <v>0</v>
      </c>
      <c r="H1688" s="93">
        <v>0</v>
      </c>
      <c r="N1688" s="88"/>
      <c r="O1688" s="88"/>
      <c r="P1688" s="88"/>
    </row>
    <row r="1689" spans="1:16">
      <c r="A1689" s="94">
        <v>90795</v>
      </c>
      <c r="B1689" s="87" t="s">
        <v>5586</v>
      </c>
      <c r="C1689" s="12" t="s">
        <v>4</v>
      </c>
      <c r="D1689" s="93">
        <v>450.6</v>
      </c>
      <c r="E1689" s="93">
        <v>47.56</v>
      </c>
      <c r="F1689" s="93">
        <v>403.04</v>
      </c>
      <c r="G1689" s="93">
        <v>0</v>
      </c>
      <c r="H1689" s="93">
        <v>0</v>
      </c>
      <c r="N1689" s="88"/>
      <c r="O1689" s="88"/>
      <c r="P1689" s="88"/>
    </row>
    <row r="1690" spans="1:16">
      <c r="A1690" s="94">
        <v>90796</v>
      </c>
      <c r="B1690" s="87" t="s">
        <v>5587</v>
      </c>
      <c r="C1690" s="12" t="s">
        <v>4</v>
      </c>
      <c r="D1690" s="93">
        <v>456.57</v>
      </c>
      <c r="E1690" s="93">
        <v>52.11</v>
      </c>
      <c r="F1690" s="93">
        <v>404.46</v>
      </c>
      <c r="G1690" s="93">
        <v>0</v>
      </c>
      <c r="H1690" s="93">
        <v>0</v>
      </c>
      <c r="N1690" s="88"/>
      <c r="O1690" s="88"/>
      <c r="P1690" s="88"/>
    </row>
    <row r="1691" spans="1:16">
      <c r="A1691" s="94">
        <v>90797</v>
      </c>
      <c r="B1691" s="87" t="s">
        <v>5588</v>
      </c>
      <c r="C1691" s="12" t="s">
        <v>4</v>
      </c>
      <c r="D1691" s="93">
        <v>462.53</v>
      </c>
      <c r="E1691" s="93">
        <v>56.64</v>
      </c>
      <c r="F1691" s="93">
        <v>405.89</v>
      </c>
      <c r="G1691" s="93">
        <v>0</v>
      </c>
      <c r="H1691" s="93">
        <v>0</v>
      </c>
      <c r="N1691" s="88"/>
      <c r="O1691" s="88"/>
      <c r="P1691" s="88"/>
    </row>
    <row r="1692" spans="1:16">
      <c r="A1692" s="94">
        <v>90798</v>
      </c>
      <c r="B1692" s="87" t="s">
        <v>5589</v>
      </c>
      <c r="C1692" s="12" t="s">
        <v>4</v>
      </c>
      <c r="D1692" s="93">
        <v>662.16</v>
      </c>
      <c r="E1692" s="93">
        <v>59.32</v>
      </c>
      <c r="F1692" s="93">
        <v>602.84</v>
      </c>
      <c r="G1692" s="93">
        <v>0</v>
      </c>
      <c r="H1692" s="93">
        <v>0</v>
      </c>
      <c r="N1692" s="88"/>
      <c r="O1692" s="88"/>
      <c r="P1692" s="88"/>
    </row>
    <row r="1693" spans="1:16">
      <c r="A1693" s="94">
        <v>90799</v>
      </c>
      <c r="B1693" s="87" t="s">
        <v>5590</v>
      </c>
      <c r="C1693" s="12" t="s">
        <v>4</v>
      </c>
      <c r="D1693" s="93">
        <v>684.54</v>
      </c>
      <c r="E1693" s="93">
        <v>64.47</v>
      </c>
      <c r="F1693" s="93">
        <v>620.07000000000005</v>
      </c>
      <c r="G1693" s="93">
        <v>0</v>
      </c>
      <c r="H1693" s="93">
        <v>0</v>
      </c>
      <c r="N1693" s="88"/>
      <c r="O1693" s="88"/>
      <c r="P1693" s="88"/>
    </row>
    <row r="1694" spans="1:16">
      <c r="A1694" s="94">
        <v>90801</v>
      </c>
      <c r="B1694" s="87" t="s">
        <v>1795</v>
      </c>
      <c r="C1694" s="12" t="s">
        <v>4</v>
      </c>
      <c r="D1694" s="93">
        <v>204.74</v>
      </c>
      <c r="E1694" s="93">
        <v>76.61</v>
      </c>
      <c r="F1694" s="93">
        <v>128.13</v>
      </c>
      <c r="G1694" s="93">
        <v>0</v>
      </c>
      <c r="H1694" s="93">
        <v>0</v>
      </c>
      <c r="N1694" s="88"/>
      <c r="O1694" s="88"/>
      <c r="P1694" s="88"/>
    </row>
    <row r="1695" spans="1:16">
      <c r="A1695" s="94">
        <v>90806</v>
      </c>
      <c r="B1695" s="87" t="s">
        <v>1796</v>
      </c>
      <c r="C1695" s="12" t="s">
        <v>4</v>
      </c>
      <c r="D1695" s="93">
        <v>278.52999999999997</v>
      </c>
      <c r="E1695" s="93">
        <v>124.7</v>
      </c>
      <c r="F1695" s="93">
        <v>153.83000000000001</v>
      </c>
      <c r="G1695" s="93">
        <v>0</v>
      </c>
      <c r="H1695" s="93">
        <v>0</v>
      </c>
      <c r="N1695" s="88"/>
      <c r="O1695" s="88"/>
      <c r="P1695" s="88"/>
    </row>
    <row r="1696" spans="1:16">
      <c r="A1696" s="94">
        <v>90820</v>
      </c>
      <c r="B1696" s="87" t="s">
        <v>1797</v>
      </c>
      <c r="C1696" s="12" t="s">
        <v>4</v>
      </c>
      <c r="D1696" s="93">
        <v>212.47</v>
      </c>
      <c r="E1696" s="93">
        <v>35.89</v>
      </c>
      <c r="F1696" s="93">
        <v>176.58</v>
      </c>
      <c r="G1696" s="93">
        <v>0</v>
      </c>
      <c r="H1696" s="93">
        <v>0</v>
      </c>
      <c r="N1696" s="88"/>
      <c r="O1696" s="88"/>
      <c r="P1696" s="88"/>
    </row>
    <row r="1697" spans="1:16">
      <c r="A1697" s="94">
        <v>90821</v>
      </c>
      <c r="B1697" s="87" t="s">
        <v>1798</v>
      </c>
      <c r="C1697" s="12" t="s">
        <v>4</v>
      </c>
      <c r="D1697" s="93">
        <v>218.17</v>
      </c>
      <c r="E1697" s="93">
        <v>39.58</v>
      </c>
      <c r="F1697" s="93">
        <v>178.59</v>
      </c>
      <c r="G1697" s="93">
        <v>0</v>
      </c>
      <c r="H1697" s="93">
        <v>0</v>
      </c>
      <c r="N1697" s="88"/>
      <c r="O1697" s="88"/>
      <c r="P1697" s="88"/>
    </row>
    <row r="1698" spans="1:16">
      <c r="A1698" s="94">
        <v>90822</v>
      </c>
      <c r="B1698" s="87" t="s">
        <v>1799</v>
      </c>
      <c r="C1698" s="12" t="s">
        <v>4</v>
      </c>
      <c r="D1698" s="93">
        <v>234.1</v>
      </c>
      <c r="E1698" s="93">
        <v>43.27</v>
      </c>
      <c r="F1698" s="93">
        <v>190.83</v>
      </c>
      <c r="G1698" s="93">
        <v>0</v>
      </c>
      <c r="H1698" s="93">
        <v>0</v>
      </c>
      <c r="N1698" s="88"/>
      <c r="O1698" s="88"/>
      <c r="P1698" s="88"/>
    </row>
    <row r="1699" spans="1:16">
      <c r="A1699" s="94">
        <v>90823</v>
      </c>
      <c r="B1699" s="87" t="s">
        <v>1800</v>
      </c>
      <c r="C1699" s="12" t="s">
        <v>4</v>
      </c>
      <c r="D1699" s="93">
        <v>283.77</v>
      </c>
      <c r="E1699" s="93">
        <v>46.97</v>
      </c>
      <c r="F1699" s="93">
        <v>236.8</v>
      </c>
      <c r="G1699" s="93">
        <v>0</v>
      </c>
      <c r="H1699" s="93">
        <v>0</v>
      </c>
      <c r="N1699" s="88"/>
      <c r="O1699" s="88"/>
      <c r="P1699" s="88"/>
    </row>
    <row r="1700" spans="1:16">
      <c r="A1700" s="94">
        <v>90824</v>
      </c>
      <c r="B1700" s="87" t="s">
        <v>1801</v>
      </c>
      <c r="C1700" s="12" t="s">
        <v>4</v>
      </c>
      <c r="D1700" s="93">
        <v>400.53</v>
      </c>
      <c r="E1700" s="93">
        <v>60.06</v>
      </c>
      <c r="F1700" s="93">
        <v>340.47</v>
      </c>
      <c r="G1700" s="93">
        <v>0</v>
      </c>
      <c r="H1700" s="93">
        <v>0</v>
      </c>
      <c r="N1700" s="88"/>
      <c r="O1700" s="88"/>
      <c r="P1700" s="88"/>
    </row>
    <row r="1701" spans="1:16">
      <c r="A1701" s="94">
        <v>90825</v>
      </c>
      <c r="B1701" s="87" t="s">
        <v>1802</v>
      </c>
      <c r="C1701" s="12" t="s">
        <v>4</v>
      </c>
      <c r="D1701" s="93">
        <v>444.76</v>
      </c>
      <c r="E1701" s="93">
        <v>65.17</v>
      </c>
      <c r="F1701" s="93">
        <v>379.59</v>
      </c>
      <c r="G1701" s="93">
        <v>0</v>
      </c>
      <c r="H1701" s="93">
        <v>0</v>
      </c>
      <c r="N1701" s="88"/>
      <c r="O1701" s="88"/>
      <c r="P1701" s="88"/>
    </row>
    <row r="1702" spans="1:16">
      <c r="A1702" s="94">
        <v>90830</v>
      </c>
      <c r="B1702" s="87" t="s">
        <v>1803</v>
      </c>
      <c r="C1702" s="12" t="s">
        <v>4</v>
      </c>
      <c r="D1702" s="93">
        <v>138.16999999999999</v>
      </c>
      <c r="E1702" s="93">
        <v>28.04</v>
      </c>
      <c r="F1702" s="93">
        <v>110.13</v>
      </c>
      <c r="G1702" s="93">
        <v>0</v>
      </c>
      <c r="H1702" s="93">
        <v>0</v>
      </c>
      <c r="N1702" s="88"/>
      <c r="O1702" s="88"/>
      <c r="P1702" s="88"/>
    </row>
    <row r="1703" spans="1:16">
      <c r="A1703" s="94">
        <v>90831</v>
      </c>
      <c r="B1703" s="87" t="s">
        <v>1804</v>
      </c>
      <c r="C1703" s="12" t="s">
        <v>4</v>
      </c>
      <c r="D1703" s="93">
        <v>120.32</v>
      </c>
      <c r="E1703" s="93">
        <v>21.46</v>
      </c>
      <c r="F1703" s="93">
        <v>98.86</v>
      </c>
      <c r="G1703" s="93">
        <v>0</v>
      </c>
      <c r="H1703" s="93">
        <v>0</v>
      </c>
      <c r="N1703" s="88"/>
      <c r="O1703" s="88"/>
      <c r="P1703" s="88"/>
    </row>
    <row r="1704" spans="1:16">
      <c r="A1704" s="94">
        <v>90841</v>
      </c>
      <c r="B1704" s="87" t="s">
        <v>1805</v>
      </c>
      <c r="C1704" s="12" t="s">
        <v>4</v>
      </c>
      <c r="D1704" s="93">
        <v>671.51</v>
      </c>
      <c r="E1704" s="93">
        <v>200.3</v>
      </c>
      <c r="F1704" s="93">
        <v>471.21</v>
      </c>
      <c r="G1704" s="93">
        <v>0</v>
      </c>
      <c r="H1704" s="93">
        <v>0</v>
      </c>
      <c r="N1704" s="88"/>
      <c r="O1704" s="88"/>
      <c r="P1704" s="88"/>
    </row>
    <row r="1705" spans="1:16">
      <c r="A1705" s="94">
        <v>90842</v>
      </c>
      <c r="B1705" s="87" t="s">
        <v>1806</v>
      </c>
      <c r="C1705" s="12" t="s">
        <v>4</v>
      </c>
      <c r="D1705" s="93">
        <v>678.46</v>
      </c>
      <c r="E1705" s="93">
        <v>204.37</v>
      </c>
      <c r="F1705" s="93">
        <v>474.09</v>
      </c>
      <c r="G1705" s="93">
        <v>0</v>
      </c>
      <c r="H1705" s="93">
        <v>0</v>
      </c>
      <c r="N1705" s="88"/>
      <c r="O1705" s="88"/>
      <c r="P1705" s="88"/>
    </row>
    <row r="1706" spans="1:16">
      <c r="A1706" s="94">
        <v>90843</v>
      </c>
      <c r="B1706" s="87" t="s">
        <v>1807</v>
      </c>
      <c r="C1706" s="12" t="s">
        <v>4</v>
      </c>
      <c r="D1706" s="93">
        <v>713.5</v>
      </c>
      <c r="E1706" s="93">
        <v>215.01</v>
      </c>
      <c r="F1706" s="93">
        <v>498.49</v>
      </c>
      <c r="G1706" s="93">
        <v>0</v>
      </c>
      <c r="H1706" s="93">
        <v>0</v>
      </c>
      <c r="N1706" s="88"/>
      <c r="O1706" s="88"/>
      <c r="P1706" s="88"/>
    </row>
    <row r="1707" spans="1:16">
      <c r="A1707" s="94">
        <v>90844</v>
      </c>
      <c r="B1707" s="87" t="s">
        <v>1808</v>
      </c>
      <c r="C1707" s="12" t="s">
        <v>4</v>
      </c>
      <c r="D1707" s="93">
        <v>764.42</v>
      </c>
      <c r="E1707" s="93">
        <v>219.09</v>
      </c>
      <c r="F1707" s="93">
        <v>545.33000000000004</v>
      </c>
      <c r="G1707" s="93">
        <v>0</v>
      </c>
      <c r="H1707" s="93">
        <v>0</v>
      </c>
      <c r="N1707" s="88"/>
      <c r="O1707" s="88"/>
      <c r="P1707" s="88"/>
    </row>
    <row r="1708" spans="1:16">
      <c r="A1708" s="94">
        <v>90845</v>
      </c>
      <c r="B1708" s="87" t="s">
        <v>1809</v>
      </c>
      <c r="C1708" s="12" t="s">
        <v>4</v>
      </c>
      <c r="D1708" s="93">
        <v>879.93</v>
      </c>
      <c r="E1708" s="93">
        <v>231.76</v>
      </c>
      <c r="F1708" s="93">
        <v>648.16999999999996</v>
      </c>
      <c r="G1708" s="93">
        <v>0</v>
      </c>
      <c r="H1708" s="93">
        <v>0</v>
      </c>
      <c r="N1708" s="88"/>
      <c r="O1708" s="88"/>
      <c r="P1708" s="88"/>
    </row>
    <row r="1709" spans="1:16">
      <c r="A1709" s="94">
        <v>90846</v>
      </c>
      <c r="B1709" s="87" t="s">
        <v>1810</v>
      </c>
      <c r="C1709" s="12" t="s">
        <v>4</v>
      </c>
      <c r="D1709" s="93">
        <v>925.41</v>
      </c>
      <c r="E1709" s="93">
        <v>237.25</v>
      </c>
      <c r="F1709" s="93">
        <v>688.16</v>
      </c>
      <c r="G1709" s="93">
        <v>0</v>
      </c>
      <c r="H1709" s="93">
        <v>0</v>
      </c>
      <c r="N1709" s="88"/>
      <c r="O1709" s="88"/>
      <c r="P1709" s="88"/>
    </row>
    <row r="1710" spans="1:16">
      <c r="A1710" s="94">
        <v>90847</v>
      </c>
      <c r="B1710" s="87" t="s">
        <v>1811</v>
      </c>
      <c r="C1710" s="12" t="s">
        <v>4</v>
      </c>
      <c r="D1710" s="93">
        <v>551.19000000000005</v>
      </c>
      <c r="E1710" s="93">
        <v>178.85</v>
      </c>
      <c r="F1710" s="93">
        <v>372.34</v>
      </c>
      <c r="G1710" s="93">
        <v>0</v>
      </c>
      <c r="H1710" s="93">
        <v>0</v>
      </c>
      <c r="N1710" s="88"/>
      <c r="O1710" s="88"/>
      <c r="P1710" s="88"/>
    </row>
    <row r="1711" spans="1:16">
      <c r="A1711" s="94">
        <v>90848</v>
      </c>
      <c r="B1711" s="87" t="s">
        <v>1812</v>
      </c>
      <c r="C1711" s="12" t="s">
        <v>4</v>
      </c>
      <c r="D1711" s="93">
        <v>558.14</v>
      </c>
      <c r="E1711" s="93">
        <v>182.93</v>
      </c>
      <c r="F1711" s="93">
        <v>375.21</v>
      </c>
      <c r="G1711" s="93">
        <v>0</v>
      </c>
      <c r="H1711" s="93">
        <v>0</v>
      </c>
      <c r="N1711" s="88"/>
      <c r="O1711" s="88"/>
      <c r="P1711" s="88"/>
    </row>
    <row r="1712" spans="1:16">
      <c r="A1712" s="94">
        <v>90849</v>
      </c>
      <c r="B1712" s="87" t="s">
        <v>1813</v>
      </c>
      <c r="C1712" s="12" t="s">
        <v>4</v>
      </c>
      <c r="D1712" s="93">
        <v>575.33000000000004</v>
      </c>
      <c r="E1712" s="93">
        <v>186.98</v>
      </c>
      <c r="F1712" s="93">
        <v>388.35</v>
      </c>
      <c r="G1712" s="93">
        <v>0</v>
      </c>
      <c r="H1712" s="93">
        <v>0</v>
      </c>
      <c r="N1712" s="88"/>
      <c r="O1712" s="88"/>
      <c r="P1712" s="88"/>
    </row>
    <row r="1713" spans="1:16">
      <c r="A1713" s="94">
        <v>90850</v>
      </c>
      <c r="B1713" s="87" t="s">
        <v>1814</v>
      </c>
      <c r="C1713" s="12" t="s">
        <v>4</v>
      </c>
      <c r="D1713" s="93">
        <v>626.25</v>
      </c>
      <c r="E1713" s="93">
        <v>191.06</v>
      </c>
      <c r="F1713" s="93">
        <v>435.19</v>
      </c>
      <c r="G1713" s="93">
        <v>0</v>
      </c>
      <c r="H1713" s="93">
        <v>0</v>
      </c>
      <c r="N1713" s="88"/>
      <c r="O1713" s="88"/>
      <c r="P1713" s="88"/>
    </row>
    <row r="1714" spans="1:16">
      <c r="A1714" s="94">
        <v>90851</v>
      </c>
      <c r="B1714" s="87" t="s">
        <v>1815</v>
      </c>
      <c r="C1714" s="12" t="s">
        <v>4</v>
      </c>
      <c r="D1714" s="93">
        <v>741.76</v>
      </c>
      <c r="E1714" s="93">
        <v>203.72</v>
      </c>
      <c r="F1714" s="93">
        <v>538.04</v>
      </c>
      <c r="G1714" s="93">
        <v>0</v>
      </c>
      <c r="H1714" s="93">
        <v>0</v>
      </c>
      <c r="N1714" s="88"/>
      <c r="O1714" s="88"/>
      <c r="P1714" s="88"/>
    </row>
    <row r="1715" spans="1:16">
      <c r="A1715" s="94">
        <v>90852</v>
      </c>
      <c r="B1715" s="87" t="s">
        <v>1816</v>
      </c>
      <c r="C1715" s="12" t="s">
        <v>4</v>
      </c>
      <c r="D1715" s="93">
        <v>787.24</v>
      </c>
      <c r="E1715" s="93">
        <v>209.21</v>
      </c>
      <c r="F1715" s="93">
        <v>578.03</v>
      </c>
      <c r="G1715" s="93">
        <v>0</v>
      </c>
      <c r="H1715" s="93">
        <v>0</v>
      </c>
      <c r="N1715" s="88"/>
      <c r="O1715" s="88"/>
      <c r="P1715" s="88"/>
    </row>
    <row r="1716" spans="1:16">
      <c r="A1716" s="94">
        <v>91009</v>
      </c>
      <c r="B1716" s="87" t="s">
        <v>1817</v>
      </c>
      <c r="C1716" s="12" t="s">
        <v>4</v>
      </c>
      <c r="D1716" s="93">
        <v>219.23</v>
      </c>
      <c r="E1716" s="93">
        <v>35.89</v>
      </c>
      <c r="F1716" s="93">
        <v>183.34</v>
      </c>
      <c r="G1716" s="93">
        <v>0</v>
      </c>
      <c r="H1716" s="93">
        <v>0</v>
      </c>
      <c r="N1716" s="88"/>
      <c r="O1716" s="88"/>
      <c r="P1716" s="88"/>
    </row>
    <row r="1717" spans="1:16">
      <c r="A1717" s="94">
        <v>91010</v>
      </c>
      <c r="B1717" s="87" t="s">
        <v>1818</v>
      </c>
      <c r="C1717" s="12" t="s">
        <v>4</v>
      </c>
      <c r="D1717" s="93">
        <v>225.24</v>
      </c>
      <c r="E1717" s="93">
        <v>39.58</v>
      </c>
      <c r="F1717" s="93">
        <v>185.66</v>
      </c>
      <c r="G1717" s="93">
        <v>0</v>
      </c>
      <c r="H1717" s="93">
        <v>0</v>
      </c>
      <c r="N1717" s="88"/>
      <c r="O1717" s="88"/>
      <c r="P1717" s="88"/>
    </row>
    <row r="1718" spans="1:16">
      <c r="A1718" s="94">
        <v>91011</v>
      </c>
      <c r="B1718" s="87" t="s">
        <v>1819</v>
      </c>
      <c r="C1718" s="12" t="s">
        <v>4</v>
      </c>
      <c r="D1718" s="93">
        <v>261.51</v>
      </c>
      <c r="E1718" s="93">
        <v>43.27</v>
      </c>
      <c r="F1718" s="93">
        <v>218.24</v>
      </c>
      <c r="G1718" s="93">
        <v>0</v>
      </c>
      <c r="H1718" s="93">
        <v>0</v>
      </c>
      <c r="N1718" s="88"/>
      <c r="O1718" s="88"/>
      <c r="P1718" s="88"/>
    </row>
    <row r="1719" spans="1:16">
      <c r="A1719" s="94">
        <v>91012</v>
      </c>
      <c r="B1719" s="87" t="s">
        <v>1820</v>
      </c>
      <c r="C1719" s="12" t="s">
        <v>4</v>
      </c>
      <c r="D1719" s="93">
        <v>289.75</v>
      </c>
      <c r="E1719" s="93">
        <v>46.97</v>
      </c>
      <c r="F1719" s="93">
        <v>242.78</v>
      </c>
      <c r="G1719" s="93">
        <v>0</v>
      </c>
      <c r="H1719" s="93">
        <v>0</v>
      </c>
      <c r="N1719" s="88"/>
      <c r="O1719" s="88"/>
      <c r="P1719" s="88"/>
    </row>
    <row r="1720" spans="1:16">
      <c r="A1720" s="94">
        <v>91013</v>
      </c>
      <c r="B1720" s="87" t="s">
        <v>1821</v>
      </c>
      <c r="C1720" s="12" t="s">
        <v>4</v>
      </c>
      <c r="D1720" s="93">
        <v>557.95000000000005</v>
      </c>
      <c r="E1720" s="93">
        <v>178.85</v>
      </c>
      <c r="F1720" s="93">
        <v>379.1</v>
      </c>
      <c r="G1720" s="93">
        <v>0</v>
      </c>
      <c r="H1720" s="93">
        <v>0</v>
      </c>
      <c r="N1720" s="88"/>
      <c r="O1720" s="88"/>
      <c r="P1720" s="88"/>
    </row>
    <row r="1721" spans="1:16">
      <c r="A1721" s="94">
        <v>91014</v>
      </c>
      <c r="B1721" s="87" t="s">
        <v>1822</v>
      </c>
      <c r="C1721" s="12" t="s">
        <v>4</v>
      </c>
      <c r="D1721" s="93">
        <v>565.21</v>
      </c>
      <c r="E1721" s="93">
        <v>182.92</v>
      </c>
      <c r="F1721" s="93">
        <v>382.29</v>
      </c>
      <c r="G1721" s="93">
        <v>0</v>
      </c>
      <c r="H1721" s="93">
        <v>0</v>
      </c>
      <c r="N1721" s="88"/>
      <c r="O1721" s="88"/>
      <c r="P1721" s="88"/>
    </row>
    <row r="1722" spans="1:16">
      <c r="A1722" s="94">
        <v>91015</v>
      </c>
      <c r="B1722" s="87" t="s">
        <v>1823</v>
      </c>
      <c r="C1722" s="12" t="s">
        <v>4</v>
      </c>
      <c r="D1722" s="93">
        <v>602.74</v>
      </c>
      <c r="E1722" s="93">
        <v>186.97</v>
      </c>
      <c r="F1722" s="93">
        <v>415.77</v>
      </c>
      <c r="G1722" s="93">
        <v>0</v>
      </c>
      <c r="H1722" s="93">
        <v>0</v>
      </c>
      <c r="N1722" s="88"/>
      <c r="O1722" s="88"/>
      <c r="P1722" s="88"/>
    </row>
    <row r="1723" spans="1:16">
      <c r="A1723" s="94">
        <v>91016</v>
      </c>
      <c r="B1723" s="87" t="s">
        <v>1824</v>
      </c>
      <c r="C1723" s="12" t="s">
        <v>4</v>
      </c>
      <c r="D1723" s="93">
        <v>632.23</v>
      </c>
      <c r="E1723" s="93">
        <v>191.05</v>
      </c>
      <c r="F1723" s="93">
        <v>441.18</v>
      </c>
      <c r="G1723" s="93">
        <v>0</v>
      </c>
      <c r="H1723" s="93">
        <v>0</v>
      </c>
      <c r="N1723" s="88"/>
      <c r="O1723" s="88"/>
      <c r="P1723" s="88"/>
    </row>
    <row r="1724" spans="1:16">
      <c r="A1724" s="94">
        <v>91287</v>
      </c>
      <c r="B1724" s="87" t="s">
        <v>1825</v>
      </c>
      <c r="C1724" s="12" t="s">
        <v>4</v>
      </c>
      <c r="D1724" s="93">
        <v>167.95</v>
      </c>
      <c r="E1724" s="93">
        <v>76.81</v>
      </c>
      <c r="F1724" s="93">
        <v>91.14</v>
      </c>
      <c r="G1724" s="93">
        <v>0</v>
      </c>
      <c r="H1724" s="93">
        <v>0</v>
      </c>
      <c r="N1724" s="88"/>
      <c r="O1724" s="88"/>
      <c r="P1724" s="88"/>
    </row>
    <row r="1725" spans="1:16">
      <c r="A1725" s="94">
        <v>91292</v>
      </c>
      <c r="B1725" s="87" t="s">
        <v>1826</v>
      </c>
      <c r="C1725" s="12" t="s">
        <v>4</v>
      </c>
      <c r="D1725" s="93">
        <v>241.74</v>
      </c>
      <c r="E1725" s="93">
        <v>124.92</v>
      </c>
      <c r="F1725" s="93">
        <v>116.82</v>
      </c>
      <c r="G1725" s="93">
        <v>0</v>
      </c>
      <c r="H1725" s="93">
        <v>0</v>
      </c>
      <c r="N1725" s="88"/>
      <c r="O1725" s="88"/>
      <c r="P1725" s="88"/>
    </row>
    <row r="1726" spans="1:16">
      <c r="A1726" s="94">
        <v>91295</v>
      </c>
      <c r="B1726" s="87" t="s">
        <v>1827</v>
      </c>
      <c r="C1726" s="12" t="s">
        <v>4</v>
      </c>
      <c r="D1726" s="93">
        <v>225.07</v>
      </c>
      <c r="E1726" s="93">
        <v>35.89</v>
      </c>
      <c r="F1726" s="93">
        <v>189.18</v>
      </c>
      <c r="G1726" s="93">
        <v>0</v>
      </c>
      <c r="H1726" s="93">
        <v>0</v>
      </c>
      <c r="N1726" s="88"/>
      <c r="O1726" s="88"/>
      <c r="P1726" s="88"/>
    </row>
    <row r="1727" spans="1:16">
      <c r="A1727" s="94">
        <v>91296</v>
      </c>
      <c r="B1727" s="87" t="s">
        <v>1828</v>
      </c>
      <c r="C1727" s="12" t="s">
        <v>4</v>
      </c>
      <c r="D1727" s="93">
        <v>241.57</v>
      </c>
      <c r="E1727" s="93">
        <v>39.58</v>
      </c>
      <c r="F1727" s="93">
        <v>201.99</v>
      </c>
      <c r="G1727" s="93">
        <v>0</v>
      </c>
      <c r="H1727" s="93">
        <v>0</v>
      </c>
      <c r="N1727" s="88"/>
      <c r="O1727" s="88"/>
      <c r="P1727" s="88"/>
    </row>
    <row r="1728" spans="1:16">
      <c r="A1728" s="94">
        <v>91297</v>
      </c>
      <c r="B1728" s="87" t="s">
        <v>1829</v>
      </c>
      <c r="C1728" s="12" t="s">
        <v>4</v>
      </c>
      <c r="D1728" s="93">
        <v>265.41000000000003</v>
      </c>
      <c r="E1728" s="93">
        <v>43.27</v>
      </c>
      <c r="F1728" s="93">
        <v>222.14</v>
      </c>
      <c r="G1728" s="93">
        <v>0</v>
      </c>
      <c r="H1728" s="93">
        <v>0</v>
      </c>
      <c r="N1728" s="88"/>
      <c r="O1728" s="88"/>
      <c r="P1728" s="88"/>
    </row>
    <row r="1729" spans="1:16">
      <c r="A1729" s="94">
        <v>91298</v>
      </c>
      <c r="B1729" s="87" t="s">
        <v>1830</v>
      </c>
      <c r="C1729" s="12" t="s">
        <v>4</v>
      </c>
      <c r="D1729" s="93">
        <v>564.19000000000005</v>
      </c>
      <c r="E1729" s="93">
        <v>43.26</v>
      </c>
      <c r="F1729" s="93">
        <v>520.92999999999995</v>
      </c>
      <c r="G1729" s="93">
        <v>0</v>
      </c>
      <c r="H1729" s="93">
        <v>0</v>
      </c>
      <c r="N1729" s="88"/>
      <c r="O1729" s="88"/>
      <c r="P1729" s="88"/>
    </row>
    <row r="1730" spans="1:16">
      <c r="A1730" s="94">
        <v>91299</v>
      </c>
      <c r="B1730" s="87" t="s">
        <v>1831</v>
      </c>
      <c r="C1730" s="12" t="s">
        <v>4</v>
      </c>
      <c r="D1730" s="93">
        <v>788.94</v>
      </c>
      <c r="E1730" s="93">
        <v>60.05</v>
      </c>
      <c r="F1730" s="93">
        <v>728.89</v>
      </c>
      <c r="G1730" s="93">
        <v>0</v>
      </c>
      <c r="H1730" s="93">
        <v>0</v>
      </c>
      <c r="N1730" s="88"/>
      <c r="O1730" s="88"/>
      <c r="P1730" s="88"/>
    </row>
    <row r="1731" spans="1:16">
      <c r="A1731" s="94">
        <v>91304</v>
      </c>
      <c r="B1731" s="87" t="s">
        <v>1832</v>
      </c>
      <c r="C1731" s="12" t="s">
        <v>4</v>
      </c>
      <c r="D1731" s="93">
        <v>87.04</v>
      </c>
      <c r="E1731" s="93">
        <v>28.05</v>
      </c>
      <c r="F1731" s="93">
        <v>58.99</v>
      </c>
      <c r="G1731" s="93">
        <v>0</v>
      </c>
      <c r="H1731" s="93">
        <v>0</v>
      </c>
      <c r="N1731" s="88"/>
      <c r="O1731" s="88"/>
      <c r="P1731" s="88"/>
    </row>
    <row r="1732" spans="1:16">
      <c r="A1732" s="94">
        <v>91305</v>
      </c>
      <c r="B1732" s="87" t="s">
        <v>1833</v>
      </c>
      <c r="C1732" s="12" t="s">
        <v>4</v>
      </c>
      <c r="D1732" s="93">
        <v>85.14</v>
      </c>
      <c r="E1732" s="93">
        <v>21.47</v>
      </c>
      <c r="F1732" s="93">
        <v>63.67</v>
      </c>
      <c r="G1732" s="93">
        <v>0</v>
      </c>
      <c r="H1732" s="93">
        <v>0</v>
      </c>
      <c r="N1732" s="88"/>
      <c r="O1732" s="88"/>
      <c r="P1732" s="88"/>
    </row>
    <row r="1733" spans="1:16">
      <c r="A1733" s="94">
        <v>91306</v>
      </c>
      <c r="B1733" s="87" t="s">
        <v>1834</v>
      </c>
      <c r="C1733" s="12" t="s">
        <v>4</v>
      </c>
      <c r="D1733" s="93">
        <v>120.32</v>
      </c>
      <c r="E1733" s="93">
        <v>21.46</v>
      </c>
      <c r="F1733" s="93">
        <v>98.86</v>
      </c>
      <c r="G1733" s="93">
        <v>0</v>
      </c>
      <c r="H1733" s="93">
        <v>0</v>
      </c>
      <c r="N1733" s="88"/>
      <c r="O1733" s="88"/>
      <c r="P1733" s="88"/>
    </row>
    <row r="1734" spans="1:16">
      <c r="A1734" s="94">
        <v>91307</v>
      </c>
      <c r="B1734" s="87" t="s">
        <v>1835</v>
      </c>
      <c r="C1734" s="12" t="s">
        <v>4</v>
      </c>
      <c r="D1734" s="93">
        <v>73.27</v>
      </c>
      <c r="E1734" s="93">
        <v>21.47</v>
      </c>
      <c r="F1734" s="93">
        <v>51.8</v>
      </c>
      <c r="G1734" s="93">
        <v>0</v>
      </c>
      <c r="H1734" s="93">
        <v>0</v>
      </c>
      <c r="N1734" s="88"/>
      <c r="O1734" s="88"/>
      <c r="P1734" s="88"/>
    </row>
    <row r="1735" spans="1:16">
      <c r="A1735" s="94">
        <v>91312</v>
      </c>
      <c r="B1735" s="87" t="s">
        <v>1836</v>
      </c>
      <c r="C1735" s="12" t="s">
        <v>4</v>
      </c>
      <c r="D1735" s="93">
        <v>590.99</v>
      </c>
      <c r="E1735" s="93">
        <v>200.53</v>
      </c>
      <c r="F1735" s="93">
        <v>390.46</v>
      </c>
      <c r="G1735" s="93">
        <v>0</v>
      </c>
      <c r="H1735" s="93">
        <v>0</v>
      </c>
      <c r="N1735" s="88"/>
      <c r="O1735" s="88"/>
      <c r="P1735" s="88"/>
    </row>
    <row r="1736" spans="1:16">
      <c r="A1736" s="94">
        <v>91313</v>
      </c>
      <c r="B1736" s="87" t="s">
        <v>1837</v>
      </c>
      <c r="C1736" s="12" t="s">
        <v>4</v>
      </c>
      <c r="D1736" s="93">
        <v>585.9</v>
      </c>
      <c r="E1736" s="93">
        <v>204.62</v>
      </c>
      <c r="F1736" s="93">
        <v>381.28</v>
      </c>
      <c r="G1736" s="93">
        <v>0</v>
      </c>
      <c r="H1736" s="93">
        <v>0</v>
      </c>
      <c r="N1736" s="88"/>
      <c r="O1736" s="88"/>
      <c r="P1736" s="88"/>
    </row>
    <row r="1737" spans="1:16">
      <c r="A1737" s="94">
        <v>91314</v>
      </c>
      <c r="B1737" s="87" t="s">
        <v>1838</v>
      </c>
      <c r="C1737" s="12" t="s">
        <v>4</v>
      </c>
      <c r="D1737" s="93">
        <v>616.67999999999995</v>
      </c>
      <c r="E1737" s="93">
        <v>215.25</v>
      </c>
      <c r="F1737" s="93">
        <v>401.43</v>
      </c>
      <c r="G1737" s="93">
        <v>0</v>
      </c>
      <c r="H1737" s="93">
        <v>0</v>
      </c>
      <c r="N1737" s="88"/>
      <c r="O1737" s="88"/>
      <c r="P1737" s="88"/>
    </row>
    <row r="1738" spans="1:16">
      <c r="A1738" s="94">
        <v>91315</v>
      </c>
      <c r="B1738" s="87" t="s">
        <v>1839</v>
      </c>
      <c r="C1738" s="12" t="s">
        <v>4</v>
      </c>
      <c r="D1738" s="93">
        <v>667.42</v>
      </c>
      <c r="E1738" s="93">
        <v>219.33</v>
      </c>
      <c r="F1738" s="93">
        <v>448.09</v>
      </c>
      <c r="G1738" s="93">
        <v>0</v>
      </c>
      <c r="H1738" s="93">
        <v>0</v>
      </c>
      <c r="N1738" s="88"/>
      <c r="O1738" s="88"/>
      <c r="P1738" s="88"/>
    </row>
    <row r="1739" spans="1:16">
      <c r="A1739" s="94">
        <v>91316</v>
      </c>
      <c r="B1739" s="87" t="s">
        <v>1840</v>
      </c>
      <c r="C1739" s="12" t="s">
        <v>4</v>
      </c>
      <c r="D1739" s="93">
        <v>783.11</v>
      </c>
      <c r="E1739" s="93">
        <v>231.99</v>
      </c>
      <c r="F1739" s="93">
        <v>551.12</v>
      </c>
      <c r="G1739" s="93">
        <v>0</v>
      </c>
      <c r="H1739" s="93">
        <v>0</v>
      </c>
      <c r="N1739" s="88"/>
      <c r="O1739" s="88"/>
      <c r="P1739" s="88"/>
    </row>
    <row r="1740" spans="1:16">
      <c r="A1740" s="94">
        <v>91317</v>
      </c>
      <c r="B1740" s="87" t="s">
        <v>1841</v>
      </c>
      <c r="C1740" s="12" t="s">
        <v>4</v>
      </c>
      <c r="D1740" s="93">
        <v>828.41</v>
      </c>
      <c r="E1740" s="93">
        <v>237.48</v>
      </c>
      <c r="F1740" s="93">
        <v>590.92999999999995</v>
      </c>
      <c r="G1740" s="93">
        <v>0</v>
      </c>
      <c r="H1740" s="93">
        <v>0</v>
      </c>
      <c r="N1740" s="88"/>
      <c r="O1740" s="88"/>
      <c r="P1740" s="88"/>
    </row>
    <row r="1741" spans="1:16">
      <c r="A1741" s="94">
        <v>91318</v>
      </c>
      <c r="B1741" s="87" t="s">
        <v>1842</v>
      </c>
      <c r="C1741" s="12" t="s">
        <v>4</v>
      </c>
      <c r="D1741" s="93">
        <v>505.85</v>
      </c>
      <c r="E1741" s="93">
        <v>179.07</v>
      </c>
      <c r="F1741" s="93">
        <v>326.77999999999997</v>
      </c>
      <c r="G1741" s="93">
        <v>0</v>
      </c>
      <c r="H1741" s="93">
        <v>0</v>
      </c>
      <c r="N1741" s="88"/>
      <c r="O1741" s="88"/>
      <c r="P1741" s="88"/>
    </row>
    <row r="1742" spans="1:16">
      <c r="A1742" s="94">
        <v>91319</v>
      </c>
      <c r="B1742" s="87" t="s">
        <v>1843</v>
      </c>
      <c r="C1742" s="12" t="s">
        <v>4</v>
      </c>
      <c r="D1742" s="93">
        <v>512.63</v>
      </c>
      <c r="E1742" s="93">
        <v>183.15</v>
      </c>
      <c r="F1742" s="93">
        <v>329.48</v>
      </c>
      <c r="G1742" s="93">
        <v>0</v>
      </c>
      <c r="H1742" s="93">
        <v>0</v>
      </c>
      <c r="N1742" s="88"/>
      <c r="O1742" s="88"/>
      <c r="P1742" s="88"/>
    </row>
    <row r="1743" spans="1:16">
      <c r="A1743" s="94">
        <v>91320</v>
      </c>
      <c r="B1743" s="87" t="s">
        <v>1844</v>
      </c>
      <c r="C1743" s="12" t="s">
        <v>4</v>
      </c>
      <c r="D1743" s="93">
        <v>529.64</v>
      </c>
      <c r="E1743" s="93">
        <v>187.2</v>
      </c>
      <c r="F1743" s="93">
        <v>342.44</v>
      </c>
      <c r="G1743" s="93">
        <v>0</v>
      </c>
      <c r="H1743" s="93">
        <v>0</v>
      </c>
      <c r="N1743" s="88"/>
      <c r="O1743" s="88"/>
      <c r="P1743" s="88"/>
    </row>
    <row r="1744" spans="1:16">
      <c r="A1744" s="94">
        <v>91321</v>
      </c>
      <c r="B1744" s="87" t="s">
        <v>1845</v>
      </c>
      <c r="C1744" s="12" t="s">
        <v>4</v>
      </c>
      <c r="D1744" s="93">
        <v>580.38</v>
      </c>
      <c r="E1744" s="93">
        <v>191.27</v>
      </c>
      <c r="F1744" s="93">
        <v>389.11</v>
      </c>
      <c r="G1744" s="93">
        <v>0</v>
      </c>
      <c r="H1744" s="93">
        <v>0</v>
      </c>
      <c r="N1744" s="88"/>
      <c r="O1744" s="88"/>
      <c r="P1744" s="88"/>
    </row>
    <row r="1745" spans="1:16">
      <c r="A1745" s="94">
        <v>91322</v>
      </c>
      <c r="B1745" s="87" t="s">
        <v>1846</v>
      </c>
      <c r="C1745" s="12" t="s">
        <v>4</v>
      </c>
      <c r="D1745" s="93">
        <v>696.07</v>
      </c>
      <c r="E1745" s="93">
        <v>203.93</v>
      </c>
      <c r="F1745" s="93">
        <v>492.14</v>
      </c>
      <c r="G1745" s="93">
        <v>0</v>
      </c>
      <c r="H1745" s="93">
        <v>0</v>
      </c>
      <c r="N1745" s="88"/>
      <c r="O1745" s="88"/>
      <c r="P1745" s="88"/>
    </row>
    <row r="1746" spans="1:16">
      <c r="A1746" s="94">
        <v>91323</v>
      </c>
      <c r="B1746" s="87" t="s">
        <v>1847</v>
      </c>
      <c r="C1746" s="12" t="s">
        <v>4</v>
      </c>
      <c r="D1746" s="93">
        <v>741.37</v>
      </c>
      <c r="E1746" s="93">
        <v>209.42</v>
      </c>
      <c r="F1746" s="93">
        <v>531.95000000000005</v>
      </c>
      <c r="G1746" s="93">
        <v>0</v>
      </c>
      <c r="H1746" s="93">
        <v>0</v>
      </c>
      <c r="N1746" s="88"/>
      <c r="O1746" s="88"/>
      <c r="P1746" s="88"/>
    </row>
    <row r="1747" spans="1:16">
      <c r="A1747" s="94">
        <v>91324</v>
      </c>
      <c r="B1747" s="87" t="s">
        <v>1848</v>
      </c>
      <c r="C1747" s="12" t="s">
        <v>4</v>
      </c>
      <c r="D1747" s="93">
        <v>512.61</v>
      </c>
      <c r="E1747" s="93">
        <v>179.06</v>
      </c>
      <c r="F1747" s="93">
        <v>333.55</v>
      </c>
      <c r="G1747" s="93">
        <v>0</v>
      </c>
      <c r="H1747" s="93">
        <v>0</v>
      </c>
      <c r="N1747" s="88"/>
      <c r="O1747" s="88"/>
      <c r="P1747" s="88"/>
    </row>
    <row r="1748" spans="1:16">
      <c r="A1748" s="94">
        <v>91325</v>
      </c>
      <c r="B1748" s="87" t="s">
        <v>1849</v>
      </c>
      <c r="C1748" s="12" t="s">
        <v>4</v>
      </c>
      <c r="D1748" s="93">
        <v>519.70000000000005</v>
      </c>
      <c r="E1748" s="93">
        <v>183.15</v>
      </c>
      <c r="F1748" s="93">
        <v>336.55</v>
      </c>
      <c r="G1748" s="93">
        <v>0</v>
      </c>
      <c r="H1748" s="93">
        <v>0</v>
      </c>
      <c r="N1748" s="88"/>
      <c r="O1748" s="88"/>
      <c r="P1748" s="88"/>
    </row>
    <row r="1749" spans="1:16">
      <c r="A1749" s="94">
        <v>91326</v>
      </c>
      <c r="B1749" s="87" t="s">
        <v>1850</v>
      </c>
      <c r="C1749" s="12" t="s">
        <v>4</v>
      </c>
      <c r="D1749" s="93">
        <v>557.04999999999995</v>
      </c>
      <c r="E1749" s="93">
        <v>187.18</v>
      </c>
      <c r="F1749" s="93">
        <v>369.87</v>
      </c>
      <c r="G1749" s="93">
        <v>0</v>
      </c>
      <c r="H1749" s="93">
        <v>0</v>
      </c>
      <c r="N1749" s="88"/>
      <c r="O1749" s="88"/>
      <c r="P1749" s="88"/>
    </row>
    <row r="1750" spans="1:16">
      <c r="A1750" s="94">
        <v>91327</v>
      </c>
      <c r="B1750" s="87" t="s">
        <v>1851</v>
      </c>
      <c r="C1750" s="12" t="s">
        <v>4</v>
      </c>
      <c r="D1750" s="93">
        <v>586.36</v>
      </c>
      <c r="E1750" s="93">
        <v>191.27</v>
      </c>
      <c r="F1750" s="93">
        <v>395.09</v>
      </c>
      <c r="G1750" s="93">
        <v>0</v>
      </c>
      <c r="H1750" s="93">
        <v>0</v>
      </c>
      <c r="N1750" s="88"/>
      <c r="O1750" s="88"/>
      <c r="P1750" s="88"/>
    </row>
    <row r="1751" spans="1:16">
      <c r="A1751" s="94">
        <v>91328</v>
      </c>
      <c r="B1751" s="87" t="s">
        <v>1852</v>
      </c>
      <c r="C1751" s="12" t="s">
        <v>4</v>
      </c>
      <c r="D1751" s="93">
        <v>563.79</v>
      </c>
      <c r="E1751" s="93">
        <v>178.84</v>
      </c>
      <c r="F1751" s="93">
        <v>384.95</v>
      </c>
      <c r="G1751" s="93">
        <v>0</v>
      </c>
      <c r="H1751" s="93">
        <v>0</v>
      </c>
      <c r="N1751" s="88"/>
      <c r="O1751" s="88"/>
      <c r="P1751" s="88"/>
    </row>
    <row r="1752" spans="1:16">
      <c r="A1752" s="94">
        <v>91329</v>
      </c>
      <c r="B1752" s="87" t="s">
        <v>1853</v>
      </c>
      <c r="C1752" s="12" t="s">
        <v>4</v>
      </c>
      <c r="D1752" s="93">
        <v>518.45000000000005</v>
      </c>
      <c r="E1752" s="93">
        <v>179.06</v>
      </c>
      <c r="F1752" s="93">
        <v>339.39</v>
      </c>
      <c r="G1752" s="93">
        <v>0</v>
      </c>
      <c r="H1752" s="93">
        <v>0</v>
      </c>
      <c r="N1752" s="88"/>
      <c r="O1752" s="88"/>
      <c r="P1752" s="88"/>
    </row>
    <row r="1753" spans="1:16">
      <c r="A1753" s="94">
        <v>91330</v>
      </c>
      <c r="B1753" s="87" t="s">
        <v>1854</v>
      </c>
      <c r="C1753" s="12" t="s">
        <v>4</v>
      </c>
      <c r="D1753" s="93">
        <v>581.54</v>
      </c>
      <c r="E1753" s="93">
        <v>182.91</v>
      </c>
      <c r="F1753" s="93">
        <v>398.63</v>
      </c>
      <c r="G1753" s="93">
        <v>0</v>
      </c>
      <c r="H1753" s="93">
        <v>0</v>
      </c>
      <c r="N1753" s="88"/>
      <c r="O1753" s="88"/>
      <c r="P1753" s="88"/>
    </row>
    <row r="1754" spans="1:16">
      <c r="A1754" s="94">
        <v>91331</v>
      </c>
      <c r="B1754" s="87" t="s">
        <v>1855</v>
      </c>
      <c r="C1754" s="12" t="s">
        <v>4</v>
      </c>
      <c r="D1754" s="93">
        <v>536.03</v>
      </c>
      <c r="E1754" s="93">
        <v>183.13</v>
      </c>
      <c r="F1754" s="93">
        <v>352.9</v>
      </c>
      <c r="G1754" s="93">
        <v>0</v>
      </c>
      <c r="H1754" s="93">
        <v>0</v>
      </c>
      <c r="N1754" s="88"/>
      <c r="O1754" s="88"/>
      <c r="P1754" s="88"/>
    </row>
    <row r="1755" spans="1:16">
      <c r="A1755" s="94">
        <v>91332</v>
      </c>
      <c r="B1755" s="87" t="s">
        <v>1856</v>
      </c>
      <c r="C1755" s="12" t="s">
        <v>4</v>
      </c>
      <c r="D1755" s="93">
        <v>606.64</v>
      </c>
      <c r="E1755" s="93">
        <v>186.96</v>
      </c>
      <c r="F1755" s="93">
        <v>419.68</v>
      </c>
      <c r="G1755" s="93">
        <v>0</v>
      </c>
      <c r="H1755" s="93">
        <v>0</v>
      </c>
      <c r="N1755" s="88"/>
      <c r="O1755" s="88"/>
      <c r="P1755" s="88"/>
    </row>
    <row r="1756" spans="1:16">
      <c r="A1756" s="94">
        <v>91333</v>
      </c>
      <c r="B1756" s="87" t="s">
        <v>1857</v>
      </c>
      <c r="C1756" s="12" t="s">
        <v>4</v>
      </c>
      <c r="D1756" s="93">
        <v>560.95000000000005</v>
      </c>
      <c r="E1756" s="93">
        <v>187.18</v>
      </c>
      <c r="F1756" s="93">
        <v>373.77</v>
      </c>
      <c r="G1756" s="93">
        <v>0</v>
      </c>
      <c r="H1756" s="93">
        <v>0</v>
      </c>
      <c r="N1756" s="88"/>
      <c r="O1756" s="88"/>
      <c r="P1756" s="88"/>
    </row>
    <row r="1757" spans="1:16">
      <c r="A1757" s="94">
        <v>91334</v>
      </c>
      <c r="B1757" s="87" t="s">
        <v>1858</v>
      </c>
      <c r="C1757" s="12" t="s">
        <v>4</v>
      </c>
      <c r="D1757" s="93">
        <v>905.42</v>
      </c>
      <c r="E1757" s="93">
        <v>186.86</v>
      </c>
      <c r="F1757" s="93">
        <v>718.56</v>
      </c>
      <c r="G1757" s="93">
        <v>0</v>
      </c>
      <c r="H1757" s="93">
        <v>0</v>
      </c>
      <c r="N1757" s="88"/>
      <c r="O1757" s="88"/>
      <c r="P1757" s="88"/>
    </row>
    <row r="1758" spans="1:16">
      <c r="A1758" s="94">
        <v>91335</v>
      </c>
      <c r="B1758" s="87" t="s">
        <v>1859</v>
      </c>
      <c r="C1758" s="12" t="s">
        <v>4</v>
      </c>
      <c r="D1758" s="93">
        <v>859.73</v>
      </c>
      <c r="E1758" s="93">
        <v>187.06</v>
      </c>
      <c r="F1758" s="93">
        <v>672.67</v>
      </c>
      <c r="G1758" s="93">
        <v>0</v>
      </c>
      <c r="H1758" s="93">
        <v>0</v>
      </c>
      <c r="N1758" s="88"/>
      <c r="O1758" s="88"/>
      <c r="P1758" s="88"/>
    </row>
    <row r="1759" spans="1:16">
      <c r="A1759" s="94">
        <v>91336</v>
      </c>
      <c r="B1759" s="87" t="s">
        <v>1860</v>
      </c>
      <c r="C1759" s="12" t="s">
        <v>4</v>
      </c>
      <c r="D1759" s="93">
        <v>1130.17</v>
      </c>
      <c r="E1759" s="93">
        <v>203.63</v>
      </c>
      <c r="F1759" s="93">
        <v>926.54</v>
      </c>
      <c r="G1759" s="93">
        <v>0</v>
      </c>
      <c r="H1759" s="93">
        <v>0</v>
      </c>
      <c r="N1759" s="88"/>
      <c r="O1759" s="88"/>
      <c r="P1759" s="88"/>
    </row>
    <row r="1760" spans="1:16">
      <c r="A1760" s="94">
        <v>91337</v>
      </c>
      <c r="B1760" s="87" t="s">
        <v>1861</v>
      </c>
      <c r="C1760" s="12" t="s">
        <v>4</v>
      </c>
      <c r="D1760" s="93">
        <v>1084.48</v>
      </c>
      <c r="E1760" s="93">
        <v>203.83</v>
      </c>
      <c r="F1760" s="93">
        <v>880.65</v>
      </c>
      <c r="G1760" s="93">
        <v>0</v>
      </c>
      <c r="H1760" s="93">
        <v>0</v>
      </c>
      <c r="N1760" s="88"/>
      <c r="O1760" s="88"/>
      <c r="P1760" s="88"/>
    </row>
    <row r="1761" spans="1:16">
      <c r="A1761" s="94">
        <v>100659</v>
      </c>
      <c r="B1761" s="87" t="s">
        <v>1862</v>
      </c>
      <c r="C1761" s="12" t="s">
        <v>6</v>
      </c>
      <c r="D1761" s="93">
        <v>6.27</v>
      </c>
      <c r="E1761" s="93">
        <v>1.9</v>
      </c>
      <c r="F1761" s="93">
        <v>4.37</v>
      </c>
      <c r="G1761" s="93">
        <v>0</v>
      </c>
      <c r="H1761" s="93">
        <v>0</v>
      </c>
      <c r="N1761" s="88"/>
      <c r="O1761" s="88"/>
      <c r="P1761" s="88"/>
    </row>
    <row r="1762" spans="1:16">
      <c r="A1762" s="94">
        <v>100660</v>
      </c>
      <c r="B1762" s="87" t="s">
        <v>1863</v>
      </c>
      <c r="C1762" s="12" t="s">
        <v>6</v>
      </c>
      <c r="D1762" s="93">
        <v>5.38</v>
      </c>
      <c r="E1762" s="93">
        <v>1.9</v>
      </c>
      <c r="F1762" s="93">
        <v>3.48</v>
      </c>
      <c r="G1762" s="93">
        <v>0</v>
      </c>
      <c r="H1762" s="93">
        <v>0</v>
      </c>
      <c r="N1762" s="88"/>
      <c r="O1762" s="88"/>
      <c r="P1762" s="88"/>
    </row>
    <row r="1763" spans="1:16">
      <c r="A1763" s="94">
        <v>100675</v>
      </c>
      <c r="B1763" s="87" t="s">
        <v>1864</v>
      </c>
      <c r="C1763" s="12" t="s">
        <v>4</v>
      </c>
      <c r="D1763" s="93">
        <v>581.28</v>
      </c>
      <c r="E1763" s="93">
        <v>19.12</v>
      </c>
      <c r="F1763" s="93">
        <v>562.16</v>
      </c>
      <c r="G1763" s="93">
        <v>0</v>
      </c>
      <c r="H1763" s="93">
        <v>0</v>
      </c>
      <c r="N1763" s="88"/>
      <c r="O1763" s="88"/>
      <c r="P1763" s="88"/>
    </row>
    <row r="1764" spans="1:16">
      <c r="A1764" s="94">
        <v>100676</v>
      </c>
      <c r="B1764" s="87" t="s">
        <v>1865</v>
      </c>
      <c r="C1764" s="12" t="s">
        <v>4</v>
      </c>
      <c r="D1764" s="93">
        <v>139.38999999999999</v>
      </c>
      <c r="E1764" s="93">
        <v>60.98</v>
      </c>
      <c r="F1764" s="93">
        <v>78.41</v>
      </c>
      <c r="G1764" s="93">
        <v>0</v>
      </c>
      <c r="H1764" s="93">
        <v>0</v>
      </c>
      <c r="N1764" s="88"/>
      <c r="O1764" s="88"/>
      <c r="P1764" s="88"/>
    </row>
    <row r="1765" spans="1:16">
      <c r="A1765" s="94">
        <v>100678</v>
      </c>
      <c r="B1765" s="87" t="s">
        <v>1866</v>
      </c>
      <c r="C1765" s="12" t="s">
        <v>4</v>
      </c>
      <c r="D1765" s="93">
        <v>678.27</v>
      </c>
      <c r="E1765" s="93">
        <v>200.29</v>
      </c>
      <c r="F1765" s="93">
        <v>477.98</v>
      </c>
      <c r="G1765" s="93">
        <v>0</v>
      </c>
      <c r="H1765" s="93">
        <v>0</v>
      </c>
      <c r="N1765" s="88"/>
      <c r="O1765" s="88"/>
      <c r="P1765" s="88"/>
    </row>
    <row r="1766" spans="1:16">
      <c r="A1766" s="94">
        <v>100679</v>
      </c>
      <c r="B1766" s="87" t="s">
        <v>1867</v>
      </c>
      <c r="C1766" s="12" t="s">
        <v>4</v>
      </c>
      <c r="D1766" s="93">
        <v>597.75</v>
      </c>
      <c r="E1766" s="93">
        <v>200.53</v>
      </c>
      <c r="F1766" s="93">
        <v>397.22</v>
      </c>
      <c r="G1766" s="93">
        <v>0</v>
      </c>
      <c r="H1766" s="93">
        <v>0</v>
      </c>
      <c r="N1766" s="88"/>
      <c r="O1766" s="88"/>
      <c r="P1766" s="88"/>
    </row>
    <row r="1767" spans="1:16">
      <c r="A1767" s="94">
        <v>100680</v>
      </c>
      <c r="B1767" s="87" t="s">
        <v>1868</v>
      </c>
      <c r="C1767" s="12" t="s">
        <v>4</v>
      </c>
      <c r="D1767" s="93">
        <v>685.53</v>
      </c>
      <c r="E1767" s="93">
        <v>204.37</v>
      </c>
      <c r="F1767" s="93">
        <v>481.16</v>
      </c>
      <c r="G1767" s="93">
        <v>0</v>
      </c>
      <c r="H1767" s="93">
        <v>0</v>
      </c>
      <c r="N1767" s="88"/>
      <c r="O1767" s="88"/>
      <c r="P1767" s="88"/>
    </row>
    <row r="1768" spans="1:16">
      <c r="A1768" s="94">
        <v>100681</v>
      </c>
      <c r="B1768" s="87" t="s">
        <v>1869</v>
      </c>
      <c r="C1768" s="12" t="s">
        <v>4</v>
      </c>
      <c r="D1768" s="93">
        <v>701.86</v>
      </c>
      <c r="E1768" s="93">
        <v>204.36</v>
      </c>
      <c r="F1768" s="93">
        <v>497.5</v>
      </c>
      <c r="G1768" s="93">
        <v>0</v>
      </c>
      <c r="H1768" s="93">
        <v>0</v>
      </c>
      <c r="N1768" s="88"/>
      <c r="O1768" s="88"/>
      <c r="P1768" s="88"/>
    </row>
    <row r="1769" spans="1:16">
      <c r="A1769" s="94">
        <v>100682</v>
      </c>
      <c r="B1769" s="87" t="s">
        <v>1870</v>
      </c>
      <c r="C1769" s="12" t="s">
        <v>4</v>
      </c>
      <c r="D1769" s="93">
        <v>609.29999999999995</v>
      </c>
      <c r="E1769" s="93">
        <v>204.6</v>
      </c>
      <c r="F1769" s="93">
        <v>404.7</v>
      </c>
      <c r="G1769" s="93">
        <v>0</v>
      </c>
      <c r="H1769" s="93">
        <v>0</v>
      </c>
      <c r="N1769" s="88"/>
      <c r="O1769" s="88"/>
      <c r="P1769" s="88"/>
    </row>
    <row r="1770" spans="1:16">
      <c r="A1770" s="94">
        <v>100683</v>
      </c>
      <c r="B1770" s="87" t="s">
        <v>1871</v>
      </c>
      <c r="C1770" s="12" t="s">
        <v>4</v>
      </c>
      <c r="D1770" s="93">
        <v>740.91</v>
      </c>
      <c r="E1770" s="93">
        <v>215</v>
      </c>
      <c r="F1770" s="93">
        <v>525.91</v>
      </c>
      <c r="G1770" s="93">
        <v>0</v>
      </c>
      <c r="H1770" s="93">
        <v>0</v>
      </c>
      <c r="N1770" s="88"/>
      <c r="O1770" s="88"/>
      <c r="P1770" s="88"/>
    </row>
    <row r="1771" spans="1:16">
      <c r="A1771" s="94">
        <v>100684</v>
      </c>
      <c r="B1771" s="87" t="s">
        <v>1872</v>
      </c>
      <c r="C1771" s="12" t="s">
        <v>4</v>
      </c>
      <c r="D1771" s="93">
        <v>644.09</v>
      </c>
      <c r="E1771" s="93">
        <v>215.24</v>
      </c>
      <c r="F1771" s="93">
        <v>428.85</v>
      </c>
      <c r="G1771" s="93">
        <v>0</v>
      </c>
      <c r="H1771" s="93">
        <v>0</v>
      </c>
      <c r="N1771" s="88"/>
      <c r="O1771" s="88"/>
      <c r="P1771" s="88"/>
    </row>
    <row r="1772" spans="1:16">
      <c r="A1772" s="94">
        <v>100685</v>
      </c>
      <c r="B1772" s="87" t="s">
        <v>1873</v>
      </c>
      <c r="C1772" s="12" t="s">
        <v>4</v>
      </c>
      <c r="D1772" s="93">
        <v>770.4</v>
      </c>
      <c r="E1772" s="93">
        <v>219.08</v>
      </c>
      <c r="F1772" s="93">
        <v>551.32000000000005</v>
      </c>
      <c r="G1772" s="93">
        <v>0</v>
      </c>
      <c r="H1772" s="93">
        <v>0</v>
      </c>
      <c r="N1772" s="88"/>
      <c r="O1772" s="88"/>
      <c r="P1772" s="88"/>
    </row>
    <row r="1773" spans="1:16">
      <c r="A1773" s="94">
        <v>100686</v>
      </c>
      <c r="B1773" s="87" t="s">
        <v>1874</v>
      </c>
      <c r="C1773" s="12" t="s">
        <v>4</v>
      </c>
      <c r="D1773" s="93">
        <v>673.4</v>
      </c>
      <c r="E1773" s="93">
        <v>219.32</v>
      </c>
      <c r="F1773" s="93">
        <v>454.08</v>
      </c>
      <c r="G1773" s="93">
        <v>0</v>
      </c>
      <c r="H1773" s="93">
        <v>0</v>
      </c>
      <c r="N1773" s="88"/>
      <c r="O1773" s="88"/>
      <c r="P1773" s="88"/>
    </row>
    <row r="1774" spans="1:16">
      <c r="A1774" s="94">
        <v>100687</v>
      </c>
      <c r="B1774" s="87" t="s">
        <v>1875</v>
      </c>
      <c r="C1774" s="12" t="s">
        <v>4</v>
      </c>
      <c r="D1774" s="93">
        <v>684.11</v>
      </c>
      <c r="E1774" s="93">
        <v>200.29</v>
      </c>
      <c r="F1774" s="93">
        <v>483.82</v>
      </c>
      <c r="G1774" s="93">
        <v>0</v>
      </c>
      <c r="H1774" s="93">
        <v>0</v>
      </c>
      <c r="N1774" s="88"/>
      <c r="O1774" s="88"/>
      <c r="P1774" s="88"/>
    </row>
    <row r="1775" spans="1:16">
      <c r="A1775" s="94">
        <v>100688</v>
      </c>
      <c r="B1775" s="87" t="s">
        <v>1876</v>
      </c>
      <c r="C1775" s="12" t="s">
        <v>4</v>
      </c>
      <c r="D1775" s="93">
        <v>603.59</v>
      </c>
      <c r="E1775" s="93">
        <v>200.52</v>
      </c>
      <c r="F1775" s="93">
        <v>403.07</v>
      </c>
      <c r="G1775" s="93">
        <v>0</v>
      </c>
      <c r="H1775" s="93">
        <v>0</v>
      </c>
      <c r="N1775" s="88"/>
      <c r="O1775" s="88"/>
      <c r="P1775" s="88"/>
    </row>
    <row r="1776" spans="1:16">
      <c r="A1776" s="94">
        <v>100689</v>
      </c>
      <c r="B1776" s="87" t="s">
        <v>1877</v>
      </c>
      <c r="C1776" s="12" t="s">
        <v>4</v>
      </c>
      <c r="D1776" s="93">
        <v>744.81</v>
      </c>
      <c r="E1776" s="93">
        <v>215</v>
      </c>
      <c r="F1776" s="93">
        <v>529.80999999999995</v>
      </c>
      <c r="G1776" s="93">
        <v>0</v>
      </c>
      <c r="H1776" s="93">
        <v>0</v>
      </c>
      <c r="N1776" s="88"/>
      <c r="O1776" s="88"/>
      <c r="P1776" s="88"/>
    </row>
    <row r="1777" spans="1:16">
      <c r="A1777" s="94">
        <v>100690</v>
      </c>
      <c r="B1777" s="87" t="s">
        <v>1878</v>
      </c>
      <c r="C1777" s="12" t="s">
        <v>4</v>
      </c>
      <c r="D1777" s="93">
        <v>647.99</v>
      </c>
      <c r="E1777" s="93">
        <v>215.23</v>
      </c>
      <c r="F1777" s="93">
        <v>432.76</v>
      </c>
      <c r="G1777" s="93">
        <v>0</v>
      </c>
      <c r="H1777" s="93">
        <v>0</v>
      </c>
      <c r="N1777" s="88"/>
      <c r="O1777" s="88"/>
      <c r="P1777" s="88"/>
    </row>
    <row r="1778" spans="1:16">
      <c r="A1778" s="94">
        <v>100691</v>
      </c>
      <c r="B1778" s="87" t="s">
        <v>1879</v>
      </c>
      <c r="C1778" s="12" t="s">
        <v>4</v>
      </c>
      <c r="D1778" s="93">
        <v>1043.5899999999999</v>
      </c>
      <c r="E1778" s="93">
        <v>214.91</v>
      </c>
      <c r="F1778" s="93">
        <v>828.68</v>
      </c>
      <c r="G1778" s="93">
        <v>0</v>
      </c>
      <c r="H1778" s="93">
        <v>0</v>
      </c>
      <c r="N1778" s="88"/>
      <c r="O1778" s="88"/>
      <c r="P1778" s="88"/>
    </row>
    <row r="1779" spans="1:16">
      <c r="A1779" s="94">
        <v>100692</v>
      </c>
      <c r="B1779" s="87" t="s">
        <v>1880</v>
      </c>
      <c r="C1779" s="12" t="s">
        <v>4</v>
      </c>
      <c r="D1779" s="93">
        <v>946.77</v>
      </c>
      <c r="E1779" s="93">
        <v>215.12</v>
      </c>
      <c r="F1779" s="93">
        <v>731.65</v>
      </c>
      <c r="G1779" s="93">
        <v>0</v>
      </c>
      <c r="H1779" s="93">
        <v>0</v>
      </c>
      <c r="N1779" s="88"/>
      <c r="O1779" s="88"/>
      <c r="P1779" s="88"/>
    </row>
    <row r="1780" spans="1:16">
      <c r="A1780" s="94">
        <v>100693</v>
      </c>
      <c r="B1780" s="87" t="s">
        <v>1881</v>
      </c>
      <c r="C1780" s="12" t="s">
        <v>4</v>
      </c>
      <c r="D1780" s="93">
        <v>1268.3399999999999</v>
      </c>
      <c r="E1780" s="93">
        <v>231.68</v>
      </c>
      <c r="F1780" s="93">
        <v>1036.6600000000001</v>
      </c>
      <c r="G1780" s="93">
        <v>0</v>
      </c>
      <c r="H1780" s="93">
        <v>0</v>
      </c>
      <c r="N1780" s="88"/>
      <c r="O1780" s="88"/>
      <c r="P1780" s="88"/>
    </row>
    <row r="1781" spans="1:16">
      <c r="A1781" s="94">
        <v>100694</v>
      </c>
      <c r="B1781" s="87" t="s">
        <v>1882</v>
      </c>
      <c r="C1781" s="12" t="s">
        <v>4</v>
      </c>
      <c r="D1781" s="93">
        <v>1171.52</v>
      </c>
      <c r="E1781" s="93">
        <v>231.88</v>
      </c>
      <c r="F1781" s="93">
        <v>939.64</v>
      </c>
      <c r="G1781" s="93">
        <v>0</v>
      </c>
      <c r="H1781" s="93">
        <v>0</v>
      </c>
      <c r="N1781" s="88"/>
      <c r="O1781" s="88"/>
      <c r="P1781" s="88"/>
    </row>
    <row r="1782" spans="1:16">
      <c r="A1782" s="94">
        <v>100695</v>
      </c>
      <c r="B1782" s="87" t="s">
        <v>1883</v>
      </c>
      <c r="C1782" s="12" t="s">
        <v>4</v>
      </c>
      <c r="D1782" s="93">
        <v>53.79</v>
      </c>
      <c r="E1782" s="93">
        <v>42.26</v>
      </c>
      <c r="F1782" s="93">
        <v>11.53</v>
      </c>
      <c r="G1782" s="93">
        <v>0</v>
      </c>
      <c r="H1782" s="93">
        <v>0</v>
      </c>
      <c r="N1782" s="88"/>
      <c r="O1782" s="88"/>
      <c r="P1782" s="88"/>
    </row>
    <row r="1783" spans="1:16">
      <c r="A1783" s="94">
        <v>100696</v>
      </c>
      <c r="B1783" s="87" t="s">
        <v>1884</v>
      </c>
      <c r="C1783" s="12" t="s">
        <v>4</v>
      </c>
      <c r="D1783" s="93">
        <v>59.77</v>
      </c>
      <c r="E1783" s="93">
        <v>46.98</v>
      </c>
      <c r="F1783" s="93">
        <v>12.79</v>
      </c>
      <c r="G1783" s="93">
        <v>0</v>
      </c>
      <c r="H1783" s="93">
        <v>0</v>
      </c>
      <c r="N1783" s="88"/>
      <c r="O1783" s="88"/>
      <c r="P1783" s="88"/>
    </row>
    <row r="1784" spans="1:16">
      <c r="A1784" s="94">
        <v>100697</v>
      </c>
      <c r="B1784" s="87" t="s">
        <v>1885</v>
      </c>
      <c r="C1784" s="12" t="s">
        <v>4</v>
      </c>
      <c r="D1784" s="93">
        <v>65.790000000000006</v>
      </c>
      <c r="E1784" s="93">
        <v>51.74</v>
      </c>
      <c r="F1784" s="93">
        <v>14.05</v>
      </c>
      <c r="G1784" s="93">
        <v>0</v>
      </c>
      <c r="H1784" s="93">
        <v>0</v>
      </c>
      <c r="N1784" s="88"/>
      <c r="O1784" s="88"/>
      <c r="P1784" s="88"/>
    </row>
    <row r="1785" spans="1:16">
      <c r="A1785" s="94">
        <v>100698</v>
      </c>
      <c r="B1785" s="87" t="s">
        <v>1886</v>
      </c>
      <c r="C1785" s="12" t="s">
        <v>4</v>
      </c>
      <c r="D1785" s="93">
        <v>71.81</v>
      </c>
      <c r="E1785" s="93">
        <v>56.51</v>
      </c>
      <c r="F1785" s="93">
        <v>15.3</v>
      </c>
      <c r="G1785" s="93">
        <v>0</v>
      </c>
      <c r="H1785" s="93">
        <v>0</v>
      </c>
      <c r="N1785" s="88"/>
      <c r="O1785" s="88"/>
      <c r="P1785" s="88"/>
    </row>
    <row r="1786" spans="1:16">
      <c r="A1786" s="94">
        <v>100699</v>
      </c>
      <c r="B1786" s="87" t="s">
        <v>1887</v>
      </c>
      <c r="C1786" s="12" t="s">
        <v>4</v>
      </c>
      <c r="D1786" s="93">
        <v>86.58</v>
      </c>
      <c r="E1786" s="93">
        <v>68.52</v>
      </c>
      <c r="F1786" s="93">
        <v>18.059999999999999</v>
      </c>
      <c r="G1786" s="93">
        <v>0</v>
      </c>
      <c r="H1786" s="93">
        <v>0</v>
      </c>
      <c r="N1786" s="88"/>
      <c r="O1786" s="88"/>
      <c r="P1786" s="88"/>
    </row>
    <row r="1787" spans="1:16">
      <c r="A1787" s="94">
        <v>100700</v>
      </c>
      <c r="B1787" s="87" t="s">
        <v>1888</v>
      </c>
      <c r="C1787" s="12" t="s">
        <v>4</v>
      </c>
      <c r="D1787" s="93">
        <v>548.75</v>
      </c>
      <c r="E1787" s="93">
        <v>130.33000000000001</v>
      </c>
      <c r="F1787" s="93">
        <v>418.42</v>
      </c>
      <c r="G1787" s="93">
        <v>0</v>
      </c>
      <c r="H1787" s="93">
        <v>0</v>
      </c>
      <c r="N1787" s="88"/>
      <c r="O1787" s="88"/>
      <c r="P1787" s="88"/>
    </row>
    <row r="1788" spans="1:16">
      <c r="A1788" s="94">
        <v>100712</v>
      </c>
      <c r="B1788" s="87" t="s">
        <v>1889</v>
      </c>
      <c r="C1788" s="12" t="s">
        <v>4</v>
      </c>
      <c r="D1788" s="93">
        <v>592.97</v>
      </c>
      <c r="E1788" s="93">
        <v>204.62</v>
      </c>
      <c r="F1788" s="93">
        <v>388.35</v>
      </c>
      <c r="G1788" s="93">
        <v>0</v>
      </c>
      <c r="H1788" s="93">
        <v>0</v>
      </c>
      <c r="N1788" s="88"/>
      <c r="O1788" s="88"/>
      <c r="P1788" s="88"/>
    </row>
    <row r="1789" spans="1:16">
      <c r="A1789" s="94">
        <v>100665</v>
      </c>
      <c r="B1789" s="87" t="s">
        <v>1890</v>
      </c>
      <c r="C1789" s="12" t="s">
        <v>9</v>
      </c>
      <c r="D1789" s="93">
        <v>716.4</v>
      </c>
      <c r="E1789" s="93">
        <v>48.49</v>
      </c>
      <c r="F1789" s="93">
        <v>667.91</v>
      </c>
      <c r="G1789" s="93">
        <v>0</v>
      </c>
      <c r="H1789" s="93">
        <v>0</v>
      </c>
      <c r="N1789" s="88"/>
      <c r="O1789" s="88"/>
      <c r="P1789" s="88"/>
    </row>
    <row r="1790" spans="1:16">
      <c r="A1790" s="94">
        <v>100666</v>
      </c>
      <c r="B1790" s="87" t="s">
        <v>1891</v>
      </c>
      <c r="C1790" s="12" t="s">
        <v>9</v>
      </c>
      <c r="D1790" s="93">
        <v>569.16999999999996</v>
      </c>
      <c r="E1790" s="93">
        <v>48.49</v>
      </c>
      <c r="F1790" s="93">
        <v>520.67999999999995</v>
      </c>
      <c r="G1790" s="93">
        <v>0</v>
      </c>
      <c r="H1790" s="93">
        <v>0</v>
      </c>
      <c r="N1790" s="88"/>
      <c r="O1790" s="88"/>
      <c r="P1790" s="88"/>
    </row>
    <row r="1791" spans="1:16">
      <c r="A1791" s="94">
        <v>100667</v>
      </c>
      <c r="B1791" s="87" t="s">
        <v>1892</v>
      </c>
      <c r="C1791" s="12" t="s">
        <v>9</v>
      </c>
      <c r="D1791" s="93">
        <v>924.53</v>
      </c>
      <c r="E1791" s="93">
        <v>48.49</v>
      </c>
      <c r="F1791" s="93">
        <v>876.04</v>
      </c>
      <c r="G1791" s="93">
        <v>0</v>
      </c>
      <c r="H1791" s="93">
        <v>0</v>
      </c>
      <c r="N1791" s="88"/>
      <c r="O1791" s="88"/>
      <c r="P1791" s="88"/>
    </row>
    <row r="1792" spans="1:16">
      <c r="A1792" s="94">
        <v>100668</v>
      </c>
      <c r="B1792" s="87" t="s">
        <v>1893</v>
      </c>
      <c r="C1792" s="12" t="s">
        <v>9</v>
      </c>
      <c r="D1792" s="93">
        <v>1127.8499999999999</v>
      </c>
      <c r="E1792" s="93">
        <v>109.13</v>
      </c>
      <c r="F1792" s="93">
        <v>1018.72</v>
      </c>
      <c r="G1792" s="93">
        <v>0</v>
      </c>
      <c r="H1792" s="93">
        <v>0</v>
      </c>
      <c r="N1792" s="88"/>
      <c r="O1792" s="88"/>
      <c r="P1792" s="88"/>
    </row>
    <row r="1793" spans="1:16">
      <c r="A1793" s="94">
        <v>100669</v>
      </c>
      <c r="B1793" s="87" t="s">
        <v>1894</v>
      </c>
      <c r="C1793" s="12" t="s">
        <v>9</v>
      </c>
      <c r="D1793" s="93">
        <v>671.75</v>
      </c>
      <c r="E1793" s="93">
        <v>69.849999999999994</v>
      </c>
      <c r="F1793" s="93">
        <v>601.9</v>
      </c>
      <c r="G1793" s="93">
        <v>0</v>
      </c>
      <c r="H1793" s="93">
        <v>0</v>
      </c>
      <c r="N1793" s="88"/>
      <c r="O1793" s="88"/>
      <c r="P1793" s="88"/>
    </row>
    <row r="1794" spans="1:16">
      <c r="A1794" s="94">
        <v>100670</v>
      </c>
      <c r="B1794" s="87" t="s">
        <v>1895</v>
      </c>
      <c r="C1794" s="12" t="s">
        <v>9</v>
      </c>
      <c r="D1794" s="93">
        <v>889.25</v>
      </c>
      <c r="E1794" s="93">
        <v>53.91</v>
      </c>
      <c r="F1794" s="93">
        <v>835.34</v>
      </c>
      <c r="G1794" s="93">
        <v>0</v>
      </c>
      <c r="H1794" s="93">
        <v>0</v>
      </c>
      <c r="N1794" s="88"/>
      <c r="O1794" s="88"/>
      <c r="P1794" s="88"/>
    </row>
    <row r="1795" spans="1:16">
      <c r="A1795" s="94">
        <v>100671</v>
      </c>
      <c r="B1795" s="87" t="s">
        <v>1896</v>
      </c>
      <c r="C1795" s="12" t="s">
        <v>9</v>
      </c>
      <c r="D1795" s="93">
        <v>1100.8</v>
      </c>
      <c r="E1795" s="93">
        <v>53.91</v>
      </c>
      <c r="F1795" s="93">
        <v>1046.8900000000001</v>
      </c>
      <c r="G1795" s="93">
        <v>0</v>
      </c>
      <c r="H1795" s="93">
        <v>0</v>
      </c>
      <c r="N1795" s="88"/>
      <c r="O1795" s="88"/>
      <c r="P1795" s="88"/>
    </row>
    <row r="1796" spans="1:16">
      <c r="A1796" s="94">
        <v>100672</v>
      </c>
      <c r="B1796" s="87" t="s">
        <v>1897</v>
      </c>
      <c r="C1796" s="12" t="s">
        <v>9</v>
      </c>
      <c r="D1796" s="93">
        <v>714.79</v>
      </c>
      <c r="E1796" s="93">
        <v>53.91</v>
      </c>
      <c r="F1796" s="93">
        <v>660.88</v>
      </c>
      <c r="G1796" s="93">
        <v>0</v>
      </c>
      <c r="H1796" s="93">
        <v>0</v>
      </c>
      <c r="N1796" s="88"/>
      <c r="O1796" s="88"/>
      <c r="P1796" s="88"/>
    </row>
    <row r="1797" spans="1:16">
      <c r="A1797" s="94">
        <v>100701</v>
      </c>
      <c r="B1797" s="87" t="s">
        <v>1898</v>
      </c>
      <c r="C1797" s="12" t="s">
        <v>9</v>
      </c>
      <c r="D1797" s="93">
        <v>323.33999999999997</v>
      </c>
      <c r="E1797" s="93">
        <v>11.35</v>
      </c>
      <c r="F1797" s="93">
        <v>311.99</v>
      </c>
      <c r="G1797" s="93">
        <v>0</v>
      </c>
      <c r="H1797" s="93">
        <v>0</v>
      </c>
      <c r="N1797" s="88"/>
      <c r="O1797" s="88"/>
      <c r="P1797" s="88"/>
    </row>
    <row r="1798" spans="1:16">
      <c r="A1798" s="94">
        <v>94559</v>
      </c>
      <c r="B1798" s="87" t="s">
        <v>1899</v>
      </c>
      <c r="C1798" s="12" t="s">
        <v>9</v>
      </c>
      <c r="D1798" s="93">
        <v>599.5</v>
      </c>
      <c r="E1798" s="93">
        <v>104.7</v>
      </c>
      <c r="F1798" s="93">
        <v>494.8</v>
      </c>
      <c r="G1798" s="93">
        <v>0</v>
      </c>
      <c r="H1798" s="93">
        <v>0</v>
      </c>
      <c r="N1798" s="88"/>
      <c r="O1798" s="88"/>
      <c r="P1798" s="88"/>
    </row>
    <row r="1799" spans="1:16">
      <c r="A1799" s="94">
        <v>94560</v>
      </c>
      <c r="B1799" s="87" t="s">
        <v>1900</v>
      </c>
      <c r="C1799" s="12" t="s">
        <v>9</v>
      </c>
      <c r="D1799" s="93">
        <v>540.79</v>
      </c>
      <c r="E1799" s="93">
        <v>38.950000000000003</v>
      </c>
      <c r="F1799" s="93">
        <v>501.84</v>
      </c>
      <c r="G1799" s="93">
        <v>0</v>
      </c>
      <c r="H1799" s="93">
        <v>0</v>
      </c>
      <c r="N1799" s="88"/>
      <c r="O1799" s="88"/>
      <c r="P1799" s="88"/>
    </row>
    <row r="1800" spans="1:16">
      <c r="A1800" s="94">
        <v>94562</v>
      </c>
      <c r="B1800" s="87" t="s">
        <v>1901</v>
      </c>
      <c r="C1800" s="12" t="s">
        <v>9</v>
      </c>
      <c r="D1800" s="93">
        <v>568.26</v>
      </c>
      <c r="E1800" s="93">
        <v>47.8</v>
      </c>
      <c r="F1800" s="93">
        <v>520.46</v>
      </c>
      <c r="G1800" s="93">
        <v>0</v>
      </c>
      <c r="H1800" s="93">
        <v>0</v>
      </c>
      <c r="N1800" s="88"/>
      <c r="O1800" s="88"/>
      <c r="P1800" s="88"/>
    </row>
    <row r="1801" spans="1:16">
      <c r="A1801" s="94">
        <v>94563</v>
      </c>
      <c r="B1801" s="87" t="s">
        <v>1902</v>
      </c>
      <c r="C1801" s="12" t="s">
        <v>9</v>
      </c>
      <c r="D1801" s="93">
        <v>713.81</v>
      </c>
      <c r="E1801" s="93">
        <v>54.52</v>
      </c>
      <c r="F1801" s="93">
        <v>659.29</v>
      </c>
      <c r="G1801" s="93">
        <v>0</v>
      </c>
      <c r="H1801" s="93">
        <v>0</v>
      </c>
      <c r="N1801" s="88"/>
      <c r="O1801" s="88"/>
      <c r="P1801" s="88"/>
    </row>
    <row r="1802" spans="1:16">
      <c r="A1802" s="94">
        <v>94587</v>
      </c>
      <c r="B1802" s="87" t="s">
        <v>1903</v>
      </c>
      <c r="C1802" s="12" t="s">
        <v>6</v>
      </c>
      <c r="D1802" s="93">
        <v>46.26</v>
      </c>
      <c r="E1802" s="93">
        <v>14.97</v>
      </c>
      <c r="F1802" s="93">
        <v>31.29</v>
      </c>
      <c r="G1802" s="93">
        <v>0</v>
      </c>
      <c r="H1802" s="93">
        <v>0</v>
      </c>
      <c r="N1802" s="88"/>
      <c r="O1802" s="88"/>
      <c r="P1802" s="88"/>
    </row>
    <row r="1803" spans="1:16">
      <c r="A1803" s="94">
        <v>94588</v>
      </c>
      <c r="B1803" s="87" t="s">
        <v>1904</v>
      </c>
      <c r="C1803" s="12" t="s">
        <v>6</v>
      </c>
      <c r="D1803" s="93">
        <v>39.83</v>
      </c>
      <c r="E1803" s="93">
        <v>7.77</v>
      </c>
      <c r="F1803" s="93">
        <v>32.06</v>
      </c>
      <c r="G1803" s="93">
        <v>0</v>
      </c>
      <c r="H1803" s="93">
        <v>0</v>
      </c>
      <c r="N1803" s="88"/>
      <c r="O1803" s="88"/>
      <c r="P1803" s="88"/>
    </row>
    <row r="1804" spans="1:16">
      <c r="A1804" s="94">
        <v>99837</v>
      </c>
      <c r="B1804" s="87" t="s">
        <v>1905</v>
      </c>
      <c r="C1804" s="12" t="s">
        <v>6</v>
      </c>
      <c r="D1804" s="93">
        <v>459.64</v>
      </c>
      <c r="E1804" s="93">
        <v>151.22999999999999</v>
      </c>
      <c r="F1804" s="93">
        <v>308.41000000000003</v>
      </c>
      <c r="G1804" s="93">
        <v>0</v>
      </c>
      <c r="H1804" s="93">
        <v>0</v>
      </c>
      <c r="N1804" s="88"/>
      <c r="O1804" s="88"/>
      <c r="P1804" s="88"/>
    </row>
    <row r="1805" spans="1:16">
      <c r="A1805" s="94">
        <v>99839</v>
      </c>
      <c r="B1805" s="87" t="s">
        <v>1906</v>
      </c>
      <c r="C1805" s="12" t="s">
        <v>6</v>
      </c>
      <c r="D1805" s="93">
        <v>384.36</v>
      </c>
      <c r="E1805" s="93">
        <v>158.65</v>
      </c>
      <c r="F1805" s="93">
        <v>225.71</v>
      </c>
      <c r="G1805" s="93">
        <v>0</v>
      </c>
      <c r="H1805" s="93">
        <v>0</v>
      </c>
      <c r="N1805" s="88"/>
      <c r="O1805" s="88"/>
      <c r="P1805" s="88"/>
    </row>
    <row r="1806" spans="1:16">
      <c r="A1806" s="94">
        <v>99841</v>
      </c>
      <c r="B1806" s="87" t="s">
        <v>1907</v>
      </c>
      <c r="C1806" s="12" t="s">
        <v>6</v>
      </c>
      <c r="D1806" s="93">
        <v>1025.0999999999999</v>
      </c>
      <c r="E1806" s="93">
        <v>92.01</v>
      </c>
      <c r="F1806" s="93">
        <v>933.09</v>
      </c>
      <c r="G1806" s="93">
        <v>0</v>
      </c>
      <c r="H1806" s="93">
        <v>0</v>
      </c>
      <c r="N1806" s="88"/>
      <c r="O1806" s="88"/>
      <c r="P1806" s="88"/>
    </row>
    <row r="1807" spans="1:16">
      <c r="A1807" s="94">
        <v>99855</v>
      </c>
      <c r="B1807" s="87" t="s">
        <v>1908</v>
      </c>
      <c r="C1807" s="12" t="s">
        <v>6</v>
      </c>
      <c r="D1807" s="93">
        <v>82.85</v>
      </c>
      <c r="E1807" s="93">
        <v>26.01</v>
      </c>
      <c r="F1807" s="93">
        <v>56.84</v>
      </c>
      <c r="G1807" s="93">
        <v>0</v>
      </c>
      <c r="H1807" s="93">
        <v>0</v>
      </c>
      <c r="N1807" s="88"/>
      <c r="O1807" s="88"/>
      <c r="P1807" s="88"/>
    </row>
    <row r="1808" spans="1:16">
      <c r="A1808" s="94">
        <v>99857</v>
      </c>
      <c r="B1808" s="87" t="s">
        <v>1909</v>
      </c>
      <c r="C1808" s="12" t="s">
        <v>6</v>
      </c>
      <c r="D1808" s="93">
        <v>70.16</v>
      </c>
      <c r="E1808" s="93">
        <v>36.53</v>
      </c>
      <c r="F1808" s="93">
        <v>33.630000000000003</v>
      </c>
      <c r="G1808" s="93">
        <v>0</v>
      </c>
      <c r="H1808" s="93">
        <v>0</v>
      </c>
      <c r="N1808" s="88"/>
      <c r="O1808" s="88"/>
      <c r="P1808" s="88"/>
    </row>
    <row r="1809" spans="1:16">
      <c r="A1809" s="94">
        <v>99861</v>
      </c>
      <c r="B1809" s="87" t="s">
        <v>1910</v>
      </c>
      <c r="C1809" s="12" t="s">
        <v>9</v>
      </c>
      <c r="D1809" s="93">
        <v>475.11</v>
      </c>
      <c r="E1809" s="93">
        <v>233.49</v>
      </c>
      <c r="F1809" s="93">
        <v>241.62</v>
      </c>
      <c r="G1809" s="93">
        <v>0</v>
      </c>
      <c r="H1809" s="93">
        <v>0</v>
      </c>
      <c r="N1809" s="88"/>
      <c r="O1809" s="88"/>
      <c r="P1809" s="88"/>
    </row>
    <row r="1810" spans="1:16">
      <c r="A1810" s="94">
        <v>99862</v>
      </c>
      <c r="B1810" s="87" t="s">
        <v>1911</v>
      </c>
      <c r="C1810" s="12" t="s">
        <v>9</v>
      </c>
      <c r="D1810" s="93">
        <v>473.43</v>
      </c>
      <c r="E1810" s="93">
        <v>242.58</v>
      </c>
      <c r="F1810" s="93">
        <v>230.85</v>
      </c>
      <c r="G1810" s="93">
        <v>0</v>
      </c>
      <c r="H1810" s="93">
        <v>0</v>
      </c>
      <c r="N1810" s="88"/>
      <c r="O1810" s="88"/>
      <c r="P1810" s="88"/>
    </row>
    <row r="1811" spans="1:16">
      <c r="A1811" s="94">
        <v>90838</v>
      </c>
      <c r="B1811" s="87" t="s">
        <v>1912</v>
      </c>
      <c r="C1811" s="12" t="s">
        <v>4</v>
      </c>
      <c r="D1811" s="93">
        <v>751.09</v>
      </c>
      <c r="E1811" s="93">
        <v>81.55</v>
      </c>
      <c r="F1811" s="93">
        <v>669.54</v>
      </c>
      <c r="G1811" s="93">
        <v>0</v>
      </c>
      <c r="H1811" s="93">
        <v>0</v>
      </c>
      <c r="N1811" s="88"/>
      <c r="O1811" s="88"/>
      <c r="P1811" s="88"/>
    </row>
    <row r="1812" spans="1:16">
      <c r="A1812" s="94">
        <v>91338</v>
      </c>
      <c r="B1812" s="87" t="s">
        <v>1913</v>
      </c>
      <c r="C1812" s="12" t="s">
        <v>9</v>
      </c>
      <c r="D1812" s="93">
        <v>649.89</v>
      </c>
      <c r="E1812" s="93">
        <v>7.97</v>
      </c>
      <c r="F1812" s="93">
        <v>641.91999999999996</v>
      </c>
      <c r="G1812" s="93">
        <v>0</v>
      </c>
      <c r="H1812" s="93">
        <v>0</v>
      </c>
      <c r="N1812" s="88"/>
      <c r="O1812" s="88"/>
      <c r="P1812" s="88"/>
    </row>
    <row r="1813" spans="1:16">
      <c r="A1813" s="94">
        <v>91341</v>
      </c>
      <c r="B1813" s="87" t="s">
        <v>1914</v>
      </c>
      <c r="C1813" s="12" t="s">
        <v>9</v>
      </c>
      <c r="D1813" s="93">
        <v>471.89</v>
      </c>
      <c r="E1813" s="93">
        <v>8.56</v>
      </c>
      <c r="F1813" s="93">
        <v>463.33</v>
      </c>
      <c r="G1813" s="93">
        <v>0</v>
      </c>
      <c r="H1813" s="93">
        <v>0</v>
      </c>
      <c r="N1813" s="88"/>
      <c r="O1813" s="88"/>
      <c r="P1813" s="88"/>
    </row>
    <row r="1814" spans="1:16">
      <c r="A1814" s="94">
        <v>94805</v>
      </c>
      <c r="B1814" s="87" t="s">
        <v>1915</v>
      </c>
      <c r="C1814" s="12" t="s">
        <v>4</v>
      </c>
      <c r="D1814" s="93">
        <v>779.32</v>
      </c>
      <c r="E1814" s="93">
        <v>14.58</v>
      </c>
      <c r="F1814" s="93">
        <v>764.74</v>
      </c>
      <c r="G1814" s="93">
        <v>0</v>
      </c>
      <c r="H1814" s="93">
        <v>0</v>
      </c>
      <c r="N1814" s="88"/>
      <c r="O1814" s="88"/>
      <c r="P1814" s="88"/>
    </row>
    <row r="1815" spans="1:16">
      <c r="A1815" s="94">
        <v>94806</v>
      </c>
      <c r="B1815" s="87" t="s">
        <v>1916</v>
      </c>
      <c r="C1815" s="12" t="s">
        <v>4</v>
      </c>
      <c r="D1815" s="93">
        <v>353.97</v>
      </c>
      <c r="E1815" s="93">
        <v>20.6</v>
      </c>
      <c r="F1815" s="93">
        <v>333.37</v>
      </c>
      <c r="G1815" s="93">
        <v>0</v>
      </c>
      <c r="H1815" s="93">
        <v>0</v>
      </c>
      <c r="N1815" s="88"/>
      <c r="O1815" s="88"/>
      <c r="P1815" s="88"/>
    </row>
    <row r="1816" spans="1:16">
      <c r="A1816" s="94">
        <v>94807</v>
      </c>
      <c r="B1816" s="87" t="s">
        <v>1917</v>
      </c>
      <c r="C1816" s="12" t="s">
        <v>4</v>
      </c>
      <c r="D1816" s="93">
        <v>422.36</v>
      </c>
      <c r="E1816" s="93">
        <v>21.71</v>
      </c>
      <c r="F1816" s="93">
        <v>400.65</v>
      </c>
      <c r="G1816" s="93">
        <v>0</v>
      </c>
      <c r="H1816" s="93">
        <v>0</v>
      </c>
      <c r="N1816" s="88"/>
      <c r="O1816" s="88"/>
      <c r="P1816" s="88"/>
    </row>
    <row r="1817" spans="1:16">
      <c r="A1817" s="94">
        <v>100702</v>
      </c>
      <c r="B1817" s="87" t="s">
        <v>1918</v>
      </c>
      <c r="C1817" s="12" t="s">
        <v>9</v>
      </c>
      <c r="D1817" s="93">
        <v>395.23</v>
      </c>
      <c r="E1817" s="93">
        <v>6.31</v>
      </c>
      <c r="F1817" s="93">
        <v>388.92</v>
      </c>
      <c r="G1817" s="93">
        <v>0</v>
      </c>
      <c r="H1817" s="93">
        <v>0</v>
      </c>
      <c r="N1817" s="88"/>
      <c r="O1817" s="88"/>
      <c r="P1817" s="88"/>
    </row>
    <row r="1818" spans="1:16">
      <c r="A1818" s="94">
        <v>84885</v>
      </c>
      <c r="B1818" s="87" t="s">
        <v>6646</v>
      </c>
      <c r="C1818" s="12" t="s">
        <v>4</v>
      </c>
      <c r="D1818" s="93">
        <v>430.87</v>
      </c>
      <c r="E1818" s="93">
        <v>248.49</v>
      </c>
      <c r="F1818" s="93">
        <v>182.38</v>
      </c>
      <c r="G1818" s="93">
        <v>0</v>
      </c>
      <c r="H1818" s="93">
        <v>0</v>
      </c>
      <c r="N1818" s="88"/>
      <c r="O1818" s="88"/>
      <c r="P1818" s="88"/>
    </row>
    <row r="1819" spans="1:16">
      <c r="A1819" s="94">
        <v>84886</v>
      </c>
      <c r="B1819" s="87" t="s">
        <v>6647</v>
      </c>
      <c r="C1819" s="12" t="s">
        <v>4</v>
      </c>
      <c r="D1819" s="93">
        <v>668.79</v>
      </c>
      <c r="E1819" s="93">
        <v>14.88</v>
      </c>
      <c r="F1819" s="93">
        <v>653.91</v>
      </c>
      <c r="G1819" s="93">
        <v>0</v>
      </c>
      <c r="H1819" s="93">
        <v>0</v>
      </c>
      <c r="N1819" s="88"/>
      <c r="O1819" s="88"/>
      <c r="P1819" s="88"/>
    </row>
    <row r="1820" spans="1:16">
      <c r="A1820" s="94">
        <v>100703</v>
      </c>
      <c r="B1820" s="87" t="s">
        <v>1919</v>
      </c>
      <c r="C1820" s="12" t="s">
        <v>4</v>
      </c>
      <c r="D1820" s="93">
        <v>26.34</v>
      </c>
      <c r="E1820" s="93">
        <v>9.3000000000000007</v>
      </c>
      <c r="F1820" s="93">
        <v>17.04</v>
      </c>
      <c r="G1820" s="93">
        <v>0</v>
      </c>
      <c r="H1820" s="93">
        <v>0</v>
      </c>
      <c r="N1820" s="88"/>
      <c r="O1820" s="88"/>
      <c r="P1820" s="88"/>
    </row>
    <row r="1821" spans="1:16">
      <c r="A1821" s="94">
        <v>100704</v>
      </c>
      <c r="B1821" s="87" t="s">
        <v>1920</v>
      </c>
      <c r="C1821" s="12" t="s">
        <v>4</v>
      </c>
      <c r="D1821" s="93">
        <v>54.4</v>
      </c>
      <c r="E1821" s="93">
        <v>14.86</v>
      </c>
      <c r="F1821" s="93">
        <v>39.54</v>
      </c>
      <c r="G1821" s="93">
        <v>0</v>
      </c>
      <c r="H1821" s="93">
        <v>0</v>
      </c>
      <c r="N1821" s="88"/>
      <c r="O1821" s="88"/>
      <c r="P1821" s="88"/>
    </row>
    <row r="1822" spans="1:16">
      <c r="A1822" s="94">
        <v>100705</v>
      </c>
      <c r="B1822" s="87" t="s">
        <v>1921</v>
      </c>
      <c r="C1822" s="12" t="s">
        <v>4</v>
      </c>
      <c r="D1822" s="93">
        <v>65.19</v>
      </c>
      <c r="E1822" s="93">
        <v>25.59</v>
      </c>
      <c r="F1822" s="93">
        <v>39.6</v>
      </c>
      <c r="G1822" s="93">
        <v>0</v>
      </c>
      <c r="H1822" s="93">
        <v>0</v>
      </c>
      <c r="N1822" s="88"/>
      <c r="O1822" s="88"/>
      <c r="P1822" s="88"/>
    </row>
    <row r="1823" spans="1:16">
      <c r="A1823" s="94">
        <v>100706</v>
      </c>
      <c r="B1823" s="87" t="s">
        <v>1922</v>
      </c>
      <c r="C1823" s="12" t="s">
        <v>4</v>
      </c>
      <c r="D1823" s="93">
        <v>61.26</v>
      </c>
      <c r="E1823" s="93">
        <v>33.21</v>
      </c>
      <c r="F1823" s="93">
        <v>28.05</v>
      </c>
      <c r="G1823" s="93">
        <v>0</v>
      </c>
      <c r="H1823" s="93">
        <v>0</v>
      </c>
      <c r="N1823" s="88"/>
      <c r="O1823" s="88"/>
      <c r="P1823" s="88"/>
    </row>
    <row r="1824" spans="1:16">
      <c r="A1824" s="94">
        <v>100707</v>
      </c>
      <c r="B1824" s="87" t="s">
        <v>1923</v>
      </c>
      <c r="C1824" s="12" t="s">
        <v>4</v>
      </c>
      <c r="D1824" s="93">
        <v>115.11</v>
      </c>
      <c r="E1824" s="93">
        <v>31.52</v>
      </c>
      <c r="F1824" s="93">
        <v>83.59</v>
      </c>
      <c r="G1824" s="93">
        <v>0</v>
      </c>
      <c r="H1824" s="93">
        <v>0</v>
      </c>
      <c r="N1824" s="88"/>
      <c r="O1824" s="88"/>
      <c r="P1824" s="88"/>
    </row>
    <row r="1825" spans="1:16">
      <c r="A1825" s="94">
        <v>100708</v>
      </c>
      <c r="B1825" s="87" t="s">
        <v>1924</v>
      </c>
      <c r="C1825" s="12" t="s">
        <v>4</v>
      </c>
      <c r="D1825" s="93">
        <v>142.79</v>
      </c>
      <c r="E1825" s="93">
        <v>34.96</v>
      </c>
      <c r="F1825" s="93">
        <v>107.83</v>
      </c>
      <c r="G1825" s="93">
        <v>0</v>
      </c>
      <c r="H1825" s="93">
        <v>0</v>
      </c>
      <c r="N1825" s="88"/>
      <c r="O1825" s="88"/>
      <c r="P1825" s="88"/>
    </row>
    <row r="1826" spans="1:16">
      <c r="A1826" s="94">
        <v>100709</v>
      </c>
      <c r="B1826" s="87" t="s">
        <v>1925</v>
      </c>
      <c r="C1826" s="12" t="s">
        <v>4</v>
      </c>
      <c r="D1826" s="93">
        <v>40.1</v>
      </c>
      <c r="E1826" s="93">
        <v>25.67</v>
      </c>
      <c r="F1826" s="93">
        <v>14.43</v>
      </c>
      <c r="G1826" s="93">
        <v>0</v>
      </c>
      <c r="H1826" s="93">
        <v>0</v>
      </c>
      <c r="N1826" s="88"/>
      <c r="O1826" s="88"/>
      <c r="P1826" s="88"/>
    </row>
    <row r="1827" spans="1:16">
      <c r="A1827" s="94">
        <v>100710</v>
      </c>
      <c r="B1827" s="87" t="s">
        <v>1926</v>
      </c>
      <c r="C1827" s="12" t="s">
        <v>4</v>
      </c>
      <c r="D1827" s="93">
        <v>86.46</v>
      </c>
      <c r="E1827" s="93">
        <v>34.22</v>
      </c>
      <c r="F1827" s="93">
        <v>52.24</v>
      </c>
      <c r="G1827" s="93">
        <v>0</v>
      </c>
      <c r="H1827" s="93">
        <v>0</v>
      </c>
      <c r="N1827" s="88"/>
      <c r="O1827" s="88"/>
      <c r="P1827" s="88"/>
    </row>
    <row r="1828" spans="1:16">
      <c r="A1828" s="94">
        <v>72116</v>
      </c>
      <c r="B1828" s="87" t="s">
        <v>6648</v>
      </c>
      <c r="C1828" s="12" t="s">
        <v>9</v>
      </c>
      <c r="D1828" s="93">
        <v>142.6</v>
      </c>
      <c r="E1828" s="93">
        <v>10.49</v>
      </c>
      <c r="F1828" s="93">
        <v>132.11000000000001</v>
      </c>
      <c r="G1828" s="93">
        <v>0</v>
      </c>
      <c r="H1828" s="93">
        <v>0</v>
      </c>
      <c r="N1828" s="88"/>
      <c r="O1828" s="88"/>
      <c r="P1828" s="88"/>
    </row>
    <row r="1829" spans="1:16">
      <c r="A1829" s="94">
        <v>72117</v>
      </c>
      <c r="B1829" s="87" t="s">
        <v>211</v>
      </c>
      <c r="C1829" s="12" t="s">
        <v>9</v>
      </c>
      <c r="D1829" s="93">
        <v>183.31</v>
      </c>
      <c r="E1829" s="93">
        <v>11.8</v>
      </c>
      <c r="F1829" s="93">
        <v>171.51</v>
      </c>
      <c r="G1829" s="93">
        <v>0</v>
      </c>
      <c r="H1829" s="93">
        <v>0</v>
      </c>
      <c r="N1829" s="88"/>
      <c r="O1829" s="88"/>
      <c r="P1829" s="88"/>
    </row>
    <row r="1830" spans="1:16">
      <c r="A1830" s="94">
        <v>72118</v>
      </c>
      <c r="B1830" s="87" t="s">
        <v>6649</v>
      </c>
      <c r="C1830" s="12" t="s">
        <v>9</v>
      </c>
      <c r="D1830" s="93">
        <v>141.24</v>
      </c>
      <c r="E1830" s="93">
        <v>13.11</v>
      </c>
      <c r="F1830" s="93">
        <v>128.13</v>
      </c>
      <c r="G1830" s="93">
        <v>0</v>
      </c>
      <c r="H1830" s="93">
        <v>0</v>
      </c>
      <c r="N1830" s="88"/>
      <c r="O1830" s="88"/>
      <c r="P1830" s="88"/>
    </row>
    <row r="1831" spans="1:16">
      <c r="A1831" s="94">
        <v>72119</v>
      </c>
      <c r="B1831" s="87" t="s">
        <v>6650</v>
      </c>
      <c r="C1831" s="12" t="s">
        <v>9</v>
      </c>
      <c r="D1831" s="93">
        <v>174.56</v>
      </c>
      <c r="E1831" s="93">
        <v>13.11</v>
      </c>
      <c r="F1831" s="93">
        <v>161.44999999999999</v>
      </c>
      <c r="G1831" s="93">
        <v>0</v>
      </c>
      <c r="H1831" s="93">
        <v>0</v>
      </c>
      <c r="N1831" s="88"/>
      <c r="O1831" s="88"/>
      <c r="P1831" s="88"/>
    </row>
    <row r="1832" spans="1:16">
      <c r="A1832" s="94">
        <v>72120</v>
      </c>
      <c r="B1832" s="87" t="s">
        <v>6651</v>
      </c>
      <c r="C1832" s="12" t="s">
        <v>9</v>
      </c>
      <c r="D1832" s="93">
        <v>217.04</v>
      </c>
      <c r="E1832" s="93">
        <v>13.11</v>
      </c>
      <c r="F1832" s="93">
        <v>203.93</v>
      </c>
      <c r="G1832" s="93">
        <v>0</v>
      </c>
      <c r="H1832" s="93">
        <v>0</v>
      </c>
      <c r="N1832" s="88"/>
      <c r="O1832" s="88"/>
      <c r="P1832" s="88"/>
    </row>
    <row r="1833" spans="1:16">
      <c r="A1833" s="94">
        <v>72122</v>
      </c>
      <c r="B1833" s="87" t="s">
        <v>6652</v>
      </c>
      <c r="C1833" s="12" t="s">
        <v>9</v>
      </c>
      <c r="D1833" s="93">
        <v>157.02000000000001</v>
      </c>
      <c r="E1833" s="93">
        <v>11.8</v>
      </c>
      <c r="F1833" s="93">
        <v>145.22</v>
      </c>
      <c r="G1833" s="93">
        <v>0</v>
      </c>
      <c r="H1833" s="93">
        <v>0</v>
      </c>
      <c r="N1833" s="88"/>
      <c r="O1833" s="88"/>
      <c r="P1833" s="88"/>
    </row>
    <row r="1834" spans="1:16">
      <c r="A1834" s="94">
        <v>72123</v>
      </c>
      <c r="B1834" s="87" t="s">
        <v>212</v>
      </c>
      <c r="C1834" s="12" t="s">
        <v>9</v>
      </c>
      <c r="D1834" s="93">
        <v>423.02</v>
      </c>
      <c r="E1834" s="93">
        <v>11.8</v>
      </c>
      <c r="F1834" s="93">
        <v>411.22</v>
      </c>
      <c r="G1834" s="93">
        <v>0</v>
      </c>
      <c r="H1834" s="93">
        <v>0</v>
      </c>
      <c r="N1834" s="88"/>
      <c r="O1834" s="88"/>
      <c r="P1834" s="88"/>
    </row>
    <row r="1835" spans="1:16">
      <c r="A1835" s="95" t="s">
        <v>6653</v>
      </c>
      <c r="B1835" s="87" t="s">
        <v>6654</v>
      </c>
      <c r="C1835" s="12" t="s">
        <v>4</v>
      </c>
      <c r="D1835" s="93">
        <v>1134.58</v>
      </c>
      <c r="E1835" s="93">
        <v>4.67</v>
      </c>
      <c r="F1835" s="93">
        <v>1129.9100000000001</v>
      </c>
      <c r="G1835" s="93">
        <v>0</v>
      </c>
      <c r="H1835" s="93">
        <v>0</v>
      </c>
      <c r="N1835" s="88"/>
      <c r="O1835" s="88"/>
      <c r="P1835" s="88"/>
    </row>
    <row r="1836" spans="1:16">
      <c r="A1836" s="95" t="s">
        <v>6655</v>
      </c>
      <c r="B1836" s="87" t="s">
        <v>6656</v>
      </c>
      <c r="C1836" s="12" t="s">
        <v>9</v>
      </c>
      <c r="D1836" s="93">
        <v>541.85</v>
      </c>
      <c r="E1836" s="93">
        <v>72.180000000000007</v>
      </c>
      <c r="F1836" s="93">
        <v>469.67</v>
      </c>
      <c r="G1836" s="93">
        <v>0</v>
      </c>
      <c r="H1836" s="93">
        <v>0</v>
      </c>
      <c r="N1836" s="88"/>
      <c r="O1836" s="88"/>
      <c r="P1836" s="88"/>
    </row>
    <row r="1837" spans="1:16">
      <c r="A1837" s="95" t="s">
        <v>6657</v>
      </c>
      <c r="B1837" s="87" t="s">
        <v>6658</v>
      </c>
      <c r="C1837" s="12" t="s">
        <v>9</v>
      </c>
      <c r="D1837" s="93">
        <v>577.74</v>
      </c>
      <c r="E1837" s="93">
        <v>52.22</v>
      </c>
      <c r="F1837" s="93">
        <v>525.52</v>
      </c>
      <c r="G1837" s="93">
        <v>0</v>
      </c>
      <c r="H1837" s="93">
        <v>0</v>
      </c>
      <c r="N1837" s="88"/>
      <c r="O1837" s="88"/>
      <c r="P1837" s="88"/>
    </row>
    <row r="1838" spans="1:16">
      <c r="A1838" s="94">
        <v>84957</v>
      </c>
      <c r="B1838" s="87" t="s">
        <v>6659</v>
      </c>
      <c r="C1838" s="12" t="s">
        <v>9</v>
      </c>
      <c r="D1838" s="93">
        <v>219.86</v>
      </c>
      <c r="E1838" s="93">
        <v>17.73</v>
      </c>
      <c r="F1838" s="93">
        <v>202.13</v>
      </c>
      <c r="G1838" s="93">
        <v>0</v>
      </c>
      <c r="H1838" s="93">
        <v>0</v>
      </c>
      <c r="N1838" s="88"/>
      <c r="O1838" s="88"/>
      <c r="P1838" s="88"/>
    </row>
    <row r="1839" spans="1:16">
      <c r="A1839" s="94">
        <v>84959</v>
      </c>
      <c r="B1839" s="87" t="s">
        <v>6660</v>
      </c>
      <c r="C1839" s="12" t="s">
        <v>9</v>
      </c>
      <c r="D1839" s="93">
        <v>257.86</v>
      </c>
      <c r="E1839" s="93">
        <v>17.73</v>
      </c>
      <c r="F1839" s="93">
        <v>240.13</v>
      </c>
      <c r="G1839" s="93">
        <v>0</v>
      </c>
      <c r="H1839" s="93">
        <v>0</v>
      </c>
      <c r="N1839" s="88"/>
      <c r="O1839" s="88"/>
      <c r="P1839" s="88"/>
    </row>
    <row r="1840" spans="1:16">
      <c r="A1840" s="94">
        <v>85001</v>
      </c>
      <c r="B1840" s="87" t="s">
        <v>6661</v>
      </c>
      <c r="C1840" s="12" t="s">
        <v>9</v>
      </c>
      <c r="D1840" s="93">
        <v>245.19</v>
      </c>
      <c r="E1840" s="93">
        <v>17.73</v>
      </c>
      <c r="F1840" s="93">
        <v>227.46</v>
      </c>
      <c r="G1840" s="93">
        <v>0</v>
      </c>
      <c r="H1840" s="93">
        <v>0</v>
      </c>
      <c r="N1840" s="88"/>
      <c r="O1840" s="88"/>
      <c r="P1840" s="88"/>
    </row>
    <row r="1841" spans="1:16">
      <c r="A1841" s="94">
        <v>85002</v>
      </c>
      <c r="B1841" s="87" t="s">
        <v>6662</v>
      </c>
      <c r="C1841" s="12" t="s">
        <v>9</v>
      </c>
      <c r="D1841" s="93">
        <v>346.53</v>
      </c>
      <c r="E1841" s="93">
        <v>17.73</v>
      </c>
      <c r="F1841" s="93">
        <v>328.8</v>
      </c>
      <c r="G1841" s="93">
        <v>0</v>
      </c>
      <c r="H1841" s="93">
        <v>0</v>
      </c>
      <c r="N1841" s="88"/>
      <c r="O1841" s="88"/>
      <c r="P1841" s="88"/>
    </row>
    <row r="1842" spans="1:16">
      <c r="A1842" s="94">
        <v>85004</v>
      </c>
      <c r="B1842" s="87" t="s">
        <v>6663</v>
      </c>
      <c r="C1842" s="12" t="s">
        <v>9</v>
      </c>
      <c r="D1842" s="93">
        <v>169.19</v>
      </c>
      <c r="E1842" s="93">
        <v>17.73</v>
      </c>
      <c r="F1842" s="93">
        <v>151.46</v>
      </c>
      <c r="G1842" s="93">
        <v>0</v>
      </c>
      <c r="H1842" s="93">
        <v>0</v>
      </c>
      <c r="N1842" s="88"/>
      <c r="O1842" s="88"/>
      <c r="P1842" s="88"/>
    </row>
    <row r="1843" spans="1:16">
      <c r="A1843" s="94">
        <v>85005</v>
      </c>
      <c r="B1843" s="87" t="s">
        <v>6664</v>
      </c>
      <c r="C1843" s="12" t="s">
        <v>9</v>
      </c>
      <c r="D1843" s="93">
        <v>492.79</v>
      </c>
      <c r="E1843" s="93">
        <v>35.47</v>
      </c>
      <c r="F1843" s="93">
        <v>457.32</v>
      </c>
      <c r="G1843" s="93">
        <v>0</v>
      </c>
      <c r="H1843" s="93">
        <v>0</v>
      </c>
      <c r="N1843" s="88"/>
      <c r="O1843" s="88"/>
      <c r="P1843" s="88"/>
    </row>
    <row r="1844" spans="1:16">
      <c r="A1844" s="94">
        <v>94569</v>
      </c>
      <c r="B1844" s="87" t="s">
        <v>1927</v>
      </c>
      <c r="C1844" s="12" t="s">
        <v>9</v>
      </c>
      <c r="D1844" s="93">
        <v>306.55</v>
      </c>
      <c r="E1844" s="93">
        <v>38.270000000000003</v>
      </c>
      <c r="F1844" s="93">
        <v>268.27999999999997</v>
      </c>
      <c r="G1844" s="93">
        <v>0</v>
      </c>
      <c r="H1844" s="93">
        <v>0</v>
      </c>
      <c r="N1844" s="88"/>
      <c r="O1844" s="88"/>
      <c r="P1844" s="88"/>
    </row>
    <row r="1845" spans="1:16">
      <c r="A1845" s="94">
        <v>94570</v>
      </c>
      <c r="B1845" s="87" t="s">
        <v>1928</v>
      </c>
      <c r="C1845" s="12" t="s">
        <v>9</v>
      </c>
      <c r="D1845" s="93">
        <v>184.23</v>
      </c>
      <c r="E1845" s="93">
        <v>11.61</v>
      </c>
      <c r="F1845" s="93">
        <v>172.62</v>
      </c>
      <c r="G1845" s="93">
        <v>0</v>
      </c>
      <c r="H1845" s="93">
        <v>0</v>
      </c>
      <c r="N1845" s="88"/>
      <c r="O1845" s="88"/>
      <c r="P1845" s="88"/>
    </row>
    <row r="1846" spans="1:16">
      <c r="A1846" s="94">
        <v>94572</v>
      </c>
      <c r="B1846" s="87" t="s">
        <v>1929</v>
      </c>
      <c r="C1846" s="12" t="s">
        <v>9</v>
      </c>
      <c r="D1846" s="93">
        <v>273.24</v>
      </c>
      <c r="E1846" s="93">
        <v>15.62</v>
      </c>
      <c r="F1846" s="93">
        <v>257.62</v>
      </c>
      <c r="G1846" s="93">
        <v>0</v>
      </c>
      <c r="H1846" s="93">
        <v>0</v>
      </c>
      <c r="N1846" s="88"/>
      <c r="O1846" s="88"/>
      <c r="P1846" s="88"/>
    </row>
    <row r="1847" spans="1:16">
      <c r="A1847" s="94">
        <v>94573</v>
      </c>
      <c r="B1847" s="87" t="s">
        <v>1930</v>
      </c>
      <c r="C1847" s="12" t="s">
        <v>9</v>
      </c>
      <c r="D1847" s="93">
        <v>216.35</v>
      </c>
      <c r="E1847" s="93">
        <v>21.53</v>
      </c>
      <c r="F1847" s="93">
        <v>194.82</v>
      </c>
      <c r="G1847" s="93">
        <v>0</v>
      </c>
      <c r="H1847" s="93">
        <v>0</v>
      </c>
      <c r="N1847" s="88"/>
      <c r="O1847" s="88"/>
      <c r="P1847" s="88"/>
    </row>
    <row r="1848" spans="1:16">
      <c r="A1848" s="94">
        <v>94580</v>
      </c>
      <c r="B1848" s="87" t="s">
        <v>1931</v>
      </c>
      <c r="C1848" s="12" t="s">
        <v>9</v>
      </c>
      <c r="D1848" s="93">
        <v>312.52</v>
      </c>
      <c r="E1848" s="93">
        <v>25.12</v>
      </c>
      <c r="F1848" s="93">
        <v>287.39999999999998</v>
      </c>
      <c r="G1848" s="93">
        <v>0</v>
      </c>
      <c r="H1848" s="93">
        <v>0</v>
      </c>
      <c r="N1848" s="88"/>
      <c r="O1848" s="88"/>
      <c r="P1848" s="88"/>
    </row>
    <row r="1849" spans="1:16">
      <c r="A1849" s="94">
        <v>100674</v>
      </c>
      <c r="B1849" s="87" t="s">
        <v>1932</v>
      </c>
      <c r="C1849" s="12" t="s">
        <v>9</v>
      </c>
      <c r="D1849" s="93">
        <v>203.05</v>
      </c>
      <c r="E1849" s="93">
        <v>16.14</v>
      </c>
      <c r="F1849" s="93">
        <v>186.91</v>
      </c>
      <c r="G1849" s="93">
        <v>0</v>
      </c>
      <c r="H1849" s="93">
        <v>0</v>
      </c>
      <c r="N1849" s="88"/>
      <c r="O1849" s="88"/>
      <c r="P1849" s="88"/>
    </row>
    <row r="1850" spans="1:16">
      <c r="A1850" s="94">
        <v>101096</v>
      </c>
      <c r="B1850" s="87" t="s">
        <v>1933</v>
      </c>
      <c r="C1850" s="12" t="s">
        <v>5</v>
      </c>
      <c r="D1850" s="93">
        <v>1096.26</v>
      </c>
      <c r="E1850" s="93">
        <v>523.08000000000004</v>
      </c>
      <c r="F1850" s="93">
        <v>566.52</v>
      </c>
      <c r="G1850" s="93">
        <v>5.07</v>
      </c>
      <c r="H1850" s="93">
        <v>0</v>
      </c>
      <c r="N1850" s="88"/>
      <c r="O1850" s="88"/>
      <c r="P1850" s="88"/>
    </row>
    <row r="1851" spans="1:16">
      <c r="A1851" s="94">
        <v>101097</v>
      </c>
      <c r="B1851" s="87" t="s">
        <v>1934</v>
      </c>
      <c r="C1851" s="12" t="s">
        <v>5</v>
      </c>
      <c r="D1851" s="93">
        <v>1029.58</v>
      </c>
      <c r="E1851" s="93">
        <v>466.27</v>
      </c>
      <c r="F1851" s="93">
        <v>556.70000000000005</v>
      </c>
      <c r="G1851" s="93">
        <v>5.04</v>
      </c>
      <c r="H1851" s="93">
        <v>0</v>
      </c>
      <c r="N1851" s="88"/>
      <c r="O1851" s="88"/>
      <c r="P1851" s="88"/>
    </row>
    <row r="1852" spans="1:16">
      <c r="A1852" s="94">
        <v>101098</v>
      </c>
      <c r="B1852" s="87" t="s">
        <v>1935</v>
      </c>
      <c r="C1852" s="12" t="s">
        <v>5</v>
      </c>
      <c r="D1852" s="93">
        <v>940.78</v>
      </c>
      <c r="E1852" s="93">
        <v>385.2</v>
      </c>
      <c r="F1852" s="93">
        <v>549.04999999999995</v>
      </c>
      <c r="G1852" s="93">
        <v>5</v>
      </c>
      <c r="H1852" s="93">
        <v>0</v>
      </c>
      <c r="N1852" s="88"/>
      <c r="O1852" s="88"/>
      <c r="P1852" s="88"/>
    </row>
    <row r="1853" spans="1:16">
      <c r="A1853" s="94">
        <v>101099</v>
      </c>
      <c r="B1853" s="87" t="s">
        <v>1936</v>
      </c>
      <c r="C1853" s="12" t="s">
        <v>5</v>
      </c>
      <c r="D1853" s="93">
        <v>854.79</v>
      </c>
      <c r="E1853" s="93">
        <v>332.01</v>
      </c>
      <c r="F1853" s="93">
        <v>516.39</v>
      </c>
      <c r="G1853" s="93">
        <v>4.91</v>
      </c>
      <c r="H1853" s="93">
        <v>0</v>
      </c>
      <c r="N1853" s="88"/>
      <c r="O1853" s="88"/>
      <c r="P1853" s="88"/>
    </row>
    <row r="1854" spans="1:16">
      <c r="A1854" s="94">
        <v>101100</v>
      </c>
      <c r="B1854" s="87" t="s">
        <v>1937</v>
      </c>
      <c r="C1854" s="12" t="s">
        <v>5</v>
      </c>
      <c r="D1854" s="93">
        <v>716.87</v>
      </c>
      <c r="E1854" s="93">
        <v>142.27000000000001</v>
      </c>
      <c r="F1854" s="93">
        <v>527.16999999999996</v>
      </c>
      <c r="G1854" s="93">
        <v>45.84</v>
      </c>
      <c r="H1854" s="93">
        <v>0</v>
      </c>
      <c r="N1854" s="88"/>
      <c r="O1854" s="88"/>
      <c r="P1854" s="88"/>
    </row>
    <row r="1855" spans="1:16">
      <c r="A1855" s="94">
        <v>101101</v>
      </c>
      <c r="B1855" s="87" t="s">
        <v>1938</v>
      </c>
      <c r="C1855" s="12" t="s">
        <v>5</v>
      </c>
      <c r="D1855" s="93">
        <v>701.74</v>
      </c>
      <c r="E1855" s="93">
        <v>135.81</v>
      </c>
      <c r="F1855" s="93">
        <v>522.09</v>
      </c>
      <c r="G1855" s="93">
        <v>42.27</v>
      </c>
      <c r="H1855" s="93">
        <v>0</v>
      </c>
      <c r="N1855" s="88"/>
      <c r="O1855" s="88"/>
      <c r="P1855" s="88"/>
    </row>
    <row r="1856" spans="1:16">
      <c r="A1856" s="94">
        <v>101102</v>
      </c>
      <c r="B1856" s="87" t="s">
        <v>1939</v>
      </c>
      <c r="C1856" s="12" t="s">
        <v>5</v>
      </c>
      <c r="D1856" s="93">
        <v>683.68</v>
      </c>
      <c r="E1856" s="93">
        <v>123.56</v>
      </c>
      <c r="F1856" s="93">
        <v>520.91</v>
      </c>
      <c r="G1856" s="93">
        <v>37.68</v>
      </c>
      <c r="H1856" s="93">
        <v>0</v>
      </c>
      <c r="N1856" s="88"/>
      <c r="O1856" s="88"/>
      <c r="P1856" s="88"/>
    </row>
    <row r="1857" spans="1:16">
      <c r="A1857" s="94">
        <v>101103</v>
      </c>
      <c r="B1857" s="87" t="s">
        <v>1940</v>
      </c>
      <c r="C1857" s="12" t="s">
        <v>5</v>
      </c>
      <c r="D1857" s="93">
        <v>643.64</v>
      </c>
      <c r="E1857" s="93">
        <v>115.05</v>
      </c>
      <c r="F1857" s="93">
        <v>492.45</v>
      </c>
      <c r="G1857" s="93">
        <v>34.659999999999997</v>
      </c>
      <c r="H1857" s="93">
        <v>0</v>
      </c>
      <c r="N1857" s="88"/>
      <c r="O1857" s="88"/>
      <c r="P1857" s="88"/>
    </row>
    <row r="1858" spans="1:16">
      <c r="A1858" s="94">
        <v>101104</v>
      </c>
      <c r="B1858" s="87" t="s">
        <v>1941</v>
      </c>
      <c r="C1858" s="12" t="s">
        <v>5</v>
      </c>
      <c r="D1858" s="93">
        <v>1006.95</v>
      </c>
      <c r="E1858" s="93">
        <v>449.26</v>
      </c>
      <c r="F1858" s="93">
        <v>554.92999999999995</v>
      </c>
      <c r="G1858" s="93">
        <v>2.76</v>
      </c>
      <c r="H1858" s="93">
        <v>0</v>
      </c>
      <c r="N1858" s="88"/>
      <c r="O1858" s="88"/>
      <c r="P1858" s="88"/>
    </row>
    <row r="1859" spans="1:16">
      <c r="A1859" s="94">
        <v>101105</v>
      </c>
      <c r="B1859" s="87" t="s">
        <v>1942</v>
      </c>
      <c r="C1859" s="12" t="s">
        <v>5</v>
      </c>
      <c r="D1859" s="93">
        <v>941.83</v>
      </c>
      <c r="E1859" s="93">
        <v>393.74</v>
      </c>
      <c r="F1859" s="93">
        <v>545.33000000000004</v>
      </c>
      <c r="G1859" s="93">
        <v>2.76</v>
      </c>
      <c r="H1859" s="93">
        <v>0</v>
      </c>
      <c r="N1859" s="88"/>
      <c r="O1859" s="88"/>
      <c r="P1859" s="88"/>
    </row>
    <row r="1860" spans="1:16">
      <c r="A1860" s="94">
        <v>101106</v>
      </c>
      <c r="B1860" s="87" t="s">
        <v>1943</v>
      </c>
      <c r="C1860" s="12" t="s">
        <v>5</v>
      </c>
      <c r="D1860" s="93">
        <v>855.75</v>
      </c>
      <c r="E1860" s="93">
        <v>314.82</v>
      </c>
      <c r="F1860" s="93">
        <v>538.16999999999996</v>
      </c>
      <c r="G1860" s="93">
        <v>2.76</v>
      </c>
      <c r="H1860" s="93">
        <v>0</v>
      </c>
      <c r="N1860" s="88"/>
      <c r="O1860" s="88"/>
      <c r="P1860" s="88"/>
    </row>
    <row r="1861" spans="1:16">
      <c r="A1861" s="94">
        <v>101107</v>
      </c>
      <c r="B1861" s="87" t="s">
        <v>1944</v>
      </c>
      <c r="C1861" s="12" t="s">
        <v>5</v>
      </c>
      <c r="D1861" s="93">
        <v>772.97</v>
      </c>
      <c r="E1861" s="93">
        <v>264.24</v>
      </c>
      <c r="F1861" s="93">
        <v>505.97</v>
      </c>
      <c r="G1861" s="93">
        <v>2.76</v>
      </c>
      <c r="H1861" s="93">
        <v>0</v>
      </c>
      <c r="N1861" s="88"/>
      <c r="O1861" s="88"/>
      <c r="P1861" s="88"/>
    </row>
    <row r="1862" spans="1:16">
      <c r="A1862" s="94">
        <v>101108</v>
      </c>
      <c r="B1862" s="87" t="s">
        <v>1945</v>
      </c>
      <c r="C1862" s="12" t="s">
        <v>5</v>
      </c>
      <c r="D1862" s="93">
        <v>622.29999999999995</v>
      </c>
      <c r="E1862" s="93">
        <v>63.28</v>
      </c>
      <c r="F1862" s="93">
        <v>515.5</v>
      </c>
      <c r="G1862" s="93">
        <v>43.52</v>
      </c>
      <c r="H1862" s="93">
        <v>0</v>
      </c>
      <c r="N1862" s="88"/>
      <c r="O1862" s="88"/>
      <c r="P1862" s="88"/>
    </row>
    <row r="1863" spans="1:16">
      <c r="A1863" s="94">
        <v>101109</v>
      </c>
      <c r="B1863" s="87" t="s">
        <v>1946</v>
      </c>
      <c r="C1863" s="12" t="s">
        <v>5</v>
      </c>
      <c r="D1863" s="93">
        <v>609.01</v>
      </c>
      <c r="E1863" s="93">
        <v>58.37</v>
      </c>
      <c r="F1863" s="93">
        <v>510.65</v>
      </c>
      <c r="G1863" s="93">
        <v>39.99</v>
      </c>
      <c r="H1863" s="93">
        <v>0</v>
      </c>
      <c r="N1863" s="88"/>
      <c r="O1863" s="88"/>
      <c r="P1863" s="88"/>
    </row>
    <row r="1864" spans="1:16">
      <c r="A1864" s="94">
        <v>101110</v>
      </c>
      <c r="B1864" s="87" t="s">
        <v>1947</v>
      </c>
      <c r="C1864" s="12" t="s">
        <v>5</v>
      </c>
      <c r="D1864" s="93">
        <v>594.27</v>
      </c>
      <c r="E1864" s="93">
        <v>48.87</v>
      </c>
      <c r="F1864" s="93">
        <v>509.95</v>
      </c>
      <c r="G1864" s="93">
        <v>35.450000000000003</v>
      </c>
      <c r="H1864" s="93">
        <v>0</v>
      </c>
      <c r="N1864" s="88"/>
      <c r="O1864" s="88"/>
      <c r="P1864" s="88"/>
    </row>
    <row r="1865" spans="1:16">
      <c r="A1865" s="94">
        <v>101111</v>
      </c>
      <c r="B1865" s="87" t="s">
        <v>1948</v>
      </c>
      <c r="C1865" s="12" t="s">
        <v>5</v>
      </c>
      <c r="D1865" s="93">
        <v>558.03</v>
      </c>
      <c r="E1865" s="93">
        <v>43.55</v>
      </c>
      <c r="F1865" s="93">
        <v>481.96</v>
      </c>
      <c r="G1865" s="93">
        <v>32.520000000000003</v>
      </c>
      <c r="H1865" s="93">
        <v>0</v>
      </c>
      <c r="N1865" s="88"/>
      <c r="O1865" s="88"/>
      <c r="P1865" s="88"/>
    </row>
    <row r="1866" spans="1:16">
      <c r="A1866" s="94">
        <v>101112</v>
      </c>
      <c r="B1866" s="87" t="s">
        <v>1949</v>
      </c>
      <c r="C1866" s="12" t="s">
        <v>5</v>
      </c>
      <c r="D1866" s="93">
        <v>748.04</v>
      </c>
      <c r="E1866" s="93">
        <v>296.56</v>
      </c>
      <c r="F1866" s="93">
        <v>444.75</v>
      </c>
      <c r="G1866" s="93">
        <v>5.1100000000000003</v>
      </c>
      <c r="H1866" s="93">
        <v>0</v>
      </c>
      <c r="N1866" s="88"/>
      <c r="O1866" s="88"/>
      <c r="P1866" s="88"/>
    </row>
    <row r="1867" spans="1:16">
      <c r="A1867" s="94">
        <v>101113</v>
      </c>
      <c r="B1867" s="87" t="s">
        <v>1950</v>
      </c>
      <c r="C1867" s="12" t="s">
        <v>5</v>
      </c>
      <c r="D1867" s="93">
        <v>660.65</v>
      </c>
      <c r="E1867" s="93">
        <v>224.08</v>
      </c>
      <c r="F1867" s="93">
        <v>433.81</v>
      </c>
      <c r="G1867" s="93">
        <v>2.76</v>
      </c>
      <c r="H1867" s="93">
        <v>0</v>
      </c>
      <c r="N1867" s="88"/>
      <c r="O1867" s="88"/>
      <c r="P1867" s="88"/>
    </row>
    <row r="1868" spans="1:16">
      <c r="A1868" s="94">
        <v>95601</v>
      </c>
      <c r="B1868" s="87" t="s">
        <v>213</v>
      </c>
      <c r="C1868" s="12" t="s">
        <v>4</v>
      </c>
      <c r="D1868" s="93">
        <v>17.93</v>
      </c>
      <c r="E1868" s="93">
        <v>13.72</v>
      </c>
      <c r="F1868" s="93">
        <v>3.76</v>
      </c>
      <c r="G1868" s="93">
        <v>0.45</v>
      </c>
      <c r="H1868" s="93">
        <v>0</v>
      </c>
      <c r="N1868" s="88"/>
      <c r="O1868" s="88"/>
      <c r="P1868" s="88"/>
    </row>
    <row r="1869" spans="1:16">
      <c r="A1869" s="94">
        <v>95602</v>
      </c>
      <c r="B1869" s="87" t="s">
        <v>214</v>
      </c>
      <c r="C1869" s="12" t="s">
        <v>4</v>
      </c>
      <c r="D1869" s="93">
        <v>22.84</v>
      </c>
      <c r="E1869" s="93">
        <v>17.27</v>
      </c>
      <c r="F1869" s="93">
        <v>4.78</v>
      </c>
      <c r="G1869" s="93">
        <v>0.79</v>
      </c>
      <c r="H1869" s="93">
        <v>0</v>
      </c>
      <c r="N1869" s="88"/>
      <c r="O1869" s="88"/>
      <c r="P1869" s="88"/>
    </row>
    <row r="1870" spans="1:16">
      <c r="A1870" s="94">
        <v>95603</v>
      </c>
      <c r="B1870" s="87" t="s">
        <v>215</v>
      </c>
      <c r="C1870" s="12" t="s">
        <v>4</v>
      </c>
      <c r="D1870" s="93">
        <v>29.97</v>
      </c>
      <c r="E1870" s="93">
        <v>22.61</v>
      </c>
      <c r="F1870" s="93">
        <v>6.31</v>
      </c>
      <c r="G1870" s="93">
        <v>1.05</v>
      </c>
      <c r="H1870" s="93">
        <v>0</v>
      </c>
      <c r="N1870" s="88"/>
      <c r="O1870" s="88"/>
      <c r="P1870" s="88"/>
    </row>
    <row r="1871" spans="1:16">
      <c r="A1871" s="94">
        <v>95604</v>
      </c>
      <c r="B1871" s="87" t="s">
        <v>216</v>
      </c>
      <c r="C1871" s="12" t="s">
        <v>4</v>
      </c>
      <c r="D1871" s="93">
        <v>39.450000000000003</v>
      </c>
      <c r="E1871" s="93">
        <v>29.7</v>
      </c>
      <c r="F1871" s="93">
        <v>8.35</v>
      </c>
      <c r="G1871" s="93">
        <v>1.4</v>
      </c>
      <c r="H1871" s="93">
        <v>0</v>
      </c>
      <c r="N1871" s="88"/>
      <c r="O1871" s="88"/>
      <c r="P1871" s="88"/>
    </row>
    <row r="1872" spans="1:16">
      <c r="A1872" s="94">
        <v>95605</v>
      </c>
      <c r="B1872" s="87" t="s">
        <v>217</v>
      </c>
      <c r="C1872" s="12" t="s">
        <v>4</v>
      </c>
      <c r="D1872" s="93">
        <v>61.86</v>
      </c>
      <c r="E1872" s="93">
        <v>46.58</v>
      </c>
      <c r="F1872" s="93">
        <v>13.1</v>
      </c>
      <c r="G1872" s="93">
        <v>2.1800000000000002</v>
      </c>
      <c r="H1872" s="93">
        <v>0</v>
      </c>
      <c r="N1872" s="88"/>
      <c r="O1872" s="88"/>
      <c r="P1872" s="88"/>
    </row>
    <row r="1873" spans="1:16">
      <c r="A1873" s="94">
        <v>95607</v>
      </c>
      <c r="B1873" s="87" t="s">
        <v>1951</v>
      </c>
      <c r="C1873" s="12" t="s">
        <v>4</v>
      </c>
      <c r="D1873" s="93">
        <v>5.24</v>
      </c>
      <c r="E1873" s="93">
        <v>3.15</v>
      </c>
      <c r="F1873" s="93">
        <v>2.0699999999999998</v>
      </c>
      <c r="G1873" s="93">
        <v>0.02</v>
      </c>
      <c r="H1873" s="93">
        <v>0</v>
      </c>
      <c r="N1873" s="88"/>
      <c r="O1873" s="88"/>
      <c r="P1873" s="88"/>
    </row>
    <row r="1874" spans="1:16">
      <c r="A1874" s="94">
        <v>95608</v>
      </c>
      <c r="B1874" s="87" t="s">
        <v>1952</v>
      </c>
      <c r="C1874" s="12" t="s">
        <v>4</v>
      </c>
      <c r="D1874" s="93">
        <v>6.05</v>
      </c>
      <c r="E1874" s="93">
        <v>3.62</v>
      </c>
      <c r="F1874" s="93">
        <v>2.4</v>
      </c>
      <c r="G1874" s="93">
        <v>0.03</v>
      </c>
      <c r="H1874" s="93">
        <v>0</v>
      </c>
      <c r="N1874" s="88"/>
      <c r="O1874" s="88"/>
      <c r="P1874" s="88"/>
    </row>
    <row r="1875" spans="1:16">
      <c r="A1875" s="94">
        <v>95609</v>
      </c>
      <c r="B1875" s="87" t="s">
        <v>1953</v>
      </c>
      <c r="C1875" s="12" t="s">
        <v>4</v>
      </c>
      <c r="D1875" s="93">
        <v>6.74</v>
      </c>
      <c r="E1875" s="93">
        <v>4.07</v>
      </c>
      <c r="F1875" s="93">
        <v>2.64</v>
      </c>
      <c r="G1875" s="93">
        <v>0.03</v>
      </c>
      <c r="H1875" s="93">
        <v>0</v>
      </c>
      <c r="N1875" s="88"/>
      <c r="O1875" s="88"/>
      <c r="P1875" s="88"/>
    </row>
    <row r="1876" spans="1:16">
      <c r="A1876" s="94">
        <v>100651</v>
      </c>
      <c r="B1876" s="87" t="s">
        <v>5591</v>
      </c>
      <c r="C1876" s="12" t="s">
        <v>6</v>
      </c>
      <c r="D1876" s="93">
        <v>90.4</v>
      </c>
      <c r="E1876" s="93">
        <v>11.8</v>
      </c>
      <c r="F1876" s="93">
        <v>62.94</v>
      </c>
      <c r="G1876" s="93">
        <v>15.66</v>
      </c>
      <c r="H1876" s="93">
        <v>0</v>
      </c>
      <c r="N1876" s="88"/>
      <c r="O1876" s="88"/>
      <c r="P1876" s="88"/>
    </row>
    <row r="1877" spans="1:16">
      <c r="A1877" s="94">
        <v>100652</v>
      </c>
      <c r="B1877" s="87" t="s">
        <v>5592</v>
      </c>
      <c r="C1877" s="12" t="s">
        <v>6</v>
      </c>
      <c r="D1877" s="93">
        <v>170.79</v>
      </c>
      <c r="E1877" s="93">
        <v>15.97</v>
      </c>
      <c r="F1877" s="93">
        <v>135.38</v>
      </c>
      <c r="G1877" s="93">
        <v>19.440000000000001</v>
      </c>
      <c r="H1877" s="93">
        <v>0</v>
      </c>
      <c r="N1877" s="88"/>
      <c r="O1877" s="88"/>
      <c r="P1877" s="88"/>
    </row>
    <row r="1878" spans="1:16">
      <c r="A1878" s="94">
        <v>100653</v>
      </c>
      <c r="B1878" s="87" t="s">
        <v>5593</v>
      </c>
      <c r="C1878" s="12" t="s">
        <v>6</v>
      </c>
      <c r="D1878" s="93">
        <v>283.75</v>
      </c>
      <c r="E1878" s="93">
        <v>21.02</v>
      </c>
      <c r="F1878" s="93">
        <v>239.75</v>
      </c>
      <c r="G1878" s="93">
        <v>22.98</v>
      </c>
      <c r="H1878" s="93">
        <v>0</v>
      </c>
      <c r="N1878" s="88"/>
      <c r="O1878" s="88"/>
      <c r="P1878" s="88"/>
    </row>
    <row r="1879" spans="1:16">
      <c r="A1879" s="94">
        <v>100654</v>
      </c>
      <c r="B1879" s="87" t="s">
        <v>5594</v>
      </c>
      <c r="C1879" s="12" t="s">
        <v>6</v>
      </c>
      <c r="D1879" s="93">
        <v>386.95</v>
      </c>
      <c r="E1879" s="93">
        <v>24.67</v>
      </c>
      <c r="F1879" s="93">
        <v>336.34</v>
      </c>
      <c r="G1879" s="93">
        <v>25.94</v>
      </c>
      <c r="H1879" s="93">
        <v>0</v>
      </c>
      <c r="N1879" s="88"/>
      <c r="O1879" s="88"/>
      <c r="P1879" s="88"/>
    </row>
    <row r="1880" spans="1:16">
      <c r="A1880" s="94">
        <v>100655</v>
      </c>
      <c r="B1880" s="87" t="s">
        <v>5595</v>
      </c>
      <c r="C1880" s="12" t="s">
        <v>6</v>
      </c>
      <c r="D1880" s="93">
        <v>443.87</v>
      </c>
      <c r="E1880" s="93">
        <v>22.01</v>
      </c>
      <c r="F1880" s="93">
        <v>390.8</v>
      </c>
      <c r="G1880" s="93">
        <v>31.06</v>
      </c>
      <c r="H1880" s="93">
        <v>0</v>
      </c>
      <c r="N1880" s="88"/>
      <c r="O1880" s="88"/>
      <c r="P1880" s="88"/>
    </row>
    <row r="1881" spans="1:16">
      <c r="A1881" s="94">
        <v>100656</v>
      </c>
      <c r="B1881" s="87" t="s">
        <v>1954</v>
      </c>
      <c r="C1881" s="12" t="s">
        <v>6</v>
      </c>
      <c r="D1881" s="93">
        <v>71.260000000000005</v>
      </c>
      <c r="E1881" s="93">
        <v>12.2</v>
      </c>
      <c r="F1881" s="93">
        <v>55.98</v>
      </c>
      <c r="G1881" s="93">
        <v>3.08</v>
      </c>
      <c r="H1881" s="93">
        <v>0</v>
      </c>
      <c r="N1881" s="88"/>
      <c r="O1881" s="88"/>
      <c r="P1881" s="88"/>
    </row>
    <row r="1882" spans="1:16">
      <c r="A1882" s="94">
        <v>100657</v>
      </c>
      <c r="B1882" s="87" t="s">
        <v>1955</v>
      </c>
      <c r="C1882" s="12" t="s">
        <v>6</v>
      </c>
      <c r="D1882" s="93">
        <v>90.84</v>
      </c>
      <c r="E1882" s="93">
        <v>12.81</v>
      </c>
      <c r="F1882" s="93">
        <v>74.77</v>
      </c>
      <c r="G1882" s="93">
        <v>3.26</v>
      </c>
      <c r="H1882" s="93">
        <v>0</v>
      </c>
      <c r="N1882" s="88"/>
      <c r="O1882" s="88"/>
      <c r="P1882" s="88"/>
    </row>
    <row r="1883" spans="1:16">
      <c r="A1883" s="94">
        <v>100658</v>
      </c>
      <c r="B1883" s="87" t="s">
        <v>1956</v>
      </c>
      <c r="C1883" s="12" t="s">
        <v>6</v>
      </c>
      <c r="D1883" s="93">
        <v>204.52</v>
      </c>
      <c r="E1883" s="93">
        <v>16.54</v>
      </c>
      <c r="F1883" s="93">
        <v>184.16</v>
      </c>
      <c r="G1883" s="93">
        <v>3.82</v>
      </c>
      <c r="H1883" s="93">
        <v>0</v>
      </c>
      <c r="N1883" s="88"/>
      <c r="O1883" s="88"/>
      <c r="P1883" s="88"/>
    </row>
    <row r="1884" spans="1:16">
      <c r="A1884" s="94">
        <v>100889</v>
      </c>
      <c r="B1884" s="87" t="s">
        <v>1957</v>
      </c>
      <c r="C1884" s="12" t="s">
        <v>11</v>
      </c>
      <c r="D1884" s="93">
        <v>9.24</v>
      </c>
      <c r="E1884" s="93">
        <v>0.36</v>
      </c>
      <c r="F1884" s="93">
        <v>8.82</v>
      </c>
      <c r="G1884" s="93">
        <v>0.06</v>
      </c>
      <c r="H1884" s="93">
        <v>0</v>
      </c>
      <c r="N1884" s="88"/>
      <c r="O1884" s="88"/>
      <c r="P1884" s="88"/>
    </row>
    <row r="1885" spans="1:16">
      <c r="A1885" s="94">
        <v>100890</v>
      </c>
      <c r="B1885" s="87" t="s">
        <v>1958</v>
      </c>
      <c r="C1885" s="12" t="s">
        <v>11</v>
      </c>
      <c r="D1885" s="93">
        <v>9.1</v>
      </c>
      <c r="E1885" s="93">
        <v>0.28000000000000003</v>
      </c>
      <c r="F1885" s="93">
        <v>8.77</v>
      </c>
      <c r="G1885" s="93">
        <v>0.05</v>
      </c>
      <c r="H1885" s="93">
        <v>0</v>
      </c>
      <c r="N1885" s="88"/>
      <c r="O1885" s="88"/>
      <c r="P1885" s="88"/>
    </row>
    <row r="1886" spans="1:16">
      <c r="A1886" s="94">
        <v>100892</v>
      </c>
      <c r="B1886" s="87" t="s">
        <v>1959</v>
      </c>
      <c r="C1886" s="12" t="s">
        <v>11</v>
      </c>
      <c r="D1886" s="93">
        <v>8.86</v>
      </c>
      <c r="E1886" s="93">
        <v>0.57999999999999996</v>
      </c>
      <c r="F1886" s="93">
        <v>8.16</v>
      </c>
      <c r="G1886" s="93">
        <v>0.12</v>
      </c>
      <c r="H1886" s="93">
        <v>0</v>
      </c>
      <c r="N1886" s="88"/>
      <c r="O1886" s="88"/>
      <c r="P1886" s="88"/>
    </row>
    <row r="1887" spans="1:16">
      <c r="A1887" s="94">
        <v>100893</v>
      </c>
      <c r="B1887" s="87" t="s">
        <v>1960</v>
      </c>
      <c r="C1887" s="12" t="s">
        <v>11</v>
      </c>
      <c r="D1887" s="93">
        <v>8.73</v>
      </c>
      <c r="E1887" s="93">
        <v>0.49</v>
      </c>
      <c r="F1887" s="93">
        <v>8.16</v>
      </c>
      <c r="G1887" s="93">
        <v>0.08</v>
      </c>
      <c r="H1887" s="93">
        <v>0</v>
      </c>
      <c r="N1887" s="88"/>
      <c r="O1887" s="88"/>
      <c r="P1887" s="88"/>
    </row>
    <row r="1888" spans="1:16">
      <c r="A1888" s="94">
        <v>100894</v>
      </c>
      <c r="B1888" s="87" t="s">
        <v>1961</v>
      </c>
      <c r="C1888" s="12" t="s">
        <v>11</v>
      </c>
      <c r="D1888" s="93">
        <v>8.6300000000000008</v>
      </c>
      <c r="E1888" s="93">
        <v>0.42</v>
      </c>
      <c r="F1888" s="93">
        <v>8.14</v>
      </c>
      <c r="G1888" s="93">
        <v>7.0000000000000007E-2</v>
      </c>
      <c r="H1888" s="93">
        <v>0</v>
      </c>
      <c r="N1888" s="88"/>
      <c r="O1888" s="88"/>
      <c r="P1888" s="88"/>
    </row>
    <row r="1889" spans="1:16">
      <c r="A1889" s="94">
        <v>100896</v>
      </c>
      <c r="B1889" s="87" t="s">
        <v>1962</v>
      </c>
      <c r="C1889" s="12" t="s">
        <v>6</v>
      </c>
      <c r="D1889" s="93">
        <v>39.85</v>
      </c>
      <c r="E1889" s="93">
        <v>5.6</v>
      </c>
      <c r="F1889" s="93">
        <v>26.61</v>
      </c>
      <c r="G1889" s="93">
        <v>7.64</v>
      </c>
      <c r="H1889" s="93">
        <v>0</v>
      </c>
      <c r="N1889" s="88"/>
      <c r="O1889" s="88"/>
      <c r="P1889" s="88"/>
    </row>
    <row r="1890" spans="1:16">
      <c r="A1890" s="94">
        <v>100897</v>
      </c>
      <c r="B1890" s="87" t="s">
        <v>1963</v>
      </c>
      <c r="C1890" s="12" t="s">
        <v>6</v>
      </c>
      <c r="D1890" s="93">
        <v>76.63</v>
      </c>
      <c r="E1890" s="93">
        <v>7.13</v>
      </c>
      <c r="F1890" s="93">
        <v>59.28</v>
      </c>
      <c r="G1890" s="93">
        <v>10.220000000000001</v>
      </c>
      <c r="H1890" s="93">
        <v>0</v>
      </c>
      <c r="N1890" s="88"/>
      <c r="O1890" s="88"/>
      <c r="P1890" s="88"/>
    </row>
    <row r="1891" spans="1:16">
      <c r="A1891" s="94">
        <v>100898</v>
      </c>
      <c r="B1891" s="87" t="s">
        <v>1964</v>
      </c>
      <c r="C1891" s="12" t="s">
        <v>6</v>
      </c>
      <c r="D1891" s="93">
        <v>146.82</v>
      </c>
      <c r="E1891" s="93">
        <v>8.8699999999999992</v>
      </c>
      <c r="F1891" s="93">
        <v>125.51</v>
      </c>
      <c r="G1891" s="93">
        <v>12.44</v>
      </c>
      <c r="H1891" s="93">
        <v>0</v>
      </c>
      <c r="N1891" s="88"/>
      <c r="O1891" s="88"/>
      <c r="P1891" s="88"/>
    </row>
    <row r="1892" spans="1:16">
      <c r="A1892" s="94">
        <v>100899</v>
      </c>
      <c r="B1892" s="87" t="s">
        <v>1965</v>
      </c>
      <c r="C1892" s="12" t="s">
        <v>6</v>
      </c>
      <c r="D1892" s="93">
        <v>57</v>
      </c>
      <c r="E1892" s="93">
        <v>18.04</v>
      </c>
      <c r="F1892" s="93">
        <v>30.93</v>
      </c>
      <c r="G1892" s="93">
        <v>8.0299999999999994</v>
      </c>
      <c r="H1892" s="93">
        <v>0</v>
      </c>
      <c r="N1892" s="88"/>
      <c r="O1892" s="88"/>
      <c r="P1892" s="88"/>
    </row>
    <row r="1893" spans="1:16">
      <c r="A1893" s="94">
        <v>100900</v>
      </c>
      <c r="B1893" s="87" t="s">
        <v>1966</v>
      </c>
      <c r="C1893" s="12" t="s">
        <v>6</v>
      </c>
      <c r="D1893" s="93">
        <v>168.35</v>
      </c>
      <c r="E1893" s="93">
        <v>11.14</v>
      </c>
      <c r="F1893" s="93">
        <v>144.78</v>
      </c>
      <c r="G1893" s="93">
        <v>12.43</v>
      </c>
      <c r="H1893" s="93">
        <v>0</v>
      </c>
      <c r="N1893" s="88"/>
      <c r="O1893" s="88"/>
      <c r="P1893" s="88"/>
    </row>
    <row r="1894" spans="1:16">
      <c r="A1894" s="94">
        <v>100929</v>
      </c>
      <c r="B1894" s="87" t="s">
        <v>1967</v>
      </c>
      <c r="C1894" s="12" t="s">
        <v>6</v>
      </c>
      <c r="D1894" s="93">
        <v>197.26</v>
      </c>
      <c r="E1894" s="93">
        <v>41.04</v>
      </c>
      <c r="F1894" s="93">
        <v>137.26</v>
      </c>
      <c r="G1894" s="93">
        <v>18.260000000000002</v>
      </c>
      <c r="H1894" s="93">
        <v>0</v>
      </c>
      <c r="N1894" s="88"/>
      <c r="O1894" s="88"/>
      <c r="P1894" s="88"/>
    </row>
    <row r="1895" spans="1:16">
      <c r="A1895" s="94">
        <v>100930</v>
      </c>
      <c r="B1895" s="87" t="s">
        <v>1968</v>
      </c>
      <c r="C1895" s="12" t="s">
        <v>6</v>
      </c>
      <c r="D1895" s="93">
        <v>291.02999999999997</v>
      </c>
      <c r="E1895" s="93">
        <v>60.39</v>
      </c>
      <c r="F1895" s="93">
        <v>205.4</v>
      </c>
      <c r="G1895" s="93">
        <v>24.1</v>
      </c>
      <c r="H1895" s="93">
        <v>0</v>
      </c>
      <c r="N1895" s="88"/>
      <c r="O1895" s="88"/>
      <c r="P1895" s="88"/>
    </row>
    <row r="1896" spans="1:16">
      <c r="A1896" s="94">
        <v>100931</v>
      </c>
      <c r="B1896" s="87" t="s">
        <v>1969</v>
      </c>
      <c r="C1896" s="12" t="s">
        <v>6</v>
      </c>
      <c r="D1896" s="93">
        <v>370.77</v>
      </c>
      <c r="E1896" s="93">
        <v>80.349999999999994</v>
      </c>
      <c r="F1896" s="93">
        <v>257.66000000000003</v>
      </c>
      <c r="G1896" s="93">
        <v>31.09</v>
      </c>
      <c r="H1896" s="93">
        <v>0</v>
      </c>
      <c r="N1896" s="88"/>
      <c r="O1896" s="88"/>
      <c r="P1896" s="88"/>
    </row>
    <row r="1897" spans="1:16">
      <c r="A1897" s="94">
        <v>100932</v>
      </c>
      <c r="B1897" s="87" t="s">
        <v>1970</v>
      </c>
      <c r="C1897" s="12" t="s">
        <v>6</v>
      </c>
      <c r="D1897" s="93">
        <v>497.03</v>
      </c>
      <c r="E1897" s="93">
        <v>98.16</v>
      </c>
      <c r="F1897" s="93">
        <v>359.81</v>
      </c>
      <c r="G1897" s="93">
        <v>37.01</v>
      </c>
      <c r="H1897" s="93">
        <v>0</v>
      </c>
      <c r="N1897" s="88"/>
      <c r="O1897" s="88"/>
      <c r="P1897" s="88"/>
    </row>
    <row r="1898" spans="1:16">
      <c r="A1898" s="94">
        <v>100933</v>
      </c>
      <c r="B1898" s="87" t="s">
        <v>1971</v>
      </c>
      <c r="C1898" s="12" t="s">
        <v>6</v>
      </c>
      <c r="D1898" s="93">
        <v>250.09</v>
      </c>
      <c r="E1898" s="93">
        <v>63.61</v>
      </c>
      <c r="F1898" s="93">
        <v>148.58000000000001</v>
      </c>
      <c r="G1898" s="93">
        <v>36.4</v>
      </c>
      <c r="H1898" s="93">
        <v>0</v>
      </c>
      <c r="N1898" s="88"/>
      <c r="O1898" s="88"/>
      <c r="P1898" s="88"/>
    </row>
    <row r="1899" spans="1:16">
      <c r="A1899" s="94">
        <v>100934</v>
      </c>
      <c r="B1899" s="87" t="s">
        <v>1972</v>
      </c>
      <c r="C1899" s="12" t="s">
        <v>6</v>
      </c>
      <c r="D1899" s="93">
        <v>357.05</v>
      </c>
      <c r="E1899" s="93">
        <v>88.58</v>
      </c>
      <c r="F1899" s="93">
        <v>219.58</v>
      </c>
      <c r="G1899" s="93">
        <v>46.75</v>
      </c>
      <c r="H1899" s="93">
        <v>0</v>
      </c>
      <c r="N1899" s="88"/>
      <c r="O1899" s="88"/>
      <c r="P1899" s="88"/>
    </row>
    <row r="1900" spans="1:16">
      <c r="A1900" s="94">
        <v>100935</v>
      </c>
      <c r="B1900" s="87" t="s">
        <v>1973</v>
      </c>
      <c r="C1900" s="12" t="s">
        <v>6</v>
      </c>
      <c r="D1900" s="93">
        <v>453.77</v>
      </c>
      <c r="E1900" s="93">
        <v>115.76</v>
      </c>
      <c r="F1900" s="93">
        <v>275.51</v>
      </c>
      <c r="G1900" s="93">
        <v>59.55</v>
      </c>
      <c r="H1900" s="93">
        <v>0</v>
      </c>
      <c r="N1900" s="88"/>
      <c r="O1900" s="88"/>
      <c r="P1900" s="88"/>
    </row>
    <row r="1901" spans="1:16">
      <c r="A1901" s="94">
        <v>100936</v>
      </c>
      <c r="B1901" s="87" t="s">
        <v>1974</v>
      </c>
      <c r="C1901" s="12" t="s">
        <v>6</v>
      </c>
      <c r="D1901" s="93">
        <v>593.84</v>
      </c>
      <c r="E1901" s="93">
        <v>139.49</v>
      </c>
      <c r="F1901" s="93">
        <v>380.63</v>
      </c>
      <c r="G1901" s="93">
        <v>70.19</v>
      </c>
      <c r="H1901" s="93">
        <v>0</v>
      </c>
      <c r="N1901" s="88"/>
      <c r="O1901" s="88"/>
      <c r="P1901" s="88"/>
    </row>
    <row r="1902" spans="1:16">
      <c r="A1902" s="94">
        <v>101173</v>
      </c>
      <c r="B1902" s="87" t="s">
        <v>1975</v>
      </c>
      <c r="C1902" s="12" t="s">
        <v>6</v>
      </c>
      <c r="D1902" s="93">
        <v>46.39</v>
      </c>
      <c r="E1902" s="93">
        <v>17.79</v>
      </c>
      <c r="F1902" s="93">
        <v>28.49</v>
      </c>
      <c r="G1902" s="93">
        <v>0.06</v>
      </c>
      <c r="H1902" s="93">
        <v>0</v>
      </c>
      <c r="N1902" s="88"/>
      <c r="O1902" s="88"/>
      <c r="P1902" s="88"/>
    </row>
    <row r="1903" spans="1:16">
      <c r="A1903" s="94">
        <v>101174</v>
      </c>
      <c r="B1903" s="87" t="s">
        <v>1976</v>
      </c>
      <c r="C1903" s="12" t="s">
        <v>6</v>
      </c>
      <c r="D1903" s="93">
        <v>65</v>
      </c>
      <c r="E1903" s="93">
        <v>27.55</v>
      </c>
      <c r="F1903" s="93">
        <v>37.28</v>
      </c>
      <c r="G1903" s="93">
        <v>0.09</v>
      </c>
      <c r="H1903" s="93">
        <v>0</v>
      </c>
      <c r="N1903" s="88"/>
      <c r="O1903" s="88"/>
      <c r="P1903" s="88"/>
    </row>
    <row r="1904" spans="1:16">
      <c r="A1904" s="94">
        <v>101175</v>
      </c>
      <c r="B1904" s="87" t="s">
        <v>1977</v>
      </c>
      <c r="C1904" s="12" t="s">
        <v>6</v>
      </c>
      <c r="D1904" s="93">
        <v>88.8</v>
      </c>
      <c r="E1904" s="93">
        <v>37.46</v>
      </c>
      <c r="F1904" s="93">
        <v>51.08</v>
      </c>
      <c r="G1904" s="93">
        <v>0.15</v>
      </c>
      <c r="H1904" s="93">
        <v>0</v>
      </c>
      <c r="N1904" s="88"/>
      <c r="O1904" s="88"/>
      <c r="P1904" s="88"/>
    </row>
    <row r="1905" spans="1:16">
      <c r="A1905" s="94">
        <v>101176</v>
      </c>
      <c r="B1905" s="87" t="s">
        <v>1978</v>
      </c>
      <c r="C1905" s="12" t="s">
        <v>6</v>
      </c>
      <c r="D1905" s="93">
        <v>114.83</v>
      </c>
      <c r="E1905" s="93">
        <v>45.28</v>
      </c>
      <c r="F1905" s="93">
        <v>69.290000000000006</v>
      </c>
      <c r="G1905" s="93">
        <v>0.15</v>
      </c>
      <c r="H1905" s="93">
        <v>0</v>
      </c>
      <c r="N1905" s="88"/>
      <c r="O1905" s="88"/>
      <c r="P1905" s="88"/>
    </row>
    <row r="1906" spans="1:16">
      <c r="A1906" s="94">
        <v>95240</v>
      </c>
      <c r="B1906" s="87" t="s">
        <v>6665</v>
      </c>
      <c r="C1906" s="12" t="s">
        <v>9</v>
      </c>
      <c r="D1906" s="93">
        <v>14.94</v>
      </c>
      <c r="E1906" s="93">
        <v>4.97</v>
      </c>
      <c r="F1906" s="93">
        <v>9.8699999999999992</v>
      </c>
      <c r="G1906" s="93">
        <v>0.06</v>
      </c>
      <c r="H1906" s="93">
        <v>0</v>
      </c>
      <c r="N1906" s="88"/>
      <c r="O1906" s="88"/>
      <c r="P1906" s="88"/>
    </row>
    <row r="1907" spans="1:16">
      <c r="A1907" s="94">
        <v>95241</v>
      </c>
      <c r="B1907" s="87" t="s">
        <v>6666</v>
      </c>
      <c r="C1907" s="12" t="s">
        <v>9</v>
      </c>
      <c r="D1907" s="93">
        <v>24.9</v>
      </c>
      <c r="E1907" s="93">
        <v>8.26</v>
      </c>
      <c r="F1907" s="93">
        <v>16.48</v>
      </c>
      <c r="G1907" s="93">
        <v>0.09</v>
      </c>
      <c r="H1907" s="93">
        <v>0</v>
      </c>
      <c r="N1907" s="88"/>
      <c r="O1907" s="88"/>
      <c r="P1907" s="88"/>
    </row>
    <row r="1908" spans="1:16">
      <c r="A1908" s="94">
        <v>96616</v>
      </c>
      <c r="B1908" s="87" t="s">
        <v>1979</v>
      </c>
      <c r="C1908" s="12" t="s">
        <v>5</v>
      </c>
      <c r="D1908" s="93">
        <v>518.44000000000005</v>
      </c>
      <c r="E1908" s="93">
        <v>180.57</v>
      </c>
      <c r="F1908" s="93">
        <v>333.99</v>
      </c>
      <c r="G1908" s="93">
        <v>2.29</v>
      </c>
      <c r="H1908" s="93">
        <v>0</v>
      </c>
      <c r="N1908" s="88"/>
      <c r="O1908" s="88"/>
      <c r="P1908" s="88"/>
    </row>
    <row r="1909" spans="1:16">
      <c r="A1909" s="94">
        <v>96617</v>
      </c>
      <c r="B1909" s="87" t="s">
        <v>1980</v>
      </c>
      <c r="C1909" s="12" t="s">
        <v>9</v>
      </c>
      <c r="D1909" s="93">
        <v>15.54</v>
      </c>
      <c r="E1909" s="93">
        <v>5.43</v>
      </c>
      <c r="F1909" s="93">
        <v>10.01</v>
      </c>
      <c r="G1909" s="93">
        <v>0.06</v>
      </c>
      <c r="H1909" s="93">
        <v>0</v>
      </c>
      <c r="N1909" s="88"/>
      <c r="O1909" s="88"/>
      <c r="P1909" s="88"/>
    </row>
    <row r="1910" spans="1:16">
      <c r="A1910" s="94">
        <v>96619</v>
      </c>
      <c r="B1910" s="87" t="s">
        <v>1981</v>
      </c>
      <c r="C1910" s="12" t="s">
        <v>9</v>
      </c>
      <c r="D1910" s="93">
        <v>25.91</v>
      </c>
      <c r="E1910" s="93">
        <v>9.0399999999999991</v>
      </c>
      <c r="F1910" s="93">
        <v>16.71</v>
      </c>
      <c r="G1910" s="93">
        <v>0.09</v>
      </c>
      <c r="H1910" s="93">
        <v>0</v>
      </c>
      <c r="N1910" s="88"/>
      <c r="O1910" s="88"/>
      <c r="P1910" s="88"/>
    </row>
    <row r="1911" spans="1:16">
      <c r="A1911" s="94">
        <v>96620</v>
      </c>
      <c r="B1911" s="87" t="s">
        <v>6667</v>
      </c>
      <c r="C1911" s="12" t="s">
        <v>5</v>
      </c>
      <c r="D1911" s="93">
        <v>498.43</v>
      </c>
      <c r="E1911" s="93">
        <v>165.05</v>
      </c>
      <c r="F1911" s="93">
        <v>329.5</v>
      </c>
      <c r="G1911" s="93">
        <v>2.29</v>
      </c>
      <c r="H1911" s="93">
        <v>0</v>
      </c>
      <c r="N1911" s="88"/>
      <c r="O1911" s="88"/>
      <c r="P1911" s="88"/>
    </row>
    <row r="1912" spans="1:16">
      <c r="A1912" s="94">
        <v>96621</v>
      </c>
      <c r="B1912" s="87" t="s">
        <v>1982</v>
      </c>
      <c r="C1912" s="12" t="s">
        <v>5</v>
      </c>
      <c r="D1912" s="93">
        <v>182.6</v>
      </c>
      <c r="E1912" s="93">
        <v>70.260000000000005</v>
      </c>
      <c r="F1912" s="93">
        <v>112.24</v>
      </c>
      <c r="G1912" s="93">
        <v>0.1</v>
      </c>
      <c r="H1912" s="93">
        <v>0</v>
      </c>
      <c r="N1912" s="88"/>
      <c r="O1912" s="88"/>
      <c r="P1912" s="88"/>
    </row>
    <row r="1913" spans="1:16">
      <c r="A1913" s="94">
        <v>96622</v>
      </c>
      <c r="B1913" s="87" t="s">
        <v>6668</v>
      </c>
      <c r="C1913" s="12" t="s">
        <v>5</v>
      </c>
      <c r="D1913" s="93">
        <v>123.86</v>
      </c>
      <c r="E1913" s="93">
        <v>25.02</v>
      </c>
      <c r="F1913" s="93">
        <v>98.81</v>
      </c>
      <c r="G1913" s="93">
        <v>0.03</v>
      </c>
      <c r="H1913" s="93">
        <v>0</v>
      </c>
      <c r="N1913" s="88"/>
      <c r="O1913" s="88"/>
      <c r="P1913" s="88"/>
    </row>
    <row r="1914" spans="1:16">
      <c r="A1914" s="94">
        <v>96623</v>
      </c>
      <c r="B1914" s="87" t="s">
        <v>1983</v>
      </c>
      <c r="C1914" s="12" t="s">
        <v>5</v>
      </c>
      <c r="D1914" s="93">
        <v>168.91</v>
      </c>
      <c r="E1914" s="93">
        <v>59.64</v>
      </c>
      <c r="F1914" s="93">
        <v>109.17</v>
      </c>
      <c r="G1914" s="93">
        <v>0.1</v>
      </c>
      <c r="H1914" s="93">
        <v>0</v>
      </c>
      <c r="N1914" s="88"/>
      <c r="O1914" s="88"/>
      <c r="P1914" s="88"/>
    </row>
    <row r="1915" spans="1:16">
      <c r="A1915" s="94">
        <v>96624</v>
      </c>
      <c r="B1915" s="87" t="s">
        <v>6669</v>
      </c>
      <c r="C1915" s="12" t="s">
        <v>5</v>
      </c>
      <c r="D1915" s="93">
        <v>119.04</v>
      </c>
      <c r="E1915" s="93">
        <v>21.27</v>
      </c>
      <c r="F1915" s="93">
        <v>97.74</v>
      </c>
      <c r="G1915" s="93">
        <v>0.03</v>
      </c>
      <c r="H1915" s="93">
        <v>0</v>
      </c>
      <c r="N1915" s="88"/>
      <c r="O1915" s="88"/>
      <c r="P1915" s="88"/>
    </row>
    <row r="1916" spans="1:16">
      <c r="A1916" s="94">
        <v>97082</v>
      </c>
      <c r="B1916" s="87" t="s">
        <v>1984</v>
      </c>
      <c r="C1916" s="12" t="s">
        <v>5</v>
      </c>
      <c r="D1916" s="93">
        <v>43.87</v>
      </c>
      <c r="E1916" s="93">
        <v>30.91</v>
      </c>
      <c r="F1916" s="93">
        <v>12.96</v>
      </c>
      <c r="G1916" s="93">
        <v>0</v>
      </c>
      <c r="H1916" s="93">
        <v>0</v>
      </c>
      <c r="N1916" s="88"/>
      <c r="O1916" s="88"/>
      <c r="P1916" s="88"/>
    </row>
    <row r="1917" spans="1:16">
      <c r="A1917" s="94">
        <v>97083</v>
      </c>
      <c r="B1917" s="87" t="s">
        <v>1985</v>
      </c>
      <c r="C1917" s="12" t="s">
        <v>9</v>
      </c>
      <c r="D1917" s="93">
        <v>2.46</v>
      </c>
      <c r="E1917" s="93">
        <v>1.76</v>
      </c>
      <c r="F1917" s="93">
        <v>0.65</v>
      </c>
      <c r="G1917" s="93">
        <v>0.05</v>
      </c>
      <c r="H1917" s="93">
        <v>0</v>
      </c>
      <c r="N1917" s="88"/>
      <c r="O1917" s="88"/>
      <c r="P1917" s="88"/>
    </row>
    <row r="1918" spans="1:16">
      <c r="A1918" s="94">
        <v>97084</v>
      </c>
      <c r="B1918" s="87" t="s">
        <v>1986</v>
      </c>
      <c r="C1918" s="12" t="s">
        <v>9</v>
      </c>
      <c r="D1918" s="93">
        <v>0.5</v>
      </c>
      <c r="E1918" s="93">
        <v>0.39</v>
      </c>
      <c r="F1918" s="93">
        <v>0.11</v>
      </c>
      <c r="G1918" s="93">
        <v>0</v>
      </c>
      <c r="H1918" s="93">
        <v>0</v>
      </c>
      <c r="N1918" s="88"/>
      <c r="O1918" s="88"/>
      <c r="P1918" s="88"/>
    </row>
    <row r="1919" spans="1:16">
      <c r="A1919" s="94">
        <v>97086</v>
      </c>
      <c r="B1919" s="87" t="s">
        <v>1987</v>
      </c>
      <c r="C1919" s="12" t="s">
        <v>9</v>
      </c>
      <c r="D1919" s="93">
        <v>91.38</v>
      </c>
      <c r="E1919" s="93">
        <v>59.47</v>
      </c>
      <c r="F1919" s="93">
        <v>31.91</v>
      </c>
      <c r="G1919" s="93">
        <v>0</v>
      </c>
      <c r="H1919" s="93">
        <v>0</v>
      </c>
      <c r="N1919" s="88"/>
      <c r="O1919" s="88"/>
      <c r="P1919" s="88"/>
    </row>
    <row r="1920" spans="1:16">
      <c r="A1920" s="94">
        <v>97087</v>
      </c>
      <c r="B1920" s="87" t="s">
        <v>5596</v>
      </c>
      <c r="C1920" s="12" t="s">
        <v>9</v>
      </c>
      <c r="D1920" s="93">
        <v>1.87</v>
      </c>
      <c r="E1920" s="93">
        <v>0.28000000000000003</v>
      </c>
      <c r="F1920" s="93">
        <v>1.59</v>
      </c>
      <c r="G1920" s="93">
        <v>0</v>
      </c>
      <c r="H1920" s="93">
        <v>0</v>
      </c>
      <c r="N1920" s="88"/>
      <c r="O1920" s="88"/>
      <c r="P1920" s="88"/>
    </row>
    <row r="1921" spans="1:16">
      <c r="A1921" s="94">
        <v>97088</v>
      </c>
      <c r="B1921" s="87" t="s">
        <v>5597</v>
      </c>
      <c r="C1921" s="12" t="s">
        <v>11</v>
      </c>
      <c r="D1921" s="93">
        <v>11.3</v>
      </c>
      <c r="E1921" s="93">
        <v>0.87</v>
      </c>
      <c r="F1921" s="93">
        <v>10.43</v>
      </c>
      <c r="G1921" s="93">
        <v>0</v>
      </c>
      <c r="H1921" s="93">
        <v>0</v>
      </c>
      <c r="N1921" s="88"/>
      <c r="O1921" s="88"/>
      <c r="P1921" s="88"/>
    </row>
    <row r="1922" spans="1:16">
      <c r="A1922" s="94">
        <v>97089</v>
      </c>
      <c r="B1922" s="87" t="s">
        <v>5598</v>
      </c>
      <c r="C1922" s="12" t="s">
        <v>11</v>
      </c>
      <c r="D1922" s="93">
        <v>10.31</v>
      </c>
      <c r="E1922" s="93">
        <v>0.75</v>
      </c>
      <c r="F1922" s="93">
        <v>9.56</v>
      </c>
      <c r="G1922" s="93">
        <v>0</v>
      </c>
      <c r="H1922" s="93">
        <v>0</v>
      </c>
      <c r="N1922" s="88"/>
      <c r="O1922" s="88"/>
      <c r="P1922" s="88"/>
    </row>
    <row r="1923" spans="1:16">
      <c r="A1923" s="94">
        <v>97090</v>
      </c>
      <c r="B1923" s="87" t="s">
        <v>5599</v>
      </c>
      <c r="C1923" s="12" t="s">
        <v>11</v>
      </c>
      <c r="D1923" s="93">
        <v>10.09</v>
      </c>
      <c r="E1923" s="93">
        <v>0.64</v>
      </c>
      <c r="F1923" s="93">
        <v>9.4499999999999993</v>
      </c>
      <c r="G1923" s="93">
        <v>0</v>
      </c>
      <c r="H1923" s="93">
        <v>0</v>
      </c>
      <c r="N1923" s="88"/>
      <c r="O1923" s="88"/>
      <c r="P1923" s="88"/>
    </row>
    <row r="1924" spans="1:16">
      <c r="A1924" s="94">
        <v>97091</v>
      </c>
      <c r="B1924" s="87" t="s">
        <v>5600</v>
      </c>
      <c r="C1924" s="12" t="s">
        <v>11</v>
      </c>
      <c r="D1924" s="93">
        <v>9.76</v>
      </c>
      <c r="E1924" s="93">
        <v>0.57999999999999996</v>
      </c>
      <c r="F1924" s="93">
        <v>9.18</v>
      </c>
      <c r="G1924" s="93">
        <v>0</v>
      </c>
      <c r="H1924" s="93">
        <v>0</v>
      </c>
      <c r="N1924" s="88"/>
      <c r="O1924" s="88"/>
      <c r="P1924" s="88"/>
    </row>
    <row r="1925" spans="1:16">
      <c r="A1925" s="94">
        <v>97092</v>
      </c>
      <c r="B1925" s="87" t="s">
        <v>5601</v>
      </c>
      <c r="C1925" s="12" t="s">
        <v>11</v>
      </c>
      <c r="D1925" s="93">
        <v>9.43</v>
      </c>
      <c r="E1925" s="93">
        <v>0.49</v>
      </c>
      <c r="F1925" s="93">
        <v>8.94</v>
      </c>
      <c r="G1925" s="93">
        <v>0</v>
      </c>
      <c r="H1925" s="93">
        <v>0</v>
      </c>
      <c r="N1925" s="88"/>
      <c r="O1925" s="88"/>
      <c r="P1925" s="88"/>
    </row>
    <row r="1926" spans="1:16">
      <c r="A1926" s="94">
        <v>97093</v>
      </c>
      <c r="B1926" s="87" t="s">
        <v>5602</v>
      </c>
      <c r="C1926" s="12" t="s">
        <v>11</v>
      </c>
      <c r="D1926" s="93">
        <v>8.81</v>
      </c>
      <c r="E1926" s="93">
        <v>0.38</v>
      </c>
      <c r="F1926" s="93">
        <v>8.43</v>
      </c>
      <c r="G1926" s="93">
        <v>0</v>
      </c>
      <c r="H1926" s="93">
        <v>0</v>
      </c>
      <c r="N1926" s="88"/>
      <c r="O1926" s="88"/>
      <c r="P1926" s="88"/>
    </row>
    <row r="1927" spans="1:16">
      <c r="A1927" s="94">
        <v>97094</v>
      </c>
      <c r="B1927" s="87" t="s">
        <v>1988</v>
      </c>
      <c r="C1927" s="12" t="s">
        <v>5</v>
      </c>
      <c r="D1927" s="93">
        <v>420.63</v>
      </c>
      <c r="E1927" s="93">
        <v>13.97</v>
      </c>
      <c r="F1927" s="93">
        <v>406.55</v>
      </c>
      <c r="G1927" s="93">
        <v>0.05</v>
      </c>
      <c r="H1927" s="93">
        <v>0</v>
      </c>
      <c r="N1927" s="88"/>
      <c r="O1927" s="88"/>
      <c r="P1927" s="88"/>
    </row>
    <row r="1928" spans="1:16">
      <c r="A1928" s="94">
        <v>97095</v>
      </c>
      <c r="B1928" s="87" t="s">
        <v>1989</v>
      </c>
      <c r="C1928" s="12" t="s">
        <v>5</v>
      </c>
      <c r="D1928" s="93">
        <v>394.83</v>
      </c>
      <c r="E1928" s="93">
        <v>12.25</v>
      </c>
      <c r="F1928" s="93">
        <v>382.49</v>
      </c>
      <c r="G1928" s="93">
        <v>0.04</v>
      </c>
      <c r="H1928" s="93">
        <v>0</v>
      </c>
      <c r="N1928" s="88"/>
      <c r="O1928" s="88"/>
      <c r="P1928" s="88"/>
    </row>
    <row r="1929" spans="1:16">
      <c r="A1929" s="94">
        <v>97096</v>
      </c>
      <c r="B1929" s="87" t="s">
        <v>1990</v>
      </c>
      <c r="C1929" s="12" t="s">
        <v>5</v>
      </c>
      <c r="D1929" s="93">
        <v>381.58</v>
      </c>
      <c r="E1929" s="93">
        <v>11.4</v>
      </c>
      <c r="F1929" s="93">
        <v>370.1</v>
      </c>
      <c r="G1929" s="93">
        <v>0.03</v>
      </c>
      <c r="H1929" s="93">
        <v>0</v>
      </c>
      <c r="N1929" s="88"/>
      <c r="O1929" s="88"/>
      <c r="P1929" s="88"/>
    </row>
    <row r="1930" spans="1:16">
      <c r="A1930" s="94">
        <v>97097</v>
      </c>
      <c r="B1930" s="87" t="s">
        <v>1991</v>
      </c>
      <c r="C1930" s="12" t="s">
        <v>9</v>
      </c>
      <c r="D1930" s="93">
        <v>27.31</v>
      </c>
      <c r="E1930" s="93">
        <v>1.5</v>
      </c>
      <c r="F1930" s="93">
        <v>25.81</v>
      </c>
      <c r="G1930" s="93">
        <v>0</v>
      </c>
      <c r="H1930" s="93">
        <v>0</v>
      </c>
      <c r="N1930" s="88"/>
      <c r="O1930" s="88"/>
      <c r="P1930" s="88"/>
    </row>
    <row r="1931" spans="1:16">
      <c r="A1931" s="94">
        <v>97101</v>
      </c>
      <c r="B1931" s="87" t="s">
        <v>5603</v>
      </c>
      <c r="C1931" s="12" t="s">
        <v>9</v>
      </c>
      <c r="D1931" s="93">
        <v>122.12</v>
      </c>
      <c r="E1931" s="93">
        <v>12</v>
      </c>
      <c r="F1931" s="93">
        <v>110.07</v>
      </c>
      <c r="G1931" s="93">
        <v>0.05</v>
      </c>
      <c r="H1931" s="93">
        <v>0</v>
      </c>
      <c r="N1931" s="88"/>
      <c r="O1931" s="88"/>
      <c r="P1931" s="88"/>
    </row>
    <row r="1932" spans="1:16">
      <c r="A1932" s="94">
        <v>97102</v>
      </c>
      <c r="B1932" s="87" t="s">
        <v>5604</v>
      </c>
      <c r="C1932" s="12" t="s">
        <v>9</v>
      </c>
      <c r="D1932" s="93">
        <v>141.11000000000001</v>
      </c>
      <c r="E1932" s="93">
        <v>13.62</v>
      </c>
      <c r="F1932" s="93">
        <v>127.44</v>
      </c>
      <c r="G1932" s="93">
        <v>0.05</v>
      </c>
      <c r="H1932" s="93">
        <v>0</v>
      </c>
      <c r="N1932" s="88"/>
      <c r="O1932" s="88"/>
      <c r="P1932" s="88"/>
    </row>
    <row r="1933" spans="1:16">
      <c r="A1933" s="94">
        <v>97103</v>
      </c>
      <c r="B1933" s="87" t="s">
        <v>5605</v>
      </c>
      <c r="C1933" s="12" t="s">
        <v>9</v>
      </c>
      <c r="D1933" s="93">
        <v>182.96</v>
      </c>
      <c r="E1933" s="93">
        <v>15.8</v>
      </c>
      <c r="F1933" s="93">
        <v>167.1</v>
      </c>
      <c r="G1933" s="93">
        <v>0.05</v>
      </c>
      <c r="H1933" s="93">
        <v>0</v>
      </c>
      <c r="N1933" s="88"/>
      <c r="O1933" s="88"/>
      <c r="P1933" s="88"/>
    </row>
    <row r="1934" spans="1:16">
      <c r="A1934" s="94">
        <v>100322</v>
      </c>
      <c r="B1934" s="87" t="s">
        <v>6670</v>
      </c>
      <c r="C1934" s="12" t="s">
        <v>5</v>
      </c>
      <c r="D1934" s="93">
        <v>119.04</v>
      </c>
      <c r="E1934" s="93">
        <v>21.27</v>
      </c>
      <c r="F1934" s="93">
        <v>97.74</v>
      </c>
      <c r="G1934" s="93">
        <v>0.03</v>
      </c>
      <c r="H1934" s="93">
        <v>0</v>
      </c>
      <c r="N1934" s="88"/>
      <c r="O1934" s="88"/>
      <c r="P1934" s="88"/>
    </row>
    <row r="1935" spans="1:16">
      <c r="A1935" s="94">
        <v>100323</v>
      </c>
      <c r="B1935" s="87" t="s">
        <v>6671</v>
      </c>
      <c r="C1935" s="12" t="s">
        <v>5</v>
      </c>
      <c r="D1935" s="93">
        <v>160.56</v>
      </c>
      <c r="E1935" s="93">
        <v>21.27</v>
      </c>
      <c r="F1935" s="93">
        <v>139.26</v>
      </c>
      <c r="G1935" s="93">
        <v>0.03</v>
      </c>
      <c r="H1935" s="93">
        <v>0</v>
      </c>
      <c r="N1935" s="88"/>
      <c r="O1935" s="88"/>
      <c r="P1935" s="88"/>
    </row>
    <row r="1936" spans="1:16">
      <c r="A1936" s="94">
        <v>100324</v>
      </c>
      <c r="B1936" s="87" t="s">
        <v>6672</v>
      </c>
      <c r="C1936" s="12" t="s">
        <v>5</v>
      </c>
      <c r="D1936" s="93">
        <v>119.03</v>
      </c>
      <c r="E1936" s="93">
        <v>21.27</v>
      </c>
      <c r="F1936" s="93">
        <v>97.73</v>
      </c>
      <c r="G1936" s="93">
        <v>0.03</v>
      </c>
      <c r="H1936" s="93">
        <v>0</v>
      </c>
      <c r="N1936" s="88"/>
      <c r="O1936" s="88"/>
      <c r="P1936" s="88"/>
    </row>
    <row r="1937" spans="1:16">
      <c r="A1937" s="94">
        <v>90996</v>
      </c>
      <c r="B1937" s="87" t="s">
        <v>1992</v>
      </c>
      <c r="C1937" s="12" t="s">
        <v>9</v>
      </c>
      <c r="D1937" s="93">
        <v>12.31</v>
      </c>
      <c r="E1937" s="93">
        <v>6.28</v>
      </c>
      <c r="F1937" s="93">
        <v>6.03</v>
      </c>
      <c r="G1937" s="93">
        <v>0</v>
      </c>
      <c r="H1937" s="93">
        <v>0</v>
      </c>
      <c r="N1937" s="88"/>
      <c r="O1937" s="88"/>
      <c r="P1937" s="88"/>
    </row>
    <row r="1938" spans="1:16">
      <c r="A1938" s="94">
        <v>90997</v>
      </c>
      <c r="B1938" s="87" t="s">
        <v>1993</v>
      </c>
      <c r="C1938" s="12" t="s">
        <v>9</v>
      </c>
      <c r="D1938" s="93">
        <v>16.899999999999999</v>
      </c>
      <c r="E1938" s="93">
        <v>9.7799999999999994</v>
      </c>
      <c r="F1938" s="93">
        <v>7.12</v>
      </c>
      <c r="G1938" s="93">
        <v>0</v>
      </c>
      <c r="H1938" s="93">
        <v>0</v>
      </c>
      <c r="N1938" s="88"/>
      <c r="O1938" s="88"/>
      <c r="P1938" s="88"/>
    </row>
    <row r="1939" spans="1:16">
      <c r="A1939" s="94">
        <v>90998</v>
      </c>
      <c r="B1939" s="87" t="s">
        <v>1994</v>
      </c>
      <c r="C1939" s="12" t="s">
        <v>9</v>
      </c>
      <c r="D1939" s="93">
        <v>20.5</v>
      </c>
      <c r="E1939" s="93">
        <v>12.52</v>
      </c>
      <c r="F1939" s="93">
        <v>7.98</v>
      </c>
      <c r="G1939" s="93">
        <v>0</v>
      </c>
      <c r="H1939" s="93">
        <v>0</v>
      </c>
      <c r="N1939" s="88"/>
      <c r="O1939" s="88"/>
      <c r="P1939" s="88"/>
    </row>
    <row r="1940" spans="1:16">
      <c r="A1940" s="94">
        <v>91000</v>
      </c>
      <c r="B1940" s="87" t="s">
        <v>1995</v>
      </c>
      <c r="C1940" s="12" t="s">
        <v>9</v>
      </c>
      <c r="D1940" s="93">
        <v>15.53</v>
      </c>
      <c r="E1940" s="93">
        <v>8.73</v>
      </c>
      <c r="F1940" s="93">
        <v>6.8</v>
      </c>
      <c r="G1940" s="93">
        <v>0</v>
      </c>
      <c r="H1940" s="93">
        <v>0</v>
      </c>
      <c r="N1940" s="88"/>
      <c r="O1940" s="88"/>
      <c r="P1940" s="88"/>
    </row>
    <row r="1941" spans="1:16">
      <c r="A1941" s="94">
        <v>91002</v>
      </c>
      <c r="B1941" s="87" t="s">
        <v>1996</v>
      </c>
      <c r="C1941" s="12" t="s">
        <v>9</v>
      </c>
      <c r="D1941" s="93">
        <v>14.25</v>
      </c>
      <c r="E1941" s="93">
        <v>7.77</v>
      </c>
      <c r="F1941" s="93">
        <v>6.48</v>
      </c>
      <c r="G1941" s="93">
        <v>0</v>
      </c>
      <c r="H1941" s="93">
        <v>0</v>
      </c>
      <c r="N1941" s="88"/>
      <c r="O1941" s="88"/>
      <c r="P1941" s="88"/>
    </row>
    <row r="1942" spans="1:16">
      <c r="A1942" s="94">
        <v>91003</v>
      </c>
      <c r="B1942" s="87" t="s">
        <v>1997</v>
      </c>
      <c r="C1942" s="12" t="s">
        <v>9</v>
      </c>
      <c r="D1942" s="93">
        <v>16.57</v>
      </c>
      <c r="E1942" s="93">
        <v>9.5299999999999994</v>
      </c>
      <c r="F1942" s="93">
        <v>7.04</v>
      </c>
      <c r="G1942" s="93">
        <v>0</v>
      </c>
      <c r="H1942" s="93">
        <v>0</v>
      </c>
      <c r="N1942" s="88"/>
      <c r="O1942" s="88"/>
      <c r="P1942" s="88"/>
    </row>
    <row r="1943" spans="1:16">
      <c r="A1943" s="94">
        <v>91004</v>
      </c>
      <c r="B1943" s="87" t="s">
        <v>1998</v>
      </c>
      <c r="C1943" s="12" t="s">
        <v>9</v>
      </c>
      <c r="D1943" s="93">
        <v>13.09</v>
      </c>
      <c r="E1943" s="93">
        <v>7.3</v>
      </c>
      <c r="F1943" s="93">
        <v>5.79</v>
      </c>
      <c r="G1943" s="93">
        <v>0</v>
      </c>
      <c r="H1943" s="93">
        <v>0</v>
      </c>
      <c r="N1943" s="88"/>
      <c r="O1943" s="88"/>
      <c r="P1943" s="88"/>
    </row>
    <row r="1944" spans="1:16">
      <c r="A1944" s="94">
        <v>91005</v>
      </c>
      <c r="B1944" s="87" t="s">
        <v>1999</v>
      </c>
      <c r="C1944" s="12" t="s">
        <v>9</v>
      </c>
      <c r="D1944" s="93">
        <v>15.78</v>
      </c>
      <c r="E1944" s="93">
        <v>9.35</v>
      </c>
      <c r="F1944" s="93">
        <v>6.43</v>
      </c>
      <c r="G1944" s="93">
        <v>0</v>
      </c>
      <c r="H1944" s="93">
        <v>0</v>
      </c>
      <c r="N1944" s="88"/>
      <c r="O1944" s="88"/>
      <c r="P1944" s="88"/>
    </row>
    <row r="1945" spans="1:16">
      <c r="A1945" s="94">
        <v>91006</v>
      </c>
      <c r="B1945" s="87" t="s">
        <v>2000</v>
      </c>
      <c r="C1945" s="12" t="s">
        <v>9</v>
      </c>
      <c r="D1945" s="93">
        <v>12.07</v>
      </c>
      <c r="E1945" s="93">
        <v>6.52</v>
      </c>
      <c r="F1945" s="93">
        <v>5.55</v>
      </c>
      <c r="G1945" s="93">
        <v>0</v>
      </c>
      <c r="H1945" s="93">
        <v>0</v>
      </c>
      <c r="N1945" s="88"/>
      <c r="O1945" s="88"/>
      <c r="P1945" s="88"/>
    </row>
    <row r="1946" spans="1:16">
      <c r="A1946" s="94">
        <v>91007</v>
      </c>
      <c r="B1946" s="87" t="s">
        <v>2001</v>
      </c>
      <c r="C1946" s="12" t="s">
        <v>9</v>
      </c>
      <c r="D1946" s="93">
        <v>10.79</v>
      </c>
      <c r="E1946" s="93">
        <v>5.54</v>
      </c>
      <c r="F1946" s="93">
        <v>5.25</v>
      </c>
      <c r="G1946" s="93">
        <v>0</v>
      </c>
      <c r="H1946" s="93">
        <v>0</v>
      </c>
      <c r="N1946" s="88"/>
      <c r="O1946" s="88"/>
      <c r="P1946" s="88"/>
    </row>
    <row r="1947" spans="1:16">
      <c r="A1947" s="94">
        <v>91008</v>
      </c>
      <c r="B1947" s="87" t="s">
        <v>2002</v>
      </c>
      <c r="C1947" s="12" t="s">
        <v>9</v>
      </c>
      <c r="D1947" s="93">
        <v>13.11</v>
      </c>
      <c r="E1947" s="93">
        <v>7.31</v>
      </c>
      <c r="F1947" s="93">
        <v>5.8</v>
      </c>
      <c r="G1947" s="93">
        <v>0</v>
      </c>
      <c r="H1947" s="93">
        <v>0</v>
      </c>
      <c r="N1947" s="88"/>
      <c r="O1947" s="88"/>
      <c r="P1947" s="88"/>
    </row>
    <row r="1948" spans="1:16">
      <c r="A1948" s="94">
        <v>92263</v>
      </c>
      <c r="B1948" s="87" t="s">
        <v>5606</v>
      </c>
      <c r="C1948" s="12" t="s">
        <v>9</v>
      </c>
      <c r="D1948" s="93">
        <v>100.85</v>
      </c>
      <c r="E1948" s="93">
        <v>30.1</v>
      </c>
      <c r="F1948" s="93">
        <v>70.58</v>
      </c>
      <c r="G1948" s="93">
        <v>0.01</v>
      </c>
      <c r="H1948" s="93">
        <v>0</v>
      </c>
      <c r="N1948" s="88"/>
      <c r="O1948" s="88"/>
      <c r="P1948" s="88"/>
    </row>
    <row r="1949" spans="1:16">
      <c r="A1949" s="94">
        <v>92264</v>
      </c>
      <c r="B1949" s="87" t="s">
        <v>5607</v>
      </c>
      <c r="C1949" s="12" t="s">
        <v>9</v>
      </c>
      <c r="D1949" s="93">
        <v>121.59</v>
      </c>
      <c r="E1949" s="93">
        <v>30.09</v>
      </c>
      <c r="F1949" s="93">
        <v>91.33</v>
      </c>
      <c r="G1949" s="93">
        <v>0.01</v>
      </c>
      <c r="H1949" s="93">
        <v>0</v>
      </c>
      <c r="N1949" s="88"/>
      <c r="O1949" s="88"/>
      <c r="P1949" s="88"/>
    </row>
    <row r="1950" spans="1:16">
      <c r="A1950" s="94">
        <v>92265</v>
      </c>
      <c r="B1950" s="87" t="s">
        <v>5608</v>
      </c>
      <c r="C1950" s="12" t="s">
        <v>9</v>
      </c>
      <c r="D1950" s="93">
        <v>73.930000000000007</v>
      </c>
      <c r="E1950" s="93">
        <v>24.4</v>
      </c>
      <c r="F1950" s="93">
        <v>49.4</v>
      </c>
      <c r="G1950" s="93">
        <v>0.01</v>
      </c>
      <c r="H1950" s="93">
        <v>0</v>
      </c>
      <c r="N1950" s="88"/>
      <c r="O1950" s="88"/>
      <c r="P1950" s="88"/>
    </row>
    <row r="1951" spans="1:16">
      <c r="A1951" s="94">
        <v>92266</v>
      </c>
      <c r="B1951" s="87" t="s">
        <v>5609</v>
      </c>
      <c r="C1951" s="12" t="s">
        <v>9</v>
      </c>
      <c r="D1951" s="93">
        <v>91.72</v>
      </c>
      <c r="E1951" s="93">
        <v>24.39</v>
      </c>
      <c r="F1951" s="93">
        <v>67.2</v>
      </c>
      <c r="G1951" s="93">
        <v>0.01</v>
      </c>
      <c r="H1951" s="93">
        <v>0</v>
      </c>
      <c r="N1951" s="88"/>
      <c r="O1951" s="88"/>
      <c r="P1951" s="88"/>
    </row>
    <row r="1952" spans="1:16">
      <c r="A1952" s="94">
        <v>92267</v>
      </c>
      <c r="B1952" s="87" t="s">
        <v>5610</v>
      </c>
      <c r="C1952" s="12" t="s">
        <v>9</v>
      </c>
      <c r="D1952" s="93">
        <v>26.83</v>
      </c>
      <c r="E1952" s="93">
        <v>0.64</v>
      </c>
      <c r="F1952" s="93">
        <v>26.18</v>
      </c>
      <c r="G1952" s="93">
        <v>0</v>
      </c>
      <c r="H1952" s="93">
        <v>0</v>
      </c>
      <c r="N1952" s="88"/>
      <c r="O1952" s="88"/>
      <c r="P1952" s="88"/>
    </row>
    <row r="1953" spans="1:16">
      <c r="A1953" s="94">
        <v>92268</v>
      </c>
      <c r="B1953" s="87" t="s">
        <v>5611</v>
      </c>
      <c r="C1953" s="12" t="s">
        <v>9</v>
      </c>
      <c r="D1953" s="93">
        <v>43.13</v>
      </c>
      <c r="E1953" s="93">
        <v>0.64</v>
      </c>
      <c r="F1953" s="93">
        <v>42.48</v>
      </c>
      <c r="G1953" s="93">
        <v>0</v>
      </c>
      <c r="H1953" s="93">
        <v>0</v>
      </c>
      <c r="N1953" s="88"/>
      <c r="O1953" s="88"/>
      <c r="P1953" s="88"/>
    </row>
    <row r="1954" spans="1:16">
      <c r="A1954" s="94">
        <v>92269</v>
      </c>
      <c r="B1954" s="87" t="s">
        <v>5612</v>
      </c>
      <c r="C1954" s="12" t="s">
        <v>9</v>
      </c>
      <c r="D1954" s="93">
        <v>112.01</v>
      </c>
      <c r="E1954" s="93">
        <v>17.21</v>
      </c>
      <c r="F1954" s="93">
        <v>94.68</v>
      </c>
      <c r="G1954" s="93">
        <v>0</v>
      </c>
      <c r="H1954" s="93">
        <v>0</v>
      </c>
      <c r="N1954" s="88"/>
      <c r="O1954" s="88"/>
      <c r="P1954" s="88"/>
    </row>
    <row r="1955" spans="1:16">
      <c r="A1955" s="94">
        <v>92270</v>
      </c>
      <c r="B1955" s="87" t="s">
        <v>5613</v>
      </c>
      <c r="C1955" s="12" t="s">
        <v>9</v>
      </c>
      <c r="D1955" s="93">
        <v>91.66</v>
      </c>
      <c r="E1955" s="93">
        <v>21.55</v>
      </c>
      <c r="F1955" s="93">
        <v>69.97</v>
      </c>
      <c r="G1955" s="93">
        <v>0</v>
      </c>
      <c r="H1955" s="93">
        <v>0</v>
      </c>
      <c r="N1955" s="88"/>
      <c r="O1955" s="88"/>
      <c r="P1955" s="88"/>
    </row>
    <row r="1956" spans="1:16">
      <c r="A1956" s="94">
        <v>92271</v>
      </c>
      <c r="B1956" s="87" t="s">
        <v>5614</v>
      </c>
      <c r="C1956" s="12" t="s">
        <v>9</v>
      </c>
      <c r="D1956" s="93">
        <v>48.54</v>
      </c>
      <c r="E1956" s="93">
        <v>0.3</v>
      </c>
      <c r="F1956" s="93">
        <v>48.24</v>
      </c>
      <c r="G1956" s="93">
        <v>0</v>
      </c>
      <c r="H1956" s="93">
        <v>0</v>
      </c>
      <c r="N1956" s="88"/>
      <c r="O1956" s="88"/>
      <c r="P1956" s="88"/>
    </row>
    <row r="1957" spans="1:16">
      <c r="A1957" s="94">
        <v>92272</v>
      </c>
      <c r="B1957" s="87" t="s">
        <v>5615</v>
      </c>
      <c r="C1957" s="12" t="s">
        <v>6</v>
      </c>
      <c r="D1957" s="93">
        <v>21.95</v>
      </c>
      <c r="E1957" s="93">
        <v>3.86</v>
      </c>
      <c r="F1957" s="93">
        <v>18.04</v>
      </c>
      <c r="G1957" s="93">
        <v>0</v>
      </c>
      <c r="H1957" s="93">
        <v>0</v>
      </c>
      <c r="N1957" s="88"/>
      <c r="O1957" s="88"/>
      <c r="P1957" s="88"/>
    </row>
    <row r="1958" spans="1:16">
      <c r="A1958" s="94">
        <v>92273</v>
      </c>
      <c r="B1958" s="87" t="s">
        <v>5616</v>
      </c>
      <c r="C1958" s="12" t="s">
        <v>6</v>
      </c>
      <c r="D1958" s="93">
        <v>9.9</v>
      </c>
      <c r="E1958" s="93">
        <v>2.54</v>
      </c>
      <c r="F1958" s="93">
        <v>7.35</v>
      </c>
      <c r="G1958" s="93">
        <v>0</v>
      </c>
      <c r="H1958" s="93">
        <v>0</v>
      </c>
      <c r="N1958" s="88"/>
      <c r="O1958" s="88"/>
      <c r="P1958" s="88"/>
    </row>
    <row r="1959" spans="1:16">
      <c r="A1959" s="94">
        <v>92409</v>
      </c>
      <c r="B1959" s="87" t="s">
        <v>5617</v>
      </c>
      <c r="C1959" s="12" t="s">
        <v>9</v>
      </c>
      <c r="D1959" s="93">
        <v>189.61</v>
      </c>
      <c r="E1959" s="93">
        <v>76.430000000000007</v>
      </c>
      <c r="F1959" s="93">
        <v>113.06</v>
      </c>
      <c r="G1959" s="93">
        <v>0</v>
      </c>
      <c r="H1959" s="93">
        <v>0</v>
      </c>
      <c r="N1959" s="88"/>
      <c r="O1959" s="88"/>
      <c r="P1959" s="88"/>
    </row>
    <row r="1960" spans="1:16">
      <c r="A1960" s="94">
        <v>92411</v>
      </c>
      <c r="B1960" s="87" t="s">
        <v>5618</v>
      </c>
      <c r="C1960" s="12" t="s">
        <v>9</v>
      </c>
      <c r="D1960" s="93">
        <v>125.92</v>
      </c>
      <c r="E1960" s="93">
        <v>61.11</v>
      </c>
      <c r="F1960" s="93">
        <v>64.75</v>
      </c>
      <c r="G1960" s="93">
        <v>0</v>
      </c>
      <c r="H1960" s="93">
        <v>0</v>
      </c>
      <c r="N1960" s="88"/>
      <c r="O1960" s="88"/>
      <c r="P1960" s="88"/>
    </row>
    <row r="1961" spans="1:16">
      <c r="A1961" s="94">
        <v>92413</v>
      </c>
      <c r="B1961" s="87" t="s">
        <v>5619</v>
      </c>
      <c r="C1961" s="12" t="s">
        <v>9</v>
      </c>
      <c r="D1961" s="93">
        <v>82.11</v>
      </c>
      <c r="E1961" s="93">
        <v>44.74</v>
      </c>
      <c r="F1961" s="93">
        <v>37.340000000000003</v>
      </c>
      <c r="G1961" s="93">
        <v>0</v>
      </c>
      <c r="H1961" s="93">
        <v>0</v>
      </c>
      <c r="N1961" s="88"/>
      <c r="O1961" s="88"/>
      <c r="P1961" s="88"/>
    </row>
    <row r="1962" spans="1:16">
      <c r="A1962" s="94">
        <v>92415</v>
      </c>
      <c r="B1962" s="87" t="s">
        <v>5620</v>
      </c>
      <c r="C1962" s="12" t="s">
        <v>9</v>
      </c>
      <c r="D1962" s="93">
        <v>89.71</v>
      </c>
      <c r="E1962" s="93">
        <v>37.74</v>
      </c>
      <c r="F1962" s="93">
        <v>43.29</v>
      </c>
      <c r="G1962" s="93">
        <v>8.6</v>
      </c>
      <c r="H1962" s="93">
        <v>0</v>
      </c>
      <c r="N1962" s="88"/>
      <c r="O1962" s="88"/>
      <c r="P1962" s="88"/>
    </row>
    <row r="1963" spans="1:16">
      <c r="A1963" s="94">
        <v>92417</v>
      </c>
      <c r="B1963" s="87" t="s">
        <v>5621</v>
      </c>
      <c r="C1963" s="12" t="s">
        <v>9</v>
      </c>
      <c r="D1963" s="93">
        <v>107.73</v>
      </c>
      <c r="E1963" s="93">
        <v>51.93</v>
      </c>
      <c r="F1963" s="93">
        <v>47.12</v>
      </c>
      <c r="G1963" s="93">
        <v>8.6</v>
      </c>
      <c r="H1963" s="93">
        <v>0</v>
      </c>
      <c r="N1963" s="88"/>
      <c r="O1963" s="88"/>
      <c r="P1963" s="88"/>
    </row>
    <row r="1964" spans="1:16">
      <c r="A1964" s="94">
        <v>92419</v>
      </c>
      <c r="B1964" s="87" t="s">
        <v>5622</v>
      </c>
      <c r="C1964" s="12" t="s">
        <v>9</v>
      </c>
      <c r="D1964" s="93">
        <v>56.89</v>
      </c>
      <c r="E1964" s="93">
        <v>24.84</v>
      </c>
      <c r="F1964" s="93">
        <v>23.39</v>
      </c>
      <c r="G1964" s="93">
        <v>8.6199999999999992</v>
      </c>
      <c r="H1964" s="93">
        <v>0</v>
      </c>
      <c r="N1964" s="88"/>
      <c r="O1964" s="88"/>
      <c r="P1964" s="88"/>
    </row>
    <row r="1965" spans="1:16">
      <c r="A1965" s="94">
        <v>92421</v>
      </c>
      <c r="B1965" s="87" t="s">
        <v>5623</v>
      </c>
      <c r="C1965" s="12" t="s">
        <v>9</v>
      </c>
      <c r="D1965" s="93">
        <v>70.69</v>
      </c>
      <c r="E1965" s="93">
        <v>35.700000000000003</v>
      </c>
      <c r="F1965" s="93">
        <v>26.34</v>
      </c>
      <c r="G1965" s="93">
        <v>8.61</v>
      </c>
      <c r="H1965" s="93">
        <v>0</v>
      </c>
      <c r="N1965" s="88"/>
      <c r="O1965" s="88"/>
      <c r="P1965" s="88"/>
    </row>
    <row r="1966" spans="1:16">
      <c r="A1966" s="94">
        <v>92423</v>
      </c>
      <c r="B1966" s="87" t="s">
        <v>5624</v>
      </c>
      <c r="C1966" s="12" t="s">
        <v>9</v>
      </c>
      <c r="D1966" s="93">
        <v>46.49</v>
      </c>
      <c r="E1966" s="93">
        <v>20.36</v>
      </c>
      <c r="F1966" s="93">
        <v>17.47</v>
      </c>
      <c r="G1966" s="93">
        <v>8.6300000000000008</v>
      </c>
      <c r="H1966" s="93">
        <v>0</v>
      </c>
      <c r="N1966" s="88"/>
      <c r="O1966" s="88"/>
      <c r="P1966" s="88"/>
    </row>
    <row r="1967" spans="1:16">
      <c r="A1967" s="94">
        <v>92425</v>
      </c>
      <c r="B1967" s="87" t="s">
        <v>5625</v>
      </c>
      <c r="C1967" s="12" t="s">
        <v>9</v>
      </c>
      <c r="D1967" s="93">
        <v>58.51</v>
      </c>
      <c r="E1967" s="93">
        <v>29.82</v>
      </c>
      <c r="F1967" s="93">
        <v>20.04</v>
      </c>
      <c r="G1967" s="93">
        <v>8.6199999999999992</v>
      </c>
      <c r="H1967" s="93">
        <v>0</v>
      </c>
      <c r="N1967" s="88"/>
      <c r="O1967" s="88"/>
      <c r="P1967" s="88"/>
    </row>
    <row r="1968" spans="1:16">
      <c r="A1968" s="94">
        <v>92427</v>
      </c>
      <c r="B1968" s="87" t="s">
        <v>5626</v>
      </c>
      <c r="C1968" s="12" t="s">
        <v>9</v>
      </c>
      <c r="D1968" s="93">
        <v>41.24</v>
      </c>
      <c r="E1968" s="93">
        <v>18.079999999999998</v>
      </c>
      <c r="F1968" s="93">
        <v>14.51</v>
      </c>
      <c r="G1968" s="93">
        <v>8.6300000000000008</v>
      </c>
      <c r="H1968" s="93">
        <v>0</v>
      </c>
      <c r="N1968" s="88"/>
      <c r="O1968" s="88"/>
      <c r="P1968" s="88"/>
    </row>
    <row r="1969" spans="1:16">
      <c r="A1969" s="94">
        <v>92429</v>
      </c>
      <c r="B1969" s="87" t="s">
        <v>5627</v>
      </c>
      <c r="C1969" s="12" t="s">
        <v>9</v>
      </c>
      <c r="D1969" s="93">
        <v>52.37</v>
      </c>
      <c r="E1969" s="93">
        <v>26.84</v>
      </c>
      <c r="F1969" s="93">
        <v>16.899999999999999</v>
      </c>
      <c r="G1969" s="93">
        <v>8.61</v>
      </c>
      <c r="H1969" s="93">
        <v>0</v>
      </c>
      <c r="N1969" s="88"/>
      <c r="O1969" s="88"/>
      <c r="P1969" s="88"/>
    </row>
    <row r="1970" spans="1:16">
      <c r="A1970" s="94">
        <v>92431</v>
      </c>
      <c r="B1970" s="87" t="s">
        <v>5628</v>
      </c>
      <c r="C1970" s="12" t="s">
        <v>9</v>
      </c>
      <c r="D1970" s="93">
        <v>38.01</v>
      </c>
      <c r="E1970" s="93">
        <v>16.07</v>
      </c>
      <c r="F1970" s="93">
        <v>13.31</v>
      </c>
      <c r="G1970" s="93">
        <v>8.6199999999999992</v>
      </c>
      <c r="H1970" s="93">
        <v>0</v>
      </c>
      <c r="N1970" s="88"/>
      <c r="O1970" s="88"/>
      <c r="P1970" s="88"/>
    </row>
    <row r="1971" spans="1:16">
      <c r="A1971" s="94">
        <v>92433</v>
      </c>
      <c r="B1971" s="87" t="s">
        <v>5629</v>
      </c>
      <c r="C1971" s="12" t="s">
        <v>9</v>
      </c>
      <c r="D1971" s="93">
        <v>48.59</v>
      </c>
      <c r="E1971" s="93">
        <v>24.39</v>
      </c>
      <c r="F1971" s="93">
        <v>15.58</v>
      </c>
      <c r="G1971" s="93">
        <v>8.61</v>
      </c>
      <c r="H1971" s="93">
        <v>0</v>
      </c>
      <c r="N1971" s="88"/>
      <c r="O1971" s="88"/>
      <c r="P1971" s="88"/>
    </row>
    <row r="1972" spans="1:16">
      <c r="A1972" s="94">
        <v>92435</v>
      </c>
      <c r="B1972" s="87" t="s">
        <v>5630</v>
      </c>
      <c r="C1972" s="12" t="s">
        <v>9</v>
      </c>
      <c r="D1972" s="93">
        <v>36.11</v>
      </c>
      <c r="E1972" s="93">
        <v>15.3</v>
      </c>
      <c r="F1972" s="93">
        <v>12.17</v>
      </c>
      <c r="G1972" s="93">
        <v>8.6300000000000008</v>
      </c>
      <c r="H1972" s="93">
        <v>0</v>
      </c>
      <c r="N1972" s="88"/>
      <c r="O1972" s="88"/>
      <c r="P1972" s="88"/>
    </row>
    <row r="1973" spans="1:16">
      <c r="A1973" s="94">
        <v>92437</v>
      </c>
      <c r="B1973" s="87" t="s">
        <v>5631</v>
      </c>
      <c r="C1973" s="12" t="s">
        <v>9</v>
      </c>
      <c r="D1973" s="93">
        <v>46.32</v>
      </c>
      <c r="E1973" s="93">
        <v>23.33</v>
      </c>
      <c r="F1973" s="93">
        <v>14.36</v>
      </c>
      <c r="G1973" s="93">
        <v>8.6199999999999992</v>
      </c>
      <c r="H1973" s="93">
        <v>0</v>
      </c>
      <c r="N1973" s="88"/>
      <c r="O1973" s="88"/>
      <c r="P1973" s="88"/>
    </row>
    <row r="1974" spans="1:16">
      <c r="A1974" s="94">
        <v>92439</v>
      </c>
      <c r="B1974" s="87" t="s">
        <v>5632</v>
      </c>
      <c r="C1974" s="12" t="s">
        <v>9</v>
      </c>
      <c r="D1974" s="93">
        <v>34.74</v>
      </c>
      <c r="E1974" s="93">
        <v>14.75</v>
      </c>
      <c r="F1974" s="93">
        <v>11.35</v>
      </c>
      <c r="G1974" s="93">
        <v>8.6300000000000008</v>
      </c>
      <c r="H1974" s="93">
        <v>0</v>
      </c>
      <c r="N1974" s="88"/>
      <c r="O1974" s="88"/>
      <c r="P1974" s="88"/>
    </row>
    <row r="1975" spans="1:16">
      <c r="A1975" s="94">
        <v>92441</v>
      </c>
      <c r="B1975" s="87" t="s">
        <v>5633</v>
      </c>
      <c r="C1975" s="12" t="s">
        <v>9</v>
      </c>
      <c r="D1975" s="93">
        <v>44.7</v>
      </c>
      <c r="E1975" s="93">
        <v>22.59</v>
      </c>
      <c r="F1975" s="93">
        <v>13.48</v>
      </c>
      <c r="G1975" s="93">
        <v>8.6199999999999992</v>
      </c>
      <c r="H1975" s="93">
        <v>0</v>
      </c>
      <c r="N1975" s="88"/>
      <c r="O1975" s="88"/>
      <c r="P1975" s="88"/>
    </row>
    <row r="1976" spans="1:16">
      <c r="A1976" s="94">
        <v>92443</v>
      </c>
      <c r="B1976" s="87" t="s">
        <v>5634</v>
      </c>
      <c r="C1976" s="12" t="s">
        <v>9</v>
      </c>
      <c r="D1976" s="93">
        <v>31.88</v>
      </c>
      <c r="E1976" s="93">
        <v>13.75</v>
      </c>
      <c r="F1976" s="93">
        <v>9.5</v>
      </c>
      <c r="G1976" s="93">
        <v>8.6199999999999992</v>
      </c>
      <c r="H1976" s="93">
        <v>0</v>
      </c>
      <c r="N1976" s="88"/>
      <c r="O1976" s="88"/>
      <c r="P1976" s="88"/>
    </row>
    <row r="1977" spans="1:16">
      <c r="A1977" s="94">
        <v>92445</v>
      </c>
      <c r="B1977" s="87" t="s">
        <v>5635</v>
      </c>
      <c r="C1977" s="12" t="s">
        <v>9</v>
      </c>
      <c r="D1977" s="93">
        <v>41.49</v>
      </c>
      <c r="E1977" s="93">
        <v>21.32</v>
      </c>
      <c r="F1977" s="93">
        <v>11.54</v>
      </c>
      <c r="G1977" s="93">
        <v>8.6199999999999992</v>
      </c>
      <c r="H1977" s="93">
        <v>0</v>
      </c>
      <c r="N1977" s="88"/>
      <c r="O1977" s="88"/>
      <c r="P1977" s="88"/>
    </row>
    <row r="1978" spans="1:16">
      <c r="A1978" s="94">
        <v>92446</v>
      </c>
      <c r="B1978" s="87" t="s">
        <v>5636</v>
      </c>
      <c r="C1978" s="12" t="s">
        <v>9</v>
      </c>
      <c r="D1978" s="93">
        <v>180.52</v>
      </c>
      <c r="E1978" s="93">
        <v>74.66</v>
      </c>
      <c r="F1978" s="93">
        <v>105.71</v>
      </c>
      <c r="G1978" s="93">
        <v>0</v>
      </c>
      <c r="H1978" s="93">
        <v>0</v>
      </c>
      <c r="N1978" s="88"/>
      <c r="O1978" s="88"/>
      <c r="P1978" s="88"/>
    </row>
    <row r="1979" spans="1:16">
      <c r="A1979" s="94">
        <v>92447</v>
      </c>
      <c r="B1979" s="87" t="s">
        <v>5637</v>
      </c>
      <c r="C1979" s="12" t="s">
        <v>9</v>
      </c>
      <c r="D1979" s="93">
        <v>128.88999999999999</v>
      </c>
      <c r="E1979" s="93">
        <v>57.42</v>
      </c>
      <c r="F1979" s="93">
        <v>71.38</v>
      </c>
      <c r="G1979" s="93">
        <v>0</v>
      </c>
      <c r="H1979" s="93">
        <v>0</v>
      </c>
      <c r="N1979" s="88"/>
      <c r="O1979" s="88"/>
      <c r="P1979" s="88"/>
    </row>
    <row r="1980" spans="1:16">
      <c r="A1980" s="94">
        <v>92448</v>
      </c>
      <c r="B1980" s="87" t="s">
        <v>5638</v>
      </c>
      <c r="C1980" s="12" t="s">
        <v>9</v>
      </c>
      <c r="D1980" s="93">
        <v>102.7</v>
      </c>
      <c r="E1980" s="93">
        <v>46.75</v>
      </c>
      <c r="F1980" s="93">
        <v>55.89</v>
      </c>
      <c r="G1980" s="93">
        <v>0</v>
      </c>
      <c r="H1980" s="93">
        <v>0</v>
      </c>
      <c r="N1980" s="88"/>
      <c r="O1980" s="88"/>
      <c r="P1980" s="88"/>
    </row>
    <row r="1981" spans="1:16">
      <c r="A1981" s="94">
        <v>92449</v>
      </c>
      <c r="B1981" s="87" t="s">
        <v>5639</v>
      </c>
      <c r="C1981" s="12" t="s">
        <v>9</v>
      </c>
      <c r="D1981" s="93">
        <v>173.44</v>
      </c>
      <c r="E1981" s="93">
        <v>61.57</v>
      </c>
      <c r="F1981" s="93">
        <v>111.62</v>
      </c>
      <c r="G1981" s="93">
        <v>0</v>
      </c>
      <c r="H1981" s="93">
        <v>0</v>
      </c>
      <c r="N1981" s="88"/>
      <c r="O1981" s="88"/>
      <c r="P1981" s="88"/>
    </row>
    <row r="1982" spans="1:16">
      <c r="A1982" s="94">
        <v>92450</v>
      </c>
      <c r="B1982" s="87" t="s">
        <v>5640</v>
      </c>
      <c r="C1982" s="12" t="s">
        <v>9</v>
      </c>
      <c r="D1982" s="93">
        <v>209.99</v>
      </c>
      <c r="E1982" s="93">
        <v>61.04</v>
      </c>
      <c r="F1982" s="93">
        <v>43.54</v>
      </c>
      <c r="G1982" s="93">
        <v>105.34</v>
      </c>
      <c r="H1982" s="93">
        <v>0</v>
      </c>
      <c r="N1982" s="88"/>
      <c r="O1982" s="88"/>
      <c r="P1982" s="88"/>
    </row>
    <row r="1983" spans="1:16">
      <c r="A1983" s="94">
        <v>92451</v>
      </c>
      <c r="B1983" s="87" t="s">
        <v>5641</v>
      </c>
      <c r="C1983" s="12" t="s">
        <v>9</v>
      </c>
      <c r="D1983" s="93">
        <v>118.37</v>
      </c>
      <c r="E1983" s="93">
        <v>44.09</v>
      </c>
      <c r="F1983" s="93">
        <v>74.12</v>
      </c>
      <c r="G1983" s="93">
        <v>0</v>
      </c>
      <c r="H1983" s="93">
        <v>0</v>
      </c>
      <c r="N1983" s="88"/>
      <c r="O1983" s="88"/>
      <c r="P1983" s="88"/>
    </row>
    <row r="1984" spans="1:16">
      <c r="A1984" s="94">
        <v>92452</v>
      </c>
      <c r="B1984" s="87" t="s">
        <v>5642</v>
      </c>
      <c r="C1984" s="12" t="s">
        <v>9</v>
      </c>
      <c r="D1984" s="93">
        <v>109.56</v>
      </c>
      <c r="E1984" s="93">
        <v>49.67</v>
      </c>
      <c r="F1984" s="93">
        <v>44.03</v>
      </c>
      <c r="G1984" s="93">
        <v>15.79</v>
      </c>
      <c r="H1984" s="93">
        <v>0</v>
      </c>
      <c r="N1984" s="88"/>
      <c r="O1984" s="88"/>
      <c r="P1984" s="88"/>
    </row>
    <row r="1985" spans="1:16">
      <c r="A1985" s="94">
        <v>92453</v>
      </c>
      <c r="B1985" s="87" t="s">
        <v>5643</v>
      </c>
      <c r="C1985" s="12" t="s">
        <v>9</v>
      </c>
      <c r="D1985" s="93">
        <v>149.38999999999999</v>
      </c>
      <c r="E1985" s="93">
        <v>53.39</v>
      </c>
      <c r="F1985" s="93">
        <v>95.79</v>
      </c>
      <c r="G1985" s="93">
        <v>0</v>
      </c>
      <c r="H1985" s="93">
        <v>0</v>
      </c>
      <c r="N1985" s="88"/>
      <c r="O1985" s="88"/>
      <c r="P1985" s="88"/>
    </row>
    <row r="1986" spans="1:16">
      <c r="A1986" s="94">
        <v>92454</v>
      </c>
      <c r="B1986" s="87" t="s">
        <v>5644</v>
      </c>
      <c r="C1986" s="12" t="s">
        <v>9</v>
      </c>
      <c r="D1986" s="93">
        <v>190.29</v>
      </c>
      <c r="E1986" s="93">
        <v>52.52</v>
      </c>
      <c r="F1986" s="93">
        <v>32.380000000000003</v>
      </c>
      <c r="G1986" s="93">
        <v>105.35</v>
      </c>
      <c r="H1986" s="93">
        <v>0</v>
      </c>
      <c r="N1986" s="88"/>
      <c r="O1986" s="88"/>
      <c r="P1986" s="88"/>
    </row>
    <row r="1987" spans="1:16">
      <c r="A1987" s="94">
        <v>92455</v>
      </c>
      <c r="B1987" s="87" t="s">
        <v>5645</v>
      </c>
      <c r="C1987" s="12" t="s">
        <v>9</v>
      </c>
      <c r="D1987" s="93">
        <v>97.82</v>
      </c>
      <c r="E1987" s="93">
        <v>37.04</v>
      </c>
      <c r="F1987" s="93">
        <v>60.66</v>
      </c>
      <c r="G1987" s="93">
        <v>0</v>
      </c>
      <c r="H1987" s="93">
        <v>0</v>
      </c>
      <c r="N1987" s="88"/>
      <c r="O1987" s="88"/>
      <c r="P1987" s="88"/>
    </row>
    <row r="1988" spans="1:16">
      <c r="A1988" s="94">
        <v>92456</v>
      </c>
      <c r="B1988" s="87" t="s">
        <v>5646</v>
      </c>
      <c r="C1988" s="12" t="s">
        <v>9</v>
      </c>
      <c r="D1988" s="93">
        <v>89.93</v>
      </c>
      <c r="E1988" s="93">
        <v>42.01</v>
      </c>
      <c r="F1988" s="93">
        <v>32.08</v>
      </c>
      <c r="G1988" s="93">
        <v>15.8</v>
      </c>
      <c r="H1988" s="93">
        <v>0</v>
      </c>
      <c r="N1988" s="88"/>
      <c r="O1988" s="88"/>
      <c r="P1988" s="88"/>
    </row>
    <row r="1989" spans="1:16">
      <c r="A1989" s="94">
        <v>92457</v>
      </c>
      <c r="B1989" s="87" t="s">
        <v>5647</v>
      </c>
      <c r="C1989" s="12" t="s">
        <v>9</v>
      </c>
      <c r="D1989" s="93">
        <v>130.04</v>
      </c>
      <c r="E1989" s="93">
        <v>46.86</v>
      </c>
      <c r="F1989" s="93">
        <v>83</v>
      </c>
      <c r="G1989" s="93">
        <v>0</v>
      </c>
      <c r="H1989" s="93">
        <v>0</v>
      </c>
      <c r="N1989" s="88"/>
      <c r="O1989" s="88"/>
      <c r="P1989" s="88"/>
    </row>
    <row r="1990" spans="1:16">
      <c r="A1990" s="94">
        <v>92458</v>
      </c>
      <c r="B1990" s="87" t="s">
        <v>2003</v>
      </c>
      <c r="C1990" s="12" t="s">
        <v>9</v>
      </c>
      <c r="D1990" s="93">
        <v>177.55</v>
      </c>
      <c r="E1990" s="93">
        <v>46.42</v>
      </c>
      <c r="F1990" s="93">
        <v>25.78</v>
      </c>
      <c r="G1990" s="93">
        <v>105.32</v>
      </c>
      <c r="H1990" s="93">
        <v>0</v>
      </c>
      <c r="N1990" s="88"/>
      <c r="O1990" s="88"/>
      <c r="P1990" s="88"/>
    </row>
    <row r="1991" spans="1:16">
      <c r="A1991" s="94">
        <v>92459</v>
      </c>
      <c r="B1991" s="87" t="s">
        <v>5648</v>
      </c>
      <c r="C1991" s="12" t="s">
        <v>9</v>
      </c>
      <c r="D1991" s="93">
        <v>83.32</v>
      </c>
      <c r="E1991" s="93">
        <v>31.95</v>
      </c>
      <c r="F1991" s="93">
        <v>51.27</v>
      </c>
      <c r="G1991" s="93">
        <v>0</v>
      </c>
      <c r="H1991" s="93">
        <v>0</v>
      </c>
      <c r="N1991" s="88"/>
      <c r="O1991" s="88"/>
      <c r="P1991" s="88"/>
    </row>
    <row r="1992" spans="1:16">
      <c r="A1992" s="94">
        <v>92460</v>
      </c>
      <c r="B1992" s="87" t="s">
        <v>5649</v>
      </c>
      <c r="C1992" s="12" t="s">
        <v>9</v>
      </c>
      <c r="D1992" s="93">
        <v>74.3</v>
      </c>
      <c r="E1992" s="93">
        <v>36.71</v>
      </c>
      <c r="F1992" s="93">
        <v>24.96</v>
      </c>
      <c r="G1992" s="93">
        <v>12.6</v>
      </c>
      <c r="H1992" s="93">
        <v>0</v>
      </c>
      <c r="N1992" s="88"/>
      <c r="O1992" s="88"/>
      <c r="P1992" s="88"/>
    </row>
    <row r="1993" spans="1:16">
      <c r="A1993" s="94">
        <v>92461</v>
      </c>
      <c r="B1993" s="87" t="s">
        <v>5650</v>
      </c>
      <c r="C1993" s="12" t="s">
        <v>9</v>
      </c>
      <c r="D1993" s="93">
        <v>119.86</v>
      </c>
      <c r="E1993" s="93">
        <v>42.81</v>
      </c>
      <c r="F1993" s="93">
        <v>76.89</v>
      </c>
      <c r="G1993" s="93">
        <v>0</v>
      </c>
      <c r="H1993" s="93">
        <v>0</v>
      </c>
      <c r="N1993" s="88"/>
      <c r="O1993" s="88"/>
      <c r="P1993" s="88"/>
    </row>
    <row r="1994" spans="1:16">
      <c r="A1994" s="94">
        <v>92462</v>
      </c>
      <c r="B1994" s="87" t="s">
        <v>5651</v>
      </c>
      <c r="C1994" s="12" t="s">
        <v>9</v>
      </c>
      <c r="D1994" s="93">
        <v>169.25</v>
      </c>
      <c r="E1994" s="93">
        <v>41.97</v>
      </c>
      <c r="F1994" s="93">
        <v>21.91</v>
      </c>
      <c r="G1994" s="93">
        <v>105.35</v>
      </c>
      <c r="H1994" s="93">
        <v>0</v>
      </c>
      <c r="N1994" s="88"/>
      <c r="O1994" s="88"/>
      <c r="P1994" s="88"/>
    </row>
    <row r="1995" spans="1:16">
      <c r="A1995" s="94">
        <v>92463</v>
      </c>
      <c r="B1995" s="87" t="s">
        <v>5652</v>
      </c>
      <c r="C1995" s="12" t="s">
        <v>9</v>
      </c>
      <c r="D1995" s="93">
        <v>75.48</v>
      </c>
      <c r="E1995" s="93">
        <v>28.78</v>
      </c>
      <c r="F1995" s="93">
        <v>46.61</v>
      </c>
      <c r="G1995" s="93">
        <v>0</v>
      </c>
      <c r="H1995" s="93">
        <v>0</v>
      </c>
      <c r="N1995" s="88"/>
      <c r="O1995" s="88"/>
      <c r="P1995" s="88"/>
    </row>
    <row r="1996" spans="1:16">
      <c r="A1996" s="94">
        <v>92464</v>
      </c>
      <c r="B1996" s="87" t="s">
        <v>5653</v>
      </c>
      <c r="C1996" s="12" t="s">
        <v>9</v>
      </c>
      <c r="D1996" s="93">
        <v>69.78</v>
      </c>
      <c r="E1996" s="93">
        <v>33.01</v>
      </c>
      <c r="F1996" s="93">
        <v>20.94</v>
      </c>
      <c r="G1996" s="93">
        <v>15.81</v>
      </c>
      <c r="H1996" s="93">
        <v>0</v>
      </c>
      <c r="N1996" s="88"/>
      <c r="O1996" s="88"/>
      <c r="P1996" s="88"/>
    </row>
    <row r="1997" spans="1:16">
      <c r="A1997" s="94">
        <v>92465</v>
      </c>
      <c r="B1997" s="87" t="s">
        <v>5654</v>
      </c>
      <c r="C1997" s="12" t="s">
        <v>9</v>
      </c>
      <c r="D1997" s="93">
        <v>95.56</v>
      </c>
      <c r="E1997" s="93">
        <v>35.67</v>
      </c>
      <c r="F1997" s="93">
        <v>59.78</v>
      </c>
      <c r="G1997" s="93">
        <v>0</v>
      </c>
      <c r="H1997" s="93">
        <v>0</v>
      </c>
      <c r="N1997" s="88"/>
      <c r="O1997" s="88"/>
      <c r="P1997" s="88"/>
    </row>
    <row r="1998" spans="1:16">
      <c r="A1998" s="94">
        <v>92466</v>
      </c>
      <c r="B1998" s="87" t="s">
        <v>5655</v>
      </c>
      <c r="C1998" s="12" t="s">
        <v>9</v>
      </c>
      <c r="D1998" s="93">
        <v>163.43</v>
      </c>
      <c r="E1998" s="93">
        <v>37.51</v>
      </c>
      <c r="F1998" s="93">
        <v>20.6</v>
      </c>
      <c r="G1998" s="93">
        <v>105.31</v>
      </c>
      <c r="H1998" s="93">
        <v>0</v>
      </c>
      <c r="N1998" s="88"/>
      <c r="O1998" s="88"/>
      <c r="P1998" s="88"/>
    </row>
    <row r="1999" spans="1:16">
      <c r="A1999" s="94">
        <v>92467</v>
      </c>
      <c r="B1999" s="87" t="s">
        <v>5656</v>
      </c>
      <c r="C1999" s="12" t="s">
        <v>9</v>
      </c>
      <c r="D1999" s="93">
        <v>61.75</v>
      </c>
      <c r="E1999" s="93">
        <v>24.01</v>
      </c>
      <c r="F1999" s="93">
        <v>37.68</v>
      </c>
      <c r="G1999" s="93">
        <v>0</v>
      </c>
      <c r="H1999" s="93">
        <v>0</v>
      </c>
      <c r="N1999" s="88"/>
      <c r="O1999" s="88"/>
      <c r="P1999" s="88"/>
    </row>
    <row r="2000" spans="1:16">
      <c r="A2000" s="94">
        <v>92468</v>
      </c>
      <c r="B2000" s="87" t="s">
        <v>5657</v>
      </c>
      <c r="C2000" s="12" t="s">
        <v>9</v>
      </c>
      <c r="D2000" s="93">
        <v>64.400000000000006</v>
      </c>
      <c r="E2000" s="93">
        <v>29.21</v>
      </c>
      <c r="F2000" s="93">
        <v>19.38</v>
      </c>
      <c r="G2000" s="93">
        <v>15.8</v>
      </c>
      <c r="H2000" s="93">
        <v>0</v>
      </c>
      <c r="N2000" s="88"/>
      <c r="O2000" s="88"/>
      <c r="P2000" s="88"/>
    </row>
    <row r="2001" spans="1:16">
      <c r="A2001" s="94">
        <v>92469</v>
      </c>
      <c r="B2001" s="87" t="s">
        <v>5658</v>
      </c>
      <c r="C2001" s="12" t="s">
        <v>9</v>
      </c>
      <c r="D2001" s="93">
        <v>87.02</v>
      </c>
      <c r="E2001" s="93">
        <v>32.64</v>
      </c>
      <c r="F2001" s="93">
        <v>54.28</v>
      </c>
      <c r="G2001" s="93">
        <v>0</v>
      </c>
      <c r="H2001" s="93">
        <v>0</v>
      </c>
      <c r="N2001" s="88"/>
      <c r="O2001" s="88"/>
      <c r="P2001" s="88"/>
    </row>
    <row r="2002" spans="1:16">
      <c r="A2002" s="94">
        <v>92470</v>
      </c>
      <c r="B2002" s="87" t="s">
        <v>5659</v>
      </c>
      <c r="C2002" s="12" t="s">
        <v>9</v>
      </c>
      <c r="D2002" s="93">
        <v>158.65</v>
      </c>
      <c r="E2002" s="93">
        <v>34.54</v>
      </c>
      <c r="F2002" s="93">
        <v>18.760000000000002</v>
      </c>
      <c r="G2002" s="93">
        <v>105.34</v>
      </c>
      <c r="H2002" s="93">
        <v>0</v>
      </c>
      <c r="N2002" s="88"/>
      <c r="O2002" s="88"/>
      <c r="P2002" s="88"/>
    </row>
    <row r="2003" spans="1:16">
      <c r="A2003" s="94">
        <v>92471</v>
      </c>
      <c r="B2003" s="87" t="s">
        <v>5660</v>
      </c>
      <c r="C2003" s="12" t="s">
        <v>9</v>
      </c>
      <c r="D2003" s="93">
        <v>56.31</v>
      </c>
      <c r="E2003" s="93">
        <v>21.99</v>
      </c>
      <c r="F2003" s="93">
        <v>34.270000000000003</v>
      </c>
      <c r="G2003" s="93">
        <v>0</v>
      </c>
      <c r="H2003" s="93">
        <v>0</v>
      </c>
      <c r="N2003" s="88"/>
      <c r="O2003" s="88"/>
      <c r="P2003" s="88"/>
    </row>
    <row r="2004" spans="1:16">
      <c r="A2004" s="94">
        <v>92472</v>
      </c>
      <c r="B2004" s="87" t="s">
        <v>5661</v>
      </c>
      <c r="C2004" s="12" t="s">
        <v>9</v>
      </c>
      <c r="D2004" s="93">
        <v>60.3</v>
      </c>
      <c r="E2004" s="93">
        <v>26.87</v>
      </c>
      <c r="F2004" s="93">
        <v>17.61</v>
      </c>
      <c r="G2004" s="93">
        <v>15.81</v>
      </c>
      <c r="H2004" s="93">
        <v>0</v>
      </c>
      <c r="N2004" s="88"/>
      <c r="O2004" s="88"/>
      <c r="P2004" s="88"/>
    </row>
    <row r="2005" spans="1:16">
      <c r="A2005" s="94">
        <v>92473</v>
      </c>
      <c r="B2005" s="87" t="s">
        <v>5662</v>
      </c>
      <c r="C2005" s="12" t="s">
        <v>9</v>
      </c>
      <c r="D2005" s="93">
        <v>80.06</v>
      </c>
      <c r="E2005" s="93">
        <v>30</v>
      </c>
      <c r="F2005" s="93">
        <v>49.97</v>
      </c>
      <c r="G2005" s="93">
        <v>0</v>
      </c>
      <c r="H2005" s="93">
        <v>0</v>
      </c>
      <c r="N2005" s="88"/>
      <c r="O2005" s="88"/>
      <c r="P2005" s="88"/>
    </row>
    <row r="2006" spans="1:16">
      <c r="A2006" s="94">
        <v>92474</v>
      </c>
      <c r="B2006" s="87" t="s">
        <v>5663</v>
      </c>
      <c r="C2006" s="12" t="s">
        <v>9</v>
      </c>
      <c r="D2006" s="93">
        <v>154.49</v>
      </c>
      <c r="E2006" s="93">
        <v>31.89</v>
      </c>
      <c r="F2006" s="93">
        <v>17.260000000000002</v>
      </c>
      <c r="G2006" s="93">
        <v>105.33</v>
      </c>
      <c r="H2006" s="93">
        <v>0</v>
      </c>
      <c r="N2006" s="88"/>
      <c r="O2006" s="88"/>
      <c r="P2006" s="88"/>
    </row>
    <row r="2007" spans="1:16">
      <c r="A2007" s="94">
        <v>92475</v>
      </c>
      <c r="B2007" s="87" t="s">
        <v>5664</v>
      </c>
      <c r="C2007" s="12" t="s">
        <v>9</v>
      </c>
      <c r="D2007" s="93">
        <v>51.86</v>
      </c>
      <c r="E2007" s="93">
        <v>20.21</v>
      </c>
      <c r="F2007" s="93">
        <v>31.6</v>
      </c>
      <c r="G2007" s="93">
        <v>0</v>
      </c>
      <c r="H2007" s="93">
        <v>0</v>
      </c>
      <c r="N2007" s="88"/>
      <c r="O2007" s="88"/>
      <c r="P2007" s="88"/>
    </row>
    <row r="2008" spans="1:16">
      <c r="A2008" s="94">
        <v>92476</v>
      </c>
      <c r="B2008" s="87" t="s">
        <v>5665</v>
      </c>
      <c r="C2008" s="12" t="s">
        <v>9</v>
      </c>
      <c r="D2008" s="93">
        <v>56.8</v>
      </c>
      <c r="E2008" s="93">
        <v>24.81</v>
      </c>
      <c r="F2008" s="93">
        <v>16.170000000000002</v>
      </c>
      <c r="G2008" s="93">
        <v>15.81</v>
      </c>
      <c r="H2008" s="93">
        <v>0</v>
      </c>
      <c r="N2008" s="88"/>
      <c r="O2008" s="88"/>
      <c r="P2008" s="88"/>
    </row>
    <row r="2009" spans="1:16">
      <c r="A2009" s="94">
        <v>92477</v>
      </c>
      <c r="B2009" s="87" t="s">
        <v>5666</v>
      </c>
      <c r="C2009" s="12" t="s">
        <v>9</v>
      </c>
      <c r="D2009" s="93">
        <v>65.349999999999994</v>
      </c>
      <c r="E2009" s="93">
        <v>24.91</v>
      </c>
      <c r="F2009" s="93">
        <v>40.369999999999997</v>
      </c>
      <c r="G2009" s="93">
        <v>0</v>
      </c>
      <c r="H2009" s="93">
        <v>0</v>
      </c>
      <c r="N2009" s="88"/>
      <c r="O2009" s="88"/>
      <c r="P2009" s="88"/>
    </row>
    <row r="2010" spans="1:16">
      <c r="A2010" s="94">
        <v>92478</v>
      </c>
      <c r="B2010" s="87" t="s">
        <v>5667</v>
      </c>
      <c r="C2010" s="12" t="s">
        <v>9</v>
      </c>
      <c r="D2010" s="93">
        <v>146.4</v>
      </c>
      <c r="E2010" s="93">
        <v>26.98</v>
      </c>
      <c r="F2010" s="93">
        <v>14.08</v>
      </c>
      <c r="G2010" s="93">
        <v>105.33</v>
      </c>
      <c r="H2010" s="93">
        <v>0</v>
      </c>
      <c r="N2010" s="88"/>
      <c r="O2010" s="88"/>
      <c r="P2010" s="88"/>
    </row>
    <row r="2011" spans="1:16">
      <c r="A2011" s="94">
        <v>92479</v>
      </c>
      <c r="B2011" s="87" t="s">
        <v>5668</v>
      </c>
      <c r="C2011" s="12" t="s">
        <v>9</v>
      </c>
      <c r="D2011" s="93">
        <v>42.46</v>
      </c>
      <c r="E2011" s="93">
        <v>16.8</v>
      </c>
      <c r="F2011" s="93">
        <v>25.62</v>
      </c>
      <c r="G2011" s="93">
        <v>0</v>
      </c>
      <c r="H2011" s="93">
        <v>0</v>
      </c>
      <c r="N2011" s="88"/>
      <c r="O2011" s="88"/>
      <c r="P2011" s="88"/>
    </row>
    <row r="2012" spans="1:16">
      <c r="A2012" s="94">
        <v>92480</v>
      </c>
      <c r="B2012" s="87" t="s">
        <v>5669</v>
      </c>
      <c r="C2012" s="12" t="s">
        <v>9</v>
      </c>
      <c r="D2012" s="93">
        <v>49.89</v>
      </c>
      <c r="E2012" s="93">
        <v>20.97</v>
      </c>
      <c r="F2012" s="93">
        <v>13.1</v>
      </c>
      <c r="G2012" s="93">
        <v>15.81</v>
      </c>
      <c r="H2012" s="93">
        <v>0</v>
      </c>
      <c r="N2012" s="88"/>
      <c r="O2012" s="88"/>
      <c r="P2012" s="88"/>
    </row>
    <row r="2013" spans="1:16">
      <c r="A2013" s="94">
        <v>92482</v>
      </c>
      <c r="B2013" s="87" t="s">
        <v>5670</v>
      </c>
      <c r="C2013" s="12" t="s">
        <v>9</v>
      </c>
      <c r="D2013" s="93">
        <v>195.45</v>
      </c>
      <c r="E2013" s="93">
        <v>81.23</v>
      </c>
      <c r="F2013" s="93">
        <v>114.21</v>
      </c>
      <c r="G2013" s="93">
        <v>0</v>
      </c>
      <c r="H2013" s="93">
        <v>0</v>
      </c>
      <c r="N2013" s="88"/>
      <c r="O2013" s="88"/>
      <c r="P2013" s="88"/>
    </row>
    <row r="2014" spans="1:16">
      <c r="A2014" s="94">
        <v>92484</v>
      </c>
      <c r="B2014" s="87" t="s">
        <v>5671</v>
      </c>
      <c r="C2014" s="12" t="s">
        <v>9</v>
      </c>
      <c r="D2014" s="93">
        <v>147.47999999999999</v>
      </c>
      <c r="E2014" s="93">
        <v>71.73</v>
      </c>
      <c r="F2014" s="93">
        <v>75.739999999999995</v>
      </c>
      <c r="G2014" s="93">
        <v>0</v>
      </c>
      <c r="H2014" s="93">
        <v>0</v>
      </c>
      <c r="N2014" s="88"/>
      <c r="O2014" s="88"/>
      <c r="P2014" s="88"/>
    </row>
    <row r="2015" spans="1:16">
      <c r="A2015" s="94">
        <v>92486</v>
      </c>
      <c r="B2015" s="87" t="s">
        <v>5672</v>
      </c>
      <c r="C2015" s="12" t="s">
        <v>9</v>
      </c>
      <c r="D2015" s="93">
        <v>105.82</v>
      </c>
      <c r="E2015" s="93">
        <v>55.56</v>
      </c>
      <c r="F2015" s="93">
        <v>50.25</v>
      </c>
      <c r="G2015" s="93">
        <v>0</v>
      </c>
      <c r="H2015" s="93">
        <v>0</v>
      </c>
      <c r="N2015" s="88"/>
      <c r="O2015" s="88"/>
      <c r="P2015" s="88"/>
    </row>
    <row r="2016" spans="1:16">
      <c r="A2016" s="94">
        <v>92488</v>
      </c>
      <c r="B2016" s="87" t="s">
        <v>5673</v>
      </c>
      <c r="C2016" s="12" t="s">
        <v>9</v>
      </c>
      <c r="D2016" s="93">
        <v>65.900000000000006</v>
      </c>
      <c r="E2016" s="93">
        <v>23.56</v>
      </c>
      <c r="F2016" s="93">
        <v>13.21</v>
      </c>
      <c r="G2016" s="93">
        <v>29.13</v>
      </c>
      <c r="H2016" s="93">
        <v>0</v>
      </c>
      <c r="N2016" s="88"/>
      <c r="O2016" s="88"/>
      <c r="P2016" s="88"/>
    </row>
    <row r="2017" spans="1:16">
      <c r="A2017" s="94">
        <v>92490</v>
      </c>
      <c r="B2017" s="87" t="s">
        <v>5674</v>
      </c>
      <c r="C2017" s="12" t="s">
        <v>9</v>
      </c>
      <c r="D2017" s="93">
        <v>38.619999999999997</v>
      </c>
      <c r="E2017" s="93">
        <v>16.91</v>
      </c>
      <c r="F2017" s="93">
        <v>11.37</v>
      </c>
      <c r="G2017" s="93">
        <v>10.34</v>
      </c>
      <c r="H2017" s="93">
        <v>0</v>
      </c>
      <c r="N2017" s="88"/>
      <c r="O2017" s="88"/>
      <c r="P2017" s="88"/>
    </row>
    <row r="2018" spans="1:16">
      <c r="A2018" s="94">
        <v>92492</v>
      </c>
      <c r="B2018" s="87" t="s">
        <v>5675</v>
      </c>
      <c r="C2018" s="12" t="s">
        <v>9</v>
      </c>
      <c r="D2018" s="93">
        <v>63.47</v>
      </c>
      <c r="E2018" s="93">
        <v>22.38</v>
      </c>
      <c r="F2018" s="93">
        <v>11.95</v>
      </c>
      <c r="G2018" s="93">
        <v>29.14</v>
      </c>
      <c r="H2018" s="93">
        <v>0</v>
      </c>
      <c r="N2018" s="88"/>
      <c r="O2018" s="88"/>
      <c r="P2018" s="88"/>
    </row>
    <row r="2019" spans="1:16">
      <c r="A2019" s="94">
        <v>92494</v>
      </c>
      <c r="B2019" s="87" t="s">
        <v>5676</v>
      </c>
      <c r="C2019" s="12" t="s">
        <v>9</v>
      </c>
      <c r="D2019" s="93">
        <v>36.6</v>
      </c>
      <c r="E2019" s="93">
        <v>16.04</v>
      </c>
      <c r="F2019" s="93">
        <v>10.210000000000001</v>
      </c>
      <c r="G2019" s="93">
        <v>10.35</v>
      </c>
      <c r="H2019" s="93">
        <v>0</v>
      </c>
      <c r="N2019" s="88"/>
      <c r="O2019" s="88"/>
      <c r="P2019" s="88"/>
    </row>
    <row r="2020" spans="1:16">
      <c r="A2020" s="94">
        <v>92496</v>
      </c>
      <c r="B2020" s="87" t="s">
        <v>5677</v>
      </c>
      <c r="C2020" s="12" t="s">
        <v>9</v>
      </c>
      <c r="D2020" s="93">
        <v>61.84</v>
      </c>
      <c r="E2020" s="93">
        <v>21.61</v>
      </c>
      <c r="F2020" s="93">
        <v>11.08</v>
      </c>
      <c r="G2020" s="93">
        <v>29.15</v>
      </c>
      <c r="H2020" s="93">
        <v>0</v>
      </c>
      <c r="N2020" s="88"/>
      <c r="O2020" s="88"/>
      <c r="P2020" s="88"/>
    </row>
    <row r="2021" spans="1:16">
      <c r="A2021" s="94">
        <v>92498</v>
      </c>
      <c r="B2021" s="87" t="s">
        <v>5678</v>
      </c>
      <c r="C2021" s="12" t="s">
        <v>9</v>
      </c>
      <c r="D2021" s="93">
        <v>35.229999999999997</v>
      </c>
      <c r="E2021" s="93">
        <v>15.48</v>
      </c>
      <c r="F2021" s="93">
        <v>9.4</v>
      </c>
      <c r="G2021" s="93">
        <v>10.35</v>
      </c>
      <c r="H2021" s="93">
        <v>0</v>
      </c>
      <c r="N2021" s="88"/>
      <c r="O2021" s="88"/>
      <c r="P2021" s="88"/>
    </row>
    <row r="2022" spans="1:16">
      <c r="A2022" s="94">
        <v>92500</v>
      </c>
      <c r="B2022" s="87" t="s">
        <v>5679</v>
      </c>
      <c r="C2022" s="12" t="s">
        <v>9</v>
      </c>
      <c r="D2022" s="93">
        <v>60.85</v>
      </c>
      <c r="E2022" s="93">
        <v>21.06</v>
      </c>
      <c r="F2022" s="93">
        <v>10.65</v>
      </c>
      <c r="G2022" s="93">
        <v>29.14</v>
      </c>
      <c r="H2022" s="93">
        <v>0</v>
      </c>
      <c r="N2022" s="88"/>
      <c r="O2022" s="88"/>
      <c r="P2022" s="88"/>
    </row>
    <row r="2023" spans="1:16">
      <c r="A2023" s="94">
        <v>92502</v>
      </c>
      <c r="B2023" s="87" t="s">
        <v>5680</v>
      </c>
      <c r="C2023" s="12" t="s">
        <v>9</v>
      </c>
      <c r="D2023" s="93">
        <v>34.43</v>
      </c>
      <c r="E2023" s="93">
        <v>15.07</v>
      </c>
      <c r="F2023" s="93">
        <v>9.01</v>
      </c>
      <c r="G2023" s="93">
        <v>10.35</v>
      </c>
      <c r="H2023" s="93">
        <v>0</v>
      </c>
      <c r="N2023" s="88"/>
      <c r="O2023" s="88"/>
      <c r="P2023" s="88"/>
    </row>
    <row r="2024" spans="1:16">
      <c r="A2024" s="94">
        <v>92504</v>
      </c>
      <c r="B2024" s="87" t="s">
        <v>5681</v>
      </c>
      <c r="C2024" s="12" t="s">
        <v>9</v>
      </c>
      <c r="D2024" s="93">
        <v>40.43</v>
      </c>
      <c r="E2024" s="93">
        <v>20.329999999999998</v>
      </c>
      <c r="F2024" s="93">
        <v>9.84</v>
      </c>
      <c r="G2024" s="93">
        <v>10.26</v>
      </c>
      <c r="H2024" s="93">
        <v>0</v>
      </c>
      <c r="N2024" s="88"/>
      <c r="O2024" s="88"/>
      <c r="P2024" s="88"/>
    </row>
    <row r="2025" spans="1:16">
      <c r="A2025" s="94">
        <v>92506</v>
      </c>
      <c r="B2025" s="87" t="s">
        <v>5682</v>
      </c>
      <c r="C2025" s="12" t="s">
        <v>9</v>
      </c>
      <c r="D2025" s="93">
        <v>33.119999999999997</v>
      </c>
      <c r="E2025" s="93">
        <v>14.51</v>
      </c>
      <c r="F2025" s="93">
        <v>8.26</v>
      </c>
      <c r="G2025" s="93">
        <v>10.35</v>
      </c>
      <c r="H2025" s="93">
        <v>0</v>
      </c>
      <c r="N2025" s="88"/>
      <c r="O2025" s="88"/>
      <c r="P2025" s="88"/>
    </row>
    <row r="2026" spans="1:16">
      <c r="A2026" s="94">
        <v>92508</v>
      </c>
      <c r="B2026" s="87" t="s">
        <v>5683</v>
      </c>
      <c r="C2026" s="12" t="s">
        <v>9</v>
      </c>
      <c r="D2026" s="93">
        <v>67.92</v>
      </c>
      <c r="E2026" s="93">
        <v>23.51</v>
      </c>
      <c r="F2026" s="93">
        <v>23.44</v>
      </c>
      <c r="G2026" s="93">
        <v>20.97</v>
      </c>
      <c r="H2026" s="93">
        <v>0</v>
      </c>
      <c r="N2026" s="88"/>
      <c r="O2026" s="88"/>
      <c r="P2026" s="88"/>
    </row>
    <row r="2027" spans="1:16">
      <c r="A2027" s="94">
        <v>92510</v>
      </c>
      <c r="B2027" s="87" t="s">
        <v>5684</v>
      </c>
      <c r="C2027" s="12" t="s">
        <v>9</v>
      </c>
      <c r="D2027" s="93">
        <v>36.75</v>
      </c>
      <c r="E2027" s="93">
        <v>13.74</v>
      </c>
      <c r="F2027" s="93">
        <v>20.84</v>
      </c>
      <c r="G2027" s="93">
        <v>2.17</v>
      </c>
      <c r="H2027" s="93">
        <v>0</v>
      </c>
      <c r="N2027" s="88"/>
      <c r="O2027" s="88"/>
      <c r="P2027" s="88"/>
    </row>
    <row r="2028" spans="1:16">
      <c r="A2028" s="94">
        <v>92512</v>
      </c>
      <c r="B2028" s="87" t="s">
        <v>5685</v>
      </c>
      <c r="C2028" s="12" t="s">
        <v>9</v>
      </c>
      <c r="D2028" s="93">
        <v>54.8</v>
      </c>
      <c r="E2028" s="93">
        <v>18.010000000000002</v>
      </c>
      <c r="F2028" s="93">
        <v>15.8</v>
      </c>
      <c r="G2028" s="93">
        <v>20.99</v>
      </c>
      <c r="H2028" s="93">
        <v>0</v>
      </c>
      <c r="N2028" s="88"/>
      <c r="O2028" s="88"/>
      <c r="P2028" s="88"/>
    </row>
    <row r="2029" spans="1:16">
      <c r="A2029" s="94">
        <v>92514</v>
      </c>
      <c r="B2029" s="87" t="s">
        <v>5686</v>
      </c>
      <c r="C2029" s="12" t="s">
        <v>9</v>
      </c>
      <c r="D2029" s="93">
        <v>26.48</v>
      </c>
      <c r="E2029" s="93">
        <v>10.5</v>
      </c>
      <c r="F2029" s="93">
        <v>13.8</v>
      </c>
      <c r="G2029" s="93">
        <v>2.1800000000000002</v>
      </c>
      <c r="H2029" s="93">
        <v>0</v>
      </c>
      <c r="N2029" s="88"/>
      <c r="O2029" s="88"/>
      <c r="P2029" s="88"/>
    </row>
    <row r="2030" spans="1:16">
      <c r="A2030" s="94">
        <v>92515</v>
      </c>
      <c r="B2030" s="87" t="s">
        <v>5687</v>
      </c>
      <c r="C2030" s="12" t="s">
        <v>9</v>
      </c>
      <c r="D2030" s="93">
        <v>49.26</v>
      </c>
      <c r="E2030" s="93">
        <v>15.61</v>
      </c>
      <c r="F2030" s="93">
        <v>12.65</v>
      </c>
      <c r="G2030" s="93">
        <v>21</v>
      </c>
      <c r="H2030" s="93">
        <v>0</v>
      </c>
      <c r="N2030" s="88"/>
      <c r="O2030" s="88"/>
      <c r="P2030" s="88"/>
    </row>
    <row r="2031" spans="1:16">
      <c r="A2031" s="94">
        <v>92518</v>
      </c>
      <c r="B2031" s="87" t="s">
        <v>5688</v>
      </c>
      <c r="C2031" s="12" t="s">
        <v>9</v>
      </c>
      <c r="D2031" s="93">
        <v>22.19</v>
      </c>
      <c r="E2031" s="93">
        <v>9.1</v>
      </c>
      <c r="F2031" s="93">
        <v>10.91</v>
      </c>
      <c r="G2031" s="93">
        <v>2.1800000000000002</v>
      </c>
      <c r="H2031" s="93">
        <v>0</v>
      </c>
      <c r="N2031" s="88"/>
      <c r="O2031" s="88"/>
      <c r="P2031" s="88"/>
    </row>
    <row r="2032" spans="1:16">
      <c r="A2032" s="94">
        <v>92520</v>
      </c>
      <c r="B2032" s="87" t="s">
        <v>5689</v>
      </c>
      <c r="C2032" s="12" t="s">
        <v>9</v>
      </c>
      <c r="D2032" s="93">
        <v>46.43</v>
      </c>
      <c r="E2032" s="93">
        <v>14.41</v>
      </c>
      <c r="F2032" s="93">
        <v>11.03</v>
      </c>
      <c r="G2032" s="93">
        <v>20.99</v>
      </c>
      <c r="H2032" s="93">
        <v>0</v>
      </c>
      <c r="N2032" s="88"/>
      <c r="O2032" s="88"/>
      <c r="P2032" s="88"/>
    </row>
    <row r="2033" spans="1:16">
      <c r="A2033" s="94">
        <v>92522</v>
      </c>
      <c r="B2033" s="87" t="s">
        <v>5690</v>
      </c>
      <c r="C2033" s="12" t="s">
        <v>9</v>
      </c>
      <c r="D2033" s="93">
        <v>19.989999999999998</v>
      </c>
      <c r="E2033" s="93">
        <v>8.39</v>
      </c>
      <c r="F2033" s="93">
        <v>9.42</v>
      </c>
      <c r="G2033" s="93">
        <v>2.1800000000000002</v>
      </c>
      <c r="H2033" s="93">
        <v>0</v>
      </c>
      <c r="N2033" s="88"/>
      <c r="O2033" s="88"/>
      <c r="P2033" s="88"/>
    </row>
    <row r="2034" spans="1:16">
      <c r="A2034" s="94">
        <v>92524</v>
      </c>
      <c r="B2034" s="87" t="s">
        <v>5691</v>
      </c>
      <c r="C2034" s="12" t="s">
        <v>9</v>
      </c>
      <c r="D2034" s="93">
        <v>46.13</v>
      </c>
      <c r="E2034" s="93">
        <v>13.65</v>
      </c>
      <c r="F2034" s="93">
        <v>11.49</v>
      </c>
      <c r="G2034" s="93">
        <v>20.99</v>
      </c>
      <c r="H2034" s="93">
        <v>0</v>
      </c>
      <c r="N2034" s="88"/>
      <c r="O2034" s="88"/>
      <c r="P2034" s="88"/>
    </row>
    <row r="2035" spans="1:16">
      <c r="A2035" s="94">
        <v>92526</v>
      </c>
      <c r="B2035" s="87" t="s">
        <v>5692</v>
      </c>
      <c r="C2035" s="12" t="s">
        <v>9</v>
      </c>
      <c r="D2035" s="93">
        <v>20.07</v>
      </c>
      <c r="E2035" s="93">
        <v>7.92</v>
      </c>
      <c r="F2035" s="93">
        <v>9.9700000000000006</v>
      </c>
      <c r="G2035" s="93">
        <v>2.1800000000000002</v>
      </c>
      <c r="H2035" s="93">
        <v>0</v>
      </c>
      <c r="N2035" s="88"/>
      <c r="O2035" s="88"/>
      <c r="P2035" s="88"/>
    </row>
    <row r="2036" spans="1:16">
      <c r="A2036" s="94">
        <v>92528</v>
      </c>
      <c r="B2036" s="87" t="s">
        <v>5693</v>
      </c>
      <c r="C2036" s="12" t="s">
        <v>9</v>
      </c>
      <c r="D2036" s="93">
        <v>44.94</v>
      </c>
      <c r="E2036" s="93">
        <v>13.18</v>
      </c>
      <c r="F2036" s="93">
        <v>10.78</v>
      </c>
      <c r="G2036" s="93">
        <v>20.98</v>
      </c>
      <c r="H2036" s="93">
        <v>0</v>
      </c>
      <c r="N2036" s="88"/>
      <c r="O2036" s="88"/>
      <c r="P2036" s="88"/>
    </row>
    <row r="2037" spans="1:16">
      <c r="A2037" s="94">
        <v>92530</v>
      </c>
      <c r="B2037" s="87" t="s">
        <v>5694</v>
      </c>
      <c r="C2037" s="12" t="s">
        <v>9</v>
      </c>
      <c r="D2037" s="93">
        <v>19.12</v>
      </c>
      <c r="E2037" s="93">
        <v>7.65</v>
      </c>
      <c r="F2037" s="93">
        <v>9.2899999999999991</v>
      </c>
      <c r="G2037" s="93">
        <v>2.1800000000000002</v>
      </c>
      <c r="H2037" s="93">
        <v>0</v>
      </c>
      <c r="N2037" s="88"/>
      <c r="O2037" s="88"/>
      <c r="P2037" s="88"/>
    </row>
    <row r="2038" spans="1:16">
      <c r="A2038" s="94">
        <v>92532</v>
      </c>
      <c r="B2038" s="87" t="s">
        <v>5695</v>
      </c>
      <c r="C2038" s="12" t="s">
        <v>9</v>
      </c>
      <c r="D2038" s="93">
        <v>44.03</v>
      </c>
      <c r="E2038" s="93">
        <v>12.84</v>
      </c>
      <c r="F2038" s="93">
        <v>10.19</v>
      </c>
      <c r="G2038" s="93">
        <v>21</v>
      </c>
      <c r="H2038" s="93">
        <v>0</v>
      </c>
      <c r="N2038" s="88"/>
      <c r="O2038" s="88"/>
      <c r="P2038" s="88"/>
    </row>
    <row r="2039" spans="1:16">
      <c r="A2039" s="94">
        <v>92534</v>
      </c>
      <c r="B2039" s="87" t="s">
        <v>5696</v>
      </c>
      <c r="C2039" s="12" t="s">
        <v>9</v>
      </c>
      <c r="D2039" s="93">
        <v>18.43</v>
      </c>
      <c r="E2039" s="93">
        <v>7.47</v>
      </c>
      <c r="F2039" s="93">
        <v>8.7799999999999994</v>
      </c>
      <c r="G2039" s="93">
        <v>2.1800000000000002</v>
      </c>
      <c r="H2039" s="93">
        <v>0</v>
      </c>
      <c r="N2039" s="88"/>
      <c r="O2039" s="88"/>
      <c r="P2039" s="88"/>
    </row>
    <row r="2040" spans="1:16">
      <c r="A2040" s="94">
        <v>92536</v>
      </c>
      <c r="B2040" s="87" t="s">
        <v>5697</v>
      </c>
      <c r="C2040" s="12" t="s">
        <v>9</v>
      </c>
      <c r="D2040" s="93">
        <v>42.43</v>
      </c>
      <c r="E2040" s="93">
        <v>12.38</v>
      </c>
      <c r="F2040" s="93">
        <v>9.06</v>
      </c>
      <c r="G2040" s="93">
        <v>20.99</v>
      </c>
      <c r="H2040" s="93">
        <v>0</v>
      </c>
      <c r="N2040" s="88"/>
      <c r="O2040" s="88"/>
      <c r="P2040" s="88"/>
    </row>
    <row r="2041" spans="1:16">
      <c r="A2041" s="94">
        <v>92538</v>
      </c>
      <c r="B2041" s="87" t="s">
        <v>5698</v>
      </c>
      <c r="C2041" s="12" t="s">
        <v>9</v>
      </c>
      <c r="D2041" s="93">
        <v>17.04</v>
      </c>
      <c r="E2041" s="93">
        <v>7.16</v>
      </c>
      <c r="F2041" s="93">
        <v>7.7</v>
      </c>
      <c r="G2041" s="93">
        <v>2.1800000000000002</v>
      </c>
      <c r="H2041" s="93">
        <v>0</v>
      </c>
      <c r="N2041" s="88"/>
      <c r="O2041" s="88"/>
      <c r="P2041" s="88"/>
    </row>
    <row r="2042" spans="1:16">
      <c r="A2042" s="94">
        <v>96252</v>
      </c>
      <c r="B2042" s="87" t="s">
        <v>2004</v>
      </c>
      <c r="C2042" s="12" t="s">
        <v>9</v>
      </c>
      <c r="D2042" s="93">
        <v>163</v>
      </c>
      <c r="E2042" s="93">
        <v>47.43</v>
      </c>
      <c r="F2042" s="93">
        <v>115.37</v>
      </c>
      <c r="G2042" s="93">
        <v>0.01</v>
      </c>
      <c r="H2042" s="93">
        <v>0</v>
      </c>
      <c r="N2042" s="88"/>
      <c r="O2042" s="88"/>
      <c r="P2042" s="88"/>
    </row>
    <row r="2043" spans="1:16">
      <c r="A2043" s="94">
        <v>96257</v>
      </c>
      <c r="B2043" s="87" t="s">
        <v>2005</v>
      </c>
      <c r="C2043" s="12" t="s">
        <v>9</v>
      </c>
      <c r="D2043" s="93">
        <v>141.41</v>
      </c>
      <c r="E2043" s="93">
        <v>65.09</v>
      </c>
      <c r="F2043" s="93">
        <v>73.709999999999994</v>
      </c>
      <c r="G2043" s="93">
        <v>2.5099999999999998</v>
      </c>
      <c r="H2043" s="93">
        <v>0</v>
      </c>
      <c r="N2043" s="88"/>
      <c r="O2043" s="88"/>
      <c r="P2043" s="88"/>
    </row>
    <row r="2044" spans="1:16">
      <c r="A2044" s="94">
        <v>96258</v>
      </c>
      <c r="B2044" s="87" t="s">
        <v>2006</v>
      </c>
      <c r="C2044" s="12" t="s">
        <v>9</v>
      </c>
      <c r="D2044" s="93">
        <v>132.06</v>
      </c>
      <c r="E2044" s="93">
        <v>59.02</v>
      </c>
      <c r="F2044" s="93">
        <v>71.38</v>
      </c>
      <c r="G2044" s="93">
        <v>1.56</v>
      </c>
      <c r="H2044" s="93">
        <v>0</v>
      </c>
      <c r="N2044" s="88"/>
      <c r="O2044" s="88"/>
      <c r="P2044" s="88"/>
    </row>
    <row r="2045" spans="1:16">
      <c r="A2045" s="94">
        <v>96259</v>
      </c>
      <c r="B2045" s="87" t="s">
        <v>2007</v>
      </c>
      <c r="C2045" s="12" t="s">
        <v>9</v>
      </c>
      <c r="D2045" s="93">
        <v>160.97</v>
      </c>
      <c r="E2045" s="93">
        <v>81.680000000000007</v>
      </c>
      <c r="F2045" s="93">
        <v>77.92</v>
      </c>
      <c r="G2045" s="93">
        <v>1.27</v>
      </c>
      <c r="H2045" s="93">
        <v>0</v>
      </c>
      <c r="N2045" s="88"/>
      <c r="O2045" s="88"/>
      <c r="P2045" s="88"/>
    </row>
    <row r="2046" spans="1:16">
      <c r="A2046" s="94">
        <v>96529</v>
      </c>
      <c r="B2046" s="87" t="s">
        <v>2008</v>
      </c>
      <c r="C2046" s="12" t="s">
        <v>9</v>
      </c>
      <c r="D2046" s="93">
        <v>223.2</v>
      </c>
      <c r="E2046" s="93">
        <v>102.93</v>
      </c>
      <c r="F2046" s="93">
        <v>119.47</v>
      </c>
      <c r="G2046" s="93">
        <v>0.04</v>
      </c>
      <c r="H2046" s="93">
        <v>0</v>
      </c>
      <c r="N2046" s="88"/>
      <c r="O2046" s="88"/>
      <c r="P2046" s="88"/>
    </row>
    <row r="2047" spans="1:16">
      <c r="A2047" s="94">
        <v>96530</v>
      </c>
      <c r="B2047" s="87" t="s">
        <v>2009</v>
      </c>
      <c r="C2047" s="12" t="s">
        <v>9</v>
      </c>
      <c r="D2047" s="93">
        <v>109.88</v>
      </c>
      <c r="E2047" s="93">
        <v>36.61</v>
      </c>
      <c r="F2047" s="93">
        <v>73.11</v>
      </c>
      <c r="G2047" s="93">
        <v>0</v>
      </c>
      <c r="H2047" s="93">
        <v>0</v>
      </c>
      <c r="N2047" s="88"/>
      <c r="O2047" s="88"/>
      <c r="P2047" s="88"/>
    </row>
    <row r="2048" spans="1:16">
      <c r="A2048" s="94">
        <v>96531</v>
      </c>
      <c r="B2048" s="87" t="s">
        <v>2010</v>
      </c>
      <c r="C2048" s="12" t="s">
        <v>9</v>
      </c>
      <c r="D2048" s="93">
        <v>81.91</v>
      </c>
      <c r="E2048" s="93">
        <v>36.29</v>
      </c>
      <c r="F2048" s="93">
        <v>45.53</v>
      </c>
      <c r="G2048" s="93">
        <v>0</v>
      </c>
      <c r="H2048" s="93">
        <v>0</v>
      </c>
      <c r="N2048" s="88"/>
      <c r="O2048" s="88"/>
      <c r="P2048" s="88"/>
    </row>
    <row r="2049" spans="1:16">
      <c r="A2049" s="94">
        <v>96532</v>
      </c>
      <c r="B2049" s="87" t="s">
        <v>2011</v>
      </c>
      <c r="C2049" s="12" t="s">
        <v>9</v>
      </c>
      <c r="D2049" s="93">
        <v>146.87</v>
      </c>
      <c r="E2049" s="93">
        <v>77.55</v>
      </c>
      <c r="F2049" s="93">
        <v>68.92</v>
      </c>
      <c r="G2049" s="93">
        <v>0.01</v>
      </c>
      <c r="H2049" s="93">
        <v>0</v>
      </c>
      <c r="N2049" s="88"/>
      <c r="O2049" s="88"/>
      <c r="P2049" s="88"/>
    </row>
    <row r="2050" spans="1:16">
      <c r="A2050" s="94">
        <v>96533</v>
      </c>
      <c r="B2050" s="87" t="s">
        <v>2012</v>
      </c>
      <c r="C2050" s="12" t="s">
        <v>9</v>
      </c>
      <c r="D2050" s="93">
        <v>71.37</v>
      </c>
      <c r="E2050" s="93">
        <v>29.96</v>
      </c>
      <c r="F2050" s="93">
        <v>41.33</v>
      </c>
      <c r="G2050" s="93">
        <v>0</v>
      </c>
      <c r="H2050" s="93">
        <v>0</v>
      </c>
      <c r="N2050" s="88"/>
      <c r="O2050" s="88"/>
      <c r="P2050" s="88"/>
    </row>
    <row r="2051" spans="1:16">
      <c r="A2051" s="94">
        <v>96534</v>
      </c>
      <c r="B2051" s="87" t="s">
        <v>2013</v>
      </c>
      <c r="C2051" s="12" t="s">
        <v>9</v>
      </c>
      <c r="D2051" s="93">
        <v>60.57</v>
      </c>
      <c r="E2051" s="93">
        <v>32.68</v>
      </c>
      <c r="F2051" s="93">
        <v>27.85</v>
      </c>
      <c r="G2051" s="93">
        <v>0</v>
      </c>
      <c r="H2051" s="93">
        <v>0</v>
      </c>
      <c r="N2051" s="88"/>
      <c r="O2051" s="88"/>
      <c r="P2051" s="88"/>
    </row>
    <row r="2052" spans="1:16">
      <c r="A2052" s="94">
        <v>96535</v>
      </c>
      <c r="B2052" s="87" t="s">
        <v>2014</v>
      </c>
      <c r="C2052" s="12" t="s">
        <v>9</v>
      </c>
      <c r="D2052" s="93">
        <v>107.11</v>
      </c>
      <c r="E2052" s="93">
        <v>64.290000000000006</v>
      </c>
      <c r="F2052" s="93">
        <v>42.62</v>
      </c>
      <c r="G2052" s="93">
        <v>0</v>
      </c>
      <c r="H2052" s="93">
        <v>0</v>
      </c>
      <c r="N2052" s="88"/>
      <c r="O2052" s="88"/>
      <c r="P2052" s="88"/>
    </row>
    <row r="2053" spans="1:16">
      <c r="A2053" s="94">
        <v>96536</v>
      </c>
      <c r="B2053" s="87" t="s">
        <v>2015</v>
      </c>
      <c r="C2053" s="12" t="s">
        <v>9</v>
      </c>
      <c r="D2053" s="93">
        <v>51.33</v>
      </c>
      <c r="E2053" s="93">
        <v>26.51</v>
      </c>
      <c r="F2053" s="93">
        <v>24.78</v>
      </c>
      <c r="G2053" s="93">
        <v>0</v>
      </c>
      <c r="H2053" s="93">
        <v>0</v>
      </c>
      <c r="N2053" s="88"/>
      <c r="O2053" s="88"/>
      <c r="P2053" s="88"/>
    </row>
    <row r="2054" spans="1:16">
      <c r="A2054" s="94">
        <v>96537</v>
      </c>
      <c r="B2054" s="87" t="s">
        <v>2016</v>
      </c>
      <c r="C2054" s="12" t="s">
        <v>9</v>
      </c>
      <c r="D2054" s="93">
        <v>127.72</v>
      </c>
      <c r="E2054" s="93">
        <v>60.02</v>
      </c>
      <c r="F2054" s="93">
        <v>67.59</v>
      </c>
      <c r="G2054" s="93">
        <v>0</v>
      </c>
      <c r="H2054" s="93">
        <v>0</v>
      </c>
      <c r="N2054" s="88"/>
      <c r="O2054" s="88"/>
      <c r="P2054" s="88"/>
    </row>
    <row r="2055" spans="1:16">
      <c r="A2055" s="94">
        <v>96538</v>
      </c>
      <c r="B2055" s="87" t="s">
        <v>2017</v>
      </c>
      <c r="C2055" s="12" t="s">
        <v>9</v>
      </c>
      <c r="D2055" s="93">
        <v>196.7</v>
      </c>
      <c r="E2055" s="93">
        <v>110.91</v>
      </c>
      <c r="F2055" s="93">
        <v>85.44</v>
      </c>
      <c r="G2055" s="93">
        <v>0.01</v>
      </c>
      <c r="H2055" s="93">
        <v>0</v>
      </c>
      <c r="N2055" s="88"/>
      <c r="O2055" s="88"/>
      <c r="P2055" s="88"/>
    </row>
    <row r="2056" spans="1:16">
      <c r="A2056" s="94">
        <v>96539</v>
      </c>
      <c r="B2056" s="87" t="s">
        <v>2018</v>
      </c>
      <c r="C2056" s="12" t="s">
        <v>9</v>
      </c>
      <c r="D2056" s="93">
        <v>86.42</v>
      </c>
      <c r="E2056" s="93">
        <v>45.02</v>
      </c>
      <c r="F2056" s="93">
        <v>41.34</v>
      </c>
      <c r="G2056" s="93">
        <v>0</v>
      </c>
      <c r="H2056" s="93">
        <v>0</v>
      </c>
      <c r="N2056" s="88"/>
      <c r="O2056" s="88"/>
      <c r="P2056" s="88"/>
    </row>
    <row r="2057" spans="1:16">
      <c r="A2057" s="94">
        <v>96540</v>
      </c>
      <c r="B2057" s="87" t="s">
        <v>2019</v>
      </c>
      <c r="C2057" s="12" t="s">
        <v>9</v>
      </c>
      <c r="D2057" s="93">
        <v>92.77</v>
      </c>
      <c r="E2057" s="93">
        <v>51.23</v>
      </c>
      <c r="F2057" s="93">
        <v>41.49</v>
      </c>
      <c r="G2057" s="93">
        <v>0</v>
      </c>
      <c r="H2057" s="93">
        <v>0</v>
      </c>
      <c r="N2057" s="88"/>
      <c r="O2057" s="88"/>
      <c r="P2057" s="88"/>
    </row>
    <row r="2058" spans="1:16">
      <c r="A2058" s="94">
        <v>96541</v>
      </c>
      <c r="B2058" s="87" t="s">
        <v>2020</v>
      </c>
      <c r="C2058" s="12" t="s">
        <v>9</v>
      </c>
      <c r="D2058" s="93">
        <v>142.21</v>
      </c>
      <c r="E2058" s="93">
        <v>88.26</v>
      </c>
      <c r="F2058" s="93">
        <v>53.77</v>
      </c>
      <c r="G2058" s="93">
        <v>0</v>
      </c>
      <c r="H2058" s="93">
        <v>0</v>
      </c>
      <c r="N2058" s="88"/>
      <c r="O2058" s="88"/>
      <c r="P2058" s="88"/>
    </row>
    <row r="2059" spans="1:16">
      <c r="A2059" s="94">
        <v>96542</v>
      </c>
      <c r="B2059" s="87" t="s">
        <v>2021</v>
      </c>
      <c r="C2059" s="12" t="s">
        <v>9</v>
      </c>
      <c r="D2059" s="93">
        <v>67.16</v>
      </c>
      <c r="E2059" s="93">
        <v>40.46</v>
      </c>
      <c r="F2059" s="93">
        <v>26.67</v>
      </c>
      <c r="G2059" s="93">
        <v>0</v>
      </c>
      <c r="H2059" s="93">
        <v>0</v>
      </c>
      <c r="N2059" s="88"/>
      <c r="O2059" s="88"/>
      <c r="P2059" s="88"/>
    </row>
    <row r="2060" spans="1:16">
      <c r="A2060" s="94">
        <v>96543</v>
      </c>
      <c r="B2060" s="87" t="s">
        <v>2022</v>
      </c>
      <c r="C2060" s="12" t="s">
        <v>11</v>
      </c>
      <c r="D2060" s="93">
        <v>14.34</v>
      </c>
      <c r="E2060" s="93">
        <v>5.49</v>
      </c>
      <c r="F2060" s="93">
        <v>8.85</v>
      </c>
      <c r="G2060" s="93">
        <v>0</v>
      </c>
      <c r="H2060" s="93">
        <v>0</v>
      </c>
      <c r="N2060" s="88"/>
      <c r="O2060" s="88"/>
      <c r="P2060" s="88"/>
    </row>
    <row r="2061" spans="1:16">
      <c r="A2061" s="94">
        <v>97747</v>
      </c>
      <c r="B2061" s="87" t="s">
        <v>2023</v>
      </c>
      <c r="C2061" s="12" t="s">
        <v>9</v>
      </c>
      <c r="D2061" s="93">
        <v>148.78</v>
      </c>
      <c r="E2061" s="93">
        <v>72.87</v>
      </c>
      <c r="F2061" s="93">
        <v>75.02</v>
      </c>
      <c r="G2061" s="93">
        <v>0.79</v>
      </c>
      <c r="H2061" s="93">
        <v>0</v>
      </c>
      <c r="N2061" s="88"/>
      <c r="O2061" s="88"/>
      <c r="P2061" s="88"/>
    </row>
    <row r="2062" spans="1:16">
      <c r="A2062" s="94">
        <v>101791</v>
      </c>
      <c r="B2062" s="87" t="s">
        <v>5699</v>
      </c>
      <c r="C2062" s="12" t="s">
        <v>6</v>
      </c>
      <c r="D2062" s="93">
        <v>15.95</v>
      </c>
      <c r="E2062" s="93">
        <v>1.43</v>
      </c>
      <c r="F2062" s="93">
        <v>14.51</v>
      </c>
      <c r="G2062" s="93">
        <v>0</v>
      </c>
      <c r="H2062" s="93">
        <v>0</v>
      </c>
      <c r="N2062" s="88"/>
      <c r="O2062" s="88"/>
      <c r="P2062" s="88"/>
    </row>
    <row r="2063" spans="1:16">
      <c r="A2063" s="94">
        <v>101792</v>
      </c>
      <c r="B2063" s="87" t="s">
        <v>5700</v>
      </c>
      <c r="C2063" s="12" t="s">
        <v>5</v>
      </c>
      <c r="D2063" s="93">
        <v>11.12</v>
      </c>
      <c r="E2063" s="93">
        <v>4.79</v>
      </c>
      <c r="F2063" s="93">
        <v>6.33</v>
      </c>
      <c r="G2063" s="93">
        <v>0</v>
      </c>
      <c r="H2063" s="93">
        <v>0</v>
      </c>
      <c r="N2063" s="88"/>
      <c r="O2063" s="88"/>
      <c r="P2063" s="88"/>
    </row>
    <row r="2064" spans="1:16">
      <c r="A2064" s="94">
        <v>101793</v>
      </c>
      <c r="B2064" s="87" t="s">
        <v>5701</v>
      </c>
      <c r="C2064" s="12" t="s">
        <v>5</v>
      </c>
      <c r="D2064" s="93">
        <v>16.98</v>
      </c>
      <c r="E2064" s="93">
        <v>6.42</v>
      </c>
      <c r="F2064" s="93">
        <v>10.56</v>
      </c>
      <c r="G2064" s="93">
        <v>0</v>
      </c>
      <c r="H2064" s="93">
        <v>0</v>
      </c>
      <c r="N2064" s="88"/>
      <c r="O2064" s="88"/>
      <c r="P2064" s="88"/>
    </row>
    <row r="2065" spans="1:16">
      <c r="A2065" s="94">
        <v>101969</v>
      </c>
      <c r="B2065" s="87" t="s">
        <v>5702</v>
      </c>
      <c r="C2065" s="12" t="s">
        <v>9</v>
      </c>
      <c r="D2065" s="93">
        <v>107.73</v>
      </c>
      <c r="E2065" s="93">
        <v>18.8</v>
      </c>
      <c r="F2065" s="93">
        <v>88.79</v>
      </c>
      <c r="G2065" s="93">
        <v>0</v>
      </c>
      <c r="H2065" s="93">
        <v>0</v>
      </c>
      <c r="N2065" s="88"/>
      <c r="O2065" s="88"/>
      <c r="P2065" s="88"/>
    </row>
    <row r="2066" spans="1:16">
      <c r="A2066" s="94">
        <v>101971</v>
      </c>
      <c r="B2066" s="87" t="s">
        <v>5703</v>
      </c>
      <c r="C2066" s="12" t="s">
        <v>9</v>
      </c>
      <c r="D2066" s="93">
        <v>89.13</v>
      </c>
      <c r="E2066" s="93">
        <v>18.809999999999999</v>
      </c>
      <c r="F2066" s="93">
        <v>70.180000000000007</v>
      </c>
      <c r="G2066" s="93">
        <v>0</v>
      </c>
      <c r="H2066" s="93">
        <v>0</v>
      </c>
      <c r="N2066" s="88"/>
      <c r="O2066" s="88"/>
      <c r="P2066" s="88"/>
    </row>
    <row r="2067" spans="1:16">
      <c r="A2067" s="94">
        <v>101973</v>
      </c>
      <c r="B2067" s="87" t="s">
        <v>5704</v>
      </c>
      <c r="C2067" s="12" t="s">
        <v>9</v>
      </c>
      <c r="D2067" s="93">
        <v>108.78</v>
      </c>
      <c r="E2067" s="93">
        <v>20.45</v>
      </c>
      <c r="F2067" s="93">
        <v>88.23</v>
      </c>
      <c r="G2067" s="93">
        <v>0</v>
      </c>
      <c r="H2067" s="93">
        <v>0</v>
      </c>
      <c r="N2067" s="88"/>
      <c r="O2067" s="88"/>
      <c r="P2067" s="88"/>
    </row>
    <row r="2068" spans="1:16">
      <c r="A2068" s="94">
        <v>101974</v>
      </c>
      <c r="B2068" s="87" t="s">
        <v>5705</v>
      </c>
      <c r="C2068" s="12" t="s">
        <v>9</v>
      </c>
      <c r="D2068" s="93">
        <v>314</v>
      </c>
      <c r="E2068" s="93">
        <v>153.01</v>
      </c>
      <c r="F2068" s="93">
        <v>160.85</v>
      </c>
      <c r="G2068" s="93">
        <v>0</v>
      </c>
      <c r="H2068" s="93">
        <v>0</v>
      </c>
      <c r="N2068" s="88"/>
      <c r="O2068" s="88"/>
      <c r="P2068" s="88"/>
    </row>
    <row r="2069" spans="1:16">
      <c r="A2069" s="94">
        <v>101975</v>
      </c>
      <c r="B2069" s="87" t="s">
        <v>5706</v>
      </c>
      <c r="C2069" s="12" t="s">
        <v>9</v>
      </c>
      <c r="D2069" s="93">
        <v>263.19</v>
      </c>
      <c r="E2069" s="93">
        <v>121.97</v>
      </c>
      <c r="F2069" s="93">
        <v>141.09</v>
      </c>
      <c r="G2069" s="93">
        <v>0</v>
      </c>
      <c r="H2069" s="93">
        <v>0</v>
      </c>
      <c r="N2069" s="88"/>
      <c r="O2069" s="88"/>
      <c r="P2069" s="88"/>
    </row>
    <row r="2070" spans="1:16">
      <c r="A2070" s="94">
        <v>101977</v>
      </c>
      <c r="B2070" s="87" t="s">
        <v>5707</v>
      </c>
      <c r="C2070" s="12" t="s">
        <v>9</v>
      </c>
      <c r="D2070" s="93">
        <v>200.56</v>
      </c>
      <c r="E2070" s="93">
        <v>104.61</v>
      </c>
      <c r="F2070" s="93">
        <v>88.66</v>
      </c>
      <c r="G2070" s="93">
        <v>7.17</v>
      </c>
      <c r="H2070" s="93">
        <v>0</v>
      </c>
      <c r="N2070" s="88"/>
      <c r="O2070" s="88"/>
      <c r="P2070" s="88"/>
    </row>
    <row r="2071" spans="1:16">
      <c r="A2071" s="94">
        <v>101980</v>
      </c>
      <c r="B2071" s="87" t="s">
        <v>5708</v>
      </c>
      <c r="C2071" s="12" t="s">
        <v>9</v>
      </c>
      <c r="D2071" s="93">
        <v>176.95</v>
      </c>
      <c r="E2071" s="93">
        <v>84.1</v>
      </c>
      <c r="F2071" s="93">
        <v>82.48</v>
      </c>
      <c r="G2071" s="93">
        <v>10.25</v>
      </c>
      <c r="H2071" s="93">
        <v>0</v>
      </c>
      <c r="N2071" s="88"/>
      <c r="O2071" s="88"/>
      <c r="P2071" s="88"/>
    </row>
    <row r="2072" spans="1:16">
      <c r="A2072" s="94">
        <v>101981</v>
      </c>
      <c r="B2072" s="87" t="s">
        <v>5709</v>
      </c>
      <c r="C2072" s="12" t="s">
        <v>9</v>
      </c>
      <c r="D2072" s="93">
        <v>148.43</v>
      </c>
      <c r="E2072" s="93">
        <v>70.94</v>
      </c>
      <c r="F2072" s="93">
        <v>67.17</v>
      </c>
      <c r="G2072" s="93">
        <v>10.25</v>
      </c>
      <c r="H2072" s="93">
        <v>0</v>
      </c>
      <c r="N2072" s="88"/>
      <c r="O2072" s="88"/>
      <c r="P2072" s="88"/>
    </row>
    <row r="2073" spans="1:16">
      <c r="A2073" s="94">
        <v>101982</v>
      </c>
      <c r="B2073" s="87" t="s">
        <v>5710</v>
      </c>
      <c r="C2073" s="12" t="s">
        <v>9</v>
      </c>
      <c r="D2073" s="93">
        <v>132.28</v>
      </c>
      <c r="E2073" s="93">
        <v>65.5</v>
      </c>
      <c r="F2073" s="93">
        <v>56.47</v>
      </c>
      <c r="G2073" s="93">
        <v>10.25</v>
      </c>
      <c r="H2073" s="93">
        <v>0</v>
      </c>
      <c r="N2073" s="88"/>
      <c r="O2073" s="88"/>
      <c r="P2073" s="88"/>
    </row>
    <row r="2074" spans="1:16">
      <c r="A2074" s="94">
        <v>101983</v>
      </c>
      <c r="B2074" s="87" t="s">
        <v>5711</v>
      </c>
      <c r="C2074" s="12" t="s">
        <v>9</v>
      </c>
      <c r="D2074" s="93">
        <v>122.16</v>
      </c>
      <c r="E2074" s="93">
        <v>62.13</v>
      </c>
      <c r="F2074" s="93">
        <v>49.73</v>
      </c>
      <c r="G2074" s="93">
        <v>10.25</v>
      </c>
      <c r="H2074" s="93">
        <v>0</v>
      </c>
      <c r="N2074" s="88"/>
      <c r="O2074" s="88"/>
      <c r="P2074" s="88"/>
    </row>
    <row r="2075" spans="1:16">
      <c r="A2075" s="94">
        <v>101985</v>
      </c>
      <c r="B2075" s="87" t="s">
        <v>5712</v>
      </c>
      <c r="C2075" s="12" t="s">
        <v>9</v>
      </c>
      <c r="D2075" s="93">
        <v>110.63</v>
      </c>
      <c r="E2075" s="93">
        <v>22.05</v>
      </c>
      <c r="F2075" s="93">
        <v>88.36</v>
      </c>
      <c r="G2075" s="93">
        <v>0</v>
      </c>
      <c r="H2075" s="93">
        <v>0</v>
      </c>
      <c r="N2075" s="88"/>
      <c r="O2075" s="88"/>
      <c r="P2075" s="88"/>
    </row>
    <row r="2076" spans="1:16">
      <c r="A2076" s="94">
        <v>101986</v>
      </c>
      <c r="B2076" s="87" t="s">
        <v>5713</v>
      </c>
      <c r="C2076" s="12" t="s">
        <v>9</v>
      </c>
      <c r="D2076" s="93">
        <v>86.99</v>
      </c>
      <c r="E2076" s="93">
        <v>22.06</v>
      </c>
      <c r="F2076" s="93">
        <v>64.709999999999994</v>
      </c>
      <c r="G2076" s="93">
        <v>0</v>
      </c>
      <c r="H2076" s="93">
        <v>0</v>
      </c>
      <c r="N2076" s="88"/>
      <c r="O2076" s="88"/>
      <c r="P2076" s="88"/>
    </row>
    <row r="2077" spans="1:16">
      <c r="A2077" s="94">
        <v>101987</v>
      </c>
      <c r="B2077" s="87" t="s">
        <v>5714</v>
      </c>
      <c r="C2077" s="12" t="s">
        <v>9</v>
      </c>
      <c r="D2077" s="93">
        <v>124.86</v>
      </c>
      <c r="E2077" s="93">
        <v>21.51</v>
      </c>
      <c r="F2077" s="93">
        <v>103.19</v>
      </c>
      <c r="G2077" s="93">
        <v>0</v>
      </c>
      <c r="H2077" s="93">
        <v>0</v>
      </c>
      <c r="N2077" s="88"/>
      <c r="O2077" s="88"/>
      <c r="P2077" s="88"/>
    </row>
    <row r="2078" spans="1:16">
      <c r="A2078" s="94">
        <v>101988</v>
      </c>
      <c r="B2078" s="87" t="s">
        <v>5715</v>
      </c>
      <c r="C2078" s="12" t="s">
        <v>9</v>
      </c>
      <c r="D2078" s="93">
        <v>113.65</v>
      </c>
      <c r="E2078" s="93">
        <v>22.58</v>
      </c>
      <c r="F2078" s="93">
        <v>90.87</v>
      </c>
      <c r="G2078" s="93">
        <v>0</v>
      </c>
      <c r="H2078" s="93">
        <v>0</v>
      </c>
      <c r="N2078" s="88"/>
      <c r="O2078" s="88"/>
      <c r="P2078" s="88"/>
    </row>
    <row r="2079" spans="1:16">
      <c r="A2079" s="94">
        <v>101989</v>
      </c>
      <c r="B2079" s="87" t="s">
        <v>5716</v>
      </c>
      <c r="C2079" s="12" t="s">
        <v>9</v>
      </c>
      <c r="D2079" s="93">
        <v>95.29</v>
      </c>
      <c r="E2079" s="93">
        <v>22.59</v>
      </c>
      <c r="F2079" s="93">
        <v>72.5</v>
      </c>
      <c r="G2079" s="93">
        <v>0</v>
      </c>
      <c r="H2079" s="93">
        <v>0</v>
      </c>
      <c r="N2079" s="88"/>
      <c r="O2079" s="88"/>
      <c r="P2079" s="88"/>
    </row>
    <row r="2080" spans="1:16">
      <c r="A2080" s="94">
        <v>101990</v>
      </c>
      <c r="B2080" s="87" t="s">
        <v>5717</v>
      </c>
      <c r="C2080" s="12" t="s">
        <v>9</v>
      </c>
      <c r="D2080" s="93">
        <v>117.09</v>
      </c>
      <c r="E2080" s="93">
        <v>22.23</v>
      </c>
      <c r="F2080" s="93">
        <v>94.75</v>
      </c>
      <c r="G2080" s="93">
        <v>0</v>
      </c>
      <c r="H2080" s="93">
        <v>0</v>
      </c>
      <c r="N2080" s="88"/>
      <c r="O2080" s="88"/>
      <c r="P2080" s="88"/>
    </row>
    <row r="2081" spans="1:16">
      <c r="A2081" s="94">
        <v>101991</v>
      </c>
      <c r="B2081" s="87" t="s">
        <v>5718</v>
      </c>
      <c r="C2081" s="12" t="s">
        <v>9</v>
      </c>
      <c r="D2081" s="93">
        <v>112.66</v>
      </c>
      <c r="E2081" s="93">
        <v>25.3</v>
      </c>
      <c r="F2081" s="93">
        <v>87.09</v>
      </c>
      <c r="G2081" s="93">
        <v>0</v>
      </c>
      <c r="H2081" s="93">
        <v>0</v>
      </c>
      <c r="N2081" s="88"/>
      <c r="O2081" s="88"/>
      <c r="P2081" s="88"/>
    </row>
    <row r="2082" spans="1:16">
      <c r="A2082" s="94">
        <v>101992</v>
      </c>
      <c r="B2082" s="87" t="s">
        <v>5719</v>
      </c>
      <c r="C2082" s="12" t="s">
        <v>9</v>
      </c>
      <c r="D2082" s="93">
        <v>90.06</v>
      </c>
      <c r="E2082" s="93">
        <v>25.31</v>
      </c>
      <c r="F2082" s="93">
        <v>64.48</v>
      </c>
      <c r="G2082" s="93">
        <v>0</v>
      </c>
      <c r="H2082" s="93">
        <v>0</v>
      </c>
      <c r="N2082" s="88"/>
      <c r="O2082" s="88"/>
      <c r="P2082" s="88"/>
    </row>
    <row r="2083" spans="1:16">
      <c r="A2083" s="94">
        <v>101993</v>
      </c>
      <c r="B2083" s="87" t="s">
        <v>5720</v>
      </c>
      <c r="C2083" s="12" t="s">
        <v>9</v>
      </c>
      <c r="D2083" s="93">
        <v>144.91</v>
      </c>
      <c r="E2083" s="93">
        <v>23.21</v>
      </c>
      <c r="F2083" s="93">
        <v>121.52</v>
      </c>
      <c r="G2083" s="93">
        <v>0</v>
      </c>
      <c r="H2083" s="93">
        <v>0</v>
      </c>
      <c r="N2083" s="88"/>
      <c r="O2083" s="88"/>
      <c r="P2083" s="88"/>
    </row>
    <row r="2084" spans="1:16">
      <c r="A2084" s="94">
        <v>101994</v>
      </c>
      <c r="B2084" s="87" t="s">
        <v>5721</v>
      </c>
      <c r="C2084" s="12" t="s">
        <v>9</v>
      </c>
      <c r="D2084" s="93">
        <v>118.78</v>
      </c>
      <c r="E2084" s="93">
        <v>21.01</v>
      </c>
      <c r="F2084" s="93">
        <v>97.61</v>
      </c>
      <c r="G2084" s="93">
        <v>0</v>
      </c>
      <c r="H2084" s="93">
        <v>0</v>
      </c>
      <c r="N2084" s="88"/>
      <c r="O2084" s="88"/>
      <c r="P2084" s="88"/>
    </row>
    <row r="2085" spans="1:16">
      <c r="A2085" s="94">
        <v>101995</v>
      </c>
      <c r="B2085" s="87" t="s">
        <v>5722</v>
      </c>
      <c r="C2085" s="12" t="s">
        <v>9</v>
      </c>
      <c r="D2085" s="93">
        <v>98.17</v>
      </c>
      <c r="E2085" s="93">
        <v>21.02</v>
      </c>
      <c r="F2085" s="93">
        <v>76.989999999999995</v>
      </c>
      <c r="G2085" s="93">
        <v>0</v>
      </c>
      <c r="H2085" s="93">
        <v>0</v>
      </c>
      <c r="N2085" s="88"/>
      <c r="O2085" s="88"/>
      <c r="P2085" s="88"/>
    </row>
    <row r="2086" spans="1:16">
      <c r="A2086" s="94">
        <v>101996</v>
      </c>
      <c r="B2086" s="87" t="s">
        <v>5723</v>
      </c>
      <c r="C2086" s="12" t="s">
        <v>9</v>
      </c>
      <c r="D2086" s="93">
        <v>124.68</v>
      </c>
      <c r="E2086" s="93">
        <v>22.15</v>
      </c>
      <c r="F2086" s="93">
        <v>102.42</v>
      </c>
      <c r="G2086" s="93">
        <v>0.01</v>
      </c>
      <c r="H2086" s="93">
        <v>0</v>
      </c>
      <c r="N2086" s="88"/>
      <c r="O2086" s="88"/>
      <c r="P2086" s="88"/>
    </row>
    <row r="2087" spans="1:16">
      <c r="A2087" s="94">
        <v>101997</v>
      </c>
      <c r="B2087" s="87" t="s">
        <v>5724</v>
      </c>
      <c r="C2087" s="12" t="s">
        <v>9</v>
      </c>
      <c r="D2087" s="93">
        <v>112.06</v>
      </c>
      <c r="E2087" s="93">
        <v>25.05</v>
      </c>
      <c r="F2087" s="93">
        <v>86.75</v>
      </c>
      <c r="G2087" s="93">
        <v>0</v>
      </c>
      <c r="H2087" s="93">
        <v>0</v>
      </c>
      <c r="N2087" s="88"/>
      <c r="O2087" s="88"/>
      <c r="P2087" s="88"/>
    </row>
    <row r="2088" spans="1:16">
      <c r="A2088" s="94">
        <v>101998</v>
      </c>
      <c r="B2088" s="87" t="s">
        <v>5725</v>
      </c>
      <c r="C2088" s="12" t="s">
        <v>9</v>
      </c>
      <c r="D2088" s="93">
        <v>88.95</v>
      </c>
      <c r="E2088" s="93">
        <v>25.06</v>
      </c>
      <c r="F2088" s="93">
        <v>63.63</v>
      </c>
      <c r="G2088" s="93">
        <v>0</v>
      </c>
      <c r="H2088" s="93">
        <v>0</v>
      </c>
      <c r="N2088" s="88"/>
      <c r="O2088" s="88"/>
      <c r="P2088" s="88"/>
    </row>
    <row r="2089" spans="1:16">
      <c r="A2089" s="94">
        <v>101999</v>
      </c>
      <c r="B2089" s="87" t="s">
        <v>5726</v>
      </c>
      <c r="C2089" s="12" t="s">
        <v>9</v>
      </c>
      <c r="D2089" s="93">
        <v>154.4</v>
      </c>
      <c r="E2089" s="93">
        <v>23.73</v>
      </c>
      <c r="F2089" s="93">
        <v>130.49</v>
      </c>
      <c r="G2089" s="93">
        <v>0</v>
      </c>
      <c r="H2089" s="93">
        <v>0</v>
      </c>
      <c r="N2089" s="88"/>
      <c r="O2089" s="88"/>
      <c r="P2089" s="88"/>
    </row>
    <row r="2090" spans="1:16">
      <c r="A2090" s="94">
        <v>102000</v>
      </c>
      <c r="B2090" s="87" t="s">
        <v>5727</v>
      </c>
      <c r="C2090" s="12" t="s">
        <v>9</v>
      </c>
      <c r="D2090" s="93">
        <v>311.64</v>
      </c>
      <c r="E2090" s="93">
        <v>148.94</v>
      </c>
      <c r="F2090" s="93">
        <v>162.52000000000001</v>
      </c>
      <c r="G2090" s="93">
        <v>0</v>
      </c>
      <c r="H2090" s="93">
        <v>0</v>
      </c>
      <c r="N2090" s="88"/>
      <c r="O2090" s="88"/>
      <c r="P2090" s="88"/>
    </row>
    <row r="2091" spans="1:16">
      <c r="A2091" s="94">
        <v>102001</v>
      </c>
      <c r="B2091" s="87" t="s">
        <v>5728</v>
      </c>
      <c r="C2091" s="12" t="s">
        <v>9</v>
      </c>
      <c r="D2091" s="93">
        <v>263.44</v>
      </c>
      <c r="E2091" s="93">
        <v>118.66</v>
      </c>
      <c r="F2091" s="93">
        <v>144.61000000000001</v>
      </c>
      <c r="G2091" s="93">
        <v>0</v>
      </c>
      <c r="H2091" s="93">
        <v>0</v>
      </c>
      <c r="N2091" s="88"/>
      <c r="O2091" s="88"/>
      <c r="P2091" s="88"/>
    </row>
    <row r="2092" spans="1:16">
      <c r="A2092" s="94">
        <v>102002</v>
      </c>
      <c r="B2092" s="87" t="s">
        <v>5729</v>
      </c>
      <c r="C2092" s="12" t="s">
        <v>9</v>
      </c>
      <c r="D2092" s="93">
        <v>198.13</v>
      </c>
      <c r="E2092" s="93">
        <v>108.01</v>
      </c>
      <c r="F2092" s="93">
        <v>85.18</v>
      </c>
      <c r="G2092" s="93">
        <v>4.74</v>
      </c>
      <c r="H2092" s="93">
        <v>0</v>
      </c>
      <c r="N2092" s="88"/>
      <c r="O2092" s="88"/>
      <c r="P2092" s="88"/>
    </row>
    <row r="2093" spans="1:16">
      <c r="A2093" s="94">
        <v>102003</v>
      </c>
      <c r="B2093" s="87" t="s">
        <v>5730</v>
      </c>
      <c r="C2093" s="12" t="s">
        <v>9</v>
      </c>
      <c r="D2093" s="93">
        <v>175.23</v>
      </c>
      <c r="E2093" s="93">
        <v>87.92</v>
      </c>
      <c r="F2093" s="93">
        <v>80.349999999999994</v>
      </c>
      <c r="G2093" s="93">
        <v>6.76</v>
      </c>
      <c r="H2093" s="93">
        <v>0</v>
      </c>
      <c r="N2093" s="88"/>
      <c r="O2093" s="88"/>
      <c r="P2093" s="88"/>
    </row>
    <row r="2094" spans="1:16">
      <c r="A2094" s="94">
        <v>102004</v>
      </c>
      <c r="B2094" s="87" t="s">
        <v>5731</v>
      </c>
      <c r="C2094" s="12" t="s">
        <v>9</v>
      </c>
      <c r="D2094" s="93">
        <v>148.99</v>
      </c>
      <c r="E2094" s="93">
        <v>73.2</v>
      </c>
      <c r="F2094" s="93">
        <v>68.91</v>
      </c>
      <c r="G2094" s="93">
        <v>6.76</v>
      </c>
      <c r="H2094" s="93">
        <v>0</v>
      </c>
      <c r="N2094" s="88"/>
      <c r="O2094" s="88"/>
      <c r="P2094" s="88"/>
    </row>
    <row r="2095" spans="1:16">
      <c r="A2095" s="94">
        <v>102005</v>
      </c>
      <c r="B2095" s="87" t="s">
        <v>5732</v>
      </c>
      <c r="C2095" s="12" t="s">
        <v>9</v>
      </c>
      <c r="D2095" s="93">
        <v>132.52000000000001</v>
      </c>
      <c r="E2095" s="93">
        <v>67.41</v>
      </c>
      <c r="F2095" s="93">
        <v>58.25</v>
      </c>
      <c r="G2095" s="93">
        <v>6.76</v>
      </c>
      <c r="H2095" s="93">
        <v>0</v>
      </c>
      <c r="N2095" s="88"/>
      <c r="O2095" s="88"/>
      <c r="P2095" s="88"/>
    </row>
    <row r="2096" spans="1:16">
      <c r="A2096" s="94">
        <v>102006</v>
      </c>
      <c r="B2096" s="87" t="s">
        <v>5733</v>
      </c>
      <c r="C2096" s="12" t="s">
        <v>9</v>
      </c>
      <c r="D2096" s="93">
        <v>122.2</v>
      </c>
      <c r="E2096" s="93">
        <v>63.81</v>
      </c>
      <c r="F2096" s="93">
        <v>51.55</v>
      </c>
      <c r="G2096" s="93">
        <v>6.76</v>
      </c>
      <c r="H2096" s="93">
        <v>0</v>
      </c>
      <c r="N2096" s="88"/>
      <c r="O2096" s="88"/>
      <c r="P2096" s="88"/>
    </row>
    <row r="2097" spans="1:16">
      <c r="A2097" s="94">
        <v>102007</v>
      </c>
      <c r="B2097" s="87" t="s">
        <v>5734</v>
      </c>
      <c r="C2097" s="12" t="s">
        <v>9</v>
      </c>
      <c r="D2097" s="93">
        <v>310.76</v>
      </c>
      <c r="E2097" s="93">
        <v>152.69</v>
      </c>
      <c r="F2097" s="93">
        <v>157.93</v>
      </c>
      <c r="G2097" s="93">
        <v>0</v>
      </c>
      <c r="H2097" s="93">
        <v>0</v>
      </c>
      <c r="N2097" s="88"/>
      <c r="O2097" s="88"/>
      <c r="P2097" s="88"/>
    </row>
    <row r="2098" spans="1:16">
      <c r="A2098" s="94">
        <v>102008</v>
      </c>
      <c r="B2098" s="87" t="s">
        <v>5735</v>
      </c>
      <c r="C2098" s="12" t="s">
        <v>9</v>
      </c>
      <c r="D2098" s="93">
        <v>256.7</v>
      </c>
      <c r="E2098" s="93">
        <v>121</v>
      </c>
      <c r="F2098" s="93">
        <v>135.58000000000001</v>
      </c>
      <c r="G2098" s="93">
        <v>0</v>
      </c>
      <c r="H2098" s="93">
        <v>0</v>
      </c>
      <c r="N2098" s="88"/>
      <c r="O2098" s="88"/>
      <c r="P2098" s="88"/>
    </row>
    <row r="2099" spans="1:16">
      <c r="A2099" s="94">
        <v>102009</v>
      </c>
      <c r="B2099" s="87" t="s">
        <v>5736</v>
      </c>
      <c r="C2099" s="12" t="s">
        <v>9</v>
      </c>
      <c r="D2099" s="93">
        <v>203.69</v>
      </c>
      <c r="E2099" s="93">
        <v>107.58</v>
      </c>
      <c r="F2099" s="93">
        <v>89.52</v>
      </c>
      <c r="G2099" s="93">
        <v>6.42</v>
      </c>
      <c r="H2099" s="93">
        <v>0</v>
      </c>
      <c r="N2099" s="88"/>
      <c r="O2099" s="88"/>
      <c r="P2099" s="88"/>
    </row>
    <row r="2100" spans="1:16">
      <c r="A2100" s="94">
        <v>102010</v>
      </c>
      <c r="B2100" s="87" t="s">
        <v>5737</v>
      </c>
      <c r="C2100" s="12" t="s">
        <v>9</v>
      </c>
      <c r="D2100" s="93">
        <v>178.75</v>
      </c>
      <c r="E2100" s="93">
        <v>86.82</v>
      </c>
      <c r="F2100" s="93">
        <v>82.59</v>
      </c>
      <c r="G2100" s="93">
        <v>9.17</v>
      </c>
      <c r="H2100" s="93">
        <v>0</v>
      </c>
      <c r="N2100" s="88"/>
      <c r="O2100" s="88"/>
      <c r="P2100" s="88"/>
    </row>
    <row r="2101" spans="1:16">
      <c r="A2101" s="94">
        <v>102011</v>
      </c>
      <c r="B2101" s="87" t="s">
        <v>5738</v>
      </c>
      <c r="C2101" s="12" t="s">
        <v>9</v>
      </c>
      <c r="D2101" s="93">
        <v>148.59</v>
      </c>
      <c r="E2101" s="93">
        <v>72.61</v>
      </c>
      <c r="F2101" s="93">
        <v>66.709999999999994</v>
      </c>
      <c r="G2101" s="93">
        <v>9.17</v>
      </c>
      <c r="H2101" s="93">
        <v>0</v>
      </c>
      <c r="N2101" s="88"/>
      <c r="O2101" s="88"/>
      <c r="P2101" s="88"/>
    </row>
    <row r="2102" spans="1:16">
      <c r="A2102" s="94">
        <v>102012</v>
      </c>
      <c r="B2102" s="87" t="s">
        <v>5739</v>
      </c>
      <c r="C2102" s="12" t="s">
        <v>9</v>
      </c>
      <c r="D2102" s="93">
        <v>131.78</v>
      </c>
      <c r="E2102" s="93">
        <v>66.739999999999995</v>
      </c>
      <c r="F2102" s="93">
        <v>55.78</v>
      </c>
      <c r="G2102" s="93">
        <v>9.18</v>
      </c>
      <c r="H2102" s="93">
        <v>0</v>
      </c>
      <c r="N2102" s="88"/>
      <c r="O2102" s="88"/>
      <c r="P2102" s="88"/>
    </row>
    <row r="2103" spans="1:16">
      <c r="A2103" s="94">
        <v>102013</v>
      </c>
      <c r="B2103" s="87" t="s">
        <v>5740</v>
      </c>
      <c r="C2103" s="12" t="s">
        <v>9</v>
      </c>
      <c r="D2103" s="93">
        <v>122.39</v>
      </c>
      <c r="E2103" s="93">
        <v>63.36</v>
      </c>
      <c r="F2103" s="93">
        <v>49.78</v>
      </c>
      <c r="G2103" s="93">
        <v>9.18</v>
      </c>
      <c r="H2103" s="93">
        <v>0</v>
      </c>
      <c r="N2103" s="88"/>
      <c r="O2103" s="88"/>
      <c r="P2103" s="88"/>
    </row>
    <row r="2104" spans="1:16">
      <c r="A2104" s="94">
        <v>102014</v>
      </c>
      <c r="B2104" s="87" t="s">
        <v>5741</v>
      </c>
      <c r="C2104" s="12" t="s">
        <v>9</v>
      </c>
      <c r="D2104" s="93">
        <v>331.45</v>
      </c>
      <c r="E2104" s="93">
        <v>150.41999999999999</v>
      </c>
      <c r="F2104" s="93">
        <v>180.83</v>
      </c>
      <c r="G2104" s="93">
        <v>0</v>
      </c>
      <c r="H2104" s="93">
        <v>0</v>
      </c>
      <c r="N2104" s="88"/>
      <c r="O2104" s="88"/>
      <c r="P2104" s="88"/>
    </row>
    <row r="2105" spans="1:16">
      <c r="A2105" s="94">
        <v>102015</v>
      </c>
      <c r="B2105" s="87" t="s">
        <v>5742</v>
      </c>
      <c r="C2105" s="12" t="s">
        <v>9</v>
      </c>
      <c r="D2105" s="93">
        <v>274.68</v>
      </c>
      <c r="E2105" s="93">
        <v>119.58</v>
      </c>
      <c r="F2105" s="93">
        <v>154.91999999999999</v>
      </c>
      <c r="G2105" s="93">
        <v>0</v>
      </c>
      <c r="H2105" s="93">
        <v>0</v>
      </c>
      <c r="N2105" s="88"/>
      <c r="O2105" s="88"/>
      <c r="P2105" s="88"/>
    </row>
    <row r="2106" spans="1:16">
      <c r="A2106" s="94">
        <v>102016</v>
      </c>
      <c r="B2106" s="87" t="s">
        <v>5743</v>
      </c>
      <c r="C2106" s="12" t="s">
        <v>9</v>
      </c>
      <c r="D2106" s="93">
        <v>198.93</v>
      </c>
      <c r="E2106" s="93">
        <v>110.52</v>
      </c>
      <c r="F2106" s="93">
        <v>83.87</v>
      </c>
      <c r="G2106" s="93">
        <v>4.3</v>
      </c>
      <c r="H2106" s="93">
        <v>0</v>
      </c>
      <c r="N2106" s="88"/>
      <c r="O2106" s="88"/>
      <c r="P2106" s="88"/>
    </row>
    <row r="2107" spans="1:16">
      <c r="A2107" s="94">
        <v>102017</v>
      </c>
      <c r="B2107" s="87" t="s">
        <v>5744</v>
      </c>
      <c r="C2107" s="12" t="s">
        <v>9</v>
      </c>
      <c r="D2107" s="93">
        <v>174.99</v>
      </c>
      <c r="E2107" s="93">
        <v>90.21</v>
      </c>
      <c r="F2107" s="93">
        <v>78.38</v>
      </c>
      <c r="G2107" s="93">
        <v>6.16</v>
      </c>
      <c r="H2107" s="93">
        <v>0</v>
      </c>
      <c r="N2107" s="88"/>
      <c r="O2107" s="88"/>
      <c r="P2107" s="88"/>
    </row>
    <row r="2108" spans="1:16">
      <c r="A2108" s="94">
        <v>102036</v>
      </c>
      <c r="B2108" s="87" t="s">
        <v>5745</v>
      </c>
      <c r="C2108" s="12" t="s">
        <v>9</v>
      </c>
      <c r="D2108" s="93">
        <v>147.49</v>
      </c>
      <c r="E2108" s="93">
        <v>74.59</v>
      </c>
      <c r="F2108" s="93">
        <v>66.59</v>
      </c>
      <c r="G2108" s="93">
        <v>6.16</v>
      </c>
      <c r="H2108" s="93">
        <v>0</v>
      </c>
      <c r="N2108" s="88"/>
      <c r="O2108" s="88"/>
      <c r="P2108" s="88"/>
    </row>
    <row r="2109" spans="1:16">
      <c r="A2109" s="94">
        <v>102037</v>
      </c>
      <c r="B2109" s="87" t="s">
        <v>5746</v>
      </c>
      <c r="C2109" s="12" t="s">
        <v>9</v>
      </c>
      <c r="D2109" s="93">
        <v>130.80000000000001</v>
      </c>
      <c r="E2109" s="93">
        <v>68.44</v>
      </c>
      <c r="F2109" s="93">
        <v>56.08</v>
      </c>
      <c r="G2109" s="93">
        <v>6.16</v>
      </c>
      <c r="H2109" s="93">
        <v>0</v>
      </c>
      <c r="N2109" s="88"/>
      <c r="O2109" s="88"/>
      <c r="P2109" s="88"/>
    </row>
    <row r="2110" spans="1:16">
      <c r="A2110" s="94">
        <v>102038</v>
      </c>
      <c r="B2110" s="87" t="s">
        <v>5747</v>
      </c>
      <c r="C2110" s="12" t="s">
        <v>9</v>
      </c>
      <c r="D2110" s="93">
        <v>121.46</v>
      </c>
      <c r="E2110" s="93">
        <v>64.88</v>
      </c>
      <c r="F2110" s="93">
        <v>50.32</v>
      </c>
      <c r="G2110" s="93">
        <v>6.16</v>
      </c>
      <c r="H2110" s="93">
        <v>0</v>
      </c>
      <c r="N2110" s="88"/>
      <c r="O2110" s="88"/>
      <c r="P2110" s="88"/>
    </row>
    <row r="2111" spans="1:16">
      <c r="A2111" s="94">
        <v>102039</v>
      </c>
      <c r="B2111" s="87" t="s">
        <v>5748</v>
      </c>
      <c r="C2111" s="12" t="s">
        <v>9</v>
      </c>
      <c r="D2111" s="93">
        <v>319.31</v>
      </c>
      <c r="E2111" s="93">
        <v>152.16</v>
      </c>
      <c r="F2111" s="93">
        <v>167.01</v>
      </c>
      <c r="G2111" s="93">
        <v>0.01</v>
      </c>
      <c r="H2111" s="93">
        <v>0</v>
      </c>
      <c r="N2111" s="88"/>
      <c r="O2111" s="88"/>
      <c r="P2111" s="88"/>
    </row>
    <row r="2112" spans="1:16">
      <c r="A2112" s="94">
        <v>102040</v>
      </c>
      <c r="B2112" s="87" t="s">
        <v>5749</v>
      </c>
      <c r="C2112" s="12" t="s">
        <v>9</v>
      </c>
      <c r="D2112" s="93">
        <v>263.06</v>
      </c>
      <c r="E2112" s="93">
        <v>120.28</v>
      </c>
      <c r="F2112" s="93">
        <v>142.66999999999999</v>
      </c>
      <c r="G2112" s="93">
        <v>0</v>
      </c>
      <c r="H2112" s="93">
        <v>0</v>
      </c>
      <c r="N2112" s="88"/>
      <c r="O2112" s="88"/>
      <c r="P2112" s="88"/>
    </row>
    <row r="2113" spans="1:16">
      <c r="A2113" s="94">
        <v>102041</v>
      </c>
      <c r="B2113" s="87" t="s">
        <v>5750</v>
      </c>
      <c r="C2113" s="12" t="s">
        <v>9</v>
      </c>
      <c r="D2113" s="93">
        <v>203.73</v>
      </c>
      <c r="E2113" s="93">
        <v>105.76</v>
      </c>
      <c r="F2113" s="93">
        <v>92.14</v>
      </c>
      <c r="G2113" s="93">
        <v>5.7</v>
      </c>
      <c r="H2113" s="93">
        <v>0</v>
      </c>
      <c r="N2113" s="88"/>
      <c r="O2113" s="88"/>
      <c r="P2113" s="88"/>
    </row>
    <row r="2114" spans="1:16">
      <c r="A2114" s="94">
        <v>102042</v>
      </c>
      <c r="B2114" s="87" t="s">
        <v>5751</v>
      </c>
      <c r="C2114" s="12" t="s">
        <v>9</v>
      </c>
      <c r="D2114" s="93">
        <v>177.45</v>
      </c>
      <c r="E2114" s="93">
        <v>84.82</v>
      </c>
      <c r="F2114" s="93">
        <v>84.34</v>
      </c>
      <c r="G2114" s="93">
        <v>8.16</v>
      </c>
      <c r="H2114" s="93">
        <v>0</v>
      </c>
      <c r="N2114" s="88"/>
      <c r="O2114" s="88"/>
      <c r="P2114" s="88"/>
    </row>
    <row r="2115" spans="1:16">
      <c r="A2115" s="94">
        <v>102043</v>
      </c>
      <c r="B2115" s="87" t="s">
        <v>5752</v>
      </c>
      <c r="C2115" s="12" t="s">
        <v>9</v>
      </c>
      <c r="D2115" s="93">
        <v>148.12</v>
      </c>
      <c r="E2115" s="93">
        <v>71.33</v>
      </c>
      <c r="F2115" s="93">
        <v>68.55</v>
      </c>
      <c r="G2115" s="93">
        <v>8.16</v>
      </c>
      <c r="H2115" s="93">
        <v>0</v>
      </c>
      <c r="N2115" s="88"/>
      <c r="O2115" s="88"/>
      <c r="P2115" s="88"/>
    </row>
    <row r="2116" spans="1:16">
      <c r="A2116" s="94">
        <v>102044</v>
      </c>
      <c r="B2116" s="87" t="s">
        <v>5753</v>
      </c>
      <c r="C2116" s="12" t="s">
        <v>9</v>
      </c>
      <c r="D2116" s="93">
        <v>131.94</v>
      </c>
      <c r="E2116" s="93">
        <v>65.87</v>
      </c>
      <c r="F2116" s="93">
        <v>57.85</v>
      </c>
      <c r="G2116" s="93">
        <v>8.16</v>
      </c>
      <c r="H2116" s="93">
        <v>0</v>
      </c>
      <c r="N2116" s="88"/>
      <c r="O2116" s="88"/>
      <c r="P2116" s="88"/>
    </row>
    <row r="2117" spans="1:16">
      <c r="A2117" s="94">
        <v>102045</v>
      </c>
      <c r="B2117" s="87" t="s">
        <v>5754</v>
      </c>
      <c r="C2117" s="12" t="s">
        <v>9</v>
      </c>
      <c r="D2117" s="93">
        <v>122.24</v>
      </c>
      <c r="E2117" s="93">
        <v>62.55</v>
      </c>
      <c r="F2117" s="93">
        <v>51.48</v>
      </c>
      <c r="G2117" s="93">
        <v>8.16</v>
      </c>
      <c r="H2117" s="93">
        <v>0</v>
      </c>
      <c r="N2117" s="88"/>
      <c r="O2117" s="88"/>
      <c r="P2117" s="88"/>
    </row>
    <row r="2118" spans="1:16">
      <c r="A2118" s="94">
        <v>102046</v>
      </c>
      <c r="B2118" s="87" t="s">
        <v>5755</v>
      </c>
      <c r="C2118" s="12" t="s">
        <v>9</v>
      </c>
      <c r="D2118" s="93">
        <v>334.19</v>
      </c>
      <c r="E2118" s="93">
        <v>149.35</v>
      </c>
      <c r="F2118" s="93">
        <v>184.65</v>
      </c>
      <c r="G2118" s="93">
        <v>0</v>
      </c>
      <c r="H2118" s="93">
        <v>0</v>
      </c>
      <c r="N2118" s="88"/>
      <c r="O2118" s="88"/>
      <c r="P2118" s="88"/>
    </row>
    <row r="2119" spans="1:16">
      <c r="A2119" s="94">
        <v>102047</v>
      </c>
      <c r="B2119" s="87" t="s">
        <v>5756</v>
      </c>
      <c r="C2119" s="12" t="s">
        <v>9</v>
      </c>
      <c r="D2119" s="93">
        <v>280.64</v>
      </c>
      <c r="E2119" s="93">
        <v>118.34</v>
      </c>
      <c r="F2119" s="93">
        <v>162.13</v>
      </c>
      <c r="G2119" s="93">
        <v>0</v>
      </c>
      <c r="H2119" s="93">
        <v>0</v>
      </c>
      <c r="N2119" s="88"/>
      <c r="O2119" s="88"/>
      <c r="P2119" s="88"/>
    </row>
    <row r="2120" spans="1:16">
      <c r="A2120" s="94">
        <v>102048</v>
      </c>
      <c r="B2120" s="87" t="s">
        <v>5757</v>
      </c>
      <c r="C2120" s="12" t="s">
        <v>9</v>
      </c>
      <c r="D2120" s="93">
        <v>195.82</v>
      </c>
      <c r="E2120" s="93">
        <v>110.04</v>
      </c>
      <c r="F2120" s="93">
        <v>82.61</v>
      </c>
      <c r="G2120" s="93">
        <v>2.94</v>
      </c>
      <c r="H2120" s="93">
        <v>0</v>
      </c>
      <c r="N2120" s="88"/>
      <c r="O2120" s="88"/>
      <c r="P2120" s="88"/>
    </row>
    <row r="2121" spans="1:16">
      <c r="A2121" s="94">
        <v>102049</v>
      </c>
      <c r="B2121" s="87" t="s">
        <v>5758</v>
      </c>
      <c r="C2121" s="12" t="s">
        <v>9</v>
      </c>
      <c r="D2121" s="93">
        <v>170.39</v>
      </c>
      <c r="E2121" s="93">
        <v>89.49</v>
      </c>
      <c r="F2121" s="93">
        <v>76.48</v>
      </c>
      <c r="G2121" s="93">
        <v>4.1900000000000004</v>
      </c>
      <c r="H2121" s="93">
        <v>0</v>
      </c>
      <c r="N2121" s="88"/>
      <c r="O2121" s="88"/>
      <c r="P2121" s="88"/>
    </row>
    <row r="2122" spans="1:16">
      <c r="A2122" s="94">
        <v>102050</v>
      </c>
      <c r="B2122" s="87" t="s">
        <v>5759</v>
      </c>
      <c r="C2122" s="12" t="s">
        <v>9</v>
      </c>
      <c r="D2122" s="93">
        <v>144.22999999999999</v>
      </c>
      <c r="E2122" s="93">
        <v>74.2</v>
      </c>
      <c r="F2122" s="93">
        <v>65.7</v>
      </c>
      <c r="G2122" s="93">
        <v>4.1900000000000004</v>
      </c>
      <c r="H2122" s="93">
        <v>0</v>
      </c>
      <c r="N2122" s="88"/>
      <c r="O2122" s="88"/>
      <c r="P2122" s="88"/>
    </row>
    <row r="2123" spans="1:16">
      <c r="A2123" s="94">
        <v>102051</v>
      </c>
      <c r="B2123" s="87" t="s">
        <v>5760</v>
      </c>
      <c r="C2123" s="12" t="s">
        <v>9</v>
      </c>
      <c r="D2123" s="93">
        <v>127.6</v>
      </c>
      <c r="E2123" s="93">
        <v>68.069999999999993</v>
      </c>
      <c r="F2123" s="93">
        <v>55.22</v>
      </c>
      <c r="G2123" s="93">
        <v>4.2</v>
      </c>
      <c r="H2123" s="93">
        <v>0</v>
      </c>
      <c r="N2123" s="88"/>
      <c r="O2123" s="88"/>
      <c r="P2123" s="88"/>
    </row>
    <row r="2124" spans="1:16">
      <c r="A2124" s="94">
        <v>102052</v>
      </c>
      <c r="B2124" s="87" t="s">
        <v>5761</v>
      </c>
      <c r="C2124" s="12" t="s">
        <v>9</v>
      </c>
      <c r="D2124" s="93">
        <v>118.3</v>
      </c>
      <c r="E2124" s="93">
        <v>64.540000000000006</v>
      </c>
      <c r="F2124" s="93">
        <v>49.48</v>
      </c>
      <c r="G2124" s="93">
        <v>4.1900000000000004</v>
      </c>
      <c r="H2124" s="93">
        <v>0</v>
      </c>
      <c r="N2124" s="88"/>
      <c r="O2124" s="88"/>
      <c r="P2124" s="88"/>
    </row>
    <row r="2125" spans="1:16">
      <c r="A2125" s="94">
        <v>102059</v>
      </c>
      <c r="B2125" s="87" t="s">
        <v>5762</v>
      </c>
      <c r="C2125" s="12" t="s">
        <v>9</v>
      </c>
      <c r="D2125" s="93">
        <v>298.14999999999998</v>
      </c>
      <c r="E2125" s="93">
        <v>139.02000000000001</v>
      </c>
      <c r="F2125" s="93">
        <v>158.99</v>
      </c>
      <c r="G2125" s="93">
        <v>0</v>
      </c>
      <c r="H2125" s="93">
        <v>0</v>
      </c>
      <c r="N2125" s="88"/>
      <c r="O2125" s="88"/>
      <c r="P2125" s="88"/>
    </row>
    <row r="2126" spans="1:16">
      <c r="A2126" s="94">
        <v>102060</v>
      </c>
      <c r="B2126" s="87" t="s">
        <v>5763</v>
      </c>
      <c r="C2126" s="12" t="s">
        <v>9</v>
      </c>
      <c r="D2126" s="93">
        <v>247.74</v>
      </c>
      <c r="E2126" s="93">
        <v>110.56</v>
      </c>
      <c r="F2126" s="93">
        <v>137.06</v>
      </c>
      <c r="G2126" s="93">
        <v>0</v>
      </c>
      <c r="H2126" s="93">
        <v>0</v>
      </c>
      <c r="N2126" s="88"/>
      <c r="O2126" s="88"/>
      <c r="P2126" s="88"/>
    </row>
    <row r="2127" spans="1:16">
      <c r="A2127" s="94">
        <v>102061</v>
      </c>
      <c r="B2127" s="87" t="s">
        <v>5764</v>
      </c>
      <c r="C2127" s="12" t="s">
        <v>9</v>
      </c>
      <c r="D2127" s="93">
        <v>185.63</v>
      </c>
      <c r="E2127" s="93">
        <v>92.03</v>
      </c>
      <c r="F2127" s="93">
        <v>87.02</v>
      </c>
      <c r="G2127" s="93">
        <v>6.43</v>
      </c>
      <c r="H2127" s="93">
        <v>0</v>
      </c>
      <c r="N2127" s="88"/>
      <c r="O2127" s="88"/>
      <c r="P2127" s="88"/>
    </row>
    <row r="2128" spans="1:16">
      <c r="A2128" s="94">
        <v>102062</v>
      </c>
      <c r="B2128" s="87" t="s">
        <v>5765</v>
      </c>
      <c r="C2128" s="12" t="s">
        <v>9</v>
      </c>
      <c r="D2128" s="93">
        <v>164.89</v>
      </c>
      <c r="E2128" s="93">
        <v>74.61</v>
      </c>
      <c r="F2128" s="93">
        <v>80.95</v>
      </c>
      <c r="G2128" s="93">
        <v>9.19</v>
      </c>
      <c r="H2128" s="93">
        <v>0</v>
      </c>
      <c r="N2128" s="88"/>
      <c r="O2128" s="88"/>
      <c r="P2128" s="88"/>
    </row>
    <row r="2129" spans="1:16">
      <c r="A2129" s="94">
        <v>102063</v>
      </c>
      <c r="B2129" s="87" t="s">
        <v>5766</v>
      </c>
      <c r="C2129" s="12" t="s">
        <v>9</v>
      </c>
      <c r="D2129" s="93">
        <v>136.63</v>
      </c>
      <c r="E2129" s="93">
        <v>61.97</v>
      </c>
      <c r="F2129" s="93">
        <v>65.38</v>
      </c>
      <c r="G2129" s="93">
        <v>9.19</v>
      </c>
      <c r="H2129" s="93">
        <v>0</v>
      </c>
      <c r="N2129" s="88"/>
      <c r="O2129" s="88"/>
      <c r="P2129" s="88"/>
    </row>
    <row r="2130" spans="1:16">
      <c r="A2130" s="94">
        <v>102064</v>
      </c>
      <c r="B2130" s="87" t="s">
        <v>5767</v>
      </c>
      <c r="C2130" s="12" t="s">
        <v>9</v>
      </c>
      <c r="D2130" s="93">
        <v>120.43</v>
      </c>
      <c r="E2130" s="93">
        <v>56.83</v>
      </c>
      <c r="F2130" s="93">
        <v>54.34</v>
      </c>
      <c r="G2130" s="93">
        <v>9.19</v>
      </c>
      <c r="H2130" s="93">
        <v>0</v>
      </c>
      <c r="N2130" s="88"/>
      <c r="O2130" s="88"/>
      <c r="P2130" s="88"/>
    </row>
    <row r="2131" spans="1:16">
      <c r="A2131" s="94">
        <v>102065</v>
      </c>
      <c r="B2131" s="87" t="s">
        <v>5768</v>
      </c>
      <c r="C2131" s="12" t="s">
        <v>9</v>
      </c>
      <c r="D2131" s="93">
        <v>111.38</v>
      </c>
      <c r="E2131" s="93">
        <v>53.87</v>
      </c>
      <c r="F2131" s="93">
        <v>48.26</v>
      </c>
      <c r="G2131" s="93">
        <v>9.19</v>
      </c>
      <c r="H2131" s="93">
        <v>0</v>
      </c>
      <c r="N2131" s="88"/>
      <c r="O2131" s="88"/>
      <c r="P2131" s="88"/>
    </row>
    <row r="2132" spans="1:16">
      <c r="A2132" s="94">
        <v>102066</v>
      </c>
      <c r="B2132" s="87" t="s">
        <v>5769</v>
      </c>
      <c r="C2132" s="12" t="s">
        <v>9</v>
      </c>
      <c r="D2132" s="93">
        <v>301.08</v>
      </c>
      <c r="E2132" s="93">
        <v>136.07</v>
      </c>
      <c r="F2132" s="93">
        <v>164.81</v>
      </c>
      <c r="G2132" s="93">
        <v>0</v>
      </c>
      <c r="H2132" s="93">
        <v>0</v>
      </c>
      <c r="N2132" s="88"/>
      <c r="O2132" s="88"/>
      <c r="P2132" s="88"/>
    </row>
    <row r="2133" spans="1:16">
      <c r="A2133" s="94">
        <v>102067</v>
      </c>
      <c r="B2133" s="87" t="s">
        <v>5770</v>
      </c>
      <c r="C2133" s="12" t="s">
        <v>9</v>
      </c>
      <c r="D2133" s="93">
        <v>253.84</v>
      </c>
      <c r="E2133" s="93">
        <v>108.53</v>
      </c>
      <c r="F2133" s="93">
        <v>145.13</v>
      </c>
      <c r="G2133" s="93">
        <v>0</v>
      </c>
      <c r="H2133" s="93">
        <v>0</v>
      </c>
      <c r="N2133" s="88"/>
      <c r="O2133" s="88"/>
      <c r="P2133" s="88"/>
    </row>
    <row r="2134" spans="1:16">
      <c r="A2134" s="94">
        <v>102068</v>
      </c>
      <c r="B2134" s="87" t="s">
        <v>5771</v>
      </c>
      <c r="C2134" s="12" t="s">
        <v>9</v>
      </c>
      <c r="D2134" s="93">
        <v>175.57</v>
      </c>
      <c r="E2134" s="93">
        <v>94.03</v>
      </c>
      <c r="F2134" s="93">
        <v>77.03</v>
      </c>
      <c r="G2134" s="93">
        <v>4.3099999999999996</v>
      </c>
      <c r="H2134" s="93">
        <v>0</v>
      </c>
      <c r="N2134" s="88"/>
      <c r="O2134" s="88"/>
      <c r="P2134" s="88"/>
    </row>
    <row r="2135" spans="1:16">
      <c r="A2135" s="94">
        <v>102069</v>
      </c>
      <c r="B2135" s="87" t="s">
        <v>5772</v>
      </c>
      <c r="C2135" s="12" t="s">
        <v>9</v>
      </c>
      <c r="D2135" s="93">
        <v>155.83000000000001</v>
      </c>
      <c r="E2135" s="93">
        <v>77.03</v>
      </c>
      <c r="F2135" s="93">
        <v>72.430000000000007</v>
      </c>
      <c r="G2135" s="93">
        <v>6.17</v>
      </c>
      <c r="H2135" s="93">
        <v>0</v>
      </c>
      <c r="N2135" s="88"/>
      <c r="O2135" s="88"/>
      <c r="P2135" s="88"/>
    </row>
    <row r="2136" spans="1:16">
      <c r="A2136" s="94">
        <v>102070</v>
      </c>
      <c r="B2136" s="87" t="s">
        <v>5773</v>
      </c>
      <c r="C2136" s="12" t="s">
        <v>9</v>
      </c>
      <c r="D2136" s="93">
        <v>131.37</v>
      </c>
      <c r="E2136" s="93">
        <v>63.41</v>
      </c>
      <c r="F2136" s="93">
        <v>61.67</v>
      </c>
      <c r="G2136" s="93">
        <v>6.17</v>
      </c>
      <c r="H2136" s="93">
        <v>0</v>
      </c>
      <c r="N2136" s="88"/>
      <c r="O2136" s="88"/>
      <c r="P2136" s="88"/>
    </row>
    <row r="2137" spans="1:16">
      <c r="A2137" s="94">
        <v>102071</v>
      </c>
      <c r="B2137" s="87" t="s">
        <v>5774</v>
      </c>
      <c r="C2137" s="12" t="s">
        <v>9</v>
      </c>
      <c r="D2137" s="93">
        <v>116.1</v>
      </c>
      <c r="E2137" s="93">
        <v>58.05</v>
      </c>
      <c r="F2137" s="93">
        <v>51.79</v>
      </c>
      <c r="G2137" s="93">
        <v>6.17</v>
      </c>
      <c r="H2137" s="93">
        <v>0</v>
      </c>
      <c r="N2137" s="88"/>
      <c r="O2137" s="88"/>
      <c r="P2137" s="88"/>
    </row>
    <row r="2138" spans="1:16">
      <c r="A2138" s="94">
        <v>102072</v>
      </c>
      <c r="B2138" s="87" t="s">
        <v>5775</v>
      </c>
      <c r="C2138" s="12" t="s">
        <v>9</v>
      </c>
      <c r="D2138" s="93">
        <v>110.67</v>
      </c>
      <c r="E2138" s="93">
        <v>54.17</v>
      </c>
      <c r="F2138" s="93">
        <v>50.27</v>
      </c>
      <c r="G2138" s="93">
        <v>6.17</v>
      </c>
      <c r="H2138" s="93">
        <v>0</v>
      </c>
      <c r="N2138" s="88"/>
      <c r="O2138" s="88"/>
      <c r="P2138" s="88"/>
    </row>
    <row r="2139" spans="1:16">
      <c r="A2139" s="94">
        <v>102073</v>
      </c>
      <c r="B2139" s="87" t="s">
        <v>5776</v>
      </c>
      <c r="C2139" s="12" t="s">
        <v>5</v>
      </c>
      <c r="D2139" s="93">
        <v>2433.5700000000002</v>
      </c>
      <c r="E2139" s="93">
        <v>842.55</v>
      </c>
      <c r="F2139" s="93">
        <v>1526.76</v>
      </c>
      <c r="G2139" s="93">
        <v>63.21</v>
      </c>
      <c r="H2139" s="93">
        <v>0</v>
      </c>
      <c r="N2139" s="88"/>
      <c r="O2139" s="88"/>
      <c r="P2139" s="88"/>
    </row>
    <row r="2140" spans="1:16">
      <c r="A2140" s="94">
        <v>102074</v>
      </c>
      <c r="B2140" s="87" t="s">
        <v>5777</v>
      </c>
      <c r="C2140" s="12" t="s">
        <v>5</v>
      </c>
      <c r="D2140" s="93">
        <v>2966.01</v>
      </c>
      <c r="E2140" s="93">
        <v>942.45</v>
      </c>
      <c r="F2140" s="93">
        <v>1941.84</v>
      </c>
      <c r="G2140" s="93">
        <v>80.73</v>
      </c>
      <c r="H2140" s="93">
        <v>0</v>
      </c>
      <c r="N2140" s="88"/>
      <c r="O2140" s="88"/>
      <c r="P2140" s="88"/>
    </row>
    <row r="2141" spans="1:16">
      <c r="A2141" s="94">
        <v>102075</v>
      </c>
      <c r="B2141" s="87" t="s">
        <v>5778</v>
      </c>
      <c r="C2141" s="12" t="s">
        <v>5</v>
      </c>
      <c r="D2141" s="93">
        <v>3133.87</v>
      </c>
      <c r="E2141" s="93">
        <v>978.57</v>
      </c>
      <c r="F2141" s="93">
        <v>2084.23</v>
      </c>
      <c r="G2141" s="93">
        <v>69.739999999999995</v>
      </c>
      <c r="H2141" s="93">
        <v>0</v>
      </c>
      <c r="N2141" s="88"/>
      <c r="O2141" s="88"/>
      <c r="P2141" s="88"/>
    </row>
    <row r="2142" spans="1:16">
      <c r="A2142" s="94">
        <v>102076</v>
      </c>
      <c r="B2142" s="87" t="s">
        <v>5779</v>
      </c>
      <c r="C2142" s="12" t="s">
        <v>5</v>
      </c>
      <c r="D2142" s="93">
        <v>3182.3</v>
      </c>
      <c r="E2142" s="93">
        <v>955.41</v>
      </c>
      <c r="F2142" s="93">
        <v>2147.25</v>
      </c>
      <c r="G2142" s="93">
        <v>78.400000000000006</v>
      </c>
      <c r="H2142" s="93">
        <v>0</v>
      </c>
      <c r="N2142" s="88"/>
      <c r="O2142" s="88"/>
      <c r="P2142" s="88"/>
    </row>
    <row r="2143" spans="1:16">
      <c r="A2143" s="94">
        <v>102077</v>
      </c>
      <c r="B2143" s="87" t="s">
        <v>5780</v>
      </c>
      <c r="C2143" s="12" t="s">
        <v>5</v>
      </c>
      <c r="D2143" s="93">
        <v>3538.43</v>
      </c>
      <c r="E2143" s="93">
        <v>1269.0899999999999</v>
      </c>
      <c r="F2143" s="93">
        <v>2224.34</v>
      </c>
      <c r="G2143" s="93">
        <v>42.62</v>
      </c>
      <c r="H2143" s="93">
        <v>0</v>
      </c>
      <c r="N2143" s="88"/>
      <c r="O2143" s="88"/>
      <c r="P2143" s="88"/>
    </row>
    <row r="2144" spans="1:16">
      <c r="A2144" s="94">
        <v>102078</v>
      </c>
      <c r="B2144" s="87" t="s">
        <v>5781</v>
      </c>
      <c r="C2144" s="12" t="s">
        <v>5</v>
      </c>
      <c r="D2144" s="93">
        <v>3542.27</v>
      </c>
      <c r="E2144" s="93">
        <v>1250.46</v>
      </c>
      <c r="F2144" s="93">
        <v>2217.5100000000002</v>
      </c>
      <c r="G2144" s="93">
        <v>72.13</v>
      </c>
      <c r="H2144" s="93">
        <v>0</v>
      </c>
      <c r="N2144" s="88"/>
      <c r="O2144" s="88"/>
      <c r="P2144" s="88"/>
    </row>
    <row r="2145" spans="1:16">
      <c r="A2145" s="94">
        <v>102079</v>
      </c>
      <c r="B2145" s="87" t="s">
        <v>5782</v>
      </c>
      <c r="C2145" s="12" t="s">
        <v>5</v>
      </c>
      <c r="D2145" s="93">
        <v>3451.45</v>
      </c>
      <c r="E2145" s="93">
        <v>1195.26</v>
      </c>
      <c r="F2145" s="93">
        <v>2196.19</v>
      </c>
      <c r="G2145" s="93">
        <v>57.71</v>
      </c>
      <c r="H2145" s="93">
        <v>0</v>
      </c>
      <c r="N2145" s="88"/>
      <c r="O2145" s="88"/>
      <c r="P2145" s="88"/>
    </row>
    <row r="2146" spans="1:16">
      <c r="A2146" s="94">
        <v>102080</v>
      </c>
      <c r="B2146" s="87" t="s">
        <v>5783</v>
      </c>
      <c r="C2146" s="12" t="s">
        <v>5</v>
      </c>
      <c r="D2146" s="93">
        <v>3031.15</v>
      </c>
      <c r="E2146" s="93">
        <v>952.54</v>
      </c>
      <c r="F2146" s="93">
        <v>2028.77</v>
      </c>
      <c r="G2146" s="93">
        <v>48.24</v>
      </c>
      <c r="H2146" s="93">
        <v>0</v>
      </c>
      <c r="N2146" s="88"/>
      <c r="O2146" s="88"/>
      <c r="P2146" s="88"/>
    </row>
    <row r="2147" spans="1:16">
      <c r="A2147" s="94">
        <v>102086</v>
      </c>
      <c r="B2147" s="87" t="s">
        <v>5784</v>
      </c>
      <c r="C2147" s="12" t="s">
        <v>9</v>
      </c>
      <c r="D2147" s="93">
        <v>114.56</v>
      </c>
      <c r="E2147" s="93">
        <v>21.07</v>
      </c>
      <c r="F2147" s="93">
        <v>93.32</v>
      </c>
      <c r="G2147" s="93">
        <v>0</v>
      </c>
      <c r="H2147" s="93">
        <v>0</v>
      </c>
      <c r="N2147" s="88"/>
      <c r="O2147" s="88"/>
      <c r="P2147" s="88"/>
    </row>
    <row r="2148" spans="1:16">
      <c r="A2148" s="94">
        <v>102087</v>
      </c>
      <c r="B2148" s="87" t="s">
        <v>5785</v>
      </c>
      <c r="C2148" s="12" t="s">
        <v>9</v>
      </c>
      <c r="D2148" s="93">
        <v>95.28</v>
      </c>
      <c r="E2148" s="93">
        <v>21.08</v>
      </c>
      <c r="F2148" s="93">
        <v>74.03</v>
      </c>
      <c r="G2148" s="93">
        <v>0</v>
      </c>
      <c r="H2148" s="93">
        <v>0</v>
      </c>
      <c r="N2148" s="88"/>
      <c r="O2148" s="88"/>
      <c r="P2148" s="88"/>
    </row>
    <row r="2149" spans="1:16">
      <c r="A2149" s="94">
        <v>102088</v>
      </c>
      <c r="B2149" s="87" t="s">
        <v>5786</v>
      </c>
      <c r="C2149" s="12" t="s">
        <v>9</v>
      </c>
      <c r="D2149" s="93">
        <v>117.11</v>
      </c>
      <c r="E2149" s="93">
        <v>22.06</v>
      </c>
      <c r="F2149" s="93">
        <v>94.94</v>
      </c>
      <c r="G2149" s="93">
        <v>0</v>
      </c>
      <c r="H2149" s="93">
        <v>0</v>
      </c>
      <c r="N2149" s="88"/>
      <c r="O2149" s="88"/>
      <c r="P2149" s="88"/>
    </row>
    <row r="2150" spans="1:16">
      <c r="A2150" s="94">
        <v>102089</v>
      </c>
      <c r="B2150" s="87" t="s">
        <v>5787</v>
      </c>
      <c r="C2150" s="12" t="s">
        <v>9</v>
      </c>
      <c r="D2150" s="93">
        <v>106.1</v>
      </c>
      <c r="E2150" s="93">
        <v>22.79</v>
      </c>
      <c r="F2150" s="93">
        <v>83.09</v>
      </c>
      <c r="G2150" s="93">
        <v>0</v>
      </c>
      <c r="H2150" s="93">
        <v>0</v>
      </c>
      <c r="N2150" s="88"/>
      <c r="O2150" s="88"/>
      <c r="P2150" s="88"/>
    </row>
    <row r="2151" spans="1:16">
      <c r="A2151" s="94">
        <v>102090</v>
      </c>
      <c r="B2151" s="87" t="s">
        <v>5788</v>
      </c>
      <c r="C2151" s="12" t="s">
        <v>9</v>
      </c>
      <c r="D2151" s="93">
        <v>84.23</v>
      </c>
      <c r="E2151" s="93">
        <v>22.8</v>
      </c>
      <c r="F2151" s="93">
        <v>61.21</v>
      </c>
      <c r="G2151" s="93">
        <v>0</v>
      </c>
      <c r="H2151" s="93">
        <v>0</v>
      </c>
      <c r="N2151" s="88"/>
      <c r="O2151" s="88"/>
      <c r="P2151" s="88"/>
    </row>
    <row r="2152" spans="1:16">
      <c r="A2152" s="94">
        <v>102091</v>
      </c>
      <c r="B2152" s="87" t="s">
        <v>5789</v>
      </c>
      <c r="C2152" s="12" t="s">
        <v>9</v>
      </c>
      <c r="D2152" s="93">
        <v>132.84</v>
      </c>
      <c r="E2152" s="93">
        <v>23.04</v>
      </c>
      <c r="F2152" s="93">
        <v>109.62</v>
      </c>
      <c r="G2152" s="93">
        <v>0</v>
      </c>
      <c r="H2152" s="93">
        <v>0</v>
      </c>
      <c r="N2152" s="88"/>
      <c r="O2152" s="88"/>
      <c r="P2152" s="88"/>
    </row>
    <row r="2153" spans="1:16">
      <c r="A2153" s="94">
        <v>89996</v>
      </c>
      <c r="B2153" s="87" t="s">
        <v>2024</v>
      </c>
      <c r="C2153" s="12" t="s">
        <v>11</v>
      </c>
      <c r="D2153" s="93">
        <v>8.58</v>
      </c>
      <c r="E2153" s="93">
        <v>1.53</v>
      </c>
      <c r="F2153" s="93">
        <v>7.05</v>
      </c>
      <c r="G2153" s="93">
        <v>0</v>
      </c>
      <c r="H2153" s="93">
        <v>0</v>
      </c>
      <c r="N2153" s="88"/>
      <c r="O2153" s="88"/>
      <c r="P2153" s="88"/>
    </row>
    <row r="2154" spans="1:16">
      <c r="A2154" s="94">
        <v>89997</v>
      </c>
      <c r="B2154" s="87" t="s">
        <v>2025</v>
      </c>
      <c r="C2154" s="12" t="s">
        <v>11</v>
      </c>
      <c r="D2154" s="93">
        <v>6.98</v>
      </c>
      <c r="E2154" s="93">
        <v>0.99</v>
      </c>
      <c r="F2154" s="93">
        <v>5.99</v>
      </c>
      <c r="G2154" s="93">
        <v>0</v>
      </c>
      <c r="H2154" s="93">
        <v>0</v>
      </c>
      <c r="N2154" s="88"/>
      <c r="O2154" s="88"/>
      <c r="P2154" s="88"/>
    </row>
    <row r="2155" spans="1:16">
      <c r="A2155" s="94">
        <v>89998</v>
      </c>
      <c r="B2155" s="87" t="s">
        <v>2026</v>
      </c>
      <c r="C2155" s="12" t="s">
        <v>11</v>
      </c>
      <c r="D2155" s="93">
        <v>8.14</v>
      </c>
      <c r="E2155" s="93">
        <v>1.21</v>
      </c>
      <c r="F2155" s="93">
        <v>6.93</v>
      </c>
      <c r="G2155" s="93">
        <v>0</v>
      </c>
      <c r="H2155" s="93">
        <v>0</v>
      </c>
      <c r="N2155" s="88"/>
      <c r="O2155" s="88"/>
      <c r="P2155" s="88"/>
    </row>
    <row r="2156" spans="1:16">
      <c r="A2156" s="94">
        <v>89999</v>
      </c>
      <c r="B2156" s="87" t="s">
        <v>2027</v>
      </c>
      <c r="C2156" s="12" t="s">
        <v>11</v>
      </c>
      <c r="D2156" s="93">
        <v>11.86</v>
      </c>
      <c r="E2156" s="93">
        <v>3.74</v>
      </c>
      <c r="F2156" s="93">
        <v>8.1199999999999992</v>
      </c>
      <c r="G2156" s="93">
        <v>0</v>
      </c>
      <c r="H2156" s="93">
        <v>0</v>
      </c>
      <c r="N2156" s="88"/>
      <c r="O2156" s="88"/>
      <c r="P2156" s="88"/>
    </row>
    <row r="2157" spans="1:16">
      <c r="A2157" s="94">
        <v>90000</v>
      </c>
      <c r="B2157" s="87" t="s">
        <v>2028</v>
      </c>
      <c r="C2157" s="12" t="s">
        <v>11</v>
      </c>
      <c r="D2157" s="93">
        <v>9.69</v>
      </c>
      <c r="E2157" s="93">
        <v>2.39</v>
      </c>
      <c r="F2157" s="93">
        <v>7.3</v>
      </c>
      <c r="G2157" s="93">
        <v>0</v>
      </c>
      <c r="H2157" s="93">
        <v>0</v>
      </c>
      <c r="N2157" s="88"/>
      <c r="O2157" s="88"/>
      <c r="P2157" s="88"/>
    </row>
    <row r="2158" spans="1:16">
      <c r="A2158" s="94">
        <v>91593</v>
      </c>
      <c r="B2158" s="87" t="s">
        <v>2029</v>
      </c>
      <c r="C2158" s="12" t="s">
        <v>11</v>
      </c>
      <c r="D2158" s="93">
        <v>7.11</v>
      </c>
      <c r="E2158" s="93">
        <v>0.49</v>
      </c>
      <c r="F2158" s="93">
        <v>6.62</v>
      </c>
      <c r="G2158" s="93">
        <v>0</v>
      </c>
      <c r="H2158" s="93">
        <v>0</v>
      </c>
      <c r="N2158" s="88"/>
      <c r="O2158" s="88"/>
      <c r="P2158" s="88"/>
    </row>
    <row r="2159" spans="1:16">
      <c r="A2159" s="94">
        <v>91594</v>
      </c>
      <c r="B2159" s="87" t="s">
        <v>2030</v>
      </c>
      <c r="C2159" s="12" t="s">
        <v>11</v>
      </c>
      <c r="D2159" s="93">
        <v>7.46</v>
      </c>
      <c r="E2159" s="93">
        <v>0.72</v>
      </c>
      <c r="F2159" s="93">
        <v>6.74</v>
      </c>
      <c r="G2159" s="93">
        <v>0</v>
      </c>
      <c r="H2159" s="93">
        <v>0</v>
      </c>
      <c r="N2159" s="88"/>
      <c r="O2159" s="88"/>
      <c r="P2159" s="88"/>
    </row>
    <row r="2160" spans="1:16">
      <c r="A2160" s="94">
        <v>91595</v>
      </c>
      <c r="B2160" s="87" t="s">
        <v>2031</v>
      </c>
      <c r="C2160" s="12" t="s">
        <v>11</v>
      </c>
      <c r="D2160" s="93">
        <v>8.0299999999999994</v>
      </c>
      <c r="E2160" s="93">
        <v>1.1599999999999999</v>
      </c>
      <c r="F2160" s="93">
        <v>6.87</v>
      </c>
      <c r="G2160" s="93">
        <v>0</v>
      </c>
      <c r="H2160" s="93">
        <v>0</v>
      </c>
      <c r="N2160" s="88"/>
      <c r="O2160" s="88"/>
      <c r="P2160" s="88"/>
    </row>
    <row r="2161" spans="1:16">
      <c r="A2161" s="94">
        <v>91596</v>
      </c>
      <c r="B2161" s="87" t="s">
        <v>2032</v>
      </c>
      <c r="C2161" s="12" t="s">
        <v>11</v>
      </c>
      <c r="D2161" s="93">
        <v>7.36</v>
      </c>
      <c r="E2161" s="93">
        <v>0.69</v>
      </c>
      <c r="F2161" s="93">
        <v>6.67</v>
      </c>
      <c r="G2161" s="93">
        <v>0</v>
      </c>
      <c r="H2161" s="93">
        <v>0</v>
      </c>
      <c r="N2161" s="88"/>
      <c r="O2161" s="88"/>
      <c r="P2161" s="88"/>
    </row>
    <row r="2162" spans="1:16">
      <c r="A2162" s="94">
        <v>91597</v>
      </c>
      <c r="B2162" s="87" t="s">
        <v>2033</v>
      </c>
      <c r="C2162" s="12" t="s">
        <v>11</v>
      </c>
      <c r="D2162" s="93">
        <v>5.31</v>
      </c>
      <c r="E2162" s="93">
        <v>0.72</v>
      </c>
      <c r="F2162" s="93">
        <v>4.59</v>
      </c>
      <c r="G2162" s="93">
        <v>0</v>
      </c>
      <c r="H2162" s="93">
        <v>0</v>
      </c>
      <c r="N2162" s="88"/>
      <c r="O2162" s="88"/>
      <c r="P2162" s="88"/>
    </row>
    <row r="2163" spans="1:16">
      <c r="A2163" s="94">
        <v>91598</v>
      </c>
      <c r="B2163" s="87" t="s">
        <v>2034</v>
      </c>
      <c r="C2163" s="12" t="s">
        <v>11</v>
      </c>
      <c r="D2163" s="93">
        <v>7.3</v>
      </c>
      <c r="E2163" s="93">
        <v>0.83</v>
      </c>
      <c r="F2163" s="93">
        <v>6.47</v>
      </c>
      <c r="G2163" s="93">
        <v>0</v>
      </c>
      <c r="H2163" s="93">
        <v>0</v>
      </c>
      <c r="N2163" s="88"/>
      <c r="O2163" s="88"/>
      <c r="P2163" s="88"/>
    </row>
    <row r="2164" spans="1:16">
      <c r="A2164" s="94">
        <v>91599</v>
      </c>
      <c r="B2164" s="87" t="s">
        <v>2035</v>
      </c>
      <c r="C2164" s="12" t="s">
        <v>11</v>
      </c>
      <c r="D2164" s="93">
        <v>5.6</v>
      </c>
      <c r="E2164" s="93">
        <v>0.9</v>
      </c>
      <c r="F2164" s="93">
        <v>4.7</v>
      </c>
      <c r="G2164" s="93">
        <v>0</v>
      </c>
      <c r="H2164" s="93">
        <v>0</v>
      </c>
      <c r="N2164" s="88"/>
      <c r="O2164" s="88"/>
      <c r="P2164" s="88"/>
    </row>
    <row r="2165" spans="1:16">
      <c r="A2165" s="94">
        <v>91600</v>
      </c>
      <c r="B2165" s="87" t="s">
        <v>2036</v>
      </c>
      <c r="C2165" s="12" t="s">
        <v>11</v>
      </c>
      <c r="D2165" s="93">
        <v>9.43</v>
      </c>
      <c r="E2165" s="93">
        <v>2.19</v>
      </c>
      <c r="F2165" s="93">
        <v>7.24</v>
      </c>
      <c r="G2165" s="93">
        <v>0</v>
      </c>
      <c r="H2165" s="93">
        <v>0</v>
      </c>
      <c r="N2165" s="88"/>
      <c r="O2165" s="88"/>
      <c r="P2165" s="88"/>
    </row>
    <row r="2166" spans="1:16">
      <c r="A2166" s="94">
        <v>91601</v>
      </c>
      <c r="B2166" s="87" t="s">
        <v>2037</v>
      </c>
      <c r="C2166" s="12" t="s">
        <v>11</v>
      </c>
      <c r="D2166" s="93">
        <v>9.92</v>
      </c>
      <c r="E2166" s="93">
        <v>1.62</v>
      </c>
      <c r="F2166" s="93">
        <v>8.3000000000000007</v>
      </c>
      <c r="G2166" s="93">
        <v>0</v>
      </c>
      <c r="H2166" s="93">
        <v>0</v>
      </c>
      <c r="N2166" s="88"/>
      <c r="O2166" s="88"/>
      <c r="P2166" s="88"/>
    </row>
    <row r="2167" spans="1:16">
      <c r="A2167" s="94">
        <v>91602</v>
      </c>
      <c r="B2167" s="87" t="s">
        <v>2038</v>
      </c>
      <c r="C2167" s="12" t="s">
        <v>11</v>
      </c>
      <c r="D2167" s="93">
        <v>9.1199999999999992</v>
      </c>
      <c r="E2167" s="93">
        <v>0.96</v>
      </c>
      <c r="F2167" s="93">
        <v>8.16</v>
      </c>
      <c r="G2167" s="93">
        <v>0</v>
      </c>
      <c r="H2167" s="93">
        <v>0</v>
      </c>
      <c r="N2167" s="88"/>
      <c r="O2167" s="88"/>
      <c r="P2167" s="88"/>
    </row>
    <row r="2168" spans="1:16">
      <c r="A2168" s="94">
        <v>91603</v>
      </c>
      <c r="B2168" s="87" t="s">
        <v>2039</v>
      </c>
      <c r="C2168" s="12" t="s">
        <v>11</v>
      </c>
      <c r="D2168" s="93">
        <v>8.6199999999999992</v>
      </c>
      <c r="E2168" s="93">
        <v>0.91</v>
      </c>
      <c r="F2168" s="93">
        <v>7.71</v>
      </c>
      <c r="G2168" s="93">
        <v>0</v>
      </c>
      <c r="H2168" s="93">
        <v>0</v>
      </c>
      <c r="N2168" s="88"/>
      <c r="O2168" s="88"/>
      <c r="P2168" s="88"/>
    </row>
    <row r="2169" spans="1:16">
      <c r="A2169" s="94">
        <v>92759</v>
      </c>
      <c r="B2169" s="87" t="s">
        <v>2040</v>
      </c>
      <c r="C2169" s="12" t="s">
        <v>11</v>
      </c>
      <c r="D2169" s="93">
        <v>11.99</v>
      </c>
      <c r="E2169" s="93">
        <v>3.77</v>
      </c>
      <c r="F2169" s="93">
        <v>8.2200000000000006</v>
      </c>
      <c r="G2169" s="93">
        <v>0</v>
      </c>
      <c r="H2169" s="93">
        <v>0</v>
      </c>
      <c r="N2169" s="88"/>
      <c r="O2169" s="88"/>
      <c r="P2169" s="88"/>
    </row>
    <row r="2170" spans="1:16">
      <c r="A2170" s="94">
        <v>92760</v>
      </c>
      <c r="B2170" s="87" t="s">
        <v>2041</v>
      </c>
      <c r="C2170" s="12" t="s">
        <v>11</v>
      </c>
      <c r="D2170" s="93">
        <v>11.19</v>
      </c>
      <c r="E2170" s="93">
        <v>2.57</v>
      </c>
      <c r="F2170" s="93">
        <v>8.6199999999999992</v>
      </c>
      <c r="G2170" s="93">
        <v>0</v>
      </c>
      <c r="H2170" s="93">
        <v>0</v>
      </c>
      <c r="N2170" s="88"/>
      <c r="O2170" s="88"/>
      <c r="P2170" s="88"/>
    </row>
    <row r="2171" spans="1:16">
      <c r="A2171" s="94">
        <v>92761</v>
      </c>
      <c r="B2171" s="87" t="s">
        <v>2042</v>
      </c>
      <c r="C2171" s="12" t="s">
        <v>11</v>
      </c>
      <c r="D2171" s="93">
        <v>10.42</v>
      </c>
      <c r="E2171" s="93">
        <v>1.74</v>
      </c>
      <c r="F2171" s="93">
        <v>8.68</v>
      </c>
      <c r="G2171" s="93">
        <v>0</v>
      </c>
      <c r="H2171" s="93">
        <v>0</v>
      </c>
      <c r="N2171" s="88"/>
      <c r="O2171" s="88"/>
      <c r="P2171" s="88"/>
    </row>
    <row r="2172" spans="1:16">
      <c r="A2172" s="94">
        <v>92762</v>
      </c>
      <c r="B2172" s="87" t="s">
        <v>2043</v>
      </c>
      <c r="C2172" s="12" t="s">
        <v>11</v>
      </c>
      <c r="D2172" s="93">
        <v>9.2899999999999991</v>
      </c>
      <c r="E2172" s="93">
        <v>1.22</v>
      </c>
      <c r="F2172" s="93">
        <v>8.07</v>
      </c>
      <c r="G2172" s="93">
        <v>0</v>
      </c>
      <c r="H2172" s="93">
        <v>0</v>
      </c>
      <c r="N2172" s="88"/>
      <c r="O2172" s="88"/>
      <c r="P2172" s="88"/>
    </row>
    <row r="2173" spans="1:16">
      <c r="A2173" s="94">
        <v>92763</v>
      </c>
      <c r="B2173" s="87" t="s">
        <v>2044</v>
      </c>
      <c r="C2173" s="12" t="s">
        <v>11</v>
      </c>
      <c r="D2173" s="93">
        <v>7.81</v>
      </c>
      <c r="E2173" s="93">
        <v>0.84</v>
      </c>
      <c r="F2173" s="93">
        <v>6.97</v>
      </c>
      <c r="G2173" s="93">
        <v>0</v>
      </c>
      <c r="H2173" s="93">
        <v>0</v>
      </c>
      <c r="N2173" s="88"/>
      <c r="O2173" s="88"/>
      <c r="P2173" s="88"/>
    </row>
    <row r="2174" spans="1:16">
      <c r="A2174" s="94">
        <v>92764</v>
      </c>
      <c r="B2174" s="87" t="s">
        <v>2045</v>
      </c>
      <c r="C2174" s="12" t="s">
        <v>11</v>
      </c>
      <c r="D2174" s="93">
        <v>7.4</v>
      </c>
      <c r="E2174" s="93">
        <v>0.55000000000000004</v>
      </c>
      <c r="F2174" s="93">
        <v>6.85</v>
      </c>
      <c r="G2174" s="93">
        <v>0</v>
      </c>
      <c r="H2174" s="93">
        <v>0</v>
      </c>
      <c r="N2174" s="88"/>
      <c r="O2174" s="88"/>
      <c r="P2174" s="88"/>
    </row>
    <row r="2175" spans="1:16">
      <c r="A2175" s="94">
        <v>92765</v>
      </c>
      <c r="B2175" s="87" t="s">
        <v>2046</v>
      </c>
      <c r="C2175" s="12" t="s">
        <v>11</v>
      </c>
      <c r="D2175" s="93">
        <v>8.2899999999999991</v>
      </c>
      <c r="E2175" s="93">
        <v>0.35</v>
      </c>
      <c r="F2175" s="93">
        <v>7.94</v>
      </c>
      <c r="G2175" s="93">
        <v>0</v>
      </c>
      <c r="H2175" s="93">
        <v>0</v>
      </c>
      <c r="N2175" s="88"/>
      <c r="O2175" s="88"/>
      <c r="P2175" s="88"/>
    </row>
    <row r="2176" spans="1:16">
      <c r="A2176" s="94">
        <v>92766</v>
      </c>
      <c r="B2176" s="87" t="s">
        <v>2047</v>
      </c>
      <c r="C2176" s="12" t="s">
        <v>11</v>
      </c>
      <c r="D2176" s="93">
        <v>8.08</v>
      </c>
      <c r="E2176" s="93">
        <v>0.19</v>
      </c>
      <c r="F2176" s="93">
        <v>7.89</v>
      </c>
      <c r="G2176" s="93">
        <v>0</v>
      </c>
      <c r="H2176" s="93">
        <v>0</v>
      </c>
      <c r="N2176" s="88"/>
      <c r="O2176" s="88"/>
      <c r="P2176" s="88"/>
    </row>
    <row r="2177" spans="1:16">
      <c r="A2177" s="94">
        <v>92767</v>
      </c>
      <c r="B2177" s="87" t="s">
        <v>2048</v>
      </c>
      <c r="C2177" s="12" t="s">
        <v>11</v>
      </c>
      <c r="D2177" s="93">
        <v>12.18</v>
      </c>
      <c r="E2177" s="93">
        <v>3.74</v>
      </c>
      <c r="F2177" s="93">
        <v>8.44</v>
      </c>
      <c r="G2177" s="93">
        <v>0</v>
      </c>
      <c r="H2177" s="93">
        <v>0</v>
      </c>
      <c r="N2177" s="88"/>
      <c r="O2177" s="88"/>
      <c r="P2177" s="88"/>
    </row>
    <row r="2178" spans="1:16">
      <c r="A2178" s="94">
        <v>92768</v>
      </c>
      <c r="B2178" s="87" t="s">
        <v>2049</v>
      </c>
      <c r="C2178" s="12" t="s">
        <v>11</v>
      </c>
      <c r="D2178" s="93">
        <v>10.76</v>
      </c>
      <c r="E2178" s="93">
        <v>2.71</v>
      </c>
      <c r="F2178" s="93">
        <v>8.0500000000000007</v>
      </c>
      <c r="G2178" s="93">
        <v>0</v>
      </c>
      <c r="H2178" s="93">
        <v>0</v>
      </c>
      <c r="N2178" s="88"/>
      <c r="O2178" s="88"/>
      <c r="P2178" s="88"/>
    </row>
    <row r="2179" spans="1:16">
      <c r="A2179" s="94">
        <v>92769</v>
      </c>
      <c r="B2179" s="87" t="s">
        <v>2050</v>
      </c>
      <c r="C2179" s="12" t="s">
        <v>11</v>
      </c>
      <c r="D2179" s="93">
        <v>10.25</v>
      </c>
      <c r="E2179" s="93">
        <v>1.79</v>
      </c>
      <c r="F2179" s="93">
        <v>8.4600000000000009</v>
      </c>
      <c r="G2179" s="93">
        <v>0</v>
      </c>
      <c r="H2179" s="93">
        <v>0</v>
      </c>
      <c r="N2179" s="88"/>
      <c r="O2179" s="88"/>
      <c r="P2179" s="88"/>
    </row>
    <row r="2180" spans="1:16">
      <c r="A2180" s="94">
        <v>92770</v>
      </c>
      <c r="B2180" s="87" t="s">
        <v>2051</v>
      </c>
      <c r="C2180" s="12" t="s">
        <v>11</v>
      </c>
      <c r="D2180" s="93">
        <v>9.69</v>
      </c>
      <c r="E2180" s="93">
        <v>1.19</v>
      </c>
      <c r="F2180" s="93">
        <v>8.5</v>
      </c>
      <c r="G2180" s="93">
        <v>0</v>
      </c>
      <c r="H2180" s="93">
        <v>0</v>
      </c>
      <c r="N2180" s="88"/>
      <c r="O2180" s="88"/>
      <c r="P2180" s="88"/>
    </row>
    <row r="2181" spans="1:16">
      <c r="A2181" s="94">
        <v>92771</v>
      </c>
      <c r="B2181" s="87" t="s">
        <v>2052</v>
      </c>
      <c r="C2181" s="12" t="s">
        <v>11</v>
      </c>
      <c r="D2181" s="93">
        <v>8.73</v>
      </c>
      <c r="E2181" s="93">
        <v>0.79</v>
      </c>
      <c r="F2181" s="93">
        <v>7.94</v>
      </c>
      <c r="G2181" s="93">
        <v>0</v>
      </c>
      <c r="H2181" s="93">
        <v>0</v>
      </c>
      <c r="N2181" s="88"/>
      <c r="O2181" s="88"/>
      <c r="P2181" s="88"/>
    </row>
    <row r="2182" spans="1:16">
      <c r="A2182" s="94">
        <v>92772</v>
      </c>
      <c r="B2182" s="87" t="s">
        <v>2053</v>
      </c>
      <c r="C2182" s="12" t="s">
        <v>11</v>
      </c>
      <c r="D2182" s="93">
        <v>7.39</v>
      </c>
      <c r="E2182" s="93">
        <v>0.53</v>
      </c>
      <c r="F2182" s="93">
        <v>6.86</v>
      </c>
      <c r="G2182" s="93">
        <v>0</v>
      </c>
      <c r="H2182" s="93">
        <v>0</v>
      </c>
      <c r="N2182" s="88"/>
      <c r="O2182" s="88"/>
      <c r="P2182" s="88"/>
    </row>
    <row r="2183" spans="1:16">
      <c r="A2183" s="94">
        <v>92773</v>
      </c>
      <c r="B2183" s="87" t="s">
        <v>2054</v>
      </c>
      <c r="C2183" s="12" t="s">
        <v>11</v>
      </c>
      <c r="D2183" s="93">
        <v>7.1</v>
      </c>
      <c r="E2183" s="93">
        <v>0.33</v>
      </c>
      <c r="F2183" s="93">
        <v>6.77</v>
      </c>
      <c r="G2183" s="93">
        <v>0</v>
      </c>
      <c r="H2183" s="93">
        <v>0</v>
      </c>
      <c r="N2183" s="88"/>
      <c r="O2183" s="88"/>
      <c r="P2183" s="88"/>
    </row>
    <row r="2184" spans="1:16">
      <c r="A2184" s="94">
        <v>92774</v>
      </c>
      <c r="B2184" s="87" t="s">
        <v>2055</v>
      </c>
      <c r="C2184" s="12" t="s">
        <v>11</v>
      </c>
      <c r="D2184" s="93">
        <v>8.07</v>
      </c>
      <c r="E2184" s="93">
        <v>0.18</v>
      </c>
      <c r="F2184" s="93">
        <v>7.89</v>
      </c>
      <c r="G2184" s="93">
        <v>0</v>
      </c>
      <c r="H2184" s="93">
        <v>0</v>
      </c>
      <c r="N2184" s="88"/>
      <c r="O2184" s="88"/>
      <c r="P2184" s="88"/>
    </row>
    <row r="2185" spans="1:16">
      <c r="A2185" s="94">
        <v>92775</v>
      </c>
      <c r="B2185" s="87" t="s">
        <v>2056</v>
      </c>
      <c r="C2185" s="12" t="s">
        <v>11</v>
      </c>
      <c r="D2185" s="93">
        <v>14.43</v>
      </c>
      <c r="E2185" s="93">
        <v>5.68</v>
      </c>
      <c r="F2185" s="93">
        <v>8.75</v>
      </c>
      <c r="G2185" s="93">
        <v>0</v>
      </c>
      <c r="H2185" s="93">
        <v>0</v>
      </c>
      <c r="N2185" s="88"/>
      <c r="O2185" s="88"/>
      <c r="P2185" s="88"/>
    </row>
    <row r="2186" spans="1:16">
      <c r="A2186" s="94">
        <v>92776</v>
      </c>
      <c r="B2186" s="87" t="s">
        <v>2057</v>
      </c>
      <c r="C2186" s="12" t="s">
        <v>11</v>
      </c>
      <c r="D2186" s="93">
        <v>13.05</v>
      </c>
      <c r="E2186" s="93">
        <v>4.0199999999999996</v>
      </c>
      <c r="F2186" s="93">
        <v>9.0299999999999994</v>
      </c>
      <c r="G2186" s="93">
        <v>0</v>
      </c>
      <c r="H2186" s="93">
        <v>0</v>
      </c>
      <c r="N2186" s="88"/>
      <c r="O2186" s="88"/>
      <c r="P2186" s="88"/>
    </row>
    <row r="2187" spans="1:16">
      <c r="A2187" s="94">
        <v>92777</v>
      </c>
      <c r="B2187" s="87" t="s">
        <v>2058</v>
      </c>
      <c r="C2187" s="12" t="s">
        <v>11</v>
      </c>
      <c r="D2187" s="93">
        <v>11.81</v>
      </c>
      <c r="E2187" s="93">
        <v>2.82</v>
      </c>
      <c r="F2187" s="93">
        <v>8.99</v>
      </c>
      <c r="G2187" s="93">
        <v>0</v>
      </c>
      <c r="H2187" s="93">
        <v>0</v>
      </c>
      <c r="N2187" s="88"/>
      <c r="O2187" s="88"/>
      <c r="P2187" s="88"/>
    </row>
    <row r="2188" spans="1:16">
      <c r="A2188" s="94">
        <v>92778</v>
      </c>
      <c r="B2188" s="87" t="s">
        <v>2059</v>
      </c>
      <c r="C2188" s="12" t="s">
        <v>11</v>
      </c>
      <c r="D2188" s="93">
        <v>10.32</v>
      </c>
      <c r="E2188" s="93">
        <v>2.04</v>
      </c>
      <c r="F2188" s="93">
        <v>8.2799999999999994</v>
      </c>
      <c r="G2188" s="93">
        <v>0</v>
      </c>
      <c r="H2188" s="93">
        <v>0</v>
      </c>
      <c r="N2188" s="88"/>
      <c r="O2188" s="88"/>
      <c r="P2188" s="88"/>
    </row>
    <row r="2189" spans="1:16">
      <c r="A2189" s="94">
        <v>92779</v>
      </c>
      <c r="B2189" s="87" t="s">
        <v>2060</v>
      </c>
      <c r="C2189" s="12" t="s">
        <v>11</v>
      </c>
      <c r="D2189" s="93">
        <v>8.56</v>
      </c>
      <c r="E2189" s="93">
        <v>1.43</v>
      </c>
      <c r="F2189" s="93">
        <v>7.13</v>
      </c>
      <c r="G2189" s="93">
        <v>0</v>
      </c>
      <c r="H2189" s="93">
        <v>0</v>
      </c>
      <c r="N2189" s="88"/>
      <c r="O2189" s="88"/>
      <c r="P2189" s="88"/>
    </row>
    <row r="2190" spans="1:16">
      <c r="A2190" s="94">
        <v>92780</v>
      </c>
      <c r="B2190" s="87" t="s">
        <v>2061</v>
      </c>
      <c r="C2190" s="12" t="s">
        <v>11</v>
      </c>
      <c r="D2190" s="93">
        <v>7.91</v>
      </c>
      <c r="E2190" s="93">
        <v>0.94</v>
      </c>
      <c r="F2190" s="93">
        <v>6.97</v>
      </c>
      <c r="G2190" s="93">
        <v>0</v>
      </c>
      <c r="H2190" s="93">
        <v>0</v>
      </c>
      <c r="N2190" s="88"/>
      <c r="O2190" s="88"/>
      <c r="P2190" s="88"/>
    </row>
    <row r="2191" spans="1:16">
      <c r="A2191" s="94">
        <v>92781</v>
      </c>
      <c r="B2191" s="87" t="s">
        <v>2062</v>
      </c>
      <c r="C2191" s="12" t="s">
        <v>11</v>
      </c>
      <c r="D2191" s="93">
        <v>8.6300000000000008</v>
      </c>
      <c r="E2191" s="93">
        <v>0.6</v>
      </c>
      <c r="F2191" s="93">
        <v>8.0299999999999994</v>
      </c>
      <c r="G2191" s="93">
        <v>0</v>
      </c>
      <c r="H2191" s="93">
        <v>0</v>
      </c>
      <c r="N2191" s="88"/>
      <c r="O2191" s="88"/>
      <c r="P2191" s="88"/>
    </row>
    <row r="2192" spans="1:16">
      <c r="A2192" s="94">
        <v>92782</v>
      </c>
      <c r="B2192" s="87" t="s">
        <v>2063</v>
      </c>
      <c r="C2192" s="12" t="s">
        <v>11</v>
      </c>
      <c r="D2192" s="93">
        <v>8.2799999999999994</v>
      </c>
      <c r="E2192" s="93">
        <v>0.34</v>
      </c>
      <c r="F2192" s="93">
        <v>7.94</v>
      </c>
      <c r="G2192" s="93">
        <v>0</v>
      </c>
      <c r="H2192" s="93">
        <v>0</v>
      </c>
      <c r="N2192" s="88"/>
      <c r="O2192" s="88"/>
      <c r="P2192" s="88"/>
    </row>
    <row r="2193" spans="1:16">
      <c r="A2193" s="94">
        <v>92783</v>
      </c>
      <c r="B2193" s="87" t="s">
        <v>2064</v>
      </c>
      <c r="C2193" s="12" t="s">
        <v>11</v>
      </c>
      <c r="D2193" s="93">
        <v>14.23</v>
      </c>
      <c r="E2193" s="93">
        <v>5.34</v>
      </c>
      <c r="F2193" s="93">
        <v>8.89</v>
      </c>
      <c r="G2193" s="93">
        <v>0</v>
      </c>
      <c r="H2193" s="93">
        <v>0</v>
      </c>
      <c r="N2193" s="88"/>
      <c r="O2193" s="88"/>
      <c r="P2193" s="88"/>
    </row>
    <row r="2194" spans="1:16">
      <c r="A2194" s="94">
        <v>92784</v>
      </c>
      <c r="B2194" s="87" t="s">
        <v>2065</v>
      </c>
      <c r="C2194" s="12" t="s">
        <v>11</v>
      </c>
      <c r="D2194" s="93">
        <v>12.43</v>
      </c>
      <c r="E2194" s="93">
        <v>4.01</v>
      </c>
      <c r="F2194" s="93">
        <v>8.42</v>
      </c>
      <c r="G2194" s="93">
        <v>0</v>
      </c>
      <c r="H2194" s="93">
        <v>0</v>
      </c>
      <c r="N2194" s="88"/>
      <c r="O2194" s="88"/>
      <c r="P2194" s="88"/>
    </row>
    <row r="2195" spans="1:16">
      <c r="A2195" s="94">
        <v>92785</v>
      </c>
      <c r="B2195" s="87" t="s">
        <v>2066</v>
      </c>
      <c r="C2195" s="12" t="s">
        <v>11</v>
      </c>
      <c r="D2195" s="93">
        <v>11.52</v>
      </c>
      <c r="E2195" s="93">
        <v>2.79</v>
      </c>
      <c r="F2195" s="93">
        <v>8.73</v>
      </c>
      <c r="G2195" s="93">
        <v>0</v>
      </c>
      <c r="H2195" s="93">
        <v>0</v>
      </c>
      <c r="N2195" s="88"/>
      <c r="O2195" s="88"/>
      <c r="P2195" s="88"/>
    </row>
    <row r="2196" spans="1:16">
      <c r="A2196" s="94">
        <v>92786</v>
      </c>
      <c r="B2196" s="87" t="s">
        <v>2067</v>
      </c>
      <c r="C2196" s="12" t="s">
        <v>11</v>
      </c>
      <c r="D2196" s="93">
        <v>10.63</v>
      </c>
      <c r="E2196" s="93">
        <v>1.91</v>
      </c>
      <c r="F2196" s="93">
        <v>8.7200000000000006</v>
      </c>
      <c r="G2196" s="93">
        <v>0</v>
      </c>
      <c r="H2196" s="93">
        <v>0</v>
      </c>
      <c r="N2196" s="88"/>
      <c r="O2196" s="88"/>
      <c r="P2196" s="88"/>
    </row>
    <row r="2197" spans="1:16">
      <c r="A2197" s="94">
        <v>92787</v>
      </c>
      <c r="B2197" s="87" t="s">
        <v>2068</v>
      </c>
      <c r="C2197" s="12" t="s">
        <v>11</v>
      </c>
      <c r="D2197" s="93">
        <v>9.4</v>
      </c>
      <c r="E2197" s="93">
        <v>1.34</v>
      </c>
      <c r="F2197" s="93">
        <v>8.06</v>
      </c>
      <c r="G2197" s="93">
        <v>0</v>
      </c>
      <c r="H2197" s="93">
        <v>0</v>
      </c>
      <c r="N2197" s="88"/>
      <c r="O2197" s="88"/>
      <c r="P2197" s="88"/>
    </row>
    <row r="2198" spans="1:16">
      <c r="A2198" s="94">
        <v>92788</v>
      </c>
      <c r="B2198" s="87" t="s">
        <v>2069</v>
      </c>
      <c r="C2198" s="12" t="s">
        <v>11</v>
      </c>
      <c r="D2198" s="93">
        <v>7.87</v>
      </c>
      <c r="E2198" s="93">
        <v>0.91</v>
      </c>
      <c r="F2198" s="93">
        <v>6.96</v>
      </c>
      <c r="G2198" s="93">
        <v>0</v>
      </c>
      <c r="H2198" s="93">
        <v>0</v>
      </c>
      <c r="N2198" s="88"/>
      <c r="O2198" s="88"/>
      <c r="P2198" s="88"/>
    </row>
    <row r="2199" spans="1:16">
      <c r="A2199" s="94">
        <v>92789</v>
      </c>
      <c r="B2199" s="87" t="s">
        <v>2070</v>
      </c>
      <c r="C2199" s="12" t="s">
        <v>11</v>
      </c>
      <c r="D2199" s="93">
        <v>7.4</v>
      </c>
      <c r="E2199" s="93">
        <v>0.56999999999999995</v>
      </c>
      <c r="F2199" s="93">
        <v>6.83</v>
      </c>
      <c r="G2199" s="93">
        <v>0</v>
      </c>
      <c r="H2199" s="93">
        <v>0</v>
      </c>
      <c r="N2199" s="88"/>
      <c r="O2199" s="88"/>
      <c r="P2199" s="88"/>
    </row>
    <row r="2200" spans="1:16">
      <c r="A2200" s="94">
        <v>92790</v>
      </c>
      <c r="B2200" s="87" t="s">
        <v>2071</v>
      </c>
      <c r="C2200" s="12" t="s">
        <v>11</v>
      </c>
      <c r="D2200" s="93">
        <v>8.25</v>
      </c>
      <c r="E2200" s="93">
        <v>0.33</v>
      </c>
      <c r="F2200" s="93">
        <v>7.92</v>
      </c>
      <c r="G2200" s="93">
        <v>0</v>
      </c>
      <c r="H2200" s="93">
        <v>0</v>
      </c>
      <c r="N2200" s="88"/>
      <c r="O2200" s="88"/>
      <c r="P2200" s="88"/>
    </row>
    <row r="2201" spans="1:16">
      <c r="A2201" s="94">
        <v>92791</v>
      </c>
      <c r="B2201" s="87" t="s">
        <v>2072</v>
      </c>
      <c r="C2201" s="12" t="s">
        <v>11</v>
      </c>
      <c r="D2201" s="93">
        <v>8.4499999999999993</v>
      </c>
      <c r="E2201" s="93">
        <v>1.42</v>
      </c>
      <c r="F2201" s="93">
        <v>7.03</v>
      </c>
      <c r="G2201" s="93">
        <v>0</v>
      </c>
      <c r="H2201" s="93">
        <v>0</v>
      </c>
      <c r="N2201" s="88"/>
      <c r="O2201" s="88"/>
      <c r="P2201" s="88"/>
    </row>
    <row r="2202" spans="1:16">
      <c r="A2202" s="94">
        <v>92792</v>
      </c>
      <c r="B2202" s="87" t="s">
        <v>2073</v>
      </c>
      <c r="C2202" s="12" t="s">
        <v>11</v>
      </c>
      <c r="D2202" s="93">
        <v>8.39</v>
      </c>
      <c r="E2202" s="93">
        <v>0.76</v>
      </c>
      <c r="F2202" s="93">
        <v>7.63</v>
      </c>
      <c r="G2202" s="93">
        <v>0</v>
      </c>
      <c r="H2202" s="93">
        <v>0</v>
      </c>
      <c r="N2202" s="88"/>
      <c r="O2202" s="88"/>
      <c r="P2202" s="88"/>
    </row>
    <row r="2203" spans="1:16">
      <c r="A2203" s="94">
        <v>92793</v>
      </c>
      <c r="B2203" s="87" t="s">
        <v>2074</v>
      </c>
      <c r="C2203" s="12" t="s">
        <v>11</v>
      </c>
      <c r="D2203" s="93">
        <v>8.24</v>
      </c>
      <c r="E2203" s="93">
        <v>0.4</v>
      </c>
      <c r="F2203" s="93">
        <v>7.84</v>
      </c>
      <c r="G2203" s="93">
        <v>0</v>
      </c>
      <c r="H2203" s="93">
        <v>0</v>
      </c>
      <c r="N2203" s="88"/>
      <c r="O2203" s="88"/>
      <c r="P2203" s="88"/>
    </row>
    <row r="2204" spans="1:16">
      <c r="A2204" s="94">
        <v>92794</v>
      </c>
      <c r="B2204" s="87" t="s">
        <v>2075</v>
      </c>
      <c r="C2204" s="12" t="s">
        <v>11</v>
      </c>
      <c r="D2204" s="93">
        <v>7.56</v>
      </c>
      <c r="E2204" s="93">
        <v>0.23</v>
      </c>
      <c r="F2204" s="93">
        <v>7.33</v>
      </c>
      <c r="G2204" s="93">
        <v>0</v>
      </c>
      <c r="H2204" s="93">
        <v>0</v>
      </c>
      <c r="N2204" s="88"/>
      <c r="O2204" s="88"/>
      <c r="P2204" s="88"/>
    </row>
    <row r="2205" spans="1:16">
      <c r="A2205" s="94">
        <v>92795</v>
      </c>
      <c r="B2205" s="87" t="s">
        <v>2076</v>
      </c>
      <c r="C2205" s="12" t="s">
        <v>11</v>
      </c>
      <c r="D2205" s="93">
        <v>6.46</v>
      </c>
      <c r="E2205" s="93">
        <v>0.12</v>
      </c>
      <c r="F2205" s="93">
        <v>6.34</v>
      </c>
      <c r="G2205" s="93">
        <v>0</v>
      </c>
      <c r="H2205" s="93">
        <v>0</v>
      </c>
      <c r="N2205" s="88"/>
      <c r="O2205" s="88"/>
      <c r="P2205" s="88"/>
    </row>
    <row r="2206" spans="1:16">
      <c r="A2206" s="94">
        <v>92796</v>
      </c>
      <c r="B2206" s="87" t="s">
        <v>2077</v>
      </c>
      <c r="C2206" s="12" t="s">
        <v>11</v>
      </c>
      <c r="D2206" s="93">
        <v>6.37</v>
      </c>
      <c r="E2206" s="93">
        <v>0.06</v>
      </c>
      <c r="F2206" s="93">
        <v>6.31</v>
      </c>
      <c r="G2206" s="93">
        <v>0</v>
      </c>
      <c r="H2206" s="93">
        <v>0</v>
      </c>
      <c r="N2206" s="88"/>
      <c r="O2206" s="88"/>
      <c r="P2206" s="88"/>
    </row>
    <row r="2207" spans="1:16">
      <c r="A2207" s="94">
        <v>92797</v>
      </c>
      <c r="B2207" s="87" t="s">
        <v>2078</v>
      </c>
      <c r="C2207" s="12" t="s">
        <v>11</v>
      </c>
      <c r="D2207" s="93">
        <v>7.5</v>
      </c>
      <c r="E2207" s="93">
        <v>0.03</v>
      </c>
      <c r="F2207" s="93">
        <v>7.47</v>
      </c>
      <c r="G2207" s="93">
        <v>0</v>
      </c>
      <c r="H2207" s="93">
        <v>0</v>
      </c>
      <c r="N2207" s="88"/>
      <c r="O2207" s="88"/>
      <c r="P2207" s="88"/>
    </row>
    <row r="2208" spans="1:16">
      <c r="A2208" s="94">
        <v>92798</v>
      </c>
      <c r="B2208" s="87" t="s">
        <v>2079</v>
      </c>
      <c r="C2208" s="12" t="s">
        <v>11</v>
      </c>
      <c r="D2208" s="93">
        <v>7.48</v>
      </c>
      <c r="E2208" s="93">
        <v>0.01</v>
      </c>
      <c r="F2208" s="93">
        <v>7.47</v>
      </c>
      <c r="G2208" s="93">
        <v>0</v>
      </c>
      <c r="H2208" s="93">
        <v>0</v>
      </c>
      <c r="N2208" s="88"/>
      <c r="O2208" s="88"/>
      <c r="P2208" s="88"/>
    </row>
    <row r="2209" spans="1:16">
      <c r="A2209" s="94">
        <v>92799</v>
      </c>
      <c r="B2209" s="87" t="s">
        <v>2080</v>
      </c>
      <c r="C2209" s="12" t="s">
        <v>11</v>
      </c>
      <c r="D2209" s="93">
        <v>8.85</v>
      </c>
      <c r="E2209" s="93">
        <v>1.73</v>
      </c>
      <c r="F2209" s="93">
        <v>7.12</v>
      </c>
      <c r="G2209" s="93">
        <v>0</v>
      </c>
      <c r="H2209" s="93">
        <v>0</v>
      </c>
      <c r="N2209" s="88"/>
      <c r="O2209" s="88"/>
      <c r="P2209" s="88"/>
    </row>
    <row r="2210" spans="1:16">
      <c r="A2210" s="94">
        <v>92800</v>
      </c>
      <c r="B2210" s="87" t="s">
        <v>2081</v>
      </c>
      <c r="C2210" s="12" t="s">
        <v>11</v>
      </c>
      <c r="D2210" s="93">
        <v>8.01</v>
      </c>
      <c r="E2210" s="93">
        <v>1.07</v>
      </c>
      <c r="F2210" s="93">
        <v>6.94</v>
      </c>
      <c r="G2210" s="93">
        <v>0</v>
      </c>
      <c r="H2210" s="93">
        <v>0</v>
      </c>
      <c r="N2210" s="88"/>
      <c r="O2210" s="88"/>
      <c r="P2210" s="88"/>
    </row>
    <row r="2211" spans="1:16">
      <c r="A2211" s="94">
        <v>92801</v>
      </c>
      <c r="B2211" s="87" t="s">
        <v>2082</v>
      </c>
      <c r="C2211" s="12" t="s">
        <v>11</v>
      </c>
      <c r="D2211" s="93">
        <v>8.1300000000000008</v>
      </c>
      <c r="E2211" s="93">
        <v>0.56999999999999995</v>
      </c>
      <c r="F2211" s="93">
        <v>7.56</v>
      </c>
      <c r="G2211" s="93">
        <v>0</v>
      </c>
      <c r="H2211" s="93">
        <v>0</v>
      </c>
      <c r="N2211" s="88"/>
      <c r="O2211" s="88"/>
      <c r="P2211" s="88"/>
    </row>
    <row r="2212" spans="1:16">
      <c r="A2212" s="94">
        <v>92802</v>
      </c>
      <c r="B2212" s="87" t="s">
        <v>2083</v>
      </c>
      <c r="C2212" s="12" t="s">
        <v>11</v>
      </c>
      <c r="D2212" s="93">
        <v>8.08</v>
      </c>
      <c r="E2212" s="93">
        <v>0.28999999999999998</v>
      </c>
      <c r="F2212" s="93">
        <v>7.79</v>
      </c>
      <c r="G2212" s="93">
        <v>0</v>
      </c>
      <c r="H2212" s="93">
        <v>0</v>
      </c>
      <c r="N2212" s="88"/>
      <c r="O2212" s="88"/>
      <c r="P2212" s="88"/>
    </row>
    <row r="2213" spans="1:16">
      <c r="A2213" s="94">
        <v>92803</v>
      </c>
      <c r="B2213" s="87" t="s">
        <v>2084</v>
      </c>
      <c r="C2213" s="12" t="s">
        <v>11</v>
      </c>
      <c r="D2213" s="93">
        <v>7.47</v>
      </c>
      <c r="E2213" s="93">
        <v>0.15</v>
      </c>
      <c r="F2213" s="93">
        <v>7.32</v>
      </c>
      <c r="G2213" s="93">
        <v>0</v>
      </c>
      <c r="H2213" s="93">
        <v>0</v>
      </c>
      <c r="N2213" s="88"/>
      <c r="O2213" s="88"/>
      <c r="P2213" s="88"/>
    </row>
    <row r="2214" spans="1:16">
      <c r="A2214" s="94">
        <v>92804</v>
      </c>
      <c r="B2214" s="87" t="s">
        <v>2085</v>
      </c>
      <c r="C2214" s="12" t="s">
        <v>11</v>
      </c>
      <c r="D2214" s="93">
        <v>6.41</v>
      </c>
      <c r="E2214" s="93">
        <v>0.08</v>
      </c>
      <c r="F2214" s="93">
        <v>6.33</v>
      </c>
      <c r="G2214" s="93">
        <v>0</v>
      </c>
      <c r="H2214" s="93">
        <v>0</v>
      </c>
      <c r="N2214" s="88"/>
      <c r="O2214" s="88"/>
      <c r="P2214" s="88"/>
    </row>
    <row r="2215" spans="1:16">
      <c r="A2215" s="94">
        <v>92805</v>
      </c>
      <c r="B2215" s="87" t="s">
        <v>2086</v>
      </c>
      <c r="C2215" s="12" t="s">
        <v>11</v>
      </c>
      <c r="D2215" s="93">
        <v>6.35</v>
      </c>
      <c r="E2215" s="93">
        <v>0.04</v>
      </c>
      <c r="F2215" s="93">
        <v>6.31</v>
      </c>
      <c r="G2215" s="93">
        <v>0</v>
      </c>
      <c r="H2215" s="93">
        <v>0</v>
      </c>
      <c r="N2215" s="88"/>
      <c r="O2215" s="88"/>
      <c r="P2215" s="88"/>
    </row>
    <row r="2216" spans="1:16">
      <c r="A2216" s="94">
        <v>92806</v>
      </c>
      <c r="B2216" s="87" t="s">
        <v>2087</v>
      </c>
      <c r="C2216" s="12" t="s">
        <v>11</v>
      </c>
      <c r="D2216" s="93">
        <v>7.48</v>
      </c>
      <c r="E2216" s="93">
        <v>0.02</v>
      </c>
      <c r="F2216" s="93">
        <v>7.46</v>
      </c>
      <c r="G2216" s="93">
        <v>0</v>
      </c>
      <c r="H2216" s="93">
        <v>0</v>
      </c>
      <c r="N2216" s="88"/>
      <c r="O2216" s="88"/>
      <c r="P2216" s="88"/>
    </row>
    <row r="2217" spans="1:16">
      <c r="A2217" s="94">
        <v>92875</v>
      </c>
      <c r="B2217" s="87" t="s">
        <v>2088</v>
      </c>
      <c r="C2217" s="12" t="s">
        <v>11</v>
      </c>
      <c r="D2217" s="93">
        <v>7.72</v>
      </c>
      <c r="E2217" s="93">
        <v>0.76</v>
      </c>
      <c r="F2217" s="93">
        <v>6.96</v>
      </c>
      <c r="G2217" s="93">
        <v>0</v>
      </c>
      <c r="H2217" s="93">
        <v>0</v>
      </c>
      <c r="N2217" s="88"/>
      <c r="O2217" s="88"/>
      <c r="P2217" s="88"/>
    </row>
    <row r="2218" spans="1:16">
      <c r="A2218" s="94">
        <v>92876</v>
      </c>
      <c r="B2218" s="87" t="s">
        <v>2089</v>
      </c>
      <c r="C2218" s="12" t="s">
        <v>11</v>
      </c>
      <c r="D2218" s="93">
        <v>7.51</v>
      </c>
      <c r="E2218" s="93">
        <v>0.4</v>
      </c>
      <c r="F2218" s="93">
        <v>7.11</v>
      </c>
      <c r="G2218" s="93">
        <v>0</v>
      </c>
      <c r="H2218" s="93">
        <v>0</v>
      </c>
      <c r="N2218" s="88"/>
      <c r="O2218" s="88"/>
      <c r="P2218" s="88"/>
    </row>
    <row r="2219" spans="1:16">
      <c r="A2219" s="94">
        <v>92877</v>
      </c>
      <c r="B2219" s="87" t="s">
        <v>2090</v>
      </c>
      <c r="C2219" s="12" t="s">
        <v>11</v>
      </c>
      <c r="D2219" s="93">
        <v>8.09</v>
      </c>
      <c r="E2219" s="93">
        <v>0.23</v>
      </c>
      <c r="F2219" s="93">
        <v>7.86</v>
      </c>
      <c r="G2219" s="93">
        <v>0</v>
      </c>
      <c r="H2219" s="93">
        <v>0</v>
      </c>
      <c r="N2219" s="88"/>
      <c r="O2219" s="88"/>
      <c r="P2219" s="88"/>
    </row>
    <row r="2220" spans="1:16">
      <c r="A2220" s="94">
        <v>92878</v>
      </c>
      <c r="B2220" s="87" t="s">
        <v>2091</v>
      </c>
      <c r="C2220" s="12" t="s">
        <v>11</v>
      </c>
      <c r="D2220" s="93">
        <v>7.97</v>
      </c>
      <c r="E2220" s="93">
        <v>0.12</v>
      </c>
      <c r="F2220" s="93">
        <v>7.85</v>
      </c>
      <c r="G2220" s="93">
        <v>0</v>
      </c>
      <c r="H2220" s="93">
        <v>0</v>
      </c>
      <c r="N2220" s="88"/>
      <c r="O2220" s="88"/>
      <c r="P2220" s="88"/>
    </row>
    <row r="2221" spans="1:16">
      <c r="A2221" s="94">
        <v>92879</v>
      </c>
      <c r="B2221" s="87" t="s">
        <v>2092</v>
      </c>
      <c r="C2221" s="12" t="s">
        <v>11</v>
      </c>
      <c r="D2221" s="93">
        <v>7.88</v>
      </c>
      <c r="E2221" s="93">
        <v>0.06</v>
      </c>
      <c r="F2221" s="93">
        <v>7.82</v>
      </c>
      <c r="G2221" s="93">
        <v>0</v>
      </c>
      <c r="H2221" s="93">
        <v>0</v>
      </c>
      <c r="N2221" s="88"/>
      <c r="O2221" s="88"/>
      <c r="P2221" s="88"/>
    </row>
    <row r="2222" spans="1:16">
      <c r="A2222" s="94">
        <v>92880</v>
      </c>
      <c r="B2222" s="87" t="s">
        <v>2093</v>
      </c>
      <c r="C2222" s="12" t="s">
        <v>11</v>
      </c>
      <c r="D2222" s="93">
        <v>8.06</v>
      </c>
      <c r="E2222" s="93">
        <v>0.03</v>
      </c>
      <c r="F2222" s="93">
        <v>8.0299999999999994</v>
      </c>
      <c r="G2222" s="93">
        <v>0</v>
      </c>
      <c r="H2222" s="93">
        <v>0</v>
      </c>
      <c r="N2222" s="88"/>
      <c r="O2222" s="88"/>
      <c r="P2222" s="88"/>
    </row>
    <row r="2223" spans="1:16">
      <c r="A2223" s="94">
        <v>92881</v>
      </c>
      <c r="B2223" s="87" t="s">
        <v>2094</v>
      </c>
      <c r="C2223" s="12" t="s">
        <v>11</v>
      </c>
      <c r="D2223" s="93">
        <v>8.0399999999999991</v>
      </c>
      <c r="E2223" s="93">
        <v>0.01</v>
      </c>
      <c r="F2223" s="93">
        <v>8.0299999999999994</v>
      </c>
      <c r="G2223" s="93">
        <v>0</v>
      </c>
      <c r="H2223" s="93">
        <v>0</v>
      </c>
      <c r="N2223" s="88"/>
      <c r="O2223" s="88"/>
      <c r="P2223" s="88"/>
    </row>
    <row r="2224" spans="1:16">
      <c r="A2224" s="94">
        <v>92882</v>
      </c>
      <c r="B2224" s="87" t="s">
        <v>2095</v>
      </c>
      <c r="C2224" s="12" t="s">
        <v>11</v>
      </c>
      <c r="D2224" s="93">
        <v>10.52</v>
      </c>
      <c r="E2224" s="93">
        <v>2.57</v>
      </c>
      <c r="F2224" s="93">
        <v>7.95</v>
      </c>
      <c r="G2224" s="93">
        <v>0</v>
      </c>
      <c r="H2224" s="93">
        <v>0</v>
      </c>
      <c r="N2224" s="88"/>
      <c r="O2224" s="88"/>
      <c r="P2224" s="88"/>
    </row>
    <row r="2225" spans="1:16">
      <c r="A2225" s="94">
        <v>92883</v>
      </c>
      <c r="B2225" s="87" t="s">
        <v>2096</v>
      </c>
      <c r="C2225" s="12" t="s">
        <v>11</v>
      </c>
      <c r="D2225" s="93">
        <v>9.69</v>
      </c>
      <c r="E2225" s="93">
        <v>1.74</v>
      </c>
      <c r="F2225" s="93">
        <v>7.95</v>
      </c>
      <c r="G2225" s="93">
        <v>0</v>
      </c>
      <c r="H2225" s="93">
        <v>0</v>
      </c>
      <c r="N2225" s="88"/>
      <c r="O2225" s="88"/>
      <c r="P2225" s="88"/>
    </row>
    <row r="2226" spans="1:16">
      <c r="A2226" s="94">
        <v>92884</v>
      </c>
      <c r="B2226" s="87" t="s">
        <v>2097</v>
      </c>
      <c r="C2226" s="12" t="s">
        <v>11</v>
      </c>
      <c r="D2226" s="93">
        <v>9.82</v>
      </c>
      <c r="E2226" s="93">
        <v>1.22</v>
      </c>
      <c r="F2226" s="93">
        <v>8.6</v>
      </c>
      <c r="G2226" s="93">
        <v>0</v>
      </c>
      <c r="H2226" s="93">
        <v>0</v>
      </c>
      <c r="N2226" s="88"/>
      <c r="O2226" s="88"/>
      <c r="P2226" s="88"/>
    </row>
    <row r="2227" spans="1:16">
      <c r="A2227" s="94">
        <v>92885</v>
      </c>
      <c r="B2227" s="87" t="s">
        <v>2098</v>
      </c>
      <c r="C2227" s="12" t="s">
        <v>11</v>
      </c>
      <c r="D2227" s="93">
        <v>9.32</v>
      </c>
      <c r="E2227" s="93">
        <v>0.84</v>
      </c>
      <c r="F2227" s="93">
        <v>8.48</v>
      </c>
      <c r="G2227" s="93">
        <v>0</v>
      </c>
      <c r="H2227" s="93">
        <v>0</v>
      </c>
      <c r="N2227" s="88"/>
      <c r="O2227" s="88"/>
      <c r="P2227" s="88"/>
    </row>
    <row r="2228" spans="1:16">
      <c r="A2228" s="94">
        <v>92886</v>
      </c>
      <c r="B2228" s="87" t="s">
        <v>2099</v>
      </c>
      <c r="C2228" s="12" t="s">
        <v>11</v>
      </c>
      <c r="D2228" s="93">
        <v>8.91</v>
      </c>
      <c r="E2228" s="93">
        <v>0.55000000000000004</v>
      </c>
      <c r="F2228" s="93">
        <v>8.36</v>
      </c>
      <c r="G2228" s="93">
        <v>0</v>
      </c>
      <c r="H2228" s="93">
        <v>0</v>
      </c>
      <c r="N2228" s="88"/>
      <c r="O2228" s="88"/>
      <c r="P2228" s="88"/>
    </row>
    <row r="2229" spans="1:16">
      <c r="A2229" s="94">
        <v>92887</v>
      </c>
      <c r="B2229" s="87" t="s">
        <v>2100</v>
      </c>
      <c r="C2229" s="12" t="s">
        <v>11</v>
      </c>
      <c r="D2229" s="93">
        <v>8.85</v>
      </c>
      <c r="E2229" s="93">
        <v>0.35</v>
      </c>
      <c r="F2229" s="93">
        <v>8.5</v>
      </c>
      <c r="G2229" s="93">
        <v>0</v>
      </c>
      <c r="H2229" s="93">
        <v>0</v>
      </c>
      <c r="N2229" s="88"/>
      <c r="O2229" s="88"/>
      <c r="P2229" s="88"/>
    </row>
    <row r="2230" spans="1:16">
      <c r="A2230" s="94">
        <v>92888</v>
      </c>
      <c r="B2230" s="87" t="s">
        <v>2101</v>
      </c>
      <c r="C2230" s="12" t="s">
        <v>11</v>
      </c>
      <c r="D2230" s="93">
        <v>8.64</v>
      </c>
      <c r="E2230" s="93">
        <v>0.19</v>
      </c>
      <c r="F2230" s="93">
        <v>8.4499999999999993</v>
      </c>
      <c r="G2230" s="93">
        <v>0</v>
      </c>
      <c r="H2230" s="93">
        <v>0</v>
      </c>
      <c r="N2230" s="88"/>
      <c r="O2230" s="88"/>
      <c r="P2230" s="88"/>
    </row>
    <row r="2231" spans="1:16">
      <c r="A2231" s="94">
        <v>92915</v>
      </c>
      <c r="B2231" s="87" t="s">
        <v>2102</v>
      </c>
      <c r="C2231" s="12" t="s">
        <v>11</v>
      </c>
      <c r="D2231" s="93">
        <v>13.21</v>
      </c>
      <c r="E2231" s="93">
        <v>4.7300000000000004</v>
      </c>
      <c r="F2231" s="93">
        <v>8.48</v>
      </c>
      <c r="G2231" s="93">
        <v>0</v>
      </c>
      <c r="H2231" s="93">
        <v>0</v>
      </c>
      <c r="N2231" s="88"/>
      <c r="O2231" s="88"/>
      <c r="P2231" s="88"/>
    </row>
    <row r="2232" spans="1:16">
      <c r="A2232" s="94">
        <v>92916</v>
      </c>
      <c r="B2232" s="87" t="s">
        <v>2103</v>
      </c>
      <c r="C2232" s="12" t="s">
        <v>11</v>
      </c>
      <c r="D2232" s="93">
        <v>12.12</v>
      </c>
      <c r="E2232" s="93">
        <v>3.29</v>
      </c>
      <c r="F2232" s="93">
        <v>8.83</v>
      </c>
      <c r="G2232" s="93">
        <v>0</v>
      </c>
      <c r="H2232" s="93">
        <v>0</v>
      </c>
      <c r="N2232" s="88"/>
      <c r="O2232" s="88"/>
      <c r="P2232" s="88"/>
    </row>
    <row r="2233" spans="1:16">
      <c r="A2233" s="94">
        <v>92917</v>
      </c>
      <c r="B2233" s="87" t="s">
        <v>2104</v>
      </c>
      <c r="C2233" s="12" t="s">
        <v>11</v>
      </c>
      <c r="D2233" s="93">
        <v>11.12</v>
      </c>
      <c r="E2233" s="93">
        <v>2.29</v>
      </c>
      <c r="F2233" s="93">
        <v>8.83</v>
      </c>
      <c r="G2233" s="93">
        <v>0</v>
      </c>
      <c r="H2233" s="93">
        <v>0</v>
      </c>
      <c r="N2233" s="88"/>
      <c r="O2233" s="88"/>
      <c r="P2233" s="88"/>
    </row>
    <row r="2234" spans="1:16">
      <c r="A2234" s="94">
        <v>92919</v>
      </c>
      <c r="B2234" s="87" t="s">
        <v>2105</v>
      </c>
      <c r="C2234" s="12" t="s">
        <v>11</v>
      </c>
      <c r="D2234" s="93">
        <v>9.8000000000000007</v>
      </c>
      <c r="E2234" s="93">
        <v>1.62</v>
      </c>
      <c r="F2234" s="93">
        <v>8.18</v>
      </c>
      <c r="G2234" s="93">
        <v>0</v>
      </c>
      <c r="H2234" s="93">
        <v>0</v>
      </c>
      <c r="N2234" s="88"/>
      <c r="O2234" s="88"/>
      <c r="P2234" s="88"/>
    </row>
    <row r="2235" spans="1:16">
      <c r="A2235" s="94">
        <v>92921</v>
      </c>
      <c r="B2235" s="87" t="s">
        <v>2106</v>
      </c>
      <c r="C2235" s="12" t="s">
        <v>11</v>
      </c>
      <c r="D2235" s="93">
        <v>8.18</v>
      </c>
      <c r="E2235" s="93">
        <v>1.1399999999999999</v>
      </c>
      <c r="F2235" s="93">
        <v>7.04</v>
      </c>
      <c r="G2235" s="93">
        <v>0</v>
      </c>
      <c r="H2235" s="93">
        <v>0</v>
      </c>
      <c r="N2235" s="88"/>
      <c r="O2235" s="88"/>
      <c r="P2235" s="88"/>
    </row>
    <row r="2236" spans="1:16">
      <c r="A2236" s="94">
        <v>92922</v>
      </c>
      <c r="B2236" s="87" t="s">
        <v>2107</v>
      </c>
      <c r="C2236" s="12" t="s">
        <v>11</v>
      </c>
      <c r="D2236" s="93">
        <v>7.65</v>
      </c>
      <c r="E2236" s="93">
        <v>0.74</v>
      </c>
      <c r="F2236" s="93">
        <v>6.91</v>
      </c>
      <c r="G2236" s="93">
        <v>0</v>
      </c>
      <c r="H2236" s="93">
        <v>0</v>
      </c>
      <c r="N2236" s="88"/>
      <c r="O2236" s="88"/>
      <c r="P2236" s="88"/>
    </row>
    <row r="2237" spans="1:16">
      <c r="A2237" s="94">
        <v>92923</v>
      </c>
      <c r="B2237" s="87" t="s">
        <v>2108</v>
      </c>
      <c r="C2237" s="12" t="s">
        <v>11</v>
      </c>
      <c r="D2237" s="93">
        <v>8.4600000000000009</v>
      </c>
      <c r="E2237" s="93">
        <v>0.47</v>
      </c>
      <c r="F2237" s="93">
        <v>7.99</v>
      </c>
      <c r="G2237" s="93">
        <v>0</v>
      </c>
      <c r="H2237" s="93">
        <v>0</v>
      </c>
      <c r="N2237" s="88"/>
      <c r="O2237" s="88"/>
      <c r="P2237" s="88"/>
    </row>
    <row r="2238" spans="1:16">
      <c r="A2238" s="94">
        <v>92924</v>
      </c>
      <c r="B2238" s="87" t="s">
        <v>2109</v>
      </c>
      <c r="C2238" s="12" t="s">
        <v>11</v>
      </c>
      <c r="D2238" s="93">
        <v>8.18</v>
      </c>
      <c r="E2238" s="93">
        <v>0.26</v>
      </c>
      <c r="F2238" s="93">
        <v>7.92</v>
      </c>
      <c r="G2238" s="93">
        <v>0</v>
      </c>
      <c r="H2238" s="93">
        <v>0</v>
      </c>
      <c r="N2238" s="88"/>
      <c r="O2238" s="88"/>
      <c r="P2238" s="88"/>
    </row>
    <row r="2239" spans="1:16">
      <c r="A2239" s="94">
        <v>95445</v>
      </c>
      <c r="B2239" s="87" t="s">
        <v>2110</v>
      </c>
      <c r="C2239" s="12" t="s">
        <v>11</v>
      </c>
      <c r="D2239" s="93">
        <v>6.8</v>
      </c>
      <c r="E2239" s="93">
        <v>0.47</v>
      </c>
      <c r="F2239" s="93">
        <v>6.33</v>
      </c>
      <c r="G2239" s="93">
        <v>0</v>
      </c>
      <c r="H2239" s="93">
        <v>0</v>
      </c>
      <c r="N2239" s="88"/>
      <c r="O2239" s="88"/>
      <c r="P2239" s="88"/>
    </row>
    <row r="2240" spans="1:16">
      <c r="A2240" s="94">
        <v>95446</v>
      </c>
      <c r="B2240" s="87" t="s">
        <v>2111</v>
      </c>
      <c r="C2240" s="12" t="s">
        <v>11</v>
      </c>
      <c r="D2240" s="93">
        <v>7.37</v>
      </c>
      <c r="E2240" s="93">
        <v>0.35</v>
      </c>
      <c r="F2240" s="93">
        <v>7.02</v>
      </c>
      <c r="G2240" s="93">
        <v>0</v>
      </c>
      <c r="H2240" s="93">
        <v>0</v>
      </c>
      <c r="N2240" s="88"/>
      <c r="O2240" s="88"/>
      <c r="P2240" s="88"/>
    </row>
    <row r="2241" spans="1:16">
      <c r="A2241" s="94">
        <v>95448</v>
      </c>
      <c r="B2241" s="87" t="s">
        <v>2112</v>
      </c>
      <c r="C2241" s="12" t="s">
        <v>11</v>
      </c>
      <c r="D2241" s="93">
        <v>8.2100000000000009</v>
      </c>
      <c r="E2241" s="93">
        <v>0.01</v>
      </c>
      <c r="F2241" s="93">
        <v>8.1999999999999993</v>
      </c>
      <c r="G2241" s="93">
        <v>0</v>
      </c>
      <c r="H2241" s="93">
        <v>0</v>
      </c>
      <c r="N2241" s="88"/>
      <c r="O2241" s="88"/>
      <c r="P2241" s="88"/>
    </row>
    <row r="2242" spans="1:16">
      <c r="A2242" s="94">
        <v>95576</v>
      </c>
      <c r="B2242" s="87" t="s">
        <v>2113</v>
      </c>
      <c r="C2242" s="12" t="s">
        <v>11</v>
      </c>
      <c r="D2242" s="93">
        <v>10.57</v>
      </c>
      <c r="E2242" s="93">
        <v>2</v>
      </c>
      <c r="F2242" s="93">
        <v>8.57</v>
      </c>
      <c r="G2242" s="93">
        <v>0</v>
      </c>
      <c r="H2242" s="93">
        <v>0</v>
      </c>
      <c r="N2242" s="88"/>
      <c r="O2242" s="88"/>
      <c r="P2242" s="88"/>
    </row>
    <row r="2243" spans="1:16">
      <c r="A2243" s="94">
        <v>95577</v>
      </c>
      <c r="B2243" s="87" t="s">
        <v>2114</v>
      </c>
      <c r="C2243" s="12" t="s">
        <v>11</v>
      </c>
      <c r="D2243" s="93">
        <v>9.5</v>
      </c>
      <c r="E2243" s="93">
        <v>1.51</v>
      </c>
      <c r="F2243" s="93">
        <v>7.99</v>
      </c>
      <c r="G2243" s="93">
        <v>0</v>
      </c>
      <c r="H2243" s="93">
        <v>0</v>
      </c>
      <c r="N2243" s="88"/>
      <c r="O2243" s="88"/>
      <c r="P2243" s="88"/>
    </row>
    <row r="2244" spans="1:16">
      <c r="A2244" s="94">
        <v>95578</v>
      </c>
      <c r="B2244" s="87" t="s">
        <v>2115</v>
      </c>
      <c r="C2244" s="12" t="s">
        <v>11</v>
      </c>
      <c r="D2244" s="93">
        <v>8.08</v>
      </c>
      <c r="E2244" s="93">
        <v>1.1599999999999999</v>
      </c>
      <c r="F2244" s="93">
        <v>6.92</v>
      </c>
      <c r="G2244" s="93">
        <v>0</v>
      </c>
      <c r="H2244" s="93">
        <v>0</v>
      </c>
      <c r="N2244" s="88"/>
      <c r="O2244" s="88"/>
      <c r="P2244" s="88"/>
    </row>
    <row r="2245" spans="1:16">
      <c r="A2245" s="94">
        <v>95579</v>
      </c>
      <c r="B2245" s="87" t="s">
        <v>2116</v>
      </c>
      <c r="C2245" s="12" t="s">
        <v>11</v>
      </c>
      <c r="D2245" s="93">
        <v>7.69</v>
      </c>
      <c r="E2245" s="93">
        <v>0.85</v>
      </c>
      <c r="F2245" s="93">
        <v>6.84</v>
      </c>
      <c r="G2245" s="93">
        <v>0</v>
      </c>
      <c r="H2245" s="93">
        <v>0</v>
      </c>
      <c r="N2245" s="88"/>
      <c r="O2245" s="88"/>
      <c r="P2245" s="88"/>
    </row>
    <row r="2246" spans="1:16">
      <c r="A2246" s="94">
        <v>95580</v>
      </c>
      <c r="B2246" s="87" t="s">
        <v>2117</v>
      </c>
      <c r="C2246" s="12" t="s">
        <v>11</v>
      </c>
      <c r="D2246" s="93">
        <v>8.6300000000000008</v>
      </c>
      <c r="E2246" s="93">
        <v>0.67</v>
      </c>
      <c r="F2246" s="93">
        <v>7.96</v>
      </c>
      <c r="G2246" s="93">
        <v>0</v>
      </c>
      <c r="H2246" s="93">
        <v>0</v>
      </c>
      <c r="N2246" s="88"/>
      <c r="O2246" s="88"/>
      <c r="P2246" s="88"/>
    </row>
    <row r="2247" spans="1:16">
      <c r="A2247" s="94">
        <v>95581</v>
      </c>
      <c r="B2247" s="87" t="s">
        <v>2118</v>
      </c>
      <c r="C2247" s="12" t="s">
        <v>11</v>
      </c>
      <c r="D2247" s="93">
        <v>8.44</v>
      </c>
      <c r="E2247" s="93">
        <v>0.52</v>
      </c>
      <c r="F2247" s="93">
        <v>7.92</v>
      </c>
      <c r="G2247" s="93">
        <v>0</v>
      </c>
      <c r="H2247" s="93">
        <v>0</v>
      </c>
      <c r="N2247" s="88"/>
      <c r="O2247" s="88"/>
      <c r="P2247" s="88"/>
    </row>
    <row r="2248" spans="1:16">
      <c r="A2248" s="94">
        <v>95582</v>
      </c>
      <c r="B2248" s="87" t="s">
        <v>2119</v>
      </c>
      <c r="C2248" s="12" t="s">
        <v>11</v>
      </c>
      <c r="D2248" s="93">
        <v>9.0399999999999991</v>
      </c>
      <c r="E2248" s="93">
        <v>0.42</v>
      </c>
      <c r="F2248" s="93">
        <v>8.6199999999999992</v>
      </c>
      <c r="G2248" s="93">
        <v>0</v>
      </c>
      <c r="H2248" s="93">
        <v>0</v>
      </c>
      <c r="N2248" s="88"/>
      <c r="O2248" s="88"/>
      <c r="P2248" s="88"/>
    </row>
    <row r="2249" spans="1:16">
      <c r="A2249" s="94">
        <v>95583</v>
      </c>
      <c r="B2249" s="87" t="s">
        <v>2120</v>
      </c>
      <c r="C2249" s="12" t="s">
        <v>11</v>
      </c>
      <c r="D2249" s="93">
        <v>13.62</v>
      </c>
      <c r="E2249" s="93">
        <v>5.6</v>
      </c>
      <c r="F2249" s="93">
        <v>8.02</v>
      </c>
      <c r="G2249" s="93">
        <v>0</v>
      </c>
      <c r="H2249" s="93">
        <v>0</v>
      </c>
      <c r="N2249" s="88"/>
      <c r="O2249" s="88"/>
      <c r="P2249" s="88"/>
    </row>
    <row r="2250" spans="1:16">
      <c r="A2250" s="94">
        <v>95584</v>
      </c>
      <c r="B2250" s="87" t="s">
        <v>2121</v>
      </c>
      <c r="C2250" s="12" t="s">
        <v>11</v>
      </c>
      <c r="D2250" s="93">
        <v>11.73</v>
      </c>
      <c r="E2250" s="93">
        <v>3.54</v>
      </c>
      <c r="F2250" s="93">
        <v>8.19</v>
      </c>
      <c r="G2250" s="93">
        <v>0</v>
      </c>
      <c r="H2250" s="93">
        <v>0</v>
      </c>
      <c r="N2250" s="88"/>
      <c r="O2250" s="88"/>
      <c r="P2250" s="88"/>
    </row>
    <row r="2251" spans="1:16">
      <c r="A2251" s="94">
        <v>95585</v>
      </c>
      <c r="B2251" s="87" t="s">
        <v>2122</v>
      </c>
      <c r="C2251" s="12" t="s">
        <v>11</v>
      </c>
      <c r="D2251" s="93">
        <v>10.99</v>
      </c>
      <c r="E2251" s="93">
        <v>2.34</v>
      </c>
      <c r="F2251" s="93">
        <v>8.65</v>
      </c>
      <c r="G2251" s="93">
        <v>0</v>
      </c>
      <c r="H2251" s="93">
        <v>0</v>
      </c>
      <c r="N2251" s="88"/>
      <c r="O2251" s="88"/>
      <c r="P2251" s="88"/>
    </row>
    <row r="2252" spans="1:16">
      <c r="A2252" s="94">
        <v>95586</v>
      </c>
      <c r="B2252" s="87" t="s">
        <v>2123</v>
      </c>
      <c r="C2252" s="12" t="s">
        <v>11</v>
      </c>
      <c r="D2252" s="93">
        <v>9.81</v>
      </c>
      <c r="E2252" s="93">
        <v>1.76</v>
      </c>
      <c r="F2252" s="93">
        <v>8.0500000000000007</v>
      </c>
      <c r="G2252" s="93">
        <v>0</v>
      </c>
      <c r="H2252" s="93">
        <v>0</v>
      </c>
      <c r="N2252" s="88"/>
      <c r="O2252" s="88"/>
      <c r="P2252" s="88"/>
    </row>
    <row r="2253" spans="1:16">
      <c r="A2253" s="94">
        <v>95587</v>
      </c>
      <c r="B2253" s="87" t="s">
        <v>2124</v>
      </c>
      <c r="C2253" s="12" t="s">
        <v>11</v>
      </c>
      <c r="D2253" s="93">
        <v>8.35</v>
      </c>
      <c r="E2253" s="93">
        <v>1.36</v>
      </c>
      <c r="F2253" s="93">
        <v>6.99</v>
      </c>
      <c r="G2253" s="93">
        <v>0</v>
      </c>
      <c r="H2253" s="93">
        <v>0</v>
      </c>
      <c r="N2253" s="88"/>
      <c r="O2253" s="88"/>
      <c r="P2253" s="88"/>
    </row>
    <row r="2254" spans="1:16">
      <c r="A2254" s="94">
        <v>95588</v>
      </c>
      <c r="B2254" s="87" t="s">
        <v>2125</v>
      </c>
      <c r="C2254" s="12" t="s">
        <v>11</v>
      </c>
      <c r="D2254" s="93">
        <v>7.9</v>
      </c>
      <c r="E2254" s="93">
        <v>1.02</v>
      </c>
      <c r="F2254" s="93">
        <v>6.88</v>
      </c>
      <c r="G2254" s="93">
        <v>0</v>
      </c>
      <c r="H2254" s="93">
        <v>0</v>
      </c>
      <c r="N2254" s="88"/>
      <c r="O2254" s="88"/>
      <c r="P2254" s="88"/>
    </row>
    <row r="2255" spans="1:16">
      <c r="A2255" s="94">
        <v>95589</v>
      </c>
      <c r="B2255" s="87" t="s">
        <v>2126</v>
      </c>
      <c r="C2255" s="12" t="s">
        <v>11</v>
      </c>
      <c r="D2255" s="93">
        <v>8.8000000000000007</v>
      </c>
      <c r="E2255" s="93">
        <v>0.8</v>
      </c>
      <c r="F2255" s="93">
        <v>8</v>
      </c>
      <c r="G2255" s="93">
        <v>0</v>
      </c>
      <c r="H2255" s="93">
        <v>0</v>
      </c>
      <c r="N2255" s="88"/>
      <c r="O2255" s="88"/>
      <c r="P2255" s="88"/>
    </row>
    <row r="2256" spans="1:16">
      <c r="A2256" s="94">
        <v>95590</v>
      </c>
      <c r="B2256" s="87" t="s">
        <v>2127</v>
      </c>
      <c r="C2256" s="12" t="s">
        <v>11</v>
      </c>
      <c r="D2256" s="93">
        <v>8.59</v>
      </c>
      <c r="E2256" s="93">
        <v>0.64</v>
      </c>
      <c r="F2256" s="93">
        <v>7.95</v>
      </c>
      <c r="G2256" s="93">
        <v>0</v>
      </c>
      <c r="H2256" s="93">
        <v>0</v>
      </c>
      <c r="N2256" s="88"/>
      <c r="O2256" s="88"/>
      <c r="P2256" s="88"/>
    </row>
    <row r="2257" spans="1:16">
      <c r="A2257" s="94">
        <v>95591</v>
      </c>
      <c r="B2257" s="87" t="s">
        <v>2128</v>
      </c>
      <c r="C2257" s="12" t="s">
        <v>11</v>
      </c>
      <c r="D2257" s="93">
        <v>9.1300000000000008</v>
      </c>
      <c r="E2257" s="93">
        <v>0.49</v>
      </c>
      <c r="F2257" s="93">
        <v>8.64</v>
      </c>
      <c r="G2257" s="93">
        <v>0</v>
      </c>
      <c r="H2257" s="93">
        <v>0</v>
      </c>
      <c r="N2257" s="88"/>
      <c r="O2257" s="88"/>
      <c r="P2257" s="88"/>
    </row>
    <row r="2258" spans="1:16">
      <c r="A2258" s="94">
        <v>95592</v>
      </c>
      <c r="B2258" s="87" t="s">
        <v>2129</v>
      </c>
      <c r="C2258" s="12" t="s">
        <v>11</v>
      </c>
      <c r="D2258" s="93">
        <v>16.57</v>
      </c>
      <c r="E2258" s="93">
        <v>7.57</v>
      </c>
      <c r="F2258" s="93">
        <v>9</v>
      </c>
      <c r="G2258" s="93">
        <v>0</v>
      </c>
      <c r="H2258" s="93">
        <v>0</v>
      </c>
      <c r="N2258" s="88"/>
      <c r="O2258" s="88"/>
      <c r="P2258" s="88"/>
    </row>
    <row r="2259" spans="1:16">
      <c r="A2259" s="94">
        <v>95593</v>
      </c>
      <c r="B2259" s="87" t="s">
        <v>2130</v>
      </c>
      <c r="C2259" s="12" t="s">
        <v>11</v>
      </c>
      <c r="D2259" s="93">
        <v>13.54</v>
      </c>
      <c r="E2259" s="93">
        <v>4.59</v>
      </c>
      <c r="F2259" s="93">
        <v>8.9499999999999993</v>
      </c>
      <c r="G2259" s="93">
        <v>0</v>
      </c>
      <c r="H2259" s="93">
        <v>0</v>
      </c>
      <c r="N2259" s="88"/>
      <c r="O2259" s="88"/>
      <c r="P2259" s="88"/>
    </row>
    <row r="2260" spans="1:16">
      <c r="A2260" s="94">
        <v>95943</v>
      </c>
      <c r="B2260" s="87" t="s">
        <v>5790</v>
      </c>
      <c r="C2260" s="12" t="s">
        <v>11</v>
      </c>
      <c r="D2260" s="93">
        <v>17.37</v>
      </c>
      <c r="E2260" s="93">
        <v>8.01</v>
      </c>
      <c r="F2260" s="93">
        <v>9.36</v>
      </c>
      <c r="G2260" s="93">
        <v>0</v>
      </c>
      <c r="H2260" s="93">
        <v>0</v>
      </c>
      <c r="N2260" s="88"/>
      <c r="O2260" s="88"/>
      <c r="P2260" s="88"/>
    </row>
    <row r="2261" spans="1:16">
      <c r="A2261" s="94">
        <v>95944</v>
      </c>
      <c r="B2261" s="87" t="s">
        <v>5791</v>
      </c>
      <c r="C2261" s="12" t="s">
        <v>11</v>
      </c>
      <c r="D2261" s="93">
        <v>15.79</v>
      </c>
      <c r="E2261" s="93">
        <v>6.2</v>
      </c>
      <c r="F2261" s="93">
        <v>9.59</v>
      </c>
      <c r="G2261" s="93">
        <v>0</v>
      </c>
      <c r="H2261" s="93">
        <v>0</v>
      </c>
      <c r="N2261" s="88"/>
      <c r="O2261" s="88"/>
      <c r="P2261" s="88"/>
    </row>
    <row r="2262" spans="1:16">
      <c r="A2262" s="94">
        <v>95945</v>
      </c>
      <c r="B2262" s="87" t="s">
        <v>5792</v>
      </c>
      <c r="C2262" s="12" t="s">
        <v>11</v>
      </c>
      <c r="D2262" s="93">
        <v>12.77</v>
      </c>
      <c r="E2262" s="93">
        <v>3.6</v>
      </c>
      <c r="F2262" s="93">
        <v>9.17</v>
      </c>
      <c r="G2262" s="93">
        <v>0</v>
      </c>
      <c r="H2262" s="93">
        <v>0</v>
      </c>
      <c r="N2262" s="88"/>
      <c r="O2262" s="88"/>
      <c r="P2262" s="88"/>
    </row>
    <row r="2263" spans="1:16">
      <c r="A2263" s="94">
        <v>95946</v>
      </c>
      <c r="B2263" s="87" t="s">
        <v>5793</v>
      </c>
      <c r="C2263" s="12" t="s">
        <v>11</v>
      </c>
      <c r="D2263" s="93">
        <v>10.16</v>
      </c>
      <c r="E2263" s="93">
        <v>1.92</v>
      </c>
      <c r="F2263" s="93">
        <v>8.24</v>
      </c>
      <c r="G2263" s="93">
        <v>0</v>
      </c>
      <c r="H2263" s="93">
        <v>0</v>
      </c>
      <c r="N2263" s="88"/>
      <c r="O2263" s="88"/>
      <c r="P2263" s="88"/>
    </row>
    <row r="2264" spans="1:16">
      <c r="A2264" s="94">
        <v>95947</v>
      </c>
      <c r="B2264" s="87" t="s">
        <v>5794</v>
      </c>
      <c r="C2264" s="12" t="s">
        <v>11</v>
      </c>
      <c r="D2264" s="93">
        <v>7.83</v>
      </c>
      <c r="E2264" s="93">
        <v>0.86</v>
      </c>
      <c r="F2264" s="93">
        <v>6.97</v>
      </c>
      <c r="G2264" s="93">
        <v>0</v>
      </c>
      <c r="H2264" s="93">
        <v>0</v>
      </c>
      <c r="N2264" s="88"/>
      <c r="O2264" s="88"/>
      <c r="P2264" s="88"/>
    </row>
    <row r="2265" spans="1:16">
      <c r="A2265" s="94">
        <v>95948</v>
      </c>
      <c r="B2265" s="87" t="s">
        <v>5795</v>
      </c>
      <c r="C2265" s="12" t="s">
        <v>11</v>
      </c>
      <c r="D2265" s="93">
        <v>6.9</v>
      </c>
      <c r="E2265" s="93">
        <v>0.16</v>
      </c>
      <c r="F2265" s="93">
        <v>6.74</v>
      </c>
      <c r="G2265" s="93">
        <v>0</v>
      </c>
      <c r="H2265" s="93">
        <v>0</v>
      </c>
      <c r="N2265" s="88"/>
      <c r="O2265" s="88"/>
      <c r="P2265" s="88"/>
    </row>
    <row r="2266" spans="1:16">
      <c r="A2266" s="94">
        <v>96544</v>
      </c>
      <c r="B2266" s="87" t="s">
        <v>2131</v>
      </c>
      <c r="C2266" s="12" t="s">
        <v>11</v>
      </c>
      <c r="D2266" s="93">
        <v>12.98</v>
      </c>
      <c r="E2266" s="93">
        <v>3.92</v>
      </c>
      <c r="F2266" s="93">
        <v>9.06</v>
      </c>
      <c r="G2266" s="93">
        <v>0</v>
      </c>
      <c r="H2266" s="93">
        <v>0</v>
      </c>
      <c r="N2266" s="88"/>
      <c r="O2266" s="88"/>
      <c r="P2266" s="88"/>
    </row>
    <row r="2267" spans="1:16">
      <c r="A2267" s="94">
        <v>96545</v>
      </c>
      <c r="B2267" s="87" t="s">
        <v>2132</v>
      </c>
      <c r="C2267" s="12" t="s">
        <v>11</v>
      </c>
      <c r="D2267" s="93">
        <v>11.81</v>
      </c>
      <c r="E2267" s="93">
        <v>2.81</v>
      </c>
      <c r="F2267" s="93">
        <v>9</v>
      </c>
      <c r="G2267" s="93">
        <v>0</v>
      </c>
      <c r="H2267" s="93">
        <v>0</v>
      </c>
      <c r="N2267" s="88"/>
      <c r="O2267" s="88"/>
      <c r="P2267" s="88"/>
    </row>
    <row r="2268" spans="1:16">
      <c r="A2268" s="94">
        <v>96546</v>
      </c>
      <c r="B2268" s="87" t="s">
        <v>2133</v>
      </c>
      <c r="C2268" s="12" t="s">
        <v>11</v>
      </c>
      <c r="D2268" s="93">
        <v>10.38</v>
      </c>
      <c r="E2268" s="93">
        <v>2.09</v>
      </c>
      <c r="F2268" s="93">
        <v>8.2899999999999991</v>
      </c>
      <c r="G2268" s="93">
        <v>0</v>
      </c>
      <c r="H2268" s="93">
        <v>0</v>
      </c>
      <c r="N2268" s="88"/>
      <c r="O2268" s="88"/>
      <c r="P2268" s="88"/>
    </row>
    <row r="2269" spans="1:16">
      <c r="A2269" s="94">
        <v>96547</v>
      </c>
      <c r="B2269" s="87" t="s">
        <v>2134</v>
      </c>
      <c r="C2269" s="12" t="s">
        <v>11</v>
      </c>
      <c r="D2269" s="93">
        <v>8.69</v>
      </c>
      <c r="E2269" s="93">
        <v>1.52</v>
      </c>
      <c r="F2269" s="93">
        <v>7.17</v>
      </c>
      <c r="G2269" s="93">
        <v>0</v>
      </c>
      <c r="H2269" s="93">
        <v>0</v>
      </c>
      <c r="N2269" s="88"/>
      <c r="O2269" s="88"/>
      <c r="P2269" s="88"/>
    </row>
    <row r="2270" spans="1:16">
      <c r="A2270" s="94">
        <v>96548</v>
      </c>
      <c r="B2270" s="87" t="s">
        <v>2135</v>
      </c>
      <c r="C2270" s="12" t="s">
        <v>11</v>
      </c>
      <c r="D2270" s="93">
        <v>8.08</v>
      </c>
      <c r="E2270" s="93">
        <v>1.08</v>
      </c>
      <c r="F2270" s="93">
        <v>7</v>
      </c>
      <c r="G2270" s="93">
        <v>0</v>
      </c>
      <c r="H2270" s="93">
        <v>0</v>
      </c>
      <c r="N2270" s="88"/>
      <c r="O2270" s="88"/>
      <c r="P2270" s="88"/>
    </row>
    <row r="2271" spans="1:16">
      <c r="A2271" s="94">
        <v>96549</v>
      </c>
      <c r="B2271" s="87" t="s">
        <v>2136</v>
      </c>
      <c r="C2271" s="12" t="s">
        <v>11</v>
      </c>
      <c r="D2271" s="93">
        <v>8.86</v>
      </c>
      <c r="E2271" s="93">
        <v>0.78</v>
      </c>
      <c r="F2271" s="93">
        <v>8.08</v>
      </c>
      <c r="G2271" s="93">
        <v>0</v>
      </c>
      <c r="H2271" s="93">
        <v>0</v>
      </c>
      <c r="N2271" s="88"/>
      <c r="O2271" s="88"/>
      <c r="P2271" s="88"/>
    </row>
    <row r="2272" spans="1:16">
      <c r="A2272" s="94">
        <v>96550</v>
      </c>
      <c r="B2272" s="87" t="s">
        <v>2137</v>
      </c>
      <c r="C2272" s="12" t="s">
        <v>11</v>
      </c>
      <c r="D2272" s="93">
        <v>8.5500000000000007</v>
      </c>
      <c r="E2272" s="93">
        <v>0.53</v>
      </c>
      <c r="F2272" s="93">
        <v>8.02</v>
      </c>
      <c r="G2272" s="93">
        <v>0</v>
      </c>
      <c r="H2272" s="93">
        <v>0</v>
      </c>
      <c r="N2272" s="88"/>
      <c r="O2272" s="88"/>
      <c r="P2272" s="88"/>
    </row>
    <row r="2273" spans="1:16">
      <c r="A2273" s="94">
        <v>100066</v>
      </c>
      <c r="B2273" s="87" t="s">
        <v>2138</v>
      </c>
      <c r="C2273" s="12" t="s">
        <v>11</v>
      </c>
      <c r="D2273" s="93">
        <v>7.23</v>
      </c>
      <c r="E2273" s="93">
        <v>0.47</v>
      </c>
      <c r="F2273" s="93">
        <v>6.76</v>
      </c>
      <c r="G2273" s="93">
        <v>0</v>
      </c>
      <c r="H2273" s="93">
        <v>0</v>
      </c>
      <c r="N2273" s="88"/>
      <c r="O2273" s="88"/>
      <c r="P2273" s="88"/>
    </row>
    <row r="2274" spans="1:16">
      <c r="A2274" s="94">
        <v>100067</v>
      </c>
      <c r="B2274" s="87" t="s">
        <v>2139</v>
      </c>
      <c r="C2274" s="12" t="s">
        <v>11</v>
      </c>
      <c r="D2274" s="93">
        <v>9.64</v>
      </c>
      <c r="E2274" s="93">
        <v>2.0299999999999998</v>
      </c>
      <c r="F2274" s="93">
        <v>7.61</v>
      </c>
      <c r="G2274" s="93">
        <v>0</v>
      </c>
      <c r="H2274" s="93">
        <v>0</v>
      </c>
      <c r="N2274" s="88"/>
      <c r="O2274" s="88"/>
      <c r="P2274" s="88"/>
    </row>
    <row r="2275" spans="1:16">
      <c r="A2275" s="94">
        <v>100068</v>
      </c>
      <c r="B2275" s="87" t="s">
        <v>2140</v>
      </c>
      <c r="C2275" s="12" t="s">
        <v>11</v>
      </c>
      <c r="D2275" s="93">
        <v>7.37</v>
      </c>
      <c r="E2275" s="93">
        <v>0.71</v>
      </c>
      <c r="F2275" s="93">
        <v>6.66</v>
      </c>
      <c r="G2275" s="93">
        <v>0</v>
      </c>
      <c r="H2275" s="93">
        <v>0</v>
      </c>
      <c r="N2275" s="88"/>
      <c r="O2275" s="88"/>
      <c r="P2275" s="88"/>
    </row>
    <row r="2276" spans="1:16">
      <c r="A2276" s="94">
        <v>89993</v>
      </c>
      <c r="B2276" s="87" t="s">
        <v>218</v>
      </c>
      <c r="C2276" s="12" t="s">
        <v>5</v>
      </c>
      <c r="D2276" s="93">
        <v>720.1</v>
      </c>
      <c r="E2276" s="93">
        <v>270.14999999999998</v>
      </c>
      <c r="F2276" s="93">
        <v>447.81</v>
      </c>
      <c r="G2276" s="93">
        <v>1.07</v>
      </c>
      <c r="H2276" s="93">
        <v>0</v>
      </c>
      <c r="N2276" s="88"/>
      <c r="O2276" s="88"/>
      <c r="P2276" s="88"/>
    </row>
    <row r="2277" spans="1:16">
      <c r="A2277" s="94">
        <v>89994</v>
      </c>
      <c r="B2277" s="87" t="s">
        <v>2141</v>
      </c>
      <c r="C2277" s="12" t="s">
        <v>5</v>
      </c>
      <c r="D2277" s="93">
        <v>611.01</v>
      </c>
      <c r="E2277" s="93">
        <v>187.12</v>
      </c>
      <c r="F2277" s="93">
        <v>421.75</v>
      </c>
      <c r="G2277" s="93">
        <v>1.07</v>
      </c>
      <c r="H2277" s="93">
        <v>0</v>
      </c>
      <c r="N2277" s="88"/>
      <c r="O2277" s="88"/>
      <c r="P2277" s="88"/>
    </row>
    <row r="2278" spans="1:16">
      <c r="A2278" s="94">
        <v>89995</v>
      </c>
      <c r="B2278" s="87" t="s">
        <v>2142</v>
      </c>
      <c r="C2278" s="12" t="s">
        <v>5</v>
      </c>
      <c r="D2278" s="93">
        <v>692.2</v>
      </c>
      <c r="E2278" s="93">
        <v>248.92</v>
      </c>
      <c r="F2278" s="93">
        <v>441.14</v>
      </c>
      <c r="G2278" s="93">
        <v>1.07</v>
      </c>
      <c r="H2278" s="93">
        <v>0</v>
      </c>
      <c r="N2278" s="88"/>
      <c r="O2278" s="88"/>
      <c r="P2278" s="88"/>
    </row>
    <row r="2279" spans="1:16">
      <c r="A2279" s="94">
        <v>90278</v>
      </c>
      <c r="B2279" s="87" t="s">
        <v>2143</v>
      </c>
      <c r="C2279" s="12" t="s">
        <v>5</v>
      </c>
      <c r="D2279" s="93">
        <v>367.96</v>
      </c>
      <c r="E2279" s="93">
        <v>65.16</v>
      </c>
      <c r="F2279" s="93">
        <v>300.8</v>
      </c>
      <c r="G2279" s="93">
        <v>1.01</v>
      </c>
      <c r="H2279" s="93">
        <v>0</v>
      </c>
      <c r="N2279" s="88"/>
      <c r="O2279" s="88"/>
      <c r="P2279" s="88"/>
    </row>
    <row r="2280" spans="1:16">
      <c r="A2280" s="94">
        <v>90279</v>
      </c>
      <c r="B2280" s="87" t="s">
        <v>2144</v>
      </c>
      <c r="C2280" s="12" t="s">
        <v>5</v>
      </c>
      <c r="D2280" s="93">
        <v>380.54</v>
      </c>
      <c r="E2280" s="93">
        <v>58.59</v>
      </c>
      <c r="F2280" s="93">
        <v>320.14999999999998</v>
      </c>
      <c r="G2280" s="93">
        <v>0.91</v>
      </c>
      <c r="H2280" s="93">
        <v>0</v>
      </c>
      <c r="N2280" s="88"/>
      <c r="O2280" s="88"/>
      <c r="P2280" s="88"/>
    </row>
    <row r="2281" spans="1:16">
      <c r="A2281" s="94">
        <v>90280</v>
      </c>
      <c r="B2281" s="87" t="s">
        <v>2145</v>
      </c>
      <c r="C2281" s="12" t="s">
        <v>5</v>
      </c>
      <c r="D2281" s="93">
        <v>413.93</v>
      </c>
      <c r="E2281" s="93">
        <v>63.93</v>
      </c>
      <c r="F2281" s="93">
        <v>348.03</v>
      </c>
      <c r="G2281" s="93">
        <v>1</v>
      </c>
      <c r="H2281" s="93">
        <v>0</v>
      </c>
      <c r="N2281" s="88"/>
      <c r="O2281" s="88"/>
      <c r="P2281" s="88"/>
    </row>
    <row r="2282" spans="1:16">
      <c r="A2282" s="94">
        <v>90281</v>
      </c>
      <c r="B2282" s="87" t="s">
        <v>2146</v>
      </c>
      <c r="C2282" s="12" t="s">
        <v>5</v>
      </c>
      <c r="D2282" s="93">
        <v>455.72</v>
      </c>
      <c r="E2282" s="93">
        <v>61.25</v>
      </c>
      <c r="F2282" s="93">
        <v>392.58</v>
      </c>
      <c r="G2282" s="93">
        <v>0.96</v>
      </c>
      <c r="H2282" s="93">
        <v>0</v>
      </c>
      <c r="N2282" s="88"/>
      <c r="O2282" s="88"/>
      <c r="P2282" s="88"/>
    </row>
    <row r="2283" spans="1:16">
      <c r="A2283" s="94">
        <v>90282</v>
      </c>
      <c r="B2283" s="87" t="s">
        <v>2147</v>
      </c>
      <c r="C2283" s="12" t="s">
        <v>5</v>
      </c>
      <c r="D2283" s="93">
        <v>371.6</v>
      </c>
      <c r="E2283" s="93">
        <v>67.41</v>
      </c>
      <c r="F2283" s="93">
        <v>302.10000000000002</v>
      </c>
      <c r="G2283" s="93">
        <v>1.06</v>
      </c>
      <c r="H2283" s="93">
        <v>0</v>
      </c>
      <c r="N2283" s="88"/>
      <c r="O2283" s="88"/>
      <c r="P2283" s="88"/>
    </row>
    <row r="2284" spans="1:16">
      <c r="A2284" s="94">
        <v>90283</v>
      </c>
      <c r="B2284" s="87" t="s">
        <v>2148</v>
      </c>
      <c r="C2284" s="12" t="s">
        <v>5</v>
      </c>
      <c r="D2284" s="93">
        <v>385.5</v>
      </c>
      <c r="E2284" s="93">
        <v>60.65</v>
      </c>
      <c r="F2284" s="93">
        <v>322.98</v>
      </c>
      <c r="G2284" s="93">
        <v>0.95</v>
      </c>
      <c r="H2284" s="93">
        <v>0</v>
      </c>
      <c r="N2284" s="88"/>
      <c r="O2284" s="88"/>
      <c r="P2284" s="88"/>
    </row>
    <row r="2285" spans="1:16">
      <c r="A2285" s="94">
        <v>90284</v>
      </c>
      <c r="B2285" s="87" t="s">
        <v>2149</v>
      </c>
      <c r="C2285" s="12" t="s">
        <v>5</v>
      </c>
      <c r="D2285" s="93">
        <v>419.55</v>
      </c>
      <c r="E2285" s="93">
        <v>65.97</v>
      </c>
      <c r="F2285" s="93">
        <v>351.67</v>
      </c>
      <c r="G2285" s="93">
        <v>0.89</v>
      </c>
      <c r="H2285" s="93">
        <v>0</v>
      </c>
      <c r="N2285" s="88"/>
      <c r="O2285" s="88"/>
      <c r="P2285" s="88"/>
    </row>
    <row r="2286" spans="1:16">
      <c r="A2286" s="94">
        <v>90285</v>
      </c>
      <c r="B2286" s="87" t="s">
        <v>2150</v>
      </c>
      <c r="C2286" s="12" t="s">
        <v>5</v>
      </c>
      <c r="D2286" s="93">
        <v>464.08</v>
      </c>
      <c r="E2286" s="93">
        <v>63.09</v>
      </c>
      <c r="F2286" s="93">
        <v>399.05</v>
      </c>
      <c r="G2286" s="93">
        <v>0.98</v>
      </c>
      <c r="H2286" s="93">
        <v>0</v>
      </c>
      <c r="N2286" s="88"/>
      <c r="O2286" s="88"/>
      <c r="P2286" s="88"/>
    </row>
    <row r="2287" spans="1:16">
      <c r="A2287" s="94">
        <v>90853</v>
      </c>
      <c r="B2287" s="87" t="s">
        <v>2151</v>
      </c>
      <c r="C2287" s="12" t="s">
        <v>5</v>
      </c>
      <c r="D2287" s="93">
        <v>425.01</v>
      </c>
      <c r="E2287" s="93">
        <v>21.35</v>
      </c>
      <c r="F2287" s="93">
        <v>403.54</v>
      </c>
      <c r="G2287" s="93">
        <v>0.06</v>
      </c>
      <c r="H2287" s="93">
        <v>0</v>
      </c>
      <c r="N2287" s="88"/>
      <c r="O2287" s="88"/>
      <c r="P2287" s="88"/>
    </row>
    <row r="2288" spans="1:16">
      <c r="A2288" s="94">
        <v>90854</v>
      </c>
      <c r="B2288" s="87" t="s">
        <v>2152</v>
      </c>
      <c r="C2288" s="12" t="s">
        <v>5</v>
      </c>
      <c r="D2288" s="93">
        <v>411.94</v>
      </c>
      <c r="E2288" s="93">
        <v>19.559999999999999</v>
      </c>
      <c r="F2288" s="93">
        <v>392.28</v>
      </c>
      <c r="G2288" s="93">
        <v>0.05</v>
      </c>
      <c r="H2288" s="93">
        <v>0</v>
      </c>
      <c r="N2288" s="88"/>
      <c r="O2288" s="88"/>
      <c r="P2288" s="88"/>
    </row>
    <row r="2289" spans="1:16">
      <c r="A2289" s="94">
        <v>90855</v>
      </c>
      <c r="B2289" s="87" t="s">
        <v>2153</v>
      </c>
      <c r="C2289" s="12" t="s">
        <v>5</v>
      </c>
      <c r="D2289" s="93">
        <v>451.47</v>
      </c>
      <c r="E2289" s="93">
        <v>30.5</v>
      </c>
      <c r="F2289" s="93">
        <v>420.79</v>
      </c>
      <c r="G2289" s="93">
        <v>0.1</v>
      </c>
      <c r="H2289" s="93">
        <v>0</v>
      </c>
      <c r="N2289" s="88"/>
      <c r="O2289" s="88"/>
      <c r="P2289" s="88"/>
    </row>
    <row r="2290" spans="1:16">
      <c r="A2290" s="94">
        <v>90856</v>
      </c>
      <c r="B2290" s="87" t="s">
        <v>2154</v>
      </c>
      <c r="C2290" s="12" t="s">
        <v>5</v>
      </c>
      <c r="D2290" s="93">
        <v>428.72</v>
      </c>
      <c r="E2290" s="93">
        <v>24.15</v>
      </c>
      <c r="F2290" s="93">
        <v>404.44</v>
      </c>
      <c r="G2290" s="93">
        <v>7.0000000000000007E-2</v>
      </c>
      <c r="H2290" s="93">
        <v>0</v>
      </c>
      <c r="N2290" s="88"/>
      <c r="O2290" s="88"/>
      <c r="P2290" s="88"/>
    </row>
    <row r="2291" spans="1:16">
      <c r="A2291" s="94">
        <v>90857</v>
      </c>
      <c r="B2291" s="87" t="s">
        <v>2155</v>
      </c>
      <c r="C2291" s="12" t="s">
        <v>5</v>
      </c>
      <c r="D2291" s="93">
        <v>414.41</v>
      </c>
      <c r="E2291" s="93">
        <v>21.44</v>
      </c>
      <c r="F2291" s="93">
        <v>392.85</v>
      </c>
      <c r="G2291" s="93">
        <v>0.06</v>
      </c>
      <c r="H2291" s="93">
        <v>0</v>
      </c>
      <c r="N2291" s="88"/>
      <c r="O2291" s="88"/>
      <c r="P2291" s="88"/>
    </row>
    <row r="2292" spans="1:16">
      <c r="A2292" s="94">
        <v>90858</v>
      </c>
      <c r="B2292" s="87" t="s">
        <v>2156</v>
      </c>
      <c r="C2292" s="12" t="s">
        <v>5</v>
      </c>
      <c r="D2292" s="93">
        <v>468.51</v>
      </c>
      <c r="E2292" s="93">
        <v>43.33</v>
      </c>
      <c r="F2292" s="93">
        <v>424.92</v>
      </c>
      <c r="G2292" s="93">
        <v>0.14000000000000001</v>
      </c>
      <c r="H2292" s="93">
        <v>0</v>
      </c>
      <c r="N2292" s="88"/>
      <c r="O2292" s="88"/>
      <c r="P2292" s="88"/>
    </row>
    <row r="2293" spans="1:16">
      <c r="A2293" s="94">
        <v>90859</v>
      </c>
      <c r="B2293" s="87" t="s">
        <v>2157</v>
      </c>
      <c r="C2293" s="12" t="s">
        <v>5</v>
      </c>
      <c r="D2293" s="93">
        <v>425.96</v>
      </c>
      <c r="E2293" s="93">
        <v>15.94</v>
      </c>
      <c r="F2293" s="93">
        <v>410.02</v>
      </c>
      <c r="G2293" s="93">
        <v>0</v>
      </c>
      <c r="H2293" s="93">
        <v>0</v>
      </c>
      <c r="N2293" s="88"/>
      <c r="O2293" s="88"/>
      <c r="P2293" s="88"/>
    </row>
    <row r="2294" spans="1:16">
      <c r="A2294" s="94">
        <v>90860</v>
      </c>
      <c r="B2294" s="87" t="s">
        <v>2158</v>
      </c>
      <c r="C2294" s="12" t="s">
        <v>5</v>
      </c>
      <c r="D2294" s="93">
        <v>431.09</v>
      </c>
      <c r="E2294" s="93">
        <v>19.82</v>
      </c>
      <c r="F2294" s="93">
        <v>411.27</v>
      </c>
      <c r="G2294" s="93">
        <v>0</v>
      </c>
      <c r="H2294" s="93">
        <v>0</v>
      </c>
      <c r="N2294" s="88"/>
      <c r="O2294" s="88"/>
      <c r="P2294" s="88"/>
    </row>
    <row r="2295" spans="1:16">
      <c r="A2295" s="94">
        <v>90861</v>
      </c>
      <c r="B2295" s="87" t="s">
        <v>2159</v>
      </c>
      <c r="C2295" s="12" t="s">
        <v>5</v>
      </c>
      <c r="D2295" s="93">
        <v>418.4</v>
      </c>
      <c r="E2295" s="93">
        <v>21.73</v>
      </c>
      <c r="F2295" s="93">
        <v>396.55</v>
      </c>
      <c r="G2295" s="93">
        <v>0.06</v>
      </c>
      <c r="H2295" s="93">
        <v>0</v>
      </c>
      <c r="N2295" s="88"/>
      <c r="O2295" s="88"/>
      <c r="P2295" s="88"/>
    </row>
    <row r="2296" spans="1:16">
      <c r="A2296" s="94">
        <v>90862</v>
      </c>
      <c r="B2296" s="87" t="s">
        <v>2160</v>
      </c>
      <c r="C2296" s="12" t="s">
        <v>5</v>
      </c>
      <c r="D2296" s="93">
        <v>400.27</v>
      </c>
      <c r="E2296" s="93">
        <v>12.49</v>
      </c>
      <c r="F2296" s="93">
        <v>387.78</v>
      </c>
      <c r="G2296" s="93">
        <v>0</v>
      </c>
      <c r="H2296" s="93">
        <v>0</v>
      </c>
      <c r="N2296" s="88"/>
      <c r="O2296" s="88"/>
      <c r="P2296" s="88"/>
    </row>
    <row r="2297" spans="1:16">
      <c r="A2297" s="94">
        <v>92718</v>
      </c>
      <c r="B2297" s="87" t="s">
        <v>2161</v>
      </c>
      <c r="C2297" s="12" t="s">
        <v>5</v>
      </c>
      <c r="D2297" s="93">
        <v>506.37</v>
      </c>
      <c r="E2297" s="93">
        <v>121.9</v>
      </c>
      <c r="F2297" s="93">
        <v>382.89</v>
      </c>
      <c r="G2297" s="93">
        <v>0.9</v>
      </c>
      <c r="H2297" s="93">
        <v>0</v>
      </c>
      <c r="N2297" s="88"/>
      <c r="O2297" s="88"/>
      <c r="P2297" s="88"/>
    </row>
    <row r="2298" spans="1:16">
      <c r="A2298" s="94">
        <v>92719</v>
      </c>
      <c r="B2298" s="87" t="s">
        <v>2162</v>
      </c>
      <c r="C2298" s="12" t="s">
        <v>5</v>
      </c>
      <c r="D2298" s="93">
        <v>372.96</v>
      </c>
      <c r="E2298" s="93">
        <v>23.27</v>
      </c>
      <c r="F2298" s="93">
        <v>349.39</v>
      </c>
      <c r="G2298" s="93">
        <v>0.16</v>
      </c>
      <c r="H2298" s="93">
        <v>0</v>
      </c>
      <c r="N2298" s="88"/>
      <c r="O2298" s="88"/>
      <c r="P2298" s="88"/>
    </row>
    <row r="2299" spans="1:16">
      <c r="A2299" s="94">
        <v>92720</v>
      </c>
      <c r="B2299" s="87" t="s">
        <v>2163</v>
      </c>
      <c r="C2299" s="12" t="s">
        <v>5</v>
      </c>
      <c r="D2299" s="93">
        <v>396.59</v>
      </c>
      <c r="E2299" s="93">
        <v>19.43</v>
      </c>
      <c r="F2299" s="93">
        <v>377.03</v>
      </c>
      <c r="G2299" s="93">
        <v>7.0000000000000007E-2</v>
      </c>
      <c r="H2299" s="93">
        <v>0</v>
      </c>
      <c r="N2299" s="88"/>
      <c r="O2299" s="88"/>
      <c r="P2299" s="88"/>
    </row>
    <row r="2300" spans="1:16">
      <c r="A2300" s="94">
        <v>92721</v>
      </c>
      <c r="B2300" s="87" t="s">
        <v>2164</v>
      </c>
      <c r="C2300" s="12" t="s">
        <v>5</v>
      </c>
      <c r="D2300" s="93">
        <v>364.78</v>
      </c>
      <c r="E2300" s="93">
        <v>17.25</v>
      </c>
      <c r="F2300" s="93">
        <v>347.33</v>
      </c>
      <c r="G2300" s="93">
        <v>0.1</v>
      </c>
      <c r="H2300" s="93">
        <v>0</v>
      </c>
      <c r="N2300" s="88"/>
      <c r="O2300" s="88"/>
      <c r="P2300" s="88"/>
    </row>
    <row r="2301" spans="1:16">
      <c r="A2301" s="94">
        <v>92722</v>
      </c>
      <c r="B2301" s="87" t="s">
        <v>2165</v>
      </c>
      <c r="C2301" s="12" t="s">
        <v>5</v>
      </c>
      <c r="D2301" s="93">
        <v>393.25</v>
      </c>
      <c r="E2301" s="93">
        <v>17.03</v>
      </c>
      <c r="F2301" s="93">
        <v>376.1</v>
      </c>
      <c r="G2301" s="93">
        <v>7.0000000000000007E-2</v>
      </c>
      <c r="H2301" s="93">
        <v>0</v>
      </c>
      <c r="N2301" s="88"/>
      <c r="O2301" s="88"/>
      <c r="P2301" s="88"/>
    </row>
    <row r="2302" spans="1:16">
      <c r="A2302" s="94">
        <v>92723</v>
      </c>
      <c r="B2302" s="87" t="s">
        <v>2166</v>
      </c>
      <c r="C2302" s="12" t="s">
        <v>5</v>
      </c>
      <c r="D2302" s="93">
        <v>386.82</v>
      </c>
      <c r="E2302" s="93">
        <v>21.26</v>
      </c>
      <c r="F2302" s="93">
        <v>365.39</v>
      </c>
      <c r="G2302" s="93">
        <v>0.09</v>
      </c>
      <c r="H2302" s="93">
        <v>0</v>
      </c>
      <c r="N2302" s="88"/>
      <c r="O2302" s="88"/>
      <c r="P2302" s="88"/>
    </row>
    <row r="2303" spans="1:16">
      <c r="A2303" s="94">
        <v>92724</v>
      </c>
      <c r="B2303" s="87" t="s">
        <v>2167</v>
      </c>
      <c r="C2303" s="12" t="s">
        <v>5</v>
      </c>
      <c r="D2303" s="93">
        <v>383.79</v>
      </c>
      <c r="E2303" s="93">
        <v>18.989999999999998</v>
      </c>
      <c r="F2303" s="93">
        <v>364.67</v>
      </c>
      <c r="G2303" s="93">
        <v>7.0000000000000007E-2</v>
      </c>
      <c r="H2303" s="93">
        <v>0</v>
      </c>
      <c r="N2303" s="88"/>
      <c r="O2303" s="88"/>
      <c r="P2303" s="88"/>
    </row>
    <row r="2304" spans="1:16">
      <c r="A2304" s="94">
        <v>92725</v>
      </c>
      <c r="B2304" s="87" t="s">
        <v>2168</v>
      </c>
      <c r="C2304" s="12" t="s">
        <v>5</v>
      </c>
      <c r="D2304" s="93">
        <v>382.52</v>
      </c>
      <c r="E2304" s="93">
        <v>18.04</v>
      </c>
      <c r="F2304" s="93">
        <v>364.36</v>
      </c>
      <c r="G2304" s="93">
        <v>7.0000000000000007E-2</v>
      </c>
      <c r="H2304" s="93">
        <v>0</v>
      </c>
      <c r="N2304" s="88"/>
      <c r="O2304" s="88"/>
      <c r="P2304" s="88"/>
    </row>
    <row r="2305" spans="1:16">
      <c r="A2305" s="94">
        <v>92726</v>
      </c>
      <c r="B2305" s="87" t="s">
        <v>2169</v>
      </c>
      <c r="C2305" s="12" t="s">
        <v>5</v>
      </c>
      <c r="D2305" s="93">
        <v>380.37</v>
      </c>
      <c r="E2305" s="93">
        <v>16.41</v>
      </c>
      <c r="F2305" s="93">
        <v>363.86</v>
      </c>
      <c r="G2305" s="93">
        <v>0.06</v>
      </c>
      <c r="H2305" s="93">
        <v>0</v>
      </c>
      <c r="N2305" s="88"/>
      <c r="O2305" s="88"/>
      <c r="P2305" s="88"/>
    </row>
    <row r="2306" spans="1:16">
      <c r="A2306" s="94">
        <v>92727</v>
      </c>
      <c r="B2306" s="87" t="s">
        <v>2170</v>
      </c>
      <c r="C2306" s="12" t="s">
        <v>5</v>
      </c>
      <c r="D2306" s="93">
        <v>446.38</v>
      </c>
      <c r="E2306" s="93">
        <v>83.84</v>
      </c>
      <c r="F2306" s="93">
        <v>361.98</v>
      </c>
      <c r="G2306" s="93">
        <v>0.26</v>
      </c>
      <c r="H2306" s="93">
        <v>0</v>
      </c>
      <c r="N2306" s="88"/>
      <c r="O2306" s="88"/>
      <c r="P2306" s="88"/>
    </row>
    <row r="2307" spans="1:16">
      <c r="A2307" s="94">
        <v>92728</v>
      </c>
      <c r="B2307" s="87" t="s">
        <v>2171</v>
      </c>
      <c r="C2307" s="12" t="s">
        <v>5</v>
      </c>
      <c r="D2307" s="93">
        <v>425.36</v>
      </c>
      <c r="E2307" s="93">
        <v>68.430000000000007</v>
      </c>
      <c r="F2307" s="93">
        <v>356.49</v>
      </c>
      <c r="G2307" s="93">
        <v>0.2</v>
      </c>
      <c r="H2307" s="93">
        <v>0</v>
      </c>
      <c r="N2307" s="88"/>
      <c r="O2307" s="88"/>
      <c r="P2307" s="88"/>
    </row>
    <row r="2308" spans="1:16">
      <c r="A2308" s="94">
        <v>92729</v>
      </c>
      <c r="B2308" s="87" t="s">
        <v>2172</v>
      </c>
      <c r="C2308" s="12" t="s">
        <v>5</v>
      </c>
      <c r="D2308" s="93">
        <v>416.48</v>
      </c>
      <c r="E2308" s="93">
        <v>61.92</v>
      </c>
      <c r="F2308" s="93">
        <v>354.18</v>
      </c>
      <c r="G2308" s="93">
        <v>0.17</v>
      </c>
      <c r="H2308" s="93">
        <v>0</v>
      </c>
      <c r="N2308" s="88"/>
      <c r="O2308" s="88"/>
      <c r="P2308" s="88"/>
    </row>
    <row r="2309" spans="1:16">
      <c r="A2309" s="94">
        <v>92730</v>
      </c>
      <c r="B2309" s="87" t="s">
        <v>2173</v>
      </c>
      <c r="C2309" s="12" t="s">
        <v>5</v>
      </c>
      <c r="D2309" s="93">
        <v>401.64</v>
      </c>
      <c r="E2309" s="93">
        <v>51.03</v>
      </c>
      <c r="F2309" s="93">
        <v>350.3</v>
      </c>
      <c r="G2309" s="93">
        <v>0.14000000000000001</v>
      </c>
      <c r="H2309" s="93">
        <v>0</v>
      </c>
      <c r="N2309" s="88"/>
      <c r="O2309" s="88"/>
      <c r="P2309" s="88"/>
    </row>
    <row r="2310" spans="1:16">
      <c r="A2310" s="94">
        <v>92731</v>
      </c>
      <c r="B2310" s="87" t="s">
        <v>2174</v>
      </c>
      <c r="C2310" s="12" t="s">
        <v>5</v>
      </c>
      <c r="D2310" s="93">
        <v>418.46</v>
      </c>
      <c r="E2310" s="93">
        <v>63.22</v>
      </c>
      <c r="F2310" s="93">
        <v>354.96</v>
      </c>
      <c r="G2310" s="93">
        <v>0.13</v>
      </c>
      <c r="H2310" s="93">
        <v>0</v>
      </c>
      <c r="N2310" s="88"/>
      <c r="O2310" s="88"/>
      <c r="P2310" s="88"/>
    </row>
    <row r="2311" spans="1:16">
      <c r="A2311" s="94">
        <v>92732</v>
      </c>
      <c r="B2311" s="87" t="s">
        <v>2175</v>
      </c>
      <c r="C2311" s="12" t="s">
        <v>5</v>
      </c>
      <c r="D2311" s="93">
        <v>404.12</v>
      </c>
      <c r="E2311" s="93">
        <v>52.74</v>
      </c>
      <c r="F2311" s="93">
        <v>351.15</v>
      </c>
      <c r="G2311" s="93">
        <v>0.11</v>
      </c>
      <c r="H2311" s="93">
        <v>0</v>
      </c>
      <c r="N2311" s="88"/>
      <c r="O2311" s="88"/>
      <c r="P2311" s="88"/>
    </row>
    <row r="2312" spans="1:16">
      <c r="A2312" s="94">
        <v>92733</v>
      </c>
      <c r="B2312" s="87" t="s">
        <v>2176</v>
      </c>
      <c r="C2312" s="12" t="s">
        <v>5</v>
      </c>
      <c r="D2312" s="93">
        <v>398.02</v>
      </c>
      <c r="E2312" s="93">
        <v>48.26</v>
      </c>
      <c r="F2312" s="93">
        <v>349.58</v>
      </c>
      <c r="G2312" s="93">
        <v>0.08</v>
      </c>
      <c r="H2312" s="93">
        <v>0</v>
      </c>
      <c r="N2312" s="88"/>
      <c r="O2312" s="88"/>
      <c r="P2312" s="88"/>
    </row>
    <row r="2313" spans="1:16">
      <c r="A2313" s="94">
        <v>92734</v>
      </c>
      <c r="B2313" s="87" t="s">
        <v>2177</v>
      </c>
      <c r="C2313" s="12" t="s">
        <v>5</v>
      </c>
      <c r="D2313" s="93">
        <v>387.89</v>
      </c>
      <c r="E2313" s="93">
        <v>40.86</v>
      </c>
      <c r="F2313" s="93">
        <v>346.87</v>
      </c>
      <c r="G2313" s="93">
        <v>0.08</v>
      </c>
      <c r="H2313" s="93">
        <v>0</v>
      </c>
      <c r="N2313" s="88"/>
      <c r="O2313" s="88"/>
      <c r="P2313" s="88"/>
    </row>
    <row r="2314" spans="1:16">
      <c r="A2314" s="94">
        <v>92735</v>
      </c>
      <c r="B2314" s="87" t="s">
        <v>2178</v>
      </c>
      <c r="C2314" s="12" t="s">
        <v>5</v>
      </c>
      <c r="D2314" s="93">
        <v>396.55</v>
      </c>
      <c r="E2314" s="93">
        <v>48.89</v>
      </c>
      <c r="F2314" s="93">
        <v>347.22</v>
      </c>
      <c r="G2314" s="93">
        <v>0.2</v>
      </c>
      <c r="H2314" s="93">
        <v>0</v>
      </c>
      <c r="N2314" s="88"/>
      <c r="O2314" s="88"/>
      <c r="P2314" s="88"/>
    </row>
    <row r="2315" spans="1:16">
      <c r="A2315" s="94">
        <v>92736</v>
      </c>
      <c r="B2315" s="87" t="s">
        <v>2179</v>
      </c>
      <c r="C2315" s="12" t="s">
        <v>5</v>
      </c>
      <c r="D2315" s="93">
        <v>385.1</v>
      </c>
      <c r="E2315" s="93">
        <v>40.22</v>
      </c>
      <c r="F2315" s="93">
        <v>344.53</v>
      </c>
      <c r="G2315" s="93">
        <v>0.16</v>
      </c>
      <c r="H2315" s="93">
        <v>0</v>
      </c>
      <c r="N2315" s="88"/>
      <c r="O2315" s="88"/>
      <c r="P2315" s="88"/>
    </row>
    <row r="2316" spans="1:16">
      <c r="A2316" s="94">
        <v>92739</v>
      </c>
      <c r="B2316" s="87" t="s">
        <v>2180</v>
      </c>
      <c r="C2316" s="12" t="s">
        <v>5</v>
      </c>
      <c r="D2316" s="93">
        <v>368.5</v>
      </c>
      <c r="E2316" s="93">
        <v>27.61</v>
      </c>
      <c r="F2316" s="93">
        <v>340.67</v>
      </c>
      <c r="G2316" s="93">
        <v>0.11</v>
      </c>
      <c r="H2316" s="93">
        <v>0</v>
      </c>
      <c r="N2316" s="88"/>
      <c r="O2316" s="88"/>
      <c r="P2316" s="88"/>
    </row>
    <row r="2317" spans="1:16">
      <c r="A2317" s="94">
        <v>92740</v>
      </c>
      <c r="B2317" s="87" t="s">
        <v>2181</v>
      </c>
      <c r="C2317" s="12" t="s">
        <v>5</v>
      </c>
      <c r="D2317" s="93">
        <v>362.84</v>
      </c>
      <c r="E2317" s="93">
        <v>23.31</v>
      </c>
      <c r="F2317" s="93">
        <v>339.36</v>
      </c>
      <c r="G2317" s="93">
        <v>0.08</v>
      </c>
      <c r="H2317" s="93">
        <v>0</v>
      </c>
      <c r="N2317" s="88"/>
      <c r="O2317" s="88"/>
      <c r="P2317" s="88"/>
    </row>
    <row r="2318" spans="1:16">
      <c r="A2318" s="94">
        <v>92741</v>
      </c>
      <c r="B2318" s="87" t="s">
        <v>2182</v>
      </c>
      <c r="C2318" s="12" t="s">
        <v>5</v>
      </c>
      <c r="D2318" s="93">
        <v>563.37</v>
      </c>
      <c r="E2318" s="93">
        <v>170.82</v>
      </c>
      <c r="F2318" s="93">
        <v>391.3</v>
      </c>
      <c r="G2318" s="93">
        <v>0.63</v>
      </c>
      <c r="H2318" s="93">
        <v>0</v>
      </c>
      <c r="N2318" s="88"/>
      <c r="O2318" s="88"/>
      <c r="P2318" s="88"/>
    </row>
    <row r="2319" spans="1:16">
      <c r="A2319" s="94">
        <v>92742</v>
      </c>
      <c r="B2319" s="87" t="s">
        <v>2183</v>
      </c>
      <c r="C2319" s="12" t="s">
        <v>5</v>
      </c>
      <c r="D2319" s="93">
        <v>775.23</v>
      </c>
      <c r="E2319" s="93">
        <v>327.29000000000002</v>
      </c>
      <c r="F2319" s="93">
        <v>445.52</v>
      </c>
      <c r="G2319" s="93">
        <v>1.22</v>
      </c>
      <c r="H2319" s="93">
        <v>0</v>
      </c>
      <c r="N2319" s="88"/>
      <c r="O2319" s="88"/>
      <c r="P2319" s="88"/>
    </row>
    <row r="2320" spans="1:16">
      <c r="A2320" s="94">
        <v>92873</v>
      </c>
      <c r="B2320" s="87" t="s">
        <v>219</v>
      </c>
      <c r="C2320" s="12" t="s">
        <v>5</v>
      </c>
      <c r="D2320" s="93">
        <v>164.97</v>
      </c>
      <c r="E2320" s="93">
        <v>121.95</v>
      </c>
      <c r="F2320" s="93">
        <v>41.44</v>
      </c>
      <c r="G2320" s="93">
        <v>0.9</v>
      </c>
      <c r="H2320" s="93">
        <v>0</v>
      </c>
      <c r="N2320" s="88"/>
      <c r="O2320" s="88"/>
      <c r="P2320" s="88"/>
    </row>
    <row r="2321" spans="1:16">
      <c r="A2321" s="94">
        <v>92874</v>
      </c>
      <c r="B2321" s="87" t="s">
        <v>2184</v>
      </c>
      <c r="C2321" s="12" t="s">
        <v>5</v>
      </c>
      <c r="D2321" s="93">
        <v>26.75</v>
      </c>
      <c r="E2321" s="93">
        <v>19.55</v>
      </c>
      <c r="F2321" s="93">
        <v>7.07</v>
      </c>
      <c r="G2321" s="93">
        <v>7.0000000000000007E-2</v>
      </c>
      <c r="H2321" s="93">
        <v>0</v>
      </c>
      <c r="N2321" s="88"/>
      <c r="O2321" s="88"/>
      <c r="P2321" s="88"/>
    </row>
    <row r="2322" spans="1:16">
      <c r="A2322" s="94">
        <v>94962</v>
      </c>
      <c r="B2322" s="87" t="s">
        <v>2185</v>
      </c>
      <c r="C2322" s="12" t="s">
        <v>5</v>
      </c>
      <c r="D2322" s="93">
        <v>320.17</v>
      </c>
      <c r="E2322" s="93">
        <v>55.21</v>
      </c>
      <c r="F2322" s="93">
        <v>263.66000000000003</v>
      </c>
      <c r="G2322" s="93">
        <v>0.53</v>
      </c>
      <c r="H2322" s="93">
        <v>0</v>
      </c>
      <c r="N2322" s="88"/>
      <c r="O2322" s="88"/>
      <c r="P2322" s="88"/>
    </row>
    <row r="2323" spans="1:16">
      <c r="A2323" s="94">
        <v>94963</v>
      </c>
      <c r="B2323" s="87" t="s">
        <v>2186</v>
      </c>
      <c r="C2323" s="12" t="s">
        <v>5</v>
      </c>
      <c r="D2323" s="93">
        <v>347.19</v>
      </c>
      <c r="E2323" s="93">
        <v>54.9</v>
      </c>
      <c r="F2323" s="93">
        <v>290.99</v>
      </c>
      <c r="G2323" s="93">
        <v>0.53</v>
      </c>
      <c r="H2323" s="93">
        <v>0</v>
      </c>
      <c r="N2323" s="88"/>
      <c r="O2323" s="88"/>
      <c r="P2323" s="88"/>
    </row>
    <row r="2324" spans="1:16">
      <c r="A2324" s="94">
        <v>94964</v>
      </c>
      <c r="B2324" s="87" t="s">
        <v>220</v>
      </c>
      <c r="C2324" s="12" t="s">
        <v>5</v>
      </c>
      <c r="D2324" s="93">
        <v>372.8</v>
      </c>
      <c r="E2324" s="93">
        <v>59.69</v>
      </c>
      <c r="F2324" s="93">
        <v>311.7</v>
      </c>
      <c r="G2324" s="93">
        <v>0.56999999999999995</v>
      </c>
      <c r="H2324" s="93">
        <v>0</v>
      </c>
      <c r="N2324" s="88"/>
      <c r="O2324" s="88"/>
      <c r="P2324" s="88"/>
    </row>
    <row r="2325" spans="1:16">
      <c r="A2325" s="94">
        <v>94965</v>
      </c>
      <c r="B2325" s="87" t="s">
        <v>2187</v>
      </c>
      <c r="C2325" s="12" t="s">
        <v>5</v>
      </c>
      <c r="D2325" s="93">
        <v>382.04</v>
      </c>
      <c r="E2325" s="93">
        <v>54.49</v>
      </c>
      <c r="F2325" s="93">
        <v>326.26</v>
      </c>
      <c r="G2325" s="93">
        <v>0.53</v>
      </c>
      <c r="H2325" s="93">
        <v>0</v>
      </c>
      <c r="N2325" s="88"/>
      <c r="O2325" s="88"/>
      <c r="P2325" s="88"/>
    </row>
    <row r="2326" spans="1:16">
      <c r="A2326" s="94">
        <v>94966</v>
      </c>
      <c r="B2326" s="87" t="s">
        <v>2188</v>
      </c>
      <c r="C2326" s="12" t="s">
        <v>5</v>
      </c>
      <c r="D2326" s="93">
        <v>392.41</v>
      </c>
      <c r="E2326" s="93">
        <v>54.17</v>
      </c>
      <c r="F2326" s="93">
        <v>336.96</v>
      </c>
      <c r="G2326" s="93">
        <v>0.52</v>
      </c>
      <c r="H2326" s="93">
        <v>0</v>
      </c>
      <c r="N2326" s="88"/>
      <c r="O2326" s="88"/>
      <c r="P2326" s="88"/>
    </row>
    <row r="2327" spans="1:16">
      <c r="A2327" s="94">
        <v>94967</v>
      </c>
      <c r="B2327" s="87" t="s">
        <v>2189</v>
      </c>
      <c r="C2327" s="12" t="s">
        <v>5</v>
      </c>
      <c r="D2327" s="93">
        <v>438.62</v>
      </c>
      <c r="E2327" s="93">
        <v>57.49</v>
      </c>
      <c r="F2327" s="93">
        <v>379.78</v>
      </c>
      <c r="G2327" s="93">
        <v>0.55000000000000004</v>
      </c>
      <c r="H2327" s="93">
        <v>0</v>
      </c>
      <c r="N2327" s="88"/>
      <c r="O2327" s="88"/>
      <c r="P2327" s="88"/>
    </row>
    <row r="2328" spans="1:16">
      <c r="A2328" s="94">
        <v>94968</v>
      </c>
      <c r="B2328" s="87" t="s">
        <v>2190</v>
      </c>
      <c r="C2328" s="12" t="s">
        <v>5</v>
      </c>
      <c r="D2328" s="93">
        <v>316.86</v>
      </c>
      <c r="E2328" s="93">
        <v>49.69</v>
      </c>
      <c r="F2328" s="93">
        <v>263.70999999999998</v>
      </c>
      <c r="G2328" s="93">
        <v>2.0499999999999998</v>
      </c>
      <c r="H2328" s="93">
        <v>0</v>
      </c>
      <c r="N2328" s="88"/>
      <c r="O2328" s="88"/>
      <c r="P2328" s="88"/>
    </row>
    <row r="2329" spans="1:16">
      <c r="A2329" s="94">
        <v>94969</v>
      </c>
      <c r="B2329" s="87" t="s">
        <v>2191</v>
      </c>
      <c r="C2329" s="12" t="s">
        <v>5</v>
      </c>
      <c r="D2329" s="93">
        <v>341.08</v>
      </c>
      <c r="E2329" s="93">
        <v>47.81</v>
      </c>
      <c r="F2329" s="93">
        <v>289.95</v>
      </c>
      <c r="G2329" s="93">
        <v>1.97</v>
      </c>
      <c r="H2329" s="93">
        <v>0</v>
      </c>
      <c r="N2329" s="88"/>
      <c r="O2329" s="88"/>
      <c r="P2329" s="88"/>
    </row>
    <row r="2330" spans="1:16">
      <c r="A2330" s="94">
        <v>94970</v>
      </c>
      <c r="B2330" s="87" t="s">
        <v>221</v>
      </c>
      <c r="C2330" s="12" t="s">
        <v>5</v>
      </c>
      <c r="D2330" s="93">
        <v>361.39</v>
      </c>
      <c r="E2330" s="93">
        <v>47.81</v>
      </c>
      <c r="F2330" s="93">
        <v>310.26</v>
      </c>
      <c r="G2330" s="93">
        <v>1.97</v>
      </c>
      <c r="H2330" s="93">
        <v>0</v>
      </c>
      <c r="N2330" s="88"/>
      <c r="O2330" s="88"/>
      <c r="P2330" s="88"/>
    </row>
    <row r="2331" spans="1:16">
      <c r="A2331" s="94">
        <v>94971</v>
      </c>
      <c r="B2331" s="87" t="s">
        <v>2192</v>
      </c>
      <c r="C2331" s="12" t="s">
        <v>5</v>
      </c>
      <c r="D2331" s="93">
        <v>375.81</v>
      </c>
      <c r="E2331" s="93">
        <v>46.67</v>
      </c>
      <c r="F2331" s="93">
        <v>325.91000000000003</v>
      </c>
      <c r="G2331" s="93">
        <v>1.92</v>
      </c>
      <c r="H2331" s="93">
        <v>0</v>
      </c>
      <c r="N2331" s="88"/>
      <c r="O2331" s="88"/>
      <c r="P2331" s="88"/>
    </row>
    <row r="2332" spans="1:16">
      <c r="A2332" s="94">
        <v>94972</v>
      </c>
      <c r="B2332" s="87" t="s">
        <v>2193</v>
      </c>
      <c r="C2332" s="12" t="s">
        <v>5</v>
      </c>
      <c r="D2332" s="93">
        <v>386.01</v>
      </c>
      <c r="E2332" s="93">
        <v>46.24</v>
      </c>
      <c r="F2332" s="93">
        <v>336.54</v>
      </c>
      <c r="G2332" s="93">
        <v>1.92</v>
      </c>
      <c r="H2332" s="93">
        <v>0</v>
      </c>
      <c r="N2332" s="88"/>
      <c r="O2332" s="88"/>
      <c r="P2332" s="88"/>
    </row>
    <row r="2333" spans="1:16">
      <c r="A2333" s="94">
        <v>94973</v>
      </c>
      <c r="B2333" s="87" t="s">
        <v>2194</v>
      </c>
      <c r="C2333" s="12" t="s">
        <v>5</v>
      </c>
      <c r="D2333" s="93">
        <v>430.73</v>
      </c>
      <c r="E2333" s="93">
        <v>47.81</v>
      </c>
      <c r="F2333" s="93">
        <v>379.6</v>
      </c>
      <c r="G2333" s="93">
        <v>1.97</v>
      </c>
      <c r="H2333" s="93">
        <v>0</v>
      </c>
      <c r="N2333" s="88"/>
      <c r="O2333" s="88"/>
      <c r="P2333" s="88"/>
    </row>
    <row r="2334" spans="1:16">
      <c r="A2334" s="94">
        <v>94974</v>
      </c>
      <c r="B2334" s="87" t="s">
        <v>2195</v>
      </c>
      <c r="C2334" s="12" t="s">
        <v>5</v>
      </c>
      <c r="D2334" s="93">
        <v>406.58</v>
      </c>
      <c r="E2334" s="93">
        <v>106.4</v>
      </c>
      <c r="F2334" s="93">
        <v>300.18</v>
      </c>
      <c r="G2334" s="93">
        <v>0</v>
      </c>
      <c r="H2334" s="93">
        <v>0</v>
      </c>
      <c r="N2334" s="88"/>
      <c r="O2334" s="88"/>
      <c r="P2334" s="88"/>
    </row>
    <row r="2335" spans="1:16">
      <c r="A2335" s="94">
        <v>94975</v>
      </c>
      <c r="B2335" s="87" t="s">
        <v>2196</v>
      </c>
      <c r="C2335" s="12" t="s">
        <v>5</v>
      </c>
      <c r="D2335" s="93">
        <v>431.15</v>
      </c>
      <c r="E2335" s="93">
        <v>106.6</v>
      </c>
      <c r="F2335" s="93">
        <v>324.55</v>
      </c>
      <c r="G2335" s="93">
        <v>0</v>
      </c>
      <c r="H2335" s="93">
        <v>0</v>
      </c>
      <c r="N2335" s="88"/>
      <c r="O2335" s="88"/>
      <c r="P2335" s="88"/>
    </row>
    <row r="2336" spans="1:16">
      <c r="A2336" s="94">
        <v>96555</v>
      </c>
      <c r="B2336" s="87" t="s">
        <v>2197</v>
      </c>
      <c r="C2336" s="12" t="s">
        <v>5</v>
      </c>
      <c r="D2336" s="93">
        <v>533.58000000000004</v>
      </c>
      <c r="E2336" s="93">
        <v>120.12</v>
      </c>
      <c r="F2336" s="93">
        <v>408.91</v>
      </c>
      <c r="G2336" s="93">
        <v>2.73</v>
      </c>
      <c r="H2336" s="93">
        <v>0</v>
      </c>
      <c r="N2336" s="88"/>
      <c r="O2336" s="88"/>
      <c r="P2336" s="88"/>
    </row>
    <row r="2337" spans="1:16">
      <c r="A2337" s="94">
        <v>96556</v>
      </c>
      <c r="B2337" s="87" t="s">
        <v>2198</v>
      </c>
      <c r="C2337" s="12" t="s">
        <v>5</v>
      </c>
      <c r="D2337" s="93">
        <v>601.37</v>
      </c>
      <c r="E2337" s="93">
        <v>172.28</v>
      </c>
      <c r="F2337" s="93">
        <v>424.23</v>
      </c>
      <c r="G2337" s="93">
        <v>2.93</v>
      </c>
      <c r="H2337" s="93">
        <v>0</v>
      </c>
      <c r="N2337" s="88"/>
      <c r="O2337" s="88"/>
      <c r="P2337" s="88"/>
    </row>
    <row r="2338" spans="1:16">
      <c r="A2338" s="94">
        <v>96557</v>
      </c>
      <c r="B2338" s="87" t="s">
        <v>2199</v>
      </c>
      <c r="C2338" s="12" t="s">
        <v>5</v>
      </c>
      <c r="D2338" s="93">
        <v>413.72</v>
      </c>
      <c r="E2338" s="93">
        <v>11.99</v>
      </c>
      <c r="F2338" s="93">
        <v>401.57</v>
      </c>
      <c r="G2338" s="93">
        <v>0.08</v>
      </c>
      <c r="H2338" s="93">
        <v>0</v>
      </c>
      <c r="N2338" s="88"/>
      <c r="O2338" s="88"/>
      <c r="P2338" s="88"/>
    </row>
    <row r="2339" spans="1:16">
      <c r="A2339" s="94">
        <v>96558</v>
      </c>
      <c r="B2339" s="87" t="s">
        <v>2200</v>
      </c>
      <c r="C2339" s="12" t="s">
        <v>5</v>
      </c>
      <c r="D2339" s="93">
        <v>419.59</v>
      </c>
      <c r="E2339" s="93">
        <v>16.3</v>
      </c>
      <c r="F2339" s="93">
        <v>403.06</v>
      </c>
      <c r="G2339" s="93">
        <v>0.11</v>
      </c>
      <c r="H2339" s="93">
        <v>0</v>
      </c>
      <c r="N2339" s="88"/>
      <c r="O2339" s="88"/>
      <c r="P2339" s="88"/>
    </row>
    <row r="2340" spans="1:16">
      <c r="A2340" s="94">
        <v>99235</v>
      </c>
      <c r="B2340" s="87" t="s">
        <v>2201</v>
      </c>
      <c r="C2340" s="12" t="s">
        <v>5</v>
      </c>
      <c r="D2340" s="93">
        <v>404.57</v>
      </c>
      <c r="E2340" s="93">
        <v>12.49</v>
      </c>
      <c r="F2340" s="93">
        <v>392.08</v>
      </c>
      <c r="G2340" s="93">
        <v>0</v>
      </c>
      <c r="H2340" s="93">
        <v>0</v>
      </c>
      <c r="N2340" s="88"/>
      <c r="O2340" s="88"/>
      <c r="P2340" s="88"/>
    </row>
    <row r="2341" spans="1:16">
      <c r="A2341" s="94">
        <v>99431</v>
      </c>
      <c r="B2341" s="87" t="s">
        <v>2202</v>
      </c>
      <c r="C2341" s="12" t="s">
        <v>5</v>
      </c>
      <c r="D2341" s="93">
        <v>423.29</v>
      </c>
      <c r="E2341" s="93">
        <v>21.35</v>
      </c>
      <c r="F2341" s="93">
        <v>401.82</v>
      </c>
      <c r="G2341" s="93">
        <v>0.06</v>
      </c>
      <c r="H2341" s="93">
        <v>0</v>
      </c>
      <c r="N2341" s="88"/>
      <c r="O2341" s="88"/>
      <c r="P2341" s="88"/>
    </row>
    <row r="2342" spans="1:16">
      <c r="A2342" s="94">
        <v>99432</v>
      </c>
      <c r="B2342" s="87" t="s">
        <v>2203</v>
      </c>
      <c r="C2342" s="12" t="s">
        <v>5</v>
      </c>
      <c r="D2342" s="93">
        <v>400.27</v>
      </c>
      <c r="E2342" s="93">
        <v>12.53</v>
      </c>
      <c r="F2342" s="93">
        <v>387.64</v>
      </c>
      <c r="G2342" s="93">
        <v>0.05</v>
      </c>
      <c r="H2342" s="93">
        <v>0</v>
      </c>
      <c r="N2342" s="88"/>
      <c r="O2342" s="88"/>
      <c r="P2342" s="88"/>
    </row>
    <row r="2343" spans="1:16">
      <c r="A2343" s="94">
        <v>99433</v>
      </c>
      <c r="B2343" s="87" t="s">
        <v>2204</v>
      </c>
      <c r="C2343" s="12" t="s">
        <v>5</v>
      </c>
      <c r="D2343" s="93">
        <v>449.68</v>
      </c>
      <c r="E2343" s="93">
        <v>30.5</v>
      </c>
      <c r="F2343" s="93">
        <v>419</v>
      </c>
      <c r="G2343" s="93">
        <v>0.1</v>
      </c>
      <c r="H2343" s="93">
        <v>0</v>
      </c>
      <c r="N2343" s="88"/>
      <c r="O2343" s="88"/>
      <c r="P2343" s="88"/>
    </row>
    <row r="2344" spans="1:16">
      <c r="A2344" s="94">
        <v>99434</v>
      </c>
      <c r="B2344" s="87" t="s">
        <v>2205</v>
      </c>
      <c r="C2344" s="12" t="s">
        <v>5</v>
      </c>
      <c r="D2344" s="93">
        <v>427</v>
      </c>
      <c r="E2344" s="93">
        <v>24.15</v>
      </c>
      <c r="F2344" s="93">
        <v>402.72</v>
      </c>
      <c r="G2344" s="93">
        <v>7.0000000000000007E-2</v>
      </c>
      <c r="H2344" s="93">
        <v>0</v>
      </c>
      <c r="N2344" s="88"/>
      <c r="O2344" s="88"/>
      <c r="P2344" s="88"/>
    </row>
    <row r="2345" spans="1:16">
      <c r="A2345" s="94">
        <v>99435</v>
      </c>
      <c r="B2345" s="87" t="s">
        <v>2206</v>
      </c>
      <c r="C2345" s="12" t="s">
        <v>5</v>
      </c>
      <c r="D2345" s="93">
        <v>412.74</v>
      </c>
      <c r="E2345" s="93">
        <v>21.44</v>
      </c>
      <c r="F2345" s="93">
        <v>391.18</v>
      </c>
      <c r="G2345" s="93">
        <v>0.06</v>
      </c>
      <c r="H2345" s="93">
        <v>0</v>
      </c>
      <c r="N2345" s="88"/>
      <c r="O2345" s="88"/>
      <c r="P2345" s="88"/>
    </row>
    <row r="2346" spans="1:16">
      <c r="A2346" s="94">
        <v>99436</v>
      </c>
      <c r="B2346" s="87" t="s">
        <v>2207</v>
      </c>
      <c r="C2346" s="12" t="s">
        <v>5</v>
      </c>
      <c r="D2346" s="93">
        <v>466.72</v>
      </c>
      <c r="E2346" s="93">
        <v>43.33</v>
      </c>
      <c r="F2346" s="93">
        <v>423.13</v>
      </c>
      <c r="G2346" s="93">
        <v>0.14000000000000001</v>
      </c>
      <c r="H2346" s="93">
        <v>0</v>
      </c>
      <c r="N2346" s="88"/>
      <c r="O2346" s="88"/>
      <c r="P2346" s="88"/>
    </row>
    <row r="2347" spans="1:16">
      <c r="A2347" s="94">
        <v>99437</v>
      </c>
      <c r="B2347" s="87" t="s">
        <v>2208</v>
      </c>
      <c r="C2347" s="12" t="s">
        <v>5</v>
      </c>
      <c r="D2347" s="93">
        <v>430.5</v>
      </c>
      <c r="E2347" s="93">
        <v>15.94</v>
      </c>
      <c r="F2347" s="93">
        <v>414.56</v>
      </c>
      <c r="G2347" s="93">
        <v>0</v>
      </c>
      <c r="H2347" s="93">
        <v>0</v>
      </c>
      <c r="N2347" s="88"/>
      <c r="O2347" s="88"/>
      <c r="P2347" s="88"/>
    </row>
    <row r="2348" spans="1:16">
      <c r="A2348" s="94">
        <v>99438</v>
      </c>
      <c r="B2348" s="87" t="s">
        <v>2209</v>
      </c>
      <c r="C2348" s="12" t="s">
        <v>5</v>
      </c>
      <c r="D2348" s="93">
        <v>435.63</v>
      </c>
      <c r="E2348" s="93">
        <v>19.82</v>
      </c>
      <c r="F2348" s="93">
        <v>415.81</v>
      </c>
      <c r="G2348" s="93">
        <v>0</v>
      </c>
      <c r="H2348" s="93">
        <v>0</v>
      </c>
      <c r="N2348" s="88"/>
      <c r="O2348" s="88"/>
      <c r="P2348" s="88"/>
    </row>
    <row r="2349" spans="1:16">
      <c r="A2349" s="94">
        <v>99439</v>
      </c>
      <c r="B2349" s="87" t="s">
        <v>2210</v>
      </c>
      <c r="C2349" s="12" t="s">
        <v>5</v>
      </c>
      <c r="D2349" s="93">
        <v>416.71</v>
      </c>
      <c r="E2349" s="93">
        <v>21.73</v>
      </c>
      <c r="F2349" s="93">
        <v>394.86</v>
      </c>
      <c r="G2349" s="93">
        <v>0.06</v>
      </c>
      <c r="H2349" s="93">
        <v>0</v>
      </c>
      <c r="N2349" s="88"/>
      <c r="O2349" s="88"/>
      <c r="P2349" s="88"/>
    </row>
    <row r="2350" spans="1:16">
      <c r="A2350" s="94">
        <v>101963</v>
      </c>
      <c r="B2350" s="87" t="s">
        <v>5796</v>
      </c>
      <c r="C2350" s="12" t="s">
        <v>9</v>
      </c>
      <c r="D2350" s="93">
        <v>113.67</v>
      </c>
      <c r="E2350" s="93">
        <v>22.33</v>
      </c>
      <c r="F2350" s="93">
        <v>91.34</v>
      </c>
      <c r="G2350" s="93">
        <v>0</v>
      </c>
      <c r="H2350" s="93">
        <v>0</v>
      </c>
      <c r="N2350" s="88"/>
      <c r="O2350" s="88"/>
      <c r="P2350" s="88"/>
    </row>
    <row r="2351" spans="1:16">
      <c r="A2351" s="94">
        <v>101964</v>
      </c>
      <c r="B2351" s="87" t="s">
        <v>5797</v>
      </c>
      <c r="C2351" s="12" t="s">
        <v>9</v>
      </c>
      <c r="D2351" s="93">
        <v>105.44</v>
      </c>
      <c r="E2351" s="93">
        <v>20.95</v>
      </c>
      <c r="F2351" s="93">
        <v>84.49</v>
      </c>
      <c r="G2351" s="93">
        <v>0</v>
      </c>
      <c r="H2351" s="93">
        <v>0</v>
      </c>
      <c r="N2351" s="88"/>
      <c r="O2351" s="88"/>
      <c r="P2351" s="88"/>
    </row>
    <row r="2352" spans="1:16">
      <c r="A2352" s="94">
        <v>101165</v>
      </c>
      <c r="B2352" s="87" t="s">
        <v>2211</v>
      </c>
      <c r="C2352" s="12" t="s">
        <v>5</v>
      </c>
      <c r="D2352" s="93">
        <v>669.89</v>
      </c>
      <c r="E2352" s="93">
        <v>242.32</v>
      </c>
      <c r="F2352" s="93">
        <v>427.29</v>
      </c>
      <c r="G2352" s="93">
        <v>0.15</v>
      </c>
      <c r="H2352" s="93">
        <v>0</v>
      </c>
      <c r="N2352" s="88"/>
      <c r="O2352" s="88"/>
      <c r="P2352" s="88"/>
    </row>
    <row r="2353" spans="1:16">
      <c r="A2353" s="94">
        <v>101166</v>
      </c>
      <c r="B2353" s="87" t="s">
        <v>2212</v>
      </c>
      <c r="C2353" s="12" t="s">
        <v>5</v>
      </c>
      <c r="D2353" s="93">
        <v>529.38</v>
      </c>
      <c r="E2353" s="93">
        <v>199.26</v>
      </c>
      <c r="F2353" s="93">
        <v>329.84</v>
      </c>
      <c r="G2353" s="93">
        <v>0.15</v>
      </c>
      <c r="H2353" s="93">
        <v>0</v>
      </c>
      <c r="N2353" s="88"/>
      <c r="O2353" s="88"/>
      <c r="P2353" s="88"/>
    </row>
    <row r="2354" spans="1:16">
      <c r="A2354" s="94">
        <v>98576</v>
      </c>
      <c r="B2354" s="87" t="s">
        <v>2213</v>
      </c>
      <c r="C2354" s="12" t="s">
        <v>6</v>
      </c>
      <c r="D2354" s="93">
        <v>14.45</v>
      </c>
      <c r="E2354" s="93">
        <v>0.54</v>
      </c>
      <c r="F2354" s="93">
        <v>13.91</v>
      </c>
      <c r="G2354" s="93">
        <v>0</v>
      </c>
      <c r="H2354" s="93">
        <v>0</v>
      </c>
      <c r="N2354" s="88"/>
      <c r="O2354" s="88"/>
      <c r="P2354" s="88"/>
    </row>
    <row r="2355" spans="1:16">
      <c r="A2355" s="94">
        <v>93182</v>
      </c>
      <c r="B2355" s="87" t="s">
        <v>222</v>
      </c>
      <c r="C2355" s="12" t="s">
        <v>6</v>
      </c>
      <c r="D2355" s="93">
        <v>31.34</v>
      </c>
      <c r="E2355" s="93">
        <v>7.59</v>
      </c>
      <c r="F2355" s="93">
        <v>23.68</v>
      </c>
      <c r="G2355" s="93">
        <v>0.03</v>
      </c>
      <c r="H2355" s="93">
        <v>0</v>
      </c>
      <c r="N2355" s="88"/>
      <c r="O2355" s="88"/>
      <c r="P2355" s="88"/>
    </row>
    <row r="2356" spans="1:16">
      <c r="A2356" s="94">
        <v>93183</v>
      </c>
      <c r="B2356" s="87" t="s">
        <v>223</v>
      </c>
      <c r="C2356" s="12" t="s">
        <v>6</v>
      </c>
      <c r="D2356" s="93">
        <v>39.75</v>
      </c>
      <c r="E2356" s="93">
        <v>8.4700000000000006</v>
      </c>
      <c r="F2356" s="93">
        <v>31.19</v>
      </c>
      <c r="G2356" s="93">
        <v>0.03</v>
      </c>
      <c r="H2356" s="93">
        <v>0</v>
      </c>
      <c r="N2356" s="88"/>
      <c r="O2356" s="88"/>
      <c r="P2356" s="88"/>
    </row>
    <row r="2357" spans="1:16">
      <c r="A2357" s="94">
        <v>93184</v>
      </c>
      <c r="B2357" s="87" t="s">
        <v>224</v>
      </c>
      <c r="C2357" s="12" t="s">
        <v>6</v>
      </c>
      <c r="D2357" s="93">
        <v>23.54</v>
      </c>
      <c r="E2357" s="93">
        <v>6.58</v>
      </c>
      <c r="F2357" s="93">
        <v>16.940000000000001</v>
      </c>
      <c r="G2357" s="93">
        <v>0</v>
      </c>
      <c r="H2357" s="93">
        <v>0</v>
      </c>
      <c r="N2357" s="88"/>
      <c r="O2357" s="88"/>
      <c r="P2357" s="88"/>
    </row>
    <row r="2358" spans="1:16">
      <c r="A2358" s="94">
        <v>93185</v>
      </c>
      <c r="B2358" s="87" t="s">
        <v>225</v>
      </c>
      <c r="C2358" s="12" t="s">
        <v>6</v>
      </c>
      <c r="D2358" s="93">
        <v>39.119999999999997</v>
      </c>
      <c r="E2358" s="93">
        <v>8.16</v>
      </c>
      <c r="F2358" s="93">
        <v>30.88</v>
      </c>
      <c r="G2358" s="93">
        <v>0.03</v>
      </c>
      <c r="H2358" s="93">
        <v>0</v>
      </c>
      <c r="N2358" s="88"/>
      <c r="O2358" s="88"/>
      <c r="P2358" s="88"/>
    </row>
    <row r="2359" spans="1:16">
      <c r="A2359" s="94">
        <v>93186</v>
      </c>
      <c r="B2359" s="87" t="s">
        <v>2214</v>
      </c>
      <c r="C2359" s="12" t="s">
        <v>6</v>
      </c>
      <c r="D2359" s="93">
        <v>56.31</v>
      </c>
      <c r="E2359" s="93">
        <v>17.260000000000002</v>
      </c>
      <c r="F2359" s="93">
        <v>38.96</v>
      </c>
      <c r="G2359" s="93">
        <v>0.03</v>
      </c>
      <c r="H2359" s="93">
        <v>0</v>
      </c>
      <c r="N2359" s="88"/>
      <c r="O2359" s="88"/>
      <c r="P2359" s="88"/>
    </row>
    <row r="2360" spans="1:16">
      <c r="A2360" s="94">
        <v>93187</v>
      </c>
      <c r="B2360" s="87" t="s">
        <v>2215</v>
      </c>
      <c r="C2360" s="12" t="s">
        <v>6</v>
      </c>
      <c r="D2360" s="93">
        <v>64.349999999999994</v>
      </c>
      <c r="E2360" s="93">
        <v>18.2</v>
      </c>
      <c r="F2360" s="93">
        <v>46.04</v>
      </c>
      <c r="G2360" s="93">
        <v>0.03</v>
      </c>
      <c r="H2360" s="93">
        <v>0</v>
      </c>
      <c r="N2360" s="88"/>
      <c r="O2360" s="88"/>
      <c r="P2360" s="88"/>
    </row>
    <row r="2361" spans="1:16">
      <c r="A2361" s="94">
        <v>93188</v>
      </c>
      <c r="B2361" s="87" t="s">
        <v>2216</v>
      </c>
      <c r="C2361" s="12" t="s">
        <v>6</v>
      </c>
      <c r="D2361" s="93">
        <v>52.58</v>
      </c>
      <c r="E2361" s="93">
        <v>16.170000000000002</v>
      </c>
      <c r="F2361" s="93">
        <v>36.36</v>
      </c>
      <c r="G2361" s="93">
        <v>0</v>
      </c>
      <c r="H2361" s="93">
        <v>0</v>
      </c>
      <c r="N2361" s="88"/>
      <c r="O2361" s="88"/>
      <c r="P2361" s="88"/>
    </row>
    <row r="2362" spans="1:16">
      <c r="A2362" s="94">
        <v>93189</v>
      </c>
      <c r="B2362" s="87" t="s">
        <v>2217</v>
      </c>
      <c r="C2362" s="12" t="s">
        <v>6</v>
      </c>
      <c r="D2362" s="93">
        <v>64.83</v>
      </c>
      <c r="E2362" s="93">
        <v>17.96</v>
      </c>
      <c r="F2362" s="93">
        <v>46.76</v>
      </c>
      <c r="G2362" s="93">
        <v>0.03</v>
      </c>
      <c r="H2362" s="93">
        <v>0</v>
      </c>
      <c r="N2362" s="88"/>
      <c r="O2362" s="88"/>
      <c r="P2362" s="88"/>
    </row>
    <row r="2363" spans="1:16">
      <c r="A2363" s="94">
        <v>93190</v>
      </c>
      <c r="B2363" s="87" t="s">
        <v>2218</v>
      </c>
      <c r="C2363" s="12" t="s">
        <v>6</v>
      </c>
      <c r="D2363" s="93">
        <v>32.299999999999997</v>
      </c>
      <c r="E2363" s="93">
        <v>7.39</v>
      </c>
      <c r="F2363" s="93">
        <v>24.9</v>
      </c>
      <c r="G2363" s="93">
        <v>0</v>
      </c>
      <c r="H2363" s="93">
        <v>0</v>
      </c>
      <c r="N2363" s="88"/>
      <c r="O2363" s="88"/>
      <c r="P2363" s="88"/>
    </row>
    <row r="2364" spans="1:16">
      <c r="A2364" s="94">
        <v>93191</v>
      </c>
      <c r="B2364" s="87" t="s">
        <v>2219</v>
      </c>
      <c r="C2364" s="12" t="s">
        <v>6</v>
      </c>
      <c r="D2364" s="93">
        <v>33.65</v>
      </c>
      <c r="E2364" s="93">
        <v>6.97</v>
      </c>
      <c r="F2364" s="93">
        <v>26.67</v>
      </c>
      <c r="G2364" s="93">
        <v>0</v>
      </c>
      <c r="H2364" s="93">
        <v>0</v>
      </c>
      <c r="N2364" s="88"/>
      <c r="O2364" s="88"/>
      <c r="P2364" s="88"/>
    </row>
    <row r="2365" spans="1:16">
      <c r="A2365" s="94">
        <v>93192</v>
      </c>
      <c r="B2365" s="87" t="s">
        <v>2220</v>
      </c>
      <c r="C2365" s="12" t="s">
        <v>6</v>
      </c>
      <c r="D2365" s="93">
        <v>35.299999999999997</v>
      </c>
      <c r="E2365" s="93">
        <v>7.66</v>
      </c>
      <c r="F2365" s="93">
        <v>27.63</v>
      </c>
      <c r="G2365" s="93">
        <v>0</v>
      </c>
      <c r="H2365" s="93">
        <v>0</v>
      </c>
      <c r="N2365" s="88"/>
      <c r="O2365" s="88"/>
      <c r="P2365" s="88"/>
    </row>
    <row r="2366" spans="1:16">
      <c r="A2366" s="94">
        <v>93193</v>
      </c>
      <c r="B2366" s="87" t="s">
        <v>2221</v>
      </c>
      <c r="C2366" s="12" t="s">
        <v>6</v>
      </c>
      <c r="D2366" s="93">
        <v>34.18</v>
      </c>
      <c r="E2366" s="93">
        <v>6.74</v>
      </c>
      <c r="F2366" s="93">
        <v>27.43</v>
      </c>
      <c r="G2366" s="93">
        <v>0</v>
      </c>
      <c r="H2366" s="93">
        <v>0</v>
      </c>
      <c r="N2366" s="88"/>
      <c r="O2366" s="88"/>
      <c r="P2366" s="88"/>
    </row>
    <row r="2367" spans="1:16">
      <c r="A2367" s="94">
        <v>93194</v>
      </c>
      <c r="B2367" s="87" t="s">
        <v>2222</v>
      </c>
      <c r="C2367" s="12" t="s">
        <v>6</v>
      </c>
      <c r="D2367" s="93">
        <v>30.79</v>
      </c>
      <c r="E2367" s="93">
        <v>7.47</v>
      </c>
      <c r="F2367" s="93">
        <v>23.25</v>
      </c>
      <c r="G2367" s="93">
        <v>0.03</v>
      </c>
      <c r="H2367" s="93">
        <v>0</v>
      </c>
      <c r="N2367" s="88"/>
      <c r="O2367" s="88"/>
      <c r="P2367" s="88"/>
    </row>
    <row r="2368" spans="1:16">
      <c r="A2368" s="94">
        <v>93195</v>
      </c>
      <c r="B2368" s="87" t="s">
        <v>2223</v>
      </c>
      <c r="C2368" s="12" t="s">
        <v>6</v>
      </c>
      <c r="D2368" s="93">
        <v>36.99</v>
      </c>
      <c r="E2368" s="93">
        <v>8.4499999999999993</v>
      </c>
      <c r="F2368" s="93">
        <v>28.46</v>
      </c>
      <c r="G2368" s="93">
        <v>0.03</v>
      </c>
      <c r="H2368" s="93">
        <v>0</v>
      </c>
      <c r="N2368" s="88"/>
      <c r="O2368" s="88"/>
      <c r="P2368" s="88"/>
    </row>
    <row r="2369" spans="1:16">
      <c r="A2369" s="94">
        <v>93196</v>
      </c>
      <c r="B2369" s="87" t="s">
        <v>2224</v>
      </c>
      <c r="C2369" s="12" t="s">
        <v>6</v>
      </c>
      <c r="D2369" s="93">
        <v>54.6</v>
      </c>
      <c r="E2369" s="93">
        <v>17.260000000000002</v>
      </c>
      <c r="F2369" s="93">
        <v>37.25</v>
      </c>
      <c r="G2369" s="93">
        <v>0.03</v>
      </c>
      <c r="H2369" s="93">
        <v>0</v>
      </c>
      <c r="N2369" s="88"/>
      <c r="O2369" s="88"/>
      <c r="P2369" s="88"/>
    </row>
    <row r="2370" spans="1:16">
      <c r="A2370" s="94">
        <v>93197</v>
      </c>
      <c r="B2370" s="87" t="s">
        <v>226</v>
      </c>
      <c r="C2370" s="12" t="s">
        <v>6</v>
      </c>
      <c r="D2370" s="93">
        <v>60.89</v>
      </c>
      <c r="E2370" s="93">
        <v>18.260000000000002</v>
      </c>
      <c r="F2370" s="93">
        <v>42.52</v>
      </c>
      <c r="G2370" s="93">
        <v>0.03</v>
      </c>
      <c r="H2370" s="93">
        <v>0</v>
      </c>
      <c r="N2370" s="88"/>
      <c r="O2370" s="88"/>
      <c r="P2370" s="88"/>
    </row>
    <row r="2371" spans="1:16">
      <c r="A2371" s="94">
        <v>93198</v>
      </c>
      <c r="B2371" s="87" t="s">
        <v>2225</v>
      </c>
      <c r="C2371" s="12" t="s">
        <v>6</v>
      </c>
      <c r="D2371" s="93">
        <v>29.09</v>
      </c>
      <c r="E2371" s="93">
        <v>7.4</v>
      </c>
      <c r="F2371" s="93">
        <v>21.68</v>
      </c>
      <c r="G2371" s="93">
        <v>0</v>
      </c>
      <c r="H2371" s="93">
        <v>0</v>
      </c>
      <c r="N2371" s="88"/>
      <c r="O2371" s="88"/>
      <c r="P2371" s="88"/>
    </row>
    <row r="2372" spans="1:16">
      <c r="A2372" s="94">
        <v>93199</v>
      </c>
      <c r="B2372" s="87" t="s">
        <v>2226</v>
      </c>
      <c r="C2372" s="12" t="s">
        <v>6</v>
      </c>
      <c r="D2372" s="93">
        <v>28.63</v>
      </c>
      <c r="E2372" s="93">
        <v>7.04</v>
      </c>
      <c r="F2372" s="93">
        <v>21.58</v>
      </c>
      <c r="G2372" s="93">
        <v>0</v>
      </c>
      <c r="H2372" s="93">
        <v>0</v>
      </c>
      <c r="N2372" s="88"/>
      <c r="O2372" s="88"/>
      <c r="P2372" s="88"/>
    </row>
    <row r="2373" spans="1:16">
      <c r="A2373" s="94">
        <v>93200</v>
      </c>
      <c r="B2373" s="87" t="s">
        <v>227</v>
      </c>
      <c r="C2373" s="12" t="s">
        <v>6</v>
      </c>
      <c r="D2373" s="93">
        <v>2.66</v>
      </c>
      <c r="E2373" s="93">
        <v>1.1499999999999999</v>
      </c>
      <c r="F2373" s="93">
        <v>1.51</v>
      </c>
      <c r="G2373" s="93">
        <v>0</v>
      </c>
      <c r="H2373" s="93">
        <v>0</v>
      </c>
      <c r="N2373" s="88"/>
      <c r="O2373" s="88"/>
      <c r="P2373" s="88"/>
    </row>
    <row r="2374" spans="1:16">
      <c r="A2374" s="94">
        <v>93201</v>
      </c>
      <c r="B2374" s="87" t="s">
        <v>228</v>
      </c>
      <c r="C2374" s="12" t="s">
        <v>6</v>
      </c>
      <c r="D2374" s="93">
        <v>5.3</v>
      </c>
      <c r="E2374" s="93">
        <v>3.23</v>
      </c>
      <c r="F2374" s="93">
        <v>2.0699999999999998</v>
      </c>
      <c r="G2374" s="93">
        <v>0</v>
      </c>
      <c r="H2374" s="93">
        <v>0</v>
      </c>
      <c r="N2374" s="88"/>
      <c r="O2374" s="88"/>
      <c r="P2374" s="88"/>
    </row>
    <row r="2375" spans="1:16">
      <c r="A2375" s="94">
        <v>93202</v>
      </c>
      <c r="B2375" s="87" t="s">
        <v>2227</v>
      </c>
      <c r="C2375" s="12" t="s">
        <v>6</v>
      </c>
      <c r="D2375" s="93">
        <v>21.72</v>
      </c>
      <c r="E2375" s="93">
        <v>10.65</v>
      </c>
      <c r="F2375" s="93">
        <v>11.06</v>
      </c>
      <c r="G2375" s="93">
        <v>0.01</v>
      </c>
      <c r="H2375" s="93">
        <v>0</v>
      </c>
      <c r="N2375" s="88"/>
      <c r="O2375" s="88"/>
      <c r="P2375" s="88"/>
    </row>
    <row r="2376" spans="1:16">
      <c r="A2376" s="94">
        <v>93203</v>
      </c>
      <c r="B2376" s="87" t="s">
        <v>2228</v>
      </c>
      <c r="C2376" s="12" t="s">
        <v>6</v>
      </c>
      <c r="D2376" s="93">
        <v>12.05</v>
      </c>
      <c r="E2376" s="93">
        <v>1.5</v>
      </c>
      <c r="F2376" s="93">
        <v>10.55</v>
      </c>
      <c r="G2376" s="93">
        <v>0</v>
      </c>
      <c r="H2376" s="93">
        <v>0</v>
      </c>
      <c r="N2376" s="88"/>
      <c r="O2376" s="88"/>
      <c r="P2376" s="88"/>
    </row>
    <row r="2377" spans="1:16">
      <c r="A2377" s="94">
        <v>93204</v>
      </c>
      <c r="B2377" s="87" t="s">
        <v>2229</v>
      </c>
      <c r="C2377" s="12" t="s">
        <v>6</v>
      </c>
      <c r="D2377" s="93">
        <v>41.82</v>
      </c>
      <c r="E2377" s="93">
        <v>13.49</v>
      </c>
      <c r="F2377" s="93">
        <v>28.29</v>
      </c>
      <c r="G2377" s="93">
        <v>0</v>
      </c>
      <c r="H2377" s="93">
        <v>0</v>
      </c>
      <c r="N2377" s="88"/>
      <c r="O2377" s="88"/>
      <c r="P2377" s="88"/>
    </row>
    <row r="2378" spans="1:16">
      <c r="A2378" s="94">
        <v>93205</v>
      </c>
      <c r="B2378" s="87" t="s">
        <v>2230</v>
      </c>
      <c r="C2378" s="12" t="s">
        <v>6</v>
      </c>
      <c r="D2378" s="93">
        <v>27.99</v>
      </c>
      <c r="E2378" s="93">
        <v>6.79</v>
      </c>
      <c r="F2378" s="93">
        <v>21.19</v>
      </c>
      <c r="G2378" s="93">
        <v>0</v>
      </c>
      <c r="H2378" s="93">
        <v>0</v>
      </c>
      <c r="N2378" s="88"/>
      <c r="O2378" s="88"/>
      <c r="P2378" s="88"/>
    </row>
    <row r="2379" spans="1:16">
      <c r="A2379" s="94">
        <v>95952</v>
      </c>
      <c r="B2379" s="87" t="s">
        <v>2231</v>
      </c>
      <c r="C2379" s="12" t="s">
        <v>5</v>
      </c>
      <c r="D2379" s="93">
        <v>1551.93</v>
      </c>
      <c r="E2379" s="93">
        <v>336.35</v>
      </c>
      <c r="F2379" s="93">
        <v>1177.46</v>
      </c>
      <c r="G2379" s="93">
        <v>37.68</v>
      </c>
      <c r="H2379" s="93">
        <v>0</v>
      </c>
      <c r="N2379" s="88"/>
      <c r="O2379" s="88"/>
      <c r="P2379" s="88"/>
    </row>
    <row r="2380" spans="1:16">
      <c r="A2380" s="94">
        <v>95953</v>
      </c>
      <c r="B2380" s="87" t="s">
        <v>2232</v>
      </c>
      <c r="C2380" s="12" t="s">
        <v>5</v>
      </c>
      <c r="D2380" s="93">
        <v>2528.02</v>
      </c>
      <c r="E2380" s="93">
        <v>772.32</v>
      </c>
      <c r="F2380" s="93">
        <v>1707.52</v>
      </c>
      <c r="G2380" s="93">
        <v>46.78</v>
      </c>
      <c r="H2380" s="93">
        <v>0</v>
      </c>
      <c r="N2380" s="88"/>
      <c r="O2380" s="88"/>
      <c r="P2380" s="88"/>
    </row>
    <row r="2381" spans="1:16">
      <c r="A2381" s="94">
        <v>95954</v>
      </c>
      <c r="B2381" s="87" t="s">
        <v>2233</v>
      </c>
      <c r="C2381" s="12" t="s">
        <v>5</v>
      </c>
      <c r="D2381" s="93">
        <v>1825.85</v>
      </c>
      <c r="E2381" s="93">
        <v>508.38</v>
      </c>
      <c r="F2381" s="93">
        <v>1270.1400000000001</v>
      </c>
      <c r="G2381" s="93">
        <v>46.84</v>
      </c>
      <c r="H2381" s="93">
        <v>0</v>
      </c>
      <c r="N2381" s="88"/>
      <c r="O2381" s="88"/>
      <c r="P2381" s="88"/>
    </row>
    <row r="2382" spans="1:16">
      <c r="A2382" s="94">
        <v>95955</v>
      </c>
      <c r="B2382" s="87" t="s">
        <v>2234</v>
      </c>
      <c r="C2382" s="12" t="s">
        <v>5</v>
      </c>
      <c r="D2382" s="93">
        <v>2227.86</v>
      </c>
      <c r="E2382" s="93">
        <v>650.97</v>
      </c>
      <c r="F2382" s="93">
        <v>1545.47</v>
      </c>
      <c r="G2382" s="93">
        <v>30.35</v>
      </c>
      <c r="H2382" s="93">
        <v>0</v>
      </c>
      <c r="N2382" s="88"/>
      <c r="O2382" s="88"/>
      <c r="P2382" s="88"/>
    </row>
    <row r="2383" spans="1:16">
      <c r="A2383" s="94">
        <v>95956</v>
      </c>
      <c r="B2383" s="87" t="s">
        <v>2235</v>
      </c>
      <c r="C2383" s="12" t="s">
        <v>5</v>
      </c>
      <c r="D2383" s="93">
        <v>1766.64</v>
      </c>
      <c r="E2383" s="93">
        <v>480</v>
      </c>
      <c r="F2383" s="93">
        <v>1255.71</v>
      </c>
      <c r="G2383" s="93">
        <v>30.38</v>
      </c>
      <c r="H2383" s="93">
        <v>0</v>
      </c>
      <c r="N2383" s="88"/>
      <c r="O2383" s="88"/>
      <c r="P2383" s="88"/>
    </row>
    <row r="2384" spans="1:16">
      <c r="A2384" s="94">
        <v>95957</v>
      </c>
      <c r="B2384" s="87" t="s">
        <v>2236</v>
      </c>
      <c r="C2384" s="12" t="s">
        <v>5</v>
      </c>
      <c r="D2384" s="93">
        <v>2257.64</v>
      </c>
      <c r="E2384" s="93">
        <v>553.74</v>
      </c>
      <c r="F2384" s="93">
        <v>1675.54</v>
      </c>
      <c r="G2384" s="93">
        <v>27.58</v>
      </c>
      <c r="H2384" s="93">
        <v>0</v>
      </c>
      <c r="N2384" s="88"/>
      <c r="O2384" s="88"/>
      <c r="P2384" s="88"/>
    </row>
    <row r="2385" spans="1:16">
      <c r="A2385" s="94">
        <v>95969</v>
      </c>
      <c r="B2385" s="87" t="s">
        <v>2237</v>
      </c>
      <c r="C2385" s="12" t="s">
        <v>5</v>
      </c>
      <c r="D2385" s="93">
        <v>2277.64</v>
      </c>
      <c r="E2385" s="93">
        <v>835.08</v>
      </c>
      <c r="F2385" s="93">
        <v>1365.54</v>
      </c>
      <c r="G2385" s="93">
        <v>76.08</v>
      </c>
      <c r="H2385" s="93">
        <v>0</v>
      </c>
      <c r="N2385" s="88"/>
      <c r="O2385" s="88"/>
      <c r="P2385" s="88"/>
    </row>
    <row r="2386" spans="1:16">
      <c r="A2386" s="94">
        <v>97733</v>
      </c>
      <c r="B2386" s="87" t="s">
        <v>2238</v>
      </c>
      <c r="C2386" s="12" t="s">
        <v>5</v>
      </c>
      <c r="D2386" s="93">
        <v>2673.28</v>
      </c>
      <c r="E2386" s="93">
        <v>1448.91</v>
      </c>
      <c r="F2386" s="93">
        <v>1199.78</v>
      </c>
      <c r="G2386" s="93">
        <v>14.24</v>
      </c>
      <c r="H2386" s="93">
        <v>0</v>
      </c>
      <c r="N2386" s="88"/>
      <c r="O2386" s="88"/>
      <c r="P2386" s="88"/>
    </row>
    <row r="2387" spans="1:16">
      <c r="A2387" s="94">
        <v>97734</v>
      </c>
      <c r="B2387" s="87" t="s">
        <v>2239</v>
      </c>
      <c r="C2387" s="12" t="s">
        <v>5</v>
      </c>
      <c r="D2387" s="93">
        <v>2307.75</v>
      </c>
      <c r="E2387" s="93">
        <v>1259.25</v>
      </c>
      <c r="F2387" s="93">
        <v>1024.74</v>
      </c>
      <c r="G2387" s="93">
        <v>14.16</v>
      </c>
      <c r="H2387" s="93">
        <v>0</v>
      </c>
      <c r="N2387" s="88"/>
      <c r="O2387" s="88"/>
      <c r="P2387" s="88"/>
    </row>
    <row r="2388" spans="1:16">
      <c r="A2388" s="94">
        <v>97735</v>
      </c>
      <c r="B2388" s="87" t="s">
        <v>2240</v>
      </c>
      <c r="C2388" s="12" t="s">
        <v>5</v>
      </c>
      <c r="D2388" s="93">
        <v>1908.07</v>
      </c>
      <c r="E2388" s="93">
        <v>955.77</v>
      </c>
      <c r="F2388" s="93">
        <v>934.27</v>
      </c>
      <c r="G2388" s="93">
        <v>10.8</v>
      </c>
      <c r="H2388" s="93">
        <v>0</v>
      </c>
      <c r="N2388" s="88"/>
      <c r="O2388" s="88"/>
      <c r="P2388" s="88"/>
    </row>
    <row r="2389" spans="1:16">
      <c r="A2389" s="94">
        <v>97736</v>
      </c>
      <c r="B2389" s="87" t="s">
        <v>2241</v>
      </c>
      <c r="C2389" s="12" t="s">
        <v>5</v>
      </c>
      <c r="D2389" s="93">
        <v>1184.52</v>
      </c>
      <c r="E2389" s="93">
        <v>393.73</v>
      </c>
      <c r="F2389" s="93">
        <v>784.62</v>
      </c>
      <c r="G2389" s="93">
        <v>3.62</v>
      </c>
      <c r="H2389" s="93">
        <v>0</v>
      </c>
      <c r="N2389" s="88"/>
      <c r="O2389" s="88"/>
      <c r="P2389" s="88"/>
    </row>
    <row r="2390" spans="1:16">
      <c r="A2390" s="94">
        <v>97737</v>
      </c>
      <c r="B2390" s="87" t="s">
        <v>2242</v>
      </c>
      <c r="C2390" s="12" t="s">
        <v>5</v>
      </c>
      <c r="D2390" s="93">
        <v>2627.09</v>
      </c>
      <c r="E2390" s="93">
        <v>1239.55</v>
      </c>
      <c r="F2390" s="93">
        <v>1367.28</v>
      </c>
      <c r="G2390" s="93">
        <v>12.19</v>
      </c>
      <c r="H2390" s="93">
        <v>0</v>
      </c>
      <c r="N2390" s="88"/>
      <c r="O2390" s="88"/>
      <c r="P2390" s="88"/>
    </row>
    <row r="2391" spans="1:16">
      <c r="A2391" s="94">
        <v>97738</v>
      </c>
      <c r="B2391" s="87" t="s">
        <v>2243</v>
      </c>
      <c r="C2391" s="12" t="s">
        <v>5</v>
      </c>
      <c r="D2391" s="93">
        <v>3451.23</v>
      </c>
      <c r="E2391" s="93">
        <v>1584.86</v>
      </c>
      <c r="F2391" s="93">
        <v>1841.36</v>
      </c>
      <c r="G2391" s="93">
        <v>14.41</v>
      </c>
      <c r="H2391" s="93">
        <v>0</v>
      </c>
      <c r="N2391" s="88"/>
      <c r="O2391" s="88"/>
      <c r="P2391" s="88"/>
    </row>
    <row r="2392" spans="1:16">
      <c r="A2392" s="94">
        <v>97739</v>
      </c>
      <c r="B2392" s="87" t="s">
        <v>2244</v>
      </c>
      <c r="C2392" s="12" t="s">
        <v>5</v>
      </c>
      <c r="D2392" s="93">
        <v>2159.56</v>
      </c>
      <c r="E2392" s="93">
        <v>1028.46</v>
      </c>
      <c r="F2392" s="93">
        <v>1112.82</v>
      </c>
      <c r="G2392" s="93">
        <v>10.77</v>
      </c>
      <c r="H2392" s="93">
        <v>0</v>
      </c>
      <c r="N2392" s="88"/>
      <c r="O2392" s="88"/>
      <c r="P2392" s="88"/>
    </row>
    <row r="2393" spans="1:16">
      <c r="A2393" s="94">
        <v>97740</v>
      </c>
      <c r="B2393" s="87" t="s">
        <v>2245</v>
      </c>
      <c r="C2393" s="12" t="s">
        <v>5</v>
      </c>
      <c r="D2393" s="93">
        <v>1551.22</v>
      </c>
      <c r="E2393" s="93">
        <v>527.54999999999995</v>
      </c>
      <c r="F2393" s="93">
        <v>1016.25</v>
      </c>
      <c r="G2393" s="93">
        <v>4.1399999999999997</v>
      </c>
      <c r="H2393" s="93">
        <v>0</v>
      </c>
      <c r="N2393" s="88"/>
      <c r="O2393" s="88"/>
      <c r="P2393" s="88"/>
    </row>
    <row r="2394" spans="1:16">
      <c r="A2394" s="94">
        <v>98615</v>
      </c>
      <c r="B2394" s="87" t="s">
        <v>2246</v>
      </c>
      <c r="C2394" s="12" t="s">
        <v>9</v>
      </c>
      <c r="D2394" s="93">
        <v>91.19</v>
      </c>
      <c r="E2394" s="93">
        <v>13.61</v>
      </c>
      <c r="F2394" s="93">
        <v>58.31</v>
      </c>
      <c r="G2394" s="93">
        <v>19.27</v>
      </c>
      <c r="H2394" s="93">
        <v>0</v>
      </c>
      <c r="N2394" s="88"/>
      <c r="O2394" s="88"/>
      <c r="P2394" s="88"/>
    </row>
    <row r="2395" spans="1:16">
      <c r="A2395" s="94">
        <v>98616</v>
      </c>
      <c r="B2395" s="87" t="s">
        <v>2247</v>
      </c>
      <c r="C2395" s="12" t="s">
        <v>9</v>
      </c>
      <c r="D2395" s="93">
        <v>71.510000000000005</v>
      </c>
      <c r="E2395" s="93">
        <v>8.4499999999999993</v>
      </c>
      <c r="F2395" s="93">
        <v>50.86</v>
      </c>
      <c r="G2395" s="93">
        <v>12.2</v>
      </c>
      <c r="H2395" s="93">
        <v>0</v>
      </c>
      <c r="N2395" s="88"/>
      <c r="O2395" s="88"/>
      <c r="P2395" s="88"/>
    </row>
    <row r="2396" spans="1:16">
      <c r="A2396" s="94">
        <v>98617</v>
      </c>
      <c r="B2396" s="87" t="s">
        <v>2248</v>
      </c>
      <c r="C2396" s="12" t="s">
        <v>9</v>
      </c>
      <c r="D2396" s="93">
        <v>66</v>
      </c>
      <c r="E2396" s="93">
        <v>6.64</v>
      </c>
      <c r="F2396" s="93">
        <v>49.77</v>
      </c>
      <c r="G2396" s="93">
        <v>9.59</v>
      </c>
      <c r="H2396" s="93">
        <v>0</v>
      </c>
      <c r="N2396" s="88"/>
      <c r="O2396" s="88"/>
      <c r="P2396" s="88"/>
    </row>
    <row r="2397" spans="1:16">
      <c r="A2397" s="94">
        <v>98618</v>
      </c>
      <c r="B2397" s="87" t="s">
        <v>2249</v>
      </c>
      <c r="C2397" s="12" t="s">
        <v>9</v>
      </c>
      <c r="D2397" s="93">
        <v>90.65</v>
      </c>
      <c r="E2397" s="93">
        <v>9.76</v>
      </c>
      <c r="F2397" s="93">
        <v>66.78</v>
      </c>
      <c r="G2397" s="93">
        <v>14.11</v>
      </c>
      <c r="H2397" s="93">
        <v>0</v>
      </c>
      <c r="N2397" s="88"/>
      <c r="O2397" s="88"/>
      <c r="P2397" s="88"/>
    </row>
    <row r="2398" spans="1:16">
      <c r="A2398" s="94">
        <v>98619</v>
      </c>
      <c r="B2398" s="87" t="s">
        <v>2250</v>
      </c>
      <c r="C2398" s="12" t="s">
        <v>9</v>
      </c>
      <c r="D2398" s="93">
        <v>82.33</v>
      </c>
      <c r="E2398" s="93">
        <v>7.05</v>
      </c>
      <c r="F2398" s="93">
        <v>65.099999999999994</v>
      </c>
      <c r="G2398" s="93">
        <v>10.18</v>
      </c>
      <c r="H2398" s="93">
        <v>0</v>
      </c>
      <c r="N2398" s="88"/>
      <c r="O2398" s="88"/>
      <c r="P2398" s="88"/>
    </row>
    <row r="2399" spans="1:16">
      <c r="A2399" s="94">
        <v>98620</v>
      </c>
      <c r="B2399" s="87" t="s">
        <v>2251</v>
      </c>
      <c r="C2399" s="12" t="s">
        <v>9</v>
      </c>
      <c r="D2399" s="93">
        <v>78.11</v>
      </c>
      <c r="E2399" s="93">
        <v>5.7</v>
      </c>
      <c r="F2399" s="93">
        <v>64.19</v>
      </c>
      <c r="G2399" s="93">
        <v>8.2200000000000006</v>
      </c>
      <c r="H2399" s="93">
        <v>0</v>
      </c>
      <c r="N2399" s="88"/>
      <c r="O2399" s="88"/>
      <c r="P2399" s="88"/>
    </row>
    <row r="2400" spans="1:16">
      <c r="A2400" s="94">
        <v>98621</v>
      </c>
      <c r="B2400" s="87" t="s">
        <v>2252</v>
      </c>
      <c r="C2400" s="12" t="s">
        <v>9</v>
      </c>
      <c r="D2400" s="93">
        <v>102.49</v>
      </c>
      <c r="E2400" s="93">
        <v>8.57</v>
      </c>
      <c r="F2400" s="93">
        <v>81.47</v>
      </c>
      <c r="G2400" s="93">
        <v>12.45</v>
      </c>
      <c r="H2400" s="93">
        <v>0</v>
      </c>
      <c r="N2400" s="88"/>
      <c r="O2400" s="88"/>
      <c r="P2400" s="88"/>
    </row>
    <row r="2401" spans="1:16">
      <c r="A2401" s="94">
        <v>98622</v>
      </c>
      <c r="B2401" s="87" t="s">
        <v>2253</v>
      </c>
      <c r="C2401" s="12" t="s">
        <v>9</v>
      </c>
      <c r="D2401" s="93">
        <v>95.77</v>
      </c>
      <c r="E2401" s="93">
        <v>6.41</v>
      </c>
      <c r="F2401" s="93">
        <v>80.02</v>
      </c>
      <c r="G2401" s="93">
        <v>9.34</v>
      </c>
      <c r="H2401" s="93">
        <v>0</v>
      </c>
      <c r="N2401" s="88"/>
      <c r="O2401" s="88"/>
      <c r="P2401" s="88"/>
    </row>
    <row r="2402" spans="1:16">
      <c r="A2402" s="94">
        <v>98623</v>
      </c>
      <c r="B2402" s="87" t="s">
        <v>2254</v>
      </c>
      <c r="C2402" s="12" t="s">
        <v>9</v>
      </c>
      <c r="D2402" s="93">
        <v>92.36</v>
      </c>
      <c r="E2402" s="93">
        <v>5.34</v>
      </c>
      <c r="F2402" s="93">
        <v>79.28</v>
      </c>
      <c r="G2402" s="93">
        <v>7.74</v>
      </c>
      <c r="H2402" s="93">
        <v>0</v>
      </c>
      <c r="N2402" s="88"/>
      <c r="O2402" s="88"/>
      <c r="P2402" s="88"/>
    </row>
    <row r="2403" spans="1:16">
      <c r="A2403" s="94">
        <v>98624</v>
      </c>
      <c r="B2403" s="87" t="s">
        <v>2255</v>
      </c>
      <c r="C2403" s="12" t="s">
        <v>9</v>
      </c>
      <c r="D2403" s="93">
        <v>115.5</v>
      </c>
      <c r="E2403" s="93">
        <v>7.9</v>
      </c>
      <c r="F2403" s="93">
        <v>96.09</v>
      </c>
      <c r="G2403" s="93">
        <v>11.51</v>
      </c>
      <c r="H2403" s="93">
        <v>0</v>
      </c>
      <c r="N2403" s="88"/>
      <c r="O2403" s="88"/>
      <c r="P2403" s="88"/>
    </row>
    <row r="2404" spans="1:16">
      <c r="A2404" s="94">
        <v>98625</v>
      </c>
      <c r="B2404" s="87" t="s">
        <v>2256</v>
      </c>
      <c r="C2404" s="12" t="s">
        <v>9</v>
      </c>
      <c r="D2404" s="93">
        <v>109.85</v>
      </c>
      <c r="E2404" s="93">
        <v>6.11</v>
      </c>
      <c r="F2404" s="93">
        <v>94.86</v>
      </c>
      <c r="G2404" s="93">
        <v>8.8800000000000008</v>
      </c>
      <c r="H2404" s="93">
        <v>0</v>
      </c>
      <c r="N2404" s="88"/>
      <c r="O2404" s="88"/>
      <c r="P2404" s="88"/>
    </row>
    <row r="2405" spans="1:16">
      <c r="A2405" s="94">
        <v>98626</v>
      </c>
      <c r="B2405" s="87" t="s">
        <v>2257</v>
      </c>
      <c r="C2405" s="12" t="s">
        <v>9</v>
      </c>
      <c r="D2405" s="93">
        <v>106.91</v>
      </c>
      <c r="E2405" s="93">
        <v>5.2</v>
      </c>
      <c r="F2405" s="93">
        <v>94.09</v>
      </c>
      <c r="G2405" s="93">
        <v>7.62</v>
      </c>
      <c r="H2405" s="93">
        <v>0</v>
      </c>
      <c r="N2405" s="88"/>
      <c r="O2405" s="88"/>
      <c r="P2405" s="88"/>
    </row>
    <row r="2406" spans="1:16">
      <c r="A2406" s="94">
        <v>98655</v>
      </c>
      <c r="B2406" s="87" t="s">
        <v>2258</v>
      </c>
      <c r="C2406" s="12" t="s">
        <v>6</v>
      </c>
      <c r="D2406" s="93">
        <v>485.62</v>
      </c>
      <c r="E2406" s="93">
        <v>137.96</v>
      </c>
      <c r="F2406" s="93">
        <v>337.4</v>
      </c>
      <c r="G2406" s="93">
        <v>9.4600000000000009</v>
      </c>
      <c r="H2406" s="93">
        <v>0</v>
      </c>
      <c r="N2406" s="88"/>
      <c r="O2406" s="88"/>
      <c r="P2406" s="88"/>
    </row>
    <row r="2407" spans="1:16">
      <c r="A2407" s="94">
        <v>98656</v>
      </c>
      <c r="B2407" s="87" t="s">
        <v>2259</v>
      </c>
      <c r="C2407" s="12" t="s">
        <v>6</v>
      </c>
      <c r="D2407" s="93">
        <v>491.85</v>
      </c>
      <c r="E2407" s="93">
        <v>139.58000000000001</v>
      </c>
      <c r="F2407" s="93">
        <v>340.61</v>
      </c>
      <c r="G2407" s="93">
        <v>10.86</v>
      </c>
      <c r="H2407" s="93">
        <v>0</v>
      </c>
      <c r="N2407" s="88"/>
      <c r="O2407" s="88"/>
      <c r="P2407" s="88"/>
    </row>
    <row r="2408" spans="1:16">
      <c r="A2408" s="94">
        <v>98657</v>
      </c>
      <c r="B2408" s="87" t="s">
        <v>2260</v>
      </c>
      <c r="C2408" s="12" t="s">
        <v>6</v>
      </c>
      <c r="D2408" s="93">
        <v>498.09</v>
      </c>
      <c r="E2408" s="93">
        <v>141.22</v>
      </c>
      <c r="F2408" s="93">
        <v>343.83</v>
      </c>
      <c r="G2408" s="93">
        <v>12.24</v>
      </c>
      <c r="H2408" s="93">
        <v>0</v>
      </c>
      <c r="N2408" s="88"/>
      <c r="O2408" s="88"/>
      <c r="P2408" s="88"/>
    </row>
    <row r="2409" spans="1:16">
      <c r="A2409" s="94">
        <v>98658</v>
      </c>
      <c r="B2409" s="87" t="s">
        <v>2261</v>
      </c>
      <c r="C2409" s="12" t="s">
        <v>6</v>
      </c>
      <c r="D2409" s="93">
        <v>504.33</v>
      </c>
      <c r="E2409" s="93">
        <v>142.86000000000001</v>
      </c>
      <c r="F2409" s="93">
        <v>347.03</v>
      </c>
      <c r="G2409" s="93">
        <v>13.64</v>
      </c>
      <c r="H2409" s="93">
        <v>0</v>
      </c>
      <c r="N2409" s="88"/>
      <c r="O2409" s="88"/>
      <c r="P2409" s="88"/>
    </row>
    <row r="2410" spans="1:16">
      <c r="A2410" s="94">
        <v>98659</v>
      </c>
      <c r="B2410" s="87" t="s">
        <v>2262</v>
      </c>
      <c r="C2410" s="12" t="s">
        <v>6</v>
      </c>
      <c r="D2410" s="93">
        <v>516.79999999999995</v>
      </c>
      <c r="E2410" s="93">
        <v>146.13999999999999</v>
      </c>
      <c r="F2410" s="93">
        <v>353.44</v>
      </c>
      <c r="G2410" s="93">
        <v>16.420000000000002</v>
      </c>
      <c r="H2410" s="93">
        <v>0</v>
      </c>
      <c r="N2410" s="88"/>
      <c r="O2410" s="88"/>
      <c r="P2410" s="88"/>
    </row>
    <row r="2411" spans="1:16">
      <c r="A2411" s="94">
        <v>98746</v>
      </c>
      <c r="B2411" s="87" t="s">
        <v>2263</v>
      </c>
      <c r="C2411" s="12" t="s">
        <v>6</v>
      </c>
      <c r="D2411" s="93">
        <v>45.51</v>
      </c>
      <c r="E2411" s="93">
        <v>26.54</v>
      </c>
      <c r="F2411" s="93">
        <v>18.97</v>
      </c>
      <c r="G2411" s="93">
        <v>0</v>
      </c>
      <c r="H2411" s="93">
        <v>0</v>
      </c>
      <c r="N2411" s="88"/>
      <c r="O2411" s="88"/>
      <c r="P2411" s="88"/>
    </row>
    <row r="2412" spans="1:16">
      <c r="A2412" s="94">
        <v>98749</v>
      </c>
      <c r="B2412" s="87" t="s">
        <v>2264</v>
      </c>
      <c r="C2412" s="12" t="s">
        <v>6</v>
      </c>
      <c r="D2412" s="93">
        <v>52.34</v>
      </c>
      <c r="E2412" s="93">
        <v>27.55</v>
      </c>
      <c r="F2412" s="93">
        <v>24.79</v>
      </c>
      <c r="G2412" s="93">
        <v>0</v>
      </c>
      <c r="H2412" s="93">
        <v>0</v>
      </c>
      <c r="N2412" s="88"/>
      <c r="O2412" s="88"/>
      <c r="P2412" s="88"/>
    </row>
    <row r="2413" spans="1:16">
      <c r="A2413" s="94">
        <v>98750</v>
      </c>
      <c r="B2413" s="87" t="s">
        <v>2265</v>
      </c>
      <c r="C2413" s="12" t="s">
        <v>6</v>
      </c>
      <c r="D2413" s="93">
        <v>60.43</v>
      </c>
      <c r="E2413" s="93">
        <v>28.39</v>
      </c>
      <c r="F2413" s="93">
        <v>32.04</v>
      </c>
      <c r="G2413" s="93">
        <v>0</v>
      </c>
      <c r="H2413" s="93">
        <v>0</v>
      </c>
      <c r="N2413" s="88"/>
      <c r="O2413" s="88"/>
      <c r="P2413" s="88"/>
    </row>
    <row r="2414" spans="1:16">
      <c r="A2414" s="94">
        <v>98751</v>
      </c>
      <c r="B2414" s="87" t="s">
        <v>2266</v>
      </c>
      <c r="C2414" s="12" t="s">
        <v>6</v>
      </c>
      <c r="D2414" s="93">
        <v>81.430000000000007</v>
      </c>
      <c r="E2414" s="93">
        <v>30.43</v>
      </c>
      <c r="F2414" s="93">
        <v>51</v>
      </c>
      <c r="G2414" s="93">
        <v>0</v>
      </c>
      <c r="H2414" s="93">
        <v>0</v>
      </c>
      <c r="N2414" s="88"/>
      <c r="O2414" s="88"/>
      <c r="P2414" s="88"/>
    </row>
    <row r="2415" spans="1:16">
      <c r="A2415" s="94">
        <v>98752</v>
      </c>
      <c r="B2415" s="87" t="s">
        <v>2267</v>
      </c>
      <c r="C2415" s="12" t="s">
        <v>6</v>
      </c>
      <c r="D2415" s="93">
        <v>106.44</v>
      </c>
      <c r="E2415" s="93">
        <v>32.29</v>
      </c>
      <c r="F2415" s="93">
        <v>74.150000000000006</v>
      </c>
      <c r="G2415" s="93">
        <v>0</v>
      </c>
      <c r="H2415" s="93">
        <v>0</v>
      </c>
      <c r="N2415" s="88"/>
      <c r="O2415" s="88"/>
      <c r="P2415" s="88"/>
    </row>
    <row r="2416" spans="1:16">
      <c r="A2416" s="94">
        <v>98753</v>
      </c>
      <c r="B2416" s="87" t="s">
        <v>2268</v>
      </c>
      <c r="C2416" s="12" t="s">
        <v>6</v>
      </c>
      <c r="D2416" s="93">
        <v>137.31</v>
      </c>
      <c r="E2416" s="93">
        <v>34.159999999999997</v>
      </c>
      <c r="F2416" s="93">
        <v>103.15</v>
      </c>
      <c r="G2416" s="93">
        <v>0</v>
      </c>
      <c r="H2416" s="93">
        <v>0</v>
      </c>
      <c r="N2416" s="88"/>
      <c r="O2416" s="88"/>
      <c r="P2416" s="88"/>
    </row>
    <row r="2417" spans="1:16">
      <c r="A2417" s="94">
        <v>100763</v>
      </c>
      <c r="B2417" s="87" t="s">
        <v>2269</v>
      </c>
      <c r="C2417" s="12" t="s">
        <v>11</v>
      </c>
      <c r="D2417" s="93">
        <v>11.12</v>
      </c>
      <c r="E2417" s="93">
        <v>1.03</v>
      </c>
      <c r="F2417" s="93">
        <v>8.49</v>
      </c>
      <c r="G2417" s="93">
        <v>0.85</v>
      </c>
      <c r="H2417" s="93">
        <v>0</v>
      </c>
      <c r="N2417" s="88"/>
      <c r="O2417" s="88"/>
      <c r="P2417" s="88"/>
    </row>
    <row r="2418" spans="1:16">
      <c r="A2418" s="94">
        <v>100764</v>
      </c>
      <c r="B2418" s="87" t="s">
        <v>2270</v>
      </c>
      <c r="C2418" s="12" t="s">
        <v>11</v>
      </c>
      <c r="D2418" s="93">
        <v>10.96</v>
      </c>
      <c r="E2418" s="93">
        <v>1</v>
      </c>
      <c r="F2418" s="93">
        <v>8.39</v>
      </c>
      <c r="G2418" s="93">
        <v>0.84</v>
      </c>
      <c r="H2418" s="93">
        <v>0</v>
      </c>
      <c r="N2418" s="88"/>
      <c r="O2418" s="88"/>
      <c r="P2418" s="88"/>
    </row>
    <row r="2419" spans="1:16">
      <c r="A2419" s="94">
        <v>100765</v>
      </c>
      <c r="B2419" s="87" t="s">
        <v>2271</v>
      </c>
      <c r="C2419" s="12" t="s">
        <v>11</v>
      </c>
      <c r="D2419" s="93">
        <v>10.11</v>
      </c>
      <c r="E2419" s="93">
        <v>0.49</v>
      </c>
      <c r="F2419" s="93">
        <v>9.0399999999999991</v>
      </c>
      <c r="G2419" s="93">
        <v>0.3</v>
      </c>
      <c r="H2419" s="93">
        <v>0</v>
      </c>
      <c r="N2419" s="88"/>
      <c r="O2419" s="88"/>
      <c r="P2419" s="88"/>
    </row>
    <row r="2420" spans="1:16">
      <c r="A2420" s="94">
        <v>100766</v>
      </c>
      <c r="B2420" s="87" t="s">
        <v>2272</v>
      </c>
      <c r="C2420" s="12" t="s">
        <v>11</v>
      </c>
      <c r="D2420" s="93">
        <v>10.32</v>
      </c>
      <c r="E2420" s="93">
        <v>0.75</v>
      </c>
      <c r="F2420" s="93">
        <v>9.02</v>
      </c>
      <c r="G2420" s="93">
        <v>0.28000000000000003</v>
      </c>
      <c r="H2420" s="93">
        <v>0</v>
      </c>
      <c r="N2420" s="88"/>
      <c r="O2420" s="88"/>
      <c r="P2420" s="88"/>
    </row>
    <row r="2421" spans="1:16">
      <c r="A2421" s="94">
        <v>100767</v>
      </c>
      <c r="B2421" s="87" t="s">
        <v>2273</v>
      </c>
      <c r="C2421" s="12" t="s">
        <v>11</v>
      </c>
      <c r="D2421" s="93">
        <v>12.17</v>
      </c>
      <c r="E2421" s="93">
        <v>3.73</v>
      </c>
      <c r="F2421" s="93">
        <v>8.44</v>
      </c>
      <c r="G2421" s="93">
        <v>0</v>
      </c>
      <c r="H2421" s="93">
        <v>0</v>
      </c>
      <c r="N2421" s="88"/>
      <c r="O2421" s="88"/>
      <c r="P2421" s="88"/>
    </row>
    <row r="2422" spans="1:16">
      <c r="A2422" s="94">
        <v>100768</v>
      </c>
      <c r="B2422" s="87" t="s">
        <v>2274</v>
      </c>
      <c r="C2422" s="12" t="s">
        <v>11</v>
      </c>
      <c r="D2422" s="93">
        <v>16.600000000000001</v>
      </c>
      <c r="E2422" s="93">
        <v>6.57</v>
      </c>
      <c r="F2422" s="93">
        <v>10.029999999999999</v>
      </c>
      <c r="G2422" s="93">
        <v>0</v>
      </c>
      <c r="H2422" s="93">
        <v>0</v>
      </c>
      <c r="N2422" s="88"/>
      <c r="O2422" s="88"/>
      <c r="P2422" s="88"/>
    </row>
    <row r="2423" spans="1:16">
      <c r="A2423" s="94">
        <v>100769</v>
      </c>
      <c r="B2423" s="87" t="s">
        <v>2275</v>
      </c>
      <c r="C2423" s="12" t="s">
        <v>11</v>
      </c>
      <c r="D2423" s="93">
        <v>16.93</v>
      </c>
      <c r="E2423" s="93">
        <v>3.01</v>
      </c>
      <c r="F2423" s="93">
        <v>8.3000000000000007</v>
      </c>
      <c r="G2423" s="93">
        <v>3.13</v>
      </c>
      <c r="H2423" s="93">
        <v>0</v>
      </c>
      <c r="N2423" s="88"/>
      <c r="O2423" s="88"/>
      <c r="P2423" s="88"/>
    </row>
    <row r="2424" spans="1:16">
      <c r="A2424" s="94">
        <v>100770</v>
      </c>
      <c r="B2424" s="87" t="s">
        <v>2276</v>
      </c>
      <c r="C2424" s="12" t="s">
        <v>11</v>
      </c>
      <c r="D2424" s="93">
        <v>16.260000000000002</v>
      </c>
      <c r="E2424" s="93">
        <v>2.8</v>
      </c>
      <c r="F2424" s="93">
        <v>7.96</v>
      </c>
      <c r="G2424" s="93">
        <v>3.07</v>
      </c>
      <c r="H2424" s="93">
        <v>0</v>
      </c>
      <c r="N2424" s="88"/>
      <c r="O2424" s="88"/>
      <c r="P2424" s="88"/>
    </row>
    <row r="2425" spans="1:16">
      <c r="A2425" s="94">
        <v>100771</v>
      </c>
      <c r="B2425" s="87" t="s">
        <v>2277</v>
      </c>
      <c r="C2425" s="12" t="s">
        <v>11</v>
      </c>
      <c r="D2425" s="93">
        <v>19.43</v>
      </c>
      <c r="E2425" s="93">
        <v>4.46</v>
      </c>
      <c r="F2425" s="93">
        <v>8.49</v>
      </c>
      <c r="G2425" s="93">
        <v>5.83</v>
      </c>
      <c r="H2425" s="93">
        <v>0</v>
      </c>
      <c r="N2425" s="88"/>
      <c r="O2425" s="88"/>
      <c r="P2425" s="88"/>
    </row>
    <row r="2426" spans="1:16">
      <c r="A2426" s="94">
        <v>100772</v>
      </c>
      <c r="B2426" s="87" t="s">
        <v>2278</v>
      </c>
      <c r="C2426" s="12" t="s">
        <v>11</v>
      </c>
      <c r="D2426" s="93">
        <v>11.37</v>
      </c>
      <c r="E2426" s="93">
        <v>2.4500000000000002</v>
      </c>
      <c r="F2426" s="93">
        <v>7.95</v>
      </c>
      <c r="G2426" s="93">
        <v>0.91</v>
      </c>
      <c r="H2426" s="93">
        <v>0</v>
      </c>
      <c r="N2426" s="88"/>
      <c r="O2426" s="88"/>
      <c r="P2426" s="88"/>
    </row>
    <row r="2427" spans="1:16">
      <c r="A2427" s="94">
        <v>100773</v>
      </c>
      <c r="B2427" s="87" t="s">
        <v>2279</v>
      </c>
      <c r="C2427" s="12" t="s">
        <v>11</v>
      </c>
      <c r="D2427" s="93">
        <v>14.11</v>
      </c>
      <c r="E2427" s="93">
        <v>1.25</v>
      </c>
      <c r="F2427" s="93">
        <v>12.29</v>
      </c>
      <c r="G2427" s="93">
        <v>0.32</v>
      </c>
      <c r="H2427" s="93">
        <v>0</v>
      </c>
      <c r="N2427" s="88"/>
      <c r="O2427" s="88"/>
      <c r="P2427" s="88"/>
    </row>
    <row r="2428" spans="1:16">
      <c r="A2428" s="94">
        <v>100774</v>
      </c>
      <c r="B2428" s="87" t="s">
        <v>2280</v>
      </c>
      <c r="C2428" s="12" t="s">
        <v>11</v>
      </c>
      <c r="D2428" s="93">
        <v>7.76</v>
      </c>
      <c r="E2428" s="93">
        <v>0.28999999999999998</v>
      </c>
      <c r="F2428" s="93">
        <v>7.3</v>
      </c>
      <c r="G2428" s="93">
        <v>0.08</v>
      </c>
      <c r="H2428" s="93">
        <v>0</v>
      </c>
      <c r="N2428" s="88"/>
      <c r="O2428" s="88"/>
      <c r="P2428" s="88"/>
    </row>
    <row r="2429" spans="1:16">
      <c r="A2429" s="94">
        <v>100775</v>
      </c>
      <c r="B2429" s="87" t="s">
        <v>2281</v>
      </c>
      <c r="C2429" s="12" t="s">
        <v>11</v>
      </c>
      <c r="D2429" s="93">
        <v>9.52</v>
      </c>
      <c r="E2429" s="93">
        <v>0.98</v>
      </c>
      <c r="F2429" s="93">
        <v>8.31</v>
      </c>
      <c r="G2429" s="93">
        <v>0.11</v>
      </c>
      <c r="H2429" s="93">
        <v>0</v>
      </c>
      <c r="N2429" s="88"/>
      <c r="O2429" s="88"/>
      <c r="P2429" s="88"/>
    </row>
    <row r="2430" spans="1:16">
      <c r="A2430" s="94">
        <v>100776</v>
      </c>
      <c r="B2430" s="87" t="s">
        <v>2282</v>
      </c>
      <c r="C2430" s="12" t="s">
        <v>11</v>
      </c>
      <c r="D2430" s="93">
        <v>14.17</v>
      </c>
      <c r="E2430" s="93">
        <v>1.25</v>
      </c>
      <c r="F2430" s="93">
        <v>12.35</v>
      </c>
      <c r="G2430" s="93">
        <v>0.32</v>
      </c>
      <c r="H2430" s="93">
        <v>0</v>
      </c>
      <c r="N2430" s="88"/>
      <c r="O2430" s="88"/>
      <c r="P2430" s="88"/>
    </row>
    <row r="2431" spans="1:16">
      <c r="A2431" s="94">
        <v>100777</v>
      </c>
      <c r="B2431" s="87" t="s">
        <v>2283</v>
      </c>
      <c r="C2431" s="12" t="s">
        <v>11</v>
      </c>
      <c r="D2431" s="93">
        <v>10.39</v>
      </c>
      <c r="E2431" s="93">
        <v>1.18</v>
      </c>
      <c r="F2431" s="93">
        <v>7.39</v>
      </c>
      <c r="G2431" s="93">
        <v>0.84</v>
      </c>
      <c r="H2431" s="93">
        <v>0</v>
      </c>
      <c r="N2431" s="88"/>
      <c r="O2431" s="88"/>
      <c r="P2431" s="88"/>
    </row>
    <row r="2432" spans="1:16">
      <c r="A2432" s="94">
        <v>100778</v>
      </c>
      <c r="B2432" s="87" t="s">
        <v>2284</v>
      </c>
      <c r="C2432" s="12" t="s">
        <v>11</v>
      </c>
      <c r="D2432" s="93">
        <v>6.55</v>
      </c>
      <c r="E2432" s="93">
        <v>0.15</v>
      </c>
      <c r="F2432" s="93">
        <v>6.17</v>
      </c>
      <c r="G2432" s="93">
        <v>0.11</v>
      </c>
      <c r="H2432" s="93">
        <v>0</v>
      </c>
      <c r="N2432" s="88"/>
      <c r="O2432" s="88"/>
      <c r="P2432" s="88"/>
    </row>
    <row r="2433" spans="1:16">
      <c r="A2433" s="94">
        <v>98560</v>
      </c>
      <c r="B2433" s="87" t="s">
        <v>2285</v>
      </c>
      <c r="C2433" s="12" t="s">
        <v>9</v>
      </c>
      <c r="D2433" s="93">
        <v>39.04</v>
      </c>
      <c r="E2433" s="93">
        <v>21.1</v>
      </c>
      <c r="F2433" s="93">
        <v>17.899999999999999</v>
      </c>
      <c r="G2433" s="93">
        <v>0.02</v>
      </c>
      <c r="H2433" s="93">
        <v>0</v>
      </c>
      <c r="N2433" s="88"/>
      <c r="O2433" s="88"/>
      <c r="P2433" s="88"/>
    </row>
    <row r="2434" spans="1:16">
      <c r="A2434" s="94">
        <v>98561</v>
      </c>
      <c r="B2434" s="87" t="s">
        <v>2286</v>
      </c>
      <c r="C2434" s="12" t="s">
        <v>9</v>
      </c>
      <c r="D2434" s="93">
        <v>35.65</v>
      </c>
      <c r="E2434" s="93">
        <v>19.399999999999999</v>
      </c>
      <c r="F2434" s="93">
        <v>16.2</v>
      </c>
      <c r="G2434" s="93">
        <v>0.02</v>
      </c>
      <c r="H2434" s="93">
        <v>0</v>
      </c>
      <c r="N2434" s="88"/>
      <c r="O2434" s="88"/>
      <c r="P2434" s="88"/>
    </row>
    <row r="2435" spans="1:16">
      <c r="A2435" s="94">
        <v>98562</v>
      </c>
      <c r="B2435" s="87" t="s">
        <v>2287</v>
      </c>
      <c r="C2435" s="12" t="s">
        <v>9</v>
      </c>
      <c r="D2435" s="93">
        <v>34.42</v>
      </c>
      <c r="E2435" s="93">
        <v>16.37</v>
      </c>
      <c r="F2435" s="93">
        <v>18.010000000000002</v>
      </c>
      <c r="G2435" s="93">
        <v>0.02</v>
      </c>
      <c r="H2435" s="93">
        <v>0</v>
      </c>
      <c r="N2435" s="88"/>
      <c r="O2435" s="88"/>
      <c r="P2435" s="88"/>
    </row>
    <row r="2436" spans="1:16">
      <c r="A2436" s="94">
        <v>98555</v>
      </c>
      <c r="B2436" s="87" t="s">
        <v>2288</v>
      </c>
      <c r="C2436" s="12" t="s">
        <v>9</v>
      </c>
      <c r="D2436" s="93">
        <v>21.77</v>
      </c>
      <c r="E2436" s="93">
        <v>11.34</v>
      </c>
      <c r="F2436" s="93">
        <v>10.43</v>
      </c>
      <c r="G2436" s="93">
        <v>0</v>
      </c>
      <c r="H2436" s="93">
        <v>0</v>
      </c>
      <c r="N2436" s="88"/>
      <c r="O2436" s="88"/>
      <c r="P2436" s="88"/>
    </row>
    <row r="2437" spans="1:16">
      <c r="A2437" s="94">
        <v>98556</v>
      </c>
      <c r="B2437" s="87" t="s">
        <v>2289</v>
      </c>
      <c r="C2437" s="12" t="s">
        <v>9</v>
      </c>
      <c r="D2437" s="93">
        <v>39.700000000000003</v>
      </c>
      <c r="E2437" s="93">
        <v>18.72</v>
      </c>
      <c r="F2437" s="93">
        <v>20.98</v>
      </c>
      <c r="G2437" s="93">
        <v>0</v>
      </c>
      <c r="H2437" s="93">
        <v>0</v>
      </c>
      <c r="N2437" s="88"/>
      <c r="O2437" s="88"/>
      <c r="P2437" s="88"/>
    </row>
    <row r="2438" spans="1:16">
      <c r="A2438" s="94">
        <v>98558</v>
      </c>
      <c r="B2438" s="87" t="s">
        <v>2290</v>
      </c>
      <c r="C2438" s="12" t="s">
        <v>4</v>
      </c>
      <c r="D2438" s="93">
        <v>5.99</v>
      </c>
      <c r="E2438" s="93">
        <v>2.56</v>
      </c>
      <c r="F2438" s="93">
        <v>3.43</v>
      </c>
      <c r="G2438" s="93">
        <v>0</v>
      </c>
      <c r="H2438" s="93">
        <v>0</v>
      </c>
      <c r="N2438" s="88"/>
      <c r="O2438" s="88"/>
      <c r="P2438" s="88"/>
    </row>
    <row r="2439" spans="1:16">
      <c r="A2439" s="94">
        <v>98559</v>
      </c>
      <c r="B2439" s="87" t="s">
        <v>2291</v>
      </c>
      <c r="C2439" s="12" t="s">
        <v>6</v>
      </c>
      <c r="D2439" s="93">
        <v>3.39</v>
      </c>
      <c r="E2439" s="93">
        <v>1.22</v>
      </c>
      <c r="F2439" s="93">
        <v>2.17</v>
      </c>
      <c r="G2439" s="93">
        <v>0</v>
      </c>
      <c r="H2439" s="93">
        <v>0</v>
      </c>
      <c r="N2439" s="88"/>
      <c r="O2439" s="88"/>
      <c r="P2439" s="88"/>
    </row>
    <row r="2440" spans="1:16">
      <c r="A2440" s="94">
        <v>98546</v>
      </c>
      <c r="B2440" s="87" t="s">
        <v>2292</v>
      </c>
      <c r="C2440" s="12" t="s">
        <v>9</v>
      </c>
      <c r="D2440" s="93">
        <v>73.86</v>
      </c>
      <c r="E2440" s="93">
        <v>20.14</v>
      </c>
      <c r="F2440" s="93">
        <v>53.72</v>
      </c>
      <c r="G2440" s="93">
        <v>0</v>
      </c>
      <c r="H2440" s="93">
        <v>0</v>
      </c>
      <c r="N2440" s="88"/>
      <c r="O2440" s="88"/>
      <c r="P2440" s="88"/>
    </row>
    <row r="2441" spans="1:16">
      <c r="A2441" s="94">
        <v>98547</v>
      </c>
      <c r="B2441" s="87" t="s">
        <v>2293</v>
      </c>
      <c r="C2441" s="12" t="s">
        <v>9</v>
      </c>
      <c r="D2441" s="93">
        <v>135.68</v>
      </c>
      <c r="E2441" s="93">
        <v>29.21</v>
      </c>
      <c r="F2441" s="93">
        <v>106.47</v>
      </c>
      <c r="G2441" s="93">
        <v>0</v>
      </c>
      <c r="H2441" s="93">
        <v>0</v>
      </c>
      <c r="N2441" s="88"/>
      <c r="O2441" s="88"/>
      <c r="P2441" s="88"/>
    </row>
    <row r="2442" spans="1:16">
      <c r="A2442" s="94">
        <v>98553</v>
      </c>
      <c r="B2442" s="87" t="s">
        <v>2294</v>
      </c>
      <c r="C2442" s="12" t="s">
        <v>9</v>
      </c>
      <c r="D2442" s="93">
        <v>98.37</v>
      </c>
      <c r="E2442" s="93">
        <v>10.09</v>
      </c>
      <c r="F2442" s="93">
        <v>88.28</v>
      </c>
      <c r="G2442" s="93">
        <v>0</v>
      </c>
      <c r="H2442" s="93">
        <v>0</v>
      </c>
      <c r="N2442" s="88"/>
      <c r="O2442" s="88"/>
      <c r="P2442" s="88"/>
    </row>
    <row r="2443" spans="1:16">
      <c r="A2443" s="94">
        <v>98554</v>
      </c>
      <c r="B2443" s="87" t="s">
        <v>2295</v>
      </c>
      <c r="C2443" s="12" t="s">
        <v>9</v>
      </c>
      <c r="D2443" s="93">
        <v>35.340000000000003</v>
      </c>
      <c r="E2443" s="93">
        <v>12.29</v>
      </c>
      <c r="F2443" s="93">
        <v>23.05</v>
      </c>
      <c r="G2443" s="93">
        <v>0</v>
      </c>
      <c r="H2443" s="93">
        <v>0</v>
      </c>
      <c r="N2443" s="88"/>
      <c r="O2443" s="88"/>
      <c r="P2443" s="88"/>
    </row>
    <row r="2444" spans="1:16">
      <c r="A2444" s="94">
        <v>98557</v>
      </c>
      <c r="B2444" s="87" t="s">
        <v>2296</v>
      </c>
      <c r="C2444" s="12" t="s">
        <v>9</v>
      </c>
      <c r="D2444" s="93">
        <v>27.92</v>
      </c>
      <c r="E2444" s="93">
        <v>8.9600000000000009</v>
      </c>
      <c r="F2444" s="93">
        <v>18.96</v>
      </c>
      <c r="G2444" s="93">
        <v>0</v>
      </c>
      <c r="H2444" s="93">
        <v>0</v>
      </c>
      <c r="N2444" s="88"/>
      <c r="O2444" s="88"/>
      <c r="P2444" s="88"/>
    </row>
    <row r="2445" spans="1:16">
      <c r="A2445" s="94">
        <v>98563</v>
      </c>
      <c r="B2445" s="87" t="s">
        <v>2297</v>
      </c>
      <c r="C2445" s="12" t="s">
        <v>9</v>
      </c>
      <c r="D2445" s="93">
        <v>26.76</v>
      </c>
      <c r="E2445" s="93">
        <v>11.2</v>
      </c>
      <c r="F2445" s="93">
        <v>15.56</v>
      </c>
      <c r="G2445" s="93">
        <v>0</v>
      </c>
      <c r="H2445" s="93">
        <v>0</v>
      </c>
      <c r="N2445" s="88"/>
      <c r="O2445" s="88"/>
      <c r="P2445" s="88"/>
    </row>
    <row r="2446" spans="1:16">
      <c r="A2446" s="94">
        <v>98564</v>
      </c>
      <c r="B2446" s="87" t="s">
        <v>2298</v>
      </c>
      <c r="C2446" s="12" t="s">
        <v>9</v>
      </c>
      <c r="D2446" s="93">
        <v>37.57</v>
      </c>
      <c r="E2446" s="93">
        <v>12.09</v>
      </c>
      <c r="F2446" s="93">
        <v>25.48</v>
      </c>
      <c r="G2446" s="93">
        <v>0</v>
      </c>
      <c r="H2446" s="93">
        <v>0</v>
      </c>
      <c r="N2446" s="88"/>
      <c r="O2446" s="88"/>
      <c r="P2446" s="88"/>
    </row>
    <row r="2447" spans="1:16">
      <c r="A2447" s="94">
        <v>98565</v>
      </c>
      <c r="B2447" s="87" t="s">
        <v>2299</v>
      </c>
      <c r="C2447" s="12" t="s">
        <v>9</v>
      </c>
      <c r="D2447" s="93">
        <v>38.68</v>
      </c>
      <c r="E2447" s="93">
        <v>17.04</v>
      </c>
      <c r="F2447" s="93">
        <v>21.64</v>
      </c>
      <c r="G2447" s="93">
        <v>0</v>
      </c>
      <c r="H2447" s="93">
        <v>0</v>
      </c>
      <c r="N2447" s="88"/>
      <c r="O2447" s="88"/>
      <c r="P2447" s="88"/>
    </row>
    <row r="2448" spans="1:16">
      <c r="A2448" s="94">
        <v>98566</v>
      </c>
      <c r="B2448" s="87" t="s">
        <v>2300</v>
      </c>
      <c r="C2448" s="12" t="s">
        <v>9</v>
      </c>
      <c r="D2448" s="93">
        <v>49.49</v>
      </c>
      <c r="E2448" s="93">
        <v>17.96</v>
      </c>
      <c r="F2448" s="93">
        <v>31.53</v>
      </c>
      <c r="G2448" s="93">
        <v>0</v>
      </c>
      <c r="H2448" s="93">
        <v>0</v>
      </c>
      <c r="N2448" s="88"/>
      <c r="O2448" s="88"/>
      <c r="P2448" s="88"/>
    </row>
    <row r="2449" spans="1:16">
      <c r="A2449" s="94">
        <v>98567</v>
      </c>
      <c r="B2449" s="87" t="s">
        <v>2301</v>
      </c>
      <c r="C2449" s="12" t="s">
        <v>9</v>
      </c>
      <c r="D2449" s="93">
        <v>50.02</v>
      </c>
      <c r="E2449" s="93">
        <v>22.78</v>
      </c>
      <c r="F2449" s="93">
        <v>27.24</v>
      </c>
      <c r="G2449" s="93">
        <v>0</v>
      </c>
      <c r="H2449" s="93">
        <v>0</v>
      </c>
      <c r="N2449" s="88"/>
      <c r="O2449" s="88"/>
      <c r="P2449" s="88"/>
    </row>
    <row r="2450" spans="1:16">
      <c r="A2450" s="94">
        <v>98568</v>
      </c>
      <c r="B2450" s="87" t="s">
        <v>2302</v>
      </c>
      <c r="C2450" s="12" t="s">
        <v>9</v>
      </c>
      <c r="D2450" s="93">
        <v>60.8</v>
      </c>
      <c r="E2450" s="93">
        <v>23.68</v>
      </c>
      <c r="F2450" s="93">
        <v>37.119999999999997</v>
      </c>
      <c r="G2450" s="93">
        <v>0</v>
      </c>
      <c r="H2450" s="93">
        <v>0</v>
      </c>
      <c r="N2450" s="88"/>
      <c r="O2450" s="88"/>
      <c r="P2450" s="88"/>
    </row>
    <row r="2451" spans="1:16">
      <c r="A2451" s="94">
        <v>98569</v>
      </c>
      <c r="B2451" s="87" t="s">
        <v>2303</v>
      </c>
      <c r="C2451" s="12" t="s">
        <v>9</v>
      </c>
      <c r="D2451" s="93">
        <v>61.92</v>
      </c>
      <c r="E2451" s="93">
        <v>28.64</v>
      </c>
      <c r="F2451" s="93">
        <v>33.28</v>
      </c>
      <c r="G2451" s="93">
        <v>0</v>
      </c>
      <c r="H2451" s="93">
        <v>0</v>
      </c>
      <c r="N2451" s="88"/>
      <c r="O2451" s="88"/>
      <c r="P2451" s="88"/>
    </row>
    <row r="2452" spans="1:16">
      <c r="A2452" s="94">
        <v>98570</v>
      </c>
      <c r="B2452" s="87" t="s">
        <v>2304</v>
      </c>
      <c r="C2452" s="12" t="s">
        <v>9</v>
      </c>
      <c r="D2452" s="93">
        <v>72.739999999999995</v>
      </c>
      <c r="E2452" s="93">
        <v>29.55</v>
      </c>
      <c r="F2452" s="93">
        <v>43.19</v>
      </c>
      <c r="G2452" s="93">
        <v>0</v>
      </c>
      <c r="H2452" s="93">
        <v>0</v>
      </c>
      <c r="N2452" s="88"/>
      <c r="O2452" s="88"/>
      <c r="P2452" s="88"/>
    </row>
    <row r="2453" spans="1:16">
      <c r="A2453" s="94">
        <v>98571</v>
      </c>
      <c r="B2453" s="87" t="s">
        <v>2305</v>
      </c>
      <c r="C2453" s="12" t="s">
        <v>9</v>
      </c>
      <c r="D2453" s="93">
        <v>29.89</v>
      </c>
      <c r="E2453" s="93">
        <v>12.27</v>
      </c>
      <c r="F2453" s="93">
        <v>17.62</v>
      </c>
      <c r="G2453" s="93">
        <v>0</v>
      </c>
      <c r="H2453" s="93">
        <v>0</v>
      </c>
      <c r="N2453" s="88"/>
      <c r="O2453" s="88"/>
      <c r="P2453" s="88"/>
    </row>
    <row r="2454" spans="1:16">
      <c r="A2454" s="94">
        <v>98572</v>
      </c>
      <c r="B2454" s="87" t="s">
        <v>2306</v>
      </c>
      <c r="C2454" s="12" t="s">
        <v>9</v>
      </c>
      <c r="D2454" s="93">
        <v>36.93</v>
      </c>
      <c r="E2454" s="93">
        <v>15.52</v>
      </c>
      <c r="F2454" s="93">
        <v>21.41</v>
      </c>
      <c r="G2454" s="93">
        <v>0</v>
      </c>
      <c r="H2454" s="93">
        <v>0</v>
      </c>
      <c r="N2454" s="88"/>
      <c r="O2454" s="88"/>
      <c r="P2454" s="88"/>
    </row>
    <row r="2455" spans="1:16">
      <c r="A2455" s="94">
        <v>98573</v>
      </c>
      <c r="B2455" s="87" t="s">
        <v>2307</v>
      </c>
      <c r="C2455" s="12" t="s">
        <v>9</v>
      </c>
      <c r="D2455" s="93">
        <v>47.4</v>
      </c>
      <c r="E2455" s="93">
        <v>16.170000000000002</v>
      </c>
      <c r="F2455" s="93">
        <v>31.23</v>
      </c>
      <c r="G2455" s="93">
        <v>0</v>
      </c>
      <c r="H2455" s="93">
        <v>0</v>
      </c>
      <c r="N2455" s="88"/>
      <c r="O2455" s="88"/>
      <c r="P2455" s="88"/>
    </row>
    <row r="2456" spans="1:16">
      <c r="A2456" s="94">
        <v>91831</v>
      </c>
      <c r="B2456" s="87" t="s">
        <v>2308</v>
      </c>
      <c r="C2456" s="12" t="s">
        <v>6</v>
      </c>
      <c r="D2456" s="93">
        <v>5.3</v>
      </c>
      <c r="E2456" s="93">
        <v>2.96</v>
      </c>
      <c r="F2456" s="93">
        <v>2.34</v>
      </c>
      <c r="G2456" s="93">
        <v>0</v>
      </c>
      <c r="H2456" s="93">
        <v>0</v>
      </c>
      <c r="N2456" s="88"/>
      <c r="O2456" s="88"/>
      <c r="P2456" s="88"/>
    </row>
    <row r="2457" spans="1:16">
      <c r="A2457" s="94">
        <v>91833</v>
      </c>
      <c r="B2457" s="87" t="s">
        <v>2309</v>
      </c>
      <c r="C2457" s="12" t="s">
        <v>6</v>
      </c>
      <c r="D2457" s="93">
        <v>5.57</v>
      </c>
      <c r="E2457" s="93">
        <v>2.96</v>
      </c>
      <c r="F2457" s="93">
        <v>2.61</v>
      </c>
      <c r="G2457" s="93">
        <v>0</v>
      </c>
      <c r="H2457" s="93">
        <v>0</v>
      </c>
      <c r="N2457" s="88"/>
      <c r="O2457" s="88"/>
      <c r="P2457" s="88"/>
    </row>
    <row r="2458" spans="1:16">
      <c r="A2458" s="94">
        <v>91834</v>
      </c>
      <c r="B2458" s="87" t="s">
        <v>2310</v>
      </c>
      <c r="C2458" s="12" t="s">
        <v>6</v>
      </c>
      <c r="D2458" s="93">
        <v>5.99</v>
      </c>
      <c r="E2458" s="93">
        <v>3.42</v>
      </c>
      <c r="F2458" s="93">
        <v>2.57</v>
      </c>
      <c r="G2458" s="93">
        <v>0</v>
      </c>
      <c r="H2458" s="93">
        <v>0</v>
      </c>
      <c r="N2458" s="88"/>
      <c r="O2458" s="88"/>
      <c r="P2458" s="88"/>
    </row>
    <row r="2459" spans="1:16">
      <c r="A2459" s="94">
        <v>91835</v>
      </c>
      <c r="B2459" s="87" t="s">
        <v>2311</v>
      </c>
      <c r="C2459" s="12" t="s">
        <v>6</v>
      </c>
      <c r="D2459" s="93">
        <v>6.69</v>
      </c>
      <c r="E2459" s="93">
        <v>3.41</v>
      </c>
      <c r="F2459" s="93">
        <v>3.28</v>
      </c>
      <c r="G2459" s="93">
        <v>0</v>
      </c>
      <c r="H2459" s="93">
        <v>0</v>
      </c>
      <c r="N2459" s="88"/>
      <c r="O2459" s="88"/>
      <c r="P2459" s="88"/>
    </row>
    <row r="2460" spans="1:16">
      <c r="A2460" s="94">
        <v>91836</v>
      </c>
      <c r="B2460" s="87" t="s">
        <v>2312</v>
      </c>
      <c r="C2460" s="12" t="s">
        <v>6</v>
      </c>
      <c r="D2460" s="93">
        <v>7.72</v>
      </c>
      <c r="E2460" s="93">
        <v>3.99</v>
      </c>
      <c r="F2460" s="93">
        <v>3.73</v>
      </c>
      <c r="G2460" s="93">
        <v>0</v>
      </c>
      <c r="H2460" s="93">
        <v>0</v>
      </c>
      <c r="N2460" s="88"/>
      <c r="O2460" s="88"/>
      <c r="P2460" s="88"/>
    </row>
    <row r="2461" spans="1:16">
      <c r="A2461" s="94">
        <v>91837</v>
      </c>
      <c r="B2461" s="87" t="s">
        <v>2313</v>
      </c>
      <c r="C2461" s="12" t="s">
        <v>6</v>
      </c>
      <c r="D2461" s="93">
        <v>9.3800000000000008</v>
      </c>
      <c r="E2461" s="93">
        <v>3.97</v>
      </c>
      <c r="F2461" s="93">
        <v>5.41</v>
      </c>
      <c r="G2461" s="93">
        <v>0</v>
      </c>
      <c r="H2461" s="93">
        <v>0</v>
      </c>
      <c r="N2461" s="88"/>
      <c r="O2461" s="88"/>
      <c r="P2461" s="88"/>
    </row>
    <row r="2462" spans="1:16">
      <c r="A2462" s="94">
        <v>91839</v>
      </c>
      <c r="B2462" s="87" t="s">
        <v>2314</v>
      </c>
      <c r="C2462" s="12" t="s">
        <v>6</v>
      </c>
      <c r="D2462" s="93">
        <v>7.73</v>
      </c>
      <c r="E2462" s="93">
        <v>3.99</v>
      </c>
      <c r="F2462" s="93">
        <v>3.74</v>
      </c>
      <c r="G2462" s="93">
        <v>0</v>
      </c>
      <c r="H2462" s="93">
        <v>0</v>
      </c>
      <c r="N2462" s="88"/>
      <c r="O2462" s="88"/>
      <c r="P2462" s="88"/>
    </row>
    <row r="2463" spans="1:16">
      <c r="A2463" s="94">
        <v>91840</v>
      </c>
      <c r="B2463" s="87" t="s">
        <v>2315</v>
      </c>
      <c r="C2463" s="12" t="s">
        <v>6</v>
      </c>
      <c r="D2463" s="93">
        <v>9.82</v>
      </c>
      <c r="E2463" s="93">
        <v>4.6399999999999997</v>
      </c>
      <c r="F2463" s="93">
        <v>5.18</v>
      </c>
      <c r="G2463" s="93">
        <v>0</v>
      </c>
      <c r="H2463" s="93">
        <v>0</v>
      </c>
      <c r="N2463" s="88"/>
      <c r="O2463" s="88"/>
      <c r="P2463" s="88"/>
    </row>
    <row r="2464" spans="1:16">
      <c r="A2464" s="94">
        <v>91841</v>
      </c>
      <c r="B2464" s="87" t="s">
        <v>2316</v>
      </c>
      <c r="C2464" s="12" t="s">
        <v>6</v>
      </c>
      <c r="D2464" s="93">
        <v>9.2799999999999994</v>
      </c>
      <c r="E2464" s="93">
        <v>4.66</v>
      </c>
      <c r="F2464" s="93">
        <v>4.62</v>
      </c>
      <c r="G2464" s="93">
        <v>0</v>
      </c>
      <c r="H2464" s="93">
        <v>0</v>
      </c>
      <c r="N2464" s="88"/>
      <c r="O2464" s="88"/>
      <c r="P2464" s="88"/>
    </row>
    <row r="2465" spans="1:16">
      <c r="A2465" s="94">
        <v>91842</v>
      </c>
      <c r="B2465" s="87" t="s">
        <v>2317</v>
      </c>
      <c r="C2465" s="12" t="s">
        <v>6</v>
      </c>
      <c r="D2465" s="93">
        <v>4.03</v>
      </c>
      <c r="E2465" s="93">
        <v>2.16</v>
      </c>
      <c r="F2465" s="93">
        <v>1.87</v>
      </c>
      <c r="G2465" s="93">
        <v>0</v>
      </c>
      <c r="H2465" s="93">
        <v>0</v>
      </c>
      <c r="N2465" s="88"/>
      <c r="O2465" s="88"/>
      <c r="P2465" s="88"/>
    </row>
    <row r="2466" spans="1:16">
      <c r="A2466" s="94">
        <v>91843</v>
      </c>
      <c r="B2466" s="87" t="s">
        <v>2318</v>
      </c>
      <c r="C2466" s="12" t="s">
        <v>6</v>
      </c>
      <c r="D2466" s="93">
        <v>4.3</v>
      </c>
      <c r="E2466" s="93">
        <v>2.15</v>
      </c>
      <c r="F2466" s="93">
        <v>2.15</v>
      </c>
      <c r="G2466" s="93">
        <v>0</v>
      </c>
      <c r="H2466" s="93">
        <v>0</v>
      </c>
      <c r="N2466" s="88"/>
      <c r="O2466" s="88"/>
      <c r="P2466" s="88"/>
    </row>
    <row r="2467" spans="1:16">
      <c r="A2467" s="94">
        <v>91844</v>
      </c>
      <c r="B2467" s="87" t="s">
        <v>2319</v>
      </c>
      <c r="C2467" s="12" t="s">
        <v>6</v>
      </c>
      <c r="D2467" s="93">
        <v>4.72</v>
      </c>
      <c r="E2467" s="93">
        <v>2.58</v>
      </c>
      <c r="F2467" s="93">
        <v>2.14</v>
      </c>
      <c r="G2467" s="93">
        <v>0</v>
      </c>
      <c r="H2467" s="93">
        <v>0</v>
      </c>
      <c r="N2467" s="88"/>
      <c r="O2467" s="88"/>
      <c r="P2467" s="88"/>
    </row>
    <row r="2468" spans="1:16">
      <c r="A2468" s="94">
        <v>91845</v>
      </c>
      <c r="B2468" s="87" t="s">
        <v>2320</v>
      </c>
      <c r="C2468" s="12" t="s">
        <v>6</v>
      </c>
      <c r="D2468" s="93">
        <v>5.42</v>
      </c>
      <c r="E2468" s="93">
        <v>2.57</v>
      </c>
      <c r="F2468" s="93">
        <v>2.85</v>
      </c>
      <c r="G2468" s="93">
        <v>0</v>
      </c>
      <c r="H2468" s="93">
        <v>0</v>
      </c>
      <c r="N2468" s="88"/>
      <c r="O2468" s="88"/>
      <c r="P2468" s="88"/>
    </row>
    <row r="2469" spans="1:16">
      <c r="A2469" s="94">
        <v>91846</v>
      </c>
      <c r="B2469" s="87" t="s">
        <v>2321</v>
      </c>
      <c r="C2469" s="12" t="s">
        <v>6</v>
      </c>
      <c r="D2469" s="93">
        <v>6.47</v>
      </c>
      <c r="E2469" s="93">
        <v>3.17</v>
      </c>
      <c r="F2469" s="93">
        <v>3.3</v>
      </c>
      <c r="G2469" s="93">
        <v>0</v>
      </c>
      <c r="H2469" s="93">
        <v>0</v>
      </c>
      <c r="N2469" s="88"/>
      <c r="O2469" s="88"/>
      <c r="P2469" s="88"/>
    </row>
    <row r="2470" spans="1:16">
      <c r="A2470" s="94">
        <v>91847</v>
      </c>
      <c r="B2470" s="87" t="s">
        <v>2322</v>
      </c>
      <c r="C2470" s="12" t="s">
        <v>6</v>
      </c>
      <c r="D2470" s="93">
        <v>8.1300000000000008</v>
      </c>
      <c r="E2470" s="93">
        <v>3.16</v>
      </c>
      <c r="F2470" s="93">
        <v>4.97</v>
      </c>
      <c r="G2470" s="93">
        <v>0</v>
      </c>
      <c r="H2470" s="93">
        <v>0</v>
      </c>
      <c r="N2470" s="88"/>
      <c r="O2470" s="88"/>
      <c r="P2470" s="88"/>
    </row>
    <row r="2471" spans="1:16">
      <c r="A2471" s="94">
        <v>91849</v>
      </c>
      <c r="B2471" s="87" t="s">
        <v>2323</v>
      </c>
      <c r="C2471" s="12" t="s">
        <v>6</v>
      </c>
      <c r="D2471" s="93">
        <v>6.48</v>
      </c>
      <c r="E2471" s="93">
        <v>3.17</v>
      </c>
      <c r="F2471" s="93">
        <v>3.31</v>
      </c>
      <c r="G2471" s="93">
        <v>0</v>
      </c>
      <c r="H2471" s="93">
        <v>0</v>
      </c>
      <c r="N2471" s="88"/>
      <c r="O2471" s="88"/>
      <c r="P2471" s="88"/>
    </row>
    <row r="2472" spans="1:16">
      <c r="A2472" s="94">
        <v>91850</v>
      </c>
      <c r="B2472" s="87" t="s">
        <v>2324</v>
      </c>
      <c r="C2472" s="12" t="s">
        <v>6</v>
      </c>
      <c r="D2472" s="93">
        <v>8.6</v>
      </c>
      <c r="E2472" s="93">
        <v>3.87</v>
      </c>
      <c r="F2472" s="93">
        <v>4.7300000000000004</v>
      </c>
      <c r="G2472" s="93">
        <v>0</v>
      </c>
      <c r="H2472" s="93">
        <v>0</v>
      </c>
      <c r="N2472" s="88"/>
      <c r="O2472" s="88"/>
      <c r="P2472" s="88"/>
    </row>
    <row r="2473" spans="1:16">
      <c r="A2473" s="94">
        <v>91851</v>
      </c>
      <c r="B2473" s="87" t="s">
        <v>2325</v>
      </c>
      <c r="C2473" s="12" t="s">
        <v>6</v>
      </c>
      <c r="D2473" s="93">
        <v>8.06</v>
      </c>
      <c r="E2473" s="93">
        <v>3.87</v>
      </c>
      <c r="F2473" s="93">
        <v>4.1900000000000004</v>
      </c>
      <c r="G2473" s="93">
        <v>0</v>
      </c>
      <c r="H2473" s="93">
        <v>0</v>
      </c>
      <c r="N2473" s="88"/>
      <c r="O2473" s="88"/>
      <c r="P2473" s="88"/>
    </row>
    <row r="2474" spans="1:16">
      <c r="A2474" s="94">
        <v>91852</v>
      </c>
      <c r="B2474" s="87" t="s">
        <v>2326</v>
      </c>
      <c r="C2474" s="12" t="s">
        <v>6</v>
      </c>
      <c r="D2474" s="93">
        <v>6.11</v>
      </c>
      <c r="E2474" s="93">
        <v>3.84</v>
      </c>
      <c r="F2474" s="93">
        <v>2.27</v>
      </c>
      <c r="G2474" s="93">
        <v>0</v>
      </c>
      <c r="H2474" s="93">
        <v>0</v>
      </c>
      <c r="N2474" s="88"/>
      <c r="O2474" s="88"/>
      <c r="P2474" s="88"/>
    </row>
    <row r="2475" spans="1:16">
      <c r="A2475" s="94">
        <v>91853</v>
      </c>
      <c r="B2475" s="87" t="s">
        <v>2327</v>
      </c>
      <c r="C2475" s="12" t="s">
        <v>6</v>
      </c>
      <c r="D2475" s="93">
        <v>6.37</v>
      </c>
      <c r="E2475" s="93">
        <v>3.84</v>
      </c>
      <c r="F2475" s="93">
        <v>2.5299999999999998</v>
      </c>
      <c r="G2475" s="93">
        <v>0</v>
      </c>
      <c r="H2475" s="93">
        <v>0</v>
      </c>
      <c r="N2475" s="88"/>
      <c r="O2475" s="88"/>
      <c r="P2475" s="88"/>
    </row>
    <row r="2476" spans="1:16">
      <c r="A2476" s="94">
        <v>91854</v>
      </c>
      <c r="B2476" s="87" t="s">
        <v>2328</v>
      </c>
      <c r="C2476" s="12" t="s">
        <v>6</v>
      </c>
      <c r="D2476" s="93">
        <v>6.81</v>
      </c>
      <c r="E2476" s="93">
        <v>4.29</v>
      </c>
      <c r="F2476" s="93">
        <v>2.52</v>
      </c>
      <c r="G2476" s="93">
        <v>0</v>
      </c>
      <c r="H2476" s="93">
        <v>0</v>
      </c>
      <c r="N2476" s="88"/>
      <c r="O2476" s="88"/>
      <c r="P2476" s="88"/>
    </row>
    <row r="2477" spans="1:16">
      <c r="A2477" s="94">
        <v>91855</v>
      </c>
      <c r="B2477" s="87" t="s">
        <v>2329</v>
      </c>
      <c r="C2477" s="12" t="s">
        <v>6</v>
      </c>
      <c r="D2477" s="93">
        <v>7.46</v>
      </c>
      <c r="E2477" s="93">
        <v>4.28</v>
      </c>
      <c r="F2477" s="93">
        <v>3.18</v>
      </c>
      <c r="G2477" s="93">
        <v>0</v>
      </c>
      <c r="H2477" s="93">
        <v>0</v>
      </c>
      <c r="N2477" s="88"/>
      <c r="O2477" s="88"/>
      <c r="P2477" s="88"/>
    </row>
    <row r="2478" spans="1:16">
      <c r="A2478" s="94">
        <v>91856</v>
      </c>
      <c r="B2478" s="87" t="s">
        <v>2330</v>
      </c>
      <c r="C2478" s="12" t="s">
        <v>6</v>
      </c>
      <c r="D2478" s="93">
        <v>8.4499999999999993</v>
      </c>
      <c r="E2478" s="93">
        <v>4.8600000000000003</v>
      </c>
      <c r="F2478" s="93">
        <v>3.59</v>
      </c>
      <c r="G2478" s="93">
        <v>0</v>
      </c>
      <c r="H2478" s="93">
        <v>0</v>
      </c>
      <c r="N2478" s="88"/>
      <c r="O2478" s="88"/>
      <c r="P2478" s="88"/>
    </row>
    <row r="2479" spans="1:16">
      <c r="A2479" s="94">
        <v>91857</v>
      </c>
      <c r="B2479" s="87" t="s">
        <v>2331</v>
      </c>
      <c r="C2479" s="12" t="s">
        <v>6</v>
      </c>
      <c r="D2479" s="93">
        <v>9.99</v>
      </c>
      <c r="E2479" s="93">
        <v>4.84</v>
      </c>
      <c r="F2479" s="93">
        <v>5.15</v>
      </c>
      <c r="G2479" s="93">
        <v>0</v>
      </c>
      <c r="H2479" s="93">
        <v>0</v>
      </c>
      <c r="N2479" s="88"/>
      <c r="O2479" s="88"/>
      <c r="P2479" s="88"/>
    </row>
    <row r="2480" spans="1:16">
      <c r="A2480" s="94">
        <v>91859</v>
      </c>
      <c r="B2480" s="87" t="s">
        <v>2332</v>
      </c>
      <c r="C2480" s="12" t="s">
        <v>6</v>
      </c>
      <c r="D2480" s="93">
        <v>8.4600000000000009</v>
      </c>
      <c r="E2480" s="93">
        <v>4.8600000000000003</v>
      </c>
      <c r="F2480" s="93">
        <v>3.6</v>
      </c>
      <c r="G2480" s="93">
        <v>0</v>
      </c>
      <c r="H2480" s="93">
        <v>0</v>
      </c>
      <c r="N2480" s="88"/>
      <c r="O2480" s="88"/>
      <c r="P2480" s="88"/>
    </row>
    <row r="2481" spans="1:16">
      <c r="A2481" s="94">
        <v>91860</v>
      </c>
      <c r="B2481" s="87" t="s">
        <v>2333</v>
      </c>
      <c r="C2481" s="12" t="s">
        <v>6</v>
      </c>
      <c r="D2481" s="93">
        <v>10.5</v>
      </c>
      <c r="E2481" s="93">
        <v>5.55</v>
      </c>
      <c r="F2481" s="93">
        <v>4.95</v>
      </c>
      <c r="G2481" s="93">
        <v>0</v>
      </c>
      <c r="H2481" s="93">
        <v>0</v>
      </c>
      <c r="N2481" s="88"/>
      <c r="O2481" s="88"/>
      <c r="P2481" s="88"/>
    </row>
    <row r="2482" spans="1:16">
      <c r="A2482" s="94">
        <v>91861</v>
      </c>
      <c r="B2482" s="87" t="s">
        <v>2334</v>
      </c>
      <c r="C2482" s="12" t="s">
        <v>6</v>
      </c>
      <c r="D2482" s="93">
        <v>10</v>
      </c>
      <c r="E2482" s="93">
        <v>5.55</v>
      </c>
      <c r="F2482" s="93">
        <v>4.45</v>
      </c>
      <c r="G2482" s="93">
        <v>0</v>
      </c>
      <c r="H2482" s="93">
        <v>0</v>
      </c>
      <c r="N2482" s="88"/>
      <c r="O2482" s="88"/>
      <c r="P2482" s="88"/>
    </row>
    <row r="2483" spans="1:16">
      <c r="A2483" s="94">
        <v>91862</v>
      </c>
      <c r="B2483" s="87" t="s">
        <v>2335</v>
      </c>
      <c r="C2483" s="12" t="s">
        <v>6</v>
      </c>
      <c r="D2483" s="93">
        <v>6.35</v>
      </c>
      <c r="E2483" s="93">
        <v>3.26</v>
      </c>
      <c r="F2483" s="93">
        <v>3.09</v>
      </c>
      <c r="G2483" s="93">
        <v>0</v>
      </c>
      <c r="H2483" s="93">
        <v>0</v>
      </c>
      <c r="N2483" s="88"/>
      <c r="O2483" s="88"/>
      <c r="P2483" s="88"/>
    </row>
    <row r="2484" spans="1:16">
      <c r="A2484" s="94">
        <v>91863</v>
      </c>
      <c r="B2484" s="87" t="s">
        <v>2336</v>
      </c>
      <c r="C2484" s="12" t="s">
        <v>6</v>
      </c>
      <c r="D2484" s="93">
        <v>7.47</v>
      </c>
      <c r="E2484" s="93">
        <v>3.76</v>
      </c>
      <c r="F2484" s="93">
        <v>3.71</v>
      </c>
      <c r="G2484" s="93">
        <v>0</v>
      </c>
      <c r="H2484" s="93">
        <v>0</v>
      </c>
      <c r="N2484" s="88"/>
      <c r="O2484" s="88"/>
      <c r="P2484" s="88"/>
    </row>
    <row r="2485" spans="1:16">
      <c r="A2485" s="94">
        <v>91864</v>
      </c>
      <c r="B2485" s="87" t="s">
        <v>2337</v>
      </c>
      <c r="C2485" s="12" t="s">
        <v>6</v>
      </c>
      <c r="D2485" s="93">
        <v>9.74</v>
      </c>
      <c r="E2485" s="93">
        <v>4.45</v>
      </c>
      <c r="F2485" s="93">
        <v>5.29</v>
      </c>
      <c r="G2485" s="93">
        <v>0</v>
      </c>
      <c r="H2485" s="93">
        <v>0</v>
      </c>
      <c r="N2485" s="88"/>
      <c r="O2485" s="88"/>
      <c r="P2485" s="88"/>
    </row>
    <row r="2486" spans="1:16">
      <c r="A2486" s="94">
        <v>91865</v>
      </c>
      <c r="B2486" s="87" t="s">
        <v>2338</v>
      </c>
      <c r="C2486" s="12" t="s">
        <v>6</v>
      </c>
      <c r="D2486" s="93">
        <v>12.06</v>
      </c>
      <c r="E2486" s="93">
        <v>5.28</v>
      </c>
      <c r="F2486" s="93">
        <v>6.78</v>
      </c>
      <c r="G2486" s="93">
        <v>0</v>
      </c>
      <c r="H2486" s="93">
        <v>0</v>
      </c>
      <c r="N2486" s="88"/>
      <c r="O2486" s="88"/>
      <c r="P2486" s="88"/>
    </row>
    <row r="2487" spans="1:16">
      <c r="A2487" s="94">
        <v>91866</v>
      </c>
      <c r="B2487" s="87" t="s">
        <v>2339</v>
      </c>
      <c r="C2487" s="12" t="s">
        <v>6</v>
      </c>
      <c r="D2487" s="93">
        <v>5.21</v>
      </c>
      <c r="E2487" s="93">
        <v>2.52</v>
      </c>
      <c r="F2487" s="93">
        <v>2.69</v>
      </c>
      <c r="G2487" s="93">
        <v>0</v>
      </c>
      <c r="H2487" s="93">
        <v>0</v>
      </c>
      <c r="N2487" s="88"/>
      <c r="O2487" s="88"/>
      <c r="P2487" s="88"/>
    </row>
    <row r="2488" spans="1:16">
      <c r="A2488" s="94">
        <v>91867</v>
      </c>
      <c r="B2488" s="87" t="s">
        <v>2340</v>
      </c>
      <c r="C2488" s="12" t="s">
        <v>6</v>
      </c>
      <c r="D2488" s="93">
        <v>6.32</v>
      </c>
      <c r="E2488" s="93">
        <v>3.01</v>
      </c>
      <c r="F2488" s="93">
        <v>3.31</v>
      </c>
      <c r="G2488" s="93">
        <v>0</v>
      </c>
      <c r="H2488" s="93">
        <v>0</v>
      </c>
      <c r="N2488" s="88"/>
      <c r="O2488" s="88"/>
      <c r="P2488" s="88"/>
    </row>
    <row r="2489" spans="1:16">
      <c r="A2489" s="94">
        <v>91868</v>
      </c>
      <c r="B2489" s="87" t="s">
        <v>2341</v>
      </c>
      <c r="C2489" s="12" t="s">
        <v>6</v>
      </c>
      <c r="D2489" s="93">
        <v>8.59</v>
      </c>
      <c r="E2489" s="93">
        <v>3.72</v>
      </c>
      <c r="F2489" s="93">
        <v>4.87</v>
      </c>
      <c r="G2489" s="93">
        <v>0</v>
      </c>
      <c r="H2489" s="93">
        <v>0</v>
      </c>
      <c r="N2489" s="88"/>
      <c r="O2489" s="88"/>
      <c r="P2489" s="88"/>
    </row>
    <row r="2490" spans="1:16">
      <c r="A2490" s="94">
        <v>91869</v>
      </c>
      <c r="B2490" s="87" t="s">
        <v>2342</v>
      </c>
      <c r="C2490" s="12" t="s">
        <v>6</v>
      </c>
      <c r="D2490" s="93">
        <v>10.92</v>
      </c>
      <c r="E2490" s="93">
        <v>4.54</v>
      </c>
      <c r="F2490" s="93">
        <v>6.38</v>
      </c>
      <c r="G2490" s="93">
        <v>0</v>
      </c>
      <c r="H2490" s="93">
        <v>0</v>
      </c>
      <c r="N2490" s="88"/>
      <c r="O2490" s="88"/>
      <c r="P2490" s="88"/>
    </row>
    <row r="2491" spans="1:16">
      <c r="A2491" s="94">
        <v>91870</v>
      </c>
      <c r="B2491" s="87" t="s">
        <v>2343</v>
      </c>
      <c r="C2491" s="12" t="s">
        <v>6</v>
      </c>
      <c r="D2491" s="93">
        <v>7.77</v>
      </c>
      <c r="E2491" s="93">
        <v>4.51</v>
      </c>
      <c r="F2491" s="93">
        <v>3.26</v>
      </c>
      <c r="G2491" s="93">
        <v>0</v>
      </c>
      <c r="H2491" s="93">
        <v>0</v>
      </c>
      <c r="N2491" s="88"/>
      <c r="O2491" s="88"/>
      <c r="P2491" s="88"/>
    </row>
    <row r="2492" spans="1:16">
      <c r="A2492" s="94">
        <v>91871</v>
      </c>
      <c r="B2492" s="87" t="s">
        <v>2344</v>
      </c>
      <c r="C2492" s="12" t="s">
        <v>6</v>
      </c>
      <c r="D2492" s="93">
        <v>8.93</v>
      </c>
      <c r="E2492" s="93">
        <v>5.03</v>
      </c>
      <c r="F2492" s="93">
        <v>3.9</v>
      </c>
      <c r="G2492" s="93">
        <v>0</v>
      </c>
      <c r="H2492" s="93">
        <v>0</v>
      </c>
      <c r="N2492" s="88"/>
      <c r="O2492" s="88"/>
      <c r="P2492" s="88"/>
    </row>
    <row r="2493" spans="1:16">
      <c r="A2493" s="94">
        <v>91872</v>
      </c>
      <c r="B2493" s="87" t="s">
        <v>2345</v>
      </c>
      <c r="C2493" s="12" t="s">
        <v>6</v>
      </c>
      <c r="D2493" s="93">
        <v>11.19</v>
      </c>
      <c r="E2493" s="93">
        <v>5.74</v>
      </c>
      <c r="F2493" s="93">
        <v>5.45</v>
      </c>
      <c r="G2493" s="93">
        <v>0</v>
      </c>
      <c r="H2493" s="93">
        <v>0</v>
      </c>
      <c r="N2493" s="88"/>
      <c r="O2493" s="88"/>
      <c r="P2493" s="88"/>
    </row>
    <row r="2494" spans="1:16">
      <c r="A2494" s="94">
        <v>91873</v>
      </c>
      <c r="B2494" s="87" t="s">
        <v>2346</v>
      </c>
      <c r="C2494" s="12" t="s">
        <v>6</v>
      </c>
      <c r="D2494" s="93">
        <v>13.47</v>
      </c>
      <c r="E2494" s="93">
        <v>6.5</v>
      </c>
      <c r="F2494" s="93">
        <v>6.97</v>
      </c>
      <c r="G2494" s="93">
        <v>0</v>
      </c>
      <c r="H2494" s="93">
        <v>0</v>
      </c>
      <c r="N2494" s="88"/>
      <c r="O2494" s="88"/>
      <c r="P2494" s="88"/>
    </row>
    <row r="2495" spans="1:16">
      <c r="A2495" s="94">
        <v>93008</v>
      </c>
      <c r="B2495" s="87" t="s">
        <v>2347</v>
      </c>
      <c r="C2495" s="12" t="s">
        <v>6</v>
      </c>
      <c r="D2495" s="93">
        <v>10.199999999999999</v>
      </c>
      <c r="E2495" s="93">
        <v>3.29</v>
      </c>
      <c r="F2495" s="93">
        <v>6.91</v>
      </c>
      <c r="G2495" s="93">
        <v>0</v>
      </c>
      <c r="H2495" s="93">
        <v>0</v>
      </c>
      <c r="N2495" s="88"/>
      <c r="O2495" s="88"/>
      <c r="P2495" s="88"/>
    </row>
    <row r="2496" spans="1:16">
      <c r="A2496" s="94">
        <v>93009</v>
      </c>
      <c r="B2496" s="87" t="s">
        <v>2348</v>
      </c>
      <c r="C2496" s="12" t="s">
        <v>6</v>
      </c>
      <c r="D2496" s="93">
        <v>14.58</v>
      </c>
      <c r="E2496" s="93">
        <v>3.79</v>
      </c>
      <c r="F2496" s="93">
        <v>10.79</v>
      </c>
      <c r="G2496" s="93">
        <v>0</v>
      </c>
      <c r="H2496" s="93">
        <v>0</v>
      </c>
      <c r="N2496" s="88"/>
      <c r="O2496" s="88"/>
      <c r="P2496" s="88"/>
    </row>
    <row r="2497" spans="1:16">
      <c r="A2497" s="94">
        <v>93010</v>
      </c>
      <c r="B2497" s="87" t="s">
        <v>2349</v>
      </c>
      <c r="C2497" s="12" t="s">
        <v>6</v>
      </c>
      <c r="D2497" s="93">
        <v>19.97</v>
      </c>
      <c r="E2497" s="93">
        <v>4.53</v>
      </c>
      <c r="F2497" s="93">
        <v>15.44</v>
      </c>
      <c r="G2497" s="93">
        <v>0</v>
      </c>
      <c r="H2497" s="93">
        <v>0</v>
      </c>
      <c r="N2497" s="88"/>
      <c r="O2497" s="88"/>
      <c r="P2497" s="88"/>
    </row>
    <row r="2498" spans="1:16">
      <c r="A2498" s="94">
        <v>93011</v>
      </c>
      <c r="B2498" s="87" t="s">
        <v>2350</v>
      </c>
      <c r="C2498" s="12" t="s">
        <v>6</v>
      </c>
      <c r="D2498" s="93">
        <v>24.2</v>
      </c>
      <c r="E2498" s="93">
        <v>5.03</v>
      </c>
      <c r="F2498" s="93">
        <v>19.170000000000002</v>
      </c>
      <c r="G2498" s="93">
        <v>0</v>
      </c>
      <c r="H2498" s="93">
        <v>0</v>
      </c>
      <c r="N2498" s="88"/>
      <c r="O2498" s="88"/>
      <c r="P2498" s="88"/>
    </row>
    <row r="2499" spans="1:16">
      <c r="A2499" s="94">
        <v>93012</v>
      </c>
      <c r="B2499" s="87" t="s">
        <v>5798</v>
      </c>
      <c r="C2499" s="12" t="s">
        <v>6</v>
      </c>
      <c r="D2499" s="93">
        <v>35.96</v>
      </c>
      <c r="E2499" s="93">
        <v>6.27</v>
      </c>
      <c r="F2499" s="93">
        <v>29.69</v>
      </c>
      <c r="G2499" s="93">
        <v>0</v>
      </c>
      <c r="H2499" s="93">
        <v>0</v>
      </c>
      <c r="N2499" s="88"/>
      <c r="O2499" s="88"/>
      <c r="P2499" s="88"/>
    </row>
    <row r="2500" spans="1:16">
      <c r="A2500" s="94">
        <v>95726</v>
      </c>
      <c r="B2500" s="87" t="s">
        <v>2351</v>
      </c>
      <c r="C2500" s="12" t="s">
        <v>6</v>
      </c>
      <c r="D2500" s="93">
        <v>4.26</v>
      </c>
      <c r="E2500" s="93">
        <v>2.25</v>
      </c>
      <c r="F2500" s="93">
        <v>2.0099999999999998</v>
      </c>
      <c r="G2500" s="93">
        <v>0</v>
      </c>
      <c r="H2500" s="93">
        <v>0</v>
      </c>
      <c r="N2500" s="88"/>
      <c r="O2500" s="88"/>
      <c r="P2500" s="88"/>
    </row>
    <row r="2501" spans="1:16">
      <c r="A2501" s="94">
        <v>95727</v>
      </c>
      <c r="B2501" s="87" t="s">
        <v>2352</v>
      </c>
      <c r="C2501" s="12" t="s">
        <v>6</v>
      </c>
      <c r="D2501" s="93">
        <v>4.87</v>
      </c>
      <c r="E2501" s="93">
        <v>2.48</v>
      </c>
      <c r="F2501" s="93">
        <v>2.39</v>
      </c>
      <c r="G2501" s="93">
        <v>0</v>
      </c>
      <c r="H2501" s="93">
        <v>0</v>
      </c>
      <c r="N2501" s="88"/>
      <c r="O2501" s="88"/>
      <c r="P2501" s="88"/>
    </row>
    <row r="2502" spans="1:16">
      <c r="A2502" s="94">
        <v>95728</v>
      </c>
      <c r="B2502" s="87" t="s">
        <v>2353</v>
      </c>
      <c r="C2502" s="12" t="s">
        <v>6</v>
      </c>
      <c r="D2502" s="93">
        <v>6.09</v>
      </c>
      <c r="E2502" s="93">
        <v>2.8</v>
      </c>
      <c r="F2502" s="93">
        <v>3.29</v>
      </c>
      <c r="G2502" s="93">
        <v>0</v>
      </c>
      <c r="H2502" s="93">
        <v>0</v>
      </c>
      <c r="N2502" s="88"/>
      <c r="O2502" s="88"/>
      <c r="P2502" s="88"/>
    </row>
    <row r="2503" spans="1:16">
      <c r="A2503" s="94">
        <v>95729</v>
      </c>
      <c r="B2503" s="87" t="s">
        <v>2354</v>
      </c>
      <c r="C2503" s="12" t="s">
        <v>6</v>
      </c>
      <c r="D2503" s="93">
        <v>5.91</v>
      </c>
      <c r="E2503" s="93">
        <v>3.56</v>
      </c>
      <c r="F2503" s="93">
        <v>2.35</v>
      </c>
      <c r="G2503" s="93">
        <v>0</v>
      </c>
      <c r="H2503" s="93">
        <v>0</v>
      </c>
      <c r="N2503" s="88"/>
      <c r="O2503" s="88"/>
      <c r="P2503" s="88"/>
    </row>
    <row r="2504" spans="1:16">
      <c r="A2504" s="94">
        <v>95730</v>
      </c>
      <c r="B2504" s="87" t="s">
        <v>2355</v>
      </c>
      <c r="C2504" s="12" t="s">
        <v>6</v>
      </c>
      <c r="D2504" s="93">
        <v>6.51</v>
      </c>
      <c r="E2504" s="93">
        <v>3.78</v>
      </c>
      <c r="F2504" s="93">
        <v>2.73</v>
      </c>
      <c r="G2504" s="93">
        <v>0</v>
      </c>
      <c r="H2504" s="93">
        <v>0</v>
      </c>
      <c r="N2504" s="88"/>
      <c r="O2504" s="88"/>
      <c r="P2504" s="88"/>
    </row>
    <row r="2505" spans="1:16">
      <c r="A2505" s="94">
        <v>95731</v>
      </c>
      <c r="B2505" s="87" t="s">
        <v>2356</v>
      </c>
      <c r="C2505" s="12" t="s">
        <v>6</v>
      </c>
      <c r="D2505" s="93">
        <v>7.74</v>
      </c>
      <c r="E2505" s="93">
        <v>4.1100000000000003</v>
      </c>
      <c r="F2505" s="93">
        <v>3.63</v>
      </c>
      <c r="G2505" s="93">
        <v>0</v>
      </c>
      <c r="H2505" s="93">
        <v>0</v>
      </c>
      <c r="N2505" s="88"/>
      <c r="O2505" s="88"/>
      <c r="P2505" s="88"/>
    </row>
    <row r="2506" spans="1:16">
      <c r="A2506" s="94">
        <v>95732</v>
      </c>
      <c r="B2506" s="87" t="s">
        <v>2357</v>
      </c>
      <c r="C2506" s="12" t="s">
        <v>4</v>
      </c>
      <c r="D2506" s="93">
        <v>3.24</v>
      </c>
      <c r="E2506" s="93">
        <v>1.83</v>
      </c>
      <c r="F2506" s="93">
        <v>1.41</v>
      </c>
      <c r="G2506" s="93">
        <v>0</v>
      </c>
      <c r="H2506" s="93">
        <v>0</v>
      </c>
      <c r="N2506" s="88"/>
      <c r="O2506" s="88"/>
      <c r="P2506" s="88"/>
    </row>
    <row r="2507" spans="1:16">
      <c r="A2507" s="94">
        <v>95745</v>
      </c>
      <c r="B2507" s="87" t="s">
        <v>2358</v>
      </c>
      <c r="C2507" s="12" t="s">
        <v>6</v>
      </c>
      <c r="D2507" s="93">
        <v>13.03</v>
      </c>
      <c r="E2507" s="93">
        <v>4.79</v>
      </c>
      <c r="F2507" s="93">
        <v>8.24</v>
      </c>
      <c r="G2507" s="93">
        <v>0</v>
      </c>
      <c r="H2507" s="93">
        <v>0</v>
      </c>
      <c r="N2507" s="88"/>
      <c r="O2507" s="88"/>
      <c r="P2507" s="88"/>
    </row>
    <row r="2508" spans="1:16">
      <c r="A2508" s="94">
        <v>95746</v>
      </c>
      <c r="B2508" s="87" t="s">
        <v>2359</v>
      </c>
      <c r="C2508" s="12" t="s">
        <v>6</v>
      </c>
      <c r="D2508" s="93">
        <v>16.14</v>
      </c>
      <c r="E2508" s="93">
        <v>5.73</v>
      </c>
      <c r="F2508" s="93">
        <v>10.41</v>
      </c>
      <c r="G2508" s="93">
        <v>0</v>
      </c>
      <c r="H2508" s="93">
        <v>0</v>
      </c>
      <c r="N2508" s="88"/>
      <c r="O2508" s="88"/>
      <c r="P2508" s="88"/>
    </row>
    <row r="2509" spans="1:16">
      <c r="A2509" s="94">
        <v>95747</v>
      </c>
      <c r="B2509" s="87" t="s">
        <v>2360</v>
      </c>
      <c r="C2509" s="12" t="s">
        <v>6</v>
      </c>
      <c r="D2509" s="93">
        <v>25.61</v>
      </c>
      <c r="E2509" s="93">
        <v>7.01</v>
      </c>
      <c r="F2509" s="93">
        <v>18.600000000000001</v>
      </c>
      <c r="G2509" s="93">
        <v>0</v>
      </c>
      <c r="H2509" s="93">
        <v>0</v>
      </c>
      <c r="N2509" s="88"/>
      <c r="O2509" s="88"/>
      <c r="P2509" s="88"/>
    </row>
    <row r="2510" spans="1:16">
      <c r="A2510" s="94">
        <v>95748</v>
      </c>
      <c r="B2510" s="87" t="s">
        <v>2361</v>
      </c>
      <c r="C2510" s="12" t="s">
        <v>6</v>
      </c>
      <c r="D2510" s="93">
        <v>28.15</v>
      </c>
      <c r="E2510" s="93">
        <v>8.51</v>
      </c>
      <c r="F2510" s="93">
        <v>19.64</v>
      </c>
      <c r="G2510" s="93">
        <v>0</v>
      </c>
      <c r="H2510" s="93">
        <v>0</v>
      </c>
      <c r="N2510" s="88"/>
      <c r="O2510" s="88"/>
      <c r="P2510" s="88"/>
    </row>
    <row r="2511" spans="1:16">
      <c r="A2511" s="94">
        <v>95749</v>
      </c>
      <c r="B2511" s="87" t="s">
        <v>2362</v>
      </c>
      <c r="C2511" s="12" t="s">
        <v>6</v>
      </c>
      <c r="D2511" s="93">
        <v>18.37</v>
      </c>
      <c r="E2511" s="93">
        <v>8.91</v>
      </c>
      <c r="F2511" s="93">
        <v>9.4600000000000009</v>
      </c>
      <c r="G2511" s="93">
        <v>0</v>
      </c>
      <c r="H2511" s="93">
        <v>0</v>
      </c>
      <c r="N2511" s="88"/>
      <c r="O2511" s="88"/>
      <c r="P2511" s="88"/>
    </row>
    <row r="2512" spans="1:16">
      <c r="A2512" s="94">
        <v>95750</v>
      </c>
      <c r="B2512" s="87" t="s">
        <v>2363</v>
      </c>
      <c r="C2512" s="12" t="s">
        <v>6</v>
      </c>
      <c r="D2512" s="93">
        <v>21.37</v>
      </c>
      <c r="E2512" s="93">
        <v>9.75</v>
      </c>
      <c r="F2512" s="93">
        <v>11.62</v>
      </c>
      <c r="G2512" s="93">
        <v>0</v>
      </c>
      <c r="H2512" s="93">
        <v>0</v>
      </c>
      <c r="N2512" s="88"/>
      <c r="O2512" s="88"/>
      <c r="P2512" s="88"/>
    </row>
    <row r="2513" spans="1:16">
      <c r="A2513" s="94">
        <v>95751</v>
      </c>
      <c r="B2513" s="87" t="s">
        <v>2364</v>
      </c>
      <c r="C2513" s="12" t="s">
        <v>6</v>
      </c>
      <c r="D2513" s="93">
        <v>30.67</v>
      </c>
      <c r="E2513" s="93">
        <v>10.9</v>
      </c>
      <c r="F2513" s="93">
        <v>19.77</v>
      </c>
      <c r="G2513" s="93">
        <v>0</v>
      </c>
      <c r="H2513" s="93">
        <v>0</v>
      </c>
      <c r="N2513" s="88"/>
      <c r="O2513" s="88"/>
      <c r="P2513" s="88"/>
    </row>
    <row r="2514" spans="1:16">
      <c r="A2514" s="94">
        <v>95752</v>
      </c>
      <c r="B2514" s="87" t="s">
        <v>2365</v>
      </c>
      <c r="C2514" s="12" t="s">
        <v>6</v>
      </c>
      <c r="D2514" s="93">
        <v>33.03</v>
      </c>
      <c r="E2514" s="93">
        <v>12.28</v>
      </c>
      <c r="F2514" s="93">
        <v>20.75</v>
      </c>
      <c r="G2514" s="93">
        <v>0</v>
      </c>
      <c r="H2514" s="93">
        <v>0</v>
      </c>
      <c r="N2514" s="88"/>
      <c r="O2514" s="88"/>
      <c r="P2514" s="88"/>
    </row>
    <row r="2515" spans="1:16">
      <c r="A2515" s="94">
        <v>97667</v>
      </c>
      <c r="B2515" s="87" t="s">
        <v>2366</v>
      </c>
      <c r="C2515" s="12" t="s">
        <v>6</v>
      </c>
      <c r="D2515" s="93">
        <v>6.41</v>
      </c>
      <c r="E2515" s="93">
        <v>1.81</v>
      </c>
      <c r="F2515" s="93">
        <v>4.5999999999999996</v>
      </c>
      <c r="G2515" s="93">
        <v>0</v>
      </c>
      <c r="H2515" s="93">
        <v>0</v>
      </c>
      <c r="N2515" s="88"/>
      <c r="O2515" s="88"/>
      <c r="P2515" s="88"/>
    </row>
    <row r="2516" spans="1:16">
      <c r="A2516" s="94">
        <v>97668</v>
      </c>
      <c r="B2516" s="87" t="s">
        <v>2367</v>
      </c>
      <c r="C2516" s="12" t="s">
        <v>6</v>
      </c>
      <c r="D2516" s="93">
        <v>9.83</v>
      </c>
      <c r="E2516" s="93">
        <v>3.09</v>
      </c>
      <c r="F2516" s="93">
        <v>6.74</v>
      </c>
      <c r="G2516" s="93">
        <v>0</v>
      </c>
      <c r="H2516" s="93">
        <v>0</v>
      </c>
      <c r="N2516" s="88"/>
      <c r="O2516" s="88"/>
      <c r="P2516" s="88"/>
    </row>
    <row r="2517" spans="1:16">
      <c r="A2517" s="94">
        <v>97669</v>
      </c>
      <c r="B2517" s="87" t="s">
        <v>2368</v>
      </c>
      <c r="C2517" s="12" t="s">
        <v>6</v>
      </c>
      <c r="D2517" s="93">
        <v>15.68</v>
      </c>
      <c r="E2517" s="93">
        <v>5.78</v>
      </c>
      <c r="F2517" s="93">
        <v>9.9</v>
      </c>
      <c r="G2517" s="93">
        <v>0</v>
      </c>
      <c r="H2517" s="93">
        <v>0</v>
      </c>
      <c r="N2517" s="88"/>
      <c r="O2517" s="88"/>
      <c r="P2517" s="88"/>
    </row>
    <row r="2518" spans="1:16">
      <c r="A2518" s="94">
        <v>97670</v>
      </c>
      <c r="B2518" s="87" t="s">
        <v>2369</v>
      </c>
      <c r="C2518" s="12" t="s">
        <v>6</v>
      </c>
      <c r="D2518" s="93">
        <v>20.190000000000001</v>
      </c>
      <c r="E2518" s="93">
        <v>6.79</v>
      </c>
      <c r="F2518" s="93">
        <v>13.4</v>
      </c>
      <c r="G2518" s="93">
        <v>0</v>
      </c>
      <c r="H2518" s="93">
        <v>0</v>
      </c>
      <c r="N2518" s="88"/>
      <c r="O2518" s="88"/>
      <c r="P2518" s="88"/>
    </row>
    <row r="2519" spans="1:16">
      <c r="A2519" s="94">
        <v>91874</v>
      </c>
      <c r="B2519" s="87" t="s">
        <v>2370</v>
      </c>
      <c r="C2519" s="12" t="s">
        <v>4</v>
      </c>
      <c r="D2519" s="93">
        <v>3.54</v>
      </c>
      <c r="E2519" s="93">
        <v>2.48</v>
      </c>
      <c r="F2519" s="93">
        <v>1.06</v>
      </c>
      <c r="G2519" s="93">
        <v>0</v>
      </c>
      <c r="H2519" s="93">
        <v>0</v>
      </c>
      <c r="N2519" s="88"/>
      <c r="O2519" s="88"/>
      <c r="P2519" s="88"/>
    </row>
    <row r="2520" spans="1:16">
      <c r="A2520" s="94">
        <v>91875</v>
      </c>
      <c r="B2520" s="87" t="s">
        <v>2371</v>
      </c>
      <c r="C2520" s="12" t="s">
        <v>4</v>
      </c>
      <c r="D2520" s="93">
        <v>4.6500000000000004</v>
      </c>
      <c r="E2520" s="93">
        <v>3.2</v>
      </c>
      <c r="F2520" s="93">
        <v>1.45</v>
      </c>
      <c r="G2520" s="93">
        <v>0</v>
      </c>
      <c r="H2520" s="93">
        <v>0</v>
      </c>
      <c r="N2520" s="88"/>
      <c r="O2520" s="88"/>
      <c r="P2520" s="88"/>
    </row>
    <row r="2521" spans="1:16">
      <c r="A2521" s="94">
        <v>91876</v>
      </c>
      <c r="B2521" s="87" t="s">
        <v>2372</v>
      </c>
      <c r="C2521" s="12" t="s">
        <v>4</v>
      </c>
      <c r="D2521" s="93">
        <v>6.09</v>
      </c>
      <c r="E2521" s="93">
        <v>4.1399999999999997</v>
      </c>
      <c r="F2521" s="93">
        <v>1.95</v>
      </c>
      <c r="G2521" s="93">
        <v>0</v>
      </c>
      <c r="H2521" s="93">
        <v>0</v>
      </c>
      <c r="N2521" s="88"/>
      <c r="O2521" s="88"/>
      <c r="P2521" s="88"/>
    </row>
    <row r="2522" spans="1:16">
      <c r="A2522" s="94">
        <v>91877</v>
      </c>
      <c r="B2522" s="87" t="s">
        <v>229</v>
      </c>
      <c r="C2522" s="12" t="s">
        <v>4</v>
      </c>
      <c r="D2522" s="93">
        <v>7.93</v>
      </c>
      <c r="E2522" s="93">
        <v>5.21</v>
      </c>
      <c r="F2522" s="93">
        <v>2.72</v>
      </c>
      <c r="G2522" s="93">
        <v>0</v>
      </c>
      <c r="H2522" s="93">
        <v>0</v>
      </c>
      <c r="N2522" s="88"/>
      <c r="O2522" s="88"/>
      <c r="P2522" s="88"/>
    </row>
    <row r="2523" spans="1:16">
      <c r="A2523" s="94">
        <v>91878</v>
      </c>
      <c r="B2523" s="87" t="s">
        <v>2373</v>
      </c>
      <c r="C2523" s="12" t="s">
        <v>4</v>
      </c>
      <c r="D2523" s="93">
        <v>4.67</v>
      </c>
      <c r="E2523" s="93">
        <v>3.32</v>
      </c>
      <c r="F2523" s="93">
        <v>1.35</v>
      </c>
      <c r="G2523" s="93">
        <v>0</v>
      </c>
      <c r="H2523" s="93">
        <v>0</v>
      </c>
      <c r="N2523" s="88"/>
      <c r="O2523" s="88"/>
      <c r="P2523" s="88"/>
    </row>
    <row r="2524" spans="1:16">
      <c r="A2524" s="94">
        <v>91879</v>
      </c>
      <c r="B2524" s="87" t="s">
        <v>2374</v>
      </c>
      <c r="C2524" s="12" t="s">
        <v>4</v>
      </c>
      <c r="D2524" s="93">
        <v>5.72</v>
      </c>
      <c r="E2524" s="93">
        <v>4</v>
      </c>
      <c r="F2524" s="93">
        <v>1.72</v>
      </c>
      <c r="G2524" s="93">
        <v>0</v>
      </c>
      <c r="H2524" s="93">
        <v>0</v>
      </c>
      <c r="N2524" s="88"/>
      <c r="O2524" s="88"/>
      <c r="P2524" s="88"/>
    </row>
    <row r="2525" spans="1:16">
      <c r="A2525" s="94">
        <v>91880</v>
      </c>
      <c r="B2525" s="87" t="s">
        <v>2375</v>
      </c>
      <c r="C2525" s="12" t="s">
        <v>4</v>
      </c>
      <c r="D2525" s="93">
        <v>7.21</v>
      </c>
      <c r="E2525" s="93">
        <v>4.97</v>
      </c>
      <c r="F2525" s="93">
        <v>2.2400000000000002</v>
      </c>
      <c r="G2525" s="93">
        <v>0</v>
      </c>
      <c r="H2525" s="93">
        <v>0</v>
      </c>
      <c r="N2525" s="88"/>
      <c r="O2525" s="88"/>
      <c r="P2525" s="88"/>
    </row>
    <row r="2526" spans="1:16">
      <c r="A2526" s="94">
        <v>91881</v>
      </c>
      <c r="B2526" s="87" t="s">
        <v>230</v>
      </c>
      <c r="C2526" s="12" t="s">
        <v>4</v>
      </c>
      <c r="D2526" s="93">
        <v>9.0500000000000007</v>
      </c>
      <c r="E2526" s="93">
        <v>6.07</v>
      </c>
      <c r="F2526" s="93">
        <v>2.98</v>
      </c>
      <c r="G2526" s="93">
        <v>0</v>
      </c>
      <c r="H2526" s="93">
        <v>0</v>
      </c>
      <c r="N2526" s="88"/>
      <c r="O2526" s="88"/>
      <c r="P2526" s="88"/>
    </row>
    <row r="2527" spans="1:16">
      <c r="A2527" s="94">
        <v>91882</v>
      </c>
      <c r="B2527" s="87" t="s">
        <v>2376</v>
      </c>
      <c r="C2527" s="12" t="s">
        <v>4</v>
      </c>
      <c r="D2527" s="93">
        <v>5.87</v>
      </c>
      <c r="E2527" s="93">
        <v>4.26</v>
      </c>
      <c r="F2527" s="93">
        <v>1.61</v>
      </c>
      <c r="G2527" s="93">
        <v>0</v>
      </c>
      <c r="H2527" s="93">
        <v>0</v>
      </c>
      <c r="N2527" s="88"/>
      <c r="O2527" s="88"/>
      <c r="P2527" s="88"/>
    </row>
    <row r="2528" spans="1:16">
      <c r="A2528" s="94">
        <v>91884</v>
      </c>
      <c r="B2528" s="87" t="s">
        <v>2377</v>
      </c>
      <c r="C2528" s="12" t="s">
        <v>4</v>
      </c>
      <c r="D2528" s="93">
        <v>6.66</v>
      </c>
      <c r="E2528" s="93">
        <v>4.74</v>
      </c>
      <c r="F2528" s="93">
        <v>1.92</v>
      </c>
      <c r="G2528" s="93">
        <v>0</v>
      </c>
      <c r="H2528" s="93">
        <v>0</v>
      </c>
      <c r="N2528" s="88"/>
      <c r="O2528" s="88"/>
      <c r="P2528" s="88"/>
    </row>
    <row r="2529" spans="1:16">
      <c r="A2529" s="94">
        <v>91885</v>
      </c>
      <c r="B2529" s="87" t="s">
        <v>2378</v>
      </c>
      <c r="C2529" s="12" t="s">
        <v>4</v>
      </c>
      <c r="D2529" s="93">
        <v>7.75</v>
      </c>
      <c r="E2529" s="93">
        <v>5.39</v>
      </c>
      <c r="F2529" s="93">
        <v>2.36</v>
      </c>
      <c r="G2529" s="93">
        <v>0</v>
      </c>
      <c r="H2529" s="93">
        <v>0</v>
      </c>
      <c r="N2529" s="88"/>
      <c r="O2529" s="88"/>
      <c r="P2529" s="88"/>
    </row>
    <row r="2530" spans="1:16">
      <c r="A2530" s="94">
        <v>91886</v>
      </c>
      <c r="B2530" s="87" t="s">
        <v>2379</v>
      </c>
      <c r="C2530" s="12" t="s">
        <v>4</v>
      </c>
      <c r="D2530" s="93">
        <v>9.17</v>
      </c>
      <c r="E2530" s="93">
        <v>6.17</v>
      </c>
      <c r="F2530" s="93">
        <v>3</v>
      </c>
      <c r="G2530" s="93">
        <v>0</v>
      </c>
      <c r="H2530" s="93">
        <v>0</v>
      </c>
      <c r="N2530" s="88"/>
      <c r="O2530" s="88"/>
      <c r="P2530" s="88"/>
    </row>
    <row r="2531" spans="1:16">
      <c r="A2531" s="94">
        <v>91887</v>
      </c>
      <c r="B2531" s="87" t="s">
        <v>2380</v>
      </c>
      <c r="C2531" s="12" t="s">
        <v>4</v>
      </c>
      <c r="D2531" s="93">
        <v>6.02</v>
      </c>
      <c r="E2531" s="93">
        <v>3.71</v>
      </c>
      <c r="F2531" s="93">
        <v>2.31</v>
      </c>
      <c r="G2531" s="93">
        <v>0</v>
      </c>
      <c r="H2531" s="93">
        <v>0</v>
      </c>
      <c r="N2531" s="88"/>
      <c r="O2531" s="88"/>
      <c r="P2531" s="88"/>
    </row>
    <row r="2532" spans="1:16">
      <c r="A2532" s="94">
        <v>91889</v>
      </c>
      <c r="B2532" s="87" t="s">
        <v>2381</v>
      </c>
      <c r="C2532" s="12" t="s">
        <v>4</v>
      </c>
      <c r="D2532" s="93">
        <v>5.89</v>
      </c>
      <c r="E2532" s="93">
        <v>3.72</v>
      </c>
      <c r="F2532" s="93">
        <v>2.17</v>
      </c>
      <c r="G2532" s="93">
        <v>0</v>
      </c>
      <c r="H2532" s="93">
        <v>0</v>
      </c>
      <c r="N2532" s="88"/>
      <c r="O2532" s="88"/>
      <c r="P2532" s="88"/>
    </row>
    <row r="2533" spans="1:16">
      <c r="A2533" s="94">
        <v>91890</v>
      </c>
      <c r="B2533" s="87" t="s">
        <v>2382</v>
      </c>
      <c r="C2533" s="12" t="s">
        <v>4</v>
      </c>
      <c r="D2533" s="93">
        <v>7.38</v>
      </c>
      <c r="E2533" s="93">
        <v>4.76</v>
      </c>
      <c r="F2533" s="93">
        <v>2.62</v>
      </c>
      <c r="G2533" s="93">
        <v>0</v>
      </c>
      <c r="H2533" s="93">
        <v>0</v>
      </c>
      <c r="N2533" s="88"/>
      <c r="O2533" s="88"/>
      <c r="P2533" s="88"/>
    </row>
    <row r="2534" spans="1:16">
      <c r="A2534" s="94">
        <v>91892</v>
      </c>
      <c r="B2534" s="87" t="s">
        <v>2383</v>
      </c>
      <c r="C2534" s="12" t="s">
        <v>4</v>
      </c>
      <c r="D2534" s="93">
        <v>8.25</v>
      </c>
      <c r="E2534" s="93">
        <v>4.75</v>
      </c>
      <c r="F2534" s="93">
        <v>3.5</v>
      </c>
      <c r="G2534" s="93">
        <v>0</v>
      </c>
      <c r="H2534" s="93">
        <v>0</v>
      </c>
      <c r="N2534" s="88"/>
      <c r="O2534" s="88"/>
      <c r="P2534" s="88"/>
    </row>
    <row r="2535" spans="1:16">
      <c r="A2535" s="94">
        <v>91893</v>
      </c>
      <c r="B2535" s="87" t="s">
        <v>2384</v>
      </c>
      <c r="C2535" s="12" t="s">
        <v>4</v>
      </c>
      <c r="D2535" s="93">
        <v>9.9</v>
      </c>
      <c r="E2535" s="93">
        <v>6.18</v>
      </c>
      <c r="F2535" s="93">
        <v>3.72</v>
      </c>
      <c r="G2535" s="93">
        <v>0</v>
      </c>
      <c r="H2535" s="93">
        <v>0</v>
      </c>
      <c r="N2535" s="88"/>
      <c r="O2535" s="88"/>
      <c r="P2535" s="88"/>
    </row>
    <row r="2536" spans="1:16">
      <c r="A2536" s="94">
        <v>91895</v>
      </c>
      <c r="B2536" s="87" t="s">
        <v>2385</v>
      </c>
      <c r="C2536" s="12" t="s">
        <v>4</v>
      </c>
      <c r="D2536" s="93">
        <v>10.78</v>
      </c>
      <c r="E2536" s="93">
        <v>6.18</v>
      </c>
      <c r="F2536" s="93">
        <v>4.5999999999999996</v>
      </c>
      <c r="G2536" s="93">
        <v>0</v>
      </c>
      <c r="H2536" s="93">
        <v>0</v>
      </c>
      <c r="N2536" s="88"/>
      <c r="O2536" s="88"/>
      <c r="P2536" s="88"/>
    </row>
    <row r="2537" spans="1:16">
      <c r="A2537" s="94">
        <v>91896</v>
      </c>
      <c r="B2537" s="87" t="s">
        <v>231</v>
      </c>
      <c r="C2537" s="12" t="s">
        <v>4</v>
      </c>
      <c r="D2537" s="93">
        <v>12.25</v>
      </c>
      <c r="E2537" s="93">
        <v>7.8</v>
      </c>
      <c r="F2537" s="93">
        <v>4.45</v>
      </c>
      <c r="G2537" s="93">
        <v>0</v>
      </c>
      <c r="H2537" s="93">
        <v>0</v>
      </c>
      <c r="N2537" s="88"/>
      <c r="O2537" s="88"/>
      <c r="P2537" s="88"/>
    </row>
    <row r="2538" spans="1:16">
      <c r="A2538" s="94">
        <v>91898</v>
      </c>
      <c r="B2538" s="87" t="s">
        <v>2386</v>
      </c>
      <c r="C2538" s="12" t="s">
        <v>4</v>
      </c>
      <c r="D2538" s="93">
        <v>13.2</v>
      </c>
      <c r="E2538" s="93">
        <v>7.8</v>
      </c>
      <c r="F2538" s="93">
        <v>5.4</v>
      </c>
      <c r="G2538" s="93">
        <v>0</v>
      </c>
      <c r="H2538" s="93">
        <v>0</v>
      </c>
      <c r="N2538" s="88"/>
      <c r="O2538" s="88"/>
      <c r="P2538" s="88"/>
    </row>
    <row r="2539" spans="1:16">
      <c r="A2539" s="94">
        <v>91899</v>
      </c>
      <c r="B2539" s="87" t="s">
        <v>2387</v>
      </c>
      <c r="C2539" s="12" t="s">
        <v>4</v>
      </c>
      <c r="D2539" s="93">
        <v>7.64</v>
      </c>
      <c r="E2539" s="93">
        <v>4.93</v>
      </c>
      <c r="F2539" s="93">
        <v>2.71</v>
      </c>
      <c r="G2539" s="93">
        <v>0</v>
      </c>
      <c r="H2539" s="93">
        <v>0</v>
      </c>
      <c r="N2539" s="88"/>
      <c r="O2539" s="88"/>
      <c r="P2539" s="88"/>
    </row>
    <row r="2540" spans="1:16">
      <c r="A2540" s="94">
        <v>91901</v>
      </c>
      <c r="B2540" s="87" t="s">
        <v>2388</v>
      </c>
      <c r="C2540" s="12" t="s">
        <v>4</v>
      </c>
      <c r="D2540" s="93">
        <v>7.51</v>
      </c>
      <c r="E2540" s="93">
        <v>4.93</v>
      </c>
      <c r="F2540" s="93">
        <v>2.58</v>
      </c>
      <c r="G2540" s="93">
        <v>0</v>
      </c>
      <c r="H2540" s="93">
        <v>0</v>
      </c>
      <c r="N2540" s="88"/>
      <c r="O2540" s="88"/>
      <c r="P2540" s="88"/>
    </row>
    <row r="2541" spans="1:16">
      <c r="A2541" s="94">
        <v>91902</v>
      </c>
      <c r="B2541" s="87" t="s">
        <v>2389</v>
      </c>
      <c r="C2541" s="12" t="s">
        <v>4</v>
      </c>
      <c r="D2541" s="93">
        <v>9.01</v>
      </c>
      <c r="E2541" s="93">
        <v>5.98</v>
      </c>
      <c r="F2541" s="93">
        <v>3.03</v>
      </c>
      <c r="G2541" s="93">
        <v>0</v>
      </c>
      <c r="H2541" s="93">
        <v>0</v>
      </c>
      <c r="N2541" s="88"/>
      <c r="O2541" s="88"/>
      <c r="P2541" s="88"/>
    </row>
    <row r="2542" spans="1:16">
      <c r="A2542" s="94">
        <v>91904</v>
      </c>
      <c r="B2542" s="87" t="s">
        <v>2390</v>
      </c>
      <c r="C2542" s="12" t="s">
        <v>4</v>
      </c>
      <c r="D2542" s="93">
        <v>9.8800000000000008</v>
      </c>
      <c r="E2542" s="93">
        <v>5.98</v>
      </c>
      <c r="F2542" s="93">
        <v>3.9</v>
      </c>
      <c r="G2542" s="93">
        <v>0</v>
      </c>
      <c r="H2542" s="93">
        <v>0</v>
      </c>
      <c r="N2542" s="88"/>
      <c r="O2542" s="88"/>
      <c r="P2542" s="88"/>
    </row>
    <row r="2543" spans="1:16">
      <c r="A2543" s="94">
        <v>91905</v>
      </c>
      <c r="B2543" s="87" t="s">
        <v>2391</v>
      </c>
      <c r="C2543" s="12" t="s">
        <v>4</v>
      </c>
      <c r="D2543" s="93">
        <v>11.53</v>
      </c>
      <c r="E2543" s="93">
        <v>7.44</v>
      </c>
      <c r="F2543" s="93">
        <v>4.09</v>
      </c>
      <c r="G2543" s="93">
        <v>0</v>
      </c>
      <c r="H2543" s="93">
        <v>0</v>
      </c>
      <c r="N2543" s="88"/>
      <c r="O2543" s="88"/>
      <c r="P2543" s="88"/>
    </row>
    <row r="2544" spans="1:16">
      <c r="A2544" s="94">
        <v>91907</v>
      </c>
      <c r="B2544" s="87" t="s">
        <v>2392</v>
      </c>
      <c r="C2544" s="12" t="s">
        <v>4</v>
      </c>
      <c r="D2544" s="93">
        <v>12.41</v>
      </c>
      <c r="E2544" s="93">
        <v>7.44</v>
      </c>
      <c r="F2544" s="93">
        <v>4.97</v>
      </c>
      <c r="G2544" s="93">
        <v>0</v>
      </c>
      <c r="H2544" s="93">
        <v>0</v>
      </c>
      <c r="N2544" s="88"/>
      <c r="O2544" s="88"/>
      <c r="P2544" s="88"/>
    </row>
    <row r="2545" spans="1:16">
      <c r="A2545" s="94">
        <v>91908</v>
      </c>
      <c r="B2545" s="87" t="s">
        <v>2393</v>
      </c>
      <c r="C2545" s="12" t="s">
        <v>4</v>
      </c>
      <c r="D2545" s="93">
        <v>13.92</v>
      </c>
      <c r="E2545" s="93">
        <v>9.08</v>
      </c>
      <c r="F2545" s="93">
        <v>4.84</v>
      </c>
      <c r="G2545" s="93">
        <v>0</v>
      </c>
      <c r="H2545" s="93">
        <v>0</v>
      </c>
      <c r="N2545" s="88"/>
      <c r="O2545" s="88"/>
      <c r="P2545" s="88"/>
    </row>
    <row r="2546" spans="1:16">
      <c r="A2546" s="94">
        <v>91910</v>
      </c>
      <c r="B2546" s="87" t="s">
        <v>2394</v>
      </c>
      <c r="C2546" s="12" t="s">
        <v>4</v>
      </c>
      <c r="D2546" s="93">
        <v>14.87</v>
      </c>
      <c r="E2546" s="93">
        <v>9.08</v>
      </c>
      <c r="F2546" s="93">
        <v>5.79</v>
      </c>
      <c r="G2546" s="93">
        <v>0</v>
      </c>
      <c r="H2546" s="93">
        <v>0</v>
      </c>
      <c r="N2546" s="88"/>
      <c r="O2546" s="88"/>
      <c r="P2546" s="88"/>
    </row>
    <row r="2547" spans="1:16">
      <c r="A2547" s="94">
        <v>91911</v>
      </c>
      <c r="B2547" s="87" t="s">
        <v>2395</v>
      </c>
      <c r="C2547" s="12" t="s">
        <v>4</v>
      </c>
      <c r="D2547" s="93">
        <v>9.49</v>
      </c>
      <c r="E2547" s="93">
        <v>6.37</v>
      </c>
      <c r="F2547" s="93">
        <v>3.12</v>
      </c>
      <c r="G2547" s="93">
        <v>0</v>
      </c>
      <c r="H2547" s="93">
        <v>0</v>
      </c>
      <c r="N2547" s="88"/>
      <c r="O2547" s="88"/>
      <c r="P2547" s="88"/>
    </row>
    <row r="2548" spans="1:16">
      <c r="A2548" s="94">
        <v>91913</v>
      </c>
      <c r="B2548" s="87" t="s">
        <v>232</v>
      </c>
      <c r="C2548" s="12" t="s">
        <v>4</v>
      </c>
      <c r="D2548" s="93">
        <v>9.36</v>
      </c>
      <c r="E2548" s="93">
        <v>6.37</v>
      </c>
      <c r="F2548" s="93">
        <v>2.99</v>
      </c>
      <c r="G2548" s="93">
        <v>0</v>
      </c>
      <c r="H2548" s="93">
        <v>0</v>
      </c>
      <c r="N2548" s="88"/>
      <c r="O2548" s="88"/>
      <c r="P2548" s="88"/>
    </row>
    <row r="2549" spans="1:16">
      <c r="A2549" s="94">
        <v>91914</v>
      </c>
      <c r="B2549" s="87" t="s">
        <v>2396</v>
      </c>
      <c r="C2549" s="12" t="s">
        <v>4</v>
      </c>
      <c r="D2549" s="93">
        <v>10.44</v>
      </c>
      <c r="E2549" s="93">
        <v>7.09</v>
      </c>
      <c r="F2549" s="93">
        <v>3.35</v>
      </c>
      <c r="G2549" s="93">
        <v>0</v>
      </c>
      <c r="H2549" s="93">
        <v>0</v>
      </c>
      <c r="N2549" s="88"/>
      <c r="O2549" s="88"/>
      <c r="P2549" s="88"/>
    </row>
    <row r="2550" spans="1:16">
      <c r="A2550" s="94">
        <v>91916</v>
      </c>
      <c r="B2550" s="87" t="s">
        <v>233</v>
      </c>
      <c r="C2550" s="12" t="s">
        <v>4</v>
      </c>
      <c r="D2550" s="93">
        <v>11.31</v>
      </c>
      <c r="E2550" s="93">
        <v>7.09</v>
      </c>
      <c r="F2550" s="93">
        <v>4.22</v>
      </c>
      <c r="G2550" s="93">
        <v>0</v>
      </c>
      <c r="H2550" s="93">
        <v>0</v>
      </c>
      <c r="N2550" s="88"/>
      <c r="O2550" s="88"/>
      <c r="P2550" s="88"/>
    </row>
    <row r="2551" spans="1:16">
      <c r="A2551" s="94">
        <v>91917</v>
      </c>
      <c r="B2551" s="87" t="s">
        <v>2397</v>
      </c>
      <c r="C2551" s="12" t="s">
        <v>4</v>
      </c>
      <c r="D2551" s="93">
        <v>12.38</v>
      </c>
      <c r="E2551" s="93">
        <v>8.08</v>
      </c>
      <c r="F2551" s="93">
        <v>4.3</v>
      </c>
      <c r="G2551" s="93">
        <v>0</v>
      </c>
      <c r="H2551" s="93">
        <v>0</v>
      </c>
      <c r="N2551" s="88"/>
      <c r="O2551" s="88"/>
      <c r="P2551" s="88"/>
    </row>
    <row r="2552" spans="1:16">
      <c r="A2552" s="94">
        <v>91919</v>
      </c>
      <c r="B2552" s="87" t="s">
        <v>2398</v>
      </c>
      <c r="C2552" s="12" t="s">
        <v>4</v>
      </c>
      <c r="D2552" s="93">
        <v>13.26</v>
      </c>
      <c r="E2552" s="93">
        <v>8.08</v>
      </c>
      <c r="F2552" s="93">
        <v>5.18</v>
      </c>
      <c r="G2552" s="93">
        <v>0</v>
      </c>
      <c r="H2552" s="93">
        <v>0</v>
      </c>
      <c r="N2552" s="88"/>
      <c r="O2552" s="88"/>
      <c r="P2552" s="88"/>
    </row>
    <row r="2553" spans="1:16">
      <c r="A2553" s="94">
        <v>91920</v>
      </c>
      <c r="B2553" s="87" t="s">
        <v>234</v>
      </c>
      <c r="C2553" s="12" t="s">
        <v>4</v>
      </c>
      <c r="D2553" s="93">
        <v>14.11</v>
      </c>
      <c r="E2553" s="93">
        <v>9.2200000000000006</v>
      </c>
      <c r="F2553" s="93">
        <v>4.8899999999999997</v>
      </c>
      <c r="G2553" s="93">
        <v>0</v>
      </c>
      <c r="H2553" s="93">
        <v>0</v>
      </c>
      <c r="N2553" s="88"/>
      <c r="O2553" s="88"/>
      <c r="P2553" s="88"/>
    </row>
    <row r="2554" spans="1:16">
      <c r="A2554" s="94">
        <v>91922</v>
      </c>
      <c r="B2554" s="87" t="s">
        <v>2399</v>
      </c>
      <c r="C2554" s="12" t="s">
        <v>4</v>
      </c>
      <c r="D2554" s="93">
        <v>15.06</v>
      </c>
      <c r="E2554" s="93">
        <v>9.2200000000000006</v>
      </c>
      <c r="F2554" s="93">
        <v>5.84</v>
      </c>
      <c r="G2554" s="93">
        <v>0</v>
      </c>
      <c r="H2554" s="93">
        <v>0</v>
      </c>
      <c r="N2554" s="88"/>
      <c r="O2554" s="88"/>
      <c r="P2554" s="88"/>
    </row>
    <row r="2555" spans="1:16">
      <c r="A2555" s="94">
        <v>93013</v>
      </c>
      <c r="B2555" s="87" t="s">
        <v>235</v>
      </c>
      <c r="C2555" s="12" t="s">
        <v>4</v>
      </c>
      <c r="D2555" s="93">
        <v>10.210000000000001</v>
      </c>
      <c r="E2555" s="93">
        <v>6.62</v>
      </c>
      <c r="F2555" s="93">
        <v>3.59</v>
      </c>
      <c r="G2555" s="93">
        <v>0</v>
      </c>
      <c r="H2555" s="93">
        <v>0</v>
      </c>
      <c r="N2555" s="88"/>
      <c r="O2555" s="88"/>
      <c r="P2555" s="88"/>
    </row>
    <row r="2556" spans="1:16">
      <c r="A2556" s="94">
        <v>93014</v>
      </c>
      <c r="B2556" s="87" t="s">
        <v>2400</v>
      </c>
      <c r="C2556" s="12" t="s">
        <v>4</v>
      </c>
      <c r="D2556" s="93">
        <v>12.22</v>
      </c>
      <c r="E2556" s="93">
        <v>7.63</v>
      </c>
      <c r="F2556" s="93">
        <v>4.59</v>
      </c>
      <c r="G2556" s="93">
        <v>0</v>
      </c>
      <c r="H2556" s="93">
        <v>0</v>
      </c>
      <c r="N2556" s="88"/>
      <c r="O2556" s="88"/>
      <c r="P2556" s="88"/>
    </row>
    <row r="2557" spans="1:16">
      <c r="A2557" s="94">
        <v>93015</v>
      </c>
      <c r="B2557" s="87" t="s">
        <v>236</v>
      </c>
      <c r="C2557" s="12" t="s">
        <v>4</v>
      </c>
      <c r="D2557" s="93">
        <v>16.940000000000001</v>
      </c>
      <c r="E2557" s="93">
        <v>9.1</v>
      </c>
      <c r="F2557" s="93">
        <v>7.84</v>
      </c>
      <c r="G2557" s="93">
        <v>0</v>
      </c>
      <c r="H2557" s="93">
        <v>0</v>
      </c>
      <c r="N2557" s="88"/>
      <c r="O2557" s="88"/>
      <c r="P2557" s="88"/>
    </row>
    <row r="2558" spans="1:16">
      <c r="A2558" s="94">
        <v>93016</v>
      </c>
      <c r="B2558" s="87" t="s">
        <v>2401</v>
      </c>
      <c r="C2558" s="12" t="s">
        <v>4</v>
      </c>
      <c r="D2558" s="93">
        <v>19.98</v>
      </c>
      <c r="E2558" s="93">
        <v>10.09</v>
      </c>
      <c r="F2558" s="93">
        <v>9.89</v>
      </c>
      <c r="G2558" s="93">
        <v>0</v>
      </c>
      <c r="H2558" s="93">
        <v>0</v>
      </c>
      <c r="N2558" s="88"/>
      <c r="O2558" s="88"/>
      <c r="P2558" s="88"/>
    </row>
    <row r="2559" spans="1:16">
      <c r="A2559" s="94">
        <v>93017</v>
      </c>
      <c r="B2559" s="87" t="s">
        <v>2402</v>
      </c>
      <c r="C2559" s="12" t="s">
        <v>4</v>
      </c>
      <c r="D2559" s="93">
        <v>28.38</v>
      </c>
      <c r="E2559" s="93">
        <v>12.56</v>
      </c>
      <c r="F2559" s="93">
        <v>15.82</v>
      </c>
      <c r="G2559" s="93">
        <v>0</v>
      </c>
      <c r="H2559" s="93">
        <v>0</v>
      </c>
      <c r="N2559" s="88"/>
      <c r="O2559" s="88"/>
      <c r="P2559" s="88"/>
    </row>
    <row r="2560" spans="1:16">
      <c r="A2560" s="94">
        <v>93018</v>
      </c>
      <c r="B2560" s="87" t="s">
        <v>2403</v>
      </c>
      <c r="C2560" s="12" t="s">
        <v>4</v>
      </c>
      <c r="D2560" s="93">
        <v>15.48</v>
      </c>
      <c r="E2560" s="93">
        <v>9.93</v>
      </c>
      <c r="F2560" s="93">
        <v>5.55</v>
      </c>
      <c r="G2560" s="93">
        <v>0</v>
      </c>
      <c r="H2560" s="93">
        <v>0</v>
      </c>
      <c r="N2560" s="88"/>
      <c r="O2560" s="88"/>
      <c r="P2560" s="88"/>
    </row>
    <row r="2561" spans="1:16">
      <c r="A2561" s="94">
        <v>93020</v>
      </c>
      <c r="B2561" s="87" t="s">
        <v>2404</v>
      </c>
      <c r="C2561" s="12" t="s">
        <v>4</v>
      </c>
      <c r="D2561" s="93">
        <v>19.03</v>
      </c>
      <c r="E2561" s="93">
        <v>11.43</v>
      </c>
      <c r="F2561" s="93">
        <v>7.6</v>
      </c>
      <c r="G2561" s="93">
        <v>0</v>
      </c>
      <c r="H2561" s="93">
        <v>0</v>
      </c>
      <c r="N2561" s="88"/>
      <c r="O2561" s="88"/>
      <c r="P2561" s="88"/>
    </row>
    <row r="2562" spans="1:16">
      <c r="A2562" s="94">
        <v>93022</v>
      </c>
      <c r="B2562" s="87" t="s">
        <v>2405</v>
      </c>
      <c r="C2562" s="12" t="s">
        <v>4</v>
      </c>
      <c r="D2562" s="93">
        <v>28.31</v>
      </c>
      <c r="E2562" s="93">
        <v>13.66</v>
      </c>
      <c r="F2562" s="93">
        <v>14.65</v>
      </c>
      <c r="G2562" s="93">
        <v>0</v>
      </c>
      <c r="H2562" s="93">
        <v>0</v>
      </c>
      <c r="N2562" s="88"/>
      <c r="O2562" s="88"/>
      <c r="P2562" s="88"/>
    </row>
    <row r="2563" spans="1:16">
      <c r="A2563" s="94">
        <v>93024</v>
      </c>
      <c r="B2563" s="87" t="s">
        <v>2406</v>
      </c>
      <c r="C2563" s="12" t="s">
        <v>4</v>
      </c>
      <c r="D2563" s="93">
        <v>30.24</v>
      </c>
      <c r="E2563" s="93">
        <v>15.11</v>
      </c>
      <c r="F2563" s="93">
        <v>15.13</v>
      </c>
      <c r="G2563" s="93">
        <v>0</v>
      </c>
      <c r="H2563" s="93">
        <v>0</v>
      </c>
      <c r="N2563" s="88"/>
      <c r="O2563" s="88"/>
      <c r="P2563" s="88"/>
    </row>
    <row r="2564" spans="1:16">
      <c r="A2564" s="94">
        <v>93026</v>
      </c>
      <c r="B2564" s="87" t="s">
        <v>2407</v>
      </c>
      <c r="C2564" s="12" t="s">
        <v>4</v>
      </c>
      <c r="D2564" s="93">
        <v>45.66</v>
      </c>
      <c r="E2564" s="93">
        <v>18.829999999999998</v>
      </c>
      <c r="F2564" s="93">
        <v>26.83</v>
      </c>
      <c r="G2564" s="93">
        <v>0</v>
      </c>
      <c r="H2564" s="93">
        <v>0</v>
      </c>
      <c r="N2564" s="88"/>
      <c r="O2564" s="88"/>
      <c r="P2564" s="88"/>
    </row>
    <row r="2565" spans="1:16">
      <c r="A2565" s="94">
        <v>95733</v>
      </c>
      <c r="B2565" s="87" t="s">
        <v>2408</v>
      </c>
      <c r="C2565" s="12" t="s">
        <v>4</v>
      </c>
      <c r="D2565" s="93">
        <v>4.18</v>
      </c>
      <c r="E2565" s="93">
        <v>2.3199999999999998</v>
      </c>
      <c r="F2565" s="93">
        <v>1.86</v>
      </c>
      <c r="G2565" s="93">
        <v>0</v>
      </c>
      <c r="H2565" s="93">
        <v>0</v>
      </c>
      <c r="N2565" s="88"/>
      <c r="O2565" s="88"/>
      <c r="P2565" s="88"/>
    </row>
    <row r="2566" spans="1:16">
      <c r="A2566" s="94">
        <v>95734</v>
      </c>
      <c r="B2566" s="87" t="s">
        <v>2409</v>
      </c>
      <c r="C2566" s="12" t="s">
        <v>4</v>
      </c>
      <c r="D2566" s="93">
        <v>5.53</v>
      </c>
      <c r="E2566" s="93">
        <v>3.02</v>
      </c>
      <c r="F2566" s="93">
        <v>2.5099999999999998</v>
      </c>
      <c r="G2566" s="93">
        <v>0</v>
      </c>
      <c r="H2566" s="93">
        <v>0</v>
      </c>
      <c r="N2566" s="88"/>
      <c r="O2566" s="88"/>
      <c r="P2566" s="88"/>
    </row>
    <row r="2567" spans="1:16">
      <c r="A2567" s="94">
        <v>95735</v>
      </c>
      <c r="B2567" s="87" t="s">
        <v>2410</v>
      </c>
      <c r="C2567" s="12" t="s">
        <v>4</v>
      </c>
      <c r="D2567" s="93">
        <v>4.95</v>
      </c>
      <c r="E2567" s="93">
        <v>3.13</v>
      </c>
      <c r="F2567" s="93">
        <v>1.82</v>
      </c>
      <c r="G2567" s="93">
        <v>0</v>
      </c>
      <c r="H2567" s="93">
        <v>0</v>
      </c>
      <c r="N2567" s="88"/>
      <c r="O2567" s="88"/>
      <c r="P2567" s="88"/>
    </row>
    <row r="2568" spans="1:16">
      <c r="A2568" s="94">
        <v>95736</v>
      </c>
      <c r="B2568" s="87" t="s">
        <v>2411</v>
      </c>
      <c r="C2568" s="12" t="s">
        <v>4</v>
      </c>
      <c r="D2568" s="93">
        <v>5.69</v>
      </c>
      <c r="E2568" s="93">
        <v>3.48</v>
      </c>
      <c r="F2568" s="93">
        <v>2.21</v>
      </c>
      <c r="G2568" s="93">
        <v>0</v>
      </c>
      <c r="H2568" s="93">
        <v>0</v>
      </c>
      <c r="N2568" s="88"/>
      <c r="O2568" s="88"/>
      <c r="P2568" s="88"/>
    </row>
    <row r="2569" spans="1:16">
      <c r="A2569" s="94">
        <v>95738</v>
      </c>
      <c r="B2569" s="87" t="s">
        <v>2412</v>
      </c>
      <c r="C2569" s="12" t="s">
        <v>4</v>
      </c>
      <c r="D2569" s="93">
        <v>6.76</v>
      </c>
      <c r="E2569" s="93">
        <v>3.97</v>
      </c>
      <c r="F2569" s="93">
        <v>2.79</v>
      </c>
      <c r="G2569" s="93">
        <v>0</v>
      </c>
      <c r="H2569" s="93">
        <v>0</v>
      </c>
      <c r="N2569" s="88"/>
      <c r="O2569" s="88"/>
      <c r="P2569" s="88"/>
    </row>
    <row r="2570" spans="1:16">
      <c r="A2570" s="94">
        <v>95753</v>
      </c>
      <c r="B2570" s="87" t="s">
        <v>2413</v>
      </c>
      <c r="C2570" s="12" t="s">
        <v>4</v>
      </c>
      <c r="D2570" s="93">
        <v>5.16</v>
      </c>
      <c r="E2570" s="93">
        <v>3.15</v>
      </c>
      <c r="F2570" s="93">
        <v>2.0099999999999998</v>
      </c>
      <c r="G2570" s="93">
        <v>0</v>
      </c>
      <c r="H2570" s="93">
        <v>0</v>
      </c>
      <c r="N2570" s="88"/>
      <c r="O2570" s="88"/>
      <c r="P2570" s="88"/>
    </row>
    <row r="2571" spans="1:16">
      <c r="A2571" s="94">
        <v>95754</v>
      </c>
      <c r="B2571" s="87" t="s">
        <v>2414</v>
      </c>
      <c r="C2571" s="12" t="s">
        <v>4</v>
      </c>
      <c r="D2571" s="93">
        <v>6.48</v>
      </c>
      <c r="E2571" s="93">
        <v>4.0199999999999996</v>
      </c>
      <c r="F2571" s="93">
        <v>2.46</v>
      </c>
      <c r="G2571" s="93">
        <v>0</v>
      </c>
      <c r="H2571" s="93">
        <v>0</v>
      </c>
      <c r="N2571" s="88"/>
      <c r="O2571" s="88"/>
      <c r="P2571" s="88"/>
    </row>
    <row r="2572" spans="1:16">
      <c r="A2572" s="94">
        <v>95755</v>
      </c>
      <c r="B2572" s="87" t="s">
        <v>2415</v>
      </c>
      <c r="C2572" s="12" t="s">
        <v>4</v>
      </c>
      <c r="D2572" s="93">
        <v>9.07</v>
      </c>
      <c r="E2572" s="93">
        <v>5.24</v>
      </c>
      <c r="F2572" s="93">
        <v>3.83</v>
      </c>
      <c r="G2572" s="93">
        <v>0</v>
      </c>
      <c r="H2572" s="93">
        <v>0</v>
      </c>
      <c r="N2572" s="88"/>
      <c r="O2572" s="88"/>
      <c r="P2572" s="88"/>
    </row>
    <row r="2573" spans="1:16">
      <c r="A2573" s="94">
        <v>95756</v>
      </c>
      <c r="B2573" s="87" t="s">
        <v>2416</v>
      </c>
      <c r="C2573" s="12" t="s">
        <v>4</v>
      </c>
      <c r="D2573" s="93">
        <v>11.91</v>
      </c>
      <c r="E2573" s="93">
        <v>6.63</v>
      </c>
      <c r="F2573" s="93">
        <v>5.28</v>
      </c>
      <c r="G2573" s="93">
        <v>0</v>
      </c>
      <c r="H2573" s="93">
        <v>0</v>
      </c>
      <c r="N2573" s="88"/>
      <c r="O2573" s="88"/>
      <c r="P2573" s="88"/>
    </row>
    <row r="2574" spans="1:16">
      <c r="A2574" s="94">
        <v>95757</v>
      </c>
      <c r="B2574" s="87" t="s">
        <v>2417</v>
      </c>
      <c r="C2574" s="12" t="s">
        <v>4</v>
      </c>
      <c r="D2574" s="93">
        <v>8.1300000000000008</v>
      </c>
      <c r="E2574" s="93">
        <v>5.41</v>
      </c>
      <c r="F2574" s="93">
        <v>2.72</v>
      </c>
      <c r="G2574" s="93">
        <v>0</v>
      </c>
      <c r="H2574" s="93">
        <v>0</v>
      </c>
      <c r="N2574" s="88"/>
      <c r="O2574" s="88"/>
      <c r="P2574" s="88"/>
    </row>
    <row r="2575" spans="1:16">
      <c r="A2575" s="94">
        <v>95758</v>
      </c>
      <c r="B2575" s="87" t="s">
        <v>2418</v>
      </c>
      <c r="C2575" s="12" t="s">
        <v>4</v>
      </c>
      <c r="D2575" s="93">
        <v>9.11</v>
      </c>
      <c r="E2575" s="93">
        <v>6.02</v>
      </c>
      <c r="F2575" s="93">
        <v>3.09</v>
      </c>
      <c r="G2575" s="93">
        <v>0</v>
      </c>
      <c r="H2575" s="93">
        <v>0</v>
      </c>
      <c r="N2575" s="88"/>
      <c r="O2575" s="88"/>
      <c r="P2575" s="88"/>
    </row>
    <row r="2576" spans="1:16">
      <c r="A2576" s="94">
        <v>95759</v>
      </c>
      <c r="B2576" s="87" t="s">
        <v>2419</v>
      </c>
      <c r="C2576" s="12" t="s">
        <v>4</v>
      </c>
      <c r="D2576" s="93">
        <v>11.2</v>
      </c>
      <c r="E2576" s="93">
        <v>6.87</v>
      </c>
      <c r="F2576" s="93">
        <v>4.33</v>
      </c>
      <c r="G2576" s="93">
        <v>0</v>
      </c>
      <c r="H2576" s="93">
        <v>0</v>
      </c>
      <c r="N2576" s="88"/>
      <c r="O2576" s="88"/>
      <c r="P2576" s="88"/>
    </row>
    <row r="2577" spans="1:16">
      <c r="A2577" s="94">
        <v>95760</v>
      </c>
      <c r="B2577" s="87" t="s">
        <v>2420</v>
      </c>
      <c r="C2577" s="12" t="s">
        <v>4</v>
      </c>
      <c r="D2577" s="93">
        <v>13.48</v>
      </c>
      <c r="E2577" s="93">
        <v>7.85</v>
      </c>
      <c r="F2577" s="93">
        <v>5.63</v>
      </c>
      <c r="G2577" s="93">
        <v>0</v>
      </c>
      <c r="H2577" s="93">
        <v>0</v>
      </c>
      <c r="N2577" s="88"/>
      <c r="O2577" s="88"/>
      <c r="P2577" s="88"/>
    </row>
    <row r="2578" spans="1:16">
      <c r="A2578" s="94">
        <v>97559</v>
      </c>
      <c r="B2578" s="87" t="s">
        <v>2421</v>
      </c>
      <c r="C2578" s="12" t="s">
        <v>4</v>
      </c>
      <c r="D2578" s="93">
        <v>7.28</v>
      </c>
      <c r="E2578" s="93">
        <v>4.76</v>
      </c>
      <c r="F2578" s="93">
        <v>2.52</v>
      </c>
      <c r="G2578" s="93">
        <v>0</v>
      </c>
      <c r="H2578" s="93">
        <v>0</v>
      </c>
      <c r="N2578" s="88"/>
      <c r="O2578" s="88"/>
      <c r="P2578" s="88"/>
    </row>
    <row r="2579" spans="1:16">
      <c r="A2579" s="94">
        <v>97562</v>
      </c>
      <c r="B2579" s="87" t="s">
        <v>2422</v>
      </c>
      <c r="C2579" s="12" t="s">
        <v>4</v>
      </c>
      <c r="D2579" s="93">
        <v>8.91</v>
      </c>
      <c r="E2579" s="93">
        <v>5.98</v>
      </c>
      <c r="F2579" s="93">
        <v>2.93</v>
      </c>
      <c r="G2579" s="93">
        <v>0</v>
      </c>
      <c r="H2579" s="93">
        <v>0</v>
      </c>
      <c r="N2579" s="88"/>
      <c r="O2579" s="88"/>
      <c r="P2579" s="88"/>
    </row>
    <row r="2580" spans="1:16">
      <c r="A2580" s="94">
        <v>97564</v>
      </c>
      <c r="B2580" s="87" t="s">
        <v>2423</v>
      </c>
      <c r="C2580" s="12" t="s">
        <v>4</v>
      </c>
      <c r="D2580" s="93">
        <v>10.34</v>
      </c>
      <c r="E2580" s="93">
        <v>7.09</v>
      </c>
      <c r="F2580" s="93">
        <v>3.25</v>
      </c>
      <c r="G2580" s="93">
        <v>0</v>
      </c>
      <c r="H2580" s="93">
        <v>0</v>
      </c>
      <c r="N2580" s="88"/>
      <c r="O2580" s="88"/>
      <c r="P2580" s="88"/>
    </row>
    <row r="2581" spans="1:16">
      <c r="A2581" s="94">
        <v>91924</v>
      </c>
      <c r="B2581" s="87" t="s">
        <v>2424</v>
      </c>
      <c r="C2581" s="12" t="s">
        <v>6</v>
      </c>
      <c r="D2581" s="93">
        <v>1.96</v>
      </c>
      <c r="E2581" s="93">
        <v>0.71</v>
      </c>
      <c r="F2581" s="93">
        <v>1.25</v>
      </c>
      <c r="G2581" s="93">
        <v>0</v>
      </c>
      <c r="H2581" s="93">
        <v>0</v>
      </c>
      <c r="N2581" s="88"/>
      <c r="O2581" s="88"/>
      <c r="P2581" s="88"/>
    </row>
    <row r="2582" spans="1:16">
      <c r="A2582" s="94">
        <v>91925</v>
      </c>
      <c r="B2582" s="87" t="s">
        <v>2425</v>
      </c>
      <c r="C2582" s="12" t="s">
        <v>6</v>
      </c>
      <c r="D2582" s="93">
        <v>2.66</v>
      </c>
      <c r="E2582" s="93">
        <v>0.7</v>
      </c>
      <c r="F2582" s="93">
        <v>1.96</v>
      </c>
      <c r="G2582" s="93">
        <v>0</v>
      </c>
      <c r="H2582" s="93">
        <v>0</v>
      </c>
      <c r="N2582" s="88"/>
      <c r="O2582" s="88"/>
      <c r="P2582" s="88"/>
    </row>
    <row r="2583" spans="1:16">
      <c r="A2583" s="94">
        <v>91926</v>
      </c>
      <c r="B2583" s="87" t="s">
        <v>2426</v>
      </c>
      <c r="C2583" s="12" t="s">
        <v>6</v>
      </c>
      <c r="D2583" s="93">
        <v>2.78</v>
      </c>
      <c r="E2583" s="93">
        <v>0.88</v>
      </c>
      <c r="F2583" s="93">
        <v>1.9</v>
      </c>
      <c r="G2583" s="93">
        <v>0</v>
      </c>
      <c r="H2583" s="93">
        <v>0</v>
      </c>
      <c r="N2583" s="88"/>
      <c r="O2583" s="88"/>
      <c r="P2583" s="88"/>
    </row>
    <row r="2584" spans="1:16">
      <c r="A2584" s="94">
        <v>91927</v>
      </c>
      <c r="B2584" s="87" t="s">
        <v>2427</v>
      </c>
      <c r="C2584" s="12" t="s">
        <v>6</v>
      </c>
      <c r="D2584" s="93">
        <v>3.56</v>
      </c>
      <c r="E2584" s="93">
        <v>0.88</v>
      </c>
      <c r="F2584" s="93">
        <v>2.68</v>
      </c>
      <c r="G2584" s="93">
        <v>0</v>
      </c>
      <c r="H2584" s="93">
        <v>0</v>
      </c>
      <c r="N2584" s="88"/>
      <c r="O2584" s="88"/>
      <c r="P2584" s="88"/>
    </row>
    <row r="2585" spans="1:16">
      <c r="A2585" s="94">
        <v>91928</v>
      </c>
      <c r="B2585" s="87" t="s">
        <v>2428</v>
      </c>
      <c r="C2585" s="12" t="s">
        <v>6</v>
      </c>
      <c r="D2585" s="93">
        <v>4.42</v>
      </c>
      <c r="E2585" s="93">
        <v>1.17</v>
      </c>
      <c r="F2585" s="93">
        <v>3.25</v>
      </c>
      <c r="G2585" s="93">
        <v>0</v>
      </c>
      <c r="H2585" s="93">
        <v>0</v>
      </c>
      <c r="N2585" s="88"/>
      <c r="O2585" s="88"/>
      <c r="P2585" s="88"/>
    </row>
    <row r="2586" spans="1:16">
      <c r="A2586" s="94">
        <v>91929</v>
      </c>
      <c r="B2586" s="87" t="s">
        <v>2429</v>
      </c>
      <c r="C2586" s="12" t="s">
        <v>6</v>
      </c>
      <c r="D2586" s="93">
        <v>4.97</v>
      </c>
      <c r="E2586" s="93">
        <v>1.17</v>
      </c>
      <c r="F2586" s="93">
        <v>3.8</v>
      </c>
      <c r="G2586" s="93">
        <v>0</v>
      </c>
      <c r="H2586" s="93">
        <v>0</v>
      </c>
      <c r="N2586" s="88"/>
      <c r="O2586" s="88"/>
      <c r="P2586" s="88"/>
    </row>
    <row r="2587" spans="1:16">
      <c r="A2587" s="94">
        <v>91930</v>
      </c>
      <c r="B2587" s="87" t="s">
        <v>2430</v>
      </c>
      <c r="C2587" s="12" t="s">
        <v>6</v>
      </c>
      <c r="D2587" s="93">
        <v>6.05</v>
      </c>
      <c r="E2587" s="93">
        <v>1.52</v>
      </c>
      <c r="F2587" s="93">
        <v>4.53</v>
      </c>
      <c r="G2587" s="93">
        <v>0</v>
      </c>
      <c r="H2587" s="93">
        <v>0</v>
      </c>
      <c r="N2587" s="88"/>
      <c r="O2587" s="88"/>
      <c r="P2587" s="88"/>
    </row>
    <row r="2588" spans="1:16">
      <c r="A2588" s="94">
        <v>91931</v>
      </c>
      <c r="B2588" s="87" t="s">
        <v>2431</v>
      </c>
      <c r="C2588" s="12" t="s">
        <v>6</v>
      </c>
      <c r="D2588" s="93">
        <v>6.7</v>
      </c>
      <c r="E2588" s="93">
        <v>1.52</v>
      </c>
      <c r="F2588" s="93">
        <v>5.18</v>
      </c>
      <c r="G2588" s="93">
        <v>0</v>
      </c>
      <c r="H2588" s="93">
        <v>0</v>
      </c>
      <c r="N2588" s="88"/>
      <c r="O2588" s="88"/>
      <c r="P2588" s="88"/>
    </row>
    <row r="2589" spans="1:16">
      <c r="A2589" s="94">
        <v>91932</v>
      </c>
      <c r="B2589" s="87" t="s">
        <v>2432</v>
      </c>
      <c r="C2589" s="12" t="s">
        <v>6</v>
      </c>
      <c r="D2589" s="93">
        <v>9.85</v>
      </c>
      <c r="E2589" s="93">
        <v>2.2599999999999998</v>
      </c>
      <c r="F2589" s="93">
        <v>7.59</v>
      </c>
      <c r="G2589" s="93">
        <v>0</v>
      </c>
      <c r="H2589" s="93">
        <v>0</v>
      </c>
      <c r="N2589" s="88"/>
      <c r="O2589" s="88"/>
      <c r="P2589" s="88"/>
    </row>
    <row r="2590" spans="1:16">
      <c r="A2590" s="94">
        <v>91933</v>
      </c>
      <c r="B2590" s="87" t="s">
        <v>2433</v>
      </c>
      <c r="C2590" s="12" t="s">
        <v>6</v>
      </c>
      <c r="D2590" s="93">
        <v>10.47</v>
      </c>
      <c r="E2590" s="93">
        <v>2.2599999999999998</v>
      </c>
      <c r="F2590" s="93">
        <v>8.2100000000000009</v>
      </c>
      <c r="G2590" s="93">
        <v>0</v>
      </c>
      <c r="H2590" s="93">
        <v>0</v>
      </c>
      <c r="N2590" s="88"/>
      <c r="O2590" s="88"/>
      <c r="P2590" s="88"/>
    </row>
    <row r="2591" spans="1:16">
      <c r="A2591" s="94">
        <v>91934</v>
      </c>
      <c r="B2591" s="87" t="s">
        <v>2434</v>
      </c>
      <c r="C2591" s="12" t="s">
        <v>6</v>
      </c>
      <c r="D2591" s="93">
        <v>15.05</v>
      </c>
      <c r="E2591" s="93">
        <v>3.39</v>
      </c>
      <c r="F2591" s="93">
        <v>11.66</v>
      </c>
      <c r="G2591" s="93">
        <v>0</v>
      </c>
      <c r="H2591" s="93">
        <v>0</v>
      </c>
      <c r="N2591" s="88"/>
      <c r="O2591" s="88"/>
      <c r="P2591" s="88"/>
    </row>
    <row r="2592" spans="1:16">
      <c r="A2592" s="94">
        <v>91935</v>
      </c>
      <c r="B2592" s="87" t="s">
        <v>2435</v>
      </c>
      <c r="C2592" s="12" t="s">
        <v>6</v>
      </c>
      <c r="D2592" s="93">
        <v>15.95</v>
      </c>
      <c r="E2592" s="93">
        <v>3.39</v>
      </c>
      <c r="F2592" s="93">
        <v>12.56</v>
      </c>
      <c r="G2592" s="93">
        <v>0</v>
      </c>
      <c r="H2592" s="93">
        <v>0</v>
      </c>
      <c r="N2592" s="88"/>
      <c r="O2592" s="88"/>
      <c r="P2592" s="88"/>
    </row>
    <row r="2593" spans="1:16">
      <c r="A2593" s="94">
        <v>92979</v>
      </c>
      <c r="B2593" s="87" t="s">
        <v>2436</v>
      </c>
      <c r="C2593" s="12" t="s">
        <v>6</v>
      </c>
      <c r="D2593" s="93">
        <v>6.29</v>
      </c>
      <c r="E2593" s="93">
        <v>0.25</v>
      </c>
      <c r="F2593" s="93">
        <v>6.04</v>
      </c>
      <c r="G2593" s="93">
        <v>0</v>
      </c>
      <c r="H2593" s="93">
        <v>0</v>
      </c>
      <c r="N2593" s="88"/>
      <c r="O2593" s="88"/>
      <c r="P2593" s="88"/>
    </row>
    <row r="2594" spans="1:16">
      <c r="A2594" s="94">
        <v>92980</v>
      </c>
      <c r="B2594" s="87" t="s">
        <v>2437</v>
      </c>
      <c r="C2594" s="12" t="s">
        <v>6</v>
      </c>
      <c r="D2594" s="93">
        <v>6.82</v>
      </c>
      <c r="E2594" s="93">
        <v>0.25</v>
      </c>
      <c r="F2594" s="93">
        <v>6.57</v>
      </c>
      <c r="G2594" s="93">
        <v>0</v>
      </c>
      <c r="H2594" s="93">
        <v>0</v>
      </c>
      <c r="N2594" s="88"/>
      <c r="O2594" s="88"/>
      <c r="P2594" s="88"/>
    </row>
    <row r="2595" spans="1:16">
      <c r="A2595" s="94">
        <v>92981</v>
      </c>
      <c r="B2595" s="87" t="s">
        <v>2438</v>
      </c>
      <c r="C2595" s="12" t="s">
        <v>6</v>
      </c>
      <c r="D2595" s="93">
        <v>9.66</v>
      </c>
      <c r="E2595" s="93">
        <v>0.36</v>
      </c>
      <c r="F2595" s="93">
        <v>9.3000000000000007</v>
      </c>
      <c r="G2595" s="93">
        <v>0</v>
      </c>
      <c r="H2595" s="93">
        <v>0</v>
      </c>
      <c r="N2595" s="88"/>
      <c r="O2595" s="88"/>
      <c r="P2595" s="88"/>
    </row>
    <row r="2596" spans="1:16">
      <c r="A2596" s="94">
        <v>92982</v>
      </c>
      <c r="B2596" s="87" t="s">
        <v>2439</v>
      </c>
      <c r="C2596" s="12" t="s">
        <v>6</v>
      </c>
      <c r="D2596" s="93">
        <v>10.44</v>
      </c>
      <c r="E2596" s="93">
        <v>0.36</v>
      </c>
      <c r="F2596" s="93">
        <v>10.08</v>
      </c>
      <c r="G2596" s="93">
        <v>0</v>
      </c>
      <c r="H2596" s="93">
        <v>0</v>
      </c>
      <c r="N2596" s="88"/>
      <c r="O2596" s="88"/>
      <c r="P2596" s="88"/>
    </row>
    <row r="2597" spans="1:16">
      <c r="A2597" s="94">
        <v>92983</v>
      </c>
      <c r="B2597" s="87" t="s">
        <v>2440</v>
      </c>
      <c r="C2597" s="12" t="s">
        <v>6</v>
      </c>
      <c r="D2597" s="93">
        <v>16.989999999999998</v>
      </c>
      <c r="E2597" s="93">
        <v>1.86</v>
      </c>
      <c r="F2597" s="93">
        <v>15.13</v>
      </c>
      <c r="G2597" s="93">
        <v>0</v>
      </c>
      <c r="H2597" s="93">
        <v>0</v>
      </c>
      <c r="N2597" s="88"/>
      <c r="O2597" s="88"/>
      <c r="P2597" s="88"/>
    </row>
    <row r="2598" spans="1:16">
      <c r="A2598" s="94">
        <v>92984</v>
      </c>
      <c r="B2598" s="87" t="s">
        <v>2441</v>
      </c>
      <c r="C2598" s="12" t="s">
        <v>6</v>
      </c>
      <c r="D2598" s="93">
        <v>17.420000000000002</v>
      </c>
      <c r="E2598" s="93">
        <v>1.86</v>
      </c>
      <c r="F2598" s="93">
        <v>15.56</v>
      </c>
      <c r="G2598" s="93">
        <v>0</v>
      </c>
      <c r="H2598" s="93">
        <v>0</v>
      </c>
      <c r="N2598" s="88"/>
      <c r="O2598" s="88"/>
      <c r="P2598" s="88"/>
    </row>
    <row r="2599" spans="1:16">
      <c r="A2599" s="94">
        <v>92985</v>
      </c>
      <c r="B2599" s="87" t="s">
        <v>2442</v>
      </c>
      <c r="C2599" s="12" t="s">
        <v>6</v>
      </c>
      <c r="D2599" s="93">
        <v>22.76</v>
      </c>
      <c r="E2599" s="93">
        <v>2.14</v>
      </c>
      <c r="F2599" s="93">
        <v>20.62</v>
      </c>
      <c r="G2599" s="93">
        <v>0</v>
      </c>
      <c r="H2599" s="93">
        <v>0</v>
      </c>
      <c r="N2599" s="88"/>
      <c r="O2599" s="88"/>
      <c r="P2599" s="88"/>
    </row>
    <row r="2600" spans="1:16">
      <c r="A2600" s="94">
        <v>92986</v>
      </c>
      <c r="B2600" s="87" t="s">
        <v>2443</v>
      </c>
      <c r="C2600" s="12" t="s">
        <v>6</v>
      </c>
      <c r="D2600" s="93">
        <v>23.41</v>
      </c>
      <c r="E2600" s="93">
        <v>2.14</v>
      </c>
      <c r="F2600" s="93">
        <v>21.27</v>
      </c>
      <c r="G2600" s="93">
        <v>0</v>
      </c>
      <c r="H2600" s="93">
        <v>0</v>
      </c>
      <c r="N2600" s="88"/>
      <c r="O2600" s="88"/>
      <c r="P2600" s="88"/>
    </row>
    <row r="2601" spans="1:16">
      <c r="A2601" s="94">
        <v>92987</v>
      </c>
      <c r="B2601" s="87" t="s">
        <v>2444</v>
      </c>
      <c r="C2601" s="12" t="s">
        <v>6</v>
      </c>
      <c r="D2601" s="93">
        <v>32.619999999999997</v>
      </c>
      <c r="E2601" s="93">
        <v>2.54</v>
      </c>
      <c r="F2601" s="93">
        <v>30.08</v>
      </c>
      <c r="G2601" s="93">
        <v>0</v>
      </c>
      <c r="H2601" s="93">
        <v>0</v>
      </c>
      <c r="N2601" s="88"/>
      <c r="O2601" s="88"/>
      <c r="P2601" s="88"/>
    </row>
    <row r="2602" spans="1:16">
      <c r="A2602" s="94">
        <v>92988</v>
      </c>
      <c r="B2602" s="87" t="s">
        <v>2445</v>
      </c>
      <c r="C2602" s="12" t="s">
        <v>6</v>
      </c>
      <c r="D2602" s="93">
        <v>32.69</v>
      </c>
      <c r="E2602" s="93">
        <v>2.54</v>
      </c>
      <c r="F2602" s="93">
        <v>30.15</v>
      </c>
      <c r="G2602" s="93">
        <v>0</v>
      </c>
      <c r="H2602" s="93">
        <v>0</v>
      </c>
      <c r="N2602" s="88"/>
      <c r="O2602" s="88"/>
      <c r="P2602" s="88"/>
    </row>
    <row r="2603" spans="1:16">
      <c r="A2603" s="94">
        <v>92989</v>
      </c>
      <c r="B2603" s="87" t="s">
        <v>2446</v>
      </c>
      <c r="C2603" s="12" t="s">
        <v>6</v>
      </c>
      <c r="D2603" s="93">
        <v>45.19</v>
      </c>
      <c r="E2603" s="93">
        <v>3.08</v>
      </c>
      <c r="F2603" s="93">
        <v>42.11</v>
      </c>
      <c r="G2603" s="93">
        <v>0</v>
      </c>
      <c r="H2603" s="93">
        <v>0</v>
      </c>
      <c r="N2603" s="88"/>
      <c r="O2603" s="88"/>
      <c r="P2603" s="88"/>
    </row>
    <row r="2604" spans="1:16">
      <c r="A2604" s="94">
        <v>92990</v>
      </c>
      <c r="B2604" s="87" t="s">
        <v>2447</v>
      </c>
      <c r="C2604" s="12" t="s">
        <v>6</v>
      </c>
      <c r="D2604" s="93">
        <v>44.69</v>
      </c>
      <c r="E2604" s="93">
        <v>3.08</v>
      </c>
      <c r="F2604" s="93">
        <v>41.61</v>
      </c>
      <c r="G2604" s="93">
        <v>0</v>
      </c>
      <c r="H2604" s="93">
        <v>0</v>
      </c>
      <c r="N2604" s="88"/>
      <c r="O2604" s="88"/>
      <c r="P2604" s="88"/>
    </row>
    <row r="2605" spans="1:16">
      <c r="A2605" s="94">
        <v>92991</v>
      </c>
      <c r="B2605" s="87" t="s">
        <v>2448</v>
      </c>
      <c r="C2605" s="12" t="s">
        <v>6</v>
      </c>
      <c r="D2605" s="93">
        <v>58.88</v>
      </c>
      <c r="E2605" s="93">
        <v>3.74</v>
      </c>
      <c r="F2605" s="93">
        <v>55.14</v>
      </c>
      <c r="G2605" s="93">
        <v>0</v>
      </c>
      <c r="H2605" s="93">
        <v>0</v>
      </c>
      <c r="N2605" s="88"/>
      <c r="O2605" s="88"/>
      <c r="P2605" s="88"/>
    </row>
    <row r="2606" spans="1:16">
      <c r="A2606" s="94">
        <v>92992</v>
      </c>
      <c r="B2606" s="87" t="s">
        <v>2449</v>
      </c>
      <c r="C2606" s="12" t="s">
        <v>6</v>
      </c>
      <c r="D2606" s="93">
        <v>58.92</v>
      </c>
      <c r="E2606" s="93">
        <v>3.74</v>
      </c>
      <c r="F2606" s="93">
        <v>55.18</v>
      </c>
      <c r="G2606" s="93">
        <v>0</v>
      </c>
      <c r="H2606" s="93">
        <v>0</v>
      </c>
      <c r="N2606" s="88"/>
      <c r="O2606" s="88"/>
      <c r="P2606" s="88"/>
    </row>
    <row r="2607" spans="1:16">
      <c r="A2607" s="94">
        <v>92993</v>
      </c>
      <c r="B2607" s="87" t="s">
        <v>2450</v>
      </c>
      <c r="C2607" s="12" t="s">
        <v>6</v>
      </c>
      <c r="D2607" s="93">
        <v>75.38</v>
      </c>
      <c r="E2607" s="93">
        <v>4.46</v>
      </c>
      <c r="F2607" s="93">
        <v>70.92</v>
      </c>
      <c r="G2607" s="93">
        <v>0</v>
      </c>
      <c r="H2607" s="93">
        <v>0</v>
      </c>
      <c r="N2607" s="88"/>
      <c r="O2607" s="88"/>
      <c r="P2607" s="88"/>
    </row>
    <row r="2608" spans="1:16">
      <c r="A2608" s="94">
        <v>92994</v>
      </c>
      <c r="B2608" s="87" t="s">
        <v>2451</v>
      </c>
      <c r="C2608" s="12" t="s">
        <v>6</v>
      </c>
      <c r="D2608" s="93">
        <v>76.11</v>
      </c>
      <c r="E2608" s="93">
        <v>4.46</v>
      </c>
      <c r="F2608" s="93">
        <v>71.650000000000006</v>
      </c>
      <c r="G2608" s="93">
        <v>0</v>
      </c>
      <c r="H2608" s="93">
        <v>0</v>
      </c>
      <c r="N2608" s="88"/>
      <c r="O2608" s="88"/>
      <c r="P2608" s="88"/>
    </row>
    <row r="2609" spans="1:16">
      <c r="A2609" s="94">
        <v>92995</v>
      </c>
      <c r="B2609" s="87" t="s">
        <v>2452</v>
      </c>
      <c r="C2609" s="12" t="s">
        <v>6</v>
      </c>
      <c r="D2609" s="93">
        <v>93.69</v>
      </c>
      <c r="E2609" s="93">
        <v>5.25</v>
      </c>
      <c r="F2609" s="93">
        <v>88.44</v>
      </c>
      <c r="G2609" s="93">
        <v>0</v>
      </c>
      <c r="H2609" s="93">
        <v>0</v>
      </c>
      <c r="N2609" s="88"/>
      <c r="O2609" s="88"/>
      <c r="P2609" s="88"/>
    </row>
    <row r="2610" spans="1:16">
      <c r="A2610" s="94">
        <v>92996</v>
      </c>
      <c r="B2610" s="87" t="s">
        <v>2453</v>
      </c>
      <c r="C2610" s="12" t="s">
        <v>6</v>
      </c>
      <c r="D2610" s="93">
        <v>93.95</v>
      </c>
      <c r="E2610" s="93">
        <v>5.25</v>
      </c>
      <c r="F2610" s="93">
        <v>88.7</v>
      </c>
      <c r="G2610" s="93">
        <v>0</v>
      </c>
      <c r="H2610" s="93">
        <v>0</v>
      </c>
      <c r="N2610" s="88"/>
      <c r="O2610" s="88"/>
      <c r="P2610" s="88"/>
    </row>
    <row r="2611" spans="1:16">
      <c r="A2611" s="94">
        <v>92997</v>
      </c>
      <c r="B2611" s="87" t="s">
        <v>2454</v>
      </c>
      <c r="C2611" s="12" t="s">
        <v>6</v>
      </c>
      <c r="D2611" s="93">
        <v>113.81</v>
      </c>
      <c r="E2611" s="93">
        <v>6.23</v>
      </c>
      <c r="F2611" s="93">
        <v>107.58</v>
      </c>
      <c r="G2611" s="93">
        <v>0</v>
      </c>
      <c r="H2611" s="93">
        <v>0</v>
      </c>
      <c r="N2611" s="88"/>
      <c r="O2611" s="88"/>
      <c r="P2611" s="88"/>
    </row>
    <row r="2612" spans="1:16">
      <c r="A2612" s="94">
        <v>92998</v>
      </c>
      <c r="B2612" s="87" t="s">
        <v>2455</v>
      </c>
      <c r="C2612" s="12" t="s">
        <v>6</v>
      </c>
      <c r="D2612" s="93">
        <v>114.88</v>
      </c>
      <c r="E2612" s="93">
        <v>6.23</v>
      </c>
      <c r="F2612" s="93">
        <v>108.65</v>
      </c>
      <c r="G2612" s="93">
        <v>0</v>
      </c>
      <c r="H2612" s="93">
        <v>0</v>
      </c>
      <c r="N2612" s="88"/>
      <c r="O2612" s="88"/>
      <c r="P2612" s="88"/>
    </row>
    <row r="2613" spans="1:16">
      <c r="A2613" s="94">
        <v>92999</v>
      </c>
      <c r="B2613" s="87" t="s">
        <v>2456</v>
      </c>
      <c r="C2613" s="12" t="s">
        <v>6</v>
      </c>
      <c r="D2613" s="93">
        <v>149.75</v>
      </c>
      <c r="E2613" s="93">
        <v>7.73</v>
      </c>
      <c r="F2613" s="93">
        <v>142.02000000000001</v>
      </c>
      <c r="G2613" s="93">
        <v>0</v>
      </c>
      <c r="H2613" s="93">
        <v>0</v>
      </c>
      <c r="N2613" s="88"/>
      <c r="O2613" s="88"/>
      <c r="P2613" s="88"/>
    </row>
    <row r="2614" spans="1:16">
      <c r="A2614" s="94">
        <v>93000</v>
      </c>
      <c r="B2614" s="87" t="s">
        <v>2457</v>
      </c>
      <c r="C2614" s="12" t="s">
        <v>6</v>
      </c>
      <c r="D2614" s="93">
        <v>150.63999999999999</v>
      </c>
      <c r="E2614" s="93">
        <v>7.73</v>
      </c>
      <c r="F2614" s="93">
        <v>142.91</v>
      </c>
      <c r="G2614" s="93">
        <v>0</v>
      </c>
      <c r="H2614" s="93">
        <v>0</v>
      </c>
      <c r="N2614" s="88"/>
      <c r="O2614" s="88"/>
      <c r="P2614" s="88"/>
    </row>
    <row r="2615" spans="1:16">
      <c r="A2615" s="94">
        <v>93001</v>
      </c>
      <c r="B2615" s="87" t="s">
        <v>2458</v>
      </c>
      <c r="C2615" s="12" t="s">
        <v>6</v>
      </c>
      <c r="D2615" s="93">
        <v>182.8</v>
      </c>
      <c r="E2615" s="93">
        <v>9.14</v>
      </c>
      <c r="F2615" s="93">
        <v>173.66</v>
      </c>
      <c r="G2615" s="93">
        <v>0</v>
      </c>
      <c r="H2615" s="93">
        <v>0</v>
      </c>
      <c r="N2615" s="88"/>
      <c r="O2615" s="88"/>
      <c r="P2615" s="88"/>
    </row>
    <row r="2616" spans="1:16">
      <c r="A2616" s="94">
        <v>93002</v>
      </c>
      <c r="B2616" s="87" t="s">
        <v>2459</v>
      </c>
      <c r="C2616" s="12" t="s">
        <v>6</v>
      </c>
      <c r="D2616" s="93">
        <v>187.81</v>
      </c>
      <c r="E2616" s="93">
        <v>9.14</v>
      </c>
      <c r="F2616" s="93">
        <v>178.67</v>
      </c>
      <c r="G2616" s="93">
        <v>0</v>
      </c>
      <c r="H2616" s="93">
        <v>0</v>
      </c>
      <c r="N2616" s="88"/>
      <c r="O2616" s="88"/>
      <c r="P2616" s="88"/>
    </row>
    <row r="2617" spans="1:16">
      <c r="A2617" s="94">
        <v>101884</v>
      </c>
      <c r="B2617" s="87" t="s">
        <v>5799</v>
      </c>
      <c r="C2617" s="12" t="s">
        <v>6</v>
      </c>
      <c r="D2617" s="93">
        <v>6.09</v>
      </c>
      <c r="E2617" s="93">
        <v>0.1</v>
      </c>
      <c r="F2617" s="93">
        <v>5.99</v>
      </c>
      <c r="G2617" s="93">
        <v>0</v>
      </c>
      <c r="H2617" s="93">
        <v>0</v>
      </c>
      <c r="N2617" s="88"/>
      <c r="O2617" s="88"/>
      <c r="P2617" s="88"/>
    </row>
    <row r="2618" spans="1:16">
      <c r="A2618" s="94">
        <v>101885</v>
      </c>
      <c r="B2618" s="87" t="s">
        <v>5800</v>
      </c>
      <c r="C2618" s="12" t="s">
        <v>6</v>
      </c>
      <c r="D2618" s="93">
        <v>6.62</v>
      </c>
      <c r="E2618" s="93">
        <v>0.1</v>
      </c>
      <c r="F2618" s="93">
        <v>6.52</v>
      </c>
      <c r="G2618" s="93">
        <v>0</v>
      </c>
      <c r="H2618" s="93">
        <v>0</v>
      </c>
      <c r="N2618" s="88"/>
      <c r="O2618" s="88"/>
      <c r="P2618" s="88"/>
    </row>
    <row r="2619" spans="1:16">
      <c r="A2619" s="94">
        <v>101886</v>
      </c>
      <c r="B2619" s="87" t="s">
        <v>5801</v>
      </c>
      <c r="C2619" s="12" t="s">
        <v>6</v>
      </c>
      <c r="D2619" s="93">
        <v>9.43</v>
      </c>
      <c r="E2619" s="93">
        <v>0.19</v>
      </c>
      <c r="F2619" s="93">
        <v>9.24</v>
      </c>
      <c r="G2619" s="93">
        <v>0</v>
      </c>
      <c r="H2619" s="93">
        <v>0</v>
      </c>
      <c r="N2619" s="88"/>
      <c r="O2619" s="88"/>
      <c r="P2619" s="88"/>
    </row>
    <row r="2620" spans="1:16">
      <c r="A2620" s="94">
        <v>101887</v>
      </c>
      <c r="B2620" s="87" t="s">
        <v>5802</v>
      </c>
      <c r="C2620" s="12" t="s">
        <v>6</v>
      </c>
      <c r="D2620" s="93">
        <v>10.210000000000001</v>
      </c>
      <c r="E2620" s="93">
        <v>0.19</v>
      </c>
      <c r="F2620" s="93">
        <v>10.02</v>
      </c>
      <c r="G2620" s="93">
        <v>0</v>
      </c>
      <c r="H2620" s="93">
        <v>0</v>
      </c>
      <c r="N2620" s="88"/>
      <c r="O2620" s="88"/>
      <c r="P2620" s="88"/>
    </row>
    <row r="2621" spans="1:16">
      <c r="A2621" s="94">
        <v>101888</v>
      </c>
      <c r="B2621" s="87" t="s">
        <v>5803</v>
      </c>
      <c r="C2621" s="12" t="s">
        <v>6</v>
      </c>
      <c r="D2621" s="93">
        <v>15.14</v>
      </c>
      <c r="E2621" s="93">
        <v>0.34</v>
      </c>
      <c r="F2621" s="93">
        <v>14.8</v>
      </c>
      <c r="G2621" s="93">
        <v>0</v>
      </c>
      <c r="H2621" s="93">
        <v>0</v>
      </c>
      <c r="N2621" s="88"/>
      <c r="O2621" s="88"/>
      <c r="P2621" s="88"/>
    </row>
    <row r="2622" spans="1:16">
      <c r="A2622" s="94">
        <v>101889</v>
      </c>
      <c r="B2622" s="87" t="s">
        <v>5804</v>
      </c>
      <c r="C2622" s="12" t="s">
        <v>6</v>
      </c>
      <c r="D2622" s="93">
        <v>15.57</v>
      </c>
      <c r="E2622" s="93">
        <v>0.34</v>
      </c>
      <c r="F2622" s="93">
        <v>15.23</v>
      </c>
      <c r="G2622" s="93">
        <v>0</v>
      </c>
      <c r="H2622" s="93">
        <v>0</v>
      </c>
      <c r="N2622" s="88"/>
      <c r="O2622" s="88"/>
      <c r="P2622" s="88"/>
    </row>
    <row r="2623" spans="1:16">
      <c r="A2623" s="94">
        <v>83446</v>
      </c>
      <c r="B2623" s="87" t="s">
        <v>6673</v>
      </c>
      <c r="C2623" s="12" t="s">
        <v>4</v>
      </c>
      <c r="D2623" s="93">
        <v>175.26</v>
      </c>
      <c r="E2623" s="93">
        <v>76.45</v>
      </c>
      <c r="F2623" s="93">
        <v>98.81</v>
      </c>
      <c r="G2623" s="93">
        <v>0</v>
      </c>
      <c r="H2623" s="93">
        <v>0</v>
      </c>
      <c r="N2623" s="88"/>
      <c r="O2623" s="88"/>
      <c r="P2623" s="88"/>
    </row>
    <row r="2624" spans="1:16">
      <c r="A2624" s="94">
        <v>91936</v>
      </c>
      <c r="B2624" s="87" t="s">
        <v>2460</v>
      </c>
      <c r="C2624" s="12" t="s">
        <v>4</v>
      </c>
      <c r="D2624" s="93">
        <v>8.23</v>
      </c>
      <c r="E2624" s="93">
        <v>4.25</v>
      </c>
      <c r="F2624" s="93">
        <v>3.98</v>
      </c>
      <c r="G2624" s="93">
        <v>0</v>
      </c>
      <c r="H2624" s="93">
        <v>0</v>
      </c>
      <c r="N2624" s="88"/>
      <c r="O2624" s="88"/>
      <c r="P2624" s="88"/>
    </row>
    <row r="2625" spans="1:16">
      <c r="A2625" s="94">
        <v>91937</v>
      </c>
      <c r="B2625" s="87" t="s">
        <v>2461</v>
      </c>
      <c r="C2625" s="12" t="s">
        <v>4</v>
      </c>
      <c r="D2625" s="93">
        <v>7.39</v>
      </c>
      <c r="E2625" s="93">
        <v>4.25</v>
      </c>
      <c r="F2625" s="93">
        <v>3.14</v>
      </c>
      <c r="G2625" s="93">
        <v>0</v>
      </c>
      <c r="H2625" s="93">
        <v>0</v>
      </c>
      <c r="N2625" s="88"/>
      <c r="O2625" s="88"/>
      <c r="P2625" s="88"/>
    </row>
    <row r="2626" spans="1:16">
      <c r="A2626" s="94">
        <v>91939</v>
      </c>
      <c r="B2626" s="87" t="s">
        <v>2462</v>
      </c>
      <c r="C2626" s="12" t="s">
        <v>4</v>
      </c>
      <c r="D2626" s="93">
        <v>21.53</v>
      </c>
      <c r="E2626" s="93">
        <v>15.42</v>
      </c>
      <c r="F2626" s="93">
        <v>6.11</v>
      </c>
      <c r="G2626" s="93">
        <v>0</v>
      </c>
      <c r="H2626" s="93">
        <v>0</v>
      </c>
      <c r="N2626" s="88"/>
      <c r="O2626" s="88"/>
      <c r="P2626" s="88"/>
    </row>
    <row r="2627" spans="1:16">
      <c r="A2627" s="94">
        <v>91940</v>
      </c>
      <c r="B2627" s="87" t="s">
        <v>2463</v>
      </c>
      <c r="C2627" s="12" t="s">
        <v>4</v>
      </c>
      <c r="D2627" s="93">
        <v>11.02</v>
      </c>
      <c r="E2627" s="93">
        <v>7.4</v>
      </c>
      <c r="F2627" s="93">
        <v>3.62</v>
      </c>
      <c r="G2627" s="93">
        <v>0</v>
      </c>
      <c r="H2627" s="93">
        <v>0</v>
      </c>
      <c r="N2627" s="88"/>
      <c r="O2627" s="88"/>
      <c r="P2627" s="88"/>
    </row>
    <row r="2628" spans="1:16">
      <c r="A2628" s="94">
        <v>91941</v>
      </c>
      <c r="B2628" s="87" t="s">
        <v>2464</v>
      </c>
      <c r="C2628" s="12" t="s">
        <v>4</v>
      </c>
      <c r="D2628" s="93">
        <v>7.08</v>
      </c>
      <c r="E2628" s="93">
        <v>4.42</v>
      </c>
      <c r="F2628" s="93">
        <v>2.66</v>
      </c>
      <c r="G2628" s="93">
        <v>0</v>
      </c>
      <c r="H2628" s="93">
        <v>0</v>
      </c>
      <c r="N2628" s="88"/>
      <c r="O2628" s="88"/>
      <c r="P2628" s="88"/>
    </row>
    <row r="2629" spans="1:16">
      <c r="A2629" s="94">
        <v>91942</v>
      </c>
      <c r="B2629" s="87" t="s">
        <v>2465</v>
      </c>
      <c r="C2629" s="12" t="s">
        <v>4</v>
      </c>
      <c r="D2629" s="93">
        <v>25.68</v>
      </c>
      <c r="E2629" s="93">
        <v>17.739999999999998</v>
      </c>
      <c r="F2629" s="93">
        <v>7.94</v>
      </c>
      <c r="G2629" s="93">
        <v>0</v>
      </c>
      <c r="H2629" s="93">
        <v>0</v>
      </c>
      <c r="N2629" s="88"/>
      <c r="O2629" s="88"/>
      <c r="P2629" s="88"/>
    </row>
    <row r="2630" spans="1:16">
      <c r="A2630" s="94">
        <v>91943</v>
      </c>
      <c r="B2630" s="87" t="s">
        <v>2466</v>
      </c>
      <c r="C2630" s="12" t="s">
        <v>4</v>
      </c>
      <c r="D2630" s="93">
        <v>13.59</v>
      </c>
      <c r="E2630" s="93">
        <v>8.5</v>
      </c>
      <c r="F2630" s="93">
        <v>5.09</v>
      </c>
      <c r="G2630" s="93">
        <v>0</v>
      </c>
      <c r="H2630" s="93">
        <v>0</v>
      </c>
      <c r="N2630" s="88"/>
      <c r="O2630" s="88"/>
      <c r="P2630" s="88"/>
    </row>
    <row r="2631" spans="1:16">
      <c r="A2631" s="94">
        <v>91944</v>
      </c>
      <c r="B2631" s="87" t="s">
        <v>2467</v>
      </c>
      <c r="C2631" s="12" t="s">
        <v>4</v>
      </c>
      <c r="D2631" s="93">
        <v>9.07</v>
      </c>
      <c r="E2631" s="93">
        <v>5.04</v>
      </c>
      <c r="F2631" s="93">
        <v>4.03</v>
      </c>
      <c r="G2631" s="93">
        <v>0</v>
      </c>
      <c r="H2631" s="93">
        <v>0</v>
      </c>
      <c r="N2631" s="88"/>
      <c r="O2631" s="88"/>
      <c r="P2631" s="88"/>
    </row>
    <row r="2632" spans="1:16">
      <c r="A2632" s="94">
        <v>92865</v>
      </c>
      <c r="B2632" s="87" t="s">
        <v>237</v>
      </c>
      <c r="C2632" s="12" t="s">
        <v>4</v>
      </c>
      <c r="D2632" s="93">
        <v>8.3800000000000008</v>
      </c>
      <c r="E2632" s="93">
        <v>4.25</v>
      </c>
      <c r="F2632" s="93">
        <v>4.13</v>
      </c>
      <c r="G2632" s="93">
        <v>0</v>
      </c>
      <c r="H2632" s="93">
        <v>0</v>
      </c>
      <c r="N2632" s="88"/>
      <c r="O2632" s="88"/>
      <c r="P2632" s="88"/>
    </row>
    <row r="2633" spans="1:16">
      <c r="A2633" s="94">
        <v>92866</v>
      </c>
      <c r="B2633" s="87" t="s">
        <v>238</v>
      </c>
      <c r="C2633" s="12" t="s">
        <v>4</v>
      </c>
      <c r="D2633" s="93">
        <v>6.83</v>
      </c>
      <c r="E2633" s="93">
        <v>4.25</v>
      </c>
      <c r="F2633" s="93">
        <v>2.58</v>
      </c>
      <c r="G2633" s="93">
        <v>0</v>
      </c>
      <c r="H2633" s="93">
        <v>0</v>
      </c>
      <c r="N2633" s="88"/>
      <c r="O2633" s="88"/>
      <c r="P2633" s="88"/>
    </row>
    <row r="2634" spans="1:16">
      <c r="A2634" s="94">
        <v>92867</v>
      </c>
      <c r="B2634" s="87" t="s">
        <v>239</v>
      </c>
      <c r="C2634" s="12" t="s">
        <v>4</v>
      </c>
      <c r="D2634" s="93">
        <v>21.83</v>
      </c>
      <c r="E2634" s="93">
        <v>15.41</v>
      </c>
      <c r="F2634" s="93">
        <v>6.42</v>
      </c>
      <c r="G2634" s="93">
        <v>0</v>
      </c>
      <c r="H2634" s="93">
        <v>0</v>
      </c>
      <c r="N2634" s="88"/>
      <c r="O2634" s="88"/>
      <c r="P2634" s="88"/>
    </row>
    <row r="2635" spans="1:16">
      <c r="A2635" s="94">
        <v>92868</v>
      </c>
      <c r="B2635" s="87" t="s">
        <v>2468</v>
      </c>
      <c r="C2635" s="12" t="s">
        <v>4</v>
      </c>
      <c r="D2635" s="93">
        <v>11.32</v>
      </c>
      <c r="E2635" s="93">
        <v>7.39</v>
      </c>
      <c r="F2635" s="93">
        <v>3.93</v>
      </c>
      <c r="G2635" s="93">
        <v>0</v>
      </c>
      <c r="H2635" s="93">
        <v>0</v>
      </c>
      <c r="N2635" s="88"/>
      <c r="O2635" s="88"/>
      <c r="P2635" s="88"/>
    </row>
    <row r="2636" spans="1:16">
      <c r="A2636" s="94">
        <v>92869</v>
      </c>
      <c r="B2636" s="87" t="s">
        <v>2469</v>
      </c>
      <c r="C2636" s="12" t="s">
        <v>4</v>
      </c>
      <c r="D2636" s="93">
        <v>7.38</v>
      </c>
      <c r="E2636" s="93">
        <v>4.41</v>
      </c>
      <c r="F2636" s="93">
        <v>2.97</v>
      </c>
      <c r="G2636" s="93">
        <v>0</v>
      </c>
      <c r="H2636" s="93">
        <v>0</v>
      </c>
      <c r="N2636" s="88"/>
      <c r="O2636" s="88"/>
      <c r="P2636" s="88"/>
    </row>
    <row r="2637" spans="1:16">
      <c r="A2637" s="94">
        <v>92870</v>
      </c>
      <c r="B2637" s="87" t="s">
        <v>240</v>
      </c>
      <c r="C2637" s="12" t="s">
        <v>4</v>
      </c>
      <c r="D2637" s="93">
        <v>26.46</v>
      </c>
      <c r="E2637" s="93">
        <v>17.739999999999998</v>
      </c>
      <c r="F2637" s="93">
        <v>8.7200000000000006</v>
      </c>
      <c r="G2637" s="93">
        <v>0</v>
      </c>
      <c r="H2637" s="93">
        <v>0</v>
      </c>
      <c r="N2637" s="88"/>
      <c r="O2637" s="88"/>
      <c r="P2637" s="88"/>
    </row>
    <row r="2638" spans="1:16">
      <c r="A2638" s="94">
        <v>92871</v>
      </c>
      <c r="B2638" s="87" t="s">
        <v>2470</v>
      </c>
      <c r="C2638" s="12" t="s">
        <v>4</v>
      </c>
      <c r="D2638" s="93">
        <v>14.37</v>
      </c>
      <c r="E2638" s="93">
        <v>8.5</v>
      </c>
      <c r="F2638" s="93">
        <v>5.87</v>
      </c>
      <c r="G2638" s="93">
        <v>0</v>
      </c>
      <c r="H2638" s="93">
        <v>0</v>
      </c>
      <c r="N2638" s="88"/>
      <c r="O2638" s="88"/>
      <c r="P2638" s="88"/>
    </row>
    <row r="2639" spans="1:16">
      <c r="A2639" s="94">
        <v>92872</v>
      </c>
      <c r="B2639" s="87" t="s">
        <v>2471</v>
      </c>
      <c r="C2639" s="12" t="s">
        <v>4</v>
      </c>
      <c r="D2639" s="93">
        <v>9.85</v>
      </c>
      <c r="E2639" s="93">
        <v>5.04</v>
      </c>
      <c r="F2639" s="93">
        <v>4.8099999999999996</v>
      </c>
      <c r="G2639" s="93">
        <v>0</v>
      </c>
      <c r="H2639" s="93">
        <v>0</v>
      </c>
      <c r="N2639" s="88"/>
      <c r="O2639" s="88"/>
      <c r="P2639" s="88"/>
    </row>
    <row r="2640" spans="1:16">
      <c r="A2640" s="94">
        <v>95777</v>
      </c>
      <c r="B2640" s="87" t="s">
        <v>2472</v>
      </c>
      <c r="C2640" s="12" t="s">
        <v>4</v>
      </c>
      <c r="D2640" s="93">
        <v>21.98</v>
      </c>
      <c r="E2640" s="93">
        <v>10.119999999999999</v>
      </c>
      <c r="F2640" s="93">
        <v>11.86</v>
      </c>
      <c r="G2640" s="93">
        <v>0</v>
      </c>
      <c r="H2640" s="93">
        <v>0</v>
      </c>
      <c r="N2640" s="88"/>
      <c r="O2640" s="88"/>
      <c r="P2640" s="88"/>
    </row>
    <row r="2641" spans="1:16">
      <c r="A2641" s="94">
        <v>95778</v>
      </c>
      <c r="B2641" s="87" t="s">
        <v>2473</v>
      </c>
      <c r="C2641" s="12" t="s">
        <v>4</v>
      </c>
      <c r="D2641" s="93">
        <v>22.49</v>
      </c>
      <c r="E2641" s="93">
        <v>10.119999999999999</v>
      </c>
      <c r="F2641" s="93">
        <v>12.37</v>
      </c>
      <c r="G2641" s="93">
        <v>0</v>
      </c>
      <c r="H2641" s="93">
        <v>0</v>
      </c>
      <c r="N2641" s="88"/>
      <c r="O2641" s="88"/>
      <c r="P2641" s="88"/>
    </row>
    <row r="2642" spans="1:16">
      <c r="A2642" s="94">
        <v>95779</v>
      </c>
      <c r="B2642" s="87" t="s">
        <v>2474</v>
      </c>
      <c r="C2642" s="12" t="s">
        <v>4</v>
      </c>
      <c r="D2642" s="93">
        <v>20.79</v>
      </c>
      <c r="E2642" s="93">
        <v>10.119999999999999</v>
      </c>
      <c r="F2642" s="93">
        <v>10.67</v>
      </c>
      <c r="G2642" s="93">
        <v>0</v>
      </c>
      <c r="H2642" s="93">
        <v>0</v>
      </c>
      <c r="N2642" s="88"/>
      <c r="O2642" s="88"/>
      <c r="P2642" s="88"/>
    </row>
    <row r="2643" spans="1:16">
      <c r="A2643" s="94">
        <v>95780</v>
      </c>
      <c r="B2643" s="87" t="s">
        <v>2475</v>
      </c>
      <c r="C2643" s="12" t="s">
        <v>4</v>
      </c>
      <c r="D2643" s="93">
        <v>24.88</v>
      </c>
      <c r="E2643" s="93">
        <v>10.53</v>
      </c>
      <c r="F2643" s="93">
        <v>14.35</v>
      </c>
      <c r="G2643" s="93">
        <v>0</v>
      </c>
      <c r="H2643" s="93">
        <v>0</v>
      </c>
      <c r="N2643" s="88"/>
      <c r="O2643" s="88"/>
      <c r="P2643" s="88"/>
    </row>
    <row r="2644" spans="1:16">
      <c r="A2644" s="94">
        <v>95781</v>
      </c>
      <c r="B2644" s="87" t="s">
        <v>2476</v>
      </c>
      <c r="C2644" s="12" t="s">
        <v>4</v>
      </c>
      <c r="D2644" s="93">
        <v>25.25</v>
      </c>
      <c r="E2644" s="93">
        <v>10.53</v>
      </c>
      <c r="F2644" s="93">
        <v>14.72</v>
      </c>
      <c r="G2644" s="93">
        <v>0</v>
      </c>
      <c r="H2644" s="93">
        <v>0</v>
      </c>
      <c r="N2644" s="88"/>
      <c r="O2644" s="88"/>
      <c r="P2644" s="88"/>
    </row>
    <row r="2645" spans="1:16">
      <c r="A2645" s="94">
        <v>95782</v>
      </c>
      <c r="B2645" s="87" t="s">
        <v>2477</v>
      </c>
      <c r="C2645" s="12" t="s">
        <v>4</v>
      </c>
      <c r="D2645" s="93">
        <v>26.23</v>
      </c>
      <c r="E2645" s="93">
        <v>10.53</v>
      </c>
      <c r="F2645" s="93">
        <v>15.7</v>
      </c>
      <c r="G2645" s="93">
        <v>0</v>
      </c>
      <c r="H2645" s="93">
        <v>0</v>
      </c>
      <c r="N2645" s="88"/>
      <c r="O2645" s="88"/>
      <c r="P2645" s="88"/>
    </row>
    <row r="2646" spans="1:16">
      <c r="A2646" s="94">
        <v>95785</v>
      </c>
      <c r="B2646" s="87" t="s">
        <v>2478</v>
      </c>
      <c r="C2646" s="12" t="s">
        <v>4</v>
      </c>
      <c r="D2646" s="93">
        <v>29.72</v>
      </c>
      <c r="E2646" s="93">
        <v>11.08</v>
      </c>
      <c r="F2646" s="93">
        <v>18.64</v>
      </c>
      <c r="G2646" s="93">
        <v>0</v>
      </c>
      <c r="H2646" s="93">
        <v>0</v>
      </c>
      <c r="N2646" s="88"/>
      <c r="O2646" s="88"/>
      <c r="P2646" s="88"/>
    </row>
    <row r="2647" spans="1:16">
      <c r="A2647" s="94">
        <v>95787</v>
      </c>
      <c r="B2647" s="87" t="s">
        <v>2479</v>
      </c>
      <c r="C2647" s="12" t="s">
        <v>4</v>
      </c>
      <c r="D2647" s="93">
        <v>22.33</v>
      </c>
      <c r="E2647" s="93">
        <v>11.11</v>
      </c>
      <c r="F2647" s="93">
        <v>11.22</v>
      </c>
      <c r="G2647" s="93">
        <v>0</v>
      </c>
      <c r="H2647" s="93">
        <v>0</v>
      </c>
      <c r="N2647" s="88"/>
      <c r="O2647" s="88"/>
      <c r="P2647" s="88"/>
    </row>
    <row r="2648" spans="1:16">
      <c r="A2648" s="94">
        <v>95789</v>
      </c>
      <c r="B2648" s="87" t="s">
        <v>2480</v>
      </c>
      <c r="C2648" s="12" t="s">
        <v>4</v>
      </c>
      <c r="D2648" s="93">
        <v>27.4</v>
      </c>
      <c r="E2648" s="93">
        <v>11.73</v>
      </c>
      <c r="F2648" s="93">
        <v>15.67</v>
      </c>
      <c r="G2648" s="93">
        <v>0</v>
      </c>
      <c r="H2648" s="93">
        <v>0</v>
      </c>
      <c r="N2648" s="88"/>
      <c r="O2648" s="88"/>
      <c r="P2648" s="88"/>
    </row>
    <row r="2649" spans="1:16">
      <c r="A2649" s="94">
        <v>95791</v>
      </c>
      <c r="B2649" s="87" t="s">
        <v>2481</v>
      </c>
      <c r="C2649" s="12" t="s">
        <v>4</v>
      </c>
      <c r="D2649" s="93">
        <v>34.97</v>
      </c>
      <c r="E2649" s="93">
        <v>12.58</v>
      </c>
      <c r="F2649" s="93">
        <v>22.39</v>
      </c>
      <c r="G2649" s="93">
        <v>0</v>
      </c>
      <c r="H2649" s="93">
        <v>0</v>
      </c>
      <c r="N2649" s="88"/>
      <c r="O2649" s="88"/>
      <c r="P2649" s="88"/>
    </row>
    <row r="2650" spans="1:16">
      <c r="A2650" s="94">
        <v>95795</v>
      </c>
      <c r="B2650" s="87" t="s">
        <v>2482</v>
      </c>
      <c r="C2650" s="12" t="s">
        <v>4</v>
      </c>
      <c r="D2650" s="93">
        <v>25.8</v>
      </c>
      <c r="E2650" s="93">
        <v>12.88</v>
      </c>
      <c r="F2650" s="93">
        <v>12.92</v>
      </c>
      <c r="G2650" s="93">
        <v>0</v>
      </c>
      <c r="H2650" s="93">
        <v>0</v>
      </c>
      <c r="N2650" s="88"/>
      <c r="O2650" s="88"/>
      <c r="P2650" s="88"/>
    </row>
    <row r="2651" spans="1:16">
      <c r="A2651" s="94">
        <v>95796</v>
      </c>
      <c r="B2651" s="87" t="s">
        <v>2483</v>
      </c>
      <c r="C2651" s="12" t="s">
        <v>4</v>
      </c>
      <c r="D2651" s="93">
        <v>32.25</v>
      </c>
      <c r="E2651" s="93">
        <v>13.8</v>
      </c>
      <c r="F2651" s="93">
        <v>18.45</v>
      </c>
      <c r="G2651" s="93">
        <v>0</v>
      </c>
      <c r="H2651" s="93">
        <v>0</v>
      </c>
      <c r="N2651" s="88"/>
      <c r="O2651" s="88"/>
      <c r="P2651" s="88"/>
    </row>
    <row r="2652" spans="1:16">
      <c r="A2652" s="94">
        <v>95797</v>
      </c>
      <c r="B2652" s="87" t="s">
        <v>2484</v>
      </c>
      <c r="C2652" s="12" t="s">
        <v>4</v>
      </c>
      <c r="D2652" s="93">
        <v>40.69</v>
      </c>
      <c r="E2652" s="93">
        <v>15.09</v>
      </c>
      <c r="F2652" s="93">
        <v>25.6</v>
      </c>
      <c r="G2652" s="93">
        <v>0</v>
      </c>
      <c r="H2652" s="93">
        <v>0</v>
      </c>
      <c r="N2652" s="88"/>
      <c r="O2652" s="88"/>
      <c r="P2652" s="88"/>
    </row>
    <row r="2653" spans="1:16">
      <c r="A2653" s="94">
        <v>95801</v>
      </c>
      <c r="B2653" s="87" t="s">
        <v>2485</v>
      </c>
      <c r="C2653" s="12" t="s">
        <v>4</v>
      </c>
      <c r="D2653" s="93">
        <v>30.86</v>
      </c>
      <c r="E2653" s="93">
        <v>14.65</v>
      </c>
      <c r="F2653" s="93">
        <v>16.21</v>
      </c>
      <c r="G2653" s="93">
        <v>0</v>
      </c>
      <c r="H2653" s="93">
        <v>0</v>
      </c>
      <c r="N2653" s="88"/>
      <c r="O2653" s="88"/>
      <c r="P2653" s="88"/>
    </row>
    <row r="2654" spans="1:16">
      <c r="A2654" s="94">
        <v>95802</v>
      </c>
      <c r="B2654" s="87" t="s">
        <v>2486</v>
      </c>
      <c r="C2654" s="12" t="s">
        <v>4</v>
      </c>
      <c r="D2654" s="93">
        <v>34.380000000000003</v>
      </c>
      <c r="E2654" s="93">
        <v>15.86</v>
      </c>
      <c r="F2654" s="93">
        <v>18.52</v>
      </c>
      <c r="G2654" s="93">
        <v>0</v>
      </c>
      <c r="H2654" s="93">
        <v>0</v>
      </c>
      <c r="N2654" s="88"/>
      <c r="O2654" s="88"/>
      <c r="P2654" s="88"/>
    </row>
    <row r="2655" spans="1:16">
      <c r="A2655" s="94">
        <v>95803</v>
      </c>
      <c r="B2655" s="87" t="s">
        <v>2487</v>
      </c>
      <c r="C2655" s="12" t="s">
        <v>4</v>
      </c>
      <c r="D2655" s="93">
        <v>45.16</v>
      </c>
      <c r="E2655" s="93">
        <v>17.61</v>
      </c>
      <c r="F2655" s="93">
        <v>27.55</v>
      </c>
      <c r="G2655" s="93">
        <v>0</v>
      </c>
      <c r="H2655" s="93">
        <v>0</v>
      </c>
      <c r="N2655" s="88"/>
      <c r="O2655" s="88"/>
      <c r="P2655" s="88"/>
    </row>
    <row r="2656" spans="1:16">
      <c r="A2656" s="94">
        <v>95804</v>
      </c>
      <c r="B2656" s="87" t="s">
        <v>2488</v>
      </c>
      <c r="C2656" s="12" t="s">
        <v>4</v>
      </c>
      <c r="D2656" s="93">
        <v>15.7</v>
      </c>
      <c r="E2656" s="93">
        <v>8.4</v>
      </c>
      <c r="F2656" s="93">
        <v>7.3</v>
      </c>
      <c r="G2656" s="93">
        <v>0</v>
      </c>
      <c r="H2656" s="93">
        <v>0</v>
      </c>
      <c r="N2656" s="88"/>
      <c r="O2656" s="88"/>
      <c r="P2656" s="88"/>
    </row>
    <row r="2657" spans="1:16">
      <c r="A2657" s="94">
        <v>95805</v>
      </c>
      <c r="B2657" s="87" t="s">
        <v>2489</v>
      </c>
      <c r="C2657" s="12" t="s">
        <v>4</v>
      </c>
      <c r="D2657" s="93">
        <v>15.88</v>
      </c>
      <c r="E2657" s="93">
        <v>8.5500000000000007</v>
      </c>
      <c r="F2657" s="93">
        <v>7.33</v>
      </c>
      <c r="G2657" s="93">
        <v>0</v>
      </c>
      <c r="H2657" s="93">
        <v>0</v>
      </c>
      <c r="N2657" s="88"/>
      <c r="O2657" s="88"/>
      <c r="P2657" s="88"/>
    </row>
    <row r="2658" spans="1:16">
      <c r="A2658" s="94">
        <v>95806</v>
      </c>
      <c r="B2658" s="87" t="s">
        <v>2490</v>
      </c>
      <c r="C2658" s="12" t="s">
        <v>4</v>
      </c>
      <c r="D2658" s="93">
        <v>16.329999999999998</v>
      </c>
      <c r="E2658" s="93">
        <v>8.74</v>
      </c>
      <c r="F2658" s="93">
        <v>7.59</v>
      </c>
      <c r="G2658" s="93">
        <v>0</v>
      </c>
      <c r="H2658" s="93">
        <v>0</v>
      </c>
      <c r="N2658" s="88"/>
      <c r="O2658" s="88"/>
      <c r="P2658" s="88"/>
    </row>
    <row r="2659" spans="1:16">
      <c r="A2659" s="94">
        <v>95807</v>
      </c>
      <c r="B2659" s="87" t="s">
        <v>2491</v>
      </c>
      <c r="C2659" s="12" t="s">
        <v>4</v>
      </c>
      <c r="D2659" s="93">
        <v>18.23</v>
      </c>
      <c r="E2659" s="93">
        <v>10</v>
      </c>
      <c r="F2659" s="93">
        <v>8.23</v>
      </c>
      <c r="G2659" s="93">
        <v>0</v>
      </c>
      <c r="H2659" s="93">
        <v>0</v>
      </c>
      <c r="N2659" s="88"/>
      <c r="O2659" s="88"/>
      <c r="P2659" s="88"/>
    </row>
    <row r="2660" spans="1:16">
      <c r="A2660" s="94">
        <v>95808</v>
      </c>
      <c r="B2660" s="87" t="s">
        <v>2492</v>
      </c>
      <c r="C2660" s="12" t="s">
        <v>4</v>
      </c>
      <c r="D2660" s="93">
        <v>18.77</v>
      </c>
      <c r="E2660" s="93">
        <v>10.4</v>
      </c>
      <c r="F2660" s="93">
        <v>8.3699999999999992</v>
      </c>
      <c r="G2660" s="93">
        <v>0</v>
      </c>
      <c r="H2660" s="93">
        <v>0</v>
      </c>
      <c r="N2660" s="88"/>
      <c r="O2660" s="88"/>
      <c r="P2660" s="88"/>
    </row>
    <row r="2661" spans="1:16">
      <c r="A2661" s="94">
        <v>95809</v>
      </c>
      <c r="B2661" s="87" t="s">
        <v>2493</v>
      </c>
      <c r="C2661" s="12" t="s">
        <v>4</v>
      </c>
      <c r="D2661" s="93">
        <v>20.34</v>
      </c>
      <c r="E2661" s="93">
        <v>10.99</v>
      </c>
      <c r="F2661" s="93">
        <v>9.35</v>
      </c>
      <c r="G2661" s="93">
        <v>0</v>
      </c>
      <c r="H2661" s="93">
        <v>0</v>
      </c>
      <c r="N2661" s="88"/>
      <c r="O2661" s="88"/>
      <c r="P2661" s="88"/>
    </row>
    <row r="2662" spans="1:16">
      <c r="A2662" s="94">
        <v>95810</v>
      </c>
      <c r="B2662" s="87" t="s">
        <v>2494</v>
      </c>
      <c r="C2662" s="12" t="s">
        <v>4</v>
      </c>
      <c r="D2662" s="93">
        <v>7.97</v>
      </c>
      <c r="E2662" s="93">
        <v>2.38</v>
      </c>
      <c r="F2662" s="93">
        <v>5.59</v>
      </c>
      <c r="G2662" s="93">
        <v>0</v>
      </c>
      <c r="H2662" s="93">
        <v>0</v>
      </c>
      <c r="N2662" s="88"/>
      <c r="O2662" s="88"/>
      <c r="P2662" s="88"/>
    </row>
    <row r="2663" spans="1:16">
      <c r="A2663" s="94">
        <v>95811</v>
      </c>
      <c r="B2663" s="87" t="s">
        <v>2495</v>
      </c>
      <c r="C2663" s="12" t="s">
        <v>4</v>
      </c>
      <c r="D2663" s="93">
        <v>8.52</v>
      </c>
      <c r="E2663" s="93">
        <v>2.8</v>
      </c>
      <c r="F2663" s="93">
        <v>5.72</v>
      </c>
      <c r="G2663" s="93">
        <v>0</v>
      </c>
      <c r="H2663" s="93">
        <v>0</v>
      </c>
      <c r="N2663" s="88"/>
      <c r="O2663" s="88"/>
      <c r="P2663" s="88"/>
    </row>
    <row r="2664" spans="1:16">
      <c r="A2664" s="94">
        <v>95812</v>
      </c>
      <c r="B2664" s="87" t="s">
        <v>2496</v>
      </c>
      <c r="C2664" s="12" t="s">
        <v>4</v>
      </c>
      <c r="D2664" s="93">
        <v>10.08</v>
      </c>
      <c r="E2664" s="93">
        <v>3.39</v>
      </c>
      <c r="F2664" s="93">
        <v>6.69</v>
      </c>
      <c r="G2664" s="93">
        <v>0</v>
      </c>
      <c r="H2664" s="93">
        <v>0</v>
      </c>
      <c r="N2664" s="88"/>
      <c r="O2664" s="88"/>
      <c r="P2664" s="88"/>
    </row>
    <row r="2665" spans="1:16">
      <c r="A2665" s="94">
        <v>95813</v>
      </c>
      <c r="B2665" s="87" t="s">
        <v>2497</v>
      </c>
      <c r="C2665" s="12" t="s">
        <v>4</v>
      </c>
      <c r="D2665" s="93">
        <v>10.050000000000001</v>
      </c>
      <c r="E2665" s="93">
        <v>3.59</v>
      </c>
      <c r="F2665" s="93">
        <v>6.46</v>
      </c>
      <c r="G2665" s="93">
        <v>0</v>
      </c>
      <c r="H2665" s="93">
        <v>0</v>
      </c>
      <c r="N2665" s="88"/>
      <c r="O2665" s="88"/>
      <c r="P2665" s="88"/>
    </row>
    <row r="2666" spans="1:16">
      <c r="A2666" s="94">
        <v>95814</v>
      </c>
      <c r="B2666" s="87" t="s">
        <v>2498</v>
      </c>
      <c r="C2666" s="12" t="s">
        <v>4</v>
      </c>
      <c r="D2666" s="93">
        <v>10.87</v>
      </c>
      <c r="E2666" s="93">
        <v>4.22</v>
      </c>
      <c r="F2666" s="93">
        <v>6.65</v>
      </c>
      <c r="G2666" s="93">
        <v>0</v>
      </c>
      <c r="H2666" s="93">
        <v>0</v>
      </c>
      <c r="N2666" s="88"/>
      <c r="O2666" s="88"/>
      <c r="P2666" s="88"/>
    </row>
    <row r="2667" spans="1:16">
      <c r="A2667" s="94">
        <v>95815</v>
      </c>
      <c r="B2667" s="87" t="s">
        <v>2499</v>
      </c>
      <c r="C2667" s="12" t="s">
        <v>4</v>
      </c>
      <c r="D2667" s="93">
        <v>13.71</v>
      </c>
      <c r="E2667" s="93">
        <v>5.09</v>
      </c>
      <c r="F2667" s="93">
        <v>8.6199999999999992</v>
      </c>
      <c r="G2667" s="93">
        <v>0</v>
      </c>
      <c r="H2667" s="93">
        <v>0</v>
      </c>
      <c r="N2667" s="88"/>
      <c r="O2667" s="88"/>
      <c r="P2667" s="88"/>
    </row>
    <row r="2668" spans="1:16">
      <c r="A2668" s="94">
        <v>95816</v>
      </c>
      <c r="B2668" s="87" t="s">
        <v>2500</v>
      </c>
      <c r="C2668" s="12" t="s">
        <v>4</v>
      </c>
      <c r="D2668" s="93">
        <v>22.46</v>
      </c>
      <c r="E2668" s="93">
        <v>12.37</v>
      </c>
      <c r="F2668" s="93">
        <v>10.09</v>
      </c>
      <c r="G2668" s="93">
        <v>0</v>
      </c>
      <c r="H2668" s="93">
        <v>0</v>
      </c>
      <c r="N2668" s="88"/>
      <c r="O2668" s="88"/>
      <c r="P2668" s="88"/>
    </row>
    <row r="2669" spans="1:16">
      <c r="A2669" s="94">
        <v>95817</v>
      </c>
      <c r="B2669" s="87" t="s">
        <v>2501</v>
      </c>
      <c r="C2669" s="12" t="s">
        <v>4</v>
      </c>
      <c r="D2669" s="93">
        <v>23.37</v>
      </c>
      <c r="E2669" s="93">
        <v>13.23</v>
      </c>
      <c r="F2669" s="93">
        <v>10.14</v>
      </c>
      <c r="G2669" s="93">
        <v>0</v>
      </c>
      <c r="H2669" s="93">
        <v>0</v>
      </c>
      <c r="N2669" s="88"/>
      <c r="O2669" s="88"/>
      <c r="P2669" s="88"/>
    </row>
    <row r="2670" spans="1:16">
      <c r="A2670" s="94">
        <v>95818</v>
      </c>
      <c r="B2670" s="87" t="s">
        <v>2502</v>
      </c>
      <c r="C2670" s="12" t="s">
        <v>4</v>
      </c>
      <c r="D2670" s="93">
        <v>27.2</v>
      </c>
      <c r="E2670" s="93">
        <v>14.39</v>
      </c>
      <c r="F2670" s="93">
        <v>12.81</v>
      </c>
      <c r="G2670" s="93">
        <v>0</v>
      </c>
      <c r="H2670" s="93">
        <v>0</v>
      </c>
      <c r="N2670" s="88"/>
      <c r="O2670" s="88"/>
      <c r="P2670" s="88"/>
    </row>
    <row r="2671" spans="1:16">
      <c r="A2671" s="94">
        <v>97881</v>
      </c>
      <c r="B2671" s="87" t="s">
        <v>6674</v>
      </c>
      <c r="C2671" s="12" t="s">
        <v>4</v>
      </c>
      <c r="D2671" s="93">
        <v>74.319999999999993</v>
      </c>
      <c r="E2671" s="93">
        <v>17.91</v>
      </c>
      <c r="F2671" s="93">
        <v>56.25</v>
      </c>
      <c r="G2671" s="93">
        <v>0.08</v>
      </c>
      <c r="H2671" s="93">
        <v>0</v>
      </c>
      <c r="N2671" s="88"/>
      <c r="O2671" s="88"/>
      <c r="P2671" s="88"/>
    </row>
    <row r="2672" spans="1:16">
      <c r="A2672" s="94">
        <v>97882</v>
      </c>
      <c r="B2672" s="87" t="s">
        <v>6675</v>
      </c>
      <c r="C2672" s="12" t="s">
        <v>4</v>
      </c>
      <c r="D2672" s="93">
        <v>113.85</v>
      </c>
      <c r="E2672" s="93">
        <v>24.87</v>
      </c>
      <c r="F2672" s="93">
        <v>88.67</v>
      </c>
      <c r="G2672" s="93">
        <v>0.18</v>
      </c>
      <c r="H2672" s="93">
        <v>0</v>
      </c>
      <c r="N2672" s="88"/>
      <c r="O2672" s="88"/>
      <c r="P2672" s="88"/>
    </row>
    <row r="2673" spans="1:16">
      <c r="A2673" s="94">
        <v>97883</v>
      </c>
      <c r="B2673" s="87" t="s">
        <v>6676</v>
      </c>
      <c r="C2673" s="12" t="s">
        <v>4</v>
      </c>
      <c r="D2673" s="93">
        <v>217.29</v>
      </c>
      <c r="E2673" s="93">
        <v>41.71</v>
      </c>
      <c r="F2673" s="93">
        <v>170.79</v>
      </c>
      <c r="G2673" s="93">
        <v>4.57</v>
      </c>
      <c r="H2673" s="93">
        <v>0</v>
      </c>
      <c r="N2673" s="88"/>
      <c r="O2673" s="88"/>
      <c r="P2673" s="88"/>
    </row>
    <row r="2674" spans="1:16">
      <c r="A2674" s="94">
        <v>97884</v>
      </c>
      <c r="B2674" s="87" t="s">
        <v>6677</v>
      </c>
      <c r="C2674" s="12" t="s">
        <v>4</v>
      </c>
      <c r="D2674" s="93">
        <v>410.53</v>
      </c>
      <c r="E2674" s="93">
        <v>66.349999999999994</v>
      </c>
      <c r="F2674" s="93">
        <v>338.02</v>
      </c>
      <c r="G2674" s="93">
        <v>5.77</v>
      </c>
      <c r="H2674" s="93">
        <v>0</v>
      </c>
      <c r="N2674" s="88"/>
      <c r="O2674" s="88"/>
      <c r="P2674" s="88"/>
    </row>
    <row r="2675" spans="1:16">
      <c r="A2675" s="94">
        <v>97885</v>
      </c>
      <c r="B2675" s="87" t="s">
        <v>6678</v>
      </c>
      <c r="C2675" s="12" t="s">
        <v>4</v>
      </c>
      <c r="D2675" s="93">
        <v>629.1</v>
      </c>
      <c r="E2675" s="93">
        <v>96.58</v>
      </c>
      <c r="F2675" s="93">
        <v>524.42999999999995</v>
      </c>
      <c r="G2675" s="93">
        <v>7.5</v>
      </c>
      <c r="H2675" s="93">
        <v>0</v>
      </c>
      <c r="N2675" s="88"/>
      <c r="O2675" s="88"/>
      <c r="P2675" s="88"/>
    </row>
    <row r="2676" spans="1:16">
      <c r="A2676" s="94">
        <v>97886</v>
      </c>
      <c r="B2676" s="87" t="s">
        <v>6679</v>
      </c>
      <c r="C2676" s="12" t="s">
        <v>4</v>
      </c>
      <c r="D2676" s="93">
        <v>145.02000000000001</v>
      </c>
      <c r="E2676" s="93">
        <v>69.97</v>
      </c>
      <c r="F2676" s="93">
        <v>74.650000000000006</v>
      </c>
      <c r="G2676" s="93">
        <v>0.23</v>
      </c>
      <c r="H2676" s="93">
        <v>0</v>
      </c>
      <c r="N2676" s="88"/>
      <c r="O2676" s="88"/>
      <c r="P2676" s="88"/>
    </row>
    <row r="2677" spans="1:16">
      <c r="A2677" s="94">
        <v>97887</v>
      </c>
      <c r="B2677" s="87" t="s">
        <v>6680</v>
      </c>
      <c r="C2677" s="12" t="s">
        <v>4</v>
      </c>
      <c r="D2677" s="93">
        <v>229.38</v>
      </c>
      <c r="E2677" s="93">
        <v>110.3</v>
      </c>
      <c r="F2677" s="93">
        <v>118.51</v>
      </c>
      <c r="G2677" s="93">
        <v>0.31</v>
      </c>
      <c r="H2677" s="93">
        <v>0</v>
      </c>
      <c r="N2677" s="88"/>
      <c r="O2677" s="88"/>
      <c r="P2677" s="88"/>
    </row>
    <row r="2678" spans="1:16">
      <c r="A2678" s="94">
        <v>97888</v>
      </c>
      <c r="B2678" s="87" t="s">
        <v>6681</v>
      </c>
      <c r="C2678" s="12" t="s">
        <v>4</v>
      </c>
      <c r="D2678" s="93">
        <v>445.3</v>
      </c>
      <c r="E2678" s="93">
        <v>206.8</v>
      </c>
      <c r="F2678" s="93">
        <v>235.59</v>
      </c>
      <c r="G2678" s="93">
        <v>2.52</v>
      </c>
      <c r="H2678" s="93">
        <v>0</v>
      </c>
      <c r="N2678" s="88"/>
      <c r="O2678" s="88"/>
      <c r="P2678" s="88"/>
    </row>
    <row r="2679" spans="1:16">
      <c r="A2679" s="94">
        <v>97889</v>
      </c>
      <c r="B2679" s="87" t="s">
        <v>6682</v>
      </c>
      <c r="C2679" s="12" t="s">
        <v>4</v>
      </c>
      <c r="D2679" s="93">
        <v>595.97</v>
      </c>
      <c r="E2679" s="93">
        <v>275.74</v>
      </c>
      <c r="F2679" s="93">
        <v>316.74</v>
      </c>
      <c r="G2679" s="93">
        <v>2.91</v>
      </c>
      <c r="H2679" s="93">
        <v>0</v>
      </c>
      <c r="N2679" s="88"/>
      <c r="O2679" s="88"/>
      <c r="P2679" s="88"/>
    </row>
    <row r="2680" spans="1:16">
      <c r="A2680" s="94">
        <v>97890</v>
      </c>
      <c r="B2680" s="87" t="s">
        <v>6683</v>
      </c>
      <c r="C2680" s="12" t="s">
        <v>4</v>
      </c>
      <c r="D2680" s="93">
        <v>686.98</v>
      </c>
      <c r="E2680" s="93">
        <v>295.26</v>
      </c>
      <c r="F2680" s="93">
        <v>387.89</v>
      </c>
      <c r="G2680" s="93">
        <v>3.47</v>
      </c>
      <c r="H2680" s="93">
        <v>0</v>
      </c>
      <c r="N2680" s="88"/>
      <c r="O2680" s="88"/>
      <c r="P2680" s="88"/>
    </row>
    <row r="2681" spans="1:16">
      <c r="A2681" s="94">
        <v>97891</v>
      </c>
      <c r="B2681" s="87" t="s">
        <v>6684</v>
      </c>
      <c r="C2681" s="12" t="s">
        <v>4</v>
      </c>
      <c r="D2681" s="93">
        <v>161.99</v>
      </c>
      <c r="E2681" s="93">
        <v>83.85</v>
      </c>
      <c r="F2681" s="93">
        <v>77.59</v>
      </c>
      <c r="G2681" s="93">
        <v>0.3</v>
      </c>
      <c r="H2681" s="93">
        <v>0</v>
      </c>
      <c r="N2681" s="88"/>
      <c r="O2681" s="88"/>
      <c r="P2681" s="88"/>
    </row>
    <row r="2682" spans="1:16">
      <c r="A2682" s="94">
        <v>97892</v>
      </c>
      <c r="B2682" s="87" t="s">
        <v>6685</v>
      </c>
      <c r="C2682" s="12" t="s">
        <v>4</v>
      </c>
      <c r="D2682" s="93">
        <v>302.82</v>
      </c>
      <c r="E2682" s="93">
        <v>150.84</v>
      </c>
      <c r="F2682" s="93">
        <v>149.15</v>
      </c>
      <c r="G2682" s="93">
        <v>2.48</v>
      </c>
      <c r="H2682" s="93">
        <v>0</v>
      </c>
      <c r="N2682" s="88"/>
      <c r="O2682" s="88"/>
      <c r="P2682" s="88"/>
    </row>
    <row r="2683" spans="1:16">
      <c r="A2683" s="94">
        <v>97893</v>
      </c>
      <c r="B2683" s="87" t="s">
        <v>6686</v>
      </c>
      <c r="C2683" s="12" t="s">
        <v>4</v>
      </c>
      <c r="D2683" s="93">
        <v>414.27</v>
      </c>
      <c r="E2683" s="93">
        <v>204.32</v>
      </c>
      <c r="F2683" s="93">
        <v>206.56</v>
      </c>
      <c r="G2683" s="93">
        <v>2.85</v>
      </c>
      <c r="H2683" s="93">
        <v>0</v>
      </c>
      <c r="N2683" s="88"/>
      <c r="O2683" s="88"/>
      <c r="P2683" s="88"/>
    </row>
    <row r="2684" spans="1:16">
      <c r="A2684" s="94">
        <v>97894</v>
      </c>
      <c r="B2684" s="87" t="s">
        <v>6687</v>
      </c>
      <c r="C2684" s="12" t="s">
        <v>4</v>
      </c>
      <c r="D2684" s="93">
        <v>466.8</v>
      </c>
      <c r="E2684" s="93">
        <v>208.68</v>
      </c>
      <c r="F2684" s="93">
        <v>254.4</v>
      </c>
      <c r="G2684" s="93">
        <v>3.41</v>
      </c>
      <c r="H2684" s="93">
        <v>0</v>
      </c>
      <c r="N2684" s="88"/>
      <c r="O2684" s="88"/>
      <c r="P2684" s="88"/>
    </row>
    <row r="2685" spans="1:16">
      <c r="A2685" s="94">
        <v>93653</v>
      </c>
      <c r="B2685" s="87" t="s">
        <v>5805</v>
      </c>
      <c r="C2685" s="12" t="s">
        <v>4</v>
      </c>
      <c r="D2685" s="93">
        <v>10.32</v>
      </c>
      <c r="E2685" s="93">
        <v>1.02</v>
      </c>
      <c r="F2685" s="93">
        <v>9.3000000000000007</v>
      </c>
      <c r="G2685" s="93">
        <v>0</v>
      </c>
      <c r="H2685" s="93">
        <v>0</v>
      </c>
      <c r="N2685" s="88"/>
      <c r="O2685" s="88"/>
      <c r="P2685" s="88"/>
    </row>
    <row r="2686" spans="1:16">
      <c r="A2686" s="94">
        <v>93654</v>
      </c>
      <c r="B2686" s="87" t="s">
        <v>5806</v>
      </c>
      <c r="C2686" s="12" t="s">
        <v>4</v>
      </c>
      <c r="D2686" s="93">
        <v>10.8</v>
      </c>
      <c r="E2686" s="93">
        <v>1.4</v>
      </c>
      <c r="F2686" s="93">
        <v>9.4</v>
      </c>
      <c r="G2686" s="93">
        <v>0</v>
      </c>
      <c r="H2686" s="93">
        <v>0</v>
      </c>
      <c r="N2686" s="88"/>
      <c r="O2686" s="88"/>
      <c r="P2686" s="88"/>
    </row>
    <row r="2687" spans="1:16">
      <c r="A2687" s="94">
        <v>93655</v>
      </c>
      <c r="B2687" s="87" t="s">
        <v>5807</v>
      </c>
      <c r="C2687" s="12" t="s">
        <v>4</v>
      </c>
      <c r="D2687" s="93">
        <v>11.7</v>
      </c>
      <c r="E2687" s="93">
        <v>1.93</v>
      </c>
      <c r="F2687" s="93">
        <v>9.77</v>
      </c>
      <c r="G2687" s="93">
        <v>0</v>
      </c>
      <c r="H2687" s="93">
        <v>0</v>
      </c>
      <c r="N2687" s="88"/>
      <c r="O2687" s="88"/>
      <c r="P2687" s="88"/>
    </row>
    <row r="2688" spans="1:16">
      <c r="A2688" s="94">
        <v>93656</v>
      </c>
      <c r="B2688" s="87" t="s">
        <v>5808</v>
      </c>
      <c r="C2688" s="12" t="s">
        <v>4</v>
      </c>
      <c r="D2688" s="93">
        <v>11.7</v>
      </c>
      <c r="E2688" s="93">
        <v>1.93</v>
      </c>
      <c r="F2688" s="93">
        <v>9.77</v>
      </c>
      <c r="G2688" s="93">
        <v>0</v>
      </c>
      <c r="H2688" s="93">
        <v>0</v>
      </c>
      <c r="N2688" s="88"/>
      <c r="O2688" s="88"/>
      <c r="P2688" s="88"/>
    </row>
    <row r="2689" spans="1:16">
      <c r="A2689" s="94">
        <v>93657</v>
      </c>
      <c r="B2689" s="87" t="s">
        <v>5809</v>
      </c>
      <c r="C2689" s="12" t="s">
        <v>4</v>
      </c>
      <c r="D2689" s="93">
        <v>12.8</v>
      </c>
      <c r="E2689" s="93">
        <v>2.67</v>
      </c>
      <c r="F2689" s="93">
        <v>10.130000000000001</v>
      </c>
      <c r="G2689" s="93">
        <v>0</v>
      </c>
      <c r="H2689" s="93">
        <v>0</v>
      </c>
      <c r="N2689" s="88"/>
      <c r="O2689" s="88"/>
      <c r="P2689" s="88"/>
    </row>
    <row r="2690" spans="1:16">
      <c r="A2690" s="94">
        <v>93658</v>
      </c>
      <c r="B2690" s="87" t="s">
        <v>5810</v>
      </c>
      <c r="C2690" s="12" t="s">
        <v>4</v>
      </c>
      <c r="D2690" s="93">
        <v>18.64</v>
      </c>
      <c r="E2690" s="93">
        <v>3.98</v>
      </c>
      <c r="F2690" s="93">
        <v>14.66</v>
      </c>
      <c r="G2690" s="93">
        <v>0</v>
      </c>
      <c r="H2690" s="93">
        <v>0</v>
      </c>
      <c r="N2690" s="88"/>
      <c r="O2690" s="88"/>
      <c r="P2690" s="88"/>
    </row>
    <row r="2691" spans="1:16">
      <c r="A2691" s="94">
        <v>93659</v>
      </c>
      <c r="B2691" s="87" t="s">
        <v>5811</v>
      </c>
      <c r="C2691" s="12" t="s">
        <v>4</v>
      </c>
      <c r="D2691" s="93">
        <v>20.91</v>
      </c>
      <c r="E2691" s="93">
        <v>5.57</v>
      </c>
      <c r="F2691" s="93">
        <v>15.34</v>
      </c>
      <c r="G2691" s="93">
        <v>0</v>
      </c>
      <c r="H2691" s="93">
        <v>0</v>
      </c>
      <c r="N2691" s="88"/>
      <c r="O2691" s="88"/>
      <c r="P2691" s="88"/>
    </row>
    <row r="2692" spans="1:16">
      <c r="A2692" s="94">
        <v>93660</v>
      </c>
      <c r="B2692" s="87" t="s">
        <v>5812</v>
      </c>
      <c r="C2692" s="12" t="s">
        <v>4</v>
      </c>
      <c r="D2692" s="93">
        <v>52.06</v>
      </c>
      <c r="E2692" s="93">
        <v>2.06</v>
      </c>
      <c r="F2692" s="93">
        <v>50</v>
      </c>
      <c r="G2692" s="93">
        <v>0</v>
      </c>
      <c r="H2692" s="93">
        <v>0</v>
      </c>
      <c r="N2692" s="88"/>
      <c r="O2692" s="88"/>
      <c r="P2692" s="88"/>
    </row>
    <row r="2693" spans="1:16">
      <c r="A2693" s="94">
        <v>93661</v>
      </c>
      <c r="B2693" s="87" t="s">
        <v>5813</v>
      </c>
      <c r="C2693" s="12" t="s">
        <v>4</v>
      </c>
      <c r="D2693" s="93">
        <v>53.03</v>
      </c>
      <c r="E2693" s="93">
        <v>2.78</v>
      </c>
      <c r="F2693" s="93">
        <v>50.25</v>
      </c>
      <c r="G2693" s="93">
        <v>0</v>
      </c>
      <c r="H2693" s="93">
        <v>0</v>
      </c>
      <c r="N2693" s="88"/>
      <c r="O2693" s="88"/>
      <c r="P2693" s="88"/>
    </row>
    <row r="2694" spans="1:16">
      <c r="A2694" s="94">
        <v>93662</v>
      </c>
      <c r="B2694" s="87" t="s">
        <v>5814</v>
      </c>
      <c r="C2694" s="12" t="s">
        <v>4</v>
      </c>
      <c r="D2694" s="93">
        <v>54.83</v>
      </c>
      <c r="E2694" s="93">
        <v>3.89</v>
      </c>
      <c r="F2694" s="93">
        <v>50.94</v>
      </c>
      <c r="G2694" s="93">
        <v>0</v>
      </c>
      <c r="H2694" s="93">
        <v>0</v>
      </c>
      <c r="N2694" s="88"/>
      <c r="O2694" s="88"/>
      <c r="P2694" s="88"/>
    </row>
    <row r="2695" spans="1:16">
      <c r="A2695" s="94">
        <v>93663</v>
      </c>
      <c r="B2695" s="87" t="s">
        <v>5815</v>
      </c>
      <c r="C2695" s="12" t="s">
        <v>4</v>
      </c>
      <c r="D2695" s="93">
        <v>54.83</v>
      </c>
      <c r="E2695" s="93">
        <v>3.89</v>
      </c>
      <c r="F2695" s="93">
        <v>50.94</v>
      </c>
      <c r="G2695" s="93">
        <v>0</v>
      </c>
      <c r="H2695" s="93">
        <v>0</v>
      </c>
      <c r="N2695" s="88"/>
      <c r="O2695" s="88"/>
      <c r="P2695" s="88"/>
    </row>
    <row r="2696" spans="1:16">
      <c r="A2696" s="94">
        <v>93664</v>
      </c>
      <c r="B2696" s="87" t="s">
        <v>5816</v>
      </c>
      <c r="C2696" s="12" t="s">
        <v>4</v>
      </c>
      <c r="D2696" s="93">
        <v>57.04</v>
      </c>
      <c r="E2696" s="93">
        <v>5.36</v>
      </c>
      <c r="F2696" s="93">
        <v>51.68</v>
      </c>
      <c r="G2696" s="93">
        <v>0</v>
      </c>
      <c r="H2696" s="93">
        <v>0</v>
      </c>
      <c r="N2696" s="88"/>
      <c r="O2696" s="88"/>
      <c r="P2696" s="88"/>
    </row>
    <row r="2697" spans="1:16">
      <c r="A2697" s="94">
        <v>93665</v>
      </c>
      <c r="B2697" s="87" t="s">
        <v>5817</v>
      </c>
      <c r="C2697" s="12" t="s">
        <v>4</v>
      </c>
      <c r="D2697" s="93">
        <v>59.84</v>
      </c>
      <c r="E2697" s="93">
        <v>7.96</v>
      </c>
      <c r="F2697" s="93">
        <v>51.88</v>
      </c>
      <c r="G2697" s="93">
        <v>0</v>
      </c>
      <c r="H2697" s="93">
        <v>0</v>
      </c>
      <c r="N2697" s="88"/>
      <c r="O2697" s="88"/>
      <c r="P2697" s="88"/>
    </row>
    <row r="2698" spans="1:16">
      <c r="A2698" s="94">
        <v>93666</v>
      </c>
      <c r="B2698" s="87" t="s">
        <v>5818</v>
      </c>
      <c r="C2698" s="12" t="s">
        <v>4</v>
      </c>
      <c r="D2698" s="93">
        <v>64.37</v>
      </c>
      <c r="E2698" s="93">
        <v>11.14</v>
      </c>
      <c r="F2698" s="93">
        <v>53.23</v>
      </c>
      <c r="G2698" s="93">
        <v>0</v>
      </c>
      <c r="H2698" s="93">
        <v>0</v>
      </c>
      <c r="N2698" s="88"/>
      <c r="O2698" s="88"/>
      <c r="P2698" s="88"/>
    </row>
    <row r="2699" spans="1:16">
      <c r="A2699" s="94">
        <v>93667</v>
      </c>
      <c r="B2699" s="87" t="s">
        <v>5819</v>
      </c>
      <c r="C2699" s="12" t="s">
        <v>4</v>
      </c>
      <c r="D2699" s="93">
        <v>64.84</v>
      </c>
      <c r="E2699" s="93">
        <v>3.09</v>
      </c>
      <c r="F2699" s="93">
        <v>61.75</v>
      </c>
      <c r="G2699" s="93">
        <v>0</v>
      </c>
      <c r="H2699" s="93">
        <v>0</v>
      </c>
      <c r="N2699" s="88"/>
      <c r="O2699" s="88"/>
      <c r="P2699" s="88"/>
    </row>
    <row r="2700" spans="1:16">
      <c r="A2700" s="94">
        <v>93668</v>
      </c>
      <c r="B2700" s="87" t="s">
        <v>5820</v>
      </c>
      <c r="C2700" s="12" t="s">
        <v>4</v>
      </c>
      <c r="D2700" s="93">
        <v>66.290000000000006</v>
      </c>
      <c r="E2700" s="93">
        <v>4.1900000000000004</v>
      </c>
      <c r="F2700" s="93">
        <v>62.1</v>
      </c>
      <c r="G2700" s="93">
        <v>0</v>
      </c>
      <c r="H2700" s="93">
        <v>0</v>
      </c>
      <c r="N2700" s="88"/>
      <c r="O2700" s="88"/>
      <c r="P2700" s="88"/>
    </row>
    <row r="2701" spans="1:16">
      <c r="A2701" s="94">
        <v>93669</v>
      </c>
      <c r="B2701" s="87" t="s">
        <v>5821</v>
      </c>
      <c r="C2701" s="12" t="s">
        <v>4</v>
      </c>
      <c r="D2701" s="93">
        <v>68.989999999999995</v>
      </c>
      <c r="E2701" s="93">
        <v>5.84</v>
      </c>
      <c r="F2701" s="93">
        <v>63.15</v>
      </c>
      <c r="G2701" s="93">
        <v>0</v>
      </c>
      <c r="H2701" s="93">
        <v>0</v>
      </c>
      <c r="N2701" s="88"/>
      <c r="O2701" s="88"/>
      <c r="P2701" s="88"/>
    </row>
    <row r="2702" spans="1:16">
      <c r="A2702" s="94">
        <v>93670</v>
      </c>
      <c r="B2702" s="87" t="s">
        <v>5822</v>
      </c>
      <c r="C2702" s="12" t="s">
        <v>4</v>
      </c>
      <c r="D2702" s="93">
        <v>68.989999999999995</v>
      </c>
      <c r="E2702" s="93">
        <v>5.84</v>
      </c>
      <c r="F2702" s="93">
        <v>63.15</v>
      </c>
      <c r="G2702" s="93">
        <v>0</v>
      </c>
      <c r="H2702" s="93">
        <v>0</v>
      </c>
      <c r="N2702" s="88"/>
      <c r="O2702" s="88"/>
      <c r="P2702" s="88"/>
    </row>
    <row r="2703" spans="1:16">
      <c r="A2703" s="94">
        <v>93671</v>
      </c>
      <c r="B2703" s="87" t="s">
        <v>5823</v>
      </c>
      <c r="C2703" s="12" t="s">
        <v>4</v>
      </c>
      <c r="D2703" s="93">
        <v>72.290000000000006</v>
      </c>
      <c r="E2703" s="93">
        <v>8.0399999999999991</v>
      </c>
      <c r="F2703" s="93">
        <v>64.25</v>
      </c>
      <c r="G2703" s="93">
        <v>0</v>
      </c>
      <c r="H2703" s="93">
        <v>0</v>
      </c>
      <c r="N2703" s="88"/>
      <c r="O2703" s="88"/>
      <c r="P2703" s="88"/>
    </row>
    <row r="2704" spans="1:16">
      <c r="A2704" s="94">
        <v>93672</v>
      </c>
      <c r="B2704" s="87" t="s">
        <v>5824</v>
      </c>
      <c r="C2704" s="12" t="s">
        <v>4</v>
      </c>
      <c r="D2704" s="93">
        <v>77.62</v>
      </c>
      <c r="E2704" s="93">
        <v>11.94</v>
      </c>
      <c r="F2704" s="93">
        <v>65.680000000000007</v>
      </c>
      <c r="G2704" s="93">
        <v>0</v>
      </c>
      <c r="H2704" s="93">
        <v>0</v>
      </c>
      <c r="N2704" s="88"/>
      <c r="O2704" s="88"/>
      <c r="P2704" s="88"/>
    </row>
    <row r="2705" spans="1:16">
      <c r="A2705" s="94">
        <v>93673</v>
      </c>
      <c r="B2705" s="87" t="s">
        <v>5825</v>
      </c>
      <c r="C2705" s="12" t="s">
        <v>4</v>
      </c>
      <c r="D2705" s="93">
        <v>84.41</v>
      </c>
      <c r="E2705" s="93">
        <v>16.71</v>
      </c>
      <c r="F2705" s="93">
        <v>67.7</v>
      </c>
      <c r="G2705" s="93">
        <v>0</v>
      </c>
      <c r="H2705" s="93">
        <v>0</v>
      </c>
      <c r="N2705" s="88"/>
      <c r="O2705" s="88"/>
      <c r="P2705" s="88"/>
    </row>
    <row r="2706" spans="1:16">
      <c r="A2706" s="94">
        <v>97359</v>
      </c>
      <c r="B2706" s="87" t="s">
        <v>5826</v>
      </c>
      <c r="C2706" s="12" t="s">
        <v>4</v>
      </c>
      <c r="D2706" s="93">
        <v>2228.6</v>
      </c>
      <c r="E2706" s="93">
        <v>107.85</v>
      </c>
      <c r="F2706" s="93">
        <v>2120.75</v>
      </c>
      <c r="G2706" s="93">
        <v>0</v>
      </c>
      <c r="H2706" s="93">
        <v>0</v>
      </c>
      <c r="N2706" s="88"/>
      <c r="O2706" s="88"/>
      <c r="P2706" s="88"/>
    </row>
    <row r="2707" spans="1:16">
      <c r="A2707" s="94">
        <v>97360</v>
      </c>
      <c r="B2707" s="87" t="s">
        <v>5827</v>
      </c>
      <c r="C2707" s="12" t="s">
        <v>4</v>
      </c>
      <c r="D2707" s="93">
        <v>4282.1400000000003</v>
      </c>
      <c r="E2707" s="93">
        <v>161.79</v>
      </c>
      <c r="F2707" s="93">
        <v>4120.3500000000004</v>
      </c>
      <c r="G2707" s="93">
        <v>0</v>
      </c>
      <c r="H2707" s="93">
        <v>0</v>
      </c>
      <c r="N2707" s="88"/>
      <c r="O2707" s="88"/>
      <c r="P2707" s="88"/>
    </row>
    <row r="2708" spans="1:16">
      <c r="A2708" s="94">
        <v>97361</v>
      </c>
      <c r="B2708" s="87" t="s">
        <v>5828</v>
      </c>
      <c r="C2708" s="12" t="s">
        <v>4</v>
      </c>
      <c r="D2708" s="93">
        <v>5709.53</v>
      </c>
      <c r="E2708" s="93">
        <v>215.71</v>
      </c>
      <c r="F2708" s="93">
        <v>5493.82</v>
      </c>
      <c r="G2708" s="93">
        <v>0</v>
      </c>
      <c r="H2708" s="93">
        <v>0</v>
      </c>
      <c r="N2708" s="88"/>
      <c r="O2708" s="88"/>
      <c r="P2708" s="88"/>
    </row>
    <row r="2709" spans="1:16">
      <c r="A2709" s="94">
        <v>97362</v>
      </c>
      <c r="B2709" s="87" t="s">
        <v>5829</v>
      </c>
      <c r="C2709" s="12" t="s">
        <v>4</v>
      </c>
      <c r="D2709" s="93">
        <v>1545.6</v>
      </c>
      <c r="E2709" s="93">
        <v>24.99</v>
      </c>
      <c r="F2709" s="93">
        <v>1520.61</v>
      </c>
      <c r="G2709" s="93">
        <v>0</v>
      </c>
      <c r="H2709" s="93">
        <v>0</v>
      </c>
      <c r="N2709" s="88"/>
      <c r="O2709" s="88"/>
      <c r="P2709" s="88"/>
    </row>
    <row r="2710" spans="1:16">
      <c r="A2710" s="94">
        <v>101875</v>
      </c>
      <c r="B2710" s="87" t="s">
        <v>5830</v>
      </c>
      <c r="C2710" s="12" t="s">
        <v>4</v>
      </c>
      <c r="D2710" s="93">
        <v>331.25</v>
      </c>
      <c r="E2710" s="93">
        <v>15.54</v>
      </c>
      <c r="F2710" s="93">
        <v>315.70999999999998</v>
      </c>
      <c r="G2710" s="93">
        <v>0</v>
      </c>
      <c r="H2710" s="93">
        <v>0</v>
      </c>
      <c r="N2710" s="88"/>
      <c r="O2710" s="88"/>
      <c r="P2710" s="88"/>
    </row>
    <row r="2711" spans="1:16">
      <c r="A2711" s="94">
        <v>101876</v>
      </c>
      <c r="B2711" s="87" t="s">
        <v>5831</v>
      </c>
      <c r="C2711" s="12" t="s">
        <v>4</v>
      </c>
      <c r="D2711" s="93">
        <v>52.66</v>
      </c>
      <c r="E2711" s="93">
        <v>10.119999999999999</v>
      </c>
      <c r="F2711" s="93">
        <v>42.54</v>
      </c>
      <c r="G2711" s="93">
        <v>0</v>
      </c>
      <c r="H2711" s="93">
        <v>0</v>
      </c>
      <c r="N2711" s="88"/>
      <c r="O2711" s="88"/>
      <c r="P2711" s="88"/>
    </row>
    <row r="2712" spans="1:16">
      <c r="A2712" s="94">
        <v>101877</v>
      </c>
      <c r="B2712" s="87" t="s">
        <v>5832</v>
      </c>
      <c r="C2712" s="12" t="s">
        <v>4</v>
      </c>
      <c r="D2712" s="93">
        <v>36.93</v>
      </c>
      <c r="E2712" s="93">
        <v>8.99</v>
      </c>
      <c r="F2712" s="93">
        <v>27.94</v>
      </c>
      <c r="G2712" s="93">
        <v>0</v>
      </c>
      <c r="H2712" s="93">
        <v>0</v>
      </c>
      <c r="N2712" s="88"/>
      <c r="O2712" s="88"/>
      <c r="P2712" s="88"/>
    </row>
    <row r="2713" spans="1:16">
      <c r="A2713" s="94">
        <v>101878</v>
      </c>
      <c r="B2713" s="87" t="s">
        <v>5833</v>
      </c>
      <c r="C2713" s="12" t="s">
        <v>4</v>
      </c>
      <c r="D2713" s="93">
        <v>456.38</v>
      </c>
      <c r="E2713" s="93">
        <v>44.88</v>
      </c>
      <c r="F2713" s="93">
        <v>411.5</v>
      </c>
      <c r="G2713" s="93">
        <v>0</v>
      </c>
      <c r="H2713" s="93">
        <v>0</v>
      </c>
      <c r="N2713" s="88"/>
      <c r="O2713" s="88"/>
      <c r="P2713" s="88"/>
    </row>
    <row r="2714" spans="1:16">
      <c r="A2714" s="94">
        <v>101879</v>
      </c>
      <c r="B2714" s="87" t="s">
        <v>5834</v>
      </c>
      <c r="C2714" s="12" t="s">
        <v>4</v>
      </c>
      <c r="D2714" s="93">
        <v>479.62</v>
      </c>
      <c r="E2714" s="93">
        <v>17.440000000000001</v>
      </c>
      <c r="F2714" s="93">
        <v>462.18</v>
      </c>
      <c r="G2714" s="93">
        <v>0</v>
      </c>
      <c r="H2714" s="93">
        <v>0</v>
      </c>
      <c r="N2714" s="88"/>
      <c r="O2714" s="88"/>
      <c r="P2714" s="88"/>
    </row>
    <row r="2715" spans="1:16">
      <c r="A2715" s="94">
        <v>101880</v>
      </c>
      <c r="B2715" s="87" t="s">
        <v>5835</v>
      </c>
      <c r="C2715" s="12" t="s">
        <v>4</v>
      </c>
      <c r="D2715" s="93">
        <v>552.25</v>
      </c>
      <c r="E2715" s="93">
        <v>20.94</v>
      </c>
      <c r="F2715" s="93">
        <v>531.30999999999995</v>
      </c>
      <c r="G2715" s="93">
        <v>0</v>
      </c>
      <c r="H2715" s="93">
        <v>0</v>
      </c>
      <c r="J2715" s="10">
        <v>1</v>
      </c>
      <c r="N2715" s="88"/>
      <c r="O2715" s="88"/>
      <c r="P2715" s="88"/>
    </row>
    <row r="2716" spans="1:16">
      <c r="A2716" s="94">
        <v>101881</v>
      </c>
      <c r="B2716" s="87" t="s">
        <v>5836</v>
      </c>
      <c r="C2716" s="12" t="s">
        <v>4</v>
      </c>
      <c r="D2716" s="93">
        <v>794.2</v>
      </c>
      <c r="E2716" s="93">
        <v>21.04</v>
      </c>
      <c r="F2716" s="93">
        <v>773.16</v>
      </c>
      <c r="G2716" s="93">
        <v>0</v>
      </c>
      <c r="H2716" s="93">
        <v>0</v>
      </c>
      <c r="N2716" s="88"/>
      <c r="O2716" s="88"/>
      <c r="P2716" s="88"/>
    </row>
    <row r="2717" spans="1:16">
      <c r="A2717" s="94">
        <v>101882</v>
      </c>
      <c r="B2717" s="87" t="s">
        <v>5837</v>
      </c>
      <c r="C2717" s="12" t="s">
        <v>4</v>
      </c>
      <c r="D2717" s="93">
        <v>1127.68</v>
      </c>
      <c r="E2717" s="93">
        <v>20.97</v>
      </c>
      <c r="F2717" s="93">
        <v>1106.71</v>
      </c>
      <c r="G2717" s="93">
        <v>0</v>
      </c>
      <c r="H2717" s="93">
        <v>0</v>
      </c>
      <c r="N2717" s="88"/>
      <c r="O2717" s="88"/>
      <c r="P2717" s="88"/>
    </row>
    <row r="2718" spans="1:16">
      <c r="A2718" s="94">
        <v>101883</v>
      </c>
      <c r="B2718" s="87" t="s">
        <v>5838</v>
      </c>
      <c r="C2718" s="12" t="s">
        <v>4</v>
      </c>
      <c r="D2718" s="93">
        <v>457.19</v>
      </c>
      <c r="E2718" s="93">
        <v>17.3</v>
      </c>
      <c r="F2718" s="93">
        <v>439.89</v>
      </c>
      <c r="G2718" s="93">
        <v>0</v>
      </c>
      <c r="H2718" s="93">
        <v>0</v>
      </c>
      <c r="N2718" s="88"/>
      <c r="O2718" s="88"/>
      <c r="P2718" s="88"/>
    </row>
    <row r="2719" spans="1:16">
      <c r="A2719" s="94">
        <v>101890</v>
      </c>
      <c r="B2719" s="87" t="s">
        <v>5839</v>
      </c>
      <c r="C2719" s="12" t="s">
        <v>4</v>
      </c>
      <c r="D2719" s="93">
        <v>14.19</v>
      </c>
      <c r="E2719" s="93">
        <v>1.93</v>
      </c>
      <c r="F2719" s="93">
        <v>12.26</v>
      </c>
      <c r="G2719" s="93">
        <v>0</v>
      </c>
      <c r="H2719" s="93">
        <v>0</v>
      </c>
      <c r="N2719" s="88"/>
      <c r="O2719" s="88"/>
      <c r="P2719" s="88"/>
    </row>
    <row r="2720" spans="1:16">
      <c r="A2720" s="94">
        <v>101891</v>
      </c>
      <c r="B2720" s="87" t="s">
        <v>5840</v>
      </c>
      <c r="C2720" s="12" t="s">
        <v>4</v>
      </c>
      <c r="D2720" s="93">
        <v>24.44</v>
      </c>
      <c r="E2720" s="93">
        <v>3.97</v>
      </c>
      <c r="F2720" s="93">
        <v>20.47</v>
      </c>
      <c r="G2720" s="93">
        <v>0</v>
      </c>
      <c r="H2720" s="93">
        <v>0</v>
      </c>
      <c r="N2720" s="88"/>
      <c r="O2720" s="88"/>
      <c r="P2720" s="88"/>
    </row>
    <row r="2721" spans="1:16">
      <c r="A2721" s="94">
        <v>101892</v>
      </c>
      <c r="B2721" s="87" t="s">
        <v>5841</v>
      </c>
      <c r="C2721" s="12" t="s">
        <v>4</v>
      </c>
      <c r="D2721" s="93">
        <v>65.25</v>
      </c>
      <c r="E2721" s="93">
        <v>3.89</v>
      </c>
      <c r="F2721" s="93">
        <v>61.36</v>
      </c>
      <c r="G2721" s="93">
        <v>0</v>
      </c>
      <c r="H2721" s="93">
        <v>0</v>
      </c>
      <c r="N2721" s="88"/>
      <c r="O2721" s="88"/>
      <c r="P2721" s="88"/>
    </row>
    <row r="2722" spans="1:16">
      <c r="A2722" s="94">
        <v>101893</v>
      </c>
      <c r="B2722" s="87" t="s">
        <v>5842</v>
      </c>
      <c r="C2722" s="12" t="s">
        <v>4</v>
      </c>
      <c r="D2722" s="93">
        <v>83.06</v>
      </c>
      <c r="E2722" s="93">
        <v>5.84</v>
      </c>
      <c r="F2722" s="93">
        <v>77.22</v>
      </c>
      <c r="G2722" s="93">
        <v>0</v>
      </c>
      <c r="H2722" s="93">
        <v>0</v>
      </c>
      <c r="N2722" s="88"/>
      <c r="O2722" s="88"/>
      <c r="P2722" s="88"/>
    </row>
    <row r="2723" spans="1:16">
      <c r="A2723" s="94">
        <v>101894</v>
      </c>
      <c r="B2723" s="87" t="s">
        <v>5843</v>
      </c>
      <c r="C2723" s="12" t="s">
        <v>4</v>
      </c>
      <c r="D2723" s="93">
        <v>138</v>
      </c>
      <c r="E2723" s="93">
        <v>23.06</v>
      </c>
      <c r="F2723" s="93">
        <v>114.94</v>
      </c>
      <c r="G2723" s="93">
        <v>0</v>
      </c>
      <c r="H2723" s="93">
        <v>0</v>
      </c>
      <c r="N2723" s="88"/>
      <c r="O2723" s="88"/>
      <c r="P2723" s="88"/>
    </row>
    <row r="2724" spans="1:16">
      <c r="A2724" s="94">
        <v>101895</v>
      </c>
      <c r="B2724" s="87" t="s">
        <v>5844</v>
      </c>
      <c r="C2724" s="12" t="s">
        <v>4</v>
      </c>
      <c r="D2724" s="93">
        <v>382.68</v>
      </c>
      <c r="E2724" s="93">
        <v>38.979999999999997</v>
      </c>
      <c r="F2724" s="93">
        <v>343.7</v>
      </c>
      <c r="G2724" s="93">
        <v>0</v>
      </c>
      <c r="H2724" s="93">
        <v>0</v>
      </c>
      <c r="N2724" s="88"/>
      <c r="O2724" s="88"/>
      <c r="P2724" s="88"/>
    </row>
    <row r="2725" spans="1:16">
      <c r="A2725" s="94">
        <v>101896</v>
      </c>
      <c r="B2725" s="87" t="s">
        <v>5845</v>
      </c>
      <c r="C2725" s="12" t="s">
        <v>4</v>
      </c>
      <c r="D2725" s="93">
        <v>578.47</v>
      </c>
      <c r="E2725" s="93">
        <v>38.979999999999997</v>
      </c>
      <c r="F2725" s="93">
        <v>539.49</v>
      </c>
      <c r="G2725" s="93">
        <v>0</v>
      </c>
      <c r="H2725" s="93">
        <v>0</v>
      </c>
      <c r="N2725" s="88"/>
      <c r="O2725" s="88"/>
      <c r="P2725" s="88"/>
    </row>
    <row r="2726" spans="1:16">
      <c r="A2726" s="94">
        <v>101897</v>
      </c>
      <c r="B2726" s="87" t="s">
        <v>5846</v>
      </c>
      <c r="C2726" s="12" t="s">
        <v>4</v>
      </c>
      <c r="D2726" s="93">
        <v>930.48</v>
      </c>
      <c r="E2726" s="93">
        <v>38.979999999999997</v>
      </c>
      <c r="F2726" s="93">
        <v>891.5</v>
      </c>
      <c r="G2726" s="93">
        <v>0</v>
      </c>
      <c r="H2726" s="93">
        <v>0</v>
      </c>
      <c r="N2726" s="88"/>
      <c r="O2726" s="88"/>
      <c r="P2726" s="88"/>
    </row>
    <row r="2727" spans="1:16">
      <c r="A2727" s="94">
        <v>101898</v>
      </c>
      <c r="B2727" s="87" t="s">
        <v>5847</v>
      </c>
      <c r="C2727" s="12" t="s">
        <v>4</v>
      </c>
      <c r="D2727" s="93">
        <v>1251.6500000000001</v>
      </c>
      <c r="E2727" s="93">
        <v>38.979999999999997</v>
      </c>
      <c r="F2727" s="93">
        <v>1212.67</v>
      </c>
      <c r="G2727" s="93">
        <v>0</v>
      </c>
      <c r="H2727" s="93">
        <v>0</v>
      </c>
      <c r="N2727" s="88"/>
      <c r="O2727" s="88"/>
      <c r="P2727" s="88"/>
    </row>
    <row r="2728" spans="1:16">
      <c r="A2728" s="94">
        <v>101899</v>
      </c>
      <c r="B2728" s="87" t="s">
        <v>5848</v>
      </c>
      <c r="C2728" s="12" t="s">
        <v>4</v>
      </c>
      <c r="D2728" s="93">
        <v>2015.58</v>
      </c>
      <c r="E2728" s="93">
        <v>38.979999999999997</v>
      </c>
      <c r="F2728" s="93">
        <v>1976.6</v>
      </c>
      <c r="G2728" s="93">
        <v>0</v>
      </c>
      <c r="H2728" s="93">
        <v>0</v>
      </c>
      <c r="N2728" s="88"/>
      <c r="O2728" s="88"/>
      <c r="P2728" s="88"/>
    </row>
    <row r="2729" spans="1:16">
      <c r="A2729" s="94">
        <v>101900</v>
      </c>
      <c r="B2729" s="87" t="s">
        <v>5849</v>
      </c>
      <c r="C2729" s="12" t="s">
        <v>4</v>
      </c>
      <c r="D2729" s="93">
        <v>4228.25</v>
      </c>
      <c r="E2729" s="93">
        <v>38.979999999999997</v>
      </c>
      <c r="F2729" s="93">
        <v>4189.2700000000004</v>
      </c>
      <c r="G2729" s="93">
        <v>0</v>
      </c>
      <c r="H2729" s="93">
        <v>0</v>
      </c>
      <c r="N2729" s="88"/>
      <c r="O2729" s="88"/>
      <c r="P2729" s="88"/>
    </row>
    <row r="2730" spans="1:16">
      <c r="A2730" s="94">
        <v>101901</v>
      </c>
      <c r="B2730" s="87" t="s">
        <v>5850</v>
      </c>
      <c r="C2730" s="12" t="s">
        <v>4</v>
      </c>
      <c r="D2730" s="93">
        <v>122.68</v>
      </c>
      <c r="E2730" s="93">
        <v>4.1900000000000004</v>
      </c>
      <c r="F2730" s="93">
        <v>118.49</v>
      </c>
      <c r="G2730" s="93">
        <v>0</v>
      </c>
      <c r="H2730" s="93">
        <v>0</v>
      </c>
      <c r="N2730" s="88"/>
      <c r="O2730" s="88"/>
      <c r="P2730" s="88"/>
    </row>
    <row r="2731" spans="1:16">
      <c r="A2731" s="94">
        <v>101902</v>
      </c>
      <c r="B2731" s="87" t="s">
        <v>5851</v>
      </c>
      <c r="C2731" s="12" t="s">
        <v>4</v>
      </c>
      <c r="D2731" s="93">
        <v>151.5</v>
      </c>
      <c r="E2731" s="93">
        <v>5.84</v>
      </c>
      <c r="F2731" s="93">
        <v>145.66</v>
      </c>
      <c r="G2731" s="93">
        <v>0</v>
      </c>
      <c r="H2731" s="93">
        <v>0</v>
      </c>
      <c r="N2731" s="88"/>
      <c r="O2731" s="88"/>
      <c r="P2731" s="88"/>
    </row>
    <row r="2732" spans="1:16">
      <c r="A2732" s="94">
        <v>101903</v>
      </c>
      <c r="B2732" s="87" t="s">
        <v>5852</v>
      </c>
      <c r="C2732" s="12" t="s">
        <v>4</v>
      </c>
      <c r="D2732" s="93">
        <v>316.83</v>
      </c>
      <c r="E2732" s="93">
        <v>11.93</v>
      </c>
      <c r="F2732" s="93">
        <v>304.89999999999998</v>
      </c>
      <c r="G2732" s="93">
        <v>0</v>
      </c>
      <c r="H2732" s="93">
        <v>0</v>
      </c>
      <c r="N2732" s="88"/>
      <c r="O2732" s="88"/>
      <c r="P2732" s="88"/>
    </row>
    <row r="2733" spans="1:16">
      <c r="A2733" s="94">
        <v>101904</v>
      </c>
      <c r="B2733" s="87" t="s">
        <v>5853</v>
      </c>
      <c r="C2733" s="12" t="s">
        <v>4</v>
      </c>
      <c r="D2733" s="93">
        <v>1169.6199999999999</v>
      </c>
      <c r="E2733" s="93">
        <v>23.05</v>
      </c>
      <c r="F2733" s="93">
        <v>1146.57</v>
      </c>
      <c r="G2733" s="93">
        <v>0</v>
      </c>
      <c r="H2733" s="93">
        <v>0</v>
      </c>
      <c r="N2733" s="88"/>
      <c r="O2733" s="88"/>
      <c r="P2733" s="88"/>
    </row>
    <row r="2734" spans="1:16">
      <c r="A2734" s="94">
        <v>101938</v>
      </c>
      <c r="B2734" s="87" t="s">
        <v>5854</v>
      </c>
      <c r="C2734" s="12" t="s">
        <v>4</v>
      </c>
      <c r="D2734" s="93">
        <v>70.63</v>
      </c>
      <c r="E2734" s="93">
        <v>12.65</v>
      </c>
      <c r="F2734" s="93">
        <v>57.98</v>
      </c>
      <c r="G2734" s="93">
        <v>0</v>
      </c>
      <c r="H2734" s="93">
        <v>0</v>
      </c>
      <c r="N2734" s="88"/>
      <c r="O2734" s="88"/>
      <c r="P2734" s="88"/>
    </row>
    <row r="2735" spans="1:16">
      <c r="A2735" s="94">
        <v>101946</v>
      </c>
      <c r="B2735" s="87" t="s">
        <v>5855</v>
      </c>
      <c r="C2735" s="12" t="s">
        <v>4</v>
      </c>
      <c r="D2735" s="93">
        <v>110.35</v>
      </c>
      <c r="E2735" s="93">
        <v>44.91</v>
      </c>
      <c r="F2735" s="93">
        <v>65.44</v>
      </c>
      <c r="G2735" s="93">
        <v>0</v>
      </c>
      <c r="H2735" s="93">
        <v>0</v>
      </c>
      <c r="N2735" s="88"/>
      <c r="O2735" s="88"/>
      <c r="P2735" s="88"/>
    </row>
    <row r="2736" spans="1:16">
      <c r="A2736" s="94">
        <v>91945</v>
      </c>
      <c r="B2736" s="87" t="s">
        <v>241</v>
      </c>
      <c r="C2736" s="12" t="s">
        <v>4</v>
      </c>
      <c r="D2736" s="93">
        <v>6.66</v>
      </c>
      <c r="E2736" s="93">
        <v>3.15</v>
      </c>
      <c r="F2736" s="93">
        <v>3.51</v>
      </c>
      <c r="G2736" s="93">
        <v>0</v>
      </c>
      <c r="H2736" s="93">
        <v>0</v>
      </c>
      <c r="N2736" s="88"/>
      <c r="O2736" s="88"/>
      <c r="P2736" s="88"/>
    </row>
    <row r="2737" spans="1:16">
      <c r="A2737" s="94">
        <v>91946</v>
      </c>
      <c r="B2737" s="87" t="s">
        <v>242</v>
      </c>
      <c r="C2737" s="12" t="s">
        <v>4</v>
      </c>
      <c r="D2737" s="93">
        <v>5.39</v>
      </c>
      <c r="E2737" s="93">
        <v>2.15</v>
      </c>
      <c r="F2737" s="93">
        <v>3.24</v>
      </c>
      <c r="G2737" s="93">
        <v>0</v>
      </c>
      <c r="H2737" s="93">
        <v>0</v>
      </c>
      <c r="N2737" s="88"/>
      <c r="O2737" s="88"/>
      <c r="P2737" s="88"/>
    </row>
    <row r="2738" spans="1:16">
      <c r="A2738" s="94">
        <v>91947</v>
      </c>
      <c r="B2738" s="87" t="s">
        <v>243</v>
      </c>
      <c r="C2738" s="12" t="s">
        <v>4</v>
      </c>
      <c r="D2738" s="93">
        <v>4.5999999999999996</v>
      </c>
      <c r="E2738" s="93">
        <v>1.51</v>
      </c>
      <c r="F2738" s="93">
        <v>3.09</v>
      </c>
      <c r="G2738" s="93">
        <v>0</v>
      </c>
      <c r="H2738" s="93">
        <v>0</v>
      </c>
      <c r="N2738" s="88"/>
      <c r="O2738" s="88"/>
      <c r="P2738" s="88"/>
    </row>
    <row r="2739" spans="1:16">
      <c r="A2739" s="94">
        <v>91949</v>
      </c>
      <c r="B2739" s="87" t="s">
        <v>244</v>
      </c>
      <c r="C2739" s="12" t="s">
        <v>4</v>
      </c>
      <c r="D2739" s="93">
        <v>9.81</v>
      </c>
      <c r="E2739" s="93">
        <v>3.74</v>
      </c>
      <c r="F2739" s="93">
        <v>6.07</v>
      </c>
      <c r="G2739" s="93">
        <v>0</v>
      </c>
      <c r="H2739" s="93">
        <v>0</v>
      </c>
      <c r="N2739" s="88"/>
      <c r="O2739" s="88"/>
      <c r="P2739" s="88"/>
    </row>
    <row r="2740" spans="1:16">
      <c r="A2740" s="94">
        <v>91950</v>
      </c>
      <c r="B2740" s="87" t="s">
        <v>245</v>
      </c>
      <c r="C2740" s="12" t="s">
        <v>4</v>
      </c>
      <c r="D2740" s="93">
        <v>8.2799999999999994</v>
      </c>
      <c r="E2740" s="93">
        <v>2.52</v>
      </c>
      <c r="F2740" s="93">
        <v>5.76</v>
      </c>
      <c r="G2740" s="93">
        <v>0</v>
      </c>
      <c r="H2740" s="93">
        <v>0</v>
      </c>
      <c r="N2740" s="88"/>
      <c r="O2740" s="88"/>
      <c r="P2740" s="88"/>
    </row>
    <row r="2741" spans="1:16">
      <c r="A2741" s="94">
        <v>91951</v>
      </c>
      <c r="B2741" s="87" t="s">
        <v>246</v>
      </c>
      <c r="C2741" s="12" t="s">
        <v>4</v>
      </c>
      <c r="D2741" s="93">
        <v>7.36</v>
      </c>
      <c r="E2741" s="93">
        <v>1.79</v>
      </c>
      <c r="F2741" s="93">
        <v>5.57</v>
      </c>
      <c r="G2741" s="93">
        <v>0</v>
      </c>
      <c r="H2741" s="93">
        <v>0</v>
      </c>
      <c r="N2741" s="88"/>
      <c r="O2741" s="88"/>
      <c r="P2741" s="88"/>
    </row>
    <row r="2742" spans="1:16">
      <c r="A2742" s="94">
        <v>91952</v>
      </c>
      <c r="B2742" s="87" t="s">
        <v>2503</v>
      </c>
      <c r="C2742" s="12" t="s">
        <v>4</v>
      </c>
      <c r="D2742" s="93">
        <v>12.85</v>
      </c>
      <c r="E2742" s="93">
        <v>6.65</v>
      </c>
      <c r="F2742" s="93">
        <v>6.2</v>
      </c>
      <c r="G2742" s="93">
        <v>0</v>
      </c>
      <c r="H2742" s="93">
        <v>0</v>
      </c>
      <c r="N2742" s="88"/>
      <c r="O2742" s="88"/>
      <c r="P2742" s="88"/>
    </row>
    <row r="2743" spans="1:16">
      <c r="A2743" s="94">
        <v>91953</v>
      </c>
      <c r="B2743" s="87" t="s">
        <v>247</v>
      </c>
      <c r="C2743" s="12" t="s">
        <v>4</v>
      </c>
      <c r="D2743" s="93">
        <v>18.239999999999998</v>
      </c>
      <c r="E2743" s="93">
        <v>8.7899999999999991</v>
      </c>
      <c r="F2743" s="93">
        <v>9.4499999999999993</v>
      </c>
      <c r="G2743" s="93">
        <v>0</v>
      </c>
      <c r="H2743" s="93">
        <v>0</v>
      </c>
      <c r="N2743" s="88"/>
      <c r="O2743" s="88"/>
      <c r="P2743" s="88"/>
    </row>
    <row r="2744" spans="1:16">
      <c r="A2744" s="94">
        <v>91954</v>
      </c>
      <c r="B2744" s="87" t="s">
        <v>2504</v>
      </c>
      <c r="C2744" s="12" t="s">
        <v>4</v>
      </c>
      <c r="D2744" s="93">
        <v>17.32</v>
      </c>
      <c r="E2744" s="93">
        <v>9.1</v>
      </c>
      <c r="F2744" s="93">
        <v>8.2200000000000006</v>
      </c>
      <c r="G2744" s="93">
        <v>0</v>
      </c>
      <c r="H2744" s="93">
        <v>0</v>
      </c>
      <c r="N2744" s="88"/>
      <c r="O2744" s="88"/>
      <c r="P2744" s="88"/>
    </row>
    <row r="2745" spans="1:16">
      <c r="A2745" s="94">
        <v>91955</v>
      </c>
      <c r="B2745" s="87" t="s">
        <v>248</v>
      </c>
      <c r="C2745" s="12" t="s">
        <v>4</v>
      </c>
      <c r="D2745" s="93">
        <v>22.71</v>
      </c>
      <c r="E2745" s="93">
        <v>11.24</v>
      </c>
      <c r="F2745" s="93">
        <v>11.47</v>
      </c>
      <c r="G2745" s="93">
        <v>0</v>
      </c>
      <c r="H2745" s="93">
        <v>0</v>
      </c>
      <c r="N2745" s="88"/>
      <c r="O2745" s="88"/>
      <c r="P2745" s="88"/>
    </row>
    <row r="2746" spans="1:16">
      <c r="A2746" s="94">
        <v>91956</v>
      </c>
      <c r="B2746" s="87" t="s">
        <v>2505</v>
      </c>
      <c r="C2746" s="12" t="s">
        <v>4</v>
      </c>
      <c r="D2746" s="93">
        <v>27.83</v>
      </c>
      <c r="E2746" s="93">
        <v>13.95</v>
      </c>
      <c r="F2746" s="93">
        <v>13.88</v>
      </c>
      <c r="G2746" s="93">
        <v>0</v>
      </c>
      <c r="H2746" s="93">
        <v>0</v>
      </c>
      <c r="N2746" s="88"/>
      <c r="O2746" s="88"/>
      <c r="P2746" s="88"/>
    </row>
    <row r="2747" spans="1:16">
      <c r="A2747" s="94">
        <v>91957</v>
      </c>
      <c r="B2747" s="87" t="s">
        <v>2506</v>
      </c>
      <c r="C2747" s="12" t="s">
        <v>4</v>
      </c>
      <c r="D2747" s="93">
        <v>33.22</v>
      </c>
      <c r="E2747" s="93">
        <v>16.09</v>
      </c>
      <c r="F2747" s="93">
        <v>17.13</v>
      </c>
      <c r="G2747" s="93">
        <v>0</v>
      </c>
      <c r="H2747" s="93">
        <v>0</v>
      </c>
      <c r="N2747" s="88"/>
      <c r="O2747" s="88"/>
      <c r="P2747" s="88"/>
    </row>
    <row r="2748" spans="1:16">
      <c r="A2748" s="94">
        <v>91958</v>
      </c>
      <c r="B2748" s="87" t="s">
        <v>2507</v>
      </c>
      <c r="C2748" s="12" t="s">
        <v>4</v>
      </c>
      <c r="D2748" s="93">
        <v>23.39</v>
      </c>
      <c r="E2748" s="93">
        <v>11.5</v>
      </c>
      <c r="F2748" s="93">
        <v>11.89</v>
      </c>
      <c r="G2748" s="93">
        <v>0</v>
      </c>
      <c r="H2748" s="93">
        <v>0</v>
      </c>
      <c r="N2748" s="88"/>
      <c r="O2748" s="88"/>
      <c r="P2748" s="88"/>
    </row>
    <row r="2749" spans="1:16">
      <c r="A2749" s="94">
        <v>91959</v>
      </c>
      <c r="B2749" s="87" t="s">
        <v>249</v>
      </c>
      <c r="C2749" s="12" t="s">
        <v>4</v>
      </c>
      <c r="D2749" s="93">
        <v>28.78</v>
      </c>
      <c r="E2749" s="93">
        <v>13.65</v>
      </c>
      <c r="F2749" s="93">
        <v>15.13</v>
      </c>
      <c r="G2749" s="93">
        <v>0</v>
      </c>
      <c r="H2749" s="93">
        <v>0</v>
      </c>
      <c r="N2749" s="88"/>
      <c r="O2749" s="88"/>
      <c r="P2749" s="88"/>
    </row>
    <row r="2750" spans="1:16">
      <c r="A2750" s="94">
        <v>91960</v>
      </c>
      <c r="B2750" s="87" t="s">
        <v>250</v>
      </c>
      <c r="C2750" s="12" t="s">
        <v>4</v>
      </c>
      <c r="D2750" s="93">
        <v>32.29</v>
      </c>
      <c r="E2750" s="93">
        <v>16.38</v>
      </c>
      <c r="F2750" s="93">
        <v>15.91</v>
      </c>
      <c r="G2750" s="93">
        <v>0</v>
      </c>
      <c r="H2750" s="93">
        <v>0</v>
      </c>
      <c r="N2750" s="88"/>
      <c r="O2750" s="88"/>
      <c r="P2750" s="88"/>
    </row>
    <row r="2751" spans="1:16">
      <c r="A2751" s="94">
        <v>91961</v>
      </c>
      <c r="B2751" s="87" t="s">
        <v>251</v>
      </c>
      <c r="C2751" s="12" t="s">
        <v>4</v>
      </c>
      <c r="D2751" s="93">
        <v>37.68</v>
      </c>
      <c r="E2751" s="93">
        <v>18.52</v>
      </c>
      <c r="F2751" s="93">
        <v>19.16</v>
      </c>
      <c r="G2751" s="93">
        <v>0</v>
      </c>
      <c r="H2751" s="93">
        <v>0</v>
      </c>
      <c r="N2751" s="88"/>
      <c r="O2751" s="88"/>
      <c r="P2751" s="88"/>
    </row>
    <row r="2752" spans="1:16">
      <c r="A2752" s="94">
        <v>91962</v>
      </c>
      <c r="B2752" s="87" t="s">
        <v>2508</v>
      </c>
      <c r="C2752" s="12" t="s">
        <v>4</v>
      </c>
      <c r="D2752" s="93">
        <v>42.84</v>
      </c>
      <c r="E2752" s="93">
        <v>21.23</v>
      </c>
      <c r="F2752" s="93">
        <v>21.61</v>
      </c>
      <c r="G2752" s="93">
        <v>0</v>
      </c>
      <c r="H2752" s="93">
        <v>0</v>
      </c>
      <c r="N2752" s="88"/>
      <c r="O2752" s="88"/>
      <c r="P2752" s="88"/>
    </row>
    <row r="2753" spans="1:16">
      <c r="A2753" s="94">
        <v>91963</v>
      </c>
      <c r="B2753" s="87" t="s">
        <v>2509</v>
      </c>
      <c r="C2753" s="12" t="s">
        <v>4</v>
      </c>
      <c r="D2753" s="93">
        <v>48.23</v>
      </c>
      <c r="E2753" s="93">
        <v>23.38</v>
      </c>
      <c r="F2753" s="93">
        <v>24.85</v>
      </c>
      <c r="G2753" s="93">
        <v>0</v>
      </c>
      <c r="H2753" s="93">
        <v>0</v>
      </c>
      <c r="N2753" s="88"/>
      <c r="O2753" s="88"/>
      <c r="P2753" s="88"/>
    </row>
    <row r="2754" spans="1:16">
      <c r="A2754" s="94">
        <v>91964</v>
      </c>
      <c r="B2754" s="87" t="s">
        <v>2510</v>
      </c>
      <c r="C2754" s="12" t="s">
        <v>4</v>
      </c>
      <c r="D2754" s="93">
        <v>38.369999999999997</v>
      </c>
      <c r="E2754" s="93">
        <v>18.78</v>
      </c>
      <c r="F2754" s="93">
        <v>19.59</v>
      </c>
      <c r="G2754" s="93">
        <v>0</v>
      </c>
      <c r="H2754" s="93">
        <v>0</v>
      </c>
      <c r="N2754" s="88"/>
      <c r="O2754" s="88"/>
      <c r="P2754" s="88"/>
    </row>
    <row r="2755" spans="1:16">
      <c r="A2755" s="94">
        <v>91965</v>
      </c>
      <c r="B2755" s="87" t="s">
        <v>2511</v>
      </c>
      <c r="C2755" s="12" t="s">
        <v>4</v>
      </c>
      <c r="D2755" s="93">
        <v>43.76</v>
      </c>
      <c r="E2755" s="93">
        <v>20.93</v>
      </c>
      <c r="F2755" s="93">
        <v>22.83</v>
      </c>
      <c r="G2755" s="93">
        <v>0</v>
      </c>
      <c r="H2755" s="93">
        <v>0</v>
      </c>
      <c r="N2755" s="88"/>
      <c r="O2755" s="88"/>
      <c r="P2755" s="88"/>
    </row>
    <row r="2756" spans="1:16">
      <c r="A2756" s="94">
        <v>91966</v>
      </c>
      <c r="B2756" s="87" t="s">
        <v>2512</v>
      </c>
      <c r="C2756" s="12" t="s">
        <v>4</v>
      </c>
      <c r="D2756" s="93">
        <v>33.94</v>
      </c>
      <c r="E2756" s="93">
        <v>16.37</v>
      </c>
      <c r="F2756" s="93">
        <v>17.57</v>
      </c>
      <c r="G2756" s="93">
        <v>0</v>
      </c>
      <c r="H2756" s="93">
        <v>0</v>
      </c>
      <c r="N2756" s="88"/>
      <c r="O2756" s="88"/>
      <c r="P2756" s="88"/>
    </row>
    <row r="2757" spans="1:16">
      <c r="A2757" s="94">
        <v>91967</v>
      </c>
      <c r="B2757" s="87" t="s">
        <v>252</v>
      </c>
      <c r="C2757" s="12" t="s">
        <v>4</v>
      </c>
      <c r="D2757" s="93">
        <v>39.33</v>
      </c>
      <c r="E2757" s="93">
        <v>18.52</v>
      </c>
      <c r="F2757" s="93">
        <v>20.81</v>
      </c>
      <c r="G2757" s="93">
        <v>0</v>
      </c>
      <c r="H2757" s="93">
        <v>0</v>
      </c>
      <c r="N2757" s="88"/>
      <c r="O2757" s="88"/>
      <c r="P2757" s="88"/>
    </row>
    <row r="2758" spans="1:16">
      <c r="A2758" s="94">
        <v>91968</v>
      </c>
      <c r="B2758" s="87" t="s">
        <v>253</v>
      </c>
      <c r="C2758" s="12" t="s">
        <v>4</v>
      </c>
      <c r="D2758" s="93">
        <v>47.26</v>
      </c>
      <c r="E2758" s="93">
        <v>23.67</v>
      </c>
      <c r="F2758" s="93">
        <v>23.59</v>
      </c>
      <c r="G2758" s="93">
        <v>0</v>
      </c>
      <c r="H2758" s="93">
        <v>0</v>
      </c>
      <c r="N2758" s="88"/>
      <c r="O2758" s="88"/>
      <c r="P2758" s="88"/>
    </row>
    <row r="2759" spans="1:16">
      <c r="A2759" s="94">
        <v>91969</v>
      </c>
      <c r="B2759" s="87" t="s">
        <v>254</v>
      </c>
      <c r="C2759" s="12" t="s">
        <v>4</v>
      </c>
      <c r="D2759" s="93">
        <v>52.65</v>
      </c>
      <c r="E2759" s="93">
        <v>25.81</v>
      </c>
      <c r="F2759" s="93">
        <v>26.84</v>
      </c>
      <c r="G2759" s="93">
        <v>0</v>
      </c>
      <c r="H2759" s="93">
        <v>0</v>
      </c>
      <c r="N2759" s="88"/>
      <c r="O2759" s="88"/>
      <c r="P2759" s="88"/>
    </row>
    <row r="2760" spans="1:16">
      <c r="A2760" s="94">
        <v>91970</v>
      </c>
      <c r="B2760" s="87" t="s">
        <v>2513</v>
      </c>
      <c r="C2760" s="12" t="s">
        <v>4</v>
      </c>
      <c r="D2760" s="93">
        <v>49.18</v>
      </c>
      <c r="E2760" s="93">
        <v>23.84</v>
      </c>
      <c r="F2760" s="93">
        <v>25.34</v>
      </c>
      <c r="G2760" s="93">
        <v>0</v>
      </c>
      <c r="H2760" s="93">
        <v>0</v>
      </c>
      <c r="N2760" s="88"/>
      <c r="O2760" s="88"/>
      <c r="P2760" s="88"/>
    </row>
    <row r="2761" spans="1:16">
      <c r="A2761" s="94">
        <v>91971</v>
      </c>
      <c r="B2761" s="87" t="s">
        <v>2514</v>
      </c>
      <c r="C2761" s="12" t="s">
        <v>4</v>
      </c>
      <c r="D2761" s="93">
        <v>57.46</v>
      </c>
      <c r="E2761" s="93">
        <v>26.38</v>
      </c>
      <c r="F2761" s="93">
        <v>31.08</v>
      </c>
      <c r="G2761" s="93">
        <v>0</v>
      </c>
      <c r="H2761" s="93">
        <v>0</v>
      </c>
      <c r="N2761" s="88"/>
      <c r="O2761" s="88"/>
      <c r="P2761" s="88"/>
    </row>
    <row r="2762" spans="1:16">
      <c r="A2762" s="94">
        <v>91972</v>
      </c>
      <c r="B2762" s="87" t="s">
        <v>2515</v>
      </c>
      <c r="C2762" s="12" t="s">
        <v>4</v>
      </c>
      <c r="D2762" s="93">
        <v>53.65</v>
      </c>
      <c r="E2762" s="93">
        <v>26.28</v>
      </c>
      <c r="F2762" s="93">
        <v>27.37</v>
      </c>
      <c r="G2762" s="93">
        <v>0</v>
      </c>
      <c r="H2762" s="93">
        <v>0</v>
      </c>
      <c r="N2762" s="88"/>
      <c r="O2762" s="88"/>
      <c r="P2762" s="88"/>
    </row>
    <row r="2763" spans="1:16">
      <c r="A2763" s="94">
        <v>91973</v>
      </c>
      <c r="B2763" s="87" t="s">
        <v>2516</v>
      </c>
      <c r="C2763" s="12" t="s">
        <v>4</v>
      </c>
      <c r="D2763" s="93">
        <v>61.93</v>
      </c>
      <c r="E2763" s="93">
        <v>28.82</v>
      </c>
      <c r="F2763" s="93">
        <v>33.11</v>
      </c>
      <c r="G2763" s="93">
        <v>0</v>
      </c>
      <c r="H2763" s="93">
        <v>0</v>
      </c>
      <c r="N2763" s="88"/>
      <c r="O2763" s="88"/>
      <c r="P2763" s="88"/>
    </row>
    <row r="2764" spans="1:16">
      <c r="A2764" s="94">
        <v>91974</v>
      </c>
      <c r="B2764" s="87" t="s">
        <v>2517</v>
      </c>
      <c r="C2764" s="12" t="s">
        <v>4</v>
      </c>
      <c r="D2764" s="93">
        <v>44.72</v>
      </c>
      <c r="E2764" s="93">
        <v>21.4</v>
      </c>
      <c r="F2764" s="93">
        <v>23.32</v>
      </c>
      <c r="G2764" s="93">
        <v>0</v>
      </c>
      <c r="H2764" s="93">
        <v>0</v>
      </c>
      <c r="N2764" s="88"/>
      <c r="O2764" s="88"/>
      <c r="P2764" s="88"/>
    </row>
    <row r="2765" spans="1:16">
      <c r="A2765" s="94">
        <v>91975</v>
      </c>
      <c r="B2765" s="87" t="s">
        <v>255</v>
      </c>
      <c r="C2765" s="12" t="s">
        <v>4</v>
      </c>
      <c r="D2765" s="93">
        <v>53</v>
      </c>
      <c r="E2765" s="93">
        <v>23.93</v>
      </c>
      <c r="F2765" s="93">
        <v>29.07</v>
      </c>
      <c r="G2765" s="93">
        <v>0</v>
      </c>
      <c r="H2765" s="93">
        <v>0</v>
      </c>
      <c r="N2765" s="88"/>
      <c r="O2765" s="88"/>
      <c r="P2765" s="88"/>
    </row>
    <row r="2766" spans="1:16">
      <c r="A2766" s="94">
        <v>91976</v>
      </c>
      <c r="B2766" s="87" t="s">
        <v>2518</v>
      </c>
      <c r="C2766" s="12" t="s">
        <v>4</v>
      </c>
      <c r="D2766" s="93">
        <v>65.88</v>
      </c>
      <c r="E2766" s="93">
        <v>31.18</v>
      </c>
      <c r="F2766" s="93">
        <v>34.700000000000003</v>
      </c>
      <c r="G2766" s="93">
        <v>0</v>
      </c>
      <c r="H2766" s="93">
        <v>0</v>
      </c>
      <c r="N2766" s="88"/>
      <c r="O2766" s="88"/>
      <c r="P2766" s="88"/>
    </row>
    <row r="2767" spans="1:16">
      <c r="A2767" s="94">
        <v>91977</v>
      </c>
      <c r="B2767" s="87" t="s">
        <v>256</v>
      </c>
      <c r="C2767" s="12" t="s">
        <v>4</v>
      </c>
      <c r="D2767" s="93">
        <v>74.16</v>
      </c>
      <c r="E2767" s="93">
        <v>33.71</v>
      </c>
      <c r="F2767" s="93">
        <v>40.450000000000003</v>
      </c>
      <c r="G2767" s="93">
        <v>0</v>
      </c>
      <c r="H2767" s="93">
        <v>0</v>
      </c>
      <c r="N2767" s="88"/>
      <c r="O2767" s="88"/>
      <c r="P2767" s="88"/>
    </row>
    <row r="2768" spans="1:16">
      <c r="A2768" s="94">
        <v>91978</v>
      </c>
      <c r="B2768" s="87" t="s">
        <v>2519</v>
      </c>
      <c r="C2768" s="12" t="s">
        <v>4</v>
      </c>
      <c r="D2768" s="93">
        <v>26.59</v>
      </c>
      <c r="E2768" s="93">
        <v>11.5</v>
      </c>
      <c r="F2768" s="93">
        <v>15.09</v>
      </c>
      <c r="G2768" s="93">
        <v>0</v>
      </c>
      <c r="H2768" s="93">
        <v>0</v>
      </c>
      <c r="N2768" s="88"/>
      <c r="O2768" s="88"/>
      <c r="P2768" s="88"/>
    </row>
    <row r="2769" spans="1:16">
      <c r="A2769" s="94">
        <v>91979</v>
      </c>
      <c r="B2769" s="87" t="s">
        <v>2520</v>
      </c>
      <c r="C2769" s="12" t="s">
        <v>4</v>
      </c>
      <c r="D2769" s="93">
        <v>31.98</v>
      </c>
      <c r="E2769" s="93">
        <v>13.65</v>
      </c>
      <c r="F2769" s="93">
        <v>18.329999999999998</v>
      </c>
      <c r="G2769" s="93">
        <v>0</v>
      </c>
      <c r="H2769" s="93">
        <v>0</v>
      </c>
      <c r="N2769" s="88"/>
      <c r="O2769" s="88"/>
      <c r="P2769" s="88"/>
    </row>
    <row r="2770" spans="1:16">
      <c r="A2770" s="94">
        <v>91980</v>
      </c>
      <c r="B2770" s="87" t="s">
        <v>2521</v>
      </c>
      <c r="C2770" s="12" t="s">
        <v>4</v>
      </c>
      <c r="D2770" s="93">
        <v>25.86</v>
      </c>
      <c r="E2770" s="93">
        <v>11.5</v>
      </c>
      <c r="F2770" s="93">
        <v>14.36</v>
      </c>
      <c r="G2770" s="93">
        <v>0</v>
      </c>
      <c r="H2770" s="93">
        <v>0</v>
      </c>
      <c r="N2770" s="88"/>
      <c r="O2770" s="88"/>
      <c r="P2770" s="88"/>
    </row>
    <row r="2771" spans="1:16">
      <c r="A2771" s="94">
        <v>91981</v>
      </c>
      <c r="B2771" s="87" t="s">
        <v>2522</v>
      </c>
      <c r="C2771" s="12" t="s">
        <v>4</v>
      </c>
      <c r="D2771" s="93">
        <v>31.25</v>
      </c>
      <c r="E2771" s="93">
        <v>13.65</v>
      </c>
      <c r="F2771" s="93">
        <v>17.600000000000001</v>
      </c>
      <c r="G2771" s="93">
        <v>0</v>
      </c>
      <c r="H2771" s="93">
        <v>0</v>
      </c>
      <c r="N2771" s="88"/>
      <c r="O2771" s="88"/>
      <c r="P2771" s="88"/>
    </row>
    <row r="2772" spans="1:16">
      <c r="A2772" s="94">
        <v>91982</v>
      </c>
      <c r="B2772" s="87" t="s">
        <v>2523</v>
      </c>
      <c r="C2772" s="12" t="s">
        <v>4</v>
      </c>
      <c r="D2772" s="93">
        <v>55.12</v>
      </c>
      <c r="E2772" s="93">
        <v>6.6</v>
      </c>
      <c r="F2772" s="93">
        <v>48.52</v>
      </c>
      <c r="G2772" s="93">
        <v>0</v>
      </c>
      <c r="H2772" s="93">
        <v>0</v>
      </c>
      <c r="N2772" s="88"/>
      <c r="O2772" s="88"/>
      <c r="P2772" s="88"/>
    </row>
    <row r="2773" spans="1:16">
      <c r="A2773" s="94">
        <v>91983</v>
      </c>
      <c r="B2773" s="87" t="s">
        <v>2524</v>
      </c>
      <c r="C2773" s="12" t="s">
        <v>4</v>
      </c>
      <c r="D2773" s="93">
        <v>60.51</v>
      </c>
      <c r="E2773" s="93">
        <v>8.75</v>
      </c>
      <c r="F2773" s="93">
        <v>51.76</v>
      </c>
      <c r="G2773" s="93">
        <v>0</v>
      </c>
      <c r="H2773" s="93">
        <v>0</v>
      </c>
      <c r="N2773" s="88"/>
      <c r="O2773" s="88"/>
      <c r="P2773" s="88"/>
    </row>
    <row r="2774" spans="1:16">
      <c r="A2774" s="94">
        <v>91984</v>
      </c>
      <c r="B2774" s="87" t="s">
        <v>2525</v>
      </c>
      <c r="C2774" s="12" t="s">
        <v>4</v>
      </c>
      <c r="D2774" s="93">
        <v>12.17</v>
      </c>
      <c r="E2774" s="93">
        <v>6.65</v>
      </c>
      <c r="F2774" s="93">
        <v>5.52</v>
      </c>
      <c r="G2774" s="93">
        <v>0</v>
      </c>
      <c r="H2774" s="93">
        <v>0</v>
      </c>
      <c r="N2774" s="88"/>
      <c r="O2774" s="88"/>
      <c r="P2774" s="88"/>
    </row>
    <row r="2775" spans="1:16">
      <c r="A2775" s="94">
        <v>91985</v>
      </c>
      <c r="B2775" s="87" t="s">
        <v>2526</v>
      </c>
      <c r="C2775" s="12" t="s">
        <v>4</v>
      </c>
      <c r="D2775" s="93">
        <v>17.559999999999999</v>
      </c>
      <c r="E2775" s="93">
        <v>8.8000000000000007</v>
      </c>
      <c r="F2775" s="93">
        <v>8.76</v>
      </c>
      <c r="G2775" s="93">
        <v>0</v>
      </c>
      <c r="H2775" s="93">
        <v>0</v>
      </c>
      <c r="N2775" s="88"/>
      <c r="O2775" s="88"/>
      <c r="P2775" s="88"/>
    </row>
    <row r="2776" spans="1:16">
      <c r="A2776" s="94">
        <v>91986</v>
      </c>
      <c r="B2776" s="87" t="s">
        <v>2527</v>
      </c>
      <c r="C2776" s="12" t="s">
        <v>4</v>
      </c>
      <c r="D2776" s="93">
        <v>24.73</v>
      </c>
      <c r="E2776" s="93">
        <v>10.35</v>
      </c>
      <c r="F2776" s="93">
        <v>14.38</v>
      </c>
      <c r="G2776" s="93">
        <v>0</v>
      </c>
      <c r="H2776" s="93">
        <v>0</v>
      </c>
      <c r="N2776" s="88"/>
      <c r="O2776" s="88"/>
      <c r="P2776" s="88"/>
    </row>
    <row r="2777" spans="1:16">
      <c r="A2777" s="94">
        <v>91987</v>
      </c>
      <c r="B2777" s="87" t="s">
        <v>2528</v>
      </c>
      <c r="C2777" s="12" t="s">
        <v>4</v>
      </c>
      <c r="D2777" s="93">
        <v>30.12</v>
      </c>
      <c r="E2777" s="93">
        <v>12.5</v>
      </c>
      <c r="F2777" s="93">
        <v>17.62</v>
      </c>
      <c r="G2777" s="93">
        <v>0</v>
      </c>
      <c r="H2777" s="93">
        <v>0</v>
      </c>
      <c r="N2777" s="88"/>
      <c r="O2777" s="88"/>
      <c r="P2777" s="88"/>
    </row>
    <row r="2778" spans="1:16">
      <c r="A2778" s="94">
        <v>91988</v>
      </c>
      <c r="B2778" s="87" t="s">
        <v>2529</v>
      </c>
      <c r="C2778" s="12" t="s">
        <v>4</v>
      </c>
      <c r="D2778" s="93">
        <v>14.63</v>
      </c>
      <c r="E2778" s="93">
        <v>6.63</v>
      </c>
      <c r="F2778" s="93">
        <v>8</v>
      </c>
      <c r="G2778" s="93">
        <v>0</v>
      </c>
      <c r="H2778" s="93">
        <v>0</v>
      </c>
      <c r="N2778" s="88"/>
      <c r="O2778" s="88"/>
      <c r="P2778" s="88"/>
    </row>
    <row r="2779" spans="1:16">
      <c r="A2779" s="94">
        <v>91989</v>
      </c>
      <c r="B2779" s="87" t="s">
        <v>2530</v>
      </c>
      <c r="C2779" s="12" t="s">
        <v>4</v>
      </c>
      <c r="D2779" s="93">
        <v>20.02</v>
      </c>
      <c r="E2779" s="93">
        <v>8.7799999999999994</v>
      </c>
      <c r="F2779" s="93">
        <v>11.24</v>
      </c>
      <c r="G2779" s="93">
        <v>0</v>
      </c>
      <c r="H2779" s="93">
        <v>0</v>
      </c>
      <c r="N2779" s="88"/>
      <c r="O2779" s="88"/>
      <c r="P2779" s="88"/>
    </row>
    <row r="2780" spans="1:16">
      <c r="A2780" s="94">
        <v>91990</v>
      </c>
      <c r="B2780" s="87" t="s">
        <v>257</v>
      </c>
      <c r="C2780" s="12" t="s">
        <v>4</v>
      </c>
      <c r="D2780" s="93">
        <v>23.9</v>
      </c>
      <c r="E2780" s="93">
        <v>14.64</v>
      </c>
      <c r="F2780" s="93">
        <v>9.26</v>
      </c>
      <c r="G2780" s="93">
        <v>0</v>
      </c>
      <c r="H2780" s="93">
        <v>0</v>
      </c>
      <c r="N2780" s="88"/>
      <c r="O2780" s="88"/>
      <c r="P2780" s="88"/>
    </row>
    <row r="2781" spans="1:16">
      <c r="A2781" s="94">
        <v>91991</v>
      </c>
      <c r="B2781" s="87" t="s">
        <v>258</v>
      </c>
      <c r="C2781" s="12" t="s">
        <v>4</v>
      </c>
      <c r="D2781" s="93">
        <v>25.22</v>
      </c>
      <c r="E2781" s="93">
        <v>14.64</v>
      </c>
      <c r="F2781" s="93">
        <v>10.58</v>
      </c>
      <c r="G2781" s="93">
        <v>0</v>
      </c>
      <c r="H2781" s="93">
        <v>0</v>
      </c>
      <c r="N2781" s="88"/>
      <c r="O2781" s="88"/>
      <c r="P2781" s="88"/>
    </row>
    <row r="2782" spans="1:16">
      <c r="A2782" s="94">
        <v>91992</v>
      </c>
      <c r="B2782" s="87" t="s">
        <v>2531</v>
      </c>
      <c r="C2782" s="12" t="s">
        <v>4</v>
      </c>
      <c r="D2782" s="93">
        <v>29.29</v>
      </c>
      <c r="E2782" s="93">
        <v>16.8</v>
      </c>
      <c r="F2782" s="93">
        <v>12.49</v>
      </c>
      <c r="G2782" s="93">
        <v>0</v>
      </c>
      <c r="H2782" s="93">
        <v>0</v>
      </c>
      <c r="N2782" s="88"/>
      <c r="O2782" s="88"/>
      <c r="P2782" s="88"/>
    </row>
    <row r="2783" spans="1:16">
      <c r="A2783" s="94">
        <v>91993</v>
      </c>
      <c r="B2783" s="87" t="s">
        <v>2532</v>
      </c>
      <c r="C2783" s="12" t="s">
        <v>4</v>
      </c>
      <c r="D2783" s="93">
        <v>30.61</v>
      </c>
      <c r="E2783" s="93">
        <v>16.8</v>
      </c>
      <c r="F2783" s="93">
        <v>13.81</v>
      </c>
      <c r="G2783" s="93">
        <v>0</v>
      </c>
      <c r="H2783" s="93">
        <v>0</v>
      </c>
      <c r="N2783" s="88"/>
      <c r="O2783" s="88"/>
      <c r="P2783" s="88"/>
    </row>
    <row r="2784" spans="1:16">
      <c r="A2784" s="94">
        <v>91994</v>
      </c>
      <c r="B2784" s="87" t="s">
        <v>259</v>
      </c>
      <c r="C2784" s="12" t="s">
        <v>4</v>
      </c>
      <c r="D2784" s="93">
        <v>16.64</v>
      </c>
      <c r="E2784" s="93">
        <v>9.1</v>
      </c>
      <c r="F2784" s="93">
        <v>7.54</v>
      </c>
      <c r="G2784" s="93">
        <v>0</v>
      </c>
      <c r="H2784" s="93">
        <v>0</v>
      </c>
      <c r="N2784" s="88"/>
      <c r="O2784" s="88"/>
      <c r="P2784" s="88"/>
    </row>
    <row r="2785" spans="1:16">
      <c r="A2785" s="94">
        <v>91995</v>
      </c>
      <c r="B2785" s="87" t="s">
        <v>260</v>
      </c>
      <c r="C2785" s="12" t="s">
        <v>4</v>
      </c>
      <c r="D2785" s="93">
        <v>17.96</v>
      </c>
      <c r="E2785" s="93">
        <v>9.1</v>
      </c>
      <c r="F2785" s="93">
        <v>8.86</v>
      </c>
      <c r="G2785" s="93">
        <v>0</v>
      </c>
      <c r="H2785" s="93">
        <v>0</v>
      </c>
      <c r="N2785" s="88"/>
      <c r="O2785" s="88"/>
      <c r="P2785" s="88"/>
    </row>
    <row r="2786" spans="1:16">
      <c r="A2786" s="94">
        <v>91996</v>
      </c>
      <c r="B2786" s="87" t="s">
        <v>2533</v>
      </c>
      <c r="C2786" s="12" t="s">
        <v>4</v>
      </c>
      <c r="D2786" s="93">
        <v>22.03</v>
      </c>
      <c r="E2786" s="93">
        <v>11.25</v>
      </c>
      <c r="F2786" s="93">
        <v>10.78</v>
      </c>
      <c r="G2786" s="93">
        <v>0</v>
      </c>
      <c r="H2786" s="93">
        <v>0</v>
      </c>
      <c r="N2786" s="88"/>
      <c r="O2786" s="88"/>
      <c r="P2786" s="88"/>
    </row>
    <row r="2787" spans="1:16">
      <c r="A2787" s="94">
        <v>91997</v>
      </c>
      <c r="B2787" s="87" t="s">
        <v>2534</v>
      </c>
      <c r="C2787" s="12" t="s">
        <v>4</v>
      </c>
      <c r="D2787" s="93">
        <v>23.35</v>
      </c>
      <c r="E2787" s="93">
        <v>11.24</v>
      </c>
      <c r="F2787" s="93">
        <v>12.11</v>
      </c>
      <c r="G2787" s="93">
        <v>0</v>
      </c>
      <c r="H2787" s="93">
        <v>0</v>
      </c>
      <c r="N2787" s="88"/>
      <c r="O2787" s="88"/>
      <c r="P2787" s="88"/>
    </row>
    <row r="2788" spans="1:16">
      <c r="A2788" s="94">
        <v>91998</v>
      </c>
      <c r="B2788" s="87" t="s">
        <v>261</v>
      </c>
      <c r="C2788" s="12" t="s">
        <v>4</v>
      </c>
      <c r="D2788" s="93">
        <v>13.82</v>
      </c>
      <c r="E2788" s="93">
        <v>6.95</v>
      </c>
      <c r="F2788" s="93">
        <v>6.87</v>
      </c>
      <c r="G2788" s="93">
        <v>0</v>
      </c>
      <c r="H2788" s="93">
        <v>0</v>
      </c>
      <c r="N2788" s="88"/>
      <c r="O2788" s="88"/>
      <c r="P2788" s="88"/>
    </row>
    <row r="2789" spans="1:16">
      <c r="A2789" s="94">
        <v>91999</v>
      </c>
      <c r="B2789" s="87" t="s">
        <v>262</v>
      </c>
      <c r="C2789" s="12" t="s">
        <v>4</v>
      </c>
      <c r="D2789" s="93">
        <v>15.14</v>
      </c>
      <c r="E2789" s="93">
        <v>6.93</v>
      </c>
      <c r="F2789" s="93">
        <v>8.2100000000000009</v>
      </c>
      <c r="G2789" s="93">
        <v>0</v>
      </c>
      <c r="H2789" s="93">
        <v>0</v>
      </c>
      <c r="N2789" s="88"/>
      <c r="O2789" s="88"/>
      <c r="P2789" s="88"/>
    </row>
    <row r="2790" spans="1:16">
      <c r="A2790" s="94">
        <v>92000</v>
      </c>
      <c r="B2790" s="87" t="s">
        <v>2535</v>
      </c>
      <c r="C2790" s="12" t="s">
        <v>4</v>
      </c>
      <c r="D2790" s="93">
        <v>19.21</v>
      </c>
      <c r="E2790" s="93">
        <v>9.09</v>
      </c>
      <c r="F2790" s="93">
        <v>10.119999999999999</v>
      </c>
      <c r="G2790" s="93">
        <v>0</v>
      </c>
      <c r="H2790" s="93">
        <v>0</v>
      </c>
      <c r="N2790" s="88"/>
      <c r="O2790" s="88"/>
      <c r="P2790" s="88"/>
    </row>
    <row r="2791" spans="1:16">
      <c r="A2791" s="94">
        <v>92001</v>
      </c>
      <c r="B2791" s="87" t="s">
        <v>2536</v>
      </c>
      <c r="C2791" s="12" t="s">
        <v>4</v>
      </c>
      <c r="D2791" s="93">
        <v>20.53</v>
      </c>
      <c r="E2791" s="93">
        <v>9.08</v>
      </c>
      <c r="F2791" s="93">
        <v>11.45</v>
      </c>
      <c r="G2791" s="93">
        <v>0</v>
      </c>
      <c r="H2791" s="93">
        <v>0</v>
      </c>
      <c r="N2791" s="88"/>
      <c r="O2791" s="88"/>
      <c r="P2791" s="88"/>
    </row>
    <row r="2792" spans="1:16">
      <c r="A2792" s="94">
        <v>92002</v>
      </c>
      <c r="B2792" s="87" t="s">
        <v>2537</v>
      </c>
      <c r="C2792" s="12" t="s">
        <v>4</v>
      </c>
      <c r="D2792" s="93">
        <v>30.93</v>
      </c>
      <c r="E2792" s="93">
        <v>16.38</v>
      </c>
      <c r="F2792" s="93">
        <v>14.55</v>
      </c>
      <c r="G2792" s="93">
        <v>0</v>
      </c>
      <c r="H2792" s="93">
        <v>0</v>
      </c>
      <c r="N2792" s="88"/>
      <c r="O2792" s="88"/>
      <c r="P2792" s="88"/>
    </row>
    <row r="2793" spans="1:16">
      <c r="A2793" s="94">
        <v>92003</v>
      </c>
      <c r="B2793" s="87" t="s">
        <v>2538</v>
      </c>
      <c r="C2793" s="12" t="s">
        <v>4</v>
      </c>
      <c r="D2793" s="93">
        <v>33.57</v>
      </c>
      <c r="E2793" s="93">
        <v>16.37</v>
      </c>
      <c r="F2793" s="93">
        <v>17.2</v>
      </c>
      <c r="G2793" s="93">
        <v>0</v>
      </c>
      <c r="H2793" s="93">
        <v>0</v>
      </c>
      <c r="N2793" s="88"/>
      <c r="O2793" s="88"/>
      <c r="P2793" s="88"/>
    </row>
    <row r="2794" spans="1:16">
      <c r="A2794" s="94">
        <v>92004</v>
      </c>
      <c r="B2794" s="87" t="s">
        <v>2539</v>
      </c>
      <c r="C2794" s="12" t="s">
        <v>4</v>
      </c>
      <c r="D2794" s="93">
        <v>36.32</v>
      </c>
      <c r="E2794" s="93">
        <v>18.54</v>
      </c>
      <c r="F2794" s="93">
        <v>17.78</v>
      </c>
      <c r="G2794" s="93">
        <v>0</v>
      </c>
      <c r="H2794" s="93">
        <v>0</v>
      </c>
      <c r="N2794" s="88"/>
      <c r="O2794" s="88"/>
      <c r="P2794" s="88"/>
    </row>
    <row r="2795" spans="1:16">
      <c r="A2795" s="94">
        <v>92005</v>
      </c>
      <c r="B2795" s="87" t="s">
        <v>2540</v>
      </c>
      <c r="C2795" s="12" t="s">
        <v>4</v>
      </c>
      <c r="D2795" s="93">
        <v>38.96</v>
      </c>
      <c r="E2795" s="93">
        <v>18.52</v>
      </c>
      <c r="F2795" s="93">
        <v>20.440000000000001</v>
      </c>
      <c r="G2795" s="93">
        <v>0</v>
      </c>
      <c r="H2795" s="93">
        <v>0</v>
      </c>
      <c r="N2795" s="88"/>
      <c r="O2795" s="88"/>
      <c r="P2795" s="88"/>
    </row>
    <row r="2796" spans="1:16">
      <c r="A2796" s="94">
        <v>92006</v>
      </c>
      <c r="B2796" s="87" t="s">
        <v>2541</v>
      </c>
      <c r="C2796" s="12" t="s">
        <v>4</v>
      </c>
      <c r="D2796" s="93">
        <v>25.29</v>
      </c>
      <c r="E2796" s="93">
        <v>12.05</v>
      </c>
      <c r="F2796" s="93">
        <v>13.24</v>
      </c>
      <c r="G2796" s="93">
        <v>0</v>
      </c>
      <c r="H2796" s="93">
        <v>0</v>
      </c>
      <c r="N2796" s="88"/>
      <c r="O2796" s="88"/>
      <c r="P2796" s="88"/>
    </row>
    <row r="2797" spans="1:16">
      <c r="A2797" s="94">
        <v>92007</v>
      </c>
      <c r="B2797" s="87" t="s">
        <v>2542</v>
      </c>
      <c r="C2797" s="12" t="s">
        <v>4</v>
      </c>
      <c r="D2797" s="93">
        <v>27.93</v>
      </c>
      <c r="E2797" s="93">
        <v>12.05</v>
      </c>
      <c r="F2797" s="93">
        <v>15.88</v>
      </c>
      <c r="G2797" s="93">
        <v>0</v>
      </c>
      <c r="H2797" s="93">
        <v>0</v>
      </c>
      <c r="N2797" s="88"/>
      <c r="O2797" s="88"/>
      <c r="P2797" s="88"/>
    </row>
    <row r="2798" spans="1:16">
      <c r="A2798" s="94">
        <v>92008</v>
      </c>
      <c r="B2798" s="87" t="s">
        <v>2543</v>
      </c>
      <c r="C2798" s="12" t="s">
        <v>4</v>
      </c>
      <c r="D2798" s="93">
        <v>30.68</v>
      </c>
      <c r="E2798" s="93">
        <v>14.2</v>
      </c>
      <c r="F2798" s="93">
        <v>16.48</v>
      </c>
      <c r="G2798" s="93">
        <v>0</v>
      </c>
      <c r="H2798" s="93">
        <v>0</v>
      </c>
      <c r="N2798" s="88"/>
      <c r="O2798" s="88"/>
      <c r="P2798" s="88"/>
    </row>
    <row r="2799" spans="1:16">
      <c r="A2799" s="94">
        <v>92009</v>
      </c>
      <c r="B2799" s="87" t="s">
        <v>2544</v>
      </c>
      <c r="C2799" s="12" t="s">
        <v>4</v>
      </c>
      <c r="D2799" s="93">
        <v>33.32</v>
      </c>
      <c r="E2799" s="93">
        <v>14.2</v>
      </c>
      <c r="F2799" s="93">
        <v>19.12</v>
      </c>
      <c r="G2799" s="93">
        <v>0</v>
      </c>
      <c r="H2799" s="93">
        <v>0</v>
      </c>
      <c r="N2799" s="88"/>
      <c r="O2799" s="88"/>
      <c r="P2799" s="88"/>
    </row>
    <row r="2800" spans="1:16">
      <c r="A2800" s="94">
        <v>92010</v>
      </c>
      <c r="B2800" s="87" t="s">
        <v>2545</v>
      </c>
      <c r="C2800" s="12" t="s">
        <v>4</v>
      </c>
      <c r="D2800" s="93">
        <v>45.22</v>
      </c>
      <c r="E2800" s="93">
        <v>23.67</v>
      </c>
      <c r="F2800" s="93">
        <v>21.55</v>
      </c>
      <c r="G2800" s="93">
        <v>0</v>
      </c>
      <c r="H2800" s="93">
        <v>0</v>
      </c>
      <c r="N2800" s="88"/>
      <c r="O2800" s="88"/>
      <c r="P2800" s="88"/>
    </row>
    <row r="2801" spans="1:16">
      <c r="A2801" s="94">
        <v>92011</v>
      </c>
      <c r="B2801" s="87" t="s">
        <v>2546</v>
      </c>
      <c r="C2801" s="12" t="s">
        <v>4</v>
      </c>
      <c r="D2801" s="93">
        <v>49.18</v>
      </c>
      <c r="E2801" s="93">
        <v>23.65</v>
      </c>
      <c r="F2801" s="93">
        <v>25.53</v>
      </c>
      <c r="G2801" s="93">
        <v>0</v>
      </c>
      <c r="H2801" s="93">
        <v>0</v>
      </c>
      <c r="N2801" s="88"/>
      <c r="O2801" s="88"/>
      <c r="P2801" s="88"/>
    </row>
    <row r="2802" spans="1:16">
      <c r="A2802" s="94">
        <v>92012</v>
      </c>
      <c r="B2802" s="87" t="s">
        <v>2547</v>
      </c>
      <c r="C2802" s="12" t="s">
        <v>4</v>
      </c>
      <c r="D2802" s="93">
        <v>50.61</v>
      </c>
      <c r="E2802" s="93">
        <v>25.82</v>
      </c>
      <c r="F2802" s="93">
        <v>24.79</v>
      </c>
      <c r="G2802" s="93">
        <v>0</v>
      </c>
      <c r="H2802" s="93">
        <v>0</v>
      </c>
      <c r="N2802" s="88"/>
      <c r="O2802" s="88"/>
      <c r="P2802" s="88"/>
    </row>
    <row r="2803" spans="1:16">
      <c r="A2803" s="94">
        <v>92013</v>
      </c>
      <c r="B2803" s="87" t="s">
        <v>2548</v>
      </c>
      <c r="C2803" s="12" t="s">
        <v>4</v>
      </c>
      <c r="D2803" s="93">
        <v>54.57</v>
      </c>
      <c r="E2803" s="93">
        <v>25.81</v>
      </c>
      <c r="F2803" s="93">
        <v>28.76</v>
      </c>
      <c r="G2803" s="93">
        <v>0</v>
      </c>
      <c r="H2803" s="93">
        <v>0</v>
      </c>
      <c r="N2803" s="88"/>
      <c r="O2803" s="88"/>
      <c r="P2803" s="88"/>
    </row>
    <row r="2804" spans="1:16">
      <c r="A2804" s="94">
        <v>92014</v>
      </c>
      <c r="B2804" s="87" t="s">
        <v>2549</v>
      </c>
      <c r="C2804" s="12" t="s">
        <v>4</v>
      </c>
      <c r="D2804" s="93">
        <v>36.76</v>
      </c>
      <c r="E2804" s="93">
        <v>17.18</v>
      </c>
      <c r="F2804" s="93">
        <v>19.579999999999998</v>
      </c>
      <c r="G2804" s="93">
        <v>0</v>
      </c>
      <c r="H2804" s="93">
        <v>0</v>
      </c>
      <c r="N2804" s="88"/>
      <c r="O2804" s="88"/>
      <c r="P2804" s="88"/>
    </row>
    <row r="2805" spans="1:16">
      <c r="A2805" s="94">
        <v>92015</v>
      </c>
      <c r="B2805" s="87" t="s">
        <v>2550</v>
      </c>
      <c r="C2805" s="12" t="s">
        <v>4</v>
      </c>
      <c r="D2805" s="93">
        <v>40.72</v>
      </c>
      <c r="E2805" s="93">
        <v>17.18</v>
      </c>
      <c r="F2805" s="93">
        <v>23.54</v>
      </c>
      <c r="G2805" s="93">
        <v>0</v>
      </c>
      <c r="H2805" s="93">
        <v>0</v>
      </c>
      <c r="N2805" s="88"/>
      <c r="O2805" s="88"/>
      <c r="P2805" s="88"/>
    </row>
    <row r="2806" spans="1:16">
      <c r="A2806" s="94">
        <v>92016</v>
      </c>
      <c r="B2806" s="87" t="s">
        <v>2551</v>
      </c>
      <c r="C2806" s="12" t="s">
        <v>4</v>
      </c>
      <c r="D2806" s="93">
        <v>42.15</v>
      </c>
      <c r="E2806" s="93">
        <v>19.329999999999998</v>
      </c>
      <c r="F2806" s="93">
        <v>22.82</v>
      </c>
      <c r="G2806" s="93">
        <v>0</v>
      </c>
      <c r="H2806" s="93">
        <v>0</v>
      </c>
      <c r="N2806" s="88"/>
      <c r="O2806" s="88"/>
      <c r="P2806" s="88"/>
    </row>
    <row r="2807" spans="1:16">
      <c r="A2807" s="94">
        <v>92017</v>
      </c>
      <c r="B2807" s="87" t="s">
        <v>2552</v>
      </c>
      <c r="C2807" s="12" t="s">
        <v>4</v>
      </c>
      <c r="D2807" s="93">
        <v>46.11</v>
      </c>
      <c r="E2807" s="93">
        <v>19.329999999999998</v>
      </c>
      <c r="F2807" s="93">
        <v>26.78</v>
      </c>
      <c r="G2807" s="93">
        <v>0</v>
      </c>
      <c r="H2807" s="93">
        <v>0</v>
      </c>
      <c r="N2807" s="88"/>
      <c r="O2807" s="88"/>
      <c r="P2807" s="88"/>
    </row>
    <row r="2808" spans="1:16">
      <c r="A2808" s="94">
        <v>92018</v>
      </c>
      <c r="B2808" s="87" t="s">
        <v>2553</v>
      </c>
      <c r="C2808" s="12" t="s">
        <v>4</v>
      </c>
      <c r="D2808" s="93">
        <v>48.61</v>
      </c>
      <c r="E2808" s="93">
        <v>22.6</v>
      </c>
      <c r="F2808" s="93">
        <v>26.01</v>
      </c>
      <c r="G2808" s="93">
        <v>0</v>
      </c>
      <c r="H2808" s="93">
        <v>0</v>
      </c>
      <c r="N2808" s="88"/>
      <c r="O2808" s="88"/>
      <c r="P2808" s="88"/>
    </row>
    <row r="2809" spans="1:16">
      <c r="A2809" s="94">
        <v>92019</v>
      </c>
      <c r="B2809" s="87" t="s">
        <v>2554</v>
      </c>
      <c r="C2809" s="12" t="s">
        <v>4</v>
      </c>
      <c r="D2809" s="93">
        <v>56.89</v>
      </c>
      <c r="E2809" s="93">
        <v>25.13</v>
      </c>
      <c r="F2809" s="93">
        <v>31.76</v>
      </c>
      <c r="G2809" s="93">
        <v>0</v>
      </c>
      <c r="H2809" s="93">
        <v>0</v>
      </c>
      <c r="N2809" s="88"/>
      <c r="O2809" s="88"/>
      <c r="P2809" s="88"/>
    </row>
    <row r="2810" spans="1:16">
      <c r="A2810" s="94">
        <v>92020</v>
      </c>
      <c r="B2810" s="87" t="s">
        <v>2555</v>
      </c>
      <c r="C2810" s="12" t="s">
        <v>4</v>
      </c>
      <c r="D2810" s="93">
        <v>71.75</v>
      </c>
      <c r="E2810" s="93">
        <v>33.020000000000003</v>
      </c>
      <c r="F2810" s="93">
        <v>38.729999999999997</v>
      </c>
      <c r="G2810" s="93">
        <v>0</v>
      </c>
      <c r="H2810" s="93">
        <v>0</v>
      </c>
      <c r="N2810" s="88"/>
      <c r="O2810" s="88"/>
      <c r="P2810" s="88"/>
    </row>
    <row r="2811" spans="1:16">
      <c r="A2811" s="94">
        <v>92021</v>
      </c>
      <c r="B2811" s="87" t="s">
        <v>2556</v>
      </c>
      <c r="C2811" s="12" t="s">
        <v>4</v>
      </c>
      <c r="D2811" s="93">
        <v>80.03</v>
      </c>
      <c r="E2811" s="93">
        <v>35.549999999999997</v>
      </c>
      <c r="F2811" s="93">
        <v>44.48</v>
      </c>
      <c r="G2811" s="93">
        <v>0</v>
      </c>
      <c r="H2811" s="93">
        <v>0</v>
      </c>
      <c r="N2811" s="88"/>
      <c r="O2811" s="88"/>
      <c r="P2811" s="88"/>
    </row>
    <row r="2812" spans="1:16">
      <c r="A2812" s="94">
        <v>92022</v>
      </c>
      <c r="B2812" s="87" t="s">
        <v>263</v>
      </c>
      <c r="C2812" s="12" t="s">
        <v>4</v>
      </c>
      <c r="D2812" s="93">
        <v>27.15</v>
      </c>
      <c r="E2812" s="93">
        <v>13.95</v>
      </c>
      <c r="F2812" s="93">
        <v>13.2</v>
      </c>
      <c r="G2812" s="93">
        <v>0</v>
      </c>
      <c r="H2812" s="93">
        <v>0</v>
      </c>
      <c r="N2812" s="88"/>
      <c r="O2812" s="88"/>
      <c r="P2812" s="88"/>
    </row>
    <row r="2813" spans="1:16">
      <c r="A2813" s="94">
        <v>92023</v>
      </c>
      <c r="B2813" s="87" t="s">
        <v>2557</v>
      </c>
      <c r="C2813" s="12" t="s">
        <v>4</v>
      </c>
      <c r="D2813" s="93">
        <v>32.54</v>
      </c>
      <c r="E2813" s="93">
        <v>16.09</v>
      </c>
      <c r="F2813" s="93">
        <v>16.45</v>
      </c>
      <c r="G2813" s="93">
        <v>0</v>
      </c>
      <c r="H2813" s="93">
        <v>0</v>
      </c>
      <c r="N2813" s="88"/>
      <c r="O2813" s="88"/>
      <c r="P2813" s="88"/>
    </row>
    <row r="2814" spans="1:16">
      <c r="A2814" s="94">
        <v>92024</v>
      </c>
      <c r="B2814" s="87" t="s">
        <v>2558</v>
      </c>
      <c r="C2814" s="12" t="s">
        <v>4</v>
      </c>
      <c r="D2814" s="93">
        <v>41.48</v>
      </c>
      <c r="E2814" s="93">
        <v>21.24</v>
      </c>
      <c r="F2814" s="93">
        <v>20.239999999999998</v>
      </c>
      <c r="G2814" s="93">
        <v>0</v>
      </c>
      <c r="H2814" s="93">
        <v>0</v>
      </c>
      <c r="N2814" s="88"/>
      <c r="O2814" s="88"/>
      <c r="P2814" s="88"/>
    </row>
    <row r="2815" spans="1:16">
      <c r="A2815" s="94">
        <v>92025</v>
      </c>
      <c r="B2815" s="87" t="s">
        <v>2559</v>
      </c>
      <c r="C2815" s="12" t="s">
        <v>4</v>
      </c>
      <c r="D2815" s="93">
        <v>46.87</v>
      </c>
      <c r="E2815" s="93">
        <v>23.38</v>
      </c>
      <c r="F2815" s="93">
        <v>23.49</v>
      </c>
      <c r="G2815" s="93">
        <v>0</v>
      </c>
      <c r="H2815" s="93">
        <v>0</v>
      </c>
      <c r="N2815" s="88"/>
      <c r="O2815" s="88"/>
      <c r="P2815" s="88"/>
    </row>
    <row r="2816" spans="1:16">
      <c r="A2816" s="94">
        <v>92026</v>
      </c>
      <c r="B2816" s="87" t="s">
        <v>2560</v>
      </c>
      <c r="C2816" s="12" t="s">
        <v>4</v>
      </c>
      <c r="D2816" s="93">
        <v>37.69</v>
      </c>
      <c r="E2816" s="93">
        <v>18.78</v>
      </c>
      <c r="F2816" s="93">
        <v>18.91</v>
      </c>
      <c r="G2816" s="93">
        <v>0</v>
      </c>
      <c r="H2816" s="93">
        <v>0</v>
      </c>
      <c r="N2816" s="88"/>
      <c r="O2816" s="88"/>
      <c r="P2816" s="88"/>
    </row>
    <row r="2817" spans="1:16">
      <c r="A2817" s="94">
        <v>92027</v>
      </c>
      <c r="B2817" s="87" t="s">
        <v>2561</v>
      </c>
      <c r="C2817" s="12" t="s">
        <v>4</v>
      </c>
      <c r="D2817" s="93">
        <v>43.08</v>
      </c>
      <c r="E2817" s="93">
        <v>20.93</v>
      </c>
      <c r="F2817" s="93">
        <v>22.15</v>
      </c>
      <c r="G2817" s="93">
        <v>0</v>
      </c>
      <c r="H2817" s="93">
        <v>0</v>
      </c>
      <c r="N2817" s="88"/>
      <c r="O2817" s="88"/>
      <c r="P2817" s="88"/>
    </row>
    <row r="2818" spans="1:16">
      <c r="A2818" s="94">
        <v>92028</v>
      </c>
      <c r="B2818" s="87" t="s">
        <v>2562</v>
      </c>
      <c r="C2818" s="12" t="s">
        <v>4</v>
      </c>
      <c r="D2818" s="93">
        <v>31.61</v>
      </c>
      <c r="E2818" s="93">
        <v>16.38</v>
      </c>
      <c r="F2818" s="93">
        <v>15.23</v>
      </c>
      <c r="G2818" s="93">
        <v>0</v>
      </c>
      <c r="H2818" s="93">
        <v>0</v>
      </c>
      <c r="N2818" s="88"/>
      <c r="O2818" s="88"/>
      <c r="P2818" s="88"/>
    </row>
    <row r="2819" spans="1:16">
      <c r="A2819" s="94">
        <v>92029</v>
      </c>
      <c r="B2819" s="87" t="s">
        <v>2563</v>
      </c>
      <c r="C2819" s="12" t="s">
        <v>4</v>
      </c>
      <c r="D2819" s="93">
        <v>37</v>
      </c>
      <c r="E2819" s="93">
        <v>18.54</v>
      </c>
      <c r="F2819" s="93">
        <v>18.46</v>
      </c>
      <c r="G2819" s="93">
        <v>0</v>
      </c>
      <c r="H2819" s="93">
        <v>0</v>
      </c>
      <c r="N2819" s="88"/>
      <c r="O2819" s="88"/>
      <c r="P2819" s="88"/>
    </row>
    <row r="2820" spans="1:16">
      <c r="A2820" s="94">
        <v>92030</v>
      </c>
      <c r="B2820" s="87" t="s">
        <v>2564</v>
      </c>
      <c r="C2820" s="12" t="s">
        <v>4</v>
      </c>
      <c r="D2820" s="93">
        <v>45.9</v>
      </c>
      <c r="E2820" s="93">
        <v>23.67</v>
      </c>
      <c r="F2820" s="93">
        <v>22.23</v>
      </c>
      <c r="G2820" s="93">
        <v>0</v>
      </c>
      <c r="H2820" s="93">
        <v>0</v>
      </c>
      <c r="N2820" s="88"/>
      <c r="O2820" s="88"/>
      <c r="P2820" s="88"/>
    </row>
    <row r="2821" spans="1:16">
      <c r="A2821" s="94">
        <v>92031</v>
      </c>
      <c r="B2821" s="87" t="s">
        <v>2565</v>
      </c>
      <c r="C2821" s="12" t="s">
        <v>4</v>
      </c>
      <c r="D2821" s="93">
        <v>51.29</v>
      </c>
      <c r="E2821" s="93">
        <v>25.82</v>
      </c>
      <c r="F2821" s="93">
        <v>25.47</v>
      </c>
      <c r="G2821" s="93">
        <v>0</v>
      </c>
      <c r="H2821" s="93">
        <v>0</v>
      </c>
      <c r="N2821" s="88"/>
      <c r="O2821" s="88"/>
      <c r="P2821" s="88"/>
    </row>
    <row r="2822" spans="1:16">
      <c r="A2822" s="94">
        <v>92032</v>
      </c>
      <c r="B2822" s="87" t="s">
        <v>2566</v>
      </c>
      <c r="C2822" s="12" t="s">
        <v>4</v>
      </c>
      <c r="D2822" s="93">
        <v>46.58</v>
      </c>
      <c r="E2822" s="93">
        <v>23.67</v>
      </c>
      <c r="F2822" s="93">
        <v>22.91</v>
      </c>
      <c r="G2822" s="93">
        <v>0</v>
      </c>
      <c r="H2822" s="93">
        <v>0</v>
      </c>
      <c r="N2822" s="88"/>
      <c r="O2822" s="88"/>
      <c r="P2822" s="88"/>
    </row>
    <row r="2823" spans="1:16">
      <c r="A2823" s="94">
        <v>92033</v>
      </c>
      <c r="B2823" s="87" t="s">
        <v>2567</v>
      </c>
      <c r="C2823" s="12" t="s">
        <v>4</v>
      </c>
      <c r="D2823" s="93">
        <v>51.97</v>
      </c>
      <c r="E2823" s="93">
        <v>25.81</v>
      </c>
      <c r="F2823" s="93">
        <v>26.16</v>
      </c>
      <c r="G2823" s="93">
        <v>0</v>
      </c>
      <c r="H2823" s="93">
        <v>0</v>
      </c>
      <c r="N2823" s="88"/>
      <c r="O2823" s="88"/>
      <c r="P2823" s="88"/>
    </row>
    <row r="2824" spans="1:16">
      <c r="A2824" s="94">
        <v>92034</v>
      </c>
      <c r="B2824" s="87" t="s">
        <v>2568</v>
      </c>
      <c r="C2824" s="12" t="s">
        <v>4</v>
      </c>
      <c r="D2824" s="93">
        <v>42.16</v>
      </c>
      <c r="E2824" s="93">
        <v>21.24</v>
      </c>
      <c r="F2824" s="93">
        <v>20.92</v>
      </c>
      <c r="G2824" s="93">
        <v>0</v>
      </c>
      <c r="H2824" s="93">
        <v>0</v>
      </c>
      <c r="N2824" s="88"/>
      <c r="O2824" s="88"/>
      <c r="P2824" s="88"/>
    </row>
    <row r="2825" spans="1:16">
      <c r="A2825" s="94">
        <v>92035</v>
      </c>
      <c r="B2825" s="87" t="s">
        <v>2569</v>
      </c>
      <c r="C2825" s="12" t="s">
        <v>4</v>
      </c>
      <c r="D2825" s="93">
        <v>47.55</v>
      </c>
      <c r="E2825" s="93">
        <v>23.38</v>
      </c>
      <c r="F2825" s="93">
        <v>24.17</v>
      </c>
      <c r="G2825" s="93">
        <v>0</v>
      </c>
      <c r="H2825" s="93">
        <v>0</v>
      </c>
      <c r="N2825" s="88"/>
      <c r="O2825" s="88"/>
      <c r="P2825" s="88"/>
    </row>
    <row r="2826" spans="1:16">
      <c r="A2826" s="94">
        <v>97583</v>
      </c>
      <c r="B2826" s="87" t="s">
        <v>2570</v>
      </c>
      <c r="C2826" s="12" t="s">
        <v>4</v>
      </c>
      <c r="D2826" s="93">
        <v>51.4</v>
      </c>
      <c r="E2826" s="93">
        <v>8.14</v>
      </c>
      <c r="F2826" s="93">
        <v>43.26</v>
      </c>
      <c r="G2826" s="93">
        <v>0</v>
      </c>
      <c r="H2826" s="93">
        <v>0</v>
      </c>
      <c r="N2826" s="88"/>
      <c r="O2826" s="88"/>
      <c r="P2826" s="88"/>
    </row>
    <row r="2827" spans="1:16">
      <c r="A2827" s="94">
        <v>97584</v>
      </c>
      <c r="B2827" s="87" t="s">
        <v>2571</v>
      </c>
      <c r="C2827" s="12" t="s">
        <v>4</v>
      </c>
      <c r="D2827" s="93">
        <v>70.84</v>
      </c>
      <c r="E2827" s="93">
        <v>8.14</v>
      </c>
      <c r="F2827" s="93">
        <v>62.7</v>
      </c>
      <c r="G2827" s="93">
        <v>0</v>
      </c>
      <c r="H2827" s="93">
        <v>0</v>
      </c>
      <c r="N2827" s="88"/>
      <c r="O2827" s="88"/>
      <c r="P2827" s="88"/>
    </row>
    <row r="2828" spans="1:16">
      <c r="A2828" s="94">
        <v>97585</v>
      </c>
      <c r="B2828" s="87" t="s">
        <v>2572</v>
      </c>
      <c r="C2828" s="12" t="s">
        <v>4</v>
      </c>
      <c r="D2828" s="93">
        <v>68.62</v>
      </c>
      <c r="E2828" s="93">
        <v>9.27</v>
      </c>
      <c r="F2828" s="93">
        <v>59.35</v>
      </c>
      <c r="G2828" s="93">
        <v>0</v>
      </c>
      <c r="H2828" s="93">
        <v>0</v>
      </c>
      <c r="N2828" s="88"/>
      <c r="O2828" s="88"/>
      <c r="P2828" s="88"/>
    </row>
    <row r="2829" spans="1:16">
      <c r="A2829" s="94">
        <v>97586</v>
      </c>
      <c r="B2829" s="87" t="s">
        <v>2573</v>
      </c>
      <c r="C2829" s="12" t="s">
        <v>4</v>
      </c>
      <c r="D2829" s="93">
        <v>92.1</v>
      </c>
      <c r="E2829" s="93">
        <v>9.26</v>
      </c>
      <c r="F2829" s="93">
        <v>82.84</v>
      </c>
      <c r="G2829" s="93">
        <v>0</v>
      </c>
      <c r="H2829" s="93">
        <v>0</v>
      </c>
      <c r="N2829" s="88"/>
      <c r="O2829" s="88"/>
      <c r="P2829" s="88"/>
    </row>
    <row r="2830" spans="1:16">
      <c r="A2830" s="94">
        <v>97587</v>
      </c>
      <c r="B2830" s="87" t="s">
        <v>2574</v>
      </c>
      <c r="C2830" s="12" t="s">
        <v>4</v>
      </c>
      <c r="D2830" s="93">
        <v>165.11</v>
      </c>
      <c r="E2830" s="93">
        <v>7.93</v>
      </c>
      <c r="F2830" s="93">
        <v>157.18</v>
      </c>
      <c r="G2830" s="93">
        <v>0</v>
      </c>
      <c r="H2830" s="93">
        <v>0</v>
      </c>
      <c r="N2830" s="88"/>
      <c r="O2830" s="88"/>
      <c r="P2830" s="88"/>
    </row>
    <row r="2831" spans="1:16">
      <c r="A2831" s="94">
        <v>97589</v>
      </c>
      <c r="B2831" s="87" t="s">
        <v>2575</v>
      </c>
      <c r="C2831" s="12" t="s">
        <v>4</v>
      </c>
      <c r="D2831" s="93">
        <v>29.99</v>
      </c>
      <c r="E2831" s="93">
        <v>11.98</v>
      </c>
      <c r="F2831" s="93">
        <v>18.010000000000002</v>
      </c>
      <c r="G2831" s="93">
        <v>0</v>
      </c>
      <c r="H2831" s="93">
        <v>0</v>
      </c>
      <c r="N2831" s="88"/>
      <c r="O2831" s="88"/>
      <c r="P2831" s="88"/>
    </row>
    <row r="2832" spans="1:16">
      <c r="A2832" s="94">
        <v>97590</v>
      </c>
      <c r="B2832" s="87" t="s">
        <v>2576</v>
      </c>
      <c r="C2832" s="12" t="s">
        <v>4</v>
      </c>
      <c r="D2832" s="93">
        <v>62.43</v>
      </c>
      <c r="E2832" s="93">
        <v>11.97</v>
      </c>
      <c r="F2832" s="93">
        <v>50.46</v>
      </c>
      <c r="G2832" s="93">
        <v>0</v>
      </c>
      <c r="H2832" s="93">
        <v>0</v>
      </c>
      <c r="N2832" s="88"/>
      <c r="O2832" s="88"/>
      <c r="P2832" s="88"/>
    </row>
    <row r="2833" spans="1:16">
      <c r="A2833" s="94">
        <v>97591</v>
      </c>
      <c r="B2833" s="87" t="s">
        <v>2577</v>
      </c>
      <c r="C2833" s="12" t="s">
        <v>4</v>
      </c>
      <c r="D2833" s="93">
        <v>83.37</v>
      </c>
      <c r="E2833" s="93">
        <v>15.47</v>
      </c>
      <c r="F2833" s="93">
        <v>67.900000000000006</v>
      </c>
      <c r="G2833" s="93">
        <v>0</v>
      </c>
      <c r="H2833" s="93">
        <v>0</v>
      </c>
      <c r="N2833" s="88"/>
      <c r="O2833" s="88"/>
      <c r="P2833" s="88"/>
    </row>
    <row r="2834" spans="1:16">
      <c r="A2834" s="94">
        <v>97592</v>
      </c>
      <c r="B2834" s="87" t="s">
        <v>2578</v>
      </c>
      <c r="C2834" s="12" t="s">
        <v>4</v>
      </c>
      <c r="D2834" s="93">
        <v>35.97</v>
      </c>
      <c r="E2834" s="93">
        <v>11.98</v>
      </c>
      <c r="F2834" s="93">
        <v>23.99</v>
      </c>
      <c r="G2834" s="93">
        <v>0</v>
      </c>
      <c r="H2834" s="93">
        <v>0</v>
      </c>
      <c r="N2834" s="88"/>
      <c r="O2834" s="88"/>
      <c r="P2834" s="88"/>
    </row>
    <row r="2835" spans="1:16">
      <c r="A2835" s="94">
        <v>97593</v>
      </c>
      <c r="B2835" s="87" t="s">
        <v>2579</v>
      </c>
      <c r="C2835" s="12" t="s">
        <v>4</v>
      </c>
      <c r="D2835" s="93">
        <v>86.65</v>
      </c>
      <c r="E2835" s="93">
        <v>10.029999999999999</v>
      </c>
      <c r="F2835" s="93">
        <v>76.62</v>
      </c>
      <c r="G2835" s="93">
        <v>0</v>
      </c>
      <c r="H2835" s="93">
        <v>0</v>
      </c>
      <c r="N2835" s="88"/>
      <c r="O2835" s="88"/>
      <c r="P2835" s="88"/>
    </row>
    <row r="2836" spans="1:16">
      <c r="A2836" s="94">
        <v>97594</v>
      </c>
      <c r="B2836" s="87" t="s">
        <v>2580</v>
      </c>
      <c r="C2836" s="12" t="s">
        <v>4</v>
      </c>
      <c r="D2836" s="93">
        <v>82.91</v>
      </c>
      <c r="E2836" s="93">
        <v>13.04</v>
      </c>
      <c r="F2836" s="93">
        <v>69.87</v>
      </c>
      <c r="G2836" s="93">
        <v>0</v>
      </c>
      <c r="H2836" s="93">
        <v>0</v>
      </c>
      <c r="N2836" s="88"/>
      <c r="O2836" s="88"/>
      <c r="P2836" s="88"/>
    </row>
    <row r="2837" spans="1:16">
      <c r="A2837" s="94">
        <v>97595</v>
      </c>
      <c r="B2837" s="87" t="s">
        <v>2581</v>
      </c>
      <c r="C2837" s="12" t="s">
        <v>4</v>
      </c>
      <c r="D2837" s="93">
        <v>62.2</v>
      </c>
      <c r="E2837" s="93">
        <v>12.62</v>
      </c>
      <c r="F2837" s="93">
        <v>49.58</v>
      </c>
      <c r="G2837" s="93">
        <v>0</v>
      </c>
      <c r="H2837" s="93">
        <v>0</v>
      </c>
      <c r="N2837" s="88"/>
      <c r="O2837" s="88"/>
      <c r="P2837" s="88"/>
    </row>
    <row r="2838" spans="1:16">
      <c r="A2838" s="94">
        <v>97596</v>
      </c>
      <c r="B2838" s="87" t="s">
        <v>2582</v>
      </c>
      <c r="C2838" s="12" t="s">
        <v>4</v>
      </c>
      <c r="D2838" s="93">
        <v>44.68</v>
      </c>
      <c r="E2838" s="93">
        <v>12.62</v>
      </c>
      <c r="F2838" s="93">
        <v>32.06</v>
      </c>
      <c r="G2838" s="93">
        <v>0</v>
      </c>
      <c r="H2838" s="93">
        <v>0</v>
      </c>
      <c r="N2838" s="88"/>
      <c r="O2838" s="88"/>
      <c r="P2838" s="88"/>
    </row>
    <row r="2839" spans="1:16">
      <c r="A2839" s="94">
        <v>97597</v>
      </c>
      <c r="B2839" s="87" t="s">
        <v>2583</v>
      </c>
      <c r="C2839" s="12" t="s">
        <v>4</v>
      </c>
      <c r="D2839" s="93">
        <v>42.8</v>
      </c>
      <c r="E2839" s="93">
        <v>8.39</v>
      </c>
      <c r="F2839" s="93">
        <v>34.409999999999997</v>
      </c>
      <c r="G2839" s="93">
        <v>0</v>
      </c>
      <c r="H2839" s="93">
        <v>0</v>
      </c>
      <c r="N2839" s="88"/>
      <c r="O2839" s="88"/>
      <c r="P2839" s="88"/>
    </row>
    <row r="2840" spans="1:16">
      <c r="A2840" s="94">
        <v>97598</v>
      </c>
      <c r="B2840" s="87" t="s">
        <v>2584</v>
      </c>
      <c r="C2840" s="12" t="s">
        <v>4</v>
      </c>
      <c r="D2840" s="93">
        <v>40.56</v>
      </c>
      <c r="E2840" s="93">
        <v>8.39</v>
      </c>
      <c r="F2840" s="93">
        <v>32.17</v>
      </c>
      <c r="G2840" s="93">
        <v>0</v>
      </c>
      <c r="H2840" s="93">
        <v>0</v>
      </c>
      <c r="N2840" s="88"/>
      <c r="O2840" s="88"/>
      <c r="P2840" s="88"/>
    </row>
    <row r="2841" spans="1:16">
      <c r="A2841" s="94">
        <v>97599</v>
      </c>
      <c r="B2841" s="87" t="s">
        <v>2585</v>
      </c>
      <c r="C2841" s="12" t="s">
        <v>4</v>
      </c>
      <c r="D2841" s="93">
        <v>27.6</v>
      </c>
      <c r="E2841" s="93">
        <v>3.99</v>
      </c>
      <c r="F2841" s="93">
        <v>23.61</v>
      </c>
      <c r="G2841" s="93">
        <v>0</v>
      </c>
      <c r="H2841" s="93">
        <v>0</v>
      </c>
      <c r="N2841" s="88"/>
      <c r="O2841" s="88"/>
      <c r="P2841" s="88"/>
    </row>
    <row r="2842" spans="1:16">
      <c r="A2842" s="94">
        <v>97609</v>
      </c>
      <c r="B2842" s="87" t="s">
        <v>2586</v>
      </c>
      <c r="C2842" s="12" t="s">
        <v>4</v>
      </c>
      <c r="D2842" s="93">
        <v>14.89</v>
      </c>
      <c r="E2842" s="93">
        <v>3.7</v>
      </c>
      <c r="F2842" s="93">
        <v>11.19</v>
      </c>
      <c r="G2842" s="93">
        <v>0</v>
      </c>
      <c r="H2842" s="93">
        <v>0</v>
      </c>
      <c r="N2842" s="88"/>
      <c r="O2842" s="88"/>
      <c r="P2842" s="88"/>
    </row>
    <row r="2843" spans="1:16">
      <c r="A2843" s="94">
        <v>97610</v>
      </c>
      <c r="B2843" s="87" t="s">
        <v>2587</v>
      </c>
      <c r="C2843" s="12" t="s">
        <v>4</v>
      </c>
      <c r="D2843" s="93">
        <v>16.059999999999999</v>
      </c>
      <c r="E2843" s="93">
        <v>3.7</v>
      </c>
      <c r="F2843" s="93">
        <v>12.36</v>
      </c>
      <c r="G2843" s="93">
        <v>0</v>
      </c>
      <c r="H2843" s="93">
        <v>0</v>
      </c>
      <c r="N2843" s="88"/>
      <c r="O2843" s="88"/>
      <c r="P2843" s="88"/>
    </row>
    <row r="2844" spans="1:16">
      <c r="A2844" s="94">
        <v>97611</v>
      </c>
      <c r="B2844" s="87" t="s">
        <v>2588</v>
      </c>
      <c r="C2844" s="12" t="s">
        <v>4</v>
      </c>
      <c r="D2844" s="93">
        <v>17.829999999999998</v>
      </c>
      <c r="E2844" s="93">
        <v>3.7</v>
      </c>
      <c r="F2844" s="93">
        <v>14.13</v>
      </c>
      <c r="G2844" s="93">
        <v>0</v>
      </c>
      <c r="H2844" s="93">
        <v>0</v>
      </c>
      <c r="N2844" s="88"/>
      <c r="O2844" s="88"/>
      <c r="P2844" s="88"/>
    </row>
    <row r="2845" spans="1:16">
      <c r="A2845" s="94">
        <v>97612</v>
      </c>
      <c r="B2845" s="87" t="s">
        <v>2589</v>
      </c>
      <c r="C2845" s="12" t="s">
        <v>4</v>
      </c>
      <c r="D2845" s="93">
        <v>19.34</v>
      </c>
      <c r="E2845" s="93">
        <v>3.7</v>
      </c>
      <c r="F2845" s="93">
        <v>15.64</v>
      </c>
      <c r="G2845" s="93">
        <v>0</v>
      </c>
      <c r="H2845" s="93">
        <v>0</v>
      </c>
      <c r="N2845" s="88"/>
      <c r="O2845" s="88"/>
      <c r="P2845" s="88"/>
    </row>
    <row r="2846" spans="1:16">
      <c r="A2846" s="94">
        <v>97613</v>
      </c>
      <c r="B2846" s="87" t="s">
        <v>2590</v>
      </c>
      <c r="C2846" s="12" t="s">
        <v>4</v>
      </c>
      <c r="D2846" s="93">
        <v>24.35</v>
      </c>
      <c r="E2846" s="93">
        <v>3.69</v>
      </c>
      <c r="F2846" s="93">
        <v>20.66</v>
      </c>
      <c r="G2846" s="93">
        <v>0</v>
      </c>
      <c r="H2846" s="93">
        <v>0</v>
      </c>
      <c r="N2846" s="88"/>
      <c r="O2846" s="88"/>
      <c r="P2846" s="88"/>
    </row>
    <row r="2847" spans="1:16">
      <c r="A2847" s="94">
        <v>97614</v>
      </c>
      <c r="B2847" s="87" t="s">
        <v>2591</v>
      </c>
      <c r="C2847" s="12" t="s">
        <v>4</v>
      </c>
      <c r="D2847" s="93">
        <v>42.45</v>
      </c>
      <c r="E2847" s="93">
        <v>3.69</v>
      </c>
      <c r="F2847" s="93">
        <v>38.76</v>
      </c>
      <c r="G2847" s="93">
        <v>0</v>
      </c>
      <c r="H2847" s="93">
        <v>0</v>
      </c>
      <c r="N2847" s="88"/>
      <c r="O2847" s="88"/>
      <c r="P2847" s="88"/>
    </row>
    <row r="2848" spans="1:16">
      <c r="A2848" s="94">
        <v>97615</v>
      </c>
      <c r="B2848" s="87" t="s">
        <v>2592</v>
      </c>
      <c r="C2848" s="12" t="s">
        <v>4</v>
      </c>
      <c r="D2848" s="93">
        <v>35.06</v>
      </c>
      <c r="E2848" s="93">
        <v>5.53</v>
      </c>
      <c r="F2848" s="93">
        <v>29.53</v>
      </c>
      <c r="G2848" s="93">
        <v>0</v>
      </c>
      <c r="H2848" s="93">
        <v>0</v>
      </c>
      <c r="N2848" s="88"/>
      <c r="O2848" s="88"/>
      <c r="P2848" s="88"/>
    </row>
    <row r="2849" spans="1:16">
      <c r="A2849" s="94">
        <v>97616</v>
      </c>
      <c r="B2849" s="87" t="s">
        <v>2593</v>
      </c>
      <c r="C2849" s="12" t="s">
        <v>4</v>
      </c>
      <c r="D2849" s="93">
        <v>39.630000000000003</v>
      </c>
      <c r="E2849" s="93">
        <v>5.53</v>
      </c>
      <c r="F2849" s="93">
        <v>34.1</v>
      </c>
      <c r="G2849" s="93">
        <v>0</v>
      </c>
      <c r="H2849" s="93">
        <v>0</v>
      </c>
      <c r="N2849" s="88"/>
      <c r="O2849" s="88"/>
      <c r="P2849" s="88"/>
    </row>
    <row r="2850" spans="1:16">
      <c r="A2850" s="94">
        <v>97617</v>
      </c>
      <c r="B2850" s="87" t="s">
        <v>2594</v>
      </c>
      <c r="C2850" s="12" t="s">
        <v>4</v>
      </c>
      <c r="D2850" s="93">
        <v>39.4</v>
      </c>
      <c r="E2850" s="93">
        <v>5.53</v>
      </c>
      <c r="F2850" s="93">
        <v>33.869999999999997</v>
      </c>
      <c r="G2850" s="93">
        <v>0</v>
      </c>
      <c r="H2850" s="93">
        <v>0</v>
      </c>
      <c r="N2850" s="88"/>
      <c r="O2850" s="88"/>
      <c r="P2850" s="88"/>
    </row>
    <row r="2851" spans="1:16">
      <c r="A2851" s="94">
        <v>97618</v>
      </c>
      <c r="B2851" s="87" t="s">
        <v>2595</v>
      </c>
      <c r="C2851" s="12" t="s">
        <v>4</v>
      </c>
      <c r="D2851" s="93">
        <v>37.18</v>
      </c>
      <c r="E2851" s="93">
        <v>5.53</v>
      </c>
      <c r="F2851" s="93">
        <v>31.65</v>
      </c>
      <c r="G2851" s="93">
        <v>0</v>
      </c>
      <c r="H2851" s="93">
        <v>0</v>
      </c>
      <c r="N2851" s="88"/>
      <c r="O2851" s="88"/>
      <c r="P2851" s="88"/>
    </row>
    <row r="2852" spans="1:16">
      <c r="A2852" s="94">
        <v>100902</v>
      </c>
      <c r="B2852" s="87" t="s">
        <v>2596</v>
      </c>
      <c r="C2852" s="12" t="s">
        <v>4</v>
      </c>
      <c r="D2852" s="93">
        <v>23.8</v>
      </c>
      <c r="E2852" s="93">
        <v>5.54</v>
      </c>
      <c r="F2852" s="93">
        <v>18.260000000000002</v>
      </c>
      <c r="G2852" s="93">
        <v>0</v>
      </c>
      <c r="H2852" s="93">
        <v>0</v>
      </c>
      <c r="N2852" s="88"/>
      <c r="O2852" s="88"/>
      <c r="P2852" s="88"/>
    </row>
    <row r="2853" spans="1:16">
      <c r="A2853" s="94">
        <v>100903</v>
      </c>
      <c r="B2853" s="87" t="s">
        <v>2597</v>
      </c>
      <c r="C2853" s="12" t="s">
        <v>4</v>
      </c>
      <c r="D2853" s="93">
        <v>28.98</v>
      </c>
      <c r="E2853" s="93">
        <v>5.54</v>
      </c>
      <c r="F2853" s="93">
        <v>23.44</v>
      </c>
      <c r="G2853" s="93">
        <v>0</v>
      </c>
      <c r="H2853" s="93">
        <v>0</v>
      </c>
      <c r="N2853" s="88"/>
      <c r="O2853" s="88"/>
      <c r="P2853" s="88"/>
    </row>
    <row r="2854" spans="1:16">
      <c r="A2854" s="94">
        <v>100904</v>
      </c>
      <c r="B2854" s="87" t="s">
        <v>2598</v>
      </c>
      <c r="C2854" s="12" t="s">
        <v>4</v>
      </c>
      <c r="D2854" s="93">
        <v>51.4</v>
      </c>
      <c r="E2854" s="93">
        <v>8.14</v>
      </c>
      <c r="F2854" s="93">
        <v>43.26</v>
      </c>
      <c r="G2854" s="93">
        <v>0</v>
      </c>
      <c r="H2854" s="93">
        <v>0</v>
      </c>
      <c r="N2854" s="88"/>
      <c r="O2854" s="88"/>
      <c r="P2854" s="88"/>
    </row>
    <row r="2855" spans="1:16">
      <c r="A2855" s="94">
        <v>100905</v>
      </c>
      <c r="B2855" s="87" t="s">
        <v>2599</v>
      </c>
      <c r="C2855" s="12" t="s">
        <v>4</v>
      </c>
      <c r="D2855" s="93">
        <v>137.24</v>
      </c>
      <c r="E2855" s="93">
        <v>18.54</v>
      </c>
      <c r="F2855" s="93">
        <v>118.7</v>
      </c>
      <c r="G2855" s="93">
        <v>0</v>
      </c>
      <c r="H2855" s="93">
        <v>0</v>
      </c>
      <c r="N2855" s="88"/>
      <c r="O2855" s="88"/>
      <c r="P2855" s="88"/>
    </row>
    <row r="2856" spans="1:16">
      <c r="A2856" s="94">
        <v>100906</v>
      </c>
      <c r="B2856" s="87" t="s">
        <v>2600</v>
      </c>
      <c r="C2856" s="12" t="s">
        <v>4</v>
      </c>
      <c r="D2856" s="93">
        <v>184.2</v>
      </c>
      <c r="E2856" s="93">
        <v>18.53</v>
      </c>
      <c r="F2856" s="93">
        <v>165.67</v>
      </c>
      <c r="G2856" s="93">
        <v>0</v>
      </c>
      <c r="H2856" s="93">
        <v>0</v>
      </c>
      <c r="N2856" s="88"/>
      <c r="O2856" s="88"/>
      <c r="P2856" s="88"/>
    </row>
    <row r="2857" spans="1:16">
      <c r="A2857" s="94">
        <v>100919</v>
      </c>
      <c r="B2857" s="87" t="s">
        <v>2601</v>
      </c>
      <c r="C2857" s="12" t="s">
        <v>4</v>
      </c>
      <c r="D2857" s="93">
        <v>48.36</v>
      </c>
      <c r="E2857" s="93">
        <v>3.69</v>
      </c>
      <c r="F2857" s="93">
        <v>44.67</v>
      </c>
      <c r="G2857" s="93">
        <v>0</v>
      </c>
      <c r="H2857" s="93">
        <v>0</v>
      </c>
      <c r="N2857" s="88"/>
      <c r="O2857" s="88"/>
      <c r="P2857" s="88"/>
    </row>
    <row r="2858" spans="1:16">
      <c r="A2858" s="94">
        <v>100920</v>
      </c>
      <c r="B2858" s="87" t="s">
        <v>2602</v>
      </c>
      <c r="C2858" s="12" t="s">
        <v>4</v>
      </c>
      <c r="D2858" s="93">
        <v>81.73</v>
      </c>
      <c r="E2858" s="93">
        <v>3.69</v>
      </c>
      <c r="F2858" s="93">
        <v>78.040000000000006</v>
      </c>
      <c r="G2858" s="93">
        <v>0</v>
      </c>
      <c r="H2858" s="93">
        <v>0</v>
      </c>
      <c r="N2858" s="88"/>
      <c r="O2858" s="88"/>
      <c r="P2858" s="88"/>
    </row>
    <row r="2859" spans="1:16">
      <c r="A2859" s="94">
        <v>100921</v>
      </c>
      <c r="B2859" s="87" t="s">
        <v>2603</v>
      </c>
      <c r="C2859" s="12" t="s">
        <v>4</v>
      </c>
      <c r="D2859" s="93">
        <v>42.71</v>
      </c>
      <c r="E2859" s="93">
        <v>15.42</v>
      </c>
      <c r="F2859" s="93">
        <v>27.29</v>
      </c>
      <c r="G2859" s="93">
        <v>0</v>
      </c>
      <c r="H2859" s="93">
        <v>0</v>
      </c>
      <c r="N2859" s="88"/>
      <c r="O2859" s="88"/>
      <c r="P2859" s="88"/>
    </row>
    <row r="2860" spans="1:16">
      <c r="A2860" s="94">
        <v>100922</v>
      </c>
      <c r="B2860" s="87" t="s">
        <v>2604</v>
      </c>
      <c r="C2860" s="12" t="s">
        <v>4</v>
      </c>
      <c r="D2860" s="93">
        <v>30.5</v>
      </c>
      <c r="E2860" s="93">
        <v>10.62</v>
      </c>
      <c r="F2860" s="93">
        <v>19.88</v>
      </c>
      <c r="G2860" s="93">
        <v>0</v>
      </c>
      <c r="H2860" s="93">
        <v>0</v>
      </c>
      <c r="N2860" s="88"/>
      <c r="O2860" s="88"/>
      <c r="P2860" s="88"/>
    </row>
    <row r="2861" spans="1:16">
      <c r="A2861" s="94">
        <v>100923</v>
      </c>
      <c r="B2861" s="87" t="s">
        <v>2605</v>
      </c>
      <c r="C2861" s="12" t="s">
        <v>4</v>
      </c>
      <c r="D2861" s="93">
        <v>34.69</v>
      </c>
      <c r="E2861" s="93">
        <v>10.61</v>
      </c>
      <c r="F2861" s="93">
        <v>24.08</v>
      </c>
      <c r="G2861" s="93">
        <v>0</v>
      </c>
      <c r="H2861" s="93">
        <v>0</v>
      </c>
      <c r="N2861" s="88"/>
      <c r="O2861" s="88"/>
      <c r="P2861" s="88"/>
    </row>
    <row r="2862" spans="1:16">
      <c r="A2862" s="94">
        <v>73624</v>
      </c>
      <c r="B2862" s="87" t="s">
        <v>6688</v>
      </c>
      <c r="C2862" s="12" t="s">
        <v>4</v>
      </c>
      <c r="D2862" s="93">
        <v>84.57</v>
      </c>
      <c r="E2862" s="93">
        <v>44.21</v>
      </c>
      <c r="F2862" s="93">
        <v>40.36</v>
      </c>
      <c r="G2862" s="93">
        <v>0</v>
      </c>
      <c r="H2862" s="93">
        <v>0</v>
      </c>
      <c r="N2862" s="88"/>
      <c r="O2862" s="88"/>
      <c r="P2862" s="88"/>
    </row>
    <row r="2863" spans="1:16">
      <c r="A2863" s="94">
        <v>101489</v>
      </c>
      <c r="B2863" s="87" t="s">
        <v>2606</v>
      </c>
      <c r="C2863" s="12" t="s">
        <v>4</v>
      </c>
      <c r="D2863" s="93">
        <v>914.8</v>
      </c>
      <c r="E2863" s="93">
        <v>251.86</v>
      </c>
      <c r="F2863" s="93">
        <v>660.55</v>
      </c>
      <c r="G2863" s="93">
        <v>2.39</v>
      </c>
      <c r="H2863" s="93">
        <v>0</v>
      </c>
      <c r="N2863" s="88"/>
      <c r="O2863" s="88"/>
      <c r="P2863" s="88"/>
    </row>
    <row r="2864" spans="1:16">
      <c r="A2864" s="94">
        <v>101490</v>
      </c>
      <c r="B2864" s="87" t="s">
        <v>2607</v>
      </c>
      <c r="C2864" s="12" t="s">
        <v>4</v>
      </c>
      <c r="D2864" s="93">
        <v>975.08</v>
      </c>
      <c r="E2864" s="93">
        <v>264.29000000000002</v>
      </c>
      <c r="F2864" s="93">
        <v>708.4</v>
      </c>
      <c r="G2864" s="93">
        <v>2.39</v>
      </c>
      <c r="H2864" s="93">
        <v>0</v>
      </c>
      <c r="N2864" s="88"/>
      <c r="O2864" s="88"/>
      <c r="P2864" s="88"/>
    </row>
    <row r="2865" spans="1:16">
      <c r="A2865" s="94">
        <v>101491</v>
      </c>
      <c r="B2865" s="87" t="s">
        <v>2608</v>
      </c>
      <c r="C2865" s="12" t="s">
        <v>4</v>
      </c>
      <c r="D2865" s="93">
        <v>991.25</v>
      </c>
      <c r="E2865" s="93">
        <v>247.56</v>
      </c>
      <c r="F2865" s="93">
        <v>741.3</v>
      </c>
      <c r="G2865" s="93">
        <v>2.39</v>
      </c>
      <c r="H2865" s="93">
        <v>0</v>
      </c>
      <c r="N2865" s="88"/>
      <c r="O2865" s="88"/>
      <c r="P2865" s="88"/>
    </row>
    <row r="2866" spans="1:16">
      <c r="A2866" s="94">
        <v>101492</v>
      </c>
      <c r="B2866" s="87" t="s">
        <v>2609</v>
      </c>
      <c r="C2866" s="12" t="s">
        <v>4</v>
      </c>
      <c r="D2866" s="93">
        <v>1075.8900000000001</v>
      </c>
      <c r="E2866" s="93">
        <v>258.41000000000003</v>
      </c>
      <c r="F2866" s="93">
        <v>815.09</v>
      </c>
      <c r="G2866" s="93">
        <v>2.39</v>
      </c>
      <c r="H2866" s="93">
        <v>0</v>
      </c>
      <c r="N2866" s="88"/>
      <c r="O2866" s="88"/>
      <c r="P2866" s="88"/>
    </row>
    <row r="2867" spans="1:16">
      <c r="A2867" s="94">
        <v>101493</v>
      </c>
      <c r="B2867" s="87" t="s">
        <v>2610</v>
      </c>
      <c r="C2867" s="12" t="s">
        <v>4</v>
      </c>
      <c r="D2867" s="93">
        <v>902.66</v>
      </c>
      <c r="E2867" s="93">
        <v>240.46</v>
      </c>
      <c r="F2867" s="93">
        <v>659.81</v>
      </c>
      <c r="G2867" s="93">
        <v>2.39</v>
      </c>
      <c r="H2867" s="93">
        <v>0</v>
      </c>
      <c r="N2867" s="88"/>
      <c r="O2867" s="88"/>
      <c r="P2867" s="88"/>
    </row>
    <row r="2868" spans="1:16">
      <c r="A2868" s="94">
        <v>101494</v>
      </c>
      <c r="B2868" s="87" t="s">
        <v>2611</v>
      </c>
      <c r="C2868" s="12" t="s">
        <v>4</v>
      </c>
      <c r="D2868" s="93">
        <v>962.94</v>
      </c>
      <c r="E2868" s="93">
        <v>252.89</v>
      </c>
      <c r="F2868" s="93">
        <v>707.66</v>
      </c>
      <c r="G2868" s="93">
        <v>2.39</v>
      </c>
      <c r="H2868" s="93">
        <v>0</v>
      </c>
      <c r="N2868" s="88"/>
      <c r="O2868" s="88"/>
      <c r="P2868" s="88"/>
    </row>
    <row r="2869" spans="1:16">
      <c r="A2869" s="94">
        <v>101495</v>
      </c>
      <c r="B2869" s="87" t="s">
        <v>2612</v>
      </c>
      <c r="C2869" s="12" t="s">
        <v>4</v>
      </c>
      <c r="D2869" s="93">
        <v>979.11</v>
      </c>
      <c r="E2869" s="93">
        <v>236.15</v>
      </c>
      <c r="F2869" s="93">
        <v>740.57</v>
      </c>
      <c r="G2869" s="93">
        <v>2.39</v>
      </c>
      <c r="H2869" s="93">
        <v>0</v>
      </c>
      <c r="N2869" s="88"/>
      <c r="O2869" s="88"/>
      <c r="P2869" s="88"/>
    </row>
    <row r="2870" spans="1:16">
      <c r="A2870" s="94">
        <v>101496</v>
      </c>
      <c r="B2870" s="87" t="s">
        <v>2613</v>
      </c>
      <c r="C2870" s="12" t="s">
        <v>4</v>
      </c>
      <c r="D2870" s="93">
        <v>1063.75</v>
      </c>
      <c r="E2870" s="93">
        <v>247.01</v>
      </c>
      <c r="F2870" s="93">
        <v>814.35</v>
      </c>
      <c r="G2870" s="93">
        <v>2.39</v>
      </c>
      <c r="H2870" s="93">
        <v>0</v>
      </c>
      <c r="N2870" s="88"/>
      <c r="O2870" s="88"/>
      <c r="P2870" s="88"/>
    </row>
    <row r="2871" spans="1:16">
      <c r="A2871" s="94">
        <v>101497</v>
      </c>
      <c r="B2871" s="87" t="s">
        <v>2614</v>
      </c>
      <c r="C2871" s="12" t="s">
        <v>4</v>
      </c>
      <c r="D2871" s="93">
        <v>1087.2</v>
      </c>
      <c r="E2871" s="93">
        <v>270.17</v>
      </c>
      <c r="F2871" s="93">
        <v>814.64</v>
      </c>
      <c r="G2871" s="93">
        <v>2.39</v>
      </c>
      <c r="H2871" s="93">
        <v>0</v>
      </c>
      <c r="N2871" s="88"/>
      <c r="O2871" s="88"/>
      <c r="P2871" s="88"/>
    </row>
    <row r="2872" spans="1:16">
      <c r="A2872" s="94">
        <v>101498</v>
      </c>
      <c r="B2872" s="87" t="s">
        <v>2615</v>
      </c>
      <c r="C2872" s="12" t="s">
        <v>4</v>
      </c>
      <c r="D2872" s="93">
        <v>1178.44</v>
      </c>
      <c r="E2872" s="93">
        <v>288.98</v>
      </c>
      <c r="F2872" s="93">
        <v>887.07</v>
      </c>
      <c r="G2872" s="93">
        <v>2.39</v>
      </c>
      <c r="H2872" s="93">
        <v>0</v>
      </c>
      <c r="N2872" s="88"/>
      <c r="O2872" s="88"/>
      <c r="P2872" s="88"/>
    </row>
    <row r="2873" spans="1:16">
      <c r="A2873" s="94">
        <v>101499</v>
      </c>
      <c r="B2873" s="87" t="s">
        <v>2616</v>
      </c>
      <c r="C2873" s="12" t="s">
        <v>4</v>
      </c>
      <c r="D2873" s="93">
        <v>1202.92</v>
      </c>
      <c r="E2873" s="93">
        <v>263.63</v>
      </c>
      <c r="F2873" s="93">
        <v>936.9</v>
      </c>
      <c r="G2873" s="93">
        <v>2.39</v>
      </c>
      <c r="H2873" s="93">
        <v>0</v>
      </c>
      <c r="N2873" s="88"/>
      <c r="O2873" s="88"/>
      <c r="P2873" s="88"/>
    </row>
    <row r="2874" spans="1:16">
      <c r="A2874" s="94">
        <v>101500</v>
      </c>
      <c r="B2874" s="87" t="s">
        <v>2617</v>
      </c>
      <c r="C2874" s="12" t="s">
        <v>4</v>
      </c>
      <c r="D2874" s="93">
        <v>1321.4</v>
      </c>
      <c r="E2874" s="93">
        <v>276.08</v>
      </c>
      <c r="F2874" s="93">
        <v>1042.93</v>
      </c>
      <c r="G2874" s="93">
        <v>2.39</v>
      </c>
      <c r="H2874" s="93">
        <v>0</v>
      </c>
      <c r="N2874" s="88"/>
      <c r="O2874" s="88"/>
      <c r="P2874" s="88"/>
    </row>
    <row r="2875" spans="1:16">
      <c r="A2875" s="94">
        <v>101501</v>
      </c>
      <c r="B2875" s="87" t="s">
        <v>2618</v>
      </c>
      <c r="C2875" s="12" t="s">
        <v>4</v>
      </c>
      <c r="D2875" s="93">
        <v>1081.1199999999999</v>
      </c>
      <c r="E2875" s="93">
        <v>261</v>
      </c>
      <c r="F2875" s="93">
        <v>817.73</v>
      </c>
      <c r="G2875" s="93">
        <v>2.39</v>
      </c>
      <c r="H2875" s="93">
        <v>0</v>
      </c>
      <c r="N2875" s="88"/>
      <c r="O2875" s="88"/>
      <c r="P2875" s="88"/>
    </row>
    <row r="2876" spans="1:16">
      <c r="A2876" s="94">
        <v>101502</v>
      </c>
      <c r="B2876" s="87" t="s">
        <v>2619</v>
      </c>
      <c r="C2876" s="12" t="s">
        <v>4</v>
      </c>
      <c r="D2876" s="93">
        <v>1172.3599999999999</v>
      </c>
      <c r="E2876" s="93">
        <v>279.81</v>
      </c>
      <c r="F2876" s="93">
        <v>890.16</v>
      </c>
      <c r="G2876" s="93">
        <v>2.39</v>
      </c>
      <c r="H2876" s="93">
        <v>0</v>
      </c>
      <c r="N2876" s="88"/>
      <c r="O2876" s="88"/>
      <c r="P2876" s="88"/>
    </row>
    <row r="2877" spans="1:16">
      <c r="A2877" s="94">
        <v>101503</v>
      </c>
      <c r="B2877" s="87" t="s">
        <v>2620</v>
      </c>
      <c r="C2877" s="12" t="s">
        <v>4</v>
      </c>
      <c r="D2877" s="93">
        <v>1196.8399999999999</v>
      </c>
      <c r="E2877" s="93">
        <v>254.45</v>
      </c>
      <c r="F2877" s="93">
        <v>940</v>
      </c>
      <c r="G2877" s="93">
        <v>2.39</v>
      </c>
      <c r="H2877" s="93">
        <v>0</v>
      </c>
      <c r="N2877" s="88"/>
      <c r="O2877" s="88"/>
      <c r="P2877" s="88"/>
    </row>
    <row r="2878" spans="1:16">
      <c r="A2878" s="94">
        <v>101504</v>
      </c>
      <c r="B2878" s="87" t="s">
        <v>2621</v>
      </c>
      <c r="C2878" s="12" t="s">
        <v>4</v>
      </c>
      <c r="D2878" s="93">
        <v>1315.32</v>
      </c>
      <c r="E2878" s="93">
        <v>266.89999999999998</v>
      </c>
      <c r="F2878" s="93">
        <v>1046.03</v>
      </c>
      <c r="G2878" s="93">
        <v>2.39</v>
      </c>
      <c r="H2878" s="93">
        <v>0</v>
      </c>
      <c r="N2878" s="88"/>
      <c r="O2878" s="88"/>
      <c r="P2878" s="88"/>
    </row>
    <row r="2879" spans="1:16">
      <c r="A2879" s="94">
        <v>101505</v>
      </c>
      <c r="B2879" s="87" t="s">
        <v>2622</v>
      </c>
      <c r="C2879" s="12" t="s">
        <v>4</v>
      </c>
      <c r="D2879" s="93">
        <v>1165.3499999999999</v>
      </c>
      <c r="E2879" s="93">
        <v>288.3</v>
      </c>
      <c r="F2879" s="93">
        <v>874.66</v>
      </c>
      <c r="G2879" s="93">
        <v>2.39</v>
      </c>
      <c r="H2879" s="93">
        <v>0</v>
      </c>
      <c r="N2879" s="88"/>
      <c r="O2879" s="88"/>
      <c r="P2879" s="88"/>
    </row>
    <row r="2880" spans="1:16">
      <c r="A2880" s="94">
        <v>101506</v>
      </c>
      <c r="B2880" s="87" t="s">
        <v>2623</v>
      </c>
      <c r="C2880" s="12" t="s">
        <v>4</v>
      </c>
      <c r="D2880" s="93">
        <v>1287.01</v>
      </c>
      <c r="E2880" s="93">
        <v>313.38</v>
      </c>
      <c r="F2880" s="93">
        <v>971.24</v>
      </c>
      <c r="G2880" s="93">
        <v>2.39</v>
      </c>
      <c r="H2880" s="93">
        <v>0</v>
      </c>
      <c r="N2880" s="88"/>
      <c r="O2880" s="88"/>
      <c r="P2880" s="88"/>
    </row>
    <row r="2881" spans="1:16">
      <c r="A2881" s="94">
        <v>101507</v>
      </c>
      <c r="B2881" s="87" t="s">
        <v>2624</v>
      </c>
      <c r="C2881" s="12" t="s">
        <v>4</v>
      </c>
      <c r="D2881" s="93">
        <v>1319.64</v>
      </c>
      <c r="E2881" s="93">
        <v>279.57</v>
      </c>
      <c r="F2881" s="93">
        <v>1037.68</v>
      </c>
      <c r="G2881" s="93">
        <v>2.39</v>
      </c>
      <c r="H2881" s="93">
        <v>0</v>
      </c>
      <c r="N2881" s="88"/>
      <c r="O2881" s="88"/>
      <c r="P2881" s="88"/>
    </row>
    <row r="2882" spans="1:16">
      <c r="A2882" s="94">
        <v>101508</v>
      </c>
      <c r="B2882" s="87" t="s">
        <v>2625</v>
      </c>
      <c r="C2882" s="12" t="s">
        <v>4</v>
      </c>
      <c r="D2882" s="93">
        <v>1471.37</v>
      </c>
      <c r="E2882" s="93">
        <v>293.60000000000002</v>
      </c>
      <c r="F2882" s="93">
        <v>1175.3800000000001</v>
      </c>
      <c r="G2882" s="93">
        <v>2.39</v>
      </c>
      <c r="H2882" s="93">
        <v>0</v>
      </c>
      <c r="N2882" s="88"/>
      <c r="O2882" s="88"/>
      <c r="P2882" s="88"/>
    </row>
    <row r="2883" spans="1:16">
      <c r="A2883" s="94">
        <v>101509</v>
      </c>
      <c r="B2883" s="87" t="s">
        <v>2626</v>
      </c>
      <c r="C2883" s="12" t="s">
        <v>4</v>
      </c>
      <c r="D2883" s="93">
        <v>1269.44</v>
      </c>
      <c r="E2883" s="93">
        <v>279.42</v>
      </c>
      <c r="F2883" s="93">
        <v>987.63</v>
      </c>
      <c r="G2883" s="93">
        <v>2.39</v>
      </c>
      <c r="H2883" s="93">
        <v>0</v>
      </c>
      <c r="N2883" s="88"/>
      <c r="O2883" s="88"/>
      <c r="P2883" s="88"/>
    </row>
    <row r="2884" spans="1:16">
      <c r="A2884" s="94">
        <v>101510</v>
      </c>
      <c r="B2884" s="87" t="s">
        <v>2627</v>
      </c>
      <c r="C2884" s="12" t="s">
        <v>4</v>
      </c>
      <c r="D2884" s="93">
        <v>1391.1</v>
      </c>
      <c r="E2884" s="93">
        <v>304.5</v>
      </c>
      <c r="F2884" s="93">
        <v>1084.21</v>
      </c>
      <c r="G2884" s="93">
        <v>2.39</v>
      </c>
      <c r="H2884" s="93">
        <v>0</v>
      </c>
      <c r="N2884" s="88"/>
      <c r="O2884" s="88"/>
      <c r="P2884" s="88"/>
    </row>
    <row r="2885" spans="1:16">
      <c r="A2885" s="94">
        <v>101511</v>
      </c>
      <c r="B2885" s="87" t="s">
        <v>2628</v>
      </c>
      <c r="C2885" s="12" t="s">
        <v>4</v>
      </c>
      <c r="D2885" s="93">
        <v>1423.73</v>
      </c>
      <c r="E2885" s="93">
        <v>270.68</v>
      </c>
      <c r="F2885" s="93">
        <v>1150.6600000000001</v>
      </c>
      <c r="G2885" s="93">
        <v>2.39</v>
      </c>
      <c r="H2885" s="93">
        <v>0</v>
      </c>
      <c r="N2885" s="88"/>
      <c r="O2885" s="88"/>
      <c r="P2885" s="88"/>
    </row>
    <row r="2886" spans="1:16">
      <c r="A2886" s="94">
        <v>101512</v>
      </c>
      <c r="B2886" s="87" t="s">
        <v>2629</v>
      </c>
      <c r="C2886" s="12" t="s">
        <v>4</v>
      </c>
      <c r="D2886" s="93">
        <v>1575.46</v>
      </c>
      <c r="E2886" s="93">
        <v>284.72000000000003</v>
      </c>
      <c r="F2886" s="93">
        <v>1288.3499999999999</v>
      </c>
      <c r="G2886" s="93">
        <v>2.39</v>
      </c>
      <c r="H2886" s="93">
        <v>0</v>
      </c>
      <c r="N2886" s="88"/>
      <c r="O2886" s="88"/>
      <c r="P2886" s="88"/>
    </row>
    <row r="2887" spans="1:16">
      <c r="A2887" s="94">
        <v>101513</v>
      </c>
      <c r="B2887" s="87" t="s">
        <v>2630</v>
      </c>
      <c r="C2887" s="12" t="s">
        <v>4</v>
      </c>
      <c r="D2887" s="93">
        <v>503.66</v>
      </c>
      <c r="E2887" s="93">
        <v>112.01</v>
      </c>
      <c r="F2887" s="93">
        <v>391.65</v>
      </c>
      <c r="G2887" s="93">
        <v>0</v>
      </c>
      <c r="H2887" s="93">
        <v>0</v>
      </c>
      <c r="N2887" s="88"/>
      <c r="O2887" s="88"/>
      <c r="P2887" s="88"/>
    </row>
    <row r="2888" spans="1:16">
      <c r="A2888" s="94">
        <v>101514</v>
      </c>
      <c r="B2888" s="87" t="s">
        <v>2631</v>
      </c>
      <c r="C2888" s="12" t="s">
        <v>4</v>
      </c>
      <c r="D2888" s="93">
        <v>576</v>
      </c>
      <c r="E2888" s="93">
        <v>126.92</v>
      </c>
      <c r="F2888" s="93">
        <v>449.08</v>
      </c>
      <c r="G2888" s="93">
        <v>0</v>
      </c>
      <c r="H2888" s="93">
        <v>0</v>
      </c>
      <c r="N2888" s="88"/>
      <c r="O2888" s="88"/>
      <c r="P2888" s="88"/>
    </row>
    <row r="2889" spans="1:16">
      <c r="A2889" s="94">
        <v>101515</v>
      </c>
      <c r="B2889" s="87" t="s">
        <v>2632</v>
      </c>
      <c r="C2889" s="12" t="s">
        <v>4</v>
      </c>
      <c r="D2889" s="93">
        <v>595.4</v>
      </c>
      <c r="E2889" s="93">
        <v>106.77</v>
      </c>
      <c r="F2889" s="93">
        <v>488.63</v>
      </c>
      <c r="G2889" s="93">
        <v>0</v>
      </c>
      <c r="H2889" s="93">
        <v>0</v>
      </c>
      <c r="N2889" s="88"/>
      <c r="O2889" s="88"/>
      <c r="P2889" s="88"/>
    </row>
    <row r="2890" spans="1:16">
      <c r="A2890" s="94">
        <v>101516</v>
      </c>
      <c r="B2890" s="87" t="s">
        <v>2633</v>
      </c>
      <c r="C2890" s="12" t="s">
        <v>4</v>
      </c>
      <c r="D2890" s="93">
        <v>674.47</v>
      </c>
      <c r="E2890" s="93">
        <v>110.5</v>
      </c>
      <c r="F2890" s="93">
        <v>563.97</v>
      </c>
      <c r="G2890" s="93">
        <v>0</v>
      </c>
      <c r="H2890" s="93">
        <v>0</v>
      </c>
      <c r="N2890" s="88"/>
      <c r="O2890" s="88"/>
      <c r="P2890" s="88"/>
    </row>
    <row r="2891" spans="1:16">
      <c r="A2891" s="94">
        <v>101517</v>
      </c>
      <c r="B2891" s="87" t="s">
        <v>2634</v>
      </c>
      <c r="C2891" s="12" t="s">
        <v>4</v>
      </c>
      <c r="D2891" s="93">
        <v>491.52</v>
      </c>
      <c r="E2891" s="93">
        <v>100.6</v>
      </c>
      <c r="F2891" s="93">
        <v>390.92</v>
      </c>
      <c r="G2891" s="93">
        <v>0</v>
      </c>
      <c r="H2891" s="93">
        <v>0</v>
      </c>
      <c r="N2891" s="88"/>
      <c r="O2891" s="88"/>
      <c r="P2891" s="88"/>
    </row>
    <row r="2892" spans="1:16">
      <c r="A2892" s="94">
        <v>101518</v>
      </c>
      <c r="B2892" s="87" t="s">
        <v>2635</v>
      </c>
      <c r="C2892" s="12" t="s">
        <v>4</v>
      </c>
      <c r="D2892" s="93">
        <v>563.86</v>
      </c>
      <c r="E2892" s="93">
        <v>115.52</v>
      </c>
      <c r="F2892" s="93">
        <v>448.34</v>
      </c>
      <c r="G2892" s="93">
        <v>0</v>
      </c>
      <c r="H2892" s="93">
        <v>0</v>
      </c>
      <c r="N2892" s="88"/>
      <c r="O2892" s="88"/>
      <c r="P2892" s="88"/>
    </row>
    <row r="2893" spans="1:16">
      <c r="A2893" s="94">
        <v>101519</v>
      </c>
      <c r="B2893" s="87" t="s">
        <v>2636</v>
      </c>
      <c r="C2893" s="12" t="s">
        <v>4</v>
      </c>
      <c r="D2893" s="93">
        <v>583.26</v>
      </c>
      <c r="E2893" s="93">
        <v>95.36</v>
      </c>
      <c r="F2893" s="93">
        <v>487.9</v>
      </c>
      <c r="G2893" s="93">
        <v>0</v>
      </c>
      <c r="H2893" s="93">
        <v>0</v>
      </c>
      <c r="N2893" s="88"/>
      <c r="O2893" s="88"/>
      <c r="P2893" s="88"/>
    </row>
    <row r="2894" spans="1:16">
      <c r="A2894" s="94">
        <v>101520</v>
      </c>
      <c r="B2894" s="87" t="s">
        <v>2637</v>
      </c>
      <c r="C2894" s="12" t="s">
        <v>4</v>
      </c>
      <c r="D2894" s="93">
        <v>662.33</v>
      </c>
      <c r="E2894" s="93">
        <v>99.09</v>
      </c>
      <c r="F2894" s="93">
        <v>563.24</v>
      </c>
      <c r="G2894" s="93">
        <v>0</v>
      </c>
      <c r="H2894" s="93">
        <v>0</v>
      </c>
      <c r="N2894" s="88"/>
      <c r="O2894" s="88"/>
      <c r="P2894" s="88"/>
    </row>
    <row r="2895" spans="1:16">
      <c r="A2895" s="94">
        <v>101521</v>
      </c>
      <c r="B2895" s="87" t="s">
        <v>2638</v>
      </c>
      <c r="C2895" s="12" t="s">
        <v>4</v>
      </c>
      <c r="D2895" s="93">
        <v>686.01</v>
      </c>
      <c r="E2895" s="93">
        <v>132.44</v>
      </c>
      <c r="F2895" s="93">
        <v>553.57000000000005</v>
      </c>
      <c r="G2895" s="93">
        <v>0</v>
      </c>
      <c r="H2895" s="93">
        <v>0</v>
      </c>
      <c r="N2895" s="88"/>
      <c r="O2895" s="88"/>
      <c r="P2895" s="88"/>
    </row>
    <row r="2896" spans="1:16">
      <c r="A2896" s="94">
        <v>101522</v>
      </c>
      <c r="B2896" s="87" t="s">
        <v>2639</v>
      </c>
      <c r="C2896" s="12" t="s">
        <v>4</v>
      </c>
      <c r="D2896" s="93">
        <v>794.52</v>
      </c>
      <c r="E2896" s="93">
        <v>154.82</v>
      </c>
      <c r="F2896" s="93">
        <v>639.70000000000005</v>
      </c>
      <c r="G2896" s="93">
        <v>0</v>
      </c>
      <c r="H2896" s="93">
        <v>0</v>
      </c>
      <c r="N2896" s="88"/>
      <c r="O2896" s="88"/>
      <c r="P2896" s="88"/>
    </row>
    <row r="2897" spans="1:16">
      <c r="A2897" s="94">
        <v>101523</v>
      </c>
      <c r="B2897" s="87" t="s">
        <v>2640</v>
      </c>
      <c r="C2897" s="12" t="s">
        <v>4</v>
      </c>
      <c r="D2897" s="93">
        <v>823.62</v>
      </c>
      <c r="E2897" s="93">
        <v>124.58</v>
      </c>
      <c r="F2897" s="93">
        <v>699.04</v>
      </c>
      <c r="G2897" s="93">
        <v>0</v>
      </c>
      <c r="H2897" s="93">
        <v>0</v>
      </c>
      <c r="N2897" s="88"/>
      <c r="O2897" s="88"/>
      <c r="P2897" s="88"/>
    </row>
    <row r="2898" spans="1:16">
      <c r="A2898" s="94">
        <v>101524</v>
      </c>
      <c r="B2898" s="87" t="s">
        <v>2641</v>
      </c>
      <c r="C2898" s="12" t="s">
        <v>4</v>
      </c>
      <c r="D2898" s="93">
        <v>942.22</v>
      </c>
      <c r="E2898" s="93">
        <v>130.19999999999999</v>
      </c>
      <c r="F2898" s="93">
        <v>812.02</v>
      </c>
      <c r="G2898" s="93">
        <v>0</v>
      </c>
      <c r="H2898" s="93">
        <v>0</v>
      </c>
      <c r="N2898" s="88"/>
      <c r="O2898" s="88"/>
      <c r="P2898" s="88"/>
    </row>
    <row r="2899" spans="1:16">
      <c r="A2899" s="94">
        <v>101525</v>
      </c>
      <c r="B2899" s="87" t="s">
        <v>2642</v>
      </c>
      <c r="C2899" s="12" t="s">
        <v>4</v>
      </c>
      <c r="D2899" s="93">
        <v>679.93</v>
      </c>
      <c r="E2899" s="93">
        <v>123.24</v>
      </c>
      <c r="F2899" s="93">
        <v>556.69000000000005</v>
      </c>
      <c r="G2899" s="93">
        <v>0</v>
      </c>
      <c r="H2899" s="93">
        <v>0</v>
      </c>
      <c r="N2899" s="88"/>
      <c r="O2899" s="88"/>
      <c r="P2899" s="88"/>
    </row>
    <row r="2900" spans="1:16">
      <c r="A2900" s="94">
        <v>101526</v>
      </c>
      <c r="B2900" s="87" t="s">
        <v>2643</v>
      </c>
      <c r="C2900" s="12" t="s">
        <v>4</v>
      </c>
      <c r="D2900" s="93">
        <v>788.44</v>
      </c>
      <c r="E2900" s="93">
        <v>145.63</v>
      </c>
      <c r="F2900" s="93">
        <v>642.80999999999995</v>
      </c>
      <c r="G2900" s="93">
        <v>0</v>
      </c>
      <c r="H2900" s="93">
        <v>0</v>
      </c>
      <c r="N2900" s="88"/>
      <c r="O2900" s="88"/>
      <c r="P2900" s="88"/>
    </row>
    <row r="2901" spans="1:16">
      <c r="A2901" s="94">
        <v>101527</v>
      </c>
      <c r="B2901" s="87" t="s">
        <v>2644</v>
      </c>
      <c r="C2901" s="12" t="s">
        <v>4</v>
      </c>
      <c r="D2901" s="93">
        <v>817.54</v>
      </c>
      <c r="E2901" s="93">
        <v>115.37</v>
      </c>
      <c r="F2901" s="93">
        <v>702.17</v>
      </c>
      <c r="G2901" s="93">
        <v>0</v>
      </c>
      <c r="H2901" s="93">
        <v>0</v>
      </c>
      <c r="N2901" s="88"/>
      <c r="O2901" s="88"/>
      <c r="P2901" s="88"/>
    </row>
    <row r="2902" spans="1:16">
      <c r="A2902" s="94">
        <v>101528</v>
      </c>
      <c r="B2902" s="87" t="s">
        <v>2645</v>
      </c>
      <c r="C2902" s="12" t="s">
        <v>4</v>
      </c>
      <c r="D2902" s="93">
        <v>936.14</v>
      </c>
      <c r="E2902" s="93">
        <v>121</v>
      </c>
      <c r="F2902" s="93">
        <v>815.14</v>
      </c>
      <c r="G2902" s="93">
        <v>0</v>
      </c>
      <c r="H2902" s="93">
        <v>0</v>
      </c>
      <c r="N2902" s="88"/>
      <c r="O2902" s="88"/>
      <c r="P2902" s="88"/>
    </row>
    <row r="2903" spans="1:16">
      <c r="A2903" s="94">
        <v>101529</v>
      </c>
      <c r="B2903" s="87" t="s">
        <v>2646</v>
      </c>
      <c r="C2903" s="12" t="s">
        <v>4</v>
      </c>
      <c r="D2903" s="93">
        <v>775.15</v>
      </c>
      <c r="E2903" s="93">
        <v>152.94</v>
      </c>
      <c r="F2903" s="93">
        <v>622.21</v>
      </c>
      <c r="G2903" s="93">
        <v>0</v>
      </c>
      <c r="H2903" s="93">
        <v>0</v>
      </c>
      <c r="N2903" s="88"/>
      <c r="O2903" s="88"/>
      <c r="P2903" s="88"/>
    </row>
    <row r="2904" spans="1:16">
      <c r="A2904" s="94">
        <v>101530</v>
      </c>
      <c r="B2904" s="87" t="s">
        <v>2647</v>
      </c>
      <c r="C2904" s="12" t="s">
        <v>4</v>
      </c>
      <c r="D2904" s="93">
        <v>919.83</v>
      </c>
      <c r="E2904" s="93">
        <v>182.78</v>
      </c>
      <c r="F2904" s="93">
        <v>737.05</v>
      </c>
      <c r="G2904" s="93">
        <v>0</v>
      </c>
      <c r="H2904" s="93">
        <v>0</v>
      </c>
      <c r="N2904" s="88"/>
      <c r="O2904" s="88"/>
      <c r="P2904" s="88"/>
    </row>
    <row r="2905" spans="1:16">
      <c r="A2905" s="94">
        <v>101531</v>
      </c>
      <c r="B2905" s="87" t="s">
        <v>2648</v>
      </c>
      <c r="C2905" s="12" t="s">
        <v>4</v>
      </c>
      <c r="D2905" s="93">
        <v>958.63</v>
      </c>
      <c r="E2905" s="93">
        <v>142.44999999999999</v>
      </c>
      <c r="F2905" s="93">
        <v>816.18</v>
      </c>
      <c r="G2905" s="93">
        <v>0</v>
      </c>
      <c r="H2905" s="93">
        <v>0</v>
      </c>
      <c r="N2905" s="88"/>
      <c r="O2905" s="88"/>
      <c r="P2905" s="88"/>
    </row>
    <row r="2906" spans="1:16">
      <c r="A2906" s="94">
        <v>101532</v>
      </c>
      <c r="B2906" s="87" t="s">
        <v>2649</v>
      </c>
      <c r="C2906" s="12" t="s">
        <v>4</v>
      </c>
      <c r="D2906" s="93">
        <v>1116.77</v>
      </c>
      <c r="E2906" s="93">
        <v>149.96</v>
      </c>
      <c r="F2906" s="93">
        <v>966.81</v>
      </c>
      <c r="G2906" s="93">
        <v>0</v>
      </c>
      <c r="H2906" s="93">
        <v>0</v>
      </c>
      <c r="N2906" s="88"/>
      <c r="O2906" s="88"/>
      <c r="P2906" s="88"/>
    </row>
    <row r="2907" spans="1:16">
      <c r="A2907" s="94">
        <v>101533</v>
      </c>
      <c r="B2907" s="87" t="s">
        <v>2650</v>
      </c>
      <c r="C2907" s="12" t="s">
        <v>4</v>
      </c>
      <c r="D2907" s="93">
        <v>879.24</v>
      </c>
      <c r="E2907" s="93">
        <v>144.03</v>
      </c>
      <c r="F2907" s="93">
        <v>735.21</v>
      </c>
      <c r="G2907" s="93">
        <v>0</v>
      </c>
      <c r="H2907" s="93">
        <v>0</v>
      </c>
      <c r="N2907" s="88"/>
      <c r="O2907" s="88"/>
      <c r="P2907" s="88"/>
    </row>
    <row r="2908" spans="1:16">
      <c r="A2908" s="94">
        <v>101534</v>
      </c>
      <c r="B2908" s="87" t="s">
        <v>2651</v>
      </c>
      <c r="C2908" s="12" t="s">
        <v>4</v>
      </c>
      <c r="D2908" s="93">
        <v>1023.92</v>
      </c>
      <c r="E2908" s="93">
        <v>173.88</v>
      </c>
      <c r="F2908" s="93">
        <v>850.04</v>
      </c>
      <c r="G2908" s="93">
        <v>0</v>
      </c>
      <c r="H2908" s="93">
        <v>0</v>
      </c>
      <c r="N2908" s="88"/>
      <c r="O2908" s="88"/>
      <c r="P2908" s="88"/>
    </row>
    <row r="2909" spans="1:16">
      <c r="A2909" s="94">
        <v>101535</v>
      </c>
      <c r="B2909" s="87" t="s">
        <v>2652</v>
      </c>
      <c r="C2909" s="12" t="s">
        <v>4</v>
      </c>
      <c r="D2909" s="93">
        <v>1062.72</v>
      </c>
      <c r="E2909" s="93">
        <v>133.53</v>
      </c>
      <c r="F2909" s="93">
        <v>929.19</v>
      </c>
      <c r="G2909" s="93">
        <v>0</v>
      </c>
      <c r="H2909" s="93">
        <v>0</v>
      </c>
      <c r="N2909" s="88"/>
      <c r="O2909" s="88"/>
      <c r="P2909" s="88"/>
    </row>
    <row r="2910" spans="1:16">
      <c r="A2910" s="94">
        <v>101536</v>
      </c>
      <c r="B2910" s="87" t="s">
        <v>2653</v>
      </c>
      <c r="C2910" s="12" t="s">
        <v>4</v>
      </c>
      <c r="D2910" s="93">
        <v>1220.8599999999999</v>
      </c>
      <c r="E2910" s="93">
        <v>141.07</v>
      </c>
      <c r="F2910" s="93">
        <v>1079.79</v>
      </c>
      <c r="G2910" s="93">
        <v>0</v>
      </c>
      <c r="H2910" s="93">
        <v>0</v>
      </c>
      <c r="N2910" s="88"/>
      <c r="O2910" s="88"/>
      <c r="P2910" s="88"/>
    </row>
    <row r="2911" spans="1:16">
      <c r="A2911" s="94">
        <v>101537</v>
      </c>
      <c r="B2911" s="87" t="s">
        <v>2654</v>
      </c>
      <c r="C2911" s="12" t="s">
        <v>4</v>
      </c>
      <c r="D2911" s="93">
        <v>130.34</v>
      </c>
      <c r="E2911" s="93">
        <v>24.85</v>
      </c>
      <c r="F2911" s="93">
        <v>105.49</v>
      </c>
      <c r="G2911" s="93">
        <v>0</v>
      </c>
      <c r="H2911" s="93">
        <v>0</v>
      </c>
      <c r="N2911" s="88"/>
      <c r="O2911" s="88"/>
      <c r="P2911" s="88"/>
    </row>
    <row r="2912" spans="1:16">
      <c r="A2912" s="94">
        <v>101538</v>
      </c>
      <c r="B2912" s="87" t="s">
        <v>2655</v>
      </c>
      <c r="C2912" s="12" t="s">
        <v>4</v>
      </c>
      <c r="D2912" s="93">
        <v>32.01</v>
      </c>
      <c r="E2912" s="93">
        <v>6.96</v>
      </c>
      <c r="F2912" s="93">
        <v>25.05</v>
      </c>
      <c r="G2912" s="93">
        <v>0</v>
      </c>
      <c r="H2912" s="93">
        <v>0</v>
      </c>
      <c r="N2912" s="88"/>
      <c r="O2912" s="88"/>
      <c r="P2912" s="88"/>
    </row>
    <row r="2913" spans="1:16">
      <c r="A2913" s="94">
        <v>101539</v>
      </c>
      <c r="B2913" s="87" t="s">
        <v>2656</v>
      </c>
      <c r="C2913" s="12" t="s">
        <v>4</v>
      </c>
      <c r="D2913" s="93">
        <v>53.01</v>
      </c>
      <c r="E2913" s="93">
        <v>13.92</v>
      </c>
      <c r="F2913" s="93">
        <v>39.090000000000003</v>
      </c>
      <c r="G2913" s="93">
        <v>0</v>
      </c>
      <c r="H2913" s="93">
        <v>0</v>
      </c>
      <c r="N2913" s="88"/>
      <c r="O2913" s="88"/>
      <c r="P2913" s="88"/>
    </row>
    <row r="2914" spans="1:16">
      <c r="A2914" s="94">
        <v>101540</v>
      </c>
      <c r="B2914" s="87" t="s">
        <v>2657</v>
      </c>
      <c r="C2914" s="12" t="s">
        <v>4</v>
      </c>
      <c r="D2914" s="93">
        <v>89.32</v>
      </c>
      <c r="E2914" s="93">
        <v>20.9</v>
      </c>
      <c r="F2914" s="93">
        <v>68.42</v>
      </c>
      <c r="G2914" s="93">
        <v>0</v>
      </c>
      <c r="H2914" s="93">
        <v>0</v>
      </c>
      <c r="N2914" s="88"/>
      <c r="O2914" s="88"/>
      <c r="P2914" s="88"/>
    </row>
    <row r="2915" spans="1:16">
      <c r="A2915" s="94">
        <v>101541</v>
      </c>
      <c r="B2915" s="87" t="s">
        <v>2658</v>
      </c>
      <c r="C2915" s="12" t="s">
        <v>4</v>
      </c>
      <c r="D2915" s="93">
        <v>116.52</v>
      </c>
      <c r="E2915" s="93">
        <v>27.86</v>
      </c>
      <c r="F2915" s="93">
        <v>88.66</v>
      </c>
      <c r="G2915" s="93">
        <v>0</v>
      </c>
      <c r="H2915" s="93">
        <v>0</v>
      </c>
      <c r="N2915" s="88"/>
      <c r="O2915" s="88"/>
      <c r="P2915" s="88"/>
    </row>
    <row r="2916" spans="1:16">
      <c r="A2916" s="94">
        <v>101542</v>
      </c>
      <c r="B2916" s="87" t="s">
        <v>2659</v>
      </c>
      <c r="C2916" s="12" t="s">
        <v>4</v>
      </c>
      <c r="D2916" s="93">
        <v>24.09</v>
      </c>
      <c r="E2916" s="93">
        <v>5.81</v>
      </c>
      <c r="F2916" s="93">
        <v>18.28</v>
      </c>
      <c r="G2916" s="93">
        <v>0</v>
      </c>
      <c r="H2916" s="93">
        <v>0</v>
      </c>
      <c r="N2916" s="88"/>
      <c r="O2916" s="88"/>
      <c r="P2916" s="88"/>
    </row>
    <row r="2917" spans="1:16">
      <c r="A2917" s="94">
        <v>101543</v>
      </c>
      <c r="B2917" s="87" t="s">
        <v>2660</v>
      </c>
      <c r="C2917" s="12" t="s">
        <v>4</v>
      </c>
      <c r="D2917" s="93">
        <v>42.87</v>
      </c>
      <c r="E2917" s="93">
        <v>11.63</v>
      </c>
      <c r="F2917" s="93">
        <v>31.24</v>
      </c>
      <c r="G2917" s="93">
        <v>0</v>
      </c>
      <c r="H2917" s="93">
        <v>0</v>
      </c>
      <c r="N2917" s="88"/>
      <c r="O2917" s="88"/>
      <c r="P2917" s="88"/>
    </row>
    <row r="2918" spans="1:16">
      <c r="A2918" s="94">
        <v>101544</v>
      </c>
      <c r="B2918" s="87" t="s">
        <v>2661</v>
      </c>
      <c r="C2918" s="12" t="s">
        <v>4</v>
      </c>
      <c r="D2918" s="93">
        <v>68.55</v>
      </c>
      <c r="E2918" s="93">
        <v>17.440000000000001</v>
      </c>
      <c r="F2918" s="93">
        <v>51.11</v>
      </c>
      <c r="G2918" s="93">
        <v>0</v>
      </c>
      <c r="H2918" s="93">
        <v>0</v>
      </c>
      <c r="N2918" s="88"/>
      <c r="O2918" s="88"/>
      <c r="P2918" s="88"/>
    </row>
    <row r="2919" spans="1:16">
      <c r="A2919" s="94">
        <v>101545</v>
      </c>
      <c r="B2919" s="87" t="s">
        <v>2662</v>
      </c>
      <c r="C2919" s="12" t="s">
        <v>4</v>
      </c>
      <c r="D2919" s="93">
        <v>99.43</v>
      </c>
      <c r="E2919" s="93">
        <v>23.25</v>
      </c>
      <c r="F2919" s="93">
        <v>76.180000000000007</v>
      </c>
      <c r="G2919" s="93">
        <v>0</v>
      </c>
      <c r="H2919" s="93">
        <v>0</v>
      </c>
      <c r="N2919" s="88"/>
      <c r="O2919" s="88"/>
      <c r="P2919" s="88"/>
    </row>
    <row r="2920" spans="1:16">
      <c r="A2920" s="94">
        <v>101546</v>
      </c>
      <c r="B2920" s="87" t="s">
        <v>2663</v>
      </c>
      <c r="C2920" s="12" t="s">
        <v>4</v>
      </c>
      <c r="D2920" s="93">
        <v>21.64</v>
      </c>
      <c r="E2920" s="93">
        <v>1.1399999999999999</v>
      </c>
      <c r="F2920" s="93">
        <v>20.5</v>
      </c>
      <c r="G2920" s="93">
        <v>0</v>
      </c>
      <c r="H2920" s="93">
        <v>0</v>
      </c>
      <c r="N2920" s="88"/>
      <c r="O2920" s="88"/>
      <c r="P2920" s="88"/>
    </row>
    <row r="2921" spans="1:16">
      <c r="A2921" s="94">
        <v>101547</v>
      </c>
      <c r="B2921" s="87" t="s">
        <v>2664</v>
      </c>
      <c r="C2921" s="12" t="s">
        <v>4</v>
      </c>
      <c r="D2921" s="93">
        <v>67.38</v>
      </c>
      <c r="E2921" s="93">
        <v>1.1399999999999999</v>
      </c>
      <c r="F2921" s="93">
        <v>66.239999999999995</v>
      </c>
      <c r="G2921" s="93">
        <v>0</v>
      </c>
      <c r="H2921" s="93">
        <v>0</v>
      </c>
      <c r="N2921" s="88"/>
      <c r="O2921" s="88"/>
      <c r="P2921" s="88"/>
    </row>
    <row r="2922" spans="1:16">
      <c r="A2922" s="94">
        <v>101548</v>
      </c>
      <c r="B2922" s="87" t="s">
        <v>2665</v>
      </c>
      <c r="C2922" s="12" t="s">
        <v>4</v>
      </c>
      <c r="D2922" s="93">
        <v>5.5</v>
      </c>
      <c r="E2922" s="93">
        <v>1.1499999999999999</v>
      </c>
      <c r="F2922" s="93">
        <v>4.3499999999999996</v>
      </c>
      <c r="G2922" s="93">
        <v>0</v>
      </c>
      <c r="H2922" s="93">
        <v>0</v>
      </c>
      <c r="N2922" s="88"/>
      <c r="O2922" s="88"/>
      <c r="P2922" s="88"/>
    </row>
    <row r="2923" spans="1:16">
      <c r="A2923" s="94">
        <v>101549</v>
      </c>
      <c r="B2923" s="87" t="s">
        <v>2666</v>
      </c>
      <c r="C2923" s="12" t="s">
        <v>4</v>
      </c>
      <c r="D2923" s="93">
        <v>11.73</v>
      </c>
      <c r="E2923" s="93">
        <v>3.73</v>
      </c>
      <c r="F2923" s="93">
        <v>8</v>
      </c>
      <c r="G2923" s="93">
        <v>0</v>
      </c>
      <c r="H2923" s="93">
        <v>0</v>
      </c>
      <c r="N2923" s="88"/>
      <c r="O2923" s="88"/>
      <c r="P2923" s="88"/>
    </row>
    <row r="2924" spans="1:16">
      <c r="A2924" s="94">
        <v>101553</v>
      </c>
      <c r="B2924" s="87" t="s">
        <v>2667</v>
      </c>
      <c r="C2924" s="12" t="s">
        <v>4</v>
      </c>
      <c r="D2924" s="93">
        <v>11.59</v>
      </c>
      <c r="E2924" s="93">
        <v>2.92</v>
      </c>
      <c r="F2924" s="93">
        <v>8.67</v>
      </c>
      <c r="G2924" s="93">
        <v>0</v>
      </c>
      <c r="H2924" s="93">
        <v>0</v>
      </c>
      <c r="N2924" s="88"/>
      <c r="O2924" s="88"/>
      <c r="P2924" s="88"/>
    </row>
    <row r="2925" spans="1:16">
      <c r="A2925" s="94">
        <v>101554</v>
      </c>
      <c r="B2925" s="87" t="s">
        <v>2668</v>
      </c>
      <c r="C2925" s="12" t="s">
        <v>4</v>
      </c>
      <c r="D2925" s="93">
        <v>8.4700000000000006</v>
      </c>
      <c r="E2925" s="93">
        <v>2.93</v>
      </c>
      <c r="F2925" s="93">
        <v>5.54</v>
      </c>
      <c r="G2925" s="93">
        <v>0</v>
      </c>
      <c r="H2925" s="93">
        <v>0</v>
      </c>
      <c r="N2925" s="88"/>
      <c r="O2925" s="88"/>
      <c r="P2925" s="88"/>
    </row>
    <row r="2926" spans="1:16">
      <c r="A2926" s="94">
        <v>101555</v>
      </c>
      <c r="B2926" s="87" t="s">
        <v>2669</v>
      </c>
      <c r="C2926" s="12" t="s">
        <v>4</v>
      </c>
      <c r="D2926" s="93">
        <v>5.62</v>
      </c>
      <c r="E2926" s="93">
        <v>2.95</v>
      </c>
      <c r="F2926" s="93">
        <v>2.67</v>
      </c>
      <c r="G2926" s="93">
        <v>0</v>
      </c>
      <c r="H2926" s="93">
        <v>0</v>
      </c>
      <c r="N2926" s="88"/>
      <c r="O2926" s="88"/>
      <c r="P2926" s="88"/>
    </row>
    <row r="2927" spans="1:16">
      <c r="A2927" s="94">
        <v>101556</v>
      </c>
      <c r="B2927" s="87" t="s">
        <v>2670</v>
      </c>
      <c r="C2927" s="12" t="s">
        <v>4</v>
      </c>
      <c r="D2927" s="93">
        <v>5.17</v>
      </c>
      <c r="E2927" s="93">
        <v>2.96</v>
      </c>
      <c r="F2927" s="93">
        <v>2.21</v>
      </c>
      <c r="G2927" s="93">
        <v>0</v>
      </c>
      <c r="H2927" s="93">
        <v>0</v>
      </c>
      <c r="N2927" s="88"/>
      <c r="O2927" s="88"/>
      <c r="P2927" s="88"/>
    </row>
    <row r="2928" spans="1:16">
      <c r="A2928" s="94">
        <v>101560</v>
      </c>
      <c r="B2928" s="87" t="s">
        <v>2671</v>
      </c>
      <c r="C2928" s="12" t="s">
        <v>6</v>
      </c>
      <c r="D2928" s="93">
        <v>6.6</v>
      </c>
      <c r="E2928" s="93">
        <v>0.04</v>
      </c>
      <c r="F2928" s="93">
        <v>6.56</v>
      </c>
      <c r="G2928" s="93">
        <v>0</v>
      </c>
      <c r="H2928" s="93">
        <v>0</v>
      </c>
      <c r="N2928" s="88"/>
      <c r="O2928" s="88"/>
      <c r="P2928" s="88"/>
    </row>
    <row r="2929" spans="1:16">
      <c r="A2929" s="94">
        <v>101561</v>
      </c>
      <c r="B2929" s="87" t="s">
        <v>2672</v>
      </c>
      <c r="C2929" s="12" t="s">
        <v>6</v>
      </c>
      <c r="D2929" s="93">
        <v>10.1</v>
      </c>
      <c r="E2929" s="93">
        <v>0.04</v>
      </c>
      <c r="F2929" s="93">
        <v>10.06</v>
      </c>
      <c r="G2929" s="93">
        <v>0</v>
      </c>
      <c r="H2929" s="93">
        <v>0</v>
      </c>
      <c r="N2929" s="88"/>
      <c r="O2929" s="88"/>
      <c r="P2929" s="88"/>
    </row>
    <row r="2930" spans="1:16">
      <c r="A2930" s="94">
        <v>101562</v>
      </c>
      <c r="B2930" s="87" t="s">
        <v>2673</v>
      </c>
      <c r="C2930" s="12" t="s">
        <v>6</v>
      </c>
      <c r="D2930" s="93">
        <v>15.34</v>
      </c>
      <c r="E2930" s="93">
        <v>0.04</v>
      </c>
      <c r="F2930" s="93">
        <v>15.3</v>
      </c>
      <c r="G2930" s="93">
        <v>0</v>
      </c>
      <c r="H2930" s="93">
        <v>0</v>
      </c>
      <c r="N2930" s="88"/>
      <c r="O2930" s="88"/>
      <c r="P2930" s="88"/>
    </row>
    <row r="2931" spans="1:16">
      <c r="A2931" s="94">
        <v>101563</v>
      </c>
      <c r="B2931" s="87" t="s">
        <v>2674</v>
      </c>
      <c r="C2931" s="12" t="s">
        <v>6</v>
      </c>
      <c r="D2931" s="93">
        <v>21.14</v>
      </c>
      <c r="E2931" s="93">
        <v>0.05</v>
      </c>
      <c r="F2931" s="93">
        <v>21.09</v>
      </c>
      <c r="G2931" s="93">
        <v>0</v>
      </c>
      <c r="H2931" s="93">
        <v>0</v>
      </c>
      <c r="N2931" s="88"/>
      <c r="O2931" s="88"/>
      <c r="P2931" s="88"/>
    </row>
    <row r="2932" spans="1:16">
      <c r="A2932" s="94">
        <v>101564</v>
      </c>
      <c r="B2932" s="87" t="s">
        <v>2675</v>
      </c>
      <c r="C2932" s="12" t="s">
        <v>6</v>
      </c>
      <c r="D2932" s="93">
        <v>30.09</v>
      </c>
      <c r="E2932" s="93">
        <v>0.05</v>
      </c>
      <c r="F2932" s="93">
        <v>30.04</v>
      </c>
      <c r="G2932" s="93">
        <v>0</v>
      </c>
      <c r="H2932" s="93">
        <v>0</v>
      </c>
      <c r="N2932" s="88"/>
      <c r="O2932" s="88"/>
      <c r="P2932" s="88"/>
    </row>
    <row r="2933" spans="1:16">
      <c r="A2933" s="94">
        <v>101565</v>
      </c>
      <c r="B2933" s="87" t="s">
        <v>2676</v>
      </c>
      <c r="C2933" s="12" t="s">
        <v>6</v>
      </c>
      <c r="D2933" s="93">
        <v>41.68</v>
      </c>
      <c r="E2933" s="93">
        <v>0.05</v>
      </c>
      <c r="F2933" s="93">
        <v>41.63</v>
      </c>
      <c r="G2933" s="93">
        <v>0</v>
      </c>
      <c r="H2933" s="93">
        <v>0</v>
      </c>
      <c r="N2933" s="88"/>
      <c r="O2933" s="88"/>
      <c r="P2933" s="88"/>
    </row>
    <row r="2934" spans="1:16">
      <c r="A2934" s="94">
        <v>101567</v>
      </c>
      <c r="B2934" s="87" t="s">
        <v>2677</v>
      </c>
      <c r="C2934" s="12" t="s">
        <v>6</v>
      </c>
      <c r="D2934" s="93">
        <v>55.36</v>
      </c>
      <c r="E2934" s="93">
        <v>0.05</v>
      </c>
      <c r="F2934" s="93">
        <v>55.31</v>
      </c>
      <c r="G2934" s="93">
        <v>0</v>
      </c>
      <c r="H2934" s="93">
        <v>0</v>
      </c>
      <c r="N2934" s="88"/>
      <c r="O2934" s="88"/>
      <c r="P2934" s="88"/>
    </row>
    <row r="2935" spans="1:16">
      <c r="A2935" s="94">
        <v>101568</v>
      </c>
      <c r="B2935" s="87" t="s">
        <v>2678</v>
      </c>
      <c r="C2935" s="12" t="s">
        <v>6</v>
      </c>
      <c r="D2935" s="93">
        <v>72.03</v>
      </c>
      <c r="E2935" s="93">
        <v>0.05</v>
      </c>
      <c r="F2935" s="93">
        <v>71.98</v>
      </c>
      <c r="G2935" s="93">
        <v>0</v>
      </c>
      <c r="H2935" s="93">
        <v>0</v>
      </c>
      <c r="N2935" s="88"/>
      <c r="O2935" s="88"/>
      <c r="P2935" s="88"/>
    </row>
    <row r="2936" spans="1:16">
      <c r="A2936" s="94">
        <v>101626</v>
      </c>
      <c r="B2936" s="87" t="s">
        <v>5856</v>
      </c>
      <c r="C2936" s="12" t="s">
        <v>4</v>
      </c>
      <c r="D2936" s="93">
        <v>97.97</v>
      </c>
      <c r="E2936" s="93">
        <v>5.71</v>
      </c>
      <c r="F2936" s="93">
        <v>92.26</v>
      </c>
      <c r="G2936" s="93">
        <v>0</v>
      </c>
      <c r="H2936" s="93">
        <v>0</v>
      </c>
      <c r="N2936" s="88"/>
      <c r="O2936" s="88"/>
      <c r="P2936" s="88"/>
    </row>
    <row r="2937" spans="1:16">
      <c r="A2937" s="94">
        <v>101627</v>
      </c>
      <c r="B2937" s="87" t="s">
        <v>5857</v>
      </c>
      <c r="C2937" s="12" t="s">
        <v>4</v>
      </c>
      <c r="D2937" s="93">
        <v>151.12</v>
      </c>
      <c r="E2937" s="93">
        <v>5.71</v>
      </c>
      <c r="F2937" s="93">
        <v>145.41</v>
      </c>
      <c r="G2937" s="93">
        <v>0</v>
      </c>
      <c r="H2937" s="93">
        <v>0</v>
      </c>
      <c r="N2937" s="88"/>
      <c r="O2937" s="88"/>
      <c r="P2937" s="88"/>
    </row>
    <row r="2938" spans="1:16">
      <c r="A2938" s="94">
        <v>101628</v>
      </c>
      <c r="B2938" s="87" t="s">
        <v>5858</v>
      </c>
      <c r="C2938" s="12" t="s">
        <v>4</v>
      </c>
      <c r="D2938" s="93">
        <v>73.38</v>
      </c>
      <c r="E2938" s="93">
        <v>5.71</v>
      </c>
      <c r="F2938" s="93">
        <v>67.67</v>
      </c>
      <c r="G2938" s="93">
        <v>0</v>
      </c>
      <c r="H2938" s="93">
        <v>0</v>
      </c>
      <c r="N2938" s="88"/>
      <c r="O2938" s="88"/>
      <c r="P2938" s="88"/>
    </row>
    <row r="2939" spans="1:16">
      <c r="A2939" s="94">
        <v>101629</v>
      </c>
      <c r="B2939" s="87" t="s">
        <v>5859</v>
      </c>
      <c r="C2939" s="12" t="s">
        <v>4</v>
      </c>
      <c r="D2939" s="93">
        <v>86.04</v>
      </c>
      <c r="E2939" s="93">
        <v>5.71</v>
      </c>
      <c r="F2939" s="93">
        <v>80.33</v>
      </c>
      <c r="G2939" s="93">
        <v>0</v>
      </c>
      <c r="H2939" s="93">
        <v>0</v>
      </c>
      <c r="N2939" s="88"/>
      <c r="O2939" s="88"/>
      <c r="P2939" s="88"/>
    </row>
    <row r="2940" spans="1:16">
      <c r="A2940" s="94">
        <v>101630</v>
      </c>
      <c r="B2940" s="87" t="s">
        <v>5860</v>
      </c>
      <c r="C2940" s="12" t="s">
        <v>4</v>
      </c>
      <c r="D2940" s="93">
        <v>47.34</v>
      </c>
      <c r="E2940" s="93">
        <v>14.08</v>
      </c>
      <c r="F2940" s="93">
        <v>25.69</v>
      </c>
      <c r="G2940" s="93">
        <v>7.57</v>
      </c>
      <c r="H2940" s="93">
        <v>0</v>
      </c>
      <c r="N2940" s="88"/>
      <c r="O2940" s="88"/>
      <c r="P2940" s="88"/>
    </row>
    <row r="2941" spans="1:16">
      <c r="A2941" s="94">
        <v>101631</v>
      </c>
      <c r="B2941" s="87" t="s">
        <v>5861</v>
      </c>
      <c r="C2941" s="12" t="s">
        <v>4</v>
      </c>
      <c r="D2941" s="93">
        <v>23.82</v>
      </c>
      <c r="E2941" s="93">
        <v>5.72</v>
      </c>
      <c r="F2941" s="93">
        <v>18.100000000000001</v>
      </c>
      <c r="G2941" s="93">
        <v>0</v>
      </c>
      <c r="H2941" s="93">
        <v>0</v>
      </c>
      <c r="N2941" s="88"/>
      <c r="O2941" s="88"/>
      <c r="P2941" s="88"/>
    </row>
    <row r="2942" spans="1:16">
      <c r="A2942" s="94">
        <v>101632</v>
      </c>
      <c r="B2942" s="87" t="s">
        <v>5862</v>
      </c>
      <c r="C2942" s="12" t="s">
        <v>4</v>
      </c>
      <c r="D2942" s="93">
        <v>21.5</v>
      </c>
      <c r="E2942" s="93">
        <v>0.47</v>
      </c>
      <c r="F2942" s="93">
        <v>21.03</v>
      </c>
      <c r="G2942" s="93">
        <v>0</v>
      </c>
      <c r="H2942" s="93">
        <v>0</v>
      </c>
      <c r="N2942" s="88"/>
      <c r="O2942" s="88"/>
      <c r="P2942" s="88"/>
    </row>
    <row r="2943" spans="1:16">
      <c r="A2943" s="94">
        <v>101633</v>
      </c>
      <c r="B2943" s="87" t="s">
        <v>5863</v>
      </c>
      <c r="C2943" s="12" t="s">
        <v>4</v>
      </c>
      <c r="D2943" s="93">
        <v>58.78</v>
      </c>
      <c r="E2943" s="93">
        <v>6.86</v>
      </c>
      <c r="F2943" s="93">
        <v>44.36</v>
      </c>
      <c r="G2943" s="93">
        <v>7.56</v>
      </c>
      <c r="H2943" s="93">
        <v>0</v>
      </c>
      <c r="N2943" s="88"/>
      <c r="O2943" s="88"/>
      <c r="P2943" s="88"/>
    </row>
    <row r="2944" spans="1:16">
      <c r="A2944" s="94">
        <v>101636</v>
      </c>
      <c r="B2944" s="87" t="s">
        <v>5864</v>
      </c>
      <c r="C2944" s="12" t="s">
        <v>4</v>
      </c>
      <c r="D2944" s="93">
        <v>95.48</v>
      </c>
      <c r="E2944" s="93">
        <v>25.71</v>
      </c>
      <c r="F2944" s="93">
        <v>62.22</v>
      </c>
      <c r="G2944" s="93">
        <v>7.55</v>
      </c>
      <c r="H2944" s="93">
        <v>0</v>
      </c>
      <c r="N2944" s="88"/>
      <c r="O2944" s="88"/>
      <c r="P2944" s="88"/>
    </row>
    <row r="2945" spans="1:16">
      <c r="A2945" s="94">
        <v>101637</v>
      </c>
      <c r="B2945" s="87" t="s">
        <v>5865</v>
      </c>
      <c r="C2945" s="12" t="s">
        <v>4</v>
      </c>
      <c r="D2945" s="93">
        <v>91.48</v>
      </c>
      <c r="E2945" s="93">
        <v>25.72</v>
      </c>
      <c r="F2945" s="93">
        <v>58.21</v>
      </c>
      <c r="G2945" s="93">
        <v>7.55</v>
      </c>
      <c r="H2945" s="93">
        <v>0</v>
      </c>
      <c r="N2945" s="88"/>
      <c r="O2945" s="88"/>
      <c r="P2945" s="88"/>
    </row>
    <row r="2946" spans="1:16">
      <c r="A2946" s="94">
        <v>101640</v>
      </c>
      <c r="B2946" s="87" t="s">
        <v>5866</v>
      </c>
      <c r="C2946" s="12" t="s">
        <v>4</v>
      </c>
      <c r="D2946" s="93">
        <v>70.150000000000006</v>
      </c>
      <c r="E2946" s="93">
        <v>0.79</v>
      </c>
      <c r="F2946" s="93">
        <v>69.36</v>
      </c>
      <c r="G2946" s="93">
        <v>0</v>
      </c>
      <c r="H2946" s="93">
        <v>0</v>
      </c>
      <c r="N2946" s="88"/>
      <c r="O2946" s="88"/>
      <c r="P2946" s="88"/>
    </row>
    <row r="2947" spans="1:16">
      <c r="A2947" s="94">
        <v>101641</v>
      </c>
      <c r="B2947" s="87" t="s">
        <v>5867</v>
      </c>
      <c r="C2947" s="12" t="s">
        <v>4</v>
      </c>
      <c r="D2947" s="93">
        <v>36.36</v>
      </c>
      <c r="E2947" s="93">
        <v>0.79</v>
      </c>
      <c r="F2947" s="93">
        <v>35.57</v>
      </c>
      <c r="G2947" s="93">
        <v>0</v>
      </c>
      <c r="H2947" s="93">
        <v>0</v>
      </c>
      <c r="N2947" s="88"/>
      <c r="O2947" s="88"/>
      <c r="P2947" s="88"/>
    </row>
    <row r="2948" spans="1:16">
      <c r="A2948" s="94">
        <v>101642</v>
      </c>
      <c r="B2948" s="87" t="s">
        <v>5868</v>
      </c>
      <c r="C2948" s="12" t="s">
        <v>4</v>
      </c>
      <c r="D2948" s="93">
        <v>18.260000000000002</v>
      </c>
      <c r="E2948" s="93">
        <v>0.79</v>
      </c>
      <c r="F2948" s="93">
        <v>17.47</v>
      </c>
      <c r="G2948" s="93">
        <v>0</v>
      </c>
      <c r="H2948" s="93">
        <v>0</v>
      </c>
      <c r="N2948" s="88"/>
      <c r="O2948" s="88"/>
      <c r="P2948" s="88"/>
    </row>
    <row r="2949" spans="1:16">
      <c r="A2949" s="94">
        <v>101643</v>
      </c>
      <c r="B2949" s="87" t="s">
        <v>5869</v>
      </c>
      <c r="C2949" s="12" t="s">
        <v>4</v>
      </c>
      <c r="D2949" s="93">
        <v>31.74</v>
      </c>
      <c r="E2949" s="93">
        <v>0.79</v>
      </c>
      <c r="F2949" s="93">
        <v>30.95</v>
      </c>
      <c r="G2949" s="93">
        <v>0</v>
      </c>
      <c r="H2949" s="93">
        <v>0</v>
      </c>
      <c r="N2949" s="88"/>
      <c r="O2949" s="88"/>
      <c r="P2949" s="88"/>
    </row>
    <row r="2950" spans="1:16">
      <c r="A2950" s="94">
        <v>101644</v>
      </c>
      <c r="B2950" s="87" t="s">
        <v>5870</v>
      </c>
      <c r="C2950" s="12" t="s">
        <v>4</v>
      </c>
      <c r="D2950" s="93">
        <v>42.93</v>
      </c>
      <c r="E2950" s="93">
        <v>0.79</v>
      </c>
      <c r="F2950" s="93">
        <v>42.14</v>
      </c>
      <c r="G2950" s="93">
        <v>0</v>
      </c>
      <c r="H2950" s="93">
        <v>0</v>
      </c>
      <c r="N2950" s="88"/>
      <c r="O2950" s="88"/>
      <c r="P2950" s="88"/>
    </row>
    <row r="2951" spans="1:16">
      <c r="A2951" s="94">
        <v>101645</v>
      </c>
      <c r="B2951" s="87" t="s">
        <v>5871</v>
      </c>
      <c r="C2951" s="12" t="s">
        <v>4</v>
      </c>
      <c r="D2951" s="93">
        <v>20.350000000000001</v>
      </c>
      <c r="E2951" s="93">
        <v>0.79</v>
      </c>
      <c r="F2951" s="93">
        <v>19.559999999999999</v>
      </c>
      <c r="G2951" s="93">
        <v>0</v>
      </c>
      <c r="H2951" s="93">
        <v>0</v>
      </c>
      <c r="N2951" s="88"/>
      <c r="O2951" s="88"/>
      <c r="P2951" s="88"/>
    </row>
    <row r="2952" spans="1:16">
      <c r="A2952" s="94">
        <v>101646</v>
      </c>
      <c r="B2952" s="87" t="s">
        <v>5872</v>
      </c>
      <c r="C2952" s="12" t="s">
        <v>4</v>
      </c>
      <c r="D2952" s="93">
        <v>27.01</v>
      </c>
      <c r="E2952" s="93">
        <v>0.79</v>
      </c>
      <c r="F2952" s="93">
        <v>26.22</v>
      </c>
      <c r="G2952" s="93">
        <v>0</v>
      </c>
      <c r="H2952" s="93">
        <v>0</v>
      </c>
      <c r="N2952" s="88"/>
      <c r="O2952" s="88"/>
      <c r="P2952" s="88"/>
    </row>
    <row r="2953" spans="1:16">
      <c r="A2953" s="94">
        <v>101647</v>
      </c>
      <c r="B2953" s="87" t="s">
        <v>5873</v>
      </c>
      <c r="C2953" s="12" t="s">
        <v>4</v>
      </c>
      <c r="D2953" s="93">
        <v>49.57</v>
      </c>
      <c r="E2953" s="93">
        <v>0.79</v>
      </c>
      <c r="F2953" s="93">
        <v>48.78</v>
      </c>
      <c r="G2953" s="93">
        <v>0</v>
      </c>
      <c r="H2953" s="93">
        <v>0</v>
      </c>
      <c r="N2953" s="88"/>
      <c r="O2953" s="88"/>
      <c r="P2953" s="88"/>
    </row>
    <row r="2954" spans="1:16">
      <c r="A2954" s="94">
        <v>101648</v>
      </c>
      <c r="B2954" s="87" t="s">
        <v>5874</v>
      </c>
      <c r="C2954" s="12" t="s">
        <v>4</v>
      </c>
      <c r="D2954" s="93">
        <v>38.35</v>
      </c>
      <c r="E2954" s="93">
        <v>0.79</v>
      </c>
      <c r="F2954" s="93">
        <v>37.56</v>
      </c>
      <c r="G2954" s="93">
        <v>0</v>
      </c>
      <c r="H2954" s="93">
        <v>0</v>
      </c>
      <c r="N2954" s="88"/>
      <c r="O2954" s="88"/>
      <c r="P2954" s="88"/>
    </row>
    <row r="2955" spans="1:16">
      <c r="A2955" s="94">
        <v>101649</v>
      </c>
      <c r="B2955" s="87" t="s">
        <v>5875</v>
      </c>
      <c r="C2955" s="12" t="s">
        <v>4</v>
      </c>
      <c r="D2955" s="93">
        <v>44.18</v>
      </c>
      <c r="E2955" s="93">
        <v>0.79</v>
      </c>
      <c r="F2955" s="93">
        <v>43.39</v>
      </c>
      <c r="G2955" s="93">
        <v>0</v>
      </c>
      <c r="H2955" s="93">
        <v>0</v>
      </c>
      <c r="N2955" s="88"/>
      <c r="O2955" s="88"/>
      <c r="P2955" s="88"/>
    </row>
    <row r="2956" spans="1:16">
      <c r="A2956" s="94">
        <v>101650</v>
      </c>
      <c r="B2956" s="87" t="s">
        <v>5876</v>
      </c>
      <c r="C2956" s="12" t="s">
        <v>4</v>
      </c>
      <c r="D2956" s="93">
        <v>51.34</v>
      </c>
      <c r="E2956" s="93">
        <v>0.79</v>
      </c>
      <c r="F2956" s="93">
        <v>50.55</v>
      </c>
      <c r="G2956" s="93">
        <v>0</v>
      </c>
      <c r="H2956" s="93">
        <v>0</v>
      </c>
      <c r="N2956" s="88"/>
      <c r="O2956" s="88"/>
      <c r="P2956" s="88"/>
    </row>
    <row r="2957" spans="1:16">
      <c r="A2957" s="94">
        <v>101651</v>
      </c>
      <c r="B2957" s="87" t="s">
        <v>5877</v>
      </c>
      <c r="C2957" s="12" t="s">
        <v>4</v>
      </c>
      <c r="D2957" s="93">
        <v>38.869999999999997</v>
      </c>
      <c r="E2957" s="93">
        <v>7.6</v>
      </c>
      <c r="F2957" s="93">
        <v>23.7</v>
      </c>
      <c r="G2957" s="93">
        <v>7.57</v>
      </c>
      <c r="H2957" s="93">
        <v>0</v>
      </c>
      <c r="N2957" s="88"/>
      <c r="O2957" s="88"/>
      <c r="P2957" s="88"/>
    </row>
    <row r="2958" spans="1:16">
      <c r="A2958" s="94">
        <v>101652</v>
      </c>
      <c r="B2958" s="87" t="s">
        <v>5878</v>
      </c>
      <c r="C2958" s="12" t="s">
        <v>4</v>
      </c>
      <c r="D2958" s="93">
        <v>296.63</v>
      </c>
      <c r="E2958" s="93">
        <v>29.76</v>
      </c>
      <c r="F2958" s="93">
        <v>259.32</v>
      </c>
      <c r="G2958" s="93">
        <v>7.55</v>
      </c>
      <c r="H2958" s="93">
        <v>0</v>
      </c>
      <c r="N2958" s="88"/>
      <c r="O2958" s="88"/>
      <c r="P2958" s="88"/>
    </row>
    <row r="2959" spans="1:16">
      <c r="A2959" s="94">
        <v>101653</v>
      </c>
      <c r="B2959" s="87" t="s">
        <v>5879</v>
      </c>
      <c r="C2959" s="12" t="s">
        <v>4</v>
      </c>
      <c r="D2959" s="93">
        <v>175.84</v>
      </c>
      <c r="E2959" s="93">
        <v>49.62</v>
      </c>
      <c r="F2959" s="93">
        <v>118.67</v>
      </c>
      <c r="G2959" s="93">
        <v>7.55</v>
      </c>
      <c r="H2959" s="93">
        <v>0</v>
      </c>
      <c r="N2959" s="88"/>
      <c r="O2959" s="88"/>
      <c r="P2959" s="88"/>
    </row>
    <row r="2960" spans="1:16">
      <c r="A2960" s="94">
        <v>101654</v>
      </c>
      <c r="B2960" s="87" t="s">
        <v>5880</v>
      </c>
      <c r="C2960" s="12" t="s">
        <v>4</v>
      </c>
      <c r="D2960" s="93">
        <v>275.99</v>
      </c>
      <c r="E2960" s="93">
        <v>12.88</v>
      </c>
      <c r="F2960" s="93">
        <v>255.56</v>
      </c>
      <c r="G2960" s="93">
        <v>7.55</v>
      </c>
      <c r="H2960" s="93">
        <v>0</v>
      </c>
      <c r="N2960" s="88"/>
      <c r="O2960" s="88"/>
      <c r="P2960" s="88"/>
    </row>
    <row r="2961" spans="1:16">
      <c r="A2961" s="94">
        <v>101655</v>
      </c>
      <c r="B2961" s="87" t="s">
        <v>5881</v>
      </c>
      <c r="C2961" s="12" t="s">
        <v>4</v>
      </c>
      <c r="D2961" s="93">
        <v>470.51</v>
      </c>
      <c r="E2961" s="93">
        <v>12.88</v>
      </c>
      <c r="F2961" s="93">
        <v>450.08</v>
      </c>
      <c r="G2961" s="93">
        <v>7.55</v>
      </c>
      <c r="H2961" s="93">
        <v>0</v>
      </c>
      <c r="N2961" s="88"/>
      <c r="O2961" s="88"/>
      <c r="P2961" s="88"/>
    </row>
    <row r="2962" spans="1:16">
      <c r="A2962" s="94">
        <v>101656</v>
      </c>
      <c r="B2962" s="87" t="s">
        <v>5882</v>
      </c>
      <c r="C2962" s="12" t="s">
        <v>4</v>
      </c>
      <c r="D2962" s="93">
        <v>515.92999999999995</v>
      </c>
      <c r="E2962" s="93">
        <v>12.88</v>
      </c>
      <c r="F2962" s="93">
        <v>495.5</v>
      </c>
      <c r="G2962" s="93">
        <v>7.55</v>
      </c>
      <c r="H2962" s="93">
        <v>0</v>
      </c>
      <c r="N2962" s="88"/>
      <c r="O2962" s="88"/>
      <c r="P2962" s="88"/>
    </row>
    <row r="2963" spans="1:16">
      <c r="A2963" s="94">
        <v>101657</v>
      </c>
      <c r="B2963" s="87" t="s">
        <v>5883</v>
      </c>
      <c r="C2963" s="12" t="s">
        <v>4</v>
      </c>
      <c r="D2963" s="93">
        <v>612.66999999999996</v>
      </c>
      <c r="E2963" s="93">
        <v>12.88</v>
      </c>
      <c r="F2963" s="93">
        <v>592.24</v>
      </c>
      <c r="G2963" s="93">
        <v>7.55</v>
      </c>
      <c r="H2963" s="93">
        <v>0</v>
      </c>
      <c r="N2963" s="88"/>
      <c r="O2963" s="88"/>
      <c r="P2963" s="88"/>
    </row>
    <row r="2964" spans="1:16">
      <c r="A2964" s="94">
        <v>101658</v>
      </c>
      <c r="B2964" s="87" t="s">
        <v>5884</v>
      </c>
      <c r="C2964" s="12" t="s">
        <v>4</v>
      </c>
      <c r="D2964" s="93">
        <v>811.61</v>
      </c>
      <c r="E2964" s="93">
        <v>12.88</v>
      </c>
      <c r="F2964" s="93">
        <v>791.18</v>
      </c>
      <c r="G2964" s="93">
        <v>7.55</v>
      </c>
      <c r="H2964" s="93">
        <v>0</v>
      </c>
      <c r="N2964" s="88"/>
      <c r="O2964" s="88"/>
      <c r="P2964" s="88"/>
    </row>
    <row r="2965" spans="1:16">
      <c r="A2965" s="94">
        <v>101659</v>
      </c>
      <c r="B2965" s="87" t="s">
        <v>5885</v>
      </c>
      <c r="C2965" s="12" t="s">
        <v>4</v>
      </c>
      <c r="D2965" s="93">
        <v>935.33</v>
      </c>
      <c r="E2965" s="93">
        <v>12.88</v>
      </c>
      <c r="F2965" s="93">
        <v>914.9</v>
      </c>
      <c r="G2965" s="93">
        <v>7.55</v>
      </c>
      <c r="H2965" s="93">
        <v>0</v>
      </c>
      <c r="N2965" s="88"/>
      <c r="O2965" s="88"/>
      <c r="P2965" s="88"/>
    </row>
    <row r="2966" spans="1:16">
      <c r="A2966" s="94">
        <v>101660</v>
      </c>
      <c r="B2966" s="87" t="s">
        <v>5886</v>
      </c>
      <c r="C2966" s="12" t="s">
        <v>4</v>
      </c>
      <c r="D2966" s="93">
        <v>1519.39</v>
      </c>
      <c r="E2966" s="93">
        <v>12.88</v>
      </c>
      <c r="F2966" s="93">
        <v>1498.96</v>
      </c>
      <c r="G2966" s="93">
        <v>7.55</v>
      </c>
      <c r="H2966" s="93">
        <v>0</v>
      </c>
      <c r="N2966" s="88"/>
      <c r="O2966" s="88"/>
      <c r="P2966" s="88"/>
    </row>
    <row r="2967" spans="1:16">
      <c r="A2967" s="94">
        <v>101661</v>
      </c>
      <c r="B2967" s="87" t="s">
        <v>5887</v>
      </c>
      <c r="C2967" s="12" t="s">
        <v>4</v>
      </c>
      <c r="D2967" s="93">
        <v>77.13</v>
      </c>
      <c r="E2967" s="93">
        <v>36.85</v>
      </c>
      <c r="F2967" s="93">
        <v>32.72</v>
      </c>
      <c r="G2967" s="93">
        <v>7.56</v>
      </c>
      <c r="H2967" s="93">
        <v>0</v>
      </c>
      <c r="N2967" s="88"/>
      <c r="O2967" s="88"/>
      <c r="P2967" s="88"/>
    </row>
    <row r="2968" spans="1:16">
      <c r="A2968" s="94">
        <v>101662</v>
      </c>
      <c r="B2968" s="87" t="s">
        <v>5888</v>
      </c>
      <c r="C2968" s="12" t="s">
        <v>4</v>
      </c>
      <c r="D2968" s="93">
        <v>414.44</v>
      </c>
      <c r="E2968" s="93">
        <v>36.299999999999997</v>
      </c>
      <c r="F2968" s="93">
        <v>370.59</v>
      </c>
      <c r="G2968" s="93">
        <v>7.55</v>
      </c>
      <c r="H2968" s="93">
        <v>0</v>
      </c>
      <c r="N2968" s="88"/>
      <c r="O2968" s="88"/>
      <c r="P2968" s="88"/>
    </row>
    <row r="2969" spans="1:16">
      <c r="A2969" s="94">
        <v>101663</v>
      </c>
      <c r="B2969" s="87" t="s">
        <v>5889</v>
      </c>
      <c r="C2969" s="12" t="s">
        <v>4</v>
      </c>
      <c r="D2969" s="93">
        <v>18.48</v>
      </c>
      <c r="E2969" s="93">
        <v>10.85</v>
      </c>
      <c r="F2969" s="93">
        <v>7.63</v>
      </c>
      <c r="G2969" s="93">
        <v>0</v>
      </c>
      <c r="H2969" s="93">
        <v>0</v>
      </c>
      <c r="N2969" s="88"/>
      <c r="O2969" s="88"/>
      <c r="P2969" s="88"/>
    </row>
    <row r="2970" spans="1:16">
      <c r="A2970" s="94">
        <v>101664</v>
      </c>
      <c r="B2970" s="87" t="s">
        <v>5890</v>
      </c>
      <c r="C2970" s="12" t="s">
        <v>4</v>
      </c>
      <c r="D2970" s="93">
        <v>19.11</v>
      </c>
      <c r="E2970" s="93">
        <v>10.85</v>
      </c>
      <c r="F2970" s="93">
        <v>8.26</v>
      </c>
      <c r="G2970" s="93">
        <v>0</v>
      </c>
      <c r="H2970" s="93">
        <v>0</v>
      </c>
      <c r="N2970" s="88"/>
      <c r="O2970" s="88"/>
      <c r="P2970" s="88"/>
    </row>
    <row r="2971" spans="1:16">
      <c r="A2971" s="94">
        <v>101665</v>
      </c>
      <c r="B2971" s="87" t="s">
        <v>5891</v>
      </c>
      <c r="C2971" s="12" t="s">
        <v>4</v>
      </c>
      <c r="D2971" s="93">
        <v>21.8</v>
      </c>
      <c r="E2971" s="93">
        <v>10.83</v>
      </c>
      <c r="F2971" s="93">
        <v>10.97</v>
      </c>
      <c r="G2971" s="93">
        <v>0</v>
      </c>
      <c r="H2971" s="93">
        <v>0</v>
      </c>
      <c r="N2971" s="88"/>
      <c r="O2971" s="88"/>
      <c r="P2971" s="88"/>
    </row>
    <row r="2972" spans="1:16">
      <c r="A2972" s="94">
        <v>101666</v>
      </c>
      <c r="B2972" s="87" t="s">
        <v>5892</v>
      </c>
      <c r="C2972" s="12" t="s">
        <v>4</v>
      </c>
      <c r="D2972" s="93">
        <v>245.67</v>
      </c>
      <c r="E2972" s="93">
        <v>17.329999999999998</v>
      </c>
      <c r="F2972" s="93">
        <v>228.34</v>
      </c>
      <c r="G2972" s="93">
        <v>0</v>
      </c>
      <c r="H2972" s="93">
        <v>0</v>
      </c>
      <c r="N2972" s="88"/>
      <c r="O2972" s="88"/>
      <c r="P2972" s="88"/>
    </row>
    <row r="2973" spans="1:16">
      <c r="A2973" s="94">
        <v>102085</v>
      </c>
      <c r="B2973" s="87" t="s">
        <v>5893</v>
      </c>
      <c r="C2973" s="12" t="s">
        <v>4</v>
      </c>
      <c r="D2973" s="93">
        <v>118.96</v>
      </c>
      <c r="E2973" s="93">
        <v>19.7</v>
      </c>
      <c r="F2973" s="93">
        <v>99.26</v>
      </c>
      <c r="G2973" s="93">
        <v>0</v>
      </c>
      <c r="H2973" s="93">
        <v>0</v>
      </c>
      <c r="N2973" s="88"/>
      <c r="O2973" s="88"/>
      <c r="P2973" s="88"/>
    </row>
    <row r="2974" spans="1:16">
      <c r="A2974" s="94">
        <v>100578</v>
      </c>
      <c r="B2974" s="87" t="s">
        <v>2679</v>
      </c>
      <c r="C2974" s="12" t="s">
        <v>4</v>
      </c>
      <c r="D2974" s="93">
        <v>331.41</v>
      </c>
      <c r="E2974" s="93">
        <v>86.28</v>
      </c>
      <c r="F2974" s="93">
        <v>242.74</v>
      </c>
      <c r="G2974" s="93">
        <v>2.39</v>
      </c>
      <c r="H2974" s="93">
        <v>0</v>
      </c>
      <c r="N2974" s="88"/>
      <c r="O2974" s="88"/>
      <c r="P2974" s="88"/>
    </row>
    <row r="2975" spans="1:16">
      <c r="A2975" s="94">
        <v>100579</v>
      </c>
      <c r="B2975" s="87" t="s">
        <v>2680</v>
      </c>
      <c r="C2975" s="12" t="s">
        <v>4</v>
      </c>
      <c r="D2975" s="93">
        <v>363.25</v>
      </c>
      <c r="E2975" s="93">
        <v>92.71</v>
      </c>
      <c r="F2975" s="93">
        <v>268.10000000000002</v>
      </c>
      <c r="G2975" s="93">
        <v>2.44</v>
      </c>
      <c r="H2975" s="93">
        <v>0</v>
      </c>
      <c r="N2975" s="88"/>
      <c r="O2975" s="88"/>
      <c r="P2975" s="88"/>
    </row>
    <row r="2976" spans="1:16">
      <c r="A2976" s="94">
        <v>100580</v>
      </c>
      <c r="B2976" s="87" t="s">
        <v>2681</v>
      </c>
      <c r="C2976" s="12" t="s">
        <v>4</v>
      </c>
      <c r="D2976" s="93">
        <v>400.46</v>
      </c>
      <c r="E2976" s="93">
        <v>120.72</v>
      </c>
      <c r="F2976" s="93">
        <v>276.98</v>
      </c>
      <c r="G2976" s="93">
        <v>2.76</v>
      </c>
      <c r="H2976" s="93">
        <v>0</v>
      </c>
      <c r="N2976" s="88"/>
      <c r="O2976" s="88"/>
      <c r="P2976" s="88"/>
    </row>
    <row r="2977" spans="1:16">
      <c r="A2977" s="94">
        <v>100581</v>
      </c>
      <c r="B2977" s="87" t="s">
        <v>2682</v>
      </c>
      <c r="C2977" s="12" t="s">
        <v>4</v>
      </c>
      <c r="D2977" s="93">
        <v>379.04</v>
      </c>
      <c r="E2977" s="93">
        <v>95.87</v>
      </c>
      <c r="F2977" s="93">
        <v>280.73</v>
      </c>
      <c r="G2977" s="93">
        <v>2.44</v>
      </c>
      <c r="H2977" s="93">
        <v>0</v>
      </c>
      <c r="N2977" s="88"/>
      <c r="O2977" s="88"/>
      <c r="P2977" s="88"/>
    </row>
    <row r="2978" spans="1:16">
      <c r="A2978" s="94">
        <v>100582</v>
      </c>
      <c r="B2978" s="87" t="s">
        <v>2683</v>
      </c>
      <c r="C2978" s="12" t="s">
        <v>4</v>
      </c>
      <c r="D2978" s="93">
        <v>446.17</v>
      </c>
      <c r="E2978" s="93">
        <v>146.63</v>
      </c>
      <c r="F2978" s="93">
        <v>296.60000000000002</v>
      </c>
      <c r="G2978" s="93">
        <v>2.94</v>
      </c>
      <c r="H2978" s="93">
        <v>0</v>
      </c>
      <c r="N2978" s="88"/>
      <c r="O2978" s="88"/>
      <c r="P2978" s="88"/>
    </row>
    <row r="2979" spans="1:16">
      <c r="A2979" s="94">
        <v>100583</v>
      </c>
      <c r="B2979" s="87" t="s">
        <v>2684</v>
      </c>
      <c r="C2979" s="12" t="s">
        <v>4</v>
      </c>
      <c r="D2979" s="93">
        <v>396.01</v>
      </c>
      <c r="E2979" s="93">
        <v>99.85</v>
      </c>
      <c r="F2979" s="93">
        <v>293.7</v>
      </c>
      <c r="G2979" s="93">
        <v>2.46</v>
      </c>
      <c r="H2979" s="93">
        <v>0</v>
      </c>
      <c r="N2979" s="88"/>
      <c r="O2979" s="88"/>
      <c r="P2979" s="88"/>
    </row>
    <row r="2980" spans="1:16">
      <c r="A2980" s="94">
        <v>100584</v>
      </c>
      <c r="B2980" s="87" t="s">
        <v>2685</v>
      </c>
      <c r="C2980" s="12" t="s">
        <v>4</v>
      </c>
      <c r="D2980" s="93">
        <v>436.33</v>
      </c>
      <c r="E2980" s="93">
        <v>130.19999999999999</v>
      </c>
      <c r="F2980" s="93">
        <v>303.33</v>
      </c>
      <c r="G2980" s="93">
        <v>2.8</v>
      </c>
      <c r="H2980" s="93">
        <v>0</v>
      </c>
      <c r="N2980" s="88"/>
      <c r="O2980" s="88"/>
      <c r="P2980" s="88"/>
    </row>
    <row r="2981" spans="1:16">
      <c r="A2981" s="94">
        <v>100585</v>
      </c>
      <c r="B2981" s="87" t="s">
        <v>2686</v>
      </c>
      <c r="C2981" s="12" t="s">
        <v>4</v>
      </c>
      <c r="D2981" s="93">
        <v>428.97</v>
      </c>
      <c r="E2981" s="93">
        <v>107.13</v>
      </c>
      <c r="F2981" s="93">
        <v>319.33999999999997</v>
      </c>
      <c r="G2981" s="93">
        <v>2.5</v>
      </c>
      <c r="H2981" s="93">
        <v>0</v>
      </c>
      <c r="N2981" s="88"/>
      <c r="O2981" s="88"/>
      <c r="P2981" s="88"/>
    </row>
    <row r="2982" spans="1:16">
      <c r="A2982" s="94">
        <v>100586</v>
      </c>
      <c r="B2982" s="87" t="s">
        <v>2687</v>
      </c>
      <c r="C2982" s="12" t="s">
        <v>4</v>
      </c>
      <c r="D2982" s="93">
        <v>493.15</v>
      </c>
      <c r="E2982" s="93">
        <v>155.31</v>
      </c>
      <c r="F2982" s="93">
        <v>334.74</v>
      </c>
      <c r="G2982" s="93">
        <v>3.1</v>
      </c>
      <c r="H2982" s="93">
        <v>0</v>
      </c>
      <c r="N2982" s="88"/>
      <c r="O2982" s="88"/>
      <c r="P2982" s="88"/>
    </row>
    <row r="2983" spans="1:16">
      <c r="A2983" s="94">
        <v>100587</v>
      </c>
      <c r="B2983" s="87" t="s">
        <v>2688</v>
      </c>
      <c r="C2983" s="12" t="s">
        <v>4</v>
      </c>
      <c r="D2983" s="93">
        <v>463.2</v>
      </c>
      <c r="E2983" s="93">
        <v>115.42</v>
      </c>
      <c r="F2983" s="93">
        <v>345.26</v>
      </c>
      <c r="G2983" s="93">
        <v>2.52</v>
      </c>
      <c r="H2983" s="93">
        <v>0</v>
      </c>
      <c r="N2983" s="88"/>
      <c r="O2983" s="88"/>
      <c r="P2983" s="88"/>
    </row>
    <row r="2984" spans="1:16">
      <c r="A2984" s="94">
        <v>100588</v>
      </c>
      <c r="B2984" s="87" t="s">
        <v>2689</v>
      </c>
      <c r="C2984" s="12" t="s">
        <v>4</v>
      </c>
      <c r="D2984" s="93">
        <v>513.08000000000004</v>
      </c>
      <c r="E2984" s="93">
        <v>152.82</v>
      </c>
      <c r="F2984" s="93">
        <v>357.24</v>
      </c>
      <c r="G2984" s="93">
        <v>3.02</v>
      </c>
      <c r="H2984" s="93">
        <v>0</v>
      </c>
      <c r="N2984" s="88"/>
      <c r="O2984" s="88"/>
      <c r="P2984" s="88"/>
    </row>
    <row r="2985" spans="1:16">
      <c r="A2985" s="94">
        <v>100589</v>
      </c>
      <c r="B2985" s="87" t="s">
        <v>2690</v>
      </c>
      <c r="C2985" s="12" t="s">
        <v>4</v>
      </c>
      <c r="D2985" s="93">
        <v>515.1</v>
      </c>
      <c r="E2985" s="93">
        <v>146.13</v>
      </c>
      <c r="F2985" s="93">
        <v>366.26</v>
      </c>
      <c r="G2985" s="93">
        <v>2.71</v>
      </c>
      <c r="H2985" s="93">
        <v>0</v>
      </c>
      <c r="N2985" s="88"/>
      <c r="O2985" s="88"/>
      <c r="P2985" s="88"/>
    </row>
    <row r="2986" spans="1:16">
      <c r="A2986" s="94">
        <v>100590</v>
      </c>
      <c r="B2986" s="87" t="s">
        <v>2691</v>
      </c>
      <c r="C2986" s="12" t="s">
        <v>4</v>
      </c>
      <c r="D2986" s="93">
        <v>564.54999999999995</v>
      </c>
      <c r="E2986" s="93">
        <v>183.58</v>
      </c>
      <c r="F2986" s="93">
        <v>377.89</v>
      </c>
      <c r="G2986" s="93">
        <v>3.08</v>
      </c>
      <c r="H2986" s="93">
        <v>0</v>
      </c>
      <c r="N2986" s="88"/>
      <c r="O2986" s="88"/>
      <c r="P2986" s="88"/>
    </row>
    <row r="2987" spans="1:16">
      <c r="A2987" s="94">
        <v>100591</v>
      </c>
      <c r="B2987" s="87" t="s">
        <v>2692</v>
      </c>
      <c r="C2987" s="12" t="s">
        <v>4</v>
      </c>
      <c r="D2987" s="93">
        <v>510.42</v>
      </c>
      <c r="E2987" s="93">
        <v>133.24</v>
      </c>
      <c r="F2987" s="93">
        <v>374.42</v>
      </c>
      <c r="G2987" s="93">
        <v>2.76</v>
      </c>
      <c r="H2987" s="93">
        <v>0</v>
      </c>
      <c r="N2987" s="88"/>
      <c r="O2987" s="88"/>
      <c r="P2987" s="88"/>
    </row>
    <row r="2988" spans="1:16">
      <c r="A2988" s="94">
        <v>100592</v>
      </c>
      <c r="B2988" s="87" t="s">
        <v>2693</v>
      </c>
      <c r="C2988" s="12" t="s">
        <v>4</v>
      </c>
      <c r="D2988" s="93">
        <v>551.38</v>
      </c>
      <c r="E2988" s="93">
        <v>164.18</v>
      </c>
      <c r="F2988" s="93">
        <v>384.12</v>
      </c>
      <c r="G2988" s="93">
        <v>3.08</v>
      </c>
      <c r="H2988" s="93">
        <v>0</v>
      </c>
      <c r="N2988" s="88"/>
      <c r="O2988" s="88"/>
      <c r="P2988" s="88"/>
    </row>
    <row r="2989" spans="1:16">
      <c r="A2989" s="94">
        <v>100593</v>
      </c>
      <c r="B2989" s="87" t="s">
        <v>2694</v>
      </c>
      <c r="C2989" s="12" t="s">
        <v>4</v>
      </c>
      <c r="D2989" s="93">
        <v>546.88</v>
      </c>
      <c r="E2989" s="93">
        <v>143.16999999999999</v>
      </c>
      <c r="F2989" s="93">
        <v>400.91</v>
      </c>
      <c r="G2989" s="93">
        <v>2.8</v>
      </c>
      <c r="H2989" s="93">
        <v>0</v>
      </c>
      <c r="N2989" s="88"/>
      <c r="O2989" s="88"/>
      <c r="P2989" s="88"/>
    </row>
    <row r="2990" spans="1:16">
      <c r="A2990" s="94">
        <v>100594</v>
      </c>
      <c r="B2990" s="87" t="s">
        <v>2695</v>
      </c>
      <c r="C2990" s="12" t="s">
        <v>4</v>
      </c>
      <c r="D2990" s="93">
        <v>616.17999999999995</v>
      </c>
      <c r="E2990" s="93">
        <v>195.23</v>
      </c>
      <c r="F2990" s="93">
        <v>417.49</v>
      </c>
      <c r="G2990" s="93">
        <v>3.46</v>
      </c>
      <c r="H2990" s="93">
        <v>0</v>
      </c>
      <c r="N2990" s="88"/>
      <c r="O2990" s="88"/>
      <c r="P2990" s="88"/>
    </row>
    <row r="2991" spans="1:16">
      <c r="A2991" s="94">
        <v>100595</v>
      </c>
      <c r="B2991" s="87" t="s">
        <v>2696</v>
      </c>
      <c r="C2991" s="12" t="s">
        <v>4</v>
      </c>
      <c r="D2991" s="93">
        <v>656.31</v>
      </c>
      <c r="E2991" s="93">
        <v>173.17</v>
      </c>
      <c r="F2991" s="93">
        <v>480.2</v>
      </c>
      <c r="G2991" s="93">
        <v>2.94</v>
      </c>
      <c r="H2991" s="93">
        <v>0</v>
      </c>
      <c r="N2991" s="88"/>
      <c r="O2991" s="88"/>
      <c r="P2991" s="88"/>
    </row>
    <row r="2992" spans="1:16">
      <c r="A2992" s="94">
        <v>100596</v>
      </c>
      <c r="B2992" s="87" t="s">
        <v>2697</v>
      </c>
      <c r="C2992" s="12" t="s">
        <v>4</v>
      </c>
      <c r="D2992" s="93">
        <v>749.7</v>
      </c>
      <c r="E2992" s="93">
        <v>243.03</v>
      </c>
      <c r="F2992" s="93">
        <v>502.77</v>
      </c>
      <c r="G2992" s="93">
        <v>3.9</v>
      </c>
      <c r="H2992" s="93">
        <v>0</v>
      </c>
      <c r="N2992" s="88"/>
      <c r="O2992" s="88"/>
      <c r="P2992" s="88"/>
    </row>
    <row r="2993" spans="1:16">
      <c r="A2993" s="94">
        <v>100597</v>
      </c>
      <c r="B2993" s="87" t="s">
        <v>2698</v>
      </c>
      <c r="C2993" s="12" t="s">
        <v>4</v>
      </c>
      <c r="D2993" s="93">
        <v>761.09</v>
      </c>
      <c r="E2993" s="93">
        <v>217.05</v>
      </c>
      <c r="F2993" s="93">
        <v>540.71</v>
      </c>
      <c r="G2993" s="93">
        <v>3.33</v>
      </c>
      <c r="H2993" s="93">
        <v>0</v>
      </c>
      <c r="N2993" s="88"/>
      <c r="O2993" s="88"/>
      <c r="P2993" s="88"/>
    </row>
    <row r="2994" spans="1:16">
      <c r="A2994" s="94">
        <v>100598</v>
      </c>
      <c r="B2994" s="87" t="s">
        <v>2699</v>
      </c>
      <c r="C2994" s="12" t="s">
        <v>4</v>
      </c>
      <c r="D2994" s="93">
        <v>838.06</v>
      </c>
      <c r="E2994" s="93">
        <v>274.61</v>
      </c>
      <c r="F2994" s="93">
        <v>559.34</v>
      </c>
      <c r="G2994" s="93">
        <v>4.1100000000000003</v>
      </c>
      <c r="H2994" s="93">
        <v>0</v>
      </c>
      <c r="N2994" s="88"/>
      <c r="O2994" s="88"/>
      <c r="P2994" s="88"/>
    </row>
    <row r="2995" spans="1:16">
      <c r="A2995" s="94">
        <v>100599</v>
      </c>
      <c r="B2995" s="87" t="s">
        <v>2700</v>
      </c>
      <c r="C2995" s="12" t="s">
        <v>4</v>
      </c>
      <c r="D2995" s="93">
        <v>350.35</v>
      </c>
      <c r="E2995" s="93">
        <v>73.09</v>
      </c>
      <c r="F2995" s="93">
        <v>274.8</v>
      </c>
      <c r="G2995" s="93">
        <v>2.35</v>
      </c>
      <c r="H2995" s="93">
        <v>0</v>
      </c>
      <c r="N2995" s="88"/>
      <c r="O2995" s="88"/>
      <c r="P2995" s="88"/>
    </row>
    <row r="2996" spans="1:16">
      <c r="A2996" s="94">
        <v>100600</v>
      </c>
      <c r="B2996" s="87" t="s">
        <v>2701</v>
      </c>
      <c r="C2996" s="12" t="s">
        <v>4</v>
      </c>
      <c r="D2996" s="93">
        <v>425.15</v>
      </c>
      <c r="E2996" s="93">
        <v>106.98</v>
      </c>
      <c r="F2996" s="93">
        <v>315.48</v>
      </c>
      <c r="G2996" s="93">
        <v>2.4900000000000002</v>
      </c>
      <c r="H2996" s="93">
        <v>0</v>
      </c>
      <c r="N2996" s="88"/>
      <c r="O2996" s="88"/>
      <c r="P2996" s="88"/>
    </row>
    <row r="2997" spans="1:16">
      <c r="A2997" s="94">
        <v>100601</v>
      </c>
      <c r="B2997" s="87" t="s">
        <v>2702</v>
      </c>
      <c r="C2997" s="12" t="s">
        <v>4</v>
      </c>
      <c r="D2997" s="93">
        <v>553.55999999999995</v>
      </c>
      <c r="E2997" s="93">
        <v>158.05000000000001</v>
      </c>
      <c r="F2997" s="93">
        <v>392.49</v>
      </c>
      <c r="G2997" s="93">
        <v>2.62</v>
      </c>
      <c r="H2997" s="93">
        <v>0</v>
      </c>
      <c r="N2997" s="88"/>
      <c r="O2997" s="88"/>
      <c r="P2997" s="88"/>
    </row>
    <row r="2998" spans="1:16">
      <c r="A2998" s="94">
        <v>100602</v>
      </c>
      <c r="B2998" s="87" t="s">
        <v>2703</v>
      </c>
      <c r="C2998" s="12" t="s">
        <v>4</v>
      </c>
      <c r="D2998" s="93">
        <v>713.73</v>
      </c>
      <c r="E2998" s="93">
        <v>221.84</v>
      </c>
      <c r="F2998" s="93">
        <v>488.46</v>
      </c>
      <c r="G2998" s="93">
        <v>2.79</v>
      </c>
      <c r="H2998" s="93">
        <v>0</v>
      </c>
      <c r="N2998" s="88"/>
      <c r="O2998" s="88"/>
      <c r="P2998" s="88"/>
    </row>
    <row r="2999" spans="1:16">
      <c r="A2999" s="94">
        <v>100603</v>
      </c>
      <c r="B2999" s="87" t="s">
        <v>2704</v>
      </c>
      <c r="C2999" s="12" t="s">
        <v>4</v>
      </c>
      <c r="D2999" s="93">
        <v>1124.94</v>
      </c>
      <c r="E2999" s="93">
        <v>388.03</v>
      </c>
      <c r="F2999" s="93">
        <v>732.36</v>
      </c>
      <c r="G2999" s="93">
        <v>3.3</v>
      </c>
      <c r="H2999" s="93">
        <v>0</v>
      </c>
      <c r="N2999" s="88"/>
      <c r="O2999" s="88"/>
      <c r="P2999" s="88"/>
    </row>
    <row r="3000" spans="1:16">
      <c r="A3000" s="94">
        <v>100604</v>
      </c>
      <c r="B3000" s="87" t="s">
        <v>2705</v>
      </c>
      <c r="C3000" s="12" t="s">
        <v>4</v>
      </c>
      <c r="D3000" s="93">
        <v>449.24</v>
      </c>
      <c r="E3000" s="93">
        <v>110.17</v>
      </c>
      <c r="F3000" s="93">
        <v>336.32</v>
      </c>
      <c r="G3000" s="93">
        <v>2.56</v>
      </c>
      <c r="H3000" s="93">
        <v>0</v>
      </c>
      <c r="N3000" s="88"/>
      <c r="O3000" s="88"/>
      <c r="P3000" s="88"/>
    </row>
    <row r="3001" spans="1:16">
      <c r="A3001" s="94">
        <v>100605</v>
      </c>
      <c r="B3001" s="87" t="s">
        <v>2706</v>
      </c>
      <c r="C3001" s="12" t="s">
        <v>4</v>
      </c>
      <c r="D3001" s="93">
        <v>744.62</v>
      </c>
      <c r="E3001" s="93">
        <v>230.55</v>
      </c>
      <c r="F3001" s="93">
        <v>510.6</v>
      </c>
      <c r="G3001" s="93">
        <v>2.84</v>
      </c>
      <c r="H3001" s="93">
        <v>0</v>
      </c>
      <c r="N3001" s="88"/>
      <c r="O3001" s="88"/>
      <c r="P3001" s="88"/>
    </row>
    <row r="3002" spans="1:16">
      <c r="A3002" s="94">
        <v>100606</v>
      </c>
      <c r="B3002" s="87" t="s">
        <v>2707</v>
      </c>
      <c r="C3002" s="12" t="s">
        <v>4</v>
      </c>
      <c r="D3002" s="93">
        <v>1164.6600000000001</v>
      </c>
      <c r="E3002" s="93">
        <v>404.09</v>
      </c>
      <c r="F3002" s="93">
        <v>756.02</v>
      </c>
      <c r="G3002" s="93">
        <v>3.32</v>
      </c>
      <c r="H3002" s="93">
        <v>0</v>
      </c>
      <c r="N3002" s="88"/>
      <c r="O3002" s="88"/>
      <c r="P3002" s="88"/>
    </row>
    <row r="3003" spans="1:16">
      <c r="A3003" s="94">
        <v>100607</v>
      </c>
      <c r="B3003" s="87" t="s">
        <v>2708</v>
      </c>
      <c r="C3003" s="12" t="s">
        <v>4</v>
      </c>
      <c r="D3003" s="93">
        <v>460.58</v>
      </c>
      <c r="E3003" s="93">
        <v>111.62</v>
      </c>
      <c r="F3003" s="93">
        <v>346.23</v>
      </c>
      <c r="G3003" s="93">
        <v>2.5499999999999998</v>
      </c>
      <c r="H3003" s="93">
        <v>0</v>
      </c>
      <c r="N3003" s="88"/>
      <c r="O3003" s="88"/>
      <c r="P3003" s="88"/>
    </row>
    <row r="3004" spans="1:16">
      <c r="A3004" s="94">
        <v>100608</v>
      </c>
      <c r="B3004" s="87" t="s">
        <v>2709</v>
      </c>
      <c r="C3004" s="12" t="s">
        <v>4</v>
      </c>
      <c r="D3004" s="93">
        <v>759.88</v>
      </c>
      <c r="E3004" s="93">
        <v>234.84</v>
      </c>
      <c r="F3004" s="93">
        <v>521.59</v>
      </c>
      <c r="G3004" s="93">
        <v>2.83</v>
      </c>
      <c r="H3004" s="93">
        <v>0</v>
      </c>
      <c r="N3004" s="88"/>
      <c r="O3004" s="88"/>
      <c r="P3004" s="88"/>
    </row>
    <row r="3005" spans="1:16">
      <c r="A3005" s="94">
        <v>100609</v>
      </c>
      <c r="B3005" s="87" t="s">
        <v>2710</v>
      </c>
      <c r="C3005" s="12" t="s">
        <v>4</v>
      </c>
      <c r="D3005" s="93">
        <v>1185.95</v>
      </c>
      <c r="E3005" s="93">
        <v>413.1</v>
      </c>
      <c r="F3005" s="93">
        <v>768.25</v>
      </c>
      <c r="G3005" s="93">
        <v>3.37</v>
      </c>
      <c r="H3005" s="93">
        <v>0</v>
      </c>
      <c r="N3005" s="88"/>
      <c r="O3005" s="88"/>
      <c r="P3005" s="88"/>
    </row>
    <row r="3006" spans="1:16">
      <c r="A3006" s="94">
        <v>100610</v>
      </c>
      <c r="B3006" s="87" t="s">
        <v>2711</v>
      </c>
      <c r="C3006" s="12" t="s">
        <v>4</v>
      </c>
      <c r="D3006" s="93">
        <v>471.85</v>
      </c>
      <c r="E3006" s="93">
        <v>112.91</v>
      </c>
      <c r="F3006" s="93">
        <v>356.19</v>
      </c>
      <c r="G3006" s="93">
        <v>2.57</v>
      </c>
      <c r="H3006" s="93">
        <v>0</v>
      </c>
      <c r="N3006" s="88"/>
      <c r="O3006" s="88"/>
      <c r="P3006" s="88"/>
    </row>
    <row r="3007" spans="1:16">
      <c r="A3007" s="94">
        <v>100611</v>
      </c>
      <c r="B3007" s="87" t="s">
        <v>2712</v>
      </c>
      <c r="C3007" s="12" t="s">
        <v>4</v>
      </c>
      <c r="D3007" s="93">
        <v>606.29</v>
      </c>
      <c r="E3007" s="93">
        <v>168.89</v>
      </c>
      <c r="F3007" s="93">
        <v>434.34</v>
      </c>
      <c r="G3007" s="93">
        <v>2.69</v>
      </c>
      <c r="H3007" s="93">
        <v>0</v>
      </c>
      <c r="N3007" s="88"/>
      <c r="O3007" s="88"/>
      <c r="P3007" s="88"/>
    </row>
    <row r="3008" spans="1:16">
      <c r="A3008" s="94">
        <v>100612</v>
      </c>
      <c r="B3008" s="87" t="s">
        <v>2713</v>
      </c>
      <c r="C3008" s="12" t="s">
        <v>4</v>
      </c>
      <c r="D3008" s="93">
        <v>774.73</v>
      </c>
      <c r="E3008" s="93">
        <v>238.92</v>
      </c>
      <c r="F3008" s="93">
        <v>532.35</v>
      </c>
      <c r="G3008" s="93">
        <v>2.85</v>
      </c>
      <c r="H3008" s="93">
        <v>0</v>
      </c>
      <c r="N3008" s="88"/>
      <c r="O3008" s="88"/>
      <c r="P3008" s="88"/>
    </row>
    <row r="3009" spans="1:16">
      <c r="A3009" s="94">
        <v>100613</v>
      </c>
      <c r="B3009" s="87" t="s">
        <v>2714</v>
      </c>
      <c r="C3009" s="12" t="s">
        <v>4</v>
      </c>
      <c r="D3009" s="93">
        <v>1206.73</v>
      </c>
      <c r="E3009" s="93">
        <v>421.97</v>
      </c>
      <c r="F3009" s="93">
        <v>780.14</v>
      </c>
      <c r="G3009" s="93">
        <v>3.4</v>
      </c>
      <c r="H3009" s="93">
        <v>0</v>
      </c>
      <c r="N3009" s="88"/>
      <c r="O3009" s="88"/>
      <c r="P3009" s="88"/>
    </row>
    <row r="3010" spans="1:16">
      <c r="A3010" s="94">
        <v>100614</v>
      </c>
      <c r="B3010" s="87" t="s">
        <v>2715</v>
      </c>
      <c r="C3010" s="12" t="s">
        <v>4</v>
      </c>
      <c r="D3010" s="93">
        <v>632.04999999999995</v>
      </c>
      <c r="E3010" s="93">
        <v>173.97</v>
      </c>
      <c r="F3010" s="93">
        <v>454.98</v>
      </c>
      <c r="G3010" s="93">
        <v>2.74</v>
      </c>
      <c r="H3010" s="93">
        <v>0</v>
      </c>
      <c r="N3010" s="88"/>
      <c r="O3010" s="88"/>
      <c r="P3010" s="88"/>
    </row>
    <row r="3011" spans="1:16">
      <c r="A3011" s="94">
        <v>100615</v>
      </c>
      <c r="B3011" s="87" t="s">
        <v>2716</v>
      </c>
      <c r="C3011" s="12" t="s">
        <v>4</v>
      </c>
      <c r="D3011" s="93">
        <v>804.15</v>
      </c>
      <c r="E3011" s="93">
        <v>247.03</v>
      </c>
      <c r="F3011" s="93">
        <v>553.61</v>
      </c>
      <c r="G3011" s="93">
        <v>2.91</v>
      </c>
      <c r="H3011" s="93">
        <v>0</v>
      </c>
      <c r="N3011" s="88"/>
      <c r="O3011" s="88"/>
      <c r="P3011" s="88"/>
    </row>
    <row r="3012" spans="1:16">
      <c r="A3012" s="94">
        <v>100616</v>
      </c>
      <c r="B3012" s="87" t="s">
        <v>2717</v>
      </c>
      <c r="C3012" s="12" t="s">
        <v>4</v>
      </c>
      <c r="D3012" s="93">
        <v>1250.3900000000001</v>
      </c>
      <c r="E3012" s="93">
        <v>441.27</v>
      </c>
      <c r="F3012" s="93">
        <v>804.35</v>
      </c>
      <c r="G3012" s="93">
        <v>3.57</v>
      </c>
      <c r="H3012" s="93">
        <v>0</v>
      </c>
      <c r="N3012" s="88"/>
      <c r="O3012" s="88"/>
      <c r="P3012" s="88"/>
    </row>
    <row r="3013" spans="1:16">
      <c r="A3013" s="94">
        <v>100617</v>
      </c>
      <c r="B3013" s="87" t="s">
        <v>2718</v>
      </c>
      <c r="C3013" s="12" t="s">
        <v>4</v>
      </c>
      <c r="D3013" s="93">
        <v>833.39</v>
      </c>
      <c r="E3013" s="93">
        <v>255.22</v>
      </c>
      <c r="F3013" s="93">
        <v>574.64</v>
      </c>
      <c r="G3013" s="93">
        <v>2.95</v>
      </c>
      <c r="H3013" s="93">
        <v>0</v>
      </c>
      <c r="N3013" s="88"/>
      <c r="O3013" s="88"/>
      <c r="P3013" s="88"/>
    </row>
    <row r="3014" spans="1:16">
      <c r="A3014" s="94">
        <v>100618</v>
      </c>
      <c r="B3014" s="87" t="s">
        <v>2719</v>
      </c>
      <c r="C3014" s="12" t="s">
        <v>4</v>
      </c>
      <c r="D3014" s="93">
        <v>1299.19</v>
      </c>
      <c r="E3014" s="93">
        <v>459.25</v>
      </c>
      <c r="F3014" s="93">
        <v>835.16</v>
      </c>
      <c r="G3014" s="93">
        <v>3.57</v>
      </c>
      <c r="H3014" s="93">
        <v>0</v>
      </c>
      <c r="N3014" s="88"/>
      <c r="O3014" s="88"/>
      <c r="P3014" s="88"/>
    </row>
    <row r="3015" spans="1:16">
      <c r="A3015" s="94">
        <v>100619</v>
      </c>
      <c r="B3015" s="87" t="s">
        <v>2720</v>
      </c>
      <c r="C3015" s="12" t="s">
        <v>4</v>
      </c>
      <c r="D3015" s="93">
        <v>386.17</v>
      </c>
      <c r="E3015" s="93">
        <v>72.349999999999994</v>
      </c>
      <c r="F3015" s="93">
        <v>313.82</v>
      </c>
      <c r="G3015" s="93">
        <v>0</v>
      </c>
      <c r="H3015" s="93">
        <v>0</v>
      </c>
      <c r="N3015" s="88"/>
      <c r="O3015" s="88"/>
      <c r="P3015" s="88"/>
    </row>
    <row r="3016" spans="1:16">
      <c r="A3016" s="94">
        <v>100620</v>
      </c>
      <c r="B3016" s="87" t="s">
        <v>2721</v>
      </c>
      <c r="C3016" s="12" t="s">
        <v>4</v>
      </c>
      <c r="D3016" s="93">
        <v>2197.44</v>
      </c>
      <c r="E3016" s="93">
        <v>48.28</v>
      </c>
      <c r="F3016" s="93">
        <v>2143.5</v>
      </c>
      <c r="G3016" s="93">
        <v>5.66</v>
      </c>
      <c r="H3016" s="93">
        <v>0</v>
      </c>
      <c r="N3016" s="88"/>
      <c r="O3016" s="88"/>
      <c r="P3016" s="88"/>
    </row>
    <row r="3017" spans="1:16">
      <c r="A3017" s="94">
        <v>100621</v>
      </c>
      <c r="B3017" s="87" t="s">
        <v>2722</v>
      </c>
      <c r="C3017" s="12" t="s">
        <v>4</v>
      </c>
      <c r="D3017" s="93">
        <v>2497.89</v>
      </c>
      <c r="E3017" s="93">
        <v>68.11</v>
      </c>
      <c r="F3017" s="93">
        <v>2424.12</v>
      </c>
      <c r="G3017" s="93">
        <v>5.66</v>
      </c>
      <c r="H3017" s="93">
        <v>0</v>
      </c>
      <c r="N3017" s="88"/>
      <c r="O3017" s="88"/>
      <c r="P3017" s="88"/>
    </row>
    <row r="3018" spans="1:16">
      <c r="A3018" s="94">
        <v>100622</v>
      </c>
      <c r="B3018" s="87" t="s">
        <v>2723</v>
      </c>
      <c r="C3018" s="12" t="s">
        <v>4</v>
      </c>
      <c r="D3018" s="93">
        <v>1651.09</v>
      </c>
      <c r="E3018" s="93">
        <v>79.599999999999994</v>
      </c>
      <c r="F3018" s="93">
        <v>1567.99</v>
      </c>
      <c r="G3018" s="93">
        <v>3.5</v>
      </c>
      <c r="H3018" s="93">
        <v>0</v>
      </c>
      <c r="N3018" s="88"/>
      <c r="O3018" s="88"/>
      <c r="P3018" s="88"/>
    </row>
    <row r="3019" spans="1:16">
      <c r="A3019" s="94">
        <v>100623</v>
      </c>
      <c r="B3019" s="87" t="s">
        <v>2724</v>
      </c>
      <c r="C3019" s="12" t="s">
        <v>4</v>
      </c>
      <c r="D3019" s="93">
        <v>1769.52</v>
      </c>
      <c r="E3019" s="93">
        <v>99.4</v>
      </c>
      <c r="F3019" s="93">
        <v>1666.62</v>
      </c>
      <c r="G3019" s="93">
        <v>3.5</v>
      </c>
      <c r="H3019" s="93">
        <v>0</v>
      </c>
      <c r="N3019" s="88"/>
      <c r="O3019" s="88"/>
      <c r="P3019" s="88"/>
    </row>
    <row r="3020" spans="1:16">
      <c r="A3020" s="94">
        <v>97600</v>
      </c>
      <c r="B3020" s="87" t="s">
        <v>2725</v>
      </c>
      <c r="C3020" s="12" t="s">
        <v>4</v>
      </c>
      <c r="D3020" s="93">
        <v>202.49</v>
      </c>
      <c r="E3020" s="93">
        <v>9.3000000000000007</v>
      </c>
      <c r="F3020" s="93">
        <v>193.19</v>
      </c>
      <c r="G3020" s="93">
        <v>0</v>
      </c>
      <c r="H3020" s="93">
        <v>0</v>
      </c>
      <c r="N3020" s="88"/>
      <c r="O3020" s="88"/>
      <c r="P3020" s="88"/>
    </row>
    <row r="3021" spans="1:16">
      <c r="A3021" s="94">
        <v>97601</v>
      </c>
      <c r="B3021" s="87" t="s">
        <v>2726</v>
      </c>
      <c r="C3021" s="12" t="s">
        <v>4</v>
      </c>
      <c r="D3021" s="93">
        <v>215.97</v>
      </c>
      <c r="E3021" s="93">
        <v>9.3000000000000007</v>
      </c>
      <c r="F3021" s="93">
        <v>206.67</v>
      </c>
      <c r="G3021" s="93">
        <v>0</v>
      </c>
      <c r="H3021" s="93">
        <v>0</v>
      </c>
      <c r="N3021" s="88"/>
      <c r="O3021" s="88"/>
      <c r="P3021" s="88"/>
    </row>
    <row r="3022" spans="1:16">
      <c r="A3022" s="94">
        <v>97605</v>
      </c>
      <c r="B3022" s="87" t="s">
        <v>2727</v>
      </c>
      <c r="C3022" s="12" t="s">
        <v>4</v>
      </c>
      <c r="D3022" s="93">
        <v>59.67</v>
      </c>
      <c r="E3022" s="93">
        <v>10.58</v>
      </c>
      <c r="F3022" s="93">
        <v>49.09</v>
      </c>
      <c r="G3022" s="93">
        <v>0</v>
      </c>
      <c r="H3022" s="93">
        <v>0</v>
      </c>
      <c r="N3022" s="88"/>
      <c r="O3022" s="88"/>
      <c r="P3022" s="88"/>
    </row>
    <row r="3023" spans="1:16">
      <c r="A3023" s="94">
        <v>97606</v>
      </c>
      <c r="B3023" s="87" t="s">
        <v>2728</v>
      </c>
      <c r="C3023" s="12" t="s">
        <v>4</v>
      </c>
      <c r="D3023" s="93">
        <v>62.61</v>
      </c>
      <c r="E3023" s="93">
        <v>10.58</v>
      </c>
      <c r="F3023" s="93">
        <v>52.03</v>
      </c>
      <c r="G3023" s="93">
        <v>0</v>
      </c>
      <c r="H3023" s="93">
        <v>0</v>
      </c>
      <c r="N3023" s="88"/>
      <c r="O3023" s="88"/>
      <c r="P3023" s="88"/>
    </row>
    <row r="3024" spans="1:16">
      <c r="A3024" s="94">
        <v>97607</v>
      </c>
      <c r="B3024" s="87" t="s">
        <v>2729</v>
      </c>
      <c r="C3024" s="12" t="s">
        <v>4</v>
      </c>
      <c r="D3024" s="93">
        <v>71.03</v>
      </c>
      <c r="E3024" s="93">
        <v>12.33</v>
      </c>
      <c r="F3024" s="93">
        <v>58.7</v>
      </c>
      <c r="G3024" s="93">
        <v>0</v>
      </c>
      <c r="H3024" s="93">
        <v>0</v>
      </c>
      <c r="N3024" s="88"/>
      <c r="O3024" s="88"/>
      <c r="P3024" s="88"/>
    </row>
    <row r="3025" spans="1:16">
      <c r="A3025" s="94">
        <v>97608</v>
      </c>
      <c r="B3025" s="87" t="s">
        <v>2730</v>
      </c>
      <c r="C3025" s="12" t="s">
        <v>4</v>
      </c>
      <c r="D3025" s="93">
        <v>73.97</v>
      </c>
      <c r="E3025" s="93">
        <v>12.33</v>
      </c>
      <c r="F3025" s="93">
        <v>61.64</v>
      </c>
      <c r="G3025" s="93">
        <v>0</v>
      </c>
      <c r="H3025" s="93">
        <v>0</v>
      </c>
      <c r="N3025" s="88"/>
      <c r="O3025" s="88"/>
      <c r="P3025" s="88"/>
    </row>
    <row r="3026" spans="1:16">
      <c r="A3026" s="95" t="s">
        <v>6689</v>
      </c>
      <c r="B3026" s="87" t="s">
        <v>6690</v>
      </c>
      <c r="C3026" s="12" t="s">
        <v>4</v>
      </c>
      <c r="D3026" s="93">
        <v>7336.5</v>
      </c>
      <c r="E3026" s="93">
        <v>55.9</v>
      </c>
      <c r="F3026" s="93">
        <v>7280.6</v>
      </c>
      <c r="G3026" s="93">
        <v>0</v>
      </c>
      <c r="H3026" s="93">
        <v>0</v>
      </c>
      <c r="N3026" s="88"/>
      <c r="O3026" s="88"/>
      <c r="P3026" s="88"/>
    </row>
    <row r="3027" spans="1:16">
      <c r="A3027" s="95" t="s">
        <v>6691</v>
      </c>
      <c r="B3027" s="87" t="s">
        <v>6692</v>
      </c>
      <c r="C3027" s="12" t="s">
        <v>4</v>
      </c>
      <c r="D3027" s="93">
        <v>9066.23</v>
      </c>
      <c r="E3027" s="93">
        <v>69.86</v>
      </c>
      <c r="F3027" s="93">
        <v>8996.3700000000008</v>
      </c>
      <c r="G3027" s="93">
        <v>0</v>
      </c>
      <c r="H3027" s="93">
        <v>0</v>
      </c>
      <c r="N3027" s="88"/>
      <c r="O3027" s="88"/>
      <c r="P3027" s="88"/>
    </row>
    <row r="3028" spans="1:16">
      <c r="A3028" s="95" t="s">
        <v>6693</v>
      </c>
      <c r="B3028" s="87" t="s">
        <v>6694</v>
      </c>
      <c r="C3028" s="12" t="s">
        <v>4</v>
      </c>
      <c r="D3028" s="93">
        <v>11429.03</v>
      </c>
      <c r="E3028" s="93">
        <v>83.85</v>
      </c>
      <c r="F3028" s="93">
        <v>11345.18</v>
      </c>
      <c r="G3028" s="93">
        <v>0</v>
      </c>
      <c r="H3028" s="93">
        <v>0</v>
      </c>
      <c r="N3028" s="88"/>
      <c r="O3028" s="88"/>
      <c r="P3028" s="88"/>
    </row>
    <row r="3029" spans="1:16">
      <c r="A3029" s="95" t="s">
        <v>6695</v>
      </c>
      <c r="B3029" s="87" t="s">
        <v>6696</v>
      </c>
      <c r="C3029" s="12" t="s">
        <v>4</v>
      </c>
      <c r="D3029" s="93">
        <v>16007.02</v>
      </c>
      <c r="E3029" s="93">
        <v>97.81</v>
      </c>
      <c r="F3029" s="93">
        <v>15909.21</v>
      </c>
      <c r="G3029" s="93">
        <v>0</v>
      </c>
      <c r="H3029" s="93">
        <v>0</v>
      </c>
      <c r="N3029" s="88"/>
      <c r="O3029" s="88"/>
      <c r="P3029" s="88"/>
    </row>
    <row r="3030" spans="1:16">
      <c r="A3030" s="95" t="s">
        <v>6697</v>
      </c>
      <c r="B3030" s="87" t="s">
        <v>6698</v>
      </c>
      <c r="C3030" s="12" t="s">
        <v>4</v>
      </c>
      <c r="D3030" s="93">
        <v>18671.78</v>
      </c>
      <c r="E3030" s="93">
        <v>111.8</v>
      </c>
      <c r="F3030" s="93">
        <v>18559.98</v>
      </c>
      <c r="G3030" s="93">
        <v>0</v>
      </c>
      <c r="H3030" s="93">
        <v>0</v>
      </c>
      <c r="N3030" s="88"/>
      <c r="O3030" s="88"/>
      <c r="P3030" s="88"/>
    </row>
    <row r="3031" spans="1:16">
      <c r="A3031" s="95" t="s">
        <v>6699</v>
      </c>
      <c r="B3031" s="87" t="s">
        <v>6700</v>
      </c>
      <c r="C3031" s="12" t="s">
        <v>4</v>
      </c>
      <c r="D3031" s="93">
        <v>30394.36</v>
      </c>
      <c r="E3031" s="93">
        <v>125.76</v>
      </c>
      <c r="F3031" s="93">
        <v>30268.6</v>
      </c>
      <c r="G3031" s="93">
        <v>0</v>
      </c>
      <c r="H3031" s="93">
        <v>0</v>
      </c>
      <c r="N3031" s="88"/>
      <c r="O3031" s="88"/>
      <c r="P3031" s="88"/>
    </row>
    <row r="3032" spans="1:16">
      <c r="A3032" s="95" t="s">
        <v>6701</v>
      </c>
      <c r="B3032" s="87" t="s">
        <v>6702</v>
      </c>
      <c r="C3032" s="12" t="s">
        <v>4</v>
      </c>
      <c r="D3032" s="93">
        <v>5064.88</v>
      </c>
      <c r="E3032" s="93">
        <v>27.95</v>
      </c>
      <c r="F3032" s="93">
        <v>5036.93</v>
      </c>
      <c r="G3032" s="93">
        <v>0</v>
      </c>
      <c r="H3032" s="93">
        <v>0</v>
      </c>
      <c r="N3032" s="88"/>
      <c r="O3032" s="88"/>
      <c r="P3032" s="88"/>
    </row>
    <row r="3033" spans="1:16">
      <c r="A3033" s="95" t="s">
        <v>6703</v>
      </c>
      <c r="B3033" s="87" t="s">
        <v>6704</v>
      </c>
      <c r="C3033" s="12" t="s">
        <v>4</v>
      </c>
      <c r="D3033" s="93">
        <v>5671.43</v>
      </c>
      <c r="E3033" s="93">
        <v>41.91</v>
      </c>
      <c r="F3033" s="93">
        <v>5629.52</v>
      </c>
      <c r="G3033" s="93">
        <v>0</v>
      </c>
      <c r="H3033" s="93">
        <v>0</v>
      </c>
      <c r="N3033" s="88"/>
      <c r="O3033" s="88"/>
      <c r="P3033" s="88"/>
    </row>
    <row r="3034" spans="1:16">
      <c r="A3034" s="95" t="s">
        <v>6705</v>
      </c>
      <c r="B3034" s="87" t="s">
        <v>6706</v>
      </c>
      <c r="C3034" s="12" t="s">
        <v>4</v>
      </c>
      <c r="D3034" s="93">
        <v>41647.69</v>
      </c>
      <c r="E3034" s="93">
        <v>139.75</v>
      </c>
      <c r="F3034" s="93">
        <v>41507.94</v>
      </c>
      <c r="G3034" s="93">
        <v>0</v>
      </c>
      <c r="H3034" s="93">
        <v>0</v>
      </c>
      <c r="N3034" s="88"/>
      <c r="O3034" s="88"/>
      <c r="P3034" s="88"/>
    </row>
    <row r="3035" spans="1:16">
      <c r="A3035" s="95" t="s">
        <v>6707</v>
      </c>
      <c r="B3035" s="87" t="s">
        <v>6708</v>
      </c>
      <c r="C3035" s="12" t="s">
        <v>4</v>
      </c>
      <c r="D3035" s="93">
        <v>58256.44</v>
      </c>
      <c r="E3035" s="93">
        <v>153.71</v>
      </c>
      <c r="F3035" s="93">
        <v>58102.73</v>
      </c>
      <c r="G3035" s="93">
        <v>0</v>
      </c>
      <c r="H3035" s="93">
        <v>0</v>
      </c>
      <c r="N3035" s="88"/>
      <c r="O3035" s="88"/>
      <c r="P3035" s="88"/>
    </row>
    <row r="3036" spans="1:16">
      <c r="A3036" s="94">
        <v>93128</v>
      </c>
      <c r="B3036" s="87" t="s">
        <v>2731</v>
      </c>
      <c r="C3036" s="12" t="s">
        <v>4</v>
      </c>
      <c r="D3036" s="93">
        <v>108.45</v>
      </c>
      <c r="E3036" s="93">
        <v>65.569999999999993</v>
      </c>
      <c r="F3036" s="93">
        <v>42.88</v>
      </c>
      <c r="G3036" s="93">
        <v>0</v>
      </c>
      <c r="H3036" s="93">
        <v>0</v>
      </c>
      <c r="N3036" s="88"/>
      <c r="O3036" s="88"/>
      <c r="P3036" s="88"/>
    </row>
    <row r="3037" spans="1:16">
      <c r="A3037" s="94">
        <v>93137</v>
      </c>
      <c r="B3037" s="87" t="s">
        <v>2732</v>
      </c>
      <c r="C3037" s="12" t="s">
        <v>4</v>
      </c>
      <c r="D3037" s="93">
        <v>127.22</v>
      </c>
      <c r="E3037" s="93">
        <v>73.459999999999994</v>
      </c>
      <c r="F3037" s="93">
        <v>53.76</v>
      </c>
      <c r="G3037" s="93">
        <v>0</v>
      </c>
      <c r="H3037" s="93">
        <v>0</v>
      </c>
      <c r="N3037" s="88"/>
      <c r="O3037" s="88"/>
      <c r="P3037" s="88"/>
    </row>
    <row r="3038" spans="1:16">
      <c r="A3038" s="94">
        <v>93138</v>
      </c>
      <c r="B3038" s="87" t="s">
        <v>2733</v>
      </c>
      <c r="C3038" s="12" t="s">
        <v>4</v>
      </c>
      <c r="D3038" s="93">
        <v>121.15</v>
      </c>
      <c r="E3038" s="93">
        <v>71.069999999999993</v>
      </c>
      <c r="F3038" s="93">
        <v>50.08</v>
      </c>
      <c r="G3038" s="93">
        <v>0</v>
      </c>
      <c r="H3038" s="93">
        <v>0</v>
      </c>
      <c r="N3038" s="88"/>
      <c r="O3038" s="88"/>
      <c r="P3038" s="88"/>
    </row>
    <row r="3039" spans="1:16">
      <c r="A3039" s="94">
        <v>93139</v>
      </c>
      <c r="B3039" s="87" t="s">
        <v>2734</v>
      </c>
      <c r="C3039" s="12" t="s">
        <v>4</v>
      </c>
      <c r="D3039" s="93">
        <v>152.59</v>
      </c>
      <c r="E3039" s="93">
        <v>84.37</v>
      </c>
      <c r="F3039" s="93">
        <v>68.22</v>
      </c>
      <c r="G3039" s="93">
        <v>0</v>
      </c>
      <c r="H3039" s="93">
        <v>0</v>
      </c>
      <c r="N3039" s="88"/>
      <c r="O3039" s="88"/>
      <c r="P3039" s="88"/>
    </row>
    <row r="3040" spans="1:16">
      <c r="A3040" s="94">
        <v>93140</v>
      </c>
      <c r="B3040" s="87" t="s">
        <v>2735</v>
      </c>
      <c r="C3040" s="12" t="s">
        <v>4</v>
      </c>
      <c r="D3040" s="93">
        <v>144.01</v>
      </c>
      <c r="E3040" s="93">
        <v>80.47</v>
      </c>
      <c r="F3040" s="93">
        <v>63.54</v>
      </c>
      <c r="G3040" s="93">
        <v>0</v>
      </c>
      <c r="H3040" s="93">
        <v>0</v>
      </c>
      <c r="N3040" s="88"/>
      <c r="O3040" s="88"/>
      <c r="P3040" s="88"/>
    </row>
    <row r="3041" spans="1:16">
      <c r="A3041" s="94">
        <v>93141</v>
      </c>
      <c r="B3041" s="87" t="s">
        <v>264</v>
      </c>
      <c r="C3041" s="12" t="s">
        <v>4</v>
      </c>
      <c r="D3041" s="93">
        <v>130.80000000000001</v>
      </c>
      <c r="E3041" s="93">
        <v>73.28</v>
      </c>
      <c r="F3041" s="93">
        <v>57.52</v>
      </c>
      <c r="G3041" s="93">
        <v>0</v>
      </c>
      <c r="H3041" s="93">
        <v>0</v>
      </c>
      <c r="N3041" s="88"/>
      <c r="O3041" s="88"/>
      <c r="P3041" s="88"/>
    </row>
    <row r="3042" spans="1:16">
      <c r="A3042" s="94">
        <v>93142</v>
      </c>
      <c r="B3042" s="87" t="s">
        <v>2736</v>
      </c>
      <c r="C3042" s="12" t="s">
        <v>4</v>
      </c>
      <c r="D3042" s="93">
        <v>145.09</v>
      </c>
      <c r="E3042" s="93">
        <v>80.55</v>
      </c>
      <c r="F3042" s="93">
        <v>64.540000000000006</v>
      </c>
      <c r="G3042" s="93">
        <v>0</v>
      </c>
      <c r="H3042" s="93">
        <v>0</v>
      </c>
      <c r="N3042" s="88"/>
      <c r="O3042" s="88"/>
      <c r="P3042" s="88"/>
    </row>
    <row r="3043" spans="1:16">
      <c r="A3043" s="94">
        <v>93143</v>
      </c>
      <c r="B3043" s="87" t="s">
        <v>265</v>
      </c>
      <c r="C3043" s="12" t="s">
        <v>4</v>
      </c>
      <c r="D3043" s="93">
        <v>132.12</v>
      </c>
      <c r="E3043" s="93">
        <v>73.27</v>
      </c>
      <c r="F3043" s="93">
        <v>58.85</v>
      </c>
      <c r="G3043" s="93">
        <v>0</v>
      </c>
      <c r="H3043" s="93">
        <v>0</v>
      </c>
      <c r="N3043" s="88"/>
      <c r="O3043" s="88"/>
      <c r="P3043" s="88"/>
    </row>
    <row r="3044" spans="1:16">
      <c r="A3044" s="94">
        <v>93144</v>
      </c>
      <c r="B3044" s="87" t="s">
        <v>2737</v>
      </c>
      <c r="C3044" s="12" t="s">
        <v>4</v>
      </c>
      <c r="D3044" s="93">
        <v>168.03</v>
      </c>
      <c r="E3044" s="93">
        <v>79.180000000000007</v>
      </c>
      <c r="F3044" s="93">
        <v>88.85</v>
      </c>
      <c r="G3044" s="93">
        <v>0</v>
      </c>
      <c r="H3044" s="93">
        <v>0</v>
      </c>
      <c r="N3044" s="88"/>
      <c r="O3044" s="88"/>
      <c r="P3044" s="88"/>
    </row>
    <row r="3045" spans="1:16">
      <c r="A3045" s="94">
        <v>93145</v>
      </c>
      <c r="B3045" s="87" t="s">
        <v>2738</v>
      </c>
      <c r="C3045" s="12" t="s">
        <v>4</v>
      </c>
      <c r="D3045" s="93">
        <v>157.77000000000001</v>
      </c>
      <c r="E3045" s="93">
        <v>84.2</v>
      </c>
      <c r="F3045" s="93">
        <v>73.569999999999993</v>
      </c>
      <c r="G3045" s="93">
        <v>0</v>
      </c>
      <c r="H3045" s="93">
        <v>0</v>
      </c>
      <c r="N3045" s="88"/>
      <c r="O3045" s="88"/>
      <c r="P3045" s="88"/>
    </row>
    <row r="3046" spans="1:16">
      <c r="A3046" s="94">
        <v>93146</v>
      </c>
      <c r="B3046" s="87" t="s">
        <v>2739</v>
      </c>
      <c r="C3046" s="12" t="s">
        <v>4</v>
      </c>
      <c r="D3046" s="93">
        <v>170.46</v>
      </c>
      <c r="E3046" s="93">
        <v>89.66</v>
      </c>
      <c r="F3046" s="93">
        <v>80.8</v>
      </c>
      <c r="G3046" s="93">
        <v>0</v>
      </c>
      <c r="H3046" s="93">
        <v>0</v>
      </c>
      <c r="N3046" s="88"/>
      <c r="O3046" s="88"/>
      <c r="P3046" s="88"/>
    </row>
    <row r="3047" spans="1:16">
      <c r="A3047" s="94">
        <v>93147</v>
      </c>
      <c r="B3047" s="87" t="s">
        <v>2740</v>
      </c>
      <c r="C3047" s="12" t="s">
        <v>4</v>
      </c>
      <c r="D3047" s="93">
        <v>193.36</v>
      </c>
      <c r="E3047" s="93">
        <v>99.07</v>
      </c>
      <c r="F3047" s="93">
        <v>94.29</v>
      </c>
      <c r="G3047" s="93">
        <v>0</v>
      </c>
      <c r="H3047" s="93">
        <v>0</v>
      </c>
      <c r="N3047" s="88"/>
      <c r="O3047" s="88"/>
      <c r="P3047" s="88"/>
    </row>
    <row r="3048" spans="1:16">
      <c r="A3048" s="94">
        <v>96971</v>
      </c>
      <c r="B3048" s="87" t="s">
        <v>2741</v>
      </c>
      <c r="C3048" s="12" t="s">
        <v>6</v>
      </c>
      <c r="D3048" s="93">
        <v>25.28</v>
      </c>
      <c r="E3048" s="93">
        <v>7.48</v>
      </c>
      <c r="F3048" s="93">
        <v>17.8</v>
      </c>
      <c r="G3048" s="93">
        <v>0</v>
      </c>
      <c r="H3048" s="93">
        <v>0</v>
      </c>
      <c r="N3048" s="88"/>
      <c r="O3048" s="88"/>
      <c r="P3048" s="88"/>
    </row>
    <row r="3049" spans="1:16">
      <c r="A3049" s="94">
        <v>96972</v>
      </c>
      <c r="B3049" s="87" t="s">
        <v>2742</v>
      </c>
      <c r="C3049" s="12" t="s">
        <v>6</v>
      </c>
      <c r="D3049" s="93">
        <v>35.020000000000003</v>
      </c>
      <c r="E3049" s="93">
        <v>10.11</v>
      </c>
      <c r="F3049" s="93">
        <v>24.91</v>
      </c>
      <c r="G3049" s="93">
        <v>0</v>
      </c>
      <c r="H3049" s="93">
        <v>0</v>
      </c>
      <c r="N3049" s="88"/>
      <c r="O3049" s="88"/>
      <c r="P3049" s="88"/>
    </row>
    <row r="3050" spans="1:16">
      <c r="A3050" s="94">
        <v>96973</v>
      </c>
      <c r="B3050" s="87" t="s">
        <v>2743</v>
      </c>
      <c r="C3050" s="12" t="s">
        <v>6</v>
      </c>
      <c r="D3050" s="93">
        <v>44.46</v>
      </c>
      <c r="E3050" s="93">
        <v>12.12</v>
      </c>
      <c r="F3050" s="93">
        <v>32.340000000000003</v>
      </c>
      <c r="G3050" s="93">
        <v>0</v>
      </c>
      <c r="H3050" s="93">
        <v>0</v>
      </c>
      <c r="N3050" s="88"/>
      <c r="O3050" s="88"/>
      <c r="P3050" s="88"/>
    </row>
    <row r="3051" spans="1:16">
      <c r="A3051" s="94">
        <v>96974</v>
      </c>
      <c r="B3051" s="87" t="s">
        <v>2744</v>
      </c>
      <c r="C3051" s="12" t="s">
        <v>6</v>
      </c>
      <c r="D3051" s="93">
        <v>56.91</v>
      </c>
      <c r="E3051" s="93">
        <v>14.24</v>
      </c>
      <c r="F3051" s="93">
        <v>42.67</v>
      </c>
      <c r="G3051" s="93">
        <v>0</v>
      </c>
      <c r="H3051" s="93">
        <v>0</v>
      </c>
      <c r="N3051" s="88"/>
      <c r="O3051" s="88"/>
      <c r="P3051" s="88"/>
    </row>
    <row r="3052" spans="1:16">
      <c r="A3052" s="94">
        <v>96975</v>
      </c>
      <c r="B3052" s="87" t="s">
        <v>2745</v>
      </c>
      <c r="C3052" s="12" t="s">
        <v>6</v>
      </c>
      <c r="D3052" s="93">
        <v>73.55</v>
      </c>
      <c r="E3052" s="93">
        <v>16.22</v>
      </c>
      <c r="F3052" s="93">
        <v>57.33</v>
      </c>
      <c r="G3052" s="93">
        <v>0</v>
      </c>
      <c r="H3052" s="93">
        <v>0</v>
      </c>
      <c r="N3052" s="88"/>
      <c r="O3052" s="88"/>
      <c r="P3052" s="88"/>
    </row>
    <row r="3053" spans="1:16">
      <c r="A3053" s="94">
        <v>96976</v>
      </c>
      <c r="B3053" s="87" t="s">
        <v>2746</v>
      </c>
      <c r="C3053" s="12" t="s">
        <v>6</v>
      </c>
      <c r="D3053" s="93">
        <v>95.68</v>
      </c>
      <c r="E3053" s="93">
        <v>18.03</v>
      </c>
      <c r="F3053" s="93">
        <v>77.650000000000006</v>
      </c>
      <c r="G3053" s="93">
        <v>0</v>
      </c>
      <c r="H3053" s="93">
        <v>0</v>
      </c>
      <c r="N3053" s="88"/>
      <c r="O3053" s="88"/>
      <c r="P3053" s="88"/>
    </row>
    <row r="3054" spans="1:16">
      <c r="A3054" s="94">
        <v>96977</v>
      </c>
      <c r="B3054" s="87" t="s">
        <v>2747</v>
      </c>
      <c r="C3054" s="12" t="s">
        <v>6</v>
      </c>
      <c r="D3054" s="93">
        <v>37.24</v>
      </c>
      <c r="E3054" s="93">
        <v>0.97</v>
      </c>
      <c r="F3054" s="93">
        <v>36.270000000000003</v>
      </c>
      <c r="G3054" s="93">
        <v>0</v>
      </c>
      <c r="H3054" s="93">
        <v>0</v>
      </c>
      <c r="N3054" s="88"/>
      <c r="O3054" s="88"/>
      <c r="P3054" s="88"/>
    </row>
    <row r="3055" spans="1:16">
      <c r="A3055" s="94">
        <v>96978</v>
      </c>
      <c r="B3055" s="87" t="s">
        <v>2748</v>
      </c>
      <c r="C3055" s="12" t="s">
        <v>6</v>
      </c>
      <c r="D3055" s="93">
        <v>52.22</v>
      </c>
      <c r="E3055" s="93">
        <v>1.18</v>
      </c>
      <c r="F3055" s="93">
        <v>51.04</v>
      </c>
      <c r="G3055" s="93">
        <v>0</v>
      </c>
      <c r="H3055" s="93">
        <v>0</v>
      </c>
      <c r="N3055" s="88"/>
      <c r="O3055" s="88"/>
      <c r="P3055" s="88"/>
    </row>
    <row r="3056" spans="1:16">
      <c r="A3056" s="94">
        <v>96979</v>
      </c>
      <c r="B3056" s="87" t="s">
        <v>2749</v>
      </c>
      <c r="C3056" s="12" t="s">
        <v>6</v>
      </c>
      <c r="D3056" s="93">
        <v>73.150000000000006</v>
      </c>
      <c r="E3056" s="93">
        <v>1.37</v>
      </c>
      <c r="F3056" s="93">
        <v>71.78</v>
      </c>
      <c r="G3056" s="93">
        <v>0</v>
      </c>
      <c r="H3056" s="93">
        <v>0</v>
      </c>
      <c r="N3056" s="88"/>
      <c r="O3056" s="88"/>
      <c r="P3056" s="88"/>
    </row>
    <row r="3057" spans="1:16">
      <c r="A3057" s="94">
        <v>96984</v>
      </c>
      <c r="B3057" s="87" t="s">
        <v>2750</v>
      </c>
      <c r="C3057" s="12" t="s">
        <v>4</v>
      </c>
      <c r="D3057" s="93">
        <v>41.2</v>
      </c>
      <c r="E3057" s="93">
        <v>24.59</v>
      </c>
      <c r="F3057" s="93">
        <v>16.61</v>
      </c>
      <c r="G3057" s="93">
        <v>0</v>
      </c>
      <c r="H3057" s="93">
        <v>0</v>
      </c>
      <c r="N3057" s="88"/>
      <c r="O3057" s="88"/>
      <c r="P3057" s="88"/>
    </row>
    <row r="3058" spans="1:16">
      <c r="A3058" s="94">
        <v>96985</v>
      </c>
      <c r="B3058" s="87" t="s">
        <v>2751</v>
      </c>
      <c r="C3058" s="12" t="s">
        <v>4</v>
      </c>
      <c r="D3058" s="93">
        <v>45.61</v>
      </c>
      <c r="E3058" s="93">
        <v>7.44</v>
      </c>
      <c r="F3058" s="93">
        <v>38.17</v>
      </c>
      <c r="G3058" s="93">
        <v>0</v>
      </c>
      <c r="H3058" s="93">
        <v>0</v>
      </c>
      <c r="N3058" s="88"/>
      <c r="O3058" s="88"/>
      <c r="P3058" s="88"/>
    </row>
    <row r="3059" spans="1:16">
      <c r="A3059" s="94">
        <v>96986</v>
      </c>
      <c r="B3059" s="87" t="s">
        <v>2752</v>
      </c>
      <c r="C3059" s="12" t="s">
        <v>4</v>
      </c>
      <c r="D3059" s="93">
        <v>68.31</v>
      </c>
      <c r="E3059" s="93">
        <v>11.65</v>
      </c>
      <c r="F3059" s="93">
        <v>56.66</v>
      </c>
      <c r="G3059" s="93">
        <v>0</v>
      </c>
      <c r="H3059" s="93">
        <v>0</v>
      </c>
      <c r="N3059" s="88"/>
      <c r="O3059" s="88"/>
      <c r="P3059" s="88"/>
    </row>
    <row r="3060" spans="1:16">
      <c r="A3060" s="94">
        <v>96987</v>
      </c>
      <c r="B3060" s="87" t="s">
        <v>2753</v>
      </c>
      <c r="C3060" s="12" t="s">
        <v>4</v>
      </c>
      <c r="D3060" s="93">
        <v>102.57</v>
      </c>
      <c r="E3060" s="93">
        <v>33.380000000000003</v>
      </c>
      <c r="F3060" s="93">
        <v>69.19</v>
      </c>
      <c r="G3060" s="93">
        <v>0</v>
      </c>
      <c r="H3060" s="93">
        <v>0</v>
      </c>
      <c r="N3060" s="88"/>
      <c r="O3060" s="88"/>
      <c r="P3060" s="88"/>
    </row>
    <row r="3061" spans="1:16">
      <c r="A3061" s="94">
        <v>96988</v>
      </c>
      <c r="B3061" s="87" t="s">
        <v>2754</v>
      </c>
      <c r="C3061" s="12" t="s">
        <v>4</v>
      </c>
      <c r="D3061" s="93">
        <v>140.91</v>
      </c>
      <c r="E3061" s="93">
        <v>4.63</v>
      </c>
      <c r="F3061" s="93">
        <v>136.28</v>
      </c>
      <c r="G3061" s="93">
        <v>0</v>
      </c>
      <c r="H3061" s="93">
        <v>0</v>
      </c>
      <c r="N3061" s="88"/>
      <c r="O3061" s="88"/>
      <c r="P3061" s="88"/>
    </row>
    <row r="3062" spans="1:16">
      <c r="A3062" s="94">
        <v>96989</v>
      </c>
      <c r="B3062" s="87" t="s">
        <v>2755</v>
      </c>
      <c r="C3062" s="12" t="s">
        <v>4</v>
      </c>
      <c r="D3062" s="93">
        <v>92.87</v>
      </c>
      <c r="E3062" s="93">
        <v>3.7</v>
      </c>
      <c r="F3062" s="93">
        <v>89.17</v>
      </c>
      <c r="G3062" s="93">
        <v>0</v>
      </c>
      <c r="H3062" s="93">
        <v>0</v>
      </c>
      <c r="N3062" s="88"/>
      <c r="O3062" s="88"/>
      <c r="P3062" s="88"/>
    </row>
    <row r="3063" spans="1:16">
      <c r="A3063" s="94">
        <v>98463</v>
      </c>
      <c r="B3063" s="87" t="s">
        <v>2756</v>
      </c>
      <c r="C3063" s="12" t="s">
        <v>4</v>
      </c>
      <c r="D3063" s="93">
        <v>20.09</v>
      </c>
      <c r="E3063" s="93">
        <v>9.33</v>
      </c>
      <c r="F3063" s="93">
        <v>10.76</v>
      </c>
      <c r="G3063" s="93">
        <v>0</v>
      </c>
      <c r="H3063" s="93">
        <v>0</v>
      </c>
      <c r="N3063" s="88"/>
      <c r="O3063" s="88"/>
      <c r="P3063" s="88"/>
    </row>
    <row r="3064" spans="1:16">
      <c r="A3064" s="94">
        <v>88547</v>
      </c>
      <c r="B3064" s="87" t="s">
        <v>6709</v>
      </c>
      <c r="C3064" s="12" t="s">
        <v>4</v>
      </c>
      <c r="D3064" s="93">
        <v>74.31</v>
      </c>
      <c r="E3064" s="93">
        <v>29.47</v>
      </c>
      <c r="F3064" s="93">
        <v>44.84</v>
      </c>
      <c r="G3064" s="93">
        <v>0</v>
      </c>
      <c r="H3064" s="93">
        <v>0</v>
      </c>
      <c r="N3064" s="88"/>
      <c r="O3064" s="88"/>
      <c r="P3064" s="88"/>
    </row>
    <row r="3065" spans="1:16">
      <c r="A3065" s="94">
        <v>96765</v>
      </c>
      <c r="B3065" s="87" t="s">
        <v>5894</v>
      </c>
      <c r="C3065" s="12" t="s">
        <v>4</v>
      </c>
      <c r="D3065" s="93">
        <v>1356.21</v>
      </c>
      <c r="E3065" s="93">
        <v>88.6</v>
      </c>
      <c r="F3065" s="93">
        <v>1267.6099999999999</v>
      </c>
      <c r="G3065" s="93">
        <v>0</v>
      </c>
      <c r="H3065" s="93">
        <v>0</v>
      </c>
      <c r="N3065" s="88"/>
      <c r="O3065" s="88"/>
      <c r="P3065" s="88"/>
    </row>
    <row r="3066" spans="1:16">
      <c r="A3066" s="94">
        <v>101905</v>
      </c>
      <c r="B3066" s="87" t="s">
        <v>5895</v>
      </c>
      <c r="C3066" s="12" t="s">
        <v>4</v>
      </c>
      <c r="D3066" s="93">
        <v>149.07</v>
      </c>
      <c r="E3066" s="93">
        <v>13.32</v>
      </c>
      <c r="F3066" s="93">
        <v>135.75</v>
      </c>
      <c r="G3066" s="93">
        <v>0</v>
      </c>
      <c r="H3066" s="93">
        <v>0</v>
      </c>
      <c r="N3066" s="88"/>
      <c r="O3066" s="88"/>
      <c r="P3066" s="88"/>
    </row>
    <row r="3067" spans="1:16">
      <c r="A3067" s="94">
        <v>101906</v>
      </c>
      <c r="B3067" s="87" t="s">
        <v>5896</v>
      </c>
      <c r="C3067" s="12" t="s">
        <v>4</v>
      </c>
      <c r="D3067" s="93">
        <v>433.2</v>
      </c>
      <c r="E3067" s="93">
        <v>13.32</v>
      </c>
      <c r="F3067" s="93">
        <v>419.88</v>
      </c>
      <c r="G3067" s="93">
        <v>0</v>
      </c>
      <c r="H3067" s="93">
        <v>0</v>
      </c>
      <c r="N3067" s="88"/>
      <c r="O3067" s="88"/>
      <c r="P3067" s="88"/>
    </row>
    <row r="3068" spans="1:16">
      <c r="A3068" s="94">
        <v>101907</v>
      </c>
      <c r="B3068" s="87" t="s">
        <v>5897</v>
      </c>
      <c r="C3068" s="12" t="s">
        <v>4</v>
      </c>
      <c r="D3068" s="93">
        <v>467.82</v>
      </c>
      <c r="E3068" s="93">
        <v>13.32</v>
      </c>
      <c r="F3068" s="93">
        <v>454.5</v>
      </c>
      <c r="G3068" s="93">
        <v>0</v>
      </c>
      <c r="H3068" s="93">
        <v>0</v>
      </c>
      <c r="N3068" s="88"/>
      <c r="O3068" s="88"/>
      <c r="P3068" s="88"/>
    </row>
    <row r="3069" spans="1:16">
      <c r="A3069" s="94">
        <v>101908</v>
      </c>
      <c r="B3069" s="87" t="s">
        <v>5898</v>
      </c>
      <c r="C3069" s="12" t="s">
        <v>4</v>
      </c>
      <c r="D3069" s="93">
        <v>144.74</v>
      </c>
      <c r="E3069" s="93">
        <v>13.32</v>
      </c>
      <c r="F3069" s="93">
        <v>131.41999999999999</v>
      </c>
      <c r="G3069" s="93">
        <v>0</v>
      </c>
      <c r="H3069" s="93">
        <v>0</v>
      </c>
      <c r="N3069" s="88"/>
      <c r="O3069" s="88"/>
      <c r="P3069" s="88"/>
    </row>
    <row r="3070" spans="1:16">
      <c r="A3070" s="94">
        <v>101909</v>
      </c>
      <c r="B3070" s="87" t="s">
        <v>5899</v>
      </c>
      <c r="C3070" s="12" t="s">
        <v>4</v>
      </c>
      <c r="D3070" s="93">
        <v>167.82</v>
      </c>
      <c r="E3070" s="93">
        <v>13.32</v>
      </c>
      <c r="F3070" s="93">
        <v>154.5</v>
      </c>
      <c r="G3070" s="93">
        <v>0</v>
      </c>
      <c r="H3070" s="93">
        <v>0</v>
      </c>
      <c r="N3070" s="88"/>
      <c r="O3070" s="88"/>
      <c r="P3070" s="88"/>
    </row>
    <row r="3071" spans="1:16">
      <c r="A3071" s="94">
        <v>101910</v>
      </c>
      <c r="B3071" s="87" t="s">
        <v>5900</v>
      </c>
      <c r="C3071" s="12" t="s">
        <v>4</v>
      </c>
      <c r="D3071" s="93">
        <v>196.66</v>
      </c>
      <c r="E3071" s="93">
        <v>13.32</v>
      </c>
      <c r="F3071" s="93">
        <v>183.34</v>
      </c>
      <c r="G3071" s="93">
        <v>0</v>
      </c>
      <c r="H3071" s="93">
        <v>0</v>
      </c>
      <c r="N3071" s="88"/>
      <c r="O3071" s="88"/>
      <c r="P3071" s="88"/>
    </row>
    <row r="3072" spans="1:16">
      <c r="A3072" s="94">
        <v>101911</v>
      </c>
      <c r="B3072" s="87" t="s">
        <v>5901</v>
      </c>
      <c r="C3072" s="12" t="s">
        <v>4</v>
      </c>
      <c r="D3072" s="93">
        <v>225.51</v>
      </c>
      <c r="E3072" s="93">
        <v>13.32</v>
      </c>
      <c r="F3072" s="93">
        <v>212.19</v>
      </c>
      <c r="G3072" s="93">
        <v>0</v>
      </c>
      <c r="H3072" s="93">
        <v>0</v>
      </c>
      <c r="N3072" s="88"/>
      <c r="O3072" s="88"/>
      <c r="P3072" s="88"/>
    </row>
    <row r="3073" spans="1:16">
      <c r="A3073" s="94">
        <v>101912</v>
      </c>
      <c r="B3073" s="87" t="s">
        <v>5902</v>
      </c>
      <c r="C3073" s="12" t="s">
        <v>4</v>
      </c>
      <c r="D3073" s="93">
        <v>1325.13</v>
      </c>
      <c r="E3073" s="93">
        <v>90.7</v>
      </c>
      <c r="F3073" s="93">
        <v>1234.43</v>
      </c>
      <c r="G3073" s="93">
        <v>0</v>
      </c>
      <c r="H3073" s="93">
        <v>0</v>
      </c>
      <c r="N3073" s="88"/>
      <c r="O3073" s="88"/>
      <c r="P3073" s="88"/>
    </row>
    <row r="3074" spans="1:16">
      <c r="A3074" s="94">
        <v>101913</v>
      </c>
      <c r="B3074" s="87" t="s">
        <v>5903</v>
      </c>
      <c r="C3074" s="12" t="s">
        <v>4</v>
      </c>
      <c r="D3074" s="93">
        <v>419.19</v>
      </c>
      <c r="E3074" s="93">
        <v>62.8</v>
      </c>
      <c r="F3074" s="93">
        <v>356.39</v>
      </c>
      <c r="G3074" s="93">
        <v>0</v>
      </c>
      <c r="H3074" s="93">
        <v>0</v>
      </c>
      <c r="N3074" s="88"/>
      <c r="O3074" s="88"/>
      <c r="P3074" s="88"/>
    </row>
    <row r="3075" spans="1:16">
      <c r="A3075" s="94">
        <v>101914</v>
      </c>
      <c r="B3075" s="87" t="s">
        <v>5904</v>
      </c>
      <c r="C3075" s="12" t="s">
        <v>4</v>
      </c>
      <c r="D3075" s="93">
        <v>355.89</v>
      </c>
      <c r="E3075" s="93">
        <v>38.97</v>
      </c>
      <c r="F3075" s="93">
        <v>316.92</v>
      </c>
      <c r="G3075" s="93">
        <v>0</v>
      </c>
      <c r="H3075" s="93">
        <v>0</v>
      </c>
      <c r="N3075" s="88"/>
      <c r="O3075" s="88"/>
      <c r="P3075" s="88"/>
    </row>
    <row r="3076" spans="1:16">
      <c r="A3076" s="94">
        <v>101915</v>
      </c>
      <c r="B3076" s="87" t="s">
        <v>5905</v>
      </c>
      <c r="C3076" s="12" t="s">
        <v>4</v>
      </c>
      <c r="D3076" s="93">
        <v>342.29</v>
      </c>
      <c r="E3076" s="93">
        <v>4.1100000000000003</v>
      </c>
      <c r="F3076" s="93">
        <v>338.18</v>
      </c>
      <c r="G3076" s="93">
        <v>0</v>
      </c>
      <c r="H3076" s="93">
        <v>0</v>
      </c>
      <c r="N3076" s="88"/>
      <c r="O3076" s="88"/>
      <c r="P3076" s="88"/>
    </row>
    <row r="3077" spans="1:16">
      <c r="A3077" s="94">
        <v>101916</v>
      </c>
      <c r="B3077" s="87" t="s">
        <v>5906</v>
      </c>
      <c r="C3077" s="12" t="s">
        <v>4</v>
      </c>
      <c r="D3077" s="93">
        <v>2127.63</v>
      </c>
      <c r="E3077" s="93">
        <v>129.5</v>
      </c>
      <c r="F3077" s="93">
        <v>1998.13</v>
      </c>
      <c r="G3077" s="93">
        <v>0</v>
      </c>
      <c r="H3077" s="93">
        <v>0</v>
      </c>
      <c r="N3077" s="88"/>
      <c r="O3077" s="88"/>
      <c r="P3077" s="88"/>
    </row>
    <row r="3078" spans="1:16">
      <c r="A3078" s="94">
        <v>101917</v>
      </c>
      <c r="B3078" s="87" t="s">
        <v>5907</v>
      </c>
      <c r="C3078" s="12" t="s">
        <v>4</v>
      </c>
      <c r="D3078" s="93">
        <v>101.16</v>
      </c>
      <c r="E3078" s="93">
        <v>24.59</v>
      </c>
      <c r="F3078" s="93">
        <v>76.569999999999993</v>
      </c>
      <c r="G3078" s="93">
        <v>0</v>
      </c>
      <c r="H3078" s="93">
        <v>0</v>
      </c>
      <c r="N3078" s="88"/>
      <c r="O3078" s="88"/>
      <c r="P3078" s="88"/>
    </row>
    <row r="3079" spans="1:16">
      <c r="A3079" s="95" t="s">
        <v>6710</v>
      </c>
      <c r="B3079" s="87" t="s">
        <v>6711</v>
      </c>
      <c r="C3079" s="12" t="s">
        <v>4</v>
      </c>
      <c r="D3079" s="93">
        <v>202.93</v>
      </c>
      <c r="E3079" s="93">
        <v>75.180000000000007</v>
      </c>
      <c r="F3079" s="93">
        <v>127.55</v>
      </c>
      <c r="G3079" s="93">
        <v>0.09</v>
      </c>
      <c r="H3079" s="93">
        <v>0</v>
      </c>
      <c r="N3079" s="88"/>
      <c r="O3079" s="88"/>
      <c r="P3079" s="88"/>
    </row>
    <row r="3080" spans="1:16">
      <c r="A3080" s="95" t="s">
        <v>6712</v>
      </c>
      <c r="B3080" s="87" t="s">
        <v>6713</v>
      </c>
      <c r="C3080" s="12" t="s">
        <v>4</v>
      </c>
      <c r="D3080" s="93">
        <v>380.59</v>
      </c>
      <c r="E3080" s="93">
        <v>130.63</v>
      </c>
      <c r="F3080" s="93">
        <v>249.38</v>
      </c>
      <c r="G3080" s="93">
        <v>0.28000000000000003</v>
      </c>
      <c r="H3080" s="93">
        <v>0</v>
      </c>
      <c r="N3080" s="88"/>
      <c r="O3080" s="88"/>
      <c r="P3080" s="88"/>
    </row>
    <row r="3081" spans="1:16">
      <c r="A3081" s="95" t="s">
        <v>6714</v>
      </c>
      <c r="B3081" s="87" t="s">
        <v>6715</v>
      </c>
      <c r="C3081" s="12" t="s">
        <v>4</v>
      </c>
      <c r="D3081" s="93">
        <v>1217.02</v>
      </c>
      <c r="E3081" s="93">
        <v>439.45</v>
      </c>
      <c r="F3081" s="93">
        <v>775.69</v>
      </c>
      <c r="G3081" s="93">
        <v>0.98</v>
      </c>
      <c r="H3081" s="93">
        <v>0</v>
      </c>
      <c r="N3081" s="88"/>
      <c r="O3081" s="88"/>
      <c r="P3081" s="88"/>
    </row>
    <row r="3082" spans="1:16">
      <c r="A3082" s="94">
        <v>84796</v>
      </c>
      <c r="B3082" s="87" t="s">
        <v>6716</v>
      </c>
      <c r="C3082" s="12" t="s">
        <v>4</v>
      </c>
      <c r="D3082" s="93">
        <v>776.49</v>
      </c>
      <c r="E3082" s="93">
        <v>47.83</v>
      </c>
      <c r="F3082" s="93">
        <v>728.66</v>
      </c>
      <c r="G3082" s="93">
        <v>0</v>
      </c>
      <c r="H3082" s="93">
        <v>0</v>
      </c>
      <c r="N3082" s="88"/>
      <c r="O3082" s="88"/>
      <c r="P3082" s="88"/>
    </row>
    <row r="3083" spans="1:16">
      <c r="A3083" s="94">
        <v>84798</v>
      </c>
      <c r="B3083" s="87" t="s">
        <v>6717</v>
      </c>
      <c r="C3083" s="12" t="s">
        <v>4</v>
      </c>
      <c r="D3083" s="93">
        <v>337.29</v>
      </c>
      <c r="E3083" s="93">
        <v>42.04</v>
      </c>
      <c r="F3083" s="93">
        <v>295.25</v>
      </c>
      <c r="G3083" s="93">
        <v>0</v>
      </c>
      <c r="H3083" s="93">
        <v>0</v>
      </c>
      <c r="N3083" s="88"/>
      <c r="O3083" s="88"/>
      <c r="P3083" s="88"/>
    </row>
    <row r="3084" spans="1:16">
      <c r="A3084" s="94">
        <v>98261</v>
      </c>
      <c r="B3084" s="87" t="s">
        <v>2757</v>
      </c>
      <c r="C3084" s="12" t="s">
        <v>6</v>
      </c>
      <c r="D3084" s="93">
        <v>2.81</v>
      </c>
      <c r="E3084" s="93">
        <v>1.84</v>
      </c>
      <c r="F3084" s="93">
        <v>0.97</v>
      </c>
      <c r="G3084" s="93">
        <v>0</v>
      </c>
      <c r="H3084" s="93">
        <v>0</v>
      </c>
      <c r="N3084" s="88"/>
      <c r="O3084" s="88"/>
      <c r="P3084" s="88"/>
    </row>
    <row r="3085" spans="1:16">
      <c r="A3085" s="94">
        <v>98262</v>
      </c>
      <c r="B3085" s="87" t="s">
        <v>2758</v>
      </c>
      <c r="C3085" s="12" t="s">
        <v>6</v>
      </c>
      <c r="D3085" s="93">
        <v>3.25</v>
      </c>
      <c r="E3085" s="93">
        <v>1.92</v>
      </c>
      <c r="F3085" s="93">
        <v>1.33</v>
      </c>
      <c r="G3085" s="93">
        <v>0</v>
      </c>
      <c r="H3085" s="93">
        <v>0</v>
      </c>
      <c r="N3085" s="88"/>
      <c r="O3085" s="88"/>
      <c r="P3085" s="88"/>
    </row>
    <row r="3086" spans="1:16">
      <c r="A3086" s="94">
        <v>98263</v>
      </c>
      <c r="B3086" s="87" t="s">
        <v>2759</v>
      </c>
      <c r="C3086" s="12" t="s">
        <v>6</v>
      </c>
      <c r="D3086" s="93">
        <v>3.76</v>
      </c>
      <c r="E3086" s="93">
        <v>1.98</v>
      </c>
      <c r="F3086" s="93">
        <v>1.78</v>
      </c>
      <c r="G3086" s="93">
        <v>0</v>
      </c>
      <c r="H3086" s="93">
        <v>0</v>
      </c>
      <c r="N3086" s="88"/>
      <c r="O3086" s="88"/>
      <c r="P3086" s="88"/>
    </row>
    <row r="3087" spans="1:16">
      <c r="A3087" s="94">
        <v>98264</v>
      </c>
      <c r="B3087" s="87" t="s">
        <v>2760</v>
      </c>
      <c r="C3087" s="12" t="s">
        <v>6</v>
      </c>
      <c r="D3087" s="93">
        <v>4.18</v>
      </c>
      <c r="E3087" s="93">
        <v>2.0299999999999998</v>
      </c>
      <c r="F3087" s="93">
        <v>2.15</v>
      </c>
      <c r="G3087" s="93">
        <v>0</v>
      </c>
      <c r="H3087" s="93">
        <v>0</v>
      </c>
      <c r="N3087" s="88"/>
      <c r="O3087" s="88"/>
      <c r="P3087" s="88"/>
    </row>
    <row r="3088" spans="1:16">
      <c r="A3088" s="94">
        <v>98265</v>
      </c>
      <c r="B3088" s="87" t="s">
        <v>2761</v>
      </c>
      <c r="C3088" s="12" t="s">
        <v>6</v>
      </c>
      <c r="D3088" s="93">
        <v>4.7699999999999996</v>
      </c>
      <c r="E3088" s="93">
        <v>2.08</v>
      </c>
      <c r="F3088" s="93">
        <v>2.69</v>
      </c>
      <c r="G3088" s="93">
        <v>0</v>
      </c>
      <c r="H3088" s="93">
        <v>0</v>
      </c>
      <c r="N3088" s="88"/>
      <c r="O3088" s="88"/>
      <c r="P3088" s="88"/>
    </row>
    <row r="3089" spans="1:16">
      <c r="A3089" s="94">
        <v>98266</v>
      </c>
      <c r="B3089" s="87" t="s">
        <v>2762</v>
      </c>
      <c r="C3089" s="12" t="s">
        <v>6</v>
      </c>
      <c r="D3089" s="93">
        <v>5.13</v>
      </c>
      <c r="E3089" s="93">
        <v>2.11</v>
      </c>
      <c r="F3089" s="93">
        <v>3.02</v>
      </c>
      <c r="G3089" s="93">
        <v>0</v>
      </c>
      <c r="H3089" s="93">
        <v>0</v>
      </c>
      <c r="N3089" s="88"/>
      <c r="O3089" s="88"/>
      <c r="P3089" s="88"/>
    </row>
    <row r="3090" spans="1:16">
      <c r="A3090" s="94">
        <v>98267</v>
      </c>
      <c r="B3090" s="87" t="s">
        <v>2763</v>
      </c>
      <c r="C3090" s="12" t="s">
        <v>6</v>
      </c>
      <c r="D3090" s="93">
        <v>8.24</v>
      </c>
      <c r="E3090" s="93">
        <v>2.71</v>
      </c>
      <c r="F3090" s="93">
        <v>5.53</v>
      </c>
      <c r="G3090" s="93">
        <v>0</v>
      </c>
      <c r="H3090" s="93">
        <v>0</v>
      </c>
      <c r="N3090" s="88"/>
      <c r="O3090" s="88"/>
      <c r="P3090" s="88"/>
    </row>
    <row r="3091" spans="1:16">
      <c r="A3091" s="94">
        <v>98268</v>
      </c>
      <c r="B3091" s="87" t="s">
        <v>2764</v>
      </c>
      <c r="C3091" s="12" t="s">
        <v>6</v>
      </c>
      <c r="D3091" s="93">
        <v>13.11</v>
      </c>
      <c r="E3091" s="93">
        <v>3.06</v>
      </c>
      <c r="F3091" s="93">
        <v>10.050000000000001</v>
      </c>
      <c r="G3091" s="93">
        <v>0</v>
      </c>
      <c r="H3091" s="93">
        <v>0</v>
      </c>
      <c r="N3091" s="88"/>
      <c r="O3091" s="88"/>
      <c r="P3091" s="88"/>
    </row>
    <row r="3092" spans="1:16">
      <c r="A3092" s="94">
        <v>98269</v>
      </c>
      <c r="B3092" s="87" t="s">
        <v>2765</v>
      </c>
      <c r="C3092" s="12" t="s">
        <v>6</v>
      </c>
      <c r="D3092" s="93">
        <v>16.809999999999999</v>
      </c>
      <c r="E3092" s="93">
        <v>3.36</v>
      </c>
      <c r="F3092" s="93">
        <v>13.45</v>
      </c>
      <c r="G3092" s="93">
        <v>0</v>
      </c>
      <c r="H3092" s="93">
        <v>0</v>
      </c>
      <c r="N3092" s="88"/>
      <c r="O3092" s="88"/>
      <c r="P3092" s="88"/>
    </row>
    <row r="3093" spans="1:16">
      <c r="A3093" s="94">
        <v>98270</v>
      </c>
      <c r="B3093" s="87" t="s">
        <v>2766</v>
      </c>
      <c r="C3093" s="12" t="s">
        <v>6</v>
      </c>
      <c r="D3093" s="93">
        <v>26.89</v>
      </c>
      <c r="E3093" s="93">
        <v>3.72</v>
      </c>
      <c r="F3093" s="93">
        <v>23.17</v>
      </c>
      <c r="G3093" s="93">
        <v>0</v>
      </c>
      <c r="H3093" s="93">
        <v>0</v>
      </c>
      <c r="N3093" s="88"/>
      <c r="O3093" s="88"/>
      <c r="P3093" s="88"/>
    </row>
    <row r="3094" spans="1:16">
      <c r="A3094" s="94">
        <v>98271</v>
      </c>
      <c r="B3094" s="87" t="s">
        <v>2767</v>
      </c>
      <c r="C3094" s="12" t="s">
        <v>6</v>
      </c>
      <c r="D3094" s="93">
        <v>41.31</v>
      </c>
      <c r="E3094" s="93">
        <v>4.08</v>
      </c>
      <c r="F3094" s="93">
        <v>37.229999999999997</v>
      </c>
      <c r="G3094" s="93">
        <v>0</v>
      </c>
      <c r="H3094" s="93">
        <v>0</v>
      </c>
      <c r="N3094" s="88"/>
      <c r="O3094" s="88"/>
      <c r="P3094" s="88"/>
    </row>
    <row r="3095" spans="1:16">
      <c r="A3095" s="94">
        <v>98272</v>
      </c>
      <c r="B3095" s="87" t="s">
        <v>2768</v>
      </c>
      <c r="C3095" s="12" t="s">
        <v>6</v>
      </c>
      <c r="D3095" s="93">
        <v>95.91</v>
      </c>
      <c r="E3095" s="93">
        <v>5.57</v>
      </c>
      <c r="F3095" s="93">
        <v>90.34</v>
      </c>
      <c r="G3095" s="93">
        <v>0</v>
      </c>
      <c r="H3095" s="93">
        <v>0</v>
      </c>
      <c r="N3095" s="88"/>
      <c r="O3095" s="88"/>
      <c r="P3095" s="88"/>
    </row>
    <row r="3096" spans="1:16">
      <c r="A3096" s="94">
        <v>98273</v>
      </c>
      <c r="B3096" s="87" t="s">
        <v>2769</v>
      </c>
      <c r="C3096" s="12" t="s">
        <v>6</v>
      </c>
      <c r="D3096" s="93">
        <v>1.86</v>
      </c>
      <c r="E3096" s="93">
        <v>0.23</v>
      </c>
      <c r="F3096" s="93">
        <v>1.63</v>
      </c>
      <c r="G3096" s="93">
        <v>0</v>
      </c>
      <c r="H3096" s="93">
        <v>0</v>
      </c>
      <c r="N3096" s="88"/>
      <c r="O3096" s="88"/>
      <c r="P3096" s="88"/>
    </row>
    <row r="3097" spans="1:16">
      <c r="A3097" s="94">
        <v>98274</v>
      </c>
      <c r="B3097" s="87" t="s">
        <v>2770</v>
      </c>
      <c r="C3097" s="12" t="s">
        <v>6</v>
      </c>
      <c r="D3097" s="93">
        <v>2.44</v>
      </c>
      <c r="E3097" s="93">
        <v>0.27</v>
      </c>
      <c r="F3097" s="93">
        <v>2.17</v>
      </c>
      <c r="G3097" s="93">
        <v>0</v>
      </c>
      <c r="H3097" s="93">
        <v>0</v>
      </c>
      <c r="N3097" s="88"/>
      <c r="O3097" s="88"/>
      <c r="P3097" s="88"/>
    </row>
    <row r="3098" spans="1:16">
      <c r="A3098" s="94">
        <v>98275</v>
      </c>
      <c r="B3098" s="87" t="s">
        <v>2771</v>
      </c>
      <c r="C3098" s="12" t="s">
        <v>6</v>
      </c>
      <c r="D3098" s="93">
        <v>2.8</v>
      </c>
      <c r="E3098" s="93">
        <v>0.3</v>
      </c>
      <c r="F3098" s="93">
        <v>2.5</v>
      </c>
      <c r="G3098" s="93">
        <v>0</v>
      </c>
      <c r="H3098" s="93">
        <v>0</v>
      </c>
      <c r="N3098" s="88"/>
      <c r="O3098" s="88"/>
      <c r="P3098" s="88"/>
    </row>
    <row r="3099" spans="1:16">
      <c r="A3099" s="94">
        <v>98276</v>
      </c>
      <c r="B3099" s="87" t="s">
        <v>2772</v>
      </c>
      <c r="C3099" s="12" t="s">
        <v>6</v>
      </c>
      <c r="D3099" s="93">
        <v>5.91</v>
      </c>
      <c r="E3099" s="93">
        <v>0.92</v>
      </c>
      <c r="F3099" s="93">
        <v>4.99</v>
      </c>
      <c r="G3099" s="93">
        <v>0</v>
      </c>
      <c r="H3099" s="93">
        <v>0</v>
      </c>
      <c r="N3099" s="88"/>
      <c r="O3099" s="88"/>
      <c r="P3099" s="88"/>
    </row>
    <row r="3100" spans="1:16">
      <c r="A3100" s="94">
        <v>98277</v>
      </c>
      <c r="B3100" s="87" t="s">
        <v>2773</v>
      </c>
      <c r="C3100" s="12" t="s">
        <v>6</v>
      </c>
      <c r="D3100" s="93">
        <v>10.79</v>
      </c>
      <c r="E3100" s="93">
        <v>1.28</v>
      </c>
      <c r="F3100" s="93">
        <v>9.51</v>
      </c>
      <c r="G3100" s="93">
        <v>0</v>
      </c>
      <c r="H3100" s="93">
        <v>0</v>
      </c>
      <c r="N3100" s="88"/>
      <c r="O3100" s="88"/>
      <c r="P3100" s="88"/>
    </row>
    <row r="3101" spans="1:16">
      <c r="A3101" s="94">
        <v>98278</v>
      </c>
      <c r="B3101" s="87" t="s">
        <v>2774</v>
      </c>
      <c r="C3101" s="12" t="s">
        <v>6</v>
      </c>
      <c r="D3101" s="93">
        <v>14.48</v>
      </c>
      <c r="E3101" s="93">
        <v>1.58</v>
      </c>
      <c r="F3101" s="93">
        <v>12.9</v>
      </c>
      <c r="G3101" s="93">
        <v>0</v>
      </c>
      <c r="H3101" s="93">
        <v>0</v>
      </c>
      <c r="N3101" s="88"/>
      <c r="O3101" s="88"/>
      <c r="P3101" s="88"/>
    </row>
    <row r="3102" spans="1:16">
      <c r="A3102" s="94">
        <v>98279</v>
      </c>
      <c r="B3102" s="87" t="s">
        <v>2775</v>
      </c>
      <c r="C3102" s="12" t="s">
        <v>6</v>
      </c>
      <c r="D3102" s="93">
        <v>24.56</v>
      </c>
      <c r="E3102" s="93">
        <v>1.93</v>
      </c>
      <c r="F3102" s="93">
        <v>22.63</v>
      </c>
      <c r="G3102" s="93">
        <v>0</v>
      </c>
      <c r="H3102" s="93">
        <v>0</v>
      </c>
      <c r="N3102" s="88"/>
      <c r="O3102" s="88"/>
      <c r="P3102" s="88"/>
    </row>
    <row r="3103" spans="1:16">
      <c r="A3103" s="94">
        <v>98280</v>
      </c>
      <c r="B3103" s="87" t="s">
        <v>2776</v>
      </c>
      <c r="C3103" s="12" t="s">
        <v>6</v>
      </c>
      <c r="D3103" s="93">
        <v>5.8</v>
      </c>
      <c r="E3103" s="93">
        <v>4.13</v>
      </c>
      <c r="F3103" s="93">
        <v>1.67</v>
      </c>
      <c r="G3103" s="93">
        <v>0</v>
      </c>
      <c r="H3103" s="93">
        <v>0</v>
      </c>
      <c r="N3103" s="88"/>
      <c r="O3103" s="88"/>
      <c r="P3103" s="88"/>
    </row>
    <row r="3104" spans="1:16">
      <c r="A3104" s="94">
        <v>98281</v>
      </c>
      <c r="B3104" s="87" t="s">
        <v>2777</v>
      </c>
      <c r="C3104" s="12" t="s">
        <v>6</v>
      </c>
      <c r="D3104" s="93">
        <v>6.24</v>
      </c>
      <c r="E3104" s="93">
        <v>4.2300000000000004</v>
      </c>
      <c r="F3104" s="93">
        <v>2.0099999999999998</v>
      </c>
      <c r="G3104" s="93">
        <v>0</v>
      </c>
      <c r="H3104" s="93">
        <v>0</v>
      </c>
      <c r="N3104" s="88"/>
      <c r="O3104" s="88"/>
      <c r="P3104" s="88"/>
    </row>
    <row r="3105" spans="1:16">
      <c r="A3105" s="94">
        <v>98282</v>
      </c>
      <c r="B3105" s="87" t="s">
        <v>2778</v>
      </c>
      <c r="C3105" s="12" t="s">
        <v>6</v>
      </c>
      <c r="D3105" s="93">
        <v>6.76</v>
      </c>
      <c r="E3105" s="93">
        <v>4.29</v>
      </c>
      <c r="F3105" s="93">
        <v>2.4700000000000002</v>
      </c>
      <c r="G3105" s="93">
        <v>0</v>
      </c>
      <c r="H3105" s="93">
        <v>0</v>
      </c>
      <c r="N3105" s="88"/>
      <c r="O3105" s="88"/>
      <c r="P3105" s="88"/>
    </row>
    <row r="3106" spans="1:16">
      <c r="A3106" s="94">
        <v>98283</v>
      </c>
      <c r="B3106" s="87" t="s">
        <v>2779</v>
      </c>
      <c r="C3106" s="12" t="s">
        <v>6</v>
      </c>
      <c r="D3106" s="93">
        <v>7.17</v>
      </c>
      <c r="E3106" s="93">
        <v>4.33</v>
      </c>
      <c r="F3106" s="93">
        <v>2.84</v>
      </c>
      <c r="G3106" s="93">
        <v>0</v>
      </c>
      <c r="H3106" s="93">
        <v>0</v>
      </c>
      <c r="N3106" s="88"/>
      <c r="O3106" s="88"/>
      <c r="P3106" s="88"/>
    </row>
    <row r="3107" spans="1:16">
      <c r="A3107" s="94">
        <v>98284</v>
      </c>
      <c r="B3107" s="87" t="s">
        <v>2780</v>
      </c>
      <c r="C3107" s="12" t="s">
        <v>6</v>
      </c>
      <c r="D3107" s="93">
        <v>7.77</v>
      </c>
      <c r="E3107" s="93">
        <v>4.38</v>
      </c>
      <c r="F3107" s="93">
        <v>3.39</v>
      </c>
      <c r="G3107" s="93">
        <v>0</v>
      </c>
      <c r="H3107" s="93">
        <v>0</v>
      </c>
      <c r="N3107" s="88"/>
      <c r="O3107" s="88"/>
      <c r="P3107" s="88"/>
    </row>
    <row r="3108" spans="1:16">
      <c r="A3108" s="94">
        <v>98285</v>
      </c>
      <c r="B3108" s="87" t="s">
        <v>2781</v>
      </c>
      <c r="C3108" s="12" t="s">
        <v>6</v>
      </c>
      <c r="D3108" s="93">
        <v>8.1199999999999992</v>
      </c>
      <c r="E3108" s="93">
        <v>4.3899999999999997</v>
      </c>
      <c r="F3108" s="93">
        <v>3.73</v>
      </c>
      <c r="G3108" s="93">
        <v>0</v>
      </c>
      <c r="H3108" s="93">
        <v>0</v>
      </c>
      <c r="N3108" s="88"/>
      <c r="O3108" s="88"/>
      <c r="P3108" s="88"/>
    </row>
    <row r="3109" spans="1:16">
      <c r="A3109" s="94">
        <v>98286</v>
      </c>
      <c r="B3109" s="87" t="s">
        <v>2782</v>
      </c>
      <c r="C3109" s="12" t="s">
        <v>6</v>
      </c>
      <c r="D3109" s="93">
        <v>11.23</v>
      </c>
      <c r="E3109" s="93">
        <v>4.99</v>
      </c>
      <c r="F3109" s="93">
        <v>6.24</v>
      </c>
      <c r="G3109" s="93">
        <v>0</v>
      </c>
      <c r="H3109" s="93">
        <v>0</v>
      </c>
      <c r="N3109" s="88"/>
      <c r="O3109" s="88"/>
      <c r="P3109" s="88"/>
    </row>
    <row r="3110" spans="1:16">
      <c r="A3110" s="94">
        <v>98287</v>
      </c>
      <c r="B3110" s="87" t="s">
        <v>2783</v>
      </c>
      <c r="C3110" s="12" t="s">
        <v>6</v>
      </c>
      <c r="D3110" s="93">
        <v>1.01</v>
      </c>
      <c r="E3110" s="93">
        <v>0.44</v>
      </c>
      <c r="F3110" s="93">
        <v>0.56999999999999995</v>
      </c>
      <c r="G3110" s="93">
        <v>0</v>
      </c>
      <c r="H3110" s="93">
        <v>0</v>
      </c>
      <c r="N3110" s="88"/>
      <c r="O3110" s="88"/>
      <c r="P3110" s="88"/>
    </row>
    <row r="3111" spans="1:16">
      <c r="A3111" s="94">
        <v>98288</v>
      </c>
      <c r="B3111" s="87" t="s">
        <v>2784</v>
      </c>
      <c r="C3111" s="12" t="s">
        <v>6</v>
      </c>
      <c r="D3111" s="93">
        <v>1.45</v>
      </c>
      <c r="E3111" s="93">
        <v>0.51</v>
      </c>
      <c r="F3111" s="93">
        <v>0.94</v>
      </c>
      <c r="G3111" s="93">
        <v>0</v>
      </c>
      <c r="H3111" s="93">
        <v>0</v>
      </c>
      <c r="N3111" s="88"/>
      <c r="O3111" s="88"/>
      <c r="P3111" s="88"/>
    </row>
    <row r="3112" spans="1:16">
      <c r="A3112" s="94">
        <v>98289</v>
      </c>
      <c r="B3112" s="87" t="s">
        <v>2785</v>
      </c>
      <c r="C3112" s="12" t="s">
        <v>6</v>
      </c>
      <c r="D3112" s="93">
        <v>1.96</v>
      </c>
      <c r="E3112" s="93">
        <v>0.56999999999999995</v>
      </c>
      <c r="F3112" s="93">
        <v>1.39</v>
      </c>
      <c r="G3112" s="93">
        <v>0</v>
      </c>
      <c r="H3112" s="93">
        <v>0</v>
      </c>
      <c r="N3112" s="88"/>
      <c r="O3112" s="88"/>
      <c r="P3112" s="88"/>
    </row>
    <row r="3113" spans="1:16">
      <c r="A3113" s="94">
        <v>98290</v>
      </c>
      <c r="B3113" s="87" t="s">
        <v>2786</v>
      </c>
      <c r="C3113" s="12" t="s">
        <v>6</v>
      </c>
      <c r="D3113" s="93">
        <v>2.38</v>
      </c>
      <c r="E3113" s="93">
        <v>0.64</v>
      </c>
      <c r="F3113" s="93">
        <v>1.74</v>
      </c>
      <c r="G3113" s="93">
        <v>0</v>
      </c>
      <c r="H3113" s="93">
        <v>0</v>
      </c>
      <c r="N3113" s="88"/>
      <c r="O3113" s="88"/>
      <c r="P3113" s="88"/>
    </row>
    <row r="3114" spans="1:16">
      <c r="A3114" s="94">
        <v>98291</v>
      </c>
      <c r="B3114" s="87" t="s">
        <v>2787</v>
      </c>
      <c r="C3114" s="12" t="s">
        <v>6</v>
      </c>
      <c r="D3114" s="93">
        <v>2.98</v>
      </c>
      <c r="E3114" s="93">
        <v>0.7</v>
      </c>
      <c r="F3114" s="93">
        <v>2.2799999999999998</v>
      </c>
      <c r="G3114" s="93">
        <v>0</v>
      </c>
      <c r="H3114" s="93">
        <v>0</v>
      </c>
      <c r="N3114" s="88"/>
      <c r="O3114" s="88"/>
      <c r="P3114" s="88"/>
    </row>
    <row r="3115" spans="1:16">
      <c r="A3115" s="94">
        <v>98292</v>
      </c>
      <c r="B3115" s="87" t="s">
        <v>2788</v>
      </c>
      <c r="C3115" s="12" t="s">
        <v>6</v>
      </c>
      <c r="D3115" s="93">
        <v>3.33</v>
      </c>
      <c r="E3115" s="93">
        <v>0.72</v>
      </c>
      <c r="F3115" s="93">
        <v>2.61</v>
      </c>
      <c r="G3115" s="93">
        <v>0</v>
      </c>
      <c r="H3115" s="93">
        <v>0</v>
      </c>
      <c r="N3115" s="88"/>
      <c r="O3115" s="88"/>
      <c r="P3115" s="88"/>
    </row>
    <row r="3116" spans="1:16">
      <c r="A3116" s="94">
        <v>98293</v>
      </c>
      <c r="B3116" s="87" t="s">
        <v>2789</v>
      </c>
      <c r="C3116" s="12" t="s">
        <v>6</v>
      </c>
      <c r="D3116" s="93">
        <v>6.44</v>
      </c>
      <c r="E3116" s="93">
        <v>1.32</v>
      </c>
      <c r="F3116" s="93">
        <v>5.12</v>
      </c>
      <c r="G3116" s="93">
        <v>0</v>
      </c>
      <c r="H3116" s="93">
        <v>0</v>
      </c>
      <c r="N3116" s="88"/>
      <c r="O3116" s="88"/>
      <c r="P3116" s="88"/>
    </row>
    <row r="3117" spans="1:16">
      <c r="A3117" s="94">
        <v>98400</v>
      </c>
      <c r="B3117" s="87" t="s">
        <v>2790</v>
      </c>
      <c r="C3117" s="12" t="s">
        <v>6</v>
      </c>
      <c r="D3117" s="93">
        <v>9.64</v>
      </c>
      <c r="E3117" s="93">
        <v>2.7</v>
      </c>
      <c r="F3117" s="93">
        <v>6.94</v>
      </c>
      <c r="G3117" s="93">
        <v>0</v>
      </c>
      <c r="H3117" s="93">
        <v>0</v>
      </c>
      <c r="N3117" s="88"/>
      <c r="O3117" s="88"/>
      <c r="P3117" s="88"/>
    </row>
    <row r="3118" spans="1:16">
      <c r="A3118" s="94">
        <v>98401</v>
      </c>
      <c r="B3118" s="87" t="s">
        <v>2791</v>
      </c>
      <c r="C3118" s="12" t="s">
        <v>6</v>
      </c>
      <c r="D3118" s="93">
        <v>14.62</v>
      </c>
      <c r="E3118" s="93">
        <v>3.06</v>
      </c>
      <c r="F3118" s="93">
        <v>11.56</v>
      </c>
      <c r="G3118" s="93">
        <v>0</v>
      </c>
      <c r="H3118" s="93">
        <v>0</v>
      </c>
      <c r="N3118" s="88"/>
      <c r="O3118" s="88"/>
      <c r="P3118" s="88"/>
    </row>
    <row r="3119" spans="1:16">
      <c r="A3119" s="94">
        <v>98402</v>
      </c>
      <c r="B3119" s="87" t="s">
        <v>2792</v>
      </c>
      <c r="C3119" s="12" t="s">
        <v>6</v>
      </c>
      <c r="D3119" s="93">
        <v>18.809999999999999</v>
      </c>
      <c r="E3119" s="93">
        <v>3.36</v>
      </c>
      <c r="F3119" s="93">
        <v>15.45</v>
      </c>
      <c r="G3119" s="93">
        <v>0</v>
      </c>
      <c r="H3119" s="93">
        <v>0</v>
      </c>
      <c r="N3119" s="88"/>
      <c r="O3119" s="88"/>
      <c r="P3119" s="88"/>
    </row>
    <row r="3120" spans="1:16">
      <c r="A3120" s="94">
        <v>100556</v>
      </c>
      <c r="B3120" s="87" t="s">
        <v>2793</v>
      </c>
      <c r="C3120" s="12" t="s">
        <v>4</v>
      </c>
      <c r="D3120" s="93">
        <v>32.630000000000003</v>
      </c>
      <c r="E3120" s="93">
        <v>10.19</v>
      </c>
      <c r="F3120" s="93">
        <v>22.44</v>
      </c>
      <c r="G3120" s="93">
        <v>0</v>
      </c>
      <c r="H3120" s="93">
        <v>0</v>
      </c>
      <c r="N3120" s="88"/>
      <c r="O3120" s="88"/>
      <c r="P3120" s="88"/>
    </row>
    <row r="3121" spans="1:16">
      <c r="A3121" s="94">
        <v>100557</v>
      </c>
      <c r="B3121" s="87" t="s">
        <v>2794</v>
      </c>
      <c r="C3121" s="12" t="s">
        <v>4</v>
      </c>
      <c r="D3121" s="93">
        <v>400.05</v>
      </c>
      <c r="E3121" s="93">
        <v>30.46</v>
      </c>
      <c r="F3121" s="93">
        <v>369.59</v>
      </c>
      <c r="G3121" s="93">
        <v>0</v>
      </c>
      <c r="H3121" s="93">
        <v>0</v>
      </c>
      <c r="N3121" s="88"/>
      <c r="O3121" s="88"/>
      <c r="P3121" s="88"/>
    </row>
    <row r="3122" spans="1:16">
      <c r="A3122" s="94">
        <v>100560</v>
      </c>
      <c r="B3122" s="87" t="s">
        <v>2795</v>
      </c>
      <c r="C3122" s="12" t="s">
        <v>4</v>
      </c>
      <c r="D3122" s="93">
        <v>88.64</v>
      </c>
      <c r="E3122" s="93">
        <v>26.44</v>
      </c>
      <c r="F3122" s="93">
        <v>62.2</v>
      </c>
      <c r="G3122" s="93">
        <v>0</v>
      </c>
      <c r="H3122" s="93">
        <v>0</v>
      </c>
      <c r="N3122" s="88"/>
      <c r="O3122" s="88"/>
      <c r="P3122" s="88"/>
    </row>
    <row r="3123" spans="1:16">
      <c r="A3123" s="94">
        <v>100561</v>
      </c>
      <c r="B3123" s="87" t="s">
        <v>2796</v>
      </c>
      <c r="C3123" s="12" t="s">
        <v>4</v>
      </c>
      <c r="D3123" s="93">
        <v>160.69999999999999</v>
      </c>
      <c r="E3123" s="93">
        <v>30.09</v>
      </c>
      <c r="F3123" s="93">
        <v>130.61000000000001</v>
      </c>
      <c r="G3123" s="93">
        <v>0</v>
      </c>
      <c r="H3123" s="93">
        <v>0</v>
      </c>
      <c r="N3123" s="88"/>
      <c r="O3123" s="88"/>
      <c r="P3123" s="88"/>
    </row>
    <row r="3124" spans="1:16">
      <c r="A3124" s="94">
        <v>100562</v>
      </c>
      <c r="B3124" s="87" t="s">
        <v>2797</v>
      </c>
      <c r="C3124" s="12" t="s">
        <v>4</v>
      </c>
      <c r="D3124" s="93">
        <v>247.93</v>
      </c>
      <c r="E3124" s="93">
        <v>34.19</v>
      </c>
      <c r="F3124" s="93">
        <v>213.74</v>
      </c>
      <c r="G3124" s="93">
        <v>0</v>
      </c>
      <c r="H3124" s="93">
        <v>0</v>
      </c>
      <c r="N3124" s="88"/>
      <c r="O3124" s="88"/>
      <c r="P3124" s="88"/>
    </row>
    <row r="3125" spans="1:16">
      <c r="A3125" s="94">
        <v>100563</v>
      </c>
      <c r="B3125" s="87" t="s">
        <v>2798</v>
      </c>
      <c r="C3125" s="12" t="s">
        <v>4</v>
      </c>
      <c r="D3125" s="93">
        <v>356.7</v>
      </c>
      <c r="E3125" s="93">
        <v>38.79</v>
      </c>
      <c r="F3125" s="93">
        <v>317.91000000000003</v>
      </c>
      <c r="G3125" s="93">
        <v>0</v>
      </c>
      <c r="H3125" s="93">
        <v>0</v>
      </c>
      <c r="N3125" s="88"/>
      <c r="O3125" s="88"/>
      <c r="P3125" s="88"/>
    </row>
    <row r="3126" spans="1:16">
      <c r="A3126" s="94">
        <v>98397</v>
      </c>
      <c r="B3126" s="87" t="s">
        <v>2799</v>
      </c>
      <c r="C3126" s="12" t="s">
        <v>9</v>
      </c>
      <c r="D3126" s="93">
        <v>8.76</v>
      </c>
      <c r="E3126" s="93">
        <v>4.1900000000000004</v>
      </c>
      <c r="F3126" s="93">
        <v>4.57</v>
      </c>
      <c r="G3126" s="93">
        <v>0</v>
      </c>
      <c r="H3126" s="93">
        <v>0</v>
      </c>
      <c r="N3126" s="88"/>
      <c r="O3126" s="88"/>
      <c r="P3126" s="88"/>
    </row>
    <row r="3127" spans="1:16">
      <c r="A3127" s="94">
        <v>101936</v>
      </c>
      <c r="B3127" s="87" t="s">
        <v>5908</v>
      </c>
      <c r="C3127" s="12" t="s">
        <v>4</v>
      </c>
      <c r="D3127" s="93">
        <v>5688.05</v>
      </c>
      <c r="E3127" s="93">
        <v>2154.9699999999998</v>
      </c>
      <c r="F3127" s="93">
        <v>3533.08</v>
      </c>
      <c r="G3127" s="93">
        <v>0</v>
      </c>
      <c r="H3127" s="93">
        <v>0</v>
      </c>
      <c r="N3127" s="88"/>
      <c r="O3127" s="88"/>
      <c r="P3127" s="88"/>
    </row>
    <row r="3128" spans="1:16">
      <c r="A3128" s="94">
        <v>101937</v>
      </c>
      <c r="B3128" s="87" t="s">
        <v>5909</v>
      </c>
      <c r="C3128" s="12" t="s">
        <v>4</v>
      </c>
      <c r="D3128" s="93">
        <v>10443.030000000001</v>
      </c>
      <c r="E3128" s="93">
        <v>4660.34</v>
      </c>
      <c r="F3128" s="93">
        <v>5782.69</v>
      </c>
      <c r="G3128" s="93">
        <v>0</v>
      </c>
      <c r="H3128" s="93">
        <v>0</v>
      </c>
      <c r="N3128" s="88"/>
      <c r="O3128" s="88"/>
      <c r="P3128" s="88"/>
    </row>
    <row r="3129" spans="1:16">
      <c r="A3129" s="94">
        <v>83486</v>
      </c>
      <c r="B3129" s="87" t="s">
        <v>6718</v>
      </c>
      <c r="C3129" s="12" t="s">
        <v>4</v>
      </c>
      <c r="D3129" s="93">
        <v>1342.92</v>
      </c>
      <c r="E3129" s="93">
        <v>233.44</v>
      </c>
      <c r="F3129" s="93">
        <v>66.08</v>
      </c>
      <c r="G3129" s="93">
        <v>1043.4000000000001</v>
      </c>
      <c r="H3129" s="93">
        <v>0</v>
      </c>
      <c r="N3129" s="88"/>
      <c r="O3129" s="88"/>
      <c r="P3129" s="88"/>
    </row>
    <row r="3130" spans="1:16">
      <c r="A3130" s="94">
        <v>83643</v>
      </c>
      <c r="B3130" s="87" t="s">
        <v>6719</v>
      </c>
      <c r="C3130" s="12" t="s">
        <v>4</v>
      </c>
      <c r="D3130" s="93">
        <v>4083.37</v>
      </c>
      <c r="E3130" s="93">
        <v>249.21</v>
      </c>
      <c r="F3130" s="93">
        <v>52.08</v>
      </c>
      <c r="G3130" s="93">
        <v>3782.08</v>
      </c>
      <c r="H3130" s="93">
        <v>0</v>
      </c>
      <c r="N3130" s="88"/>
      <c r="O3130" s="88"/>
      <c r="P3130" s="88"/>
    </row>
    <row r="3131" spans="1:16">
      <c r="A3131" s="94">
        <v>83644</v>
      </c>
      <c r="B3131" s="87" t="s">
        <v>6720</v>
      </c>
      <c r="C3131" s="12" t="s">
        <v>4</v>
      </c>
      <c r="D3131" s="93">
        <v>5810.18</v>
      </c>
      <c r="E3131" s="93">
        <v>250.63</v>
      </c>
      <c r="F3131" s="93">
        <v>55.17</v>
      </c>
      <c r="G3131" s="93">
        <v>5504.38</v>
      </c>
      <c r="H3131" s="93">
        <v>0</v>
      </c>
      <c r="N3131" s="88"/>
      <c r="O3131" s="88"/>
      <c r="P3131" s="88"/>
    </row>
    <row r="3132" spans="1:16">
      <c r="A3132" s="94">
        <v>83645</v>
      </c>
      <c r="B3132" s="87" t="s">
        <v>6721</v>
      </c>
      <c r="C3132" s="12" t="s">
        <v>4</v>
      </c>
      <c r="D3132" s="93">
        <v>1866.53</v>
      </c>
      <c r="E3132" s="93">
        <v>250.63</v>
      </c>
      <c r="F3132" s="93">
        <v>55.17</v>
      </c>
      <c r="G3132" s="93">
        <v>1560.73</v>
      </c>
      <c r="H3132" s="93">
        <v>0</v>
      </c>
      <c r="N3132" s="88"/>
      <c r="O3132" s="88"/>
      <c r="P3132" s="88"/>
    </row>
    <row r="3133" spans="1:16">
      <c r="A3133" s="94">
        <v>83646</v>
      </c>
      <c r="B3133" s="87" t="s">
        <v>6722</v>
      </c>
      <c r="C3133" s="12" t="s">
        <v>4</v>
      </c>
      <c r="D3133" s="93">
        <v>2162</v>
      </c>
      <c r="E3133" s="93">
        <v>250.63</v>
      </c>
      <c r="F3133" s="93">
        <v>55.17</v>
      </c>
      <c r="G3133" s="93">
        <v>1856.2</v>
      </c>
      <c r="H3133" s="93">
        <v>0</v>
      </c>
      <c r="N3133" s="88"/>
      <c r="O3133" s="88"/>
      <c r="P3133" s="88"/>
    </row>
    <row r="3134" spans="1:16">
      <c r="A3134" s="94">
        <v>83647</v>
      </c>
      <c r="B3134" s="87" t="s">
        <v>6723</v>
      </c>
      <c r="C3134" s="12" t="s">
        <v>4</v>
      </c>
      <c r="D3134" s="93">
        <v>1424.36</v>
      </c>
      <c r="E3134" s="93">
        <v>250.63</v>
      </c>
      <c r="F3134" s="93">
        <v>55.17</v>
      </c>
      <c r="G3134" s="93">
        <v>1118.56</v>
      </c>
      <c r="H3134" s="93">
        <v>0</v>
      </c>
      <c r="N3134" s="88"/>
      <c r="O3134" s="88"/>
      <c r="P3134" s="88"/>
    </row>
    <row r="3135" spans="1:16">
      <c r="A3135" s="94">
        <v>83648</v>
      </c>
      <c r="B3135" s="87" t="s">
        <v>6724</v>
      </c>
      <c r="C3135" s="12" t="s">
        <v>4</v>
      </c>
      <c r="D3135" s="93">
        <v>924.82</v>
      </c>
      <c r="E3135" s="93">
        <v>250.64</v>
      </c>
      <c r="F3135" s="93">
        <v>55.17</v>
      </c>
      <c r="G3135" s="93">
        <v>619.01</v>
      </c>
      <c r="H3135" s="93">
        <v>0</v>
      </c>
      <c r="N3135" s="88"/>
      <c r="O3135" s="88"/>
      <c r="P3135" s="88"/>
    </row>
    <row r="3136" spans="1:16">
      <c r="A3136" s="94">
        <v>83649</v>
      </c>
      <c r="B3136" s="87" t="s">
        <v>6725</v>
      </c>
      <c r="C3136" s="12" t="s">
        <v>4</v>
      </c>
      <c r="D3136" s="93">
        <v>5206.43</v>
      </c>
      <c r="E3136" s="93">
        <v>977.37</v>
      </c>
      <c r="F3136" s="93">
        <v>1107.6099999999999</v>
      </c>
      <c r="G3136" s="93">
        <v>3121.45</v>
      </c>
      <c r="H3136" s="93">
        <v>0</v>
      </c>
      <c r="N3136" s="88"/>
      <c r="O3136" s="88"/>
      <c r="P3136" s="88"/>
    </row>
    <row r="3137" spans="1:16">
      <c r="A3137" s="94">
        <v>83650</v>
      </c>
      <c r="B3137" s="87" t="s">
        <v>6726</v>
      </c>
      <c r="C3137" s="12" t="s">
        <v>4</v>
      </c>
      <c r="D3137" s="93">
        <v>4322.09</v>
      </c>
      <c r="E3137" s="93">
        <v>977.38</v>
      </c>
      <c r="F3137" s="93">
        <v>1107.6199999999999</v>
      </c>
      <c r="G3137" s="93">
        <v>2237.09</v>
      </c>
      <c r="H3137" s="93">
        <v>0</v>
      </c>
      <c r="N3137" s="88"/>
      <c r="O3137" s="88"/>
      <c r="P3137" s="88"/>
    </row>
    <row r="3138" spans="1:16">
      <c r="A3138" s="94">
        <v>98294</v>
      </c>
      <c r="B3138" s="87" t="s">
        <v>2800</v>
      </c>
      <c r="C3138" s="12" t="s">
        <v>6</v>
      </c>
      <c r="D3138" s="93">
        <v>1.74</v>
      </c>
      <c r="E3138" s="93">
        <v>0.49</v>
      </c>
      <c r="F3138" s="93">
        <v>1.25</v>
      </c>
      <c r="G3138" s="93">
        <v>0</v>
      </c>
      <c r="H3138" s="93">
        <v>0</v>
      </c>
      <c r="N3138" s="88"/>
      <c r="O3138" s="88"/>
      <c r="P3138" s="88"/>
    </row>
    <row r="3139" spans="1:16">
      <c r="A3139" s="94">
        <v>98295</v>
      </c>
      <c r="B3139" s="87" t="s">
        <v>2801</v>
      </c>
      <c r="C3139" s="12" t="s">
        <v>6</v>
      </c>
      <c r="D3139" s="93">
        <v>1.2</v>
      </c>
      <c r="E3139" s="93">
        <v>7.0000000000000007E-2</v>
      </c>
      <c r="F3139" s="93">
        <v>1.1299999999999999</v>
      </c>
      <c r="G3139" s="93">
        <v>0</v>
      </c>
      <c r="H3139" s="93">
        <v>0</v>
      </c>
      <c r="N3139" s="88"/>
      <c r="O3139" s="88"/>
      <c r="P3139" s="88"/>
    </row>
    <row r="3140" spans="1:16">
      <c r="A3140" s="94">
        <v>98296</v>
      </c>
      <c r="B3140" s="87" t="s">
        <v>2802</v>
      </c>
      <c r="C3140" s="12" t="s">
        <v>6</v>
      </c>
      <c r="D3140" s="93">
        <v>2.68</v>
      </c>
      <c r="E3140" s="93">
        <v>0.78</v>
      </c>
      <c r="F3140" s="93">
        <v>1.9</v>
      </c>
      <c r="G3140" s="93">
        <v>0</v>
      </c>
      <c r="H3140" s="93">
        <v>0</v>
      </c>
      <c r="N3140" s="88"/>
      <c r="O3140" s="88"/>
      <c r="P3140" s="88"/>
    </row>
    <row r="3141" spans="1:16">
      <c r="A3141" s="94">
        <v>98297</v>
      </c>
      <c r="B3141" s="87" t="s">
        <v>2803</v>
      </c>
      <c r="C3141" s="12" t="s">
        <v>6</v>
      </c>
      <c r="D3141" s="93">
        <v>1.81</v>
      </c>
      <c r="E3141" s="93">
        <v>0.12</v>
      </c>
      <c r="F3141" s="93">
        <v>1.69</v>
      </c>
      <c r="G3141" s="93">
        <v>0</v>
      </c>
      <c r="H3141" s="93">
        <v>0</v>
      </c>
      <c r="N3141" s="88"/>
      <c r="O3141" s="88"/>
      <c r="P3141" s="88"/>
    </row>
    <row r="3142" spans="1:16">
      <c r="A3142" s="94">
        <v>98301</v>
      </c>
      <c r="B3142" s="87" t="s">
        <v>2804</v>
      </c>
      <c r="C3142" s="12" t="s">
        <v>4</v>
      </c>
      <c r="D3142" s="93">
        <v>408.69</v>
      </c>
      <c r="E3142" s="93">
        <v>182.73</v>
      </c>
      <c r="F3142" s="93">
        <v>225.96</v>
      </c>
      <c r="G3142" s="93">
        <v>0</v>
      </c>
      <c r="H3142" s="93">
        <v>0</v>
      </c>
      <c r="N3142" s="88"/>
      <c r="O3142" s="88"/>
      <c r="P3142" s="88"/>
    </row>
    <row r="3143" spans="1:16">
      <c r="A3143" s="94">
        <v>98302</v>
      </c>
      <c r="B3143" s="87" t="s">
        <v>2805</v>
      </c>
      <c r="C3143" s="12" t="s">
        <v>4</v>
      </c>
      <c r="D3143" s="93">
        <v>534.37</v>
      </c>
      <c r="E3143" s="93">
        <v>182.72</v>
      </c>
      <c r="F3143" s="93">
        <v>351.65</v>
      </c>
      <c r="G3143" s="93">
        <v>0</v>
      </c>
      <c r="H3143" s="93">
        <v>0</v>
      </c>
      <c r="N3143" s="88"/>
      <c r="O3143" s="88"/>
      <c r="P3143" s="88"/>
    </row>
    <row r="3144" spans="1:16">
      <c r="A3144" s="94">
        <v>98304</v>
      </c>
      <c r="B3144" s="87" t="s">
        <v>2806</v>
      </c>
      <c r="C3144" s="12" t="s">
        <v>4</v>
      </c>
      <c r="D3144" s="93">
        <v>873.67</v>
      </c>
      <c r="E3144" s="93">
        <v>363.18</v>
      </c>
      <c r="F3144" s="93">
        <v>510.49</v>
      </c>
      <c r="G3144" s="93">
        <v>0</v>
      </c>
      <c r="H3144" s="93">
        <v>0</v>
      </c>
      <c r="N3144" s="88"/>
      <c r="O3144" s="88"/>
      <c r="P3144" s="88"/>
    </row>
    <row r="3145" spans="1:16">
      <c r="A3145" s="94">
        <v>98307</v>
      </c>
      <c r="B3145" s="87" t="s">
        <v>2807</v>
      </c>
      <c r="C3145" s="12" t="s">
        <v>4</v>
      </c>
      <c r="D3145" s="93">
        <v>29.66</v>
      </c>
      <c r="E3145" s="93">
        <v>6.07</v>
      </c>
      <c r="F3145" s="93">
        <v>23.59</v>
      </c>
      <c r="G3145" s="93">
        <v>0</v>
      </c>
      <c r="H3145" s="93">
        <v>0</v>
      </c>
      <c r="N3145" s="88"/>
      <c r="O3145" s="88"/>
      <c r="P3145" s="88"/>
    </row>
    <row r="3146" spans="1:16">
      <c r="A3146" s="94">
        <v>98308</v>
      </c>
      <c r="B3146" s="87" t="s">
        <v>2808</v>
      </c>
      <c r="C3146" s="12" t="s">
        <v>4</v>
      </c>
      <c r="D3146" s="93">
        <v>20.260000000000002</v>
      </c>
      <c r="E3146" s="93">
        <v>6.08</v>
      </c>
      <c r="F3146" s="93">
        <v>14.18</v>
      </c>
      <c r="G3146" s="93">
        <v>0</v>
      </c>
      <c r="H3146" s="93">
        <v>0</v>
      </c>
      <c r="N3146" s="88"/>
      <c r="O3146" s="88"/>
      <c r="P3146" s="88"/>
    </row>
    <row r="3147" spans="1:16">
      <c r="A3147" s="94">
        <v>98593</v>
      </c>
      <c r="B3147" s="87" t="s">
        <v>2809</v>
      </c>
      <c r="C3147" s="12" t="s">
        <v>4</v>
      </c>
      <c r="D3147" s="93">
        <v>723.55</v>
      </c>
      <c r="E3147" s="93">
        <v>363.2</v>
      </c>
      <c r="F3147" s="93">
        <v>360.35</v>
      </c>
      <c r="G3147" s="93">
        <v>0</v>
      </c>
      <c r="H3147" s="93">
        <v>0</v>
      </c>
      <c r="N3147" s="88"/>
      <c r="O3147" s="88"/>
      <c r="P3147" s="88"/>
    </row>
    <row r="3148" spans="1:16">
      <c r="A3148" s="94">
        <v>89355</v>
      </c>
      <c r="B3148" s="87" t="s">
        <v>266</v>
      </c>
      <c r="C3148" s="12" t="s">
        <v>6</v>
      </c>
      <c r="D3148" s="93">
        <v>14.59</v>
      </c>
      <c r="E3148" s="93">
        <v>9.35</v>
      </c>
      <c r="F3148" s="93">
        <v>5.24</v>
      </c>
      <c r="G3148" s="93">
        <v>0</v>
      </c>
      <c r="H3148" s="93">
        <v>0</v>
      </c>
      <c r="N3148" s="88"/>
      <c r="O3148" s="88"/>
      <c r="P3148" s="88"/>
    </row>
    <row r="3149" spans="1:16">
      <c r="A3149" s="94">
        <v>89356</v>
      </c>
      <c r="B3149" s="87" t="s">
        <v>267</v>
      </c>
      <c r="C3149" s="12" t="s">
        <v>6</v>
      </c>
      <c r="D3149" s="93">
        <v>17.2</v>
      </c>
      <c r="E3149" s="93">
        <v>10.78</v>
      </c>
      <c r="F3149" s="93">
        <v>6.42</v>
      </c>
      <c r="G3149" s="93">
        <v>0</v>
      </c>
      <c r="H3149" s="93">
        <v>0</v>
      </c>
      <c r="N3149" s="88"/>
      <c r="O3149" s="88"/>
      <c r="P3149" s="88"/>
    </row>
    <row r="3150" spans="1:16">
      <c r="A3150" s="94">
        <v>89357</v>
      </c>
      <c r="B3150" s="87" t="s">
        <v>268</v>
      </c>
      <c r="C3150" s="12" t="s">
        <v>6</v>
      </c>
      <c r="D3150" s="93">
        <v>23.9</v>
      </c>
      <c r="E3150" s="93">
        <v>12.85</v>
      </c>
      <c r="F3150" s="93">
        <v>11.05</v>
      </c>
      <c r="G3150" s="93">
        <v>0</v>
      </c>
      <c r="H3150" s="93">
        <v>0</v>
      </c>
      <c r="N3150" s="88"/>
      <c r="O3150" s="88"/>
      <c r="P3150" s="88"/>
    </row>
    <row r="3151" spans="1:16">
      <c r="A3151" s="94">
        <v>89401</v>
      </c>
      <c r="B3151" s="87" t="s">
        <v>2810</v>
      </c>
      <c r="C3151" s="12" t="s">
        <v>6</v>
      </c>
      <c r="D3151" s="93">
        <v>6.16</v>
      </c>
      <c r="E3151" s="93">
        <v>2.85</v>
      </c>
      <c r="F3151" s="93">
        <v>3.31</v>
      </c>
      <c r="G3151" s="93">
        <v>0</v>
      </c>
      <c r="H3151" s="93">
        <v>0</v>
      </c>
      <c r="N3151" s="88"/>
      <c r="O3151" s="88"/>
      <c r="P3151" s="88"/>
    </row>
    <row r="3152" spans="1:16">
      <c r="A3152" s="94">
        <v>89402</v>
      </c>
      <c r="B3152" s="87" t="s">
        <v>2811</v>
      </c>
      <c r="C3152" s="12" t="s">
        <v>6</v>
      </c>
      <c r="D3152" s="93">
        <v>7.48</v>
      </c>
      <c r="E3152" s="93">
        <v>3.29</v>
      </c>
      <c r="F3152" s="93">
        <v>4.1900000000000004</v>
      </c>
      <c r="G3152" s="93">
        <v>0</v>
      </c>
      <c r="H3152" s="93">
        <v>0</v>
      </c>
      <c r="N3152" s="88"/>
      <c r="O3152" s="88"/>
      <c r="P3152" s="88"/>
    </row>
    <row r="3153" spans="1:16">
      <c r="A3153" s="94">
        <v>89403</v>
      </c>
      <c r="B3153" s="87" t="s">
        <v>2812</v>
      </c>
      <c r="C3153" s="12" t="s">
        <v>6</v>
      </c>
      <c r="D3153" s="93">
        <v>12.27</v>
      </c>
      <c r="E3153" s="93">
        <v>3.92</v>
      </c>
      <c r="F3153" s="93">
        <v>8.35</v>
      </c>
      <c r="G3153" s="93">
        <v>0</v>
      </c>
      <c r="H3153" s="93">
        <v>0</v>
      </c>
      <c r="N3153" s="88"/>
      <c r="O3153" s="88"/>
      <c r="P3153" s="88"/>
    </row>
    <row r="3154" spans="1:16">
      <c r="A3154" s="94">
        <v>89446</v>
      </c>
      <c r="B3154" s="87" t="s">
        <v>2813</v>
      </c>
      <c r="C3154" s="12" t="s">
        <v>6</v>
      </c>
      <c r="D3154" s="93">
        <v>3.78</v>
      </c>
      <c r="E3154" s="93">
        <v>0.45</v>
      </c>
      <c r="F3154" s="93">
        <v>3.33</v>
      </c>
      <c r="G3154" s="93">
        <v>0</v>
      </c>
      <c r="H3154" s="93">
        <v>0</v>
      </c>
      <c r="N3154" s="88"/>
      <c r="O3154" s="88"/>
      <c r="P3154" s="88"/>
    </row>
    <row r="3155" spans="1:16">
      <c r="A3155" s="94">
        <v>89447</v>
      </c>
      <c r="B3155" s="87" t="s">
        <v>2814</v>
      </c>
      <c r="C3155" s="12" t="s">
        <v>6</v>
      </c>
      <c r="D3155" s="93">
        <v>7.93</v>
      </c>
      <c r="E3155" s="93">
        <v>0.56000000000000005</v>
      </c>
      <c r="F3155" s="93">
        <v>7.37</v>
      </c>
      <c r="G3155" s="93">
        <v>0</v>
      </c>
      <c r="H3155" s="93">
        <v>0</v>
      </c>
      <c r="N3155" s="88"/>
      <c r="O3155" s="88"/>
      <c r="P3155" s="88"/>
    </row>
    <row r="3156" spans="1:16">
      <c r="A3156" s="94">
        <v>89448</v>
      </c>
      <c r="B3156" s="87" t="s">
        <v>2815</v>
      </c>
      <c r="C3156" s="12" t="s">
        <v>6</v>
      </c>
      <c r="D3156" s="93">
        <v>11.36</v>
      </c>
      <c r="E3156" s="93">
        <v>0.68</v>
      </c>
      <c r="F3156" s="93">
        <v>10.68</v>
      </c>
      <c r="G3156" s="93">
        <v>0</v>
      </c>
      <c r="H3156" s="93">
        <v>0</v>
      </c>
      <c r="N3156" s="88"/>
      <c r="O3156" s="88"/>
      <c r="P3156" s="88"/>
    </row>
    <row r="3157" spans="1:16">
      <c r="A3157" s="94">
        <v>89449</v>
      </c>
      <c r="B3157" s="87" t="s">
        <v>2816</v>
      </c>
      <c r="C3157" s="12" t="s">
        <v>6</v>
      </c>
      <c r="D3157" s="93">
        <v>13.08</v>
      </c>
      <c r="E3157" s="93">
        <v>0.82</v>
      </c>
      <c r="F3157" s="93">
        <v>12.26</v>
      </c>
      <c r="G3157" s="93">
        <v>0</v>
      </c>
      <c r="H3157" s="93">
        <v>0</v>
      </c>
      <c r="N3157" s="88"/>
      <c r="O3157" s="88"/>
      <c r="P3157" s="88"/>
    </row>
    <row r="3158" spans="1:16">
      <c r="A3158" s="94">
        <v>89450</v>
      </c>
      <c r="B3158" s="87" t="s">
        <v>2817</v>
      </c>
      <c r="C3158" s="12" t="s">
        <v>6</v>
      </c>
      <c r="D3158" s="93">
        <v>21.52</v>
      </c>
      <c r="E3158" s="93">
        <v>0.97</v>
      </c>
      <c r="F3158" s="93">
        <v>20.55</v>
      </c>
      <c r="G3158" s="93">
        <v>0</v>
      </c>
      <c r="H3158" s="93">
        <v>0</v>
      </c>
      <c r="N3158" s="88"/>
      <c r="O3158" s="88"/>
      <c r="P3158" s="88"/>
    </row>
    <row r="3159" spans="1:16">
      <c r="A3159" s="94">
        <v>89451</v>
      </c>
      <c r="B3159" s="87" t="s">
        <v>2818</v>
      </c>
      <c r="C3159" s="12" t="s">
        <v>6</v>
      </c>
      <c r="D3159" s="93">
        <v>35.49</v>
      </c>
      <c r="E3159" s="93">
        <v>1.2</v>
      </c>
      <c r="F3159" s="93">
        <v>34.29</v>
      </c>
      <c r="G3159" s="93">
        <v>0</v>
      </c>
      <c r="H3159" s="93">
        <v>0</v>
      </c>
      <c r="N3159" s="88"/>
      <c r="O3159" s="88"/>
      <c r="P3159" s="88"/>
    </row>
    <row r="3160" spans="1:16">
      <c r="A3160" s="94">
        <v>89452</v>
      </c>
      <c r="B3160" s="87" t="s">
        <v>2819</v>
      </c>
      <c r="C3160" s="12" t="s">
        <v>6</v>
      </c>
      <c r="D3160" s="93">
        <v>44.13</v>
      </c>
      <c r="E3160" s="93">
        <v>1.35</v>
      </c>
      <c r="F3160" s="93">
        <v>42.78</v>
      </c>
      <c r="G3160" s="93">
        <v>0</v>
      </c>
      <c r="H3160" s="93">
        <v>0</v>
      </c>
      <c r="N3160" s="88"/>
      <c r="O3160" s="88"/>
      <c r="P3160" s="88"/>
    </row>
    <row r="3161" spans="1:16">
      <c r="A3161" s="94">
        <v>89508</v>
      </c>
      <c r="B3161" s="87" t="s">
        <v>2820</v>
      </c>
      <c r="C3161" s="12" t="s">
        <v>6</v>
      </c>
      <c r="D3161" s="93">
        <v>15.11</v>
      </c>
      <c r="E3161" s="93">
        <v>4.8099999999999996</v>
      </c>
      <c r="F3161" s="93">
        <v>10.3</v>
      </c>
      <c r="G3161" s="93">
        <v>0</v>
      </c>
      <c r="H3161" s="93">
        <v>0</v>
      </c>
      <c r="N3161" s="88"/>
      <c r="O3161" s="88"/>
      <c r="P3161" s="88"/>
    </row>
    <row r="3162" spans="1:16">
      <c r="A3162" s="94">
        <v>89509</v>
      </c>
      <c r="B3162" s="87" t="s">
        <v>2821</v>
      </c>
      <c r="C3162" s="12" t="s">
        <v>6</v>
      </c>
      <c r="D3162" s="93">
        <v>20.79</v>
      </c>
      <c r="E3162" s="93">
        <v>6.12</v>
      </c>
      <c r="F3162" s="93">
        <v>14.67</v>
      </c>
      <c r="G3162" s="93">
        <v>0</v>
      </c>
      <c r="H3162" s="93">
        <v>0</v>
      </c>
      <c r="N3162" s="88"/>
      <c r="O3162" s="88"/>
      <c r="P3162" s="88"/>
    </row>
    <row r="3163" spans="1:16">
      <c r="A3163" s="94">
        <v>89511</v>
      </c>
      <c r="B3163" s="87" t="s">
        <v>2822</v>
      </c>
      <c r="C3163" s="12" t="s">
        <v>6</v>
      </c>
      <c r="D3163" s="93">
        <v>31.04</v>
      </c>
      <c r="E3163" s="93">
        <v>9.48</v>
      </c>
      <c r="F3163" s="93">
        <v>21.56</v>
      </c>
      <c r="G3163" s="93">
        <v>0</v>
      </c>
      <c r="H3163" s="93">
        <v>0</v>
      </c>
      <c r="N3163" s="88"/>
      <c r="O3163" s="88"/>
      <c r="P3163" s="88"/>
    </row>
    <row r="3164" spans="1:16">
      <c r="A3164" s="94">
        <v>89512</v>
      </c>
      <c r="B3164" s="87" t="s">
        <v>2823</v>
      </c>
      <c r="C3164" s="12" t="s">
        <v>6</v>
      </c>
      <c r="D3164" s="93">
        <v>48.66</v>
      </c>
      <c r="E3164" s="93">
        <v>12.97</v>
      </c>
      <c r="F3164" s="93">
        <v>35.69</v>
      </c>
      <c r="G3164" s="93">
        <v>0</v>
      </c>
      <c r="H3164" s="93">
        <v>0</v>
      </c>
      <c r="N3164" s="88"/>
      <c r="O3164" s="88"/>
      <c r="P3164" s="88"/>
    </row>
    <row r="3165" spans="1:16">
      <c r="A3165" s="94">
        <v>89576</v>
      </c>
      <c r="B3165" s="87" t="s">
        <v>2824</v>
      </c>
      <c r="C3165" s="12" t="s">
        <v>6</v>
      </c>
      <c r="D3165" s="93">
        <v>17.63</v>
      </c>
      <c r="E3165" s="93">
        <v>2.0299999999999998</v>
      </c>
      <c r="F3165" s="93">
        <v>15.6</v>
      </c>
      <c r="G3165" s="93">
        <v>0</v>
      </c>
      <c r="H3165" s="93">
        <v>0</v>
      </c>
      <c r="N3165" s="88"/>
      <c r="O3165" s="88"/>
      <c r="P3165" s="88"/>
    </row>
    <row r="3166" spans="1:16">
      <c r="A3166" s="94">
        <v>89578</v>
      </c>
      <c r="B3166" s="87" t="s">
        <v>2825</v>
      </c>
      <c r="C3166" s="12" t="s">
        <v>6</v>
      </c>
      <c r="D3166" s="93">
        <v>30.32</v>
      </c>
      <c r="E3166" s="93">
        <v>3.19</v>
      </c>
      <c r="F3166" s="93">
        <v>27.13</v>
      </c>
      <c r="G3166" s="93">
        <v>0</v>
      </c>
      <c r="H3166" s="93">
        <v>0</v>
      </c>
      <c r="N3166" s="88"/>
      <c r="O3166" s="88"/>
      <c r="P3166" s="88"/>
    </row>
    <row r="3167" spans="1:16">
      <c r="A3167" s="94">
        <v>89580</v>
      </c>
      <c r="B3167" s="87" t="s">
        <v>2826</v>
      </c>
      <c r="C3167" s="12" t="s">
        <v>6</v>
      </c>
      <c r="D3167" s="93">
        <v>59.45</v>
      </c>
      <c r="E3167" s="93">
        <v>5.23</v>
      </c>
      <c r="F3167" s="93">
        <v>54.22</v>
      </c>
      <c r="G3167" s="93">
        <v>0</v>
      </c>
      <c r="H3167" s="93">
        <v>0</v>
      </c>
      <c r="N3167" s="88"/>
      <c r="O3167" s="88"/>
      <c r="P3167" s="88"/>
    </row>
    <row r="3168" spans="1:16">
      <c r="A3168" s="94">
        <v>89633</v>
      </c>
      <c r="B3168" s="87" t="s">
        <v>269</v>
      </c>
      <c r="C3168" s="12" t="s">
        <v>6</v>
      </c>
      <c r="D3168" s="93">
        <v>16.75</v>
      </c>
      <c r="E3168" s="93">
        <v>7.84</v>
      </c>
      <c r="F3168" s="93">
        <v>8.91</v>
      </c>
      <c r="G3168" s="93">
        <v>0</v>
      </c>
      <c r="H3168" s="93">
        <v>0</v>
      </c>
      <c r="N3168" s="88"/>
      <c r="O3168" s="88"/>
      <c r="P3168" s="88"/>
    </row>
    <row r="3169" spans="1:16">
      <c r="A3169" s="94">
        <v>89634</v>
      </c>
      <c r="B3169" s="87" t="s">
        <v>270</v>
      </c>
      <c r="C3169" s="12" t="s">
        <v>6</v>
      </c>
      <c r="D3169" s="93">
        <v>24.63</v>
      </c>
      <c r="E3169" s="93">
        <v>9.9</v>
      </c>
      <c r="F3169" s="93">
        <v>14.73</v>
      </c>
      <c r="G3169" s="93">
        <v>0</v>
      </c>
      <c r="H3169" s="93">
        <v>0</v>
      </c>
      <c r="N3169" s="88"/>
      <c r="O3169" s="88"/>
      <c r="P3169" s="88"/>
    </row>
    <row r="3170" spans="1:16">
      <c r="A3170" s="94">
        <v>89635</v>
      </c>
      <c r="B3170" s="87" t="s">
        <v>271</v>
      </c>
      <c r="C3170" s="12" t="s">
        <v>6</v>
      </c>
      <c r="D3170" s="93">
        <v>34.14</v>
      </c>
      <c r="E3170" s="93">
        <v>11.67</v>
      </c>
      <c r="F3170" s="93">
        <v>22.47</v>
      </c>
      <c r="G3170" s="93">
        <v>0</v>
      </c>
      <c r="H3170" s="93">
        <v>0</v>
      </c>
      <c r="N3170" s="88"/>
      <c r="O3170" s="88"/>
      <c r="P3170" s="88"/>
    </row>
    <row r="3171" spans="1:16">
      <c r="A3171" s="94">
        <v>89636</v>
      </c>
      <c r="B3171" s="87" t="s">
        <v>2827</v>
      </c>
      <c r="C3171" s="12" t="s">
        <v>6</v>
      </c>
      <c r="D3171" s="93">
        <v>41.35</v>
      </c>
      <c r="E3171" s="93">
        <v>13.74</v>
      </c>
      <c r="F3171" s="93">
        <v>27.61</v>
      </c>
      <c r="G3171" s="93">
        <v>0</v>
      </c>
      <c r="H3171" s="93">
        <v>0</v>
      </c>
      <c r="N3171" s="88"/>
      <c r="O3171" s="88"/>
      <c r="P3171" s="88"/>
    </row>
    <row r="3172" spans="1:16">
      <c r="A3172" s="94">
        <v>89711</v>
      </c>
      <c r="B3172" s="87" t="s">
        <v>2828</v>
      </c>
      <c r="C3172" s="12" t="s">
        <v>6</v>
      </c>
      <c r="D3172" s="93">
        <v>15.12</v>
      </c>
      <c r="E3172" s="93">
        <v>8.7799999999999994</v>
      </c>
      <c r="F3172" s="93">
        <v>6.34</v>
      </c>
      <c r="G3172" s="93">
        <v>0</v>
      </c>
      <c r="H3172" s="93">
        <v>0</v>
      </c>
      <c r="N3172" s="88"/>
      <c r="O3172" s="88"/>
      <c r="P3172" s="88"/>
    </row>
    <row r="3173" spans="1:16">
      <c r="A3173" s="94">
        <v>89712</v>
      </c>
      <c r="B3173" s="87" t="s">
        <v>2829</v>
      </c>
      <c r="C3173" s="12" t="s">
        <v>6</v>
      </c>
      <c r="D3173" s="93">
        <v>22.32</v>
      </c>
      <c r="E3173" s="93">
        <v>11.09</v>
      </c>
      <c r="F3173" s="93">
        <v>11.23</v>
      </c>
      <c r="G3173" s="93">
        <v>0</v>
      </c>
      <c r="H3173" s="93">
        <v>0</v>
      </c>
      <c r="N3173" s="88"/>
      <c r="O3173" s="88"/>
      <c r="P3173" s="88"/>
    </row>
    <row r="3174" spans="1:16">
      <c r="A3174" s="94">
        <v>89713</v>
      </c>
      <c r="B3174" s="87" t="s">
        <v>2830</v>
      </c>
      <c r="C3174" s="12" t="s">
        <v>6</v>
      </c>
      <c r="D3174" s="93">
        <v>34.01</v>
      </c>
      <c r="E3174" s="93">
        <v>16.36</v>
      </c>
      <c r="F3174" s="93">
        <v>17.649999999999999</v>
      </c>
      <c r="G3174" s="93">
        <v>0</v>
      </c>
      <c r="H3174" s="93">
        <v>0</v>
      </c>
      <c r="N3174" s="88"/>
      <c r="O3174" s="88"/>
      <c r="P3174" s="88"/>
    </row>
    <row r="3175" spans="1:16">
      <c r="A3175" s="94">
        <v>89714</v>
      </c>
      <c r="B3175" s="87" t="s">
        <v>2831</v>
      </c>
      <c r="C3175" s="12" t="s">
        <v>6</v>
      </c>
      <c r="D3175" s="93">
        <v>43.86</v>
      </c>
      <c r="E3175" s="93">
        <v>21.61</v>
      </c>
      <c r="F3175" s="93">
        <v>22.25</v>
      </c>
      <c r="G3175" s="93">
        <v>0</v>
      </c>
      <c r="H3175" s="93">
        <v>0</v>
      </c>
      <c r="N3175" s="88"/>
      <c r="O3175" s="88"/>
      <c r="P3175" s="88"/>
    </row>
    <row r="3176" spans="1:16">
      <c r="A3176" s="94">
        <v>89716</v>
      </c>
      <c r="B3176" s="87" t="s">
        <v>2832</v>
      </c>
      <c r="C3176" s="12" t="s">
        <v>6</v>
      </c>
      <c r="D3176" s="93">
        <v>15.79</v>
      </c>
      <c r="E3176" s="93">
        <v>3</v>
      </c>
      <c r="F3176" s="93">
        <v>12.79</v>
      </c>
      <c r="G3176" s="93">
        <v>0</v>
      </c>
      <c r="H3176" s="93">
        <v>0</v>
      </c>
      <c r="N3176" s="88"/>
      <c r="O3176" s="88"/>
      <c r="P3176" s="88"/>
    </row>
    <row r="3177" spans="1:16">
      <c r="A3177" s="94">
        <v>89717</v>
      </c>
      <c r="B3177" s="87" t="s">
        <v>2833</v>
      </c>
      <c r="C3177" s="12" t="s">
        <v>6</v>
      </c>
      <c r="D3177" s="93">
        <v>23.73</v>
      </c>
      <c r="E3177" s="93">
        <v>3.54</v>
      </c>
      <c r="F3177" s="93">
        <v>20.190000000000001</v>
      </c>
      <c r="G3177" s="93">
        <v>0</v>
      </c>
      <c r="H3177" s="93">
        <v>0</v>
      </c>
      <c r="N3177" s="88"/>
      <c r="O3177" s="88"/>
      <c r="P3177" s="88"/>
    </row>
    <row r="3178" spans="1:16">
      <c r="A3178" s="94">
        <v>89770</v>
      </c>
      <c r="B3178" s="87" t="s">
        <v>2834</v>
      </c>
      <c r="C3178" s="12" t="s">
        <v>6</v>
      </c>
      <c r="D3178" s="93">
        <v>24.51</v>
      </c>
      <c r="E3178" s="93">
        <v>0.6</v>
      </c>
      <c r="F3178" s="93">
        <v>23.91</v>
      </c>
      <c r="G3178" s="93">
        <v>0</v>
      </c>
      <c r="H3178" s="93">
        <v>0</v>
      </c>
      <c r="N3178" s="88"/>
      <c r="O3178" s="88"/>
      <c r="P3178" s="88"/>
    </row>
    <row r="3179" spans="1:16">
      <c r="A3179" s="94">
        <v>89771</v>
      </c>
      <c r="B3179" s="87" t="s">
        <v>2835</v>
      </c>
      <c r="C3179" s="12" t="s">
        <v>6</v>
      </c>
      <c r="D3179" s="93">
        <v>33.46</v>
      </c>
      <c r="E3179" s="93">
        <v>0.71</v>
      </c>
      <c r="F3179" s="93">
        <v>32.75</v>
      </c>
      <c r="G3179" s="93">
        <v>0</v>
      </c>
      <c r="H3179" s="93">
        <v>0</v>
      </c>
      <c r="N3179" s="88"/>
      <c r="O3179" s="88"/>
      <c r="P3179" s="88"/>
    </row>
    <row r="3180" spans="1:16">
      <c r="A3180" s="94">
        <v>89773</v>
      </c>
      <c r="B3180" s="87" t="s">
        <v>2836</v>
      </c>
      <c r="C3180" s="12" t="s">
        <v>6</v>
      </c>
      <c r="D3180" s="93">
        <v>77.69</v>
      </c>
      <c r="E3180" s="93">
        <v>1.17</v>
      </c>
      <c r="F3180" s="93">
        <v>76.52</v>
      </c>
      <c r="G3180" s="93">
        <v>0</v>
      </c>
      <c r="H3180" s="93">
        <v>0</v>
      </c>
      <c r="N3180" s="88"/>
      <c r="O3180" s="88"/>
      <c r="P3180" s="88"/>
    </row>
    <row r="3181" spans="1:16">
      <c r="A3181" s="94">
        <v>89775</v>
      </c>
      <c r="B3181" s="87" t="s">
        <v>2837</v>
      </c>
      <c r="C3181" s="12" t="s">
        <v>6</v>
      </c>
      <c r="D3181" s="93">
        <v>122.54</v>
      </c>
      <c r="E3181" s="93">
        <v>1.41</v>
      </c>
      <c r="F3181" s="93">
        <v>121.13</v>
      </c>
      <c r="G3181" s="93">
        <v>0</v>
      </c>
      <c r="H3181" s="93">
        <v>0</v>
      </c>
      <c r="N3181" s="88"/>
      <c r="O3181" s="88"/>
      <c r="P3181" s="88"/>
    </row>
    <row r="3182" spans="1:16">
      <c r="A3182" s="94">
        <v>89798</v>
      </c>
      <c r="B3182" s="87" t="s">
        <v>2838</v>
      </c>
      <c r="C3182" s="12" t="s">
        <v>6</v>
      </c>
      <c r="D3182" s="93">
        <v>8.74</v>
      </c>
      <c r="E3182" s="93">
        <v>1.44</v>
      </c>
      <c r="F3182" s="93">
        <v>7.3</v>
      </c>
      <c r="G3182" s="93">
        <v>0</v>
      </c>
      <c r="H3182" s="93">
        <v>0</v>
      </c>
      <c r="N3182" s="88"/>
      <c r="O3182" s="88"/>
      <c r="P3182" s="88"/>
    </row>
    <row r="3183" spans="1:16">
      <c r="A3183" s="94">
        <v>89799</v>
      </c>
      <c r="B3183" s="87" t="s">
        <v>2839</v>
      </c>
      <c r="C3183" s="12" t="s">
        <v>6</v>
      </c>
      <c r="D3183" s="93">
        <v>14.52</v>
      </c>
      <c r="E3183" s="93">
        <v>3.2</v>
      </c>
      <c r="F3183" s="93">
        <v>11.32</v>
      </c>
      <c r="G3183" s="93">
        <v>0</v>
      </c>
      <c r="H3183" s="93">
        <v>0</v>
      </c>
      <c r="N3183" s="88"/>
      <c r="O3183" s="88"/>
      <c r="P3183" s="88"/>
    </row>
    <row r="3184" spans="1:16">
      <c r="A3184" s="94">
        <v>89800</v>
      </c>
      <c r="B3184" s="87" t="s">
        <v>2840</v>
      </c>
      <c r="C3184" s="12" t="s">
        <v>6</v>
      </c>
      <c r="D3184" s="93">
        <v>18.190000000000001</v>
      </c>
      <c r="E3184" s="93">
        <v>4.67</v>
      </c>
      <c r="F3184" s="93">
        <v>13.52</v>
      </c>
      <c r="G3184" s="93">
        <v>0</v>
      </c>
      <c r="H3184" s="93">
        <v>0</v>
      </c>
      <c r="N3184" s="88"/>
      <c r="O3184" s="88"/>
      <c r="P3184" s="88"/>
    </row>
    <row r="3185" spans="1:16">
      <c r="A3185" s="94">
        <v>89848</v>
      </c>
      <c r="B3185" s="87" t="s">
        <v>2841</v>
      </c>
      <c r="C3185" s="12" t="s">
        <v>6</v>
      </c>
      <c r="D3185" s="93">
        <v>22.69</v>
      </c>
      <c r="E3185" s="93">
        <v>7.88</v>
      </c>
      <c r="F3185" s="93">
        <v>14.81</v>
      </c>
      <c r="G3185" s="93">
        <v>0</v>
      </c>
      <c r="H3185" s="93">
        <v>0</v>
      </c>
      <c r="N3185" s="88"/>
      <c r="O3185" s="88"/>
      <c r="P3185" s="88"/>
    </row>
    <row r="3186" spans="1:16">
      <c r="A3186" s="94">
        <v>89849</v>
      </c>
      <c r="B3186" s="87" t="s">
        <v>2842</v>
      </c>
      <c r="C3186" s="12" t="s">
        <v>6</v>
      </c>
      <c r="D3186" s="93">
        <v>43.2</v>
      </c>
      <c r="E3186" s="93">
        <v>10.79</v>
      </c>
      <c r="F3186" s="93">
        <v>32.409999999999997</v>
      </c>
      <c r="G3186" s="93">
        <v>0</v>
      </c>
      <c r="H3186" s="93">
        <v>0</v>
      </c>
      <c r="N3186" s="88"/>
      <c r="O3186" s="88"/>
      <c r="P3186" s="88"/>
    </row>
    <row r="3187" spans="1:16">
      <c r="A3187" s="94">
        <v>89865</v>
      </c>
      <c r="B3187" s="87" t="s">
        <v>272</v>
      </c>
      <c r="C3187" s="12" t="s">
        <v>6</v>
      </c>
      <c r="D3187" s="93">
        <v>10.37</v>
      </c>
      <c r="E3187" s="93">
        <v>5.56</v>
      </c>
      <c r="F3187" s="93">
        <v>4.8099999999999996</v>
      </c>
      <c r="G3187" s="93">
        <v>0</v>
      </c>
      <c r="H3187" s="93">
        <v>0</v>
      </c>
      <c r="N3187" s="88"/>
      <c r="O3187" s="88"/>
      <c r="P3187" s="88"/>
    </row>
    <row r="3188" spans="1:16">
      <c r="A3188" s="94">
        <v>91784</v>
      </c>
      <c r="B3188" s="87" t="s">
        <v>273</v>
      </c>
      <c r="C3188" s="12" t="s">
        <v>6</v>
      </c>
      <c r="D3188" s="93">
        <v>34.74</v>
      </c>
      <c r="E3188" s="93">
        <v>21.42</v>
      </c>
      <c r="F3188" s="93">
        <v>13.32</v>
      </c>
      <c r="G3188" s="93">
        <v>0</v>
      </c>
      <c r="H3188" s="93">
        <v>0</v>
      </c>
      <c r="N3188" s="88"/>
      <c r="O3188" s="88"/>
      <c r="P3188" s="88"/>
    </row>
    <row r="3189" spans="1:16">
      <c r="A3189" s="94">
        <v>91785</v>
      </c>
      <c r="B3189" s="87" t="s">
        <v>274</v>
      </c>
      <c r="C3189" s="12" t="s">
        <v>6</v>
      </c>
      <c r="D3189" s="93">
        <v>34.33</v>
      </c>
      <c r="E3189" s="93">
        <v>20.74</v>
      </c>
      <c r="F3189" s="93">
        <v>13.59</v>
      </c>
      <c r="G3189" s="93">
        <v>0</v>
      </c>
      <c r="H3189" s="93">
        <v>0</v>
      </c>
      <c r="N3189" s="88"/>
      <c r="O3189" s="88"/>
      <c r="P3189" s="88"/>
    </row>
    <row r="3190" spans="1:16">
      <c r="A3190" s="94">
        <v>91786</v>
      </c>
      <c r="B3190" s="87" t="s">
        <v>2843</v>
      </c>
      <c r="C3190" s="12" t="s">
        <v>6</v>
      </c>
      <c r="D3190" s="93">
        <v>22.68</v>
      </c>
      <c r="E3190" s="93">
        <v>7.89</v>
      </c>
      <c r="F3190" s="93">
        <v>14.79</v>
      </c>
      <c r="G3190" s="93">
        <v>0</v>
      </c>
      <c r="H3190" s="93">
        <v>0</v>
      </c>
      <c r="N3190" s="88"/>
      <c r="O3190" s="88"/>
      <c r="P3190" s="88"/>
    </row>
    <row r="3191" spans="1:16">
      <c r="A3191" s="94">
        <v>91787</v>
      </c>
      <c r="B3191" s="87" t="s">
        <v>2844</v>
      </c>
      <c r="C3191" s="12" t="s">
        <v>6</v>
      </c>
      <c r="D3191" s="93">
        <v>24.69</v>
      </c>
      <c r="E3191" s="93">
        <v>3.48</v>
      </c>
      <c r="F3191" s="93">
        <v>21.21</v>
      </c>
      <c r="G3191" s="93">
        <v>0</v>
      </c>
      <c r="H3191" s="93">
        <v>0</v>
      </c>
      <c r="N3191" s="88"/>
      <c r="O3191" s="88"/>
      <c r="P3191" s="88"/>
    </row>
    <row r="3192" spans="1:16">
      <c r="A3192" s="94">
        <v>91788</v>
      </c>
      <c r="B3192" s="87" t="s">
        <v>2845</v>
      </c>
      <c r="C3192" s="12" t="s">
        <v>6</v>
      </c>
      <c r="D3192" s="93">
        <v>31.78</v>
      </c>
      <c r="E3192" s="93">
        <v>6.17</v>
      </c>
      <c r="F3192" s="93">
        <v>25.61</v>
      </c>
      <c r="G3192" s="93">
        <v>0</v>
      </c>
      <c r="H3192" s="93">
        <v>0</v>
      </c>
      <c r="N3192" s="88"/>
      <c r="O3192" s="88"/>
      <c r="P3192" s="88"/>
    </row>
    <row r="3193" spans="1:16">
      <c r="A3193" s="94">
        <v>91789</v>
      </c>
      <c r="B3193" s="87" t="s">
        <v>275</v>
      </c>
      <c r="C3193" s="12" t="s">
        <v>6</v>
      </c>
      <c r="D3193" s="93">
        <v>32.46</v>
      </c>
      <c r="E3193" s="93">
        <v>5.34</v>
      </c>
      <c r="F3193" s="93">
        <v>27.12</v>
      </c>
      <c r="G3193" s="93">
        <v>0</v>
      </c>
      <c r="H3193" s="93">
        <v>0</v>
      </c>
      <c r="N3193" s="88"/>
      <c r="O3193" s="88"/>
      <c r="P3193" s="88"/>
    </row>
    <row r="3194" spans="1:16">
      <c r="A3194" s="94">
        <v>91790</v>
      </c>
      <c r="B3194" s="87" t="s">
        <v>2846</v>
      </c>
      <c r="C3194" s="12" t="s">
        <v>6</v>
      </c>
      <c r="D3194" s="93">
        <v>49.59</v>
      </c>
      <c r="E3194" s="93">
        <v>10.31</v>
      </c>
      <c r="F3194" s="93">
        <v>39.28</v>
      </c>
      <c r="G3194" s="93">
        <v>0</v>
      </c>
      <c r="H3194" s="93">
        <v>0</v>
      </c>
      <c r="N3194" s="88"/>
      <c r="O3194" s="88"/>
      <c r="P3194" s="88"/>
    </row>
    <row r="3195" spans="1:16">
      <c r="A3195" s="94">
        <v>91791</v>
      </c>
      <c r="B3195" s="87" t="s">
        <v>276</v>
      </c>
      <c r="C3195" s="12" t="s">
        <v>6</v>
      </c>
      <c r="D3195" s="93">
        <v>63.47</v>
      </c>
      <c r="E3195" s="93">
        <v>5.69</v>
      </c>
      <c r="F3195" s="93">
        <v>57.78</v>
      </c>
      <c r="G3195" s="93">
        <v>0</v>
      </c>
      <c r="H3195" s="93">
        <v>0</v>
      </c>
      <c r="N3195" s="88"/>
      <c r="O3195" s="88"/>
      <c r="P3195" s="88"/>
    </row>
    <row r="3196" spans="1:16">
      <c r="A3196" s="94">
        <v>91792</v>
      </c>
      <c r="B3196" s="87" t="s">
        <v>2847</v>
      </c>
      <c r="C3196" s="12" t="s">
        <v>6</v>
      </c>
      <c r="D3196" s="93">
        <v>45.19</v>
      </c>
      <c r="E3196" s="93">
        <v>26.59</v>
      </c>
      <c r="F3196" s="93">
        <v>18.600000000000001</v>
      </c>
      <c r="G3196" s="93">
        <v>0</v>
      </c>
      <c r="H3196" s="93">
        <v>0</v>
      </c>
      <c r="N3196" s="88"/>
      <c r="O3196" s="88"/>
      <c r="P3196" s="88"/>
    </row>
    <row r="3197" spans="1:16">
      <c r="A3197" s="94">
        <v>91793</v>
      </c>
      <c r="B3197" s="87" t="s">
        <v>2848</v>
      </c>
      <c r="C3197" s="12" t="s">
        <v>6</v>
      </c>
      <c r="D3197" s="93">
        <v>67.53</v>
      </c>
      <c r="E3197" s="93">
        <v>32.729999999999997</v>
      </c>
      <c r="F3197" s="93">
        <v>34.799999999999997</v>
      </c>
      <c r="G3197" s="93">
        <v>0</v>
      </c>
      <c r="H3197" s="93">
        <v>0</v>
      </c>
      <c r="N3197" s="88"/>
      <c r="O3197" s="88"/>
      <c r="P3197" s="88"/>
    </row>
    <row r="3198" spans="1:16">
      <c r="A3198" s="94">
        <v>91794</v>
      </c>
      <c r="B3198" s="87" t="s">
        <v>2849</v>
      </c>
      <c r="C3198" s="12" t="s">
        <v>6</v>
      </c>
      <c r="D3198" s="93">
        <v>30.34</v>
      </c>
      <c r="E3198" s="93">
        <v>10.039999999999999</v>
      </c>
      <c r="F3198" s="93">
        <v>20.3</v>
      </c>
      <c r="G3198" s="93">
        <v>0</v>
      </c>
      <c r="H3198" s="93">
        <v>0</v>
      </c>
      <c r="N3198" s="88"/>
      <c r="O3198" s="88"/>
      <c r="P3198" s="88"/>
    </row>
    <row r="3199" spans="1:16">
      <c r="A3199" s="94">
        <v>91795</v>
      </c>
      <c r="B3199" s="87" t="s">
        <v>2850</v>
      </c>
      <c r="C3199" s="12" t="s">
        <v>6</v>
      </c>
      <c r="D3199" s="93">
        <v>51.67</v>
      </c>
      <c r="E3199" s="93">
        <v>19.36</v>
      </c>
      <c r="F3199" s="93">
        <v>32.31</v>
      </c>
      <c r="G3199" s="93">
        <v>0</v>
      </c>
      <c r="H3199" s="93">
        <v>0</v>
      </c>
      <c r="N3199" s="88"/>
      <c r="O3199" s="88"/>
      <c r="P3199" s="88"/>
    </row>
    <row r="3200" spans="1:16">
      <c r="A3200" s="94">
        <v>91796</v>
      </c>
      <c r="B3200" s="87" t="s">
        <v>2851</v>
      </c>
      <c r="C3200" s="12" t="s">
        <v>6</v>
      </c>
      <c r="D3200" s="93">
        <v>54.33</v>
      </c>
      <c r="E3200" s="93">
        <v>16.93</v>
      </c>
      <c r="F3200" s="93">
        <v>37.4</v>
      </c>
      <c r="G3200" s="93">
        <v>0</v>
      </c>
      <c r="H3200" s="93">
        <v>0</v>
      </c>
      <c r="N3200" s="88"/>
      <c r="O3200" s="88"/>
      <c r="P3200" s="88"/>
    </row>
    <row r="3201" spans="1:16">
      <c r="A3201" s="94">
        <v>92275</v>
      </c>
      <c r="B3201" s="87" t="s">
        <v>2852</v>
      </c>
      <c r="C3201" s="12" t="s">
        <v>6</v>
      </c>
      <c r="D3201" s="93">
        <v>39.619999999999997</v>
      </c>
      <c r="E3201" s="93">
        <v>1.35</v>
      </c>
      <c r="F3201" s="93">
        <v>38.270000000000003</v>
      </c>
      <c r="G3201" s="93">
        <v>0</v>
      </c>
      <c r="H3201" s="93">
        <v>0</v>
      </c>
      <c r="N3201" s="88"/>
      <c r="O3201" s="88"/>
      <c r="P3201" s="88"/>
    </row>
    <row r="3202" spans="1:16">
      <c r="A3202" s="94">
        <v>92276</v>
      </c>
      <c r="B3202" s="87" t="s">
        <v>2853</v>
      </c>
      <c r="C3202" s="12" t="s">
        <v>6</v>
      </c>
      <c r="D3202" s="93">
        <v>50.14</v>
      </c>
      <c r="E3202" s="93">
        <v>1.61</v>
      </c>
      <c r="F3202" s="93">
        <v>48.53</v>
      </c>
      <c r="G3202" s="93">
        <v>0</v>
      </c>
      <c r="H3202" s="93">
        <v>0</v>
      </c>
      <c r="N3202" s="88"/>
      <c r="O3202" s="88"/>
      <c r="P3202" s="88"/>
    </row>
    <row r="3203" spans="1:16">
      <c r="A3203" s="94">
        <v>92277</v>
      </c>
      <c r="B3203" s="87" t="s">
        <v>2854</v>
      </c>
      <c r="C3203" s="12" t="s">
        <v>6</v>
      </c>
      <c r="D3203" s="93">
        <v>72.25</v>
      </c>
      <c r="E3203" s="93">
        <v>1.9</v>
      </c>
      <c r="F3203" s="93">
        <v>70.349999999999994</v>
      </c>
      <c r="G3203" s="93">
        <v>0</v>
      </c>
      <c r="H3203" s="93">
        <v>0</v>
      </c>
      <c r="N3203" s="88"/>
      <c r="O3203" s="88"/>
      <c r="P3203" s="88"/>
    </row>
    <row r="3204" spans="1:16">
      <c r="A3204" s="94">
        <v>92278</v>
      </c>
      <c r="B3204" s="87" t="s">
        <v>2855</v>
      </c>
      <c r="C3204" s="12" t="s">
        <v>6</v>
      </c>
      <c r="D3204" s="93">
        <v>97.08</v>
      </c>
      <c r="E3204" s="93">
        <v>2.2000000000000002</v>
      </c>
      <c r="F3204" s="93">
        <v>94.88</v>
      </c>
      <c r="G3204" s="93">
        <v>0</v>
      </c>
      <c r="H3204" s="93">
        <v>0</v>
      </c>
      <c r="N3204" s="88"/>
      <c r="O3204" s="88"/>
      <c r="P3204" s="88"/>
    </row>
    <row r="3205" spans="1:16">
      <c r="A3205" s="94">
        <v>92279</v>
      </c>
      <c r="B3205" s="87" t="s">
        <v>2856</v>
      </c>
      <c r="C3205" s="12" t="s">
        <v>6</v>
      </c>
      <c r="D3205" s="93">
        <v>140.19</v>
      </c>
      <c r="E3205" s="93">
        <v>2.72</v>
      </c>
      <c r="F3205" s="93">
        <v>137.47</v>
      </c>
      <c r="G3205" s="93">
        <v>0</v>
      </c>
      <c r="H3205" s="93">
        <v>0</v>
      </c>
      <c r="N3205" s="88"/>
      <c r="O3205" s="88"/>
      <c r="P3205" s="88"/>
    </row>
    <row r="3206" spans="1:16">
      <c r="A3206" s="94">
        <v>92280</v>
      </c>
      <c r="B3206" s="87" t="s">
        <v>2857</v>
      </c>
      <c r="C3206" s="12" t="s">
        <v>6</v>
      </c>
      <c r="D3206" s="93">
        <v>196.71</v>
      </c>
      <c r="E3206" s="93">
        <v>3.22</v>
      </c>
      <c r="F3206" s="93">
        <v>193.49</v>
      </c>
      <c r="G3206" s="93">
        <v>0</v>
      </c>
      <c r="H3206" s="93">
        <v>0</v>
      </c>
      <c r="N3206" s="88"/>
      <c r="O3206" s="88"/>
      <c r="P3206" s="88"/>
    </row>
    <row r="3207" spans="1:16">
      <c r="A3207" s="94">
        <v>92281</v>
      </c>
      <c r="B3207" s="87" t="s">
        <v>2858</v>
      </c>
      <c r="C3207" s="12" t="s">
        <v>6</v>
      </c>
      <c r="D3207" s="93">
        <v>106.44</v>
      </c>
      <c r="E3207" s="93">
        <v>2</v>
      </c>
      <c r="F3207" s="93">
        <v>104.44</v>
      </c>
      <c r="G3207" s="93">
        <v>0</v>
      </c>
      <c r="H3207" s="93">
        <v>0</v>
      </c>
      <c r="N3207" s="88"/>
      <c r="O3207" s="88"/>
      <c r="P3207" s="88"/>
    </row>
    <row r="3208" spans="1:16">
      <c r="A3208" s="94">
        <v>92282</v>
      </c>
      <c r="B3208" s="87" t="s">
        <v>2859</v>
      </c>
      <c r="C3208" s="12" t="s">
        <v>6</v>
      </c>
      <c r="D3208" s="93">
        <v>119.67</v>
      </c>
      <c r="E3208" s="93">
        <v>2.23</v>
      </c>
      <c r="F3208" s="93">
        <v>117.44</v>
      </c>
      <c r="G3208" s="93">
        <v>0</v>
      </c>
      <c r="H3208" s="93">
        <v>0</v>
      </c>
      <c r="N3208" s="88"/>
      <c r="O3208" s="88"/>
      <c r="P3208" s="88"/>
    </row>
    <row r="3209" spans="1:16">
      <c r="A3209" s="94">
        <v>92283</v>
      </c>
      <c r="B3209" s="87" t="s">
        <v>2860</v>
      </c>
      <c r="C3209" s="12" t="s">
        <v>6</v>
      </c>
      <c r="D3209" s="93">
        <v>160.12</v>
      </c>
      <c r="E3209" s="93">
        <v>2.5099999999999998</v>
      </c>
      <c r="F3209" s="93">
        <v>157.61000000000001</v>
      </c>
      <c r="G3209" s="93">
        <v>0</v>
      </c>
      <c r="H3209" s="93">
        <v>0</v>
      </c>
      <c r="N3209" s="88"/>
      <c r="O3209" s="88"/>
      <c r="P3209" s="88"/>
    </row>
    <row r="3210" spans="1:16">
      <c r="A3210" s="94">
        <v>92284</v>
      </c>
      <c r="B3210" s="87" t="s">
        <v>2861</v>
      </c>
      <c r="C3210" s="12" t="s">
        <v>6</v>
      </c>
      <c r="D3210" s="93">
        <v>197.29</v>
      </c>
      <c r="E3210" s="93">
        <v>2.85</v>
      </c>
      <c r="F3210" s="93">
        <v>194.44</v>
      </c>
      <c r="G3210" s="93">
        <v>0</v>
      </c>
      <c r="H3210" s="93">
        <v>0</v>
      </c>
      <c r="N3210" s="88"/>
      <c r="O3210" s="88"/>
      <c r="P3210" s="88"/>
    </row>
    <row r="3211" spans="1:16">
      <c r="A3211" s="94">
        <v>92285</v>
      </c>
      <c r="B3211" s="87" t="s">
        <v>2862</v>
      </c>
      <c r="C3211" s="12" t="s">
        <v>6</v>
      </c>
      <c r="D3211" s="93">
        <v>259.91000000000003</v>
      </c>
      <c r="E3211" s="93">
        <v>3.34</v>
      </c>
      <c r="F3211" s="93">
        <v>256.57</v>
      </c>
      <c r="G3211" s="93">
        <v>0</v>
      </c>
      <c r="H3211" s="93">
        <v>0</v>
      </c>
      <c r="N3211" s="88"/>
      <c r="O3211" s="88"/>
      <c r="P3211" s="88"/>
    </row>
    <row r="3212" spans="1:16">
      <c r="A3212" s="94">
        <v>92286</v>
      </c>
      <c r="B3212" s="87" t="s">
        <v>2863</v>
      </c>
      <c r="C3212" s="12" t="s">
        <v>6</v>
      </c>
      <c r="D3212" s="93">
        <v>318.12</v>
      </c>
      <c r="E3212" s="93">
        <v>3.82</v>
      </c>
      <c r="F3212" s="93">
        <v>314.3</v>
      </c>
      <c r="G3212" s="93">
        <v>0</v>
      </c>
      <c r="H3212" s="93">
        <v>0</v>
      </c>
      <c r="N3212" s="88"/>
      <c r="O3212" s="88"/>
      <c r="P3212" s="88"/>
    </row>
    <row r="3213" spans="1:16">
      <c r="A3213" s="94">
        <v>92305</v>
      </c>
      <c r="B3213" s="87" t="s">
        <v>2864</v>
      </c>
      <c r="C3213" s="12" t="s">
        <v>6</v>
      </c>
      <c r="D3213" s="93">
        <v>26.68</v>
      </c>
      <c r="E3213" s="93">
        <v>3.62</v>
      </c>
      <c r="F3213" s="93">
        <v>23.06</v>
      </c>
      <c r="G3213" s="93">
        <v>0</v>
      </c>
      <c r="H3213" s="93">
        <v>0</v>
      </c>
      <c r="N3213" s="88"/>
      <c r="O3213" s="88"/>
      <c r="P3213" s="88"/>
    </row>
    <row r="3214" spans="1:16">
      <c r="A3214" s="94">
        <v>92306</v>
      </c>
      <c r="B3214" s="87" t="s">
        <v>2865</v>
      </c>
      <c r="C3214" s="12" t="s">
        <v>6</v>
      </c>
      <c r="D3214" s="93">
        <v>43.25</v>
      </c>
      <c r="E3214" s="93">
        <v>4.1900000000000004</v>
      </c>
      <c r="F3214" s="93">
        <v>39.06</v>
      </c>
      <c r="G3214" s="93">
        <v>0</v>
      </c>
      <c r="H3214" s="93">
        <v>0</v>
      </c>
      <c r="N3214" s="88"/>
      <c r="O3214" s="88"/>
      <c r="P3214" s="88"/>
    </row>
    <row r="3215" spans="1:16">
      <c r="A3215" s="94">
        <v>92307</v>
      </c>
      <c r="B3215" s="87" t="s">
        <v>2866</v>
      </c>
      <c r="C3215" s="12" t="s">
        <v>6</v>
      </c>
      <c r="D3215" s="93">
        <v>54.04</v>
      </c>
      <c r="E3215" s="93">
        <v>4.6500000000000004</v>
      </c>
      <c r="F3215" s="93">
        <v>49.39</v>
      </c>
      <c r="G3215" s="93">
        <v>0</v>
      </c>
      <c r="H3215" s="93">
        <v>0</v>
      </c>
      <c r="N3215" s="88"/>
      <c r="O3215" s="88"/>
      <c r="P3215" s="88"/>
    </row>
    <row r="3216" spans="1:16">
      <c r="A3216" s="94">
        <v>92308</v>
      </c>
      <c r="B3216" s="87" t="s">
        <v>2867</v>
      </c>
      <c r="C3216" s="12" t="s">
        <v>6</v>
      </c>
      <c r="D3216" s="93">
        <v>42.66</v>
      </c>
      <c r="E3216" s="93">
        <v>5.68</v>
      </c>
      <c r="F3216" s="93">
        <v>36.979999999999997</v>
      </c>
      <c r="G3216" s="93">
        <v>0</v>
      </c>
      <c r="H3216" s="93">
        <v>0</v>
      </c>
      <c r="N3216" s="88"/>
      <c r="O3216" s="88"/>
      <c r="P3216" s="88"/>
    </row>
    <row r="3217" spans="1:16">
      <c r="A3217" s="94">
        <v>92309</v>
      </c>
      <c r="B3217" s="87" t="s">
        <v>2868</v>
      </c>
      <c r="C3217" s="12" t="s">
        <v>6</v>
      </c>
      <c r="D3217" s="93">
        <v>111.91</v>
      </c>
      <c r="E3217" s="93">
        <v>6.25</v>
      </c>
      <c r="F3217" s="93">
        <v>105.66</v>
      </c>
      <c r="G3217" s="93">
        <v>0</v>
      </c>
      <c r="H3217" s="93">
        <v>0</v>
      </c>
      <c r="N3217" s="88"/>
      <c r="O3217" s="88"/>
      <c r="P3217" s="88"/>
    </row>
    <row r="3218" spans="1:16">
      <c r="A3218" s="94">
        <v>92310</v>
      </c>
      <c r="B3218" s="87" t="s">
        <v>2869</v>
      </c>
      <c r="C3218" s="12" t="s">
        <v>6</v>
      </c>
      <c r="D3218" s="93">
        <v>125.43</v>
      </c>
      <c r="E3218" s="93">
        <v>6.72</v>
      </c>
      <c r="F3218" s="93">
        <v>118.71</v>
      </c>
      <c r="G3218" s="93">
        <v>0</v>
      </c>
      <c r="H3218" s="93">
        <v>0</v>
      </c>
      <c r="N3218" s="88"/>
      <c r="O3218" s="88"/>
      <c r="P3218" s="88"/>
    </row>
    <row r="3219" spans="1:16">
      <c r="A3219" s="94">
        <v>92320</v>
      </c>
      <c r="B3219" s="87" t="s">
        <v>2870</v>
      </c>
      <c r="C3219" s="12" t="s">
        <v>6</v>
      </c>
      <c r="D3219" s="93">
        <v>34.65</v>
      </c>
      <c r="E3219" s="93">
        <v>9.86</v>
      </c>
      <c r="F3219" s="93">
        <v>24.79</v>
      </c>
      <c r="G3219" s="93">
        <v>0</v>
      </c>
      <c r="H3219" s="93">
        <v>0</v>
      </c>
      <c r="N3219" s="88"/>
      <c r="O3219" s="88"/>
      <c r="P3219" s="88"/>
    </row>
    <row r="3220" spans="1:16">
      <c r="A3220" s="94">
        <v>92321</v>
      </c>
      <c r="B3220" s="87" t="s">
        <v>2871</v>
      </c>
      <c r="C3220" s="12" t="s">
        <v>6</v>
      </c>
      <c r="D3220" s="93">
        <v>56.95</v>
      </c>
      <c r="E3220" s="93">
        <v>14.87</v>
      </c>
      <c r="F3220" s="93">
        <v>42.08</v>
      </c>
      <c r="G3220" s="93">
        <v>0</v>
      </c>
      <c r="H3220" s="93">
        <v>0</v>
      </c>
      <c r="N3220" s="88"/>
      <c r="O3220" s="88"/>
      <c r="P3220" s="88"/>
    </row>
    <row r="3221" spans="1:16">
      <c r="A3221" s="94">
        <v>92322</v>
      </c>
      <c r="B3221" s="87" t="s">
        <v>2872</v>
      </c>
      <c r="C3221" s="12" t="s">
        <v>6</v>
      </c>
      <c r="D3221" s="93">
        <v>72.72</v>
      </c>
      <c r="E3221" s="93">
        <v>19.22</v>
      </c>
      <c r="F3221" s="93">
        <v>53.5</v>
      </c>
      <c r="G3221" s="93">
        <v>0</v>
      </c>
      <c r="H3221" s="93">
        <v>0</v>
      </c>
      <c r="N3221" s="88"/>
      <c r="O3221" s="88"/>
      <c r="P3221" s="88"/>
    </row>
    <row r="3222" spans="1:16">
      <c r="A3222" s="94">
        <v>92323</v>
      </c>
      <c r="B3222" s="87" t="s">
        <v>2873</v>
      </c>
      <c r="C3222" s="12" t="s">
        <v>6</v>
      </c>
      <c r="D3222" s="93">
        <v>48.73</v>
      </c>
      <c r="E3222" s="93">
        <v>10.41</v>
      </c>
      <c r="F3222" s="93">
        <v>38.32</v>
      </c>
      <c r="G3222" s="93">
        <v>0</v>
      </c>
      <c r="H3222" s="93">
        <v>0</v>
      </c>
      <c r="N3222" s="88"/>
      <c r="O3222" s="88"/>
      <c r="P3222" s="88"/>
    </row>
    <row r="3223" spans="1:16">
      <c r="A3223" s="94">
        <v>92324</v>
      </c>
      <c r="B3223" s="87" t="s">
        <v>2874</v>
      </c>
      <c r="C3223" s="12" t="s">
        <v>6</v>
      </c>
      <c r="D3223" s="93">
        <v>123.71</v>
      </c>
      <c r="E3223" s="93">
        <v>15.45</v>
      </c>
      <c r="F3223" s="93">
        <v>108.26</v>
      </c>
      <c r="G3223" s="93">
        <v>0</v>
      </c>
      <c r="H3223" s="93">
        <v>0</v>
      </c>
      <c r="N3223" s="88"/>
      <c r="O3223" s="88"/>
      <c r="P3223" s="88"/>
    </row>
    <row r="3224" spans="1:16">
      <c r="A3224" s="94">
        <v>92325</v>
      </c>
      <c r="B3224" s="87" t="s">
        <v>2875</v>
      </c>
      <c r="C3224" s="12" t="s">
        <v>6</v>
      </c>
      <c r="D3224" s="93">
        <v>142.18</v>
      </c>
      <c r="E3224" s="93">
        <v>19.77</v>
      </c>
      <c r="F3224" s="93">
        <v>122.41</v>
      </c>
      <c r="G3224" s="93">
        <v>0</v>
      </c>
      <c r="H3224" s="93">
        <v>0</v>
      </c>
      <c r="N3224" s="88"/>
      <c r="O3224" s="88"/>
      <c r="P3224" s="88"/>
    </row>
    <row r="3225" spans="1:16">
      <c r="A3225" s="94">
        <v>92335</v>
      </c>
      <c r="B3225" s="87" t="s">
        <v>5910</v>
      </c>
      <c r="C3225" s="12" t="s">
        <v>6</v>
      </c>
      <c r="D3225" s="93">
        <v>72.19</v>
      </c>
      <c r="E3225" s="93">
        <v>7.72</v>
      </c>
      <c r="F3225" s="93">
        <v>64.47</v>
      </c>
      <c r="G3225" s="93">
        <v>0</v>
      </c>
      <c r="H3225" s="93">
        <v>0</v>
      </c>
      <c r="N3225" s="88"/>
      <c r="O3225" s="88"/>
      <c r="P3225" s="88"/>
    </row>
    <row r="3226" spans="1:16">
      <c r="A3226" s="94">
        <v>92336</v>
      </c>
      <c r="B3226" s="87" t="s">
        <v>5911</v>
      </c>
      <c r="C3226" s="12" t="s">
        <v>6</v>
      </c>
      <c r="D3226" s="93">
        <v>88.73</v>
      </c>
      <c r="E3226" s="93">
        <v>8.91</v>
      </c>
      <c r="F3226" s="93">
        <v>79.819999999999993</v>
      </c>
      <c r="G3226" s="93">
        <v>0</v>
      </c>
      <c r="H3226" s="93">
        <v>0</v>
      </c>
      <c r="N3226" s="88"/>
      <c r="O3226" s="88"/>
      <c r="P3226" s="88"/>
    </row>
    <row r="3227" spans="1:16">
      <c r="A3227" s="94">
        <v>92337</v>
      </c>
      <c r="B3227" s="87" t="s">
        <v>5912</v>
      </c>
      <c r="C3227" s="12" t="s">
        <v>6</v>
      </c>
      <c r="D3227" s="93">
        <v>116.93</v>
      </c>
      <c r="E3227" s="93">
        <v>10.08</v>
      </c>
      <c r="F3227" s="93">
        <v>106.85</v>
      </c>
      <c r="G3227" s="93">
        <v>0</v>
      </c>
      <c r="H3227" s="93">
        <v>0</v>
      </c>
      <c r="N3227" s="88"/>
      <c r="O3227" s="88"/>
      <c r="P3227" s="88"/>
    </row>
    <row r="3228" spans="1:16">
      <c r="A3228" s="94">
        <v>92338</v>
      </c>
      <c r="B3228" s="87" t="s">
        <v>5913</v>
      </c>
      <c r="C3228" s="12" t="s">
        <v>6</v>
      </c>
      <c r="D3228" s="93">
        <v>92.55</v>
      </c>
      <c r="E3228" s="93">
        <v>17.43</v>
      </c>
      <c r="F3228" s="93">
        <v>75.12</v>
      </c>
      <c r="G3228" s="93">
        <v>0</v>
      </c>
      <c r="H3228" s="93">
        <v>0</v>
      </c>
      <c r="N3228" s="88"/>
      <c r="O3228" s="88"/>
      <c r="P3228" s="88"/>
    </row>
    <row r="3229" spans="1:16">
      <c r="A3229" s="94">
        <v>92339</v>
      </c>
      <c r="B3229" s="87" t="s">
        <v>5914</v>
      </c>
      <c r="C3229" s="12" t="s">
        <v>6</v>
      </c>
      <c r="D3229" s="93">
        <v>138.41999999999999</v>
      </c>
      <c r="E3229" s="93">
        <v>19.32</v>
      </c>
      <c r="F3229" s="93">
        <v>119.1</v>
      </c>
      <c r="G3229" s="93">
        <v>0</v>
      </c>
      <c r="H3229" s="93">
        <v>0</v>
      </c>
      <c r="N3229" s="88"/>
      <c r="O3229" s="88"/>
      <c r="P3229" s="88"/>
    </row>
    <row r="3230" spans="1:16">
      <c r="A3230" s="94">
        <v>92341</v>
      </c>
      <c r="B3230" s="87" t="s">
        <v>5915</v>
      </c>
      <c r="C3230" s="12" t="s">
        <v>6</v>
      </c>
      <c r="D3230" s="93">
        <v>80.14</v>
      </c>
      <c r="E3230" s="93">
        <v>13.94</v>
      </c>
      <c r="F3230" s="93">
        <v>66.2</v>
      </c>
      <c r="G3230" s="93">
        <v>0</v>
      </c>
      <c r="H3230" s="93">
        <v>0</v>
      </c>
      <c r="N3230" s="88"/>
      <c r="O3230" s="88"/>
      <c r="P3230" s="88"/>
    </row>
    <row r="3231" spans="1:16">
      <c r="A3231" s="94">
        <v>92342</v>
      </c>
      <c r="B3231" s="87" t="s">
        <v>5916</v>
      </c>
      <c r="C3231" s="12" t="s">
        <v>6</v>
      </c>
      <c r="D3231" s="93">
        <v>96.73</v>
      </c>
      <c r="E3231" s="93">
        <v>15.15</v>
      </c>
      <c r="F3231" s="93">
        <v>81.58</v>
      </c>
      <c r="G3231" s="93">
        <v>0</v>
      </c>
      <c r="H3231" s="93">
        <v>0</v>
      </c>
      <c r="N3231" s="88"/>
      <c r="O3231" s="88"/>
      <c r="P3231" s="88"/>
    </row>
    <row r="3232" spans="1:16">
      <c r="A3232" s="94">
        <v>92343</v>
      </c>
      <c r="B3232" s="87" t="s">
        <v>5917</v>
      </c>
      <c r="C3232" s="12" t="s">
        <v>6</v>
      </c>
      <c r="D3232" s="93">
        <v>125.03</v>
      </c>
      <c r="E3232" s="93">
        <v>16.39</v>
      </c>
      <c r="F3232" s="93">
        <v>108.64</v>
      </c>
      <c r="G3232" s="93">
        <v>0</v>
      </c>
      <c r="H3232" s="93">
        <v>0</v>
      </c>
      <c r="N3232" s="88"/>
      <c r="O3232" s="88"/>
      <c r="P3232" s="88"/>
    </row>
    <row r="3233" spans="1:16">
      <c r="A3233" s="94">
        <v>92359</v>
      </c>
      <c r="B3233" s="87" t="s">
        <v>5918</v>
      </c>
      <c r="C3233" s="12" t="s">
        <v>6</v>
      </c>
      <c r="D3233" s="93">
        <v>42.04</v>
      </c>
      <c r="E3233" s="93">
        <v>2.2799999999999998</v>
      </c>
      <c r="F3233" s="93">
        <v>39.76</v>
      </c>
      <c r="G3233" s="93">
        <v>0</v>
      </c>
      <c r="H3233" s="93">
        <v>0</v>
      </c>
      <c r="N3233" s="88"/>
      <c r="O3233" s="88"/>
      <c r="P3233" s="88"/>
    </row>
    <row r="3234" spans="1:16">
      <c r="A3234" s="94">
        <v>92360</v>
      </c>
      <c r="B3234" s="87" t="s">
        <v>5919</v>
      </c>
      <c r="C3234" s="12" t="s">
        <v>6</v>
      </c>
      <c r="D3234" s="93">
        <v>56.15</v>
      </c>
      <c r="E3234" s="93">
        <v>2.91</v>
      </c>
      <c r="F3234" s="93">
        <v>53.24</v>
      </c>
      <c r="G3234" s="93">
        <v>0</v>
      </c>
      <c r="H3234" s="93">
        <v>0</v>
      </c>
      <c r="N3234" s="88"/>
      <c r="O3234" s="88"/>
      <c r="P3234" s="88"/>
    </row>
    <row r="3235" spans="1:16">
      <c r="A3235" s="94">
        <v>92361</v>
      </c>
      <c r="B3235" s="87" t="s">
        <v>5920</v>
      </c>
      <c r="C3235" s="12" t="s">
        <v>6</v>
      </c>
      <c r="D3235" s="93">
        <v>75.97</v>
      </c>
      <c r="E3235" s="93">
        <v>4.59</v>
      </c>
      <c r="F3235" s="93">
        <v>71.38</v>
      </c>
      <c r="G3235" s="93">
        <v>0</v>
      </c>
      <c r="H3235" s="93">
        <v>0</v>
      </c>
      <c r="N3235" s="88"/>
      <c r="O3235" s="88"/>
      <c r="P3235" s="88"/>
    </row>
    <row r="3236" spans="1:16">
      <c r="A3236" s="94">
        <v>92362</v>
      </c>
      <c r="B3236" s="87" t="s">
        <v>5921</v>
      </c>
      <c r="C3236" s="12" t="s">
        <v>6</v>
      </c>
      <c r="D3236" s="93">
        <v>121.17</v>
      </c>
      <c r="E3236" s="93">
        <v>5.97</v>
      </c>
      <c r="F3236" s="93">
        <v>115.2</v>
      </c>
      <c r="G3236" s="93">
        <v>0</v>
      </c>
      <c r="H3236" s="93">
        <v>0</v>
      </c>
      <c r="N3236" s="88"/>
      <c r="O3236" s="88"/>
      <c r="P3236" s="88"/>
    </row>
    <row r="3237" spans="1:16">
      <c r="A3237" s="94">
        <v>92364</v>
      </c>
      <c r="B3237" s="87" t="s">
        <v>5922</v>
      </c>
      <c r="C3237" s="12" t="s">
        <v>6</v>
      </c>
      <c r="D3237" s="93">
        <v>43.82</v>
      </c>
      <c r="E3237" s="93">
        <v>5.17</v>
      </c>
      <c r="F3237" s="93">
        <v>38.65</v>
      </c>
      <c r="G3237" s="93">
        <v>0</v>
      </c>
      <c r="H3237" s="93">
        <v>0</v>
      </c>
      <c r="N3237" s="88"/>
      <c r="O3237" s="88"/>
      <c r="P3237" s="88"/>
    </row>
    <row r="3238" spans="1:16">
      <c r="A3238" s="94">
        <v>92365</v>
      </c>
      <c r="B3238" s="87" t="s">
        <v>5923</v>
      </c>
      <c r="C3238" s="12" t="s">
        <v>6</v>
      </c>
      <c r="D3238" s="93">
        <v>50.43</v>
      </c>
      <c r="E3238" s="93">
        <v>5.64</v>
      </c>
      <c r="F3238" s="93">
        <v>44.79</v>
      </c>
      <c r="G3238" s="93">
        <v>0</v>
      </c>
      <c r="H3238" s="93">
        <v>0</v>
      </c>
      <c r="N3238" s="88"/>
      <c r="O3238" s="88"/>
      <c r="P3238" s="88"/>
    </row>
    <row r="3239" spans="1:16">
      <c r="A3239" s="94">
        <v>92366</v>
      </c>
      <c r="B3239" s="87" t="s">
        <v>5924</v>
      </c>
      <c r="C3239" s="12" t="s">
        <v>6</v>
      </c>
      <c r="D3239" s="93">
        <v>70.3</v>
      </c>
      <c r="E3239" s="93">
        <v>6.25</v>
      </c>
      <c r="F3239" s="93">
        <v>64.05</v>
      </c>
      <c r="G3239" s="93">
        <v>0</v>
      </c>
      <c r="H3239" s="93">
        <v>0</v>
      </c>
      <c r="N3239" s="88"/>
      <c r="O3239" s="88"/>
      <c r="P3239" s="88"/>
    </row>
    <row r="3240" spans="1:16">
      <c r="A3240" s="94">
        <v>92367</v>
      </c>
      <c r="B3240" s="87" t="s">
        <v>5925</v>
      </c>
      <c r="C3240" s="12" t="s">
        <v>6</v>
      </c>
      <c r="D3240" s="93">
        <v>86.44</v>
      </c>
      <c r="E3240" s="93">
        <v>7.13</v>
      </c>
      <c r="F3240" s="93">
        <v>79.31</v>
      </c>
      <c r="G3240" s="93">
        <v>0</v>
      </c>
      <c r="H3240" s="93">
        <v>0</v>
      </c>
      <c r="N3240" s="88"/>
      <c r="O3240" s="88"/>
      <c r="P3240" s="88"/>
    </row>
    <row r="3241" spans="1:16">
      <c r="A3241" s="94">
        <v>92368</v>
      </c>
      <c r="B3241" s="87" t="s">
        <v>5926</v>
      </c>
      <c r="C3241" s="12" t="s">
        <v>6</v>
      </c>
      <c r="D3241" s="93">
        <v>114.31</v>
      </c>
      <c r="E3241" s="93">
        <v>8.0299999999999994</v>
      </c>
      <c r="F3241" s="93">
        <v>106.28</v>
      </c>
      <c r="G3241" s="93">
        <v>0</v>
      </c>
      <c r="H3241" s="93">
        <v>0</v>
      </c>
      <c r="N3241" s="88"/>
      <c r="O3241" s="88"/>
      <c r="P3241" s="88"/>
    </row>
    <row r="3242" spans="1:16">
      <c r="A3242" s="94">
        <v>92645</v>
      </c>
      <c r="B3242" s="87" t="s">
        <v>5927</v>
      </c>
      <c r="C3242" s="12" t="s">
        <v>6</v>
      </c>
      <c r="D3242" s="93">
        <v>45.02</v>
      </c>
      <c r="E3242" s="93">
        <v>4.59</v>
      </c>
      <c r="F3242" s="93">
        <v>40.43</v>
      </c>
      <c r="G3242" s="93">
        <v>0</v>
      </c>
      <c r="H3242" s="93">
        <v>0</v>
      </c>
      <c r="N3242" s="88"/>
      <c r="O3242" s="88"/>
      <c r="P3242" s="88"/>
    </row>
    <row r="3243" spans="1:16">
      <c r="A3243" s="94">
        <v>92646</v>
      </c>
      <c r="B3243" s="87" t="s">
        <v>5928</v>
      </c>
      <c r="C3243" s="12" t="s">
        <v>6</v>
      </c>
      <c r="D3243" s="93">
        <v>59.14</v>
      </c>
      <c r="E3243" s="93">
        <v>5.24</v>
      </c>
      <c r="F3243" s="93">
        <v>53.9</v>
      </c>
      <c r="G3243" s="93">
        <v>0</v>
      </c>
      <c r="H3243" s="93">
        <v>0</v>
      </c>
      <c r="N3243" s="88"/>
      <c r="O3243" s="88"/>
      <c r="P3243" s="88"/>
    </row>
    <row r="3244" spans="1:16">
      <c r="A3244" s="94">
        <v>92648</v>
      </c>
      <c r="B3244" s="87" t="s">
        <v>5929</v>
      </c>
      <c r="C3244" s="12" t="s">
        <v>6</v>
      </c>
      <c r="D3244" s="93">
        <v>64.790000000000006</v>
      </c>
      <c r="E3244" s="93">
        <v>5.97</v>
      </c>
      <c r="F3244" s="93">
        <v>58.82</v>
      </c>
      <c r="G3244" s="93">
        <v>0</v>
      </c>
      <c r="H3244" s="93">
        <v>0</v>
      </c>
      <c r="N3244" s="88"/>
      <c r="O3244" s="88"/>
      <c r="P3244" s="88"/>
    </row>
    <row r="3245" spans="1:16">
      <c r="A3245" s="94">
        <v>92649</v>
      </c>
      <c r="B3245" s="87" t="s">
        <v>5930</v>
      </c>
      <c r="C3245" s="12" t="s">
        <v>6</v>
      </c>
      <c r="D3245" s="93">
        <v>78.95</v>
      </c>
      <c r="E3245" s="93">
        <v>6.91</v>
      </c>
      <c r="F3245" s="93">
        <v>72.040000000000006</v>
      </c>
      <c r="G3245" s="93">
        <v>0</v>
      </c>
      <c r="H3245" s="93">
        <v>0</v>
      </c>
      <c r="N3245" s="88"/>
      <c r="O3245" s="88"/>
      <c r="P3245" s="88"/>
    </row>
    <row r="3246" spans="1:16">
      <c r="A3246" s="94">
        <v>92650</v>
      </c>
      <c r="B3246" s="87" t="s">
        <v>5931</v>
      </c>
      <c r="C3246" s="12" t="s">
        <v>6</v>
      </c>
      <c r="D3246" s="93">
        <v>124.16</v>
      </c>
      <c r="E3246" s="93">
        <v>8.2799999999999994</v>
      </c>
      <c r="F3246" s="93">
        <v>115.88</v>
      </c>
      <c r="G3246" s="93">
        <v>0</v>
      </c>
      <c r="H3246" s="93">
        <v>0</v>
      </c>
      <c r="N3246" s="88"/>
      <c r="O3246" s="88"/>
      <c r="P3246" s="88"/>
    </row>
    <row r="3247" spans="1:16">
      <c r="A3247" s="94">
        <v>92652</v>
      </c>
      <c r="B3247" s="87" t="s">
        <v>5932</v>
      </c>
      <c r="C3247" s="12" t="s">
        <v>6</v>
      </c>
      <c r="D3247" s="93">
        <v>47.46</v>
      </c>
      <c r="E3247" s="93">
        <v>8.01</v>
      </c>
      <c r="F3247" s="93">
        <v>39.450000000000003</v>
      </c>
      <c r="G3247" s="93">
        <v>0</v>
      </c>
      <c r="H3247" s="93">
        <v>0</v>
      </c>
      <c r="N3247" s="88"/>
      <c r="O3247" s="88"/>
      <c r="P3247" s="88"/>
    </row>
    <row r="3248" spans="1:16">
      <c r="A3248" s="94">
        <v>92653</v>
      </c>
      <c r="B3248" s="87" t="s">
        <v>5933</v>
      </c>
      <c r="C3248" s="12" t="s">
        <v>6</v>
      </c>
      <c r="D3248" s="93">
        <v>54.1</v>
      </c>
      <c r="E3248" s="93">
        <v>8.5</v>
      </c>
      <c r="F3248" s="93">
        <v>45.6</v>
      </c>
      <c r="G3248" s="93">
        <v>0</v>
      </c>
      <c r="H3248" s="93">
        <v>0</v>
      </c>
      <c r="N3248" s="88"/>
      <c r="O3248" s="88"/>
      <c r="P3248" s="88"/>
    </row>
    <row r="3249" spans="1:16">
      <c r="A3249" s="94">
        <v>92654</v>
      </c>
      <c r="B3249" s="87" t="s">
        <v>5934</v>
      </c>
      <c r="C3249" s="12" t="s">
        <v>6</v>
      </c>
      <c r="D3249" s="93">
        <v>73.959999999999994</v>
      </c>
      <c r="E3249" s="93">
        <v>9.1199999999999992</v>
      </c>
      <c r="F3249" s="93">
        <v>64.84</v>
      </c>
      <c r="G3249" s="93">
        <v>0</v>
      </c>
      <c r="H3249" s="93">
        <v>0</v>
      </c>
      <c r="N3249" s="88"/>
      <c r="O3249" s="88"/>
      <c r="P3249" s="88"/>
    </row>
    <row r="3250" spans="1:16">
      <c r="A3250" s="94">
        <v>92655</v>
      </c>
      <c r="B3250" s="87" t="s">
        <v>5935</v>
      </c>
      <c r="C3250" s="12" t="s">
        <v>6</v>
      </c>
      <c r="D3250" s="93">
        <v>90.18</v>
      </c>
      <c r="E3250" s="93">
        <v>10.06</v>
      </c>
      <c r="F3250" s="93">
        <v>80.12</v>
      </c>
      <c r="G3250" s="93">
        <v>0</v>
      </c>
      <c r="H3250" s="93">
        <v>0</v>
      </c>
      <c r="N3250" s="88"/>
      <c r="O3250" s="88"/>
      <c r="P3250" s="88"/>
    </row>
    <row r="3251" spans="1:16">
      <c r="A3251" s="94">
        <v>92656</v>
      </c>
      <c r="B3251" s="87" t="s">
        <v>5936</v>
      </c>
      <c r="C3251" s="12" t="s">
        <v>6</v>
      </c>
      <c r="D3251" s="93">
        <v>118.06</v>
      </c>
      <c r="E3251" s="93">
        <v>10.95</v>
      </c>
      <c r="F3251" s="93">
        <v>107.11</v>
      </c>
      <c r="G3251" s="93">
        <v>0</v>
      </c>
      <c r="H3251" s="93">
        <v>0</v>
      </c>
      <c r="N3251" s="88"/>
      <c r="O3251" s="88"/>
      <c r="P3251" s="88"/>
    </row>
    <row r="3252" spans="1:16">
      <c r="A3252" s="94">
        <v>92687</v>
      </c>
      <c r="B3252" s="87" t="s">
        <v>5937</v>
      </c>
      <c r="C3252" s="12" t="s">
        <v>6</v>
      </c>
      <c r="D3252" s="93">
        <v>22.15</v>
      </c>
      <c r="E3252" s="93">
        <v>5.03</v>
      </c>
      <c r="F3252" s="93">
        <v>17.12</v>
      </c>
      <c r="G3252" s="93">
        <v>0</v>
      </c>
      <c r="H3252" s="93">
        <v>0</v>
      </c>
      <c r="N3252" s="88"/>
      <c r="O3252" s="88"/>
      <c r="P3252" s="88"/>
    </row>
    <row r="3253" spans="1:16">
      <c r="A3253" s="94">
        <v>92688</v>
      </c>
      <c r="B3253" s="87" t="s">
        <v>5938</v>
      </c>
      <c r="C3253" s="12" t="s">
        <v>6</v>
      </c>
      <c r="D3253" s="93">
        <v>30.97</v>
      </c>
      <c r="E3253" s="93">
        <v>8.66</v>
      </c>
      <c r="F3253" s="93">
        <v>22.31</v>
      </c>
      <c r="G3253" s="93">
        <v>0</v>
      </c>
      <c r="H3253" s="93">
        <v>0</v>
      </c>
      <c r="N3253" s="88"/>
      <c r="O3253" s="88"/>
      <c r="P3253" s="88"/>
    </row>
    <row r="3254" spans="1:16">
      <c r="A3254" s="94">
        <v>92689</v>
      </c>
      <c r="B3254" s="87" t="s">
        <v>5939</v>
      </c>
      <c r="C3254" s="12" t="s">
        <v>6</v>
      </c>
      <c r="D3254" s="93">
        <v>32.229999999999997</v>
      </c>
      <c r="E3254" s="93">
        <v>5.25</v>
      </c>
      <c r="F3254" s="93">
        <v>26.98</v>
      </c>
      <c r="G3254" s="93">
        <v>0</v>
      </c>
      <c r="H3254" s="93">
        <v>0</v>
      </c>
      <c r="N3254" s="88"/>
      <c r="O3254" s="88"/>
      <c r="P3254" s="88"/>
    </row>
    <row r="3255" spans="1:16">
      <c r="A3255" s="94">
        <v>92690</v>
      </c>
      <c r="B3255" s="87" t="s">
        <v>5940</v>
      </c>
      <c r="C3255" s="12" t="s">
        <v>6</v>
      </c>
      <c r="D3255" s="93">
        <v>46.39</v>
      </c>
      <c r="E3255" s="93">
        <v>9.0299999999999994</v>
      </c>
      <c r="F3255" s="93">
        <v>37.36</v>
      </c>
      <c r="G3255" s="93">
        <v>0</v>
      </c>
      <c r="H3255" s="93">
        <v>0</v>
      </c>
      <c r="N3255" s="88"/>
      <c r="O3255" s="88"/>
      <c r="P3255" s="88"/>
    </row>
    <row r="3256" spans="1:16">
      <c r="A3256" s="94">
        <v>92691</v>
      </c>
      <c r="B3256" s="87" t="s">
        <v>5941</v>
      </c>
      <c r="C3256" s="12" t="s">
        <v>6</v>
      </c>
      <c r="D3256" s="93">
        <v>61.84</v>
      </c>
      <c r="E3256" s="93">
        <v>17.63</v>
      </c>
      <c r="F3256" s="93">
        <v>44.21</v>
      </c>
      <c r="G3256" s="93">
        <v>0</v>
      </c>
      <c r="H3256" s="93">
        <v>0</v>
      </c>
      <c r="N3256" s="88"/>
      <c r="O3256" s="88"/>
      <c r="P3256" s="88"/>
    </row>
    <row r="3257" spans="1:16">
      <c r="A3257" s="94">
        <v>94462</v>
      </c>
      <c r="B3257" s="87" t="s">
        <v>2876</v>
      </c>
      <c r="C3257" s="12" t="s">
        <v>6</v>
      </c>
      <c r="D3257" s="93">
        <v>79.12</v>
      </c>
      <c r="E3257" s="93">
        <v>16.920000000000002</v>
      </c>
      <c r="F3257" s="93">
        <v>62.2</v>
      </c>
      <c r="G3257" s="93">
        <v>0</v>
      </c>
      <c r="H3257" s="93">
        <v>0</v>
      </c>
      <c r="N3257" s="88"/>
      <c r="O3257" s="88"/>
      <c r="P3257" s="88"/>
    </row>
    <row r="3258" spans="1:16">
      <c r="A3258" s="94">
        <v>94463</v>
      </c>
      <c r="B3258" s="87" t="s">
        <v>2877</v>
      </c>
      <c r="C3258" s="12" t="s">
        <v>6</v>
      </c>
      <c r="D3258" s="93">
        <v>92.96</v>
      </c>
      <c r="E3258" s="93">
        <v>16.920000000000002</v>
      </c>
      <c r="F3258" s="93">
        <v>76.040000000000006</v>
      </c>
      <c r="G3258" s="93">
        <v>0</v>
      </c>
      <c r="H3258" s="93">
        <v>0</v>
      </c>
      <c r="N3258" s="88"/>
      <c r="O3258" s="88"/>
      <c r="P3258" s="88"/>
    </row>
    <row r="3259" spans="1:16">
      <c r="A3259" s="94">
        <v>94464</v>
      </c>
      <c r="B3259" s="87" t="s">
        <v>2878</v>
      </c>
      <c r="C3259" s="12" t="s">
        <v>6</v>
      </c>
      <c r="D3259" s="93">
        <v>131.12</v>
      </c>
      <c r="E3259" s="93">
        <v>21.14</v>
      </c>
      <c r="F3259" s="93">
        <v>109.98</v>
      </c>
      <c r="G3259" s="93">
        <v>0</v>
      </c>
      <c r="H3259" s="93">
        <v>0</v>
      </c>
      <c r="N3259" s="88"/>
      <c r="O3259" s="88"/>
      <c r="P3259" s="88"/>
    </row>
    <row r="3260" spans="1:16">
      <c r="A3260" s="94">
        <v>94602</v>
      </c>
      <c r="B3260" s="87" t="s">
        <v>2879</v>
      </c>
      <c r="C3260" s="12" t="s">
        <v>6</v>
      </c>
      <c r="D3260" s="93">
        <v>152.94999999999999</v>
      </c>
      <c r="E3260" s="93">
        <v>19.88</v>
      </c>
      <c r="F3260" s="93">
        <v>133.07</v>
      </c>
      <c r="G3260" s="93">
        <v>0</v>
      </c>
      <c r="H3260" s="93">
        <v>0</v>
      </c>
      <c r="N3260" s="88"/>
      <c r="O3260" s="88"/>
      <c r="P3260" s="88"/>
    </row>
    <row r="3261" spans="1:16">
      <c r="A3261" s="94">
        <v>94603</v>
      </c>
      <c r="B3261" s="87" t="s">
        <v>2880</v>
      </c>
      <c r="C3261" s="12" t="s">
        <v>6</v>
      </c>
      <c r="D3261" s="93">
        <v>205.05</v>
      </c>
      <c r="E3261" s="93">
        <v>19.88</v>
      </c>
      <c r="F3261" s="93">
        <v>185.17</v>
      </c>
      <c r="G3261" s="93">
        <v>0</v>
      </c>
      <c r="H3261" s="93">
        <v>0</v>
      </c>
      <c r="N3261" s="88"/>
      <c r="O3261" s="88"/>
      <c r="P3261" s="88"/>
    </row>
    <row r="3262" spans="1:16">
      <c r="A3262" s="94">
        <v>94604</v>
      </c>
      <c r="B3262" s="87" t="s">
        <v>2881</v>
      </c>
      <c r="C3262" s="12" t="s">
        <v>6</v>
      </c>
      <c r="D3262" s="93">
        <v>279.77</v>
      </c>
      <c r="E3262" s="93">
        <v>21.66</v>
      </c>
      <c r="F3262" s="93">
        <v>258.11</v>
      </c>
      <c r="G3262" s="93">
        <v>0</v>
      </c>
      <c r="H3262" s="93">
        <v>0</v>
      </c>
      <c r="N3262" s="88"/>
      <c r="O3262" s="88"/>
      <c r="P3262" s="88"/>
    </row>
    <row r="3263" spans="1:16">
      <c r="A3263" s="94">
        <v>94605</v>
      </c>
      <c r="B3263" s="87" t="s">
        <v>2882</v>
      </c>
      <c r="C3263" s="12" t="s">
        <v>6</v>
      </c>
      <c r="D3263" s="93">
        <v>399.35</v>
      </c>
      <c r="E3263" s="93">
        <v>21.66</v>
      </c>
      <c r="F3263" s="93">
        <v>377.69</v>
      </c>
      <c r="G3263" s="93">
        <v>0</v>
      </c>
      <c r="H3263" s="93">
        <v>0</v>
      </c>
      <c r="N3263" s="88"/>
      <c r="O3263" s="88"/>
      <c r="P3263" s="88"/>
    </row>
    <row r="3264" spans="1:16">
      <c r="A3264" s="94">
        <v>94648</v>
      </c>
      <c r="B3264" s="87" t="s">
        <v>2883</v>
      </c>
      <c r="C3264" s="12" t="s">
        <v>6</v>
      </c>
      <c r="D3264" s="93">
        <v>8.11</v>
      </c>
      <c r="E3264" s="93">
        <v>3.89</v>
      </c>
      <c r="F3264" s="93">
        <v>4.22</v>
      </c>
      <c r="G3264" s="93">
        <v>0</v>
      </c>
      <c r="H3264" s="93">
        <v>0</v>
      </c>
      <c r="N3264" s="88"/>
      <c r="O3264" s="88"/>
      <c r="P3264" s="88"/>
    </row>
    <row r="3265" spans="1:16">
      <c r="A3265" s="94">
        <v>94649</v>
      </c>
      <c r="B3265" s="87" t="s">
        <v>2884</v>
      </c>
      <c r="C3265" s="12" t="s">
        <v>6</v>
      </c>
      <c r="D3265" s="93">
        <v>12.04</v>
      </c>
      <c r="E3265" s="93">
        <v>3.88</v>
      </c>
      <c r="F3265" s="93">
        <v>8.16</v>
      </c>
      <c r="G3265" s="93">
        <v>0</v>
      </c>
      <c r="H3265" s="93">
        <v>0</v>
      </c>
      <c r="N3265" s="88"/>
      <c r="O3265" s="88"/>
      <c r="P3265" s="88"/>
    </row>
    <row r="3266" spans="1:16">
      <c r="A3266" s="94">
        <v>94650</v>
      </c>
      <c r="B3266" s="87" t="s">
        <v>2885</v>
      </c>
      <c r="C3266" s="12" t="s">
        <v>6</v>
      </c>
      <c r="D3266" s="93">
        <v>17.2</v>
      </c>
      <c r="E3266" s="93">
        <v>5.49</v>
      </c>
      <c r="F3266" s="93">
        <v>11.71</v>
      </c>
      <c r="G3266" s="93">
        <v>0</v>
      </c>
      <c r="H3266" s="93">
        <v>0</v>
      </c>
      <c r="N3266" s="88"/>
      <c r="O3266" s="88"/>
      <c r="P3266" s="88"/>
    </row>
    <row r="3267" spans="1:16">
      <c r="A3267" s="94">
        <v>94651</v>
      </c>
      <c r="B3267" s="87" t="s">
        <v>2886</v>
      </c>
      <c r="C3267" s="12" t="s">
        <v>6</v>
      </c>
      <c r="D3267" s="93">
        <v>18.68</v>
      </c>
      <c r="E3267" s="93">
        <v>5.49</v>
      </c>
      <c r="F3267" s="93">
        <v>13.19</v>
      </c>
      <c r="G3267" s="93">
        <v>0</v>
      </c>
      <c r="H3267" s="93">
        <v>0</v>
      </c>
      <c r="N3267" s="88"/>
      <c r="O3267" s="88"/>
      <c r="P3267" s="88"/>
    </row>
    <row r="3268" spans="1:16">
      <c r="A3268" s="94">
        <v>94652</v>
      </c>
      <c r="B3268" s="87" t="s">
        <v>2887</v>
      </c>
      <c r="C3268" s="12" t="s">
        <v>6</v>
      </c>
      <c r="D3268" s="93">
        <v>30.41</v>
      </c>
      <c r="E3268" s="93">
        <v>8.9499999999999993</v>
      </c>
      <c r="F3268" s="93">
        <v>21.46</v>
      </c>
      <c r="G3268" s="93">
        <v>0</v>
      </c>
      <c r="H3268" s="93">
        <v>0</v>
      </c>
      <c r="N3268" s="88"/>
      <c r="O3268" s="88"/>
      <c r="P3268" s="88"/>
    </row>
    <row r="3269" spans="1:16">
      <c r="A3269" s="94">
        <v>94653</v>
      </c>
      <c r="B3269" s="87" t="s">
        <v>2888</v>
      </c>
      <c r="C3269" s="12" t="s">
        <v>6</v>
      </c>
      <c r="D3269" s="93">
        <v>43.18</v>
      </c>
      <c r="E3269" s="93">
        <v>8.9499999999999993</v>
      </c>
      <c r="F3269" s="93">
        <v>34.229999999999997</v>
      </c>
      <c r="G3269" s="93">
        <v>0</v>
      </c>
      <c r="H3269" s="93">
        <v>0</v>
      </c>
      <c r="N3269" s="88"/>
      <c r="O3269" s="88"/>
      <c r="P3269" s="88"/>
    </row>
    <row r="3270" spans="1:16">
      <c r="A3270" s="94">
        <v>94654</v>
      </c>
      <c r="B3270" s="87" t="s">
        <v>2889</v>
      </c>
      <c r="C3270" s="12" t="s">
        <v>6</v>
      </c>
      <c r="D3270" s="93">
        <v>57.8</v>
      </c>
      <c r="E3270" s="93">
        <v>15.69</v>
      </c>
      <c r="F3270" s="93">
        <v>42.11</v>
      </c>
      <c r="G3270" s="93">
        <v>0</v>
      </c>
      <c r="H3270" s="93">
        <v>0</v>
      </c>
      <c r="N3270" s="88"/>
      <c r="O3270" s="88"/>
      <c r="P3270" s="88"/>
    </row>
    <row r="3271" spans="1:16">
      <c r="A3271" s="94">
        <v>94655</v>
      </c>
      <c r="B3271" s="87" t="s">
        <v>2890</v>
      </c>
      <c r="C3271" s="12" t="s">
        <v>6</v>
      </c>
      <c r="D3271" s="93">
        <v>80.540000000000006</v>
      </c>
      <c r="E3271" s="93">
        <v>15.68</v>
      </c>
      <c r="F3271" s="93">
        <v>64.86</v>
      </c>
      <c r="G3271" s="93">
        <v>0</v>
      </c>
      <c r="H3271" s="93">
        <v>0</v>
      </c>
      <c r="N3271" s="88"/>
      <c r="O3271" s="88"/>
      <c r="P3271" s="88"/>
    </row>
    <row r="3272" spans="1:16">
      <c r="A3272" s="94">
        <v>94716</v>
      </c>
      <c r="B3272" s="87" t="s">
        <v>2891</v>
      </c>
      <c r="C3272" s="12" t="s">
        <v>6</v>
      </c>
      <c r="D3272" s="93">
        <v>16.2</v>
      </c>
      <c r="E3272" s="93">
        <v>3.61</v>
      </c>
      <c r="F3272" s="93">
        <v>12.59</v>
      </c>
      <c r="G3272" s="93">
        <v>0</v>
      </c>
      <c r="H3272" s="93">
        <v>0</v>
      </c>
      <c r="N3272" s="88"/>
      <c r="O3272" s="88"/>
      <c r="P3272" s="88"/>
    </row>
    <row r="3273" spans="1:16">
      <c r="A3273" s="94">
        <v>94717</v>
      </c>
      <c r="B3273" s="87" t="s">
        <v>2892</v>
      </c>
      <c r="C3273" s="12" t="s">
        <v>6</v>
      </c>
      <c r="D3273" s="93">
        <v>23.19</v>
      </c>
      <c r="E3273" s="93">
        <v>3.61</v>
      </c>
      <c r="F3273" s="93">
        <v>19.579999999999998</v>
      </c>
      <c r="G3273" s="93">
        <v>0</v>
      </c>
      <c r="H3273" s="93">
        <v>0</v>
      </c>
      <c r="N3273" s="88"/>
      <c r="O3273" s="88"/>
      <c r="P3273" s="88"/>
    </row>
    <row r="3274" spans="1:16">
      <c r="A3274" s="94">
        <v>94718</v>
      </c>
      <c r="B3274" s="87" t="s">
        <v>2893</v>
      </c>
      <c r="C3274" s="12" t="s">
        <v>6</v>
      </c>
      <c r="D3274" s="93">
        <v>28.79</v>
      </c>
      <c r="E3274" s="93">
        <v>4.7699999999999996</v>
      </c>
      <c r="F3274" s="93">
        <v>24.02</v>
      </c>
      <c r="G3274" s="93">
        <v>0</v>
      </c>
      <c r="H3274" s="93">
        <v>0</v>
      </c>
      <c r="N3274" s="88"/>
      <c r="O3274" s="88"/>
      <c r="P3274" s="88"/>
    </row>
    <row r="3275" spans="1:16">
      <c r="A3275" s="94">
        <v>94719</v>
      </c>
      <c r="B3275" s="87" t="s">
        <v>2894</v>
      </c>
      <c r="C3275" s="12" t="s">
        <v>6</v>
      </c>
      <c r="D3275" s="93">
        <v>37.18</v>
      </c>
      <c r="E3275" s="93">
        <v>4.76</v>
      </c>
      <c r="F3275" s="93">
        <v>32.42</v>
      </c>
      <c r="G3275" s="93">
        <v>0</v>
      </c>
      <c r="H3275" s="93">
        <v>0</v>
      </c>
      <c r="N3275" s="88"/>
      <c r="O3275" s="88"/>
      <c r="P3275" s="88"/>
    </row>
    <row r="3276" spans="1:16">
      <c r="A3276" s="94">
        <v>94720</v>
      </c>
      <c r="B3276" s="87" t="s">
        <v>2895</v>
      </c>
      <c r="C3276" s="12" t="s">
        <v>6</v>
      </c>
      <c r="D3276" s="93">
        <v>56.51</v>
      </c>
      <c r="E3276" s="93">
        <v>8.2799999999999994</v>
      </c>
      <c r="F3276" s="93">
        <v>48.23</v>
      </c>
      <c r="G3276" s="93">
        <v>0</v>
      </c>
      <c r="H3276" s="93">
        <v>0</v>
      </c>
      <c r="N3276" s="88"/>
      <c r="O3276" s="88"/>
      <c r="P3276" s="88"/>
    </row>
    <row r="3277" spans="1:16">
      <c r="A3277" s="94">
        <v>94721</v>
      </c>
      <c r="B3277" s="87" t="s">
        <v>2896</v>
      </c>
      <c r="C3277" s="12" t="s">
        <v>6</v>
      </c>
      <c r="D3277" s="93">
        <v>81.12</v>
      </c>
      <c r="E3277" s="93">
        <v>8.27</v>
      </c>
      <c r="F3277" s="93">
        <v>72.849999999999994</v>
      </c>
      <c r="G3277" s="93">
        <v>0</v>
      </c>
      <c r="H3277" s="93">
        <v>0</v>
      </c>
      <c r="N3277" s="88"/>
      <c r="O3277" s="88"/>
      <c r="P3277" s="88"/>
    </row>
    <row r="3278" spans="1:16">
      <c r="A3278" s="94">
        <v>94722</v>
      </c>
      <c r="B3278" s="87" t="s">
        <v>2897</v>
      </c>
      <c r="C3278" s="12" t="s">
        <v>6</v>
      </c>
      <c r="D3278" s="93">
        <v>142.24</v>
      </c>
      <c r="E3278" s="93">
        <v>16.77</v>
      </c>
      <c r="F3278" s="93">
        <v>125.47</v>
      </c>
      <c r="G3278" s="93">
        <v>0</v>
      </c>
      <c r="H3278" s="93">
        <v>0</v>
      </c>
      <c r="N3278" s="88"/>
      <c r="O3278" s="88"/>
      <c r="P3278" s="88"/>
    </row>
    <row r="3279" spans="1:16">
      <c r="A3279" s="94">
        <v>95697</v>
      </c>
      <c r="B3279" s="87" t="s">
        <v>5942</v>
      </c>
      <c r="C3279" s="12" t="s">
        <v>6</v>
      </c>
      <c r="D3279" s="93">
        <v>61.8</v>
      </c>
      <c r="E3279" s="93">
        <v>3.66</v>
      </c>
      <c r="F3279" s="93">
        <v>58.14</v>
      </c>
      <c r="G3279" s="93">
        <v>0</v>
      </c>
      <c r="H3279" s="93">
        <v>0</v>
      </c>
      <c r="N3279" s="88"/>
      <c r="O3279" s="88"/>
      <c r="P3279" s="88"/>
    </row>
    <row r="3280" spans="1:16">
      <c r="A3280" s="94">
        <v>96635</v>
      </c>
      <c r="B3280" s="87" t="s">
        <v>2898</v>
      </c>
      <c r="C3280" s="12" t="s">
        <v>6</v>
      </c>
      <c r="D3280" s="93">
        <v>24.49</v>
      </c>
      <c r="E3280" s="93">
        <v>11.85</v>
      </c>
      <c r="F3280" s="93">
        <v>12.64</v>
      </c>
      <c r="G3280" s="93">
        <v>0</v>
      </c>
      <c r="H3280" s="93">
        <v>0</v>
      </c>
      <c r="N3280" s="88"/>
      <c r="O3280" s="88"/>
      <c r="P3280" s="88"/>
    </row>
    <row r="3281" spans="1:16">
      <c r="A3281" s="94">
        <v>96636</v>
      </c>
      <c r="B3281" s="87" t="s">
        <v>2899</v>
      </c>
      <c r="C3281" s="12" t="s">
        <v>6</v>
      </c>
      <c r="D3281" s="93">
        <v>25.84</v>
      </c>
      <c r="E3281" s="93">
        <v>12.9</v>
      </c>
      <c r="F3281" s="93">
        <v>12.94</v>
      </c>
      <c r="G3281" s="93">
        <v>0</v>
      </c>
      <c r="H3281" s="93">
        <v>0</v>
      </c>
      <c r="N3281" s="88"/>
      <c r="O3281" s="88"/>
      <c r="P3281" s="88"/>
    </row>
    <row r="3282" spans="1:16">
      <c r="A3282" s="94">
        <v>96644</v>
      </c>
      <c r="B3282" s="87" t="s">
        <v>2900</v>
      </c>
      <c r="C3282" s="12" t="s">
        <v>6</v>
      </c>
      <c r="D3282" s="93">
        <v>16.22</v>
      </c>
      <c r="E3282" s="93">
        <v>5.39</v>
      </c>
      <c r="F3282" s="93">
        <v>10.83</v>
      </c>
      <c r="G3282" s="93">
        <v>0</v>
      </c>
      <c r="H3282" s="93">
        <v>0</v>
      </c>
      <c r="N3282" s="88"/>
      <c r="O3282" s="88"/>
      <c r="P3282" s="88"/>
    </row>
    <row r="3283" spans="1:16">
      <c r="A3283" s="94">
        <v>96645</v>
      </c>
      <c r="B3283" s="87" t="s">
        <v>2901</v>
      </c>
      <c r="C3283" s="12" t="s">
        <v>6</v>
      </c>
      <c r="D3283" s="93">
        <v>20.98</v>
      </c>
      <c r="E3283" s="93">
        <v>7.28</v>
      </c>
      <c r="F3283" s="93">
        <v>13.7</v>
      </c>
      <c r="G3283" s="93">
        <v>0</v>
      </c>
      <c r="H3283" s="93">
        <v>0</v>
      </c>
      <c r="N3283" s="88"/>
      <c r="O3283" s="88"/>
      <c r="P3283" s="88"/>
    </row>
    <row r="3284" spans="1:16">
      <c r="A3284" s="94">
        <v>96646</v>
      </c>
      <c r="B3284" s="87" t="s">
        <v>2902</v>
      </c>
      <c r="C3284" s="12" t="s">
        <v>6</v>
      </c>
      <c r="D3284" s="93">
        <v>32.5</v>
      </c>
      <c r="E3284" s="93">
        <v>11.49</v>
      </c>
      <c r="F3284" s="93">
        <v>21.01</v>
      </c>
      <c r="G3284" s="93">
        <v>0</v>
      </c>
      <c r="H3284" s="93">
        <v>0</v>
      </c>
      <c r="N3284" s="88"/>
      <c r="O3284" s="88"/>
      <c r="P3284" s="88"/>
    </row>
    <row r="3285" spans="1:16">
      <c r="A3285" s="94">
        <v>96647</v>
      </c>
      <c r="B3285" s="87" t="s">
        <v>2903</v>
      </c>
      <c r="C3285" s="12" t="s">
        <v>6</v>
      </c>
      <c r="D3285" s="93">
        <v>14.72</v>
      </c>
      <c r="E3285" s="93">
        <v>4.24</v>
      </c>
      <c r="F3285" s="93">
        <v>10.48</v>
      </c>
      <c r="G3285" s="93">
        <v>0</v>
      </c>
      <c r="H3285" s="93">
        <v>0</v>
      </c>
      <c r="N3285" s="88"/>
      <c r="O3285" s="88"/>
      <c r="P3285" s="88"/>
    </row>
    <row r="3286" spans="1:16">
      <c r="A3286" s="94">
        <v>96648</v>
      </c>
      <c r="B3286" s="87" t="s">
        <v>2904</v>
      </c>
      <c r="C3286" s="12" t="s">
        <v>6</v>
      </c>
      <c r="D3286" s="93">
        <v>26.69</v>
      </c>
      <c r="E3286" s="93">
        <v>8.6999999999999993</v>
      </c>
      <c r="F3286" s="93">
        <v>17.989999999999998</v>
      </c>
      <c r="G3286" s="93">
        <v>0</v>
      </c>
      <c r="H3286" s="93">
        <v>0</v>
      </c>
      <c r="N3286" s="88"/>
      <c r="O3286" s="88"/>
      <c r="P3286" s="88"/>
    </row>
    <row r="3287" spans="1:16">
      <c r="A3287" s="94">
        <v>96649</v>
      </c>
      <c r="B3287" s="87" t="s">
        <v>2905</v>
      </c>
      <c r="C3287" s="12" t="s">
        <v>6</v>
      </c>
      <c r="D3287" s="93">
        <v>39.229999999999997</v>
      </c>
      <c r="E3287" s="93">
        <v>13.8</v>
      </c>
      <c r="F3287" s="93">
        <v>25.43</v>
      </c>
      <c r="G3287" s="93">
        <v>0</v>
      </c>
      <c r="H3287" s="93">
        <v>0</v>
      </c>
      <c r="N3287" s="88"/>
      <c r="O3287" s="88"/>
      <c r="P3287" s="88"/>
    </row>
    <row r="3288" spans="1:16">
      <c r="A3288" s="94">
        <v>96668</v>
      </c>
      <c r="B3288" s="87" t="s">
        <v>2906</v>
      </c>
      <c r="C3288" s="12" t="s">
        <v>6</v>
      </c>
      <c r="D3288" s="93">
        <v>10.45</v>
      </c>
      <c r="E3288" s="93">
        <v>0.89</v>
      </c>
      <c r="F3288" s="93">
        <v>9.56</v>
      </c>
      <c r="G3288" s="93">
        <v>0</v>
      </c>
      <c r="H3288" s="93">
        <v>0</v>
      </c>
      <c r="N3288" s="88"/>
      <c r="O3288" s="88"/>
      <c r="P3288" s="88"/>
    </row>
    <row r="3289" spans="1:16">
      <c r="A3289" s="94">
        <v>96669</v>
      </c>
      <c r="B3289" s="87" t="s">
        <v>2907</v>
      </c>
      <c r="C3289" s="12" t="s">
        <v>6</v>
      </c>
      <c r="D3289" s="93">
        <v>13</v>
      </c>
      <c r="E3289" s="93">
        <v>1.03</v>
      </c>
      <c r="F3289" s="93">
        <v>11.97</v>
      </c>
      <c r="G3289" s="93">
        <v>0</v>
      </c>
      <c r="H3289" s="93">
        <v>0</v>
      </c>
      <c r="N3289" s="88"/>
      <c r="O3289" s="88"/>
      <c r="P3289" s="88"/>
    </row>
    <row r="3290" spans="1:16">
      <c r="A3290" s="94">
        <v>96670</v>
      </c>
      <c r="B3290" s="87" t="s">
        <v>2908</v>
      </c>
      <c r="C3290" s="12" t="s">
        <v>6</v>
      </c>
      <c r="D3290" s="93">
        <v>19.739999999999998</v>
      </c>
      <c r="E3290" s="93">
        <v>1.53</v>
      </c>
      <c r="F3290" s="93">
        <v>18.21</v>
      </c>
      <c r="G3290" s="93">
        <v>0</v>
      </c>
      <c r="H3290" s="93">
        <v>0</v>
      </c>
      <c r="N3290" s="88"/>
      <c r="O3290" s="88"/>
      <c r="P3290" s="88"/>
    </row>
    <row r="3291" spans="1:16">
      <c r="A3291" s="94">
        <v>96671</v>
      </c>
      <c r="B3291" s="87" t="s">
        <v>2909</v>
      </c>
      <c r="C3291" s="12" t="s">
        <v>6</v>
      </c>
      <c r="D3291" s="93">
        <v>26.4</v>
      </c>
      <c r="E3291" s="93">
        <v>2.2599999999999998</v>
      </c>
      <c r="F3291" s="93">
        <v>24.14</v>
      </c>
      <c r="G3291" s="93">
        <v>0</v>
      </c>
      <c r="H3291" s="93">
        <v>0</v>
      </c>
      <c r="N3291" s="88"/>
      <c r="O3291" s="88"/>
      <c r="P3291" s="88"/>
    </row>
    <row r="3292" spans="1:16">
      <c r="A3292" s="94">
        <v>96672</v>
      </c>
      <c r="B3292" s="87" t="s">
        <v>2910</v>
      </c>
      <c r="C3292" s="12" t="s">
        <v>6</v>
      </c>
      <c r="D3292" s="93">
        <v>38.75</v>
      </c>
      <c r="E3292" s="93">
        <v>3.48</v>
      </c>
      <c r="F3292" s="93">
        <v>35.270000000000003</v>
      </c>
      <c r="G3292" s="93">
        <v>0</v>
      </c>
      <c r="H3292" s="93">
        <v>0</v>
      </c>
      <c r="N3292" s="88"/>
      <c r="O3292" s="88"/>
      <c r="P3292" s="88"/>
    </row>
    <row r="3293" spans="1:16">
      <c r="A3293" s="94">
        <v>96673</v>
      </c>
      <c r="B3293" s="87" t="s">
        <v>2911</v>
      </c>
      <c r="C3293" s="12" t="s">
        <v>6</v>
      </c>
      <c r="D3293" s="93">
        <v>63.35</v>
      </c>
      <c r="E3293" s="93">
        <v>4.8499999999999996</v>
      </c>
      <c r="F3293" s="93">
        <v>58.5</v>
      </c>
      <c r="G3293" s="93">
        <v>0</v>
      </c>
      <c r="H3293" s="93">
        <v>0</v>
      </c>
      <c r="N3293" s="88"/>
      <c r="O3293" s="88"/>
      <c r="P3293" s="88"/>
    </row>
    <row r="3294" spans="1:16">
      <c r="A3294" s="94">
        <v>96674</v>
      </c>
      <c r="B3294" s="87" t="s">
        <v>2912</v>
      </c>
      <c r="C3294" s="12" t="s">
        <v>6</v>
      </c>
      <c r="D3294" s="93">
        <v>88.99</v>
      </c>
      <c r="E3294" s="93">
        <v>6.92</v>
      </c>
      <c r="F3294" s="93">
        <v>82.07</v>
      </c>
      <c r="G3294" s="93">
        <v>0</v>
      </c>
      <c r="H3294" s="93">
        <v>0</v>
      </c>
      <c r="N3294" s="88"/>
      <c r="O3294" s="88"/>
      <c r="P3294" s="88"/>
    </row>
    <row r="3295" spans="1:16">
      <c r="A3295" s="94">
        <v>96675</v>
      </c>
      <c r="B3295" s="87" t="s">
        <v>2913</v>
      </c>
      <c r="C3295" s="12" t="s">
        <v>6</v>
      </c>
      <c r="D3295" s="93">
        <v>154.75</v>
      </c>
      <c r="E3295" s="93">
        <v>10.25</v>
      </c>
      <c r="F3295" s="93">
        <v>144.5</v>
      </c>
      <c r="G3295" s="93">
        <v>0</v>
      </c>
      <c r="H3295" s="93">
        <v>0</v>
      </c>
      <c r="N3295" s="88"/>
      <c r="O3295" s="88"/>
      <c r="P3295" s="88"/>
    </row>
    <row r="3296" spans="1:16">
      <c r="A3296" s="94">
        <v>96676</v>
      </c>
      <c r="B3296" s="87" t="s">
        <v>2914</v>
      </c>
      <c r="C3296" s="12" t="s">
        <v>6</v>
      </c>
      <c r="D3296" s="93">
        <v>10.41</v>
      </c>
      <c r="E3296" s="93">
        <v>0.85</v>
      </c>
      <c r="F3296" s="93">
        <v>9.56</v>
      </c>
      <c r="G3296" s="93">
        <v>0</v>
      </c>
      <c r="H3296" s="93">
        <v>0</v>
      </c>
      <c r="N3296" s="88"/>
      <c r="O3296" s="88"/>
      <c r="P3296" s="88"/>
    </row>
    <row r="3297" spans="1:16">
      <c r="A3297" s="94">
        <v>96677</v>
      </c>
      <c r="B3297" s="87" t="s">
        <v>2915</v>
      </c>
      <c r="C3297" s="12" t="s">
        <v>6</v>
      </c>
      <c r="D3297" s="93">
        <v>17.18</v>
      </c>
      <c r="E3297" s="93">
        <v>1.26</v>
      </c>
      <c r="F3297" s="93">
        <v>15.92</v>
      </c>
      <c r="G3297" s="93">
        <v>0</v>
      </c>
      <c r="H3297" s="93">
        <v>0</v>
      </c>
      <c r="N3297" s="88"/>
      <c r="O3297" s="88"/>
      <c r="P3297" s="88"/>
    </row>
    <row r="3298" spans="1:16">
      <c r="A3298" s="94">
        <v>96678</v>
      </c>
      <c r="B3298" s="87" t="s">
        <v>2916</v>
      </c>
      <c r="C3298" s="12" t="s">
        <v>6</v>
      </c>
      <c r="D3298" s="93">
        <v>23.88</v>
      </c>
      <c r="E3298" s="93">
        <v>1.82</v>
      </c>
      <c r="F3298" s="93">
        <v>22.06</v>
      </c>
      <c r="G3298" s="93">
        <v>0</v>
      </c>
      <c r="H3298" s="93">
        <v>0</v>
      </c>
      <c r="N3298" s="88"/>
      <c r="O3298" s="88"/>
      <c r="P3298" s="88"/>
    </row>
    <row r="3299" spans="1:16">
      <c r="A3299" s="94">
        <v>96679</v>
      </c>
      <c r="B3299" s="87" t="s">
        <v>2917</v>
      </c>
      <c r="C3299" s="12" t="s">
        <v>6</v>
      </c>
      <c r="D3299" s="93">
        <v>34.85</v>
      </c>
      <c r="E3299" s="93">
        <v>2.72</v>
      </c>
      <c r="F3299" s="93">
        <v>32.130000000000003</v>
      </c>
      <c r="G3299" s="93">
        <v>0</v>
      </c>
      <c r="H3299" s="93">
        <v>0</v>
      </c>
      <c r="N3299" s="88"/>
      <c r="O3299" s="88"/>
      <c r="P3299" s="88"/>
    </row>
    <row r="3300" spans="1:16">
      <c r="A3300" s="94">
        <v>96680</v>
      </c>
      <c r="B3300" s="87" t="s">
        <v>2918</v>
      </c>
      <c r="C3300" s="12" t="s">
        <v>6</v>
      </c>
      <c r="D3300" s="93">
        <v>46.93</v>
      </c>
      <c r="E3300" s="93">
        <v>4.1900000000000004</v>
      </c>
      <c r="F3300" s="93">
        <v>42.74</v>
      </c>
      <c r="G3300" s="93">
        <v>0</v>
      </c>
      <c r="H3300" s="93">
        <v>0</v>
      </c>
      <c r="N3300" s="88"/>
      <c r="O3300" s="88"/>
      <c r="P3300" s="88"/>
    </row>
    <row r="3301" spans="1:16">
      <c r="A3301" s="94">
        <v>96681</v>
      </c>
      <c r="B3301" s="87" t="s">
        <v>2919</v>
      </c>
      <c r="C3301" s="12" t="s">
        <v>6</v>
      </c>
      <c r="D3301" s="93">
        <v>87.66</v>
      </c>
      <c r="E3301" s="93">
        <v>5.86</v>
      </c>
      <c r="F3301" s="93">
        <v>81.8</v>
      </c>
      <c r="G3301" s="93">
        <v>0</v>
      </c>
      <c r="H3301" s="93">
        <v>0</v>
      </c>
      <c r="N3301" s="88"/>
      <c r="O3301" s="88"/>
      <c r="P3301" s="88"/>
    </row>
    <row r="3302" spans="1:16">
      <c r="A3302" s="94">
        <v>96682</v>
      </c>
      <c r="B3302" s="87" t="s">
        <v>2920</v>
      </c>
      <c r="C3302" s="12" t="s">
        <v>6</v>
      </c>
      <c r="D3302" s="93">
        <v>129.31</v>
      </c>
      <c r="E3302" s="93">
        <v>8.2899999999999991</v>
      </c>
      <c r="F3302" s="93">
        <v>121.02</v>
      </c>
      <c r="G3302" s="93">
        <v>0</v>
      </c>
      <c r="H3302" s="93">
        <v>0</v>
      </c>
      <c r="N3302" s="88"/>
      <c r="O3302" s="88"/>
      <c r="P3302" s="88"/>
    </row>
    <row r="3303" spans="1:16">
      <c r="A3303" s="94">
        <v>96683</v>
      </c>
      <c r="B3303" s="87" t="s">
        <v>2921</v>
      </c>
      <c r="C3303" s="12" t="s">
        <v>6</v>
      </c>
      <c r="D3303" s="93">
        <v>176.96</v>
      </c>
      <c r="E3303" s="93">
        <v>12.29</v>
      </c>
      <c r="F3303" s="93">
        <v>164.67</v>
      </c>
      <c r="G3303" s="93">
        <v>0</v>
      </c>
      <c r="H3303" s="93">
        <v>0</v>
      </c>
      <c r="N3303" s="88"/>
      <c r="O3303" s="88"/>
      <c r="P3303" s="88"/>
    </row>
    <row r="3304" spans="1:16">
      <c r="A3304" s="94">
        <v>96718</v>
      </c>
      <c r="B3304" s="87" t="s">
        <v>2922</v>
      </c>
      <c r="C3304" s="12" t="s">
        <v>6</v>
      </c>
      <c r="D3304" s="93">
        <v>6.87</v>
      </c>
      <c r="E3304" s="93">
        <v>0.19</v>
      </c>
      <c r="F3304" s="93">
        <v>6.68</v>
      </c>
      <c r="G3304" s="93">
        <v>0</v>
      </c>
      <c r="H3304" s="93">
        <v>0</v>
      </c>
      <c r="N3304" s="88"/>
      <c r="O3304" s="88"/>
      <c r="P3304" s="88"/>
    </row>
    <row r="3305" spans="1:16">
      <c r="A3305" s="94">
        <v>96719</v>
      </c>
      <c r="B3305" s="87" t="s">
        <v>2923</v>
      </c>
      <c r="C3305" s="12" t="s">
        <v>6</v>
      </c>
      <c r="D3305" s="93">
        <v>13.87</v>
      </c>
      <c r="E3305" s="93">
        <v>3.81</v>
      </c>
      <c r="F3305" s="93">
        <v>10.06</v>
      </c>
      <c r="G3305" s="93">
        <v>0</v>
      </c>
      <c r="H3305" s="93">
        <v>0</v>
      </c>
      <c r="N3305" s="88"/>
      <c r="O3305" s="88"/>
      <c r="P3305" s="88"/>
    </row>
    <row r="3306" spans="1:16">
      <c r="A3306" s="94">
        <v>96720</v>
      </c>
      <c r="B3306" s="87" t="s">
        <v>2924</v>
      </c>
      <c r="C3306" s="12" t="s">
        <v>6</v>
      </c>
      <c r="D3306" s="93">
        <v>16.86</v>
      </c>
      <c r="E3306" s="93">
        <v>4.46</v>
      </c>
      <c r="F3306" s="93">
        <v>12.4</v>
      </c>
      <c r="G3306" s="93">
        <v>0</v>
      </c>
      <c r="H3306" s="93">
        <v>0</v>
      </c>
      <c r="N3306" s="88"/>
      <c r="O3306" s="88"/>
      <c r="P3306" s="88"/>
    </row>
    <row r="3307" spans="1:16">
      <c r="A3307" s="94">
        <v>96721</v>
      </c>
      <c r="B3307" s="87" t="s">
        <v>2925</v>
      </c>
      <c r="C3307" s="12" t="s">
        <v>6</v>
      </c>
      <c r="D3307" s="93">
        <v>22.7</v>
      </c>
      <c r="E3307" s="93">
        <v>4.46</v>
      </c>
      <c r="F3307" s="93">
        <v>18.239999999999998</v>
      </c>
      <c r="G3307" s="93">
        <v>0</v>
      </c>
      <c r="H3307" s="93">
        <v>0</v>
      </c>
      <c r="N3307" s="88"/>
      <c r="O3307" s="88"/>
      <c r="P3307" s="88"/>
    </row>
    <row r="3308" spans="1:16">
      <c r="A3308" s="94">
        <v>96722</v>
      </c>
      <c r="B3308" s="87" t="s">
        <v>2926</v>
      </c>
      <c r="C3308" s="12" t="s">
        <v>6</v>
      </c>
      <c r="D3308" s="93">
        <v>30.97</v>
      </c>
      <c r="E3308" s="93">
        <v>6.79</v>
      </c>
      <c r="F3308" s="93">
        <v>24.18</v>
      </c>
      <c r="G3308" s="93">
        <v>0</v>
      </c>
      <c r="H3308" s="93">
        <v>0</v>
      </c>
      <c r="N3308" s="88"/>
      <c r="O3308" s="88"/>
      <c r="P3308" s="88"/>
    </row>
    <row r="3309" spans="1:16">
      <c r="A3309" s="94">
        <v>96723</v>
      </c>
      <c r="B3309" s="87" t="s">
        <v>2927</v>
      </c>
      <c r="C3309" s="12" t="s">
        <v>6</v>
      </c>
      <c r="D3309" s="93">
        <v>41.18</v>
      </c>
      <c r="E3309" s="93">
        <v>6.79</v>
      </c>
      <c r="F3309" s="93">
        <v>34.39</v>
      </c>
      <c r="G3309" s="93">
        <v>0</v>
      </c>
      <c r="H3309" s="93">
        <v>0</v>
      </c>
      <c r="N3309" s="88"/>
      <c r="O3309" s="88"/>
      <c r="P3309" s="88"/>
    </row>
    <row r="3310" spans="1:16">
      <c r="A3310" s="94">
        <v>96724</v>
      </c>
      <c r="B3310" s="87" t="s">
        <v>2928</v>
      </c>
      <c r="C3310" s="12" t="s">
        <v>6</v>
      </c>
      <c r="D3310" s="93">
        <v>67.23</v>
      </c>
      <c r="E3310" s="93">
        <v>11.19</v>
      </c>
      <c r="F3310" s="93">
        <v>56.04</v>
      </c>
      <c r="G3310" s="93">
        <v>0</v>
      </c>
      <c r="H3310" s="93">
        <v>0</v>
      </c>
      <c r="N3310" s="88"/>
      <c r="O3310" s="88"/>
      <c r="P3310" s="88"/>
    </row>
    <row r="3311" spans="1:16">
      <c r="A3311" s="94">
        <v>96725</v>
      </c>
      <c r="B3311" s="87" t="s">
        <v>2929</v>
      </c>
      <c r="C3311" s="12" t="s">
        <v>6</v>
      </c>
      <c r="D3311" s="93">
        <v>88.52</v>
      </c>
      <c r="E3311" s="93">
        <v>11.18</v>
      </c>
      <c r="F3311" s="93">
        <v>77.34</v>
      </c>
      <c r="G3311" s="93">
        <v>0</v>
      </c>
      <c r="H3311" s="93">
        <v>0</v>
      </c>
      <c r="N3311" s="88"/>
      <c r="O3311" s="88"/>
      <c r="P3311" s="88"/>
    </row>
    <row r="3312" spans="1:16">
      <c r="A3312" s="94">
        <v>96726</v>
      </c>
      <c r="B3312" s="87" t="s">
        <v>2930</v>
      </c>
      <c r="C3312" s="12" t="s">
        <v>6</v>
      </c>
      <c r="D3312" s="93">
        <v>144.33000000000001</v>
      </c>
      <c r="E3312" s="93">
        <v>17.579999999999998</v>
      </c>
      <c r="F3312" s="93">
        <v>126.75</v>
      </c>
      <c r="G3312" s="93">
        <v>0</v>
      </c>
      <c r="H3312" s="93">
        <v>0</v>
      </c>
      <c r="N3312" s="88"/>
      <c r="O3312" s="88"/>
      <c r="P3312" s="88"/>
    </row>
    <row r="3313" spans="1:16">
      <c r="A3313" s="94">
        <v>96727</v>
      </c>
      <c r="B3313" s="87" t="s">
        <v>2931</v>
      </c>
      <c r="C3313" s="12" t="s">
        <v>6</v>
      </c>
      <c r="D3313" s="93">
        <v>11.97</v>
      </c>
      <c r="E3313" s="93">
        <v>4.18</v>
      </c>
      <c r="F3313" s="93">
        <v>7.79</v>
      </c>
      <c r="G3313" s="93">
        <v>0</v>
      </c>
      <c r="H3313" s="93">
        <v>0</v>
      </c>
      <c r="N3313" s="88"/>
      <c r="O3313" s="88"/>
      <c r="P3313" s="88"/>
    </row>
    <row r="3314" spans="1:16">
      <c r="A3314" s="94">
        <v>96728</v>
      </c>
      <c r="B3314" s="87" t="s">
        <v>2932</v>
      </c>
      <c r="C3314" s="12" t="s">
        <v>6</v>
      </c>
      <c r="D3314" s="93">
        <v>14.33</v>
      </c>
      <c r="E3314" s="93">
        <v>4.18</v>
      </c>
      <c r="F3314" s="93">
        <v>10.15</v>
      </c>
      <c r="G3314" s="93">
        <v>0</v>
      </c>
      <c r="H3314" s="93">
        <v>0</v>
      </c>
      <c r="N3314" s="88"/>
      <c r="O3314" s="88"/>
      <c r="P3314" s="88"/>
    </row>
    <row r="3315" spans="1:16">
      <c r="A3315" s="94">
        <v>96729</v>
      </c>
      <c r="B3315" s="87" t="s">
        <v>2933</v>
      </c>
      <c r="C3315" s="12" t="s">
        <v>6</v>
      </c>
      <c r="D3315" s="93">
        <v>21.71</v>
      </c>
      <c r="E3315" s="93">
        <v>5.32</v>
      </c>
      <c r="F3315" s="93">
        <v>16.39</v>
      </c>
      <c r="G3315" s="93">
        <v>0</v>
      </c>
      <c r="H3315" s="93">
        <v>0</v>
      </c>
      <c r="N3315" s="88"/>
      <c r="O3315" s="88"/>
      <c r="P3315" s="88"/>
    </row>
    <row r="3316" spans="1:16">
      <c r="A3316" s="94">
        <v>96730</v>
      </c>
      <c r="B3316" s="87" t="s">
        <v>2934</v>
      </c>
      <c r="C3316" s="12" t="s">
        <v>6</v>
      </c>
      <c r="D3316" s="93">
        <v>27.43</v>
      </c>
      <c r="E3316" s="93">
        <v>5.32</v>
      </c>
      <c r="F3316" s="93">
        <v>22.11</v>
      </c>
      <c r="G3316" s="93">
        <v>0</v>
      </c>
      <c r="H3316" s="93">
        <v>0</v>
      </c>
      <c r="N3316" s="88"/>
      <c r="O3316" s="88"/>
      <c r="P3316" s="88"/>
    </row>
    <row r="3317" spans="1:16">
      <c r="A3317" s="94">
        <v>96731</v>
      </c>
      <c r="B3317" s="87" t="s">
        <v>2935</v>
      </c>
      <c r="C3317" s="12" t="s">
        <v>6</v>
      </c>
      <c r="D3317" s="93">
        <v>40.119999999999997</v>
      </c>
      <c r="E3317" s="93">
        <v>8.1300000000000008</v>
      </c>
      <c r="F3317" s="93">
        <v>31.99</v>
      </c>
      <c r="G3317" s="93">
        <v>0</v>
      </c>
      <c r="H3317" s="93">
        <v>0</v>
      </c>
      <c r="N3317" s="88"/>
      <c r="O3317" s="88"/>
      <c r="P3317" s="88"/>
    </row>
    <row r="3318" spans="1:16">
      <c r="A3318" s="94">
        <v>96732</v>
      </c>
      <c r="B3318" s="87" t="s">
        <v>2936</v>
      </c>
      <c r="C3318" s="12" t="s">
        <v>6</v>
      </c>
      <c r="D3318" s="93">
        <v>49.8</v>
      </c>
      <c r="E3318" s="93">
        <v>8.1300000000000008</v>
      </c>
      <c r="F3318" s="93">
        <v>41.67</v>
      </c>
      <c r="G3318" s="93">
        <v>0</v>
      </c>
      <c r="H3318" s="93">
        <v>0</v>
      </c>
      <c r="N3318" s="88"/>
      <c r="O3318" s="88"/>
      <c r="P3318" s="88"/>
    </row>
    <row r="3319" spans="1:16">
      <c r="A3319" s="94">
        <v>96733</v>
      </c>
      <c r="B3319" s="87" t="s">
        <v>2937</v>
      </c>
      <c r="C3319" s="12" t="s">
        <v>6</v>
      </c>
      <c r="D3319" s="93">
        <v>91.44</v>
      </c>
      <c r="E3319" s="93">
        <v>13.43</v>
      </c>
      <c r="F3319" s="93">
        <v>78.010000000000005</v>
      </c>
      <c r="G3319" s="93">
        <v>0</v>
      </c>
      <c r="H3319" s="93">
        <v>0</v>
      </c>
      <c r="N3319" s="88"/>
      <c r="O3319" s="88"/>
      <c r="P3319" s="88"/>
    </row>
    <row r="3320" spans="1:16">
      <c r="A3320" s="94">
        <v>96734</v>
      </c>
      <c r="B3320" s="87" t="s">
        <v>2938</v>
      </c>
      <c r="C3320" s="12" t="s">
        <v>6</v>
      </c>
      <c r="D3320" s="93">
        <v>127.1</v>
      </c>
      <c r="E3320" s="93">
        <v>13.43</v>
      </c>
      <c r="F3320" s="93">
        <v>113.67</v>
      </c>
      <c r="G3320" s="93">
        <v>0</v>
      </c>
      <c r="H3320" s="93">
        <v>0</v>
      </c>
      <c r="N3320" s="88"/>
      <c r="O3320" s="88"/>
      <c r="P3320" s="88"/>
    </row>
    <row r="3321" spans="1:16">
      <c r="A3321" s="94">
        <v>96735</v>
      </c>
      <c r="B3321" s="87" t="s">
        <v>2939</v>
      </c>
      <c r="C3321" s="12" t="s">
        <v>6</v>
      </c>
      <c r="D3321" s="93">
        <v>165.68</v>
      </c>
      <c r="E3321" s="93">
        <v>21.07</v>
      </c>
      <c r="F3321" s="93">
        <v>144.61000000000001</v>
      </c>
      <c r="G3321" s="93">
        <v>0</v>
      </c>
      <c r="H3321" s="93">
        <v>0</v>
      </c>
      <c r="N3321" s="88"/>
      <c r="O3321" s="88"/>
      <c r="P3321" s="88"/>
    </row>
    <row r="3322" spans="1:16">
      <c r="A3322" s="94">
        <v>96794</v>
      </c>
      <c r="B3322" s="87" t="s">
        <v>2940</v>
      </c>
      <c r="C3322" s="12" t="s">
        <v>6</v>
      </c>
      <c r="D3322" s="93">
        <v>7.65</v>
      </c>
      <c r="E3322" s="93">
        <v>1.84</v>
      </c>
      <c r="F3322" s="93">
        <v>5.81</v>
      </c>
      <c r="G3322" s="93">
        <v>0</v>
      </c>
      <c r="H3322" s="93">
        <v>0</v>
      </c>
      <c r="N3322" s="88"/>
      <c r="O3322" s="88"/>
      <c r="P3322" s="88"/>
    </row>
    <row r="3323" spans="1:16">
      <c r="A3323" s="94">
        <v>96795</v>
      </c>
      <c r="B3323" s="87" t="s">
        <v>2941</v>
      </c>
      <c r="C3323" s="12" t="s">
        <v>6</v>
      </c>
      <c r="D3323" s="93">
        <v>9.73</v>
      </c>
      <c r="E3323" s="93">
        <v>2.2000000000000002</v>
      </c>
      <c r="F3323" s="93">
        <v>7.53</v>
      </c>
      <c r="G3323" s="93">
        <v>0</v>
      </c>
      <c r="H3323" s="93">
        <v>0</v>
      </c>
      <c r="N3323" s="88"/>
      <c r="O3323" s="88"/>
      <c r="P3323" s="88"/>
    </row>
    <row r="3324" spans="1:16">
      <c r="A3324" s="94">
        <v>96796</v>
      </c>
      <c r="B3324" s="87" t="s">
        <v>2942</v>
      </c>
      <c r="C3324" s="12" t="s">
        <v>6</v>
      </c>
      <c r="D3324" s="93">
        <v>13.66</v>
      </c>
      <c r="E3324" s="93">
        <v>2.63</v>
      </c>
      <c r="F3324" s="93">
        <v>11.03</v>
      </c>
      <c r="G3324" s="93">
        <v>0</v>
      </c>
      <c r="H3324" s="93">
        <v>0</v>
      </c>
      <c r="N3324" s="88"/>
      <c r="O3324" s="88"/>
      <c r="P3324" s="88"/>
    </row>
    <row r="3325" spans="1:16">
      <c r="A3325" s="94">
        <v>96797</v>
      </c>
      <c r="B3325" s="87" t="s">
        <v>2943</v>
      </c>
      <c r="C3325" s="12" t="s">
        <v>6</v>
      </c>
      <c r="D3325" s="93">
        <v>20.66</v>
      </c>
      <c r="E3325" s="93">
        <v>3.21</v>
      </c>
      <c r="F3325" s="93">
        <v>17.45</v>
      </c>
      <c r="G3325" s="93">
        <v>0</v>
      </c>
      <c r="H3325" s="93">
        <v>0</v>
      </c>
      <c r="N3325" s="88"/>
      <c r="O3325" s="88"/>
      <c r="P3325" s="88"/>
    </row>
    <row r="3326" spans="1:16">
      <c r="A3326" s="94">
        <v>96798</v>
      </c>
      <c r="B3326" s="87" t="s">
        <v>2944</v>
      </c>
      <c r="C3326" s="12" t="s">
        <v>6</v>
      </c>
      <c r="D3326" s="93">
        <v>7.77</v>
      </c>
      <c r="E3326" s="93">
        <v>1.94</v>
      </c>
      <c r="F3326" s="93">
        <v>5.83</v>
      </c>
      <c r="G3326" s="93">
        <v>0</v>
      </c>
      <c r="H3326" s="93">
        <v>0</v>
      </c>
      <c r="N3326" s="88"/>
      <c r="O3326" s="88"/>
      <c r="P3326" s="88"/>
    </row>
    <row r="3327" spans="1:16">
      <c r="A3327" s="94">
        <v>96799</v>
      </c>
      <c r="B3327" s="87" t="s">
        <v>2945</v>
      </c>
      <c r="C3327" s="12" t="s">
        <v>6</v>
      </c>
      <c r="D3327" s="93">
        <v>10.39</v>
      </c>
      <c r="E3327" s="93">
        <v>2.71</v>
      </c>
      <c r="F3327" s="93">
        <v>7.68</v>
      </c>
      <c r="G3327" s="93">
        <v>0</v>
      </c>
      <c r="H3327" s="93">
        <v>0</v>
      </c>
      <c r="N3327" s="88"/>
      <c r="O3327" s="88"/>
      <c r="P3327" s="88"/>
    </row>
    <row r="3328" spans="1:16">
      <c r="A3328" s="94">
        <v>96800</v>
      </c>
      <c r="B3328" s="87" t="s">
        <v>2946</v>
      </c>
      <c r="C3328" s="12" t="s">
        <v>6</v>
      </c>
      <c r="D3328" s="93">
        <v>15.01</v>
      </c>
      <c r="E3328" s="93">
        <v>3.7</v>
      </c>
      <c r="F3328" s="93">
        <v>11.31</v>
      </c>
      <c r="G3328" s="93">
        <v>0</v>
      </c>
      <c r="H3328" s="93">
        <v>0</v>
      </c>
      <c r="N3328" s="88"/>
      <c r="O3328" s="88"/>
      <c r="P3328" s="88"/>
    </row>
    <row r="3329" spans="1:16">
      <c r="A3329" s="94">
        <v>96801</v>
      </c>
      <c r="B3329" s="87" t="s">
        <v>2947</v>
      </c>
      <c r="C3329" s="12" t="s">
        <v>6</v>
      </c>
      <c r="D3329" s="93">
        <v>23</v>
      </c>
      <c r="E3329" s="93">
        <v>5.08</v>
      </c>
      <c r="F3329" s="93">
        <v>17.920000000000002</v>
      </c>
      <c r="G3329" s="93">
        <v>0</v>
      </c>
      <c r="H3329" s="93">
        <v>0</v>
      </c>
      <c r="N3329" s="88"/>
      <c r="O3329" s="88"/>
      <c r="P3329" s="88"/>
    </row>
    <row r="3330" spans="1:16">
      <c r="A3330" s="94">
        <v>97327</v>
      </c>
      <c r="B3330" s="87" t="s">
        <v>2948</v>
      </c>
      <c r="C3330" s="12" t="s">
        <v>6</v>
      </c>
      <c r="D3330" s="93">
        <v>20.65</v>
      </c>
      <c r="E3330" s="93">
        <v>1.5</v>
      </c>
      <c r="F3330" s="93">
        <v>19.149999999999999</v>
      </c>
      <c r="G3330" s="93">
        <v>0</v>
      </c>
      <c r="H3330" s="93">
        <v>0</v>
      </c>
      <c r="N3330" s="88"/>
      <c r="O3330" s="88"/>
      <c r="P3330" s="88"/>
    </row>
    <row r="3331" spans="1:16">
      <c r="A3331" s="94">
        <v>97328</v>
      </c>
      <c r="B3331" s="87" t="s">
        <v>2949</v>
      </c>
      <c r="C3331" s="12" t="s">
        <v>6</v>
      </c>
      <c r="D3331" s="93">
        <v>35.659999999999997</v>
      </c>
      <c r="E3331" s="93">
        <v>1.65</v>
      </c>
      <c r="F3331" s="93">
        <v>34.01</v>
      </c>
      <c r="G3331" s="93">
        <v>0</v>
      </c>
      <c r="H3331" s="93">
        <v>0</v>
      </c>
      <c r="N3331" s="88"/>
      <c r="O3331" s="88"/>
      <c r="P3331" s="88"/>
    </row>
    <row r="3332" spans="1:16">
      <c r="A3332" s="94">
        <v>97329</v>
      </c>
      <c r="B3332" s="87" t="s">
        <v>2950</v>
      </c>
      <c r="C3332" s="12" t="s">
        <v>6</v>
      </c>
      <c r="D3332" s="93">
        <v>44.63</v>
      </c>
      <c r="E3332" s="93">
        <v>1.75</v>
      </c>
      <c r="F3332" s="93">
        <v>42.88</v>
      </c>
      <c r="G3332" s="93">
        <v>0</v>
      </c>
      <c r="H3332" s="93">
        <v>0</v>
      </c>
      <c r="N3332" s="88"/>
      <c r="O3332" s="88"/>
      <c r="P3332" s="88"/>
    </row>
    <row r="3333" spans="1:16">
      <c r="A3333" s="94">
        <v>97330</v>
      </c>
      <c r="B3333" s="87" t="s">
        <v>2951</v>
      </c>
      <c r="C3333" s="12" t="s">
        <v>6</v>
      </c>
      <c r="D3333" s="93">
        <v>54.42</v>
      </c>
      <c r="E3333" s="93">
        <v>1.84</v>
      </c>
      <c r="F3333" s="93">
        <v>52.58</v>
      </c>
      <c r="G3333" s="93">
        <v>0</v>
      </c>
      <c r="H3333" s="93">
        <v>0</v>
      </c>
      <c r="N3333" s="88"/>
      <c r="O3333" s="88"/>
      <c r="P3333" s="88"/>
    </row>
    <row r="3334" spans="1:16">
      <c r="A3334" s="94">
        <v>97331</v>
      </c>
      <c r="B3334" s="87" t="s">
        <v>2952</v>
      </c>
      <c r="C3334" s="12" t="s">
        <v>6</v>
      </c>
      <c r="D3334" s="93">
        <v>20.91</v>
      </c>
      <c r="E3334" s="93">
        <v>1.7</v>
      </c>
      <c r="F3334" s="93">
        <v>19.21</v>
      </c>
      <c r="G3334" s="93">
        <v>0</v>
      </c>
      <c r="H3334" s="93">
        <v>0</v>
      </c>
      <c r="N3334" s="88"/>
      <c r="O3334" s="88"/>
      <c r="P3334" s="88"/>
    </row>
    <row r="3335" spans="1:16">
      <c r="A3335" s="94">
        <v>97332</v>
      </c>
      <c r="B3335" s="87" t="s">
        <v>2953</v>
      </c>
      <c r="C3335" s="12" t="s">
        <v>6</v>
      </c>
      <c r="D3335" s="93">
        <v>35.96</v>
      </c>
      <c r="E3335" s="93">
        <v>1.87</v>
      </c>
      <c r="F3335" s="93">
        <v>34.090000000000003</v>
      </c>
      <c r="G3335" s="93">
        <v>0</v>
      </c>
      <c r="H3335" s="93">
        <v>0</v>
      </c>
      <c r="N3335" s="88"/>
      <c r="O3335" s="88"/>
      <c r="P3335" s="88"/>
    </row>
    <row r="3336" spans="1:16">
      <c r="A3336" s="94">
        <v>97333</v>
      </c>
      <c r="B3336" s="87" t="s">
        <v>2954</v>
      </c>
      <c r="C3336" s="12" t="s">
        <v>6</v>
      </c>
      <c r="D3336" s="93">
        <v>45</v>
      </c>
      <c r="E3336" s="93">
        <v>2.0499999999999998</v>
      </c>
      <c r="F3336" s="93">
        <v>42.95</v>
      </c>
      <c r="G3336" s="93">
        <v>0</v>
      </c>
      <c r="H3336" s="93">
        <v>0</v>
      </c>
      <c r="N3336" s="88"/>
      <c r="O3336" s="88"/>
      <c r="P3336" s="88"/>
    </row>
    <row r="3337" spans="1:16">
      <c r="A3337" s="94">
        <v>97334</v>
      </c>
      <c r="B3337" s="87" t="s">
        <v>2955</v>
      </c>
      <c r="C3337" s="12" t="s">
        <v>6</v>
      </c>
      <c r="D3337" s="93">
        <v>54.84</v>
      </c>
      <c r="E3337" s="93">
        <v>2.17</v>
      </c>
      <c r="F3337" s="93">
        <v>52.67</v>
      </c>
      <c r="G3337" s="93">
        <v>0</v>
      </c>
      <c r="H3337" s="93">
        <v>0</v>
      </c>
      <c r="N3337" s="88"/>
      <c r="O3337" s="88"/>
      <c r="P3337" s="88"/>
    </row>
    <row r="3338" spans="1:16">
      <c r="A3338" s="94">
        <v>97335</v>
      </c>
      <c r="B3338" s="87" t="s">
        <v>2956</v>
      </c>
      <c r="C3338" s="12" t="s">
        <v>6</v>
      </c>
      <c r="D3338" s="93">
        <v>56.89</v>
      </c>
      <c r="E3338" s="93">
        <v>1.35</v>
      </c>
      <c r="F3338" s="93">
        <v>55.54</v>
      </c>
      <c r="G3338" s="93">
        <v>0</v>
      </c>
      <c r="H3338" s="93">
        <v>0</v>
      </c>
      <c r="N3338" s="88"/>
      <c r="O3338" s="88"/>
      <c r="P3338" s="88"/>
    </row>
    <row r="3339" spans="1:16">
      <c r="A3339" s="94">
        <v>97336</v>
      </c>
      <c r="B3339" s="87" t="s">
        <v>2957</v>
      </c>
      <c r="C3339" s="12" t="s">
        <v>6</v>
      </c>
      <c r="D3339" s="93">
        <v>72.23</v>
      </c>
      <c r="E3339" s="93">
        <v>1.61</v>
      </c>
      <c r="F3339" s="93">
        <v>70.62</v>
      </c>
      <c r="G3339" s="93">
        <v>0</v>
      </c>
      <c r="H3339" s="93">
        <v>0</v>
      </c>
      <c r="N3339" s="88"/>
      <c r="O3339" s="88"/>
      <c r="P3339" s="88"/>
    </row>
    <row r="3340" spans="1:16">
      <c r="A3340" s="94">
        <v>97337</v>
      </c>
      <c r="B3340" s="87" t="s">
        <v>2958</v>
      </c>
      <c r="C3340" s="12" t="s">
        <v>6</v>
      </c>
      <c r="D3340" s="93">
        <v>108.41</v>
      </c>
      <c r="E3340" s="93">
        <v>1.9</v>
      </c>
      <c r="F3340" s="93">
        <v>106.51</v>
      </c>
      <c r="G3340" s="93">
        <v>0</v>
      </c>
      <c r="H3340" s="93">
        <v>0</v>
      </c>
      <c r="N3340" s="88"/>
      <c r="O3340" s="88"/>
      <c r="P3340" s="88"/>
    </row>
    <row r="3341" spans="1:16">
      <c r="A3341" s="94">
        <v>97338</v>
      </c>
      <c r="B3341" s="87" t="s">
        <v>2959</v>
      </c>
      <c r="C3341" s="12" t="s">
        <v>6</v>
      </c>
      <c r="D3341" s="93">
        <v>130.32</v>
      </c>
      <c r="E3341" s="93">
        <v>2.2000000000000002</v>
      </c>
      <c r="F3341" s="93">
        <v>128.12</v>
      </c>
      <c r="G3341" s="93">
        <v>0</v>
      </c>
      <c r="H3341" s="93">
        <v>0</v>
      </c>
      <c r="N3341" s="88"/>
      <c r="O3341" s="88"/>
      <c r="P3341" s="88"/>
    </row>
    <row r="3342" spans="1:16">
      <c r="A3342" s="94">
        <v>97339</v>
      </c>
      <c r="B3342" s="87" t="s">
        <v>2960</v>
      </c>
      <c r="C3342" s="12" t="s">
        <v>6</v>
      </c>
      <c r="D3342" s="93">
        <v>140.19</v>
      </c>
      <c r="E3342" s="93">
        <v>2.72</v>
      </c>
      <c r="F3342" s="93">
        <v>137.47</v>
      </c>
      <c r="G3342" s="93">
        <v>0</v>
      </c>
      <c r="H3342" s="93">
        <v>0</v>
      </c>
      <c r="N3342" s="88"/>
      <c r="O3342" s="88"/>
      <c r="P3342" s="88"/>
    </row>
    <row r="3343" spans="1:16">
      <c r="A3343" s="94">
        <v>97340</v>
      </c>
      <c r="B3343" s="87" t="s">
        <v>2961</v>
      </c>
      <c r="C3343" s="12" t="s">
        <v>6</v>
      </c>
      <c r="D3343" s="93">
        <v>140.83000000000001</v>
      </c>
      <c r="E3343" s="93">
        <v>3.22</v>
      </c>
      <c r="F3343" s="93">
        <v>137.61000000000001</v>
      </c>
      <c r="G3343" s="93">
        <v>0</v>
      </c>
      <c r="H3343" s="93">
        <v>0</v>
      </c>
      <c r="N3343" s="88"/>
      <c r="O3343" s="88"/>
      <c r="P3343" s="88"/>
    </row>
    <row r="3344" spans="1:16">
      <c r="A3344" s="94">
        <v>97341</v>
      </c>
      <c r="B3344" s="87" t="s">
        <v>2962</v>
      </c>
      <c r="C3344" s="12" t="s">
        <v>6</v>
      </c>
      <c r="D3344" s="93">
        <v>38.75</v>
      </c>
      <c r="E3344" s="93">
        <v>3.62</v>
      </c>
      <c r="F3344" s="93">
        <v>35.130000000000003</v>
      </c>
      <c r="G3344" s="93">
        <v>0</v>
      </c>
      <c r="H3344" s="93">
        <v>0</v>
      </c>
      <c r="N3344" s="88"/>
      <c r="O3344" s="88"/>
      <c r="P3344" s="88"/>
    </row>
    <row r="3345" spans="1:16">
      <c r="A3345" s="94">
        <v>97342</v>
      </c>
      <c r="B3345" s="87" t="s">
        <v>2963</v>
      </c>
      <c r="C3345" s="12" t="s">
        <v>6</v>
      </c>
      <c r="D3345" s="93">
        <v>60.52</v>
      </c>
      <c r="E3345" s="93">
        <v>4.1900000000000004</v>
      </c>
      <c r="F3345" s="93">
        <v>56.33</v>
      </c>
      <c r="G3345" s="93">
        <v>0</v>
      </c>
      <c r="H3345" s="93">
        <v>0</v>
      </c>
      <c r="N3345" s="88"/>
      <c r="O3345" s="88"/>
      <c r="P3345" s="88"/>
    </row>
    <row r="3346" spans="1:16">
      <c r="A3346" s="94">
        <v>97343</v>
      </c>
      <c r="B3346" s="87" t="s">
        <v>2964</v>
      </c>
      <c r="C3346" s="12" t="s">
        <v>6</v>
      </c>
      <c r="D3346" s="93">
        <v>76.13</v>
      </c>
      <c r="E3346" s="93">
        <v>4.6500000000000004</v>
      </c>
      <c r="F3346" s="93">
        <v>71.48</v>
      </c>
      <c r="G3346" s="93">
        <v>0</v>
      </c>
      <c r="H3346" s="93">
        <v>0</v>
      </c>
      <c r="N3346" s="88"/>
      <c r="O3346" s="88"/>
      <c r="P3346" s="88"/>
    </row>
    <row r="3347" spans="1:16">
      <c r="A3347" s="94">
        <v>97344</v>
      </c>
      <c r="B3347" s="87" t="s">
        <v>2965</v>
      </c>
      <c r="C3347" s="12" t="s">
        <v>6</v>
      </c>
      <c r="D3347" s="93">
        <v>46.72</v>
      </c>
      <c r="E3347" s="93">
        <v>9.86</v>
      </c>
      <c r="F3347" s="93">
        <v>36.86</v>
      </c>
      <c r="G3347" s="93">
        <v>0</v>
      </c>
      <c r="H3347" s="93">
        <v>0</v>
      </c>
      <c r="N3347" s="88"/>
      <c r="O3347" s="88"/>
      <c r="P3347" s="88"/>
    </row>
    <row r="3348" spans="1:16">
      <c r="A3348" s="94">
        <v>97345</v>
      </c>
      <c r="B3348" s="87" t="s">
        <v>2966</v>
      </c>
      <c r="C3348" s="12" t="s">
        <v>6</v>
      </c>
      <c r="D3348" s="93">
        <v>74.22</v>
      </c>
      <c r="E3348" s="93">
        <v>14.87</v>
      </c>
      <c r="F3348" s="93">
        <v>59.35</v>
      </c>
      <c r="G3348" s="93">
        <v>0</v>
      </c>
      <c r="H3348" s="93">
        <v>0</v>
      </c>
      <c r="N3348" s="88"/>
      <c r="O3348" s="88"/>
      <c r="P3348" s="88"/>
    </row>
    <row r="3349" spans="1:16">
      <c r="A3349" s="94">
        <v>97346</v>
      </c>
      <c r="B3349" s="87" t="s">
        <v>2967</v>
      </c>
      <c r="C3349" s="12" t="s">
        <v>6</v>
      </c>
      <c r="D3349" s="93">
        <v>94.81</v>
      </c>
      <c r="E3349" s="93">
        <v>19.21</v>
      </c>
      <c r="F3349" s="93">
        <v>75.599999999999994</v>
      </c>
      <c r="G3349" s="93">
        <v>0</v>
      </c>
      <c r="H3349" s="93">
        <v>0</v>
      </c>
      <c r="N3349" s="88"/>
      <c r="O3349" s="88"/>
      <c r="P3349" s="88"/>
    </row>
    <row r="3350" spans="1:16">
      <c r="A3350" s="94">
        <v>97347</v>
      </c>
      <c r="B3350" s="87" t="s">
        <v>2968</v>
      </c>
      <c r="C3350" s="12" t="s">
        <v>6</v>
      </c>
      <c r="D3350" s="93">
        <v>68.47</v>
      </c>
      <c r="E3350" s="93">
        <v>1.35</v>
      </c>
      <c r="F3350" s="93">
        <v>67.12</v>
      </c>
      <c r="G3350" s="93">
        <v>0</v>
      </c>
      <c r="H3350" s="93">
        <v>0</v>
      </c>
      <c r="N3350" s="88"/>
      <c r="O3350" s="88"/>
      <c r="P3350" s="88"/>
    </row>
    <row r="3351" spans="1:16">
      <c r="A3351" s="94">
        <v>97348</v>
      </c>
      <c r="B3351" s="87" t="s">
        <v>2969</v>
      </c>
      <c r="C3351" s="12" t="s">
        <v>6</v>
      </c>
      <c r="D3351" s="93">
        <v>94.54</v>
      </c>
      <c r="E3351" s="93">
        <v>1.61</v>
      </c>
      <c r="F3351" s="93">
        <v>92.93</v>
      </c>
      <c r="G3351" s="93">
        <v>0</v>
      </c>
      <c r="H3351" s="93">
        <v>0</v>
      </c>
      <c r="N3351" s="88"/>
      <c r="O3351" s="88"/>
      <c r="P3351" s="88"/>
    </row>
    <row r="3352" spans="1:16">
      <c r="A3352" s="94">
        <v>97349</v>
      </c>
      <c r="B3352" s="87" t="s">
        <v>2970</v>
      </c>
      <c r="C3352" s="12" t="s">
        <v>6</v>
      </c>
      <c r="D3352" s="93">
        <v>136.19</v>
      </c>
      <c r="E3352" s="93">
        <v>1.9</v>
      </c>
      <c r="F3352" s="93">
        <v>134.29</v>
      </c>
      <c r="G3352" s="93">
        <v>0</v>
      </c>
      <c r="H3352" s="93">
        <v>0</v>
      </c>
      <c r="N3352" s="88"/>
      <c r="O3352" s="88"/>
      <c r="P3352" s="88"/>
    </row>
    <row r="3353" spans="1:16">
      <c r="A3353" s="94">
        <v>97350</v>
      </c>
      <c r="B3353" s="87" t="s">
        <v>2971</v>
      </c>
      <c r="C3353" s="12" t="s">
        <v>6</v>
      </c>
      <c r="D3353" s="93">
        <v>165.33</v>
      </c>
      <c r="E3353" s="93">
        <v>2.2000000000000002</v>
      </c>
      <c r="F3353" s="93">
        <v>163.13</v>
      </c>
      <c r="G3353" s="93">
        <v>0</v>
      </c>
      <c r="H3353" s="93">
        <v>0</v>
      </c>
      <c r="N3353" s="88"/>
      <c r="O3353" s="88"/>
      <c r="P3353" s="88"/>
    </row>
    <row r="3354" spans="1:16">
      <c r="A3354" s="94">
        <v>97351</v>
      </c>
      <c r="B3354" s="87" t="s">
        <v>2972</v>
      </c>
      <c r="C3354" s="12" t="s">
        <v>6</v>
      </c>
      <c r="D3354" s="93">
        <v>228.55</v>
      </c>
      <c r="E3354" s="93">
        <v>2.72</v>
      </c>
      <c r="F3354" s="93">
        <v>225.83</v>
      </c>
      <c r="G3354" s="93">
        <v>0</v>
      </c>
      <c r="H3354" s="93">
        <v>0</v>
      </c>
      <c r="N3354" s="88"/>
      <c r="O3354" s="88"/>
      <c r="P3354" s="88"/>
    </row>
    <row r="3355" spans="1:16">
      <c r="A3355" s="94">
        <v>97352</v>
      </c>
      <c r="B3355" s="87" t="s">
        <v>2973</v>
      </c>
      <c r="C3355" s="12" t="s">
        <v>6</v>
      </c>
      <c r="D3355" s="93">
        <v>296.12</v>
      </c>
      <c r="E3355" s="93">
        <v>3.22</v>
      </c>
      <c r="F3355" s="93">
        <v>292.89999999999998</v>
      </c>
      <c r="G3355" s="93">
        <v>0</v>
      </c>
      <c r="H3355" s="93">
        <v>0</v>
      </c>
      <c r="N3355" s="88"/>
      <c r="O3355" s="88"/>
      <c r="P3355" s="88"/>
    </row>
    <row r="3356" spans="1:16">
      <c r="A3356" s="94">
        <v>97353</v>
      </c>
      <c r="B3356" s="87" t="s">
        <v>2974</v>
      </c>
      <c r="C3356" s="12" t="s">
        <v>6</v>
      </c>
      <c r="D3356" s="93">
        <v>45.61</v>
      </c>
      <c r="E3356" s="93">
        <v>3.62</v>
      </c>
      <c r="F3356" s="93">
        <v>41.99</v>
      </c>
      <c r="G3356" s="93">
        <v>0</v>
      </c>
      <c r="H3356" s="93">
        <v>0</v>
      </c>
      <c r="N3356" s="88"/>
      <c r="O3356" s="88"/>
      <c r="P3356" s="88"/>
    </row>
    <row r="3357" spans="1:16">
      <c r="A3357" s="94">
        <v>97354</v>
      </c>
      <c r="B3357" s="87" t="s">
        <v>2975</v>
      </c>
      <c r="C3357" s="12" t="s">
        <v>6</v>
      </c>
      <c r="D3357" s="93">
        <v>72.099999999999994</v>
      </c>
      <c r="E3357" s="93">
        <v>4.1900000000000004</v>
      </c>
      <c r="F3357" s="93">
        <v>67.91</v>
      </c>
      <c r="G3357" s="93">
        <v>0</v>
      </c>
      <c r="H3357" s="93">
        <v>0</v>
      </c>
      <c r="N3357" s="88"/>
      <c r="O3357" s="88"/>
      <c r="P3357" s="88"/>
    </row>
    <row r="3358" spans="1:16">
      <c r="A3358" s="94">
        <v>97355</v>
      </c>
      <c r="B3358" s="87" t="s">
        <v>2976</v>
      </c>
      <c r="C3358" s="12" t="s">
        <v>6</v>
      </c>
      <c r="D3358" s="93">
        <v>98.44</v>
      </c>
      <c r="E3358" s="93">
        <v>4.6500000000000004</v>
      </c>
      <c r="F3358" s="93">
        <v>93.79</v>
      </c>
      <c r="G3358" s="93">
        <v>0</v>
      </c>
      <c r="H3358" s="93">
        <v>0</v>
      </c>
      <c r="N3358" s="88"/>
      <c r="O3358" s="88"/>
      <c r="P3358" s="88"/>
    </row>
    <row r="3359" spans="1:16">
      <c r="A3359" s="94">
        <v>97356</v>
      </c>
      <c r="B3359" s="87" t="s">
        <v>2977</v>
      </c>
      <c r="C3359" s="12" t="s">
        <v>6</v>
      </c>
      <c r="D3359" s="93">
        <v>53.58</v>
      </c>
      <c r="E3359" s="93">
        <v>9.85</v>
      </c>
      <c r="F3359" s="93">
        <v>43.73</v>
      </c>
      <c r="G3359" s="93">
        <v>0</v>
      </c>
      <c r="H3359" s="93">
        <v>0</v>
      </c>
      <c r="N3359" s="88"/>
      <c r="O3359" s="88"/>
      <c r="P3359" s="88"/>
    </row>
    <row r="3360" spans="1:16">
      <c r="A3360" s="94">
        <v>97357</v>
      </c>
      <c r="B3360" s="87" t="s">
        <v>2978</v>
      </c>
      <c r="C3360" s="12" t="s">
        <v>6</v>
      </c>
      <c r="D3360" s="93">
        <v>85.8</v>
      </c>
      <c r="E3360" s="93">
        <v>14.87</v>
      </c>
      <c r="F3360" s="93">
        <v>70.930000000000007</v>
      </c>
      <c r="G3360" s="93">
        <v>0</v>
      </c>
      <c r="H3360" s="93">
        <v>0</v>
      </c>
      <c r="N3360" s="88"/>
      <c r="O3360" s="88"/>
      <c r="P3360" s="88"/>
    </row>
    <row r="3361" spans="1:16">
      <c r="A3361" s="94">
        <v>97358</v>
      </c>
      <c r="B3361" s="87" t="s">
        <v>2979</v>
      </c>
      <c r="C3361" s="12" t="s">
        <v>6</v>
      </c>
      <c r="D3361" s="93">
        <v>117.12</v>
      </c>
      <c r="E3361" s="93">
        <v>19.21</v>
      </c>
      <c r="F3361" s="93">
        <v>97.91</v>
      </c>
      <c r="G3361" s="93">
        <v>0</v>
      </c>
      <c r="H3361" s="93">
        <v>0</v>
      </c>
      <c r="N3361" s="88"/>
      <c r="O3361" s="88"/>
      <c r="P3361" s="88"/>
    </row>
    <row r="3362" spans="1:16">
      <c r="A3362" s="94">
        <v>97498</v>
      </c>
      <c r="B3362" s="87" t="s">
        <v>5943</v>
      </c>
      <c r="C3362" s="12" t="s">
        <v>6</v>
      </c>
      <c r="D3362" s="93">
        <v>35.56</v>
      </c>
      <c r="E3362" s="93">
        <v>4.74</v>
      </c>
      <c r="F3362" s="93">
        <v>30.82</v>
      </c>
      <c r="G3362" s="93">
        <v>0</v>
      </c>
      <c r="H3362" s="93">
        <v>0</v>
      </c>
      <c r="N3362" s="88"/>
      <c r="O3362" s="88"/>
      <c r="P3362" s="88"/>
    </row>
    <row r="3363" spans="1:16">
      <c r="A3363" s="94">
        <v>97535</v>
      </c>
      <c r="B3363" s="87" t="s">
        <v>5944</v>
      </c>
      <c r="C3363" s="12" t="s">
        <v>6</v>
      </c>
      <c r="D3363" s="93">
        <v>39.19</v>
      </c>
      <c r="E3363" s="93">
        <v>7.57</v>
      </c>
      <c r="F3363" s="93">
        <v>31.62</v>
      </c>
      <c r="G3363" s="93">
        <v>0</v>
      </c>
      <c r="H3363" s="93">
        <v>0</v>
      </c>
      <c r="N3363" s="88"/>
      <c r="O3363" s="88"/>
      <c r="P3363" s="88"/>
    </row>
    <row r="3364" spans="1:16">
      <c r="A3364" s="94">
        <v>97536</v>
      </c>
      <c r="B3364" s="87" t="s">
        <v>5945</v>
      </c>
      <c r="C3364" s="12" t="s">
        <v>6</v>
      </c>
      <c r="D3364" s="93">
        <v>47.54</v>
      </c>
      <c r="E3364" s="93">
        <v>14.1</v>
      </c>
      <c r="F3364" s="93">
        <v>33.44</v>
      </c>
      <c r="G3364" s="93">
        <v>0</v>
      </c>
      <c r="H3364" s="93">
        <v>0</v>
      </c>
      <c r="N3364" s="88"/>
      <c r="O3364" s="88"/>
      <c r="P3364" s="88"/>
    </row>
    <row r="3365" spans="1:16">
      <c r="A3365" s="94">
        <v>100788</v>
      </c>
      <c r="B3365" s="87" t="s">
        <v>2980</v>
      </c>
      <c r="C3365" s="12" t="s">
        <v>4</v>
      </c>
      <c r="D3365" s="93">
        <v>472.33</v>
      </c>
      <c r="E3365" s="93">
        <v>112.7</v>
      </c>
      <c r="F3365" s="93">
        <v>359.63</v>
      </c>
      <c r="G3365" s="93">
        <v>0</v>
      </c>
      <c r="H3365" s="93">
        <v>0</v>
      </c>
      <c r="N3365" s="88"/>
      <c r="O3365" s="88"/>
      <c r="P3365" s="88"/>
    </row>
    <row r="3366" spans="1:16">
      <c r="A3366" s="94">
        <v>100791</v>
      </c>
      <c r="B3366" s="87" t="s">
        <v>2981</v>
      </c>
      <c r="C3366" s="12" t="s">
        <v>6</v>
      </c>
      <c r="D3366" s="93">
        <v>15.9</v>
      </c>
      <c r="E3366" s="93">
        <v>4.72</v>
      </c>
      <c r="F3366" s="93">
        <v>11.18</v>
      </c>
      <c r="G3366" s="93">
        <v>0</v>
      </c>
      <c r="H3366" s="93">
        <v>0</v>
      </c>
      <c r="N3366" s="88"/>
      <c r="O3366" s="88"/>
      <c r="P3366" s="88"/>
    </row>
    <row r="3367" spans="1:16">
      <c r="A3367" s="94">
        <v>100792</v>
      </c>
      <c r="B3367" s="87" t="s">
        <v>2982</v>
      </c>
      <c r="C3367" s="12" t="s">
        <v>6</v>
      </c>
      <c r="D3367" s="93">
        <v>23.37</v>
      </c>
      <c r="E3367" s="93">
        <v>5.59</v>
      </c>
      <c r="F3367" s="93">
        <v>17.78</v>
      </c>
      <c r="G3367" s="93">
        <v>0</v>
      </c>
      <c r="H3367" s="93">
        <v>0</v>
      </c>
      <c r="N3367" s="88"/>
      <c r="O3367" s="88"/>
      <c r="P3367" s="88"/>
    </row>
    <row r="3368" spans="1:16">
      <c r="A3368" s="94">
        <v>100793</v>
      </c>
      <c r="B3368" s="87" t="s">
        <v>2983</v>
      </c>
      <c r="C3368" s="12" t="s">
        <v>6</v>
      </c>
      <c r="D3368" s="93">
        <v>31.04</v>
      </c>
      <c r="E3368" s="93">
        <v>6.68</v>
      </c>
      <c r="F3368" s="93">
        <v>24.36</v>
      </c>
      <c r="G3368" s="93">
        <v>0</v>
      </c>
      <c r="H3368" s="93">
        <v>0</v>
      </c>
      <c r="N3368" s="88"/>
      <c r="O3368" s="88"/>
      <c r="P3368" s="88"/>
    </row>
    <row r="3369" spans="1:16">
      <c r="A3369" s="94">
        <v>100794</v>
      </c>
      <c r="B3369" s="87" t="s">
        <v>2984</v>
      </c>
      <c r="C3369" s="12" t="s">
        <v>6</v>
      </c>
      <c r="D3369" s="93">
        <v>41.91</v>
      </c>
      <c r="E3369" s="93">
        <v>8.2200000000000006</v>
      </c>
      <c r="F3369" s="93">
        <v>33.69</v>
      </c>
      <c r="G3369" s="93">
        <v>0</v>
      </c>
      <c r="H3369" s="93">
        <v>0</v>
      </c>
      <c r="N3369" s="88"/>
      <c r="O3369" s="88"/>
      <c r="P3369" s="88"/>
    </row>
    <row r="3370" spans="1:16">
      <c r="A3370" s="94">
        <v>100803</v>
      </c>
      <c r="B3370" s="87" t="s">
        <v>2985</v>
      </c>
      <c r="C3370" s="12" t="s">
        <v>6</v>
      </c>
      <c r="D3370" s="93">
        <v>15.13</v>
      </c>
      <c r="E3370" s="93">
        <v>4.0999999999999996</v>
      </c>
      <c r="F3370" s="93">
        <v>11.03</v>
      </c>
      <c r="G3370" s="93">
        <v>0</v>
      </c>
      <c r="H3370" s="93">
        <v>0</v>
      </c>
      <c r="N3370" s="88"/>
      <c r="O3370" s="88"/>
      <c r="P3370" s="88"/>
    </row>
    <row r="3371" spans="1:16">
      <c r="A3371" s="94">
        <v>100804</v>
      </c>
      <c r="B3371" s="87" t="s">
        <v>2986</v>
      </c>
      <c r="C3371" s="12" t="s">
        <v>6</v>
      </c>
      <c r="D3371" s="93">
        <v>22.46</v>
      </c>
      <c r="E3371" s="93">
        <v>4.87</v>
      </c>
      <c r="F3371" s="93">
        <v>17.59</v>
      </c>
      <c r="G3371" s="93">
        <v>0</v>
      </c>
      <c r="H3371" s="93">
        <v>0</v>
      </c>
      <c r="N3371" s="88"/>
      <c r="O3371" s="88"/>
      <c r="P3371" s="88"/>
    </row>
    <row r="3372" spans="1:16">
      <c r="A3372" s="94">
        <v>100805</v>
      </c>
      <c r="B3372" s="87" t="s">
        <v>2987</v>
      </c>
      <c r="C3372" s="12" t="s">
        <v>6</v>
      </c>
      <c r="D3372" s="93">
        <v>29.95</v>
      </c>
      <c r="E3372" s="93">
        <v>5.82</v>
      </c>
      <c r="F3372" s="93">
        <v>24.13</v>
      </c>
      <c r="G3372" s="93">
        <v>0</v>
      </c>
      <c r="H3372" s="93">
        <v>0</v>
      </c>
      <c r="N3372" s="88"/>
      <c r="O3372" s="88"/>
      <c r="P3372" s="88"/>
    </row>
    <row r="3373" spans="1:16">
      <c r="A3373" s="94">
        <v>100806</v>
      </c>
      <c r="B3373" s="87" t="s">
        <v>2988</v>
      </c>
      <c r="C3373" s="12" t="s">
        <v>6</v>
      </c>
      <c r="D3373" s="93">
        <v>40.549999999999997</v>
      </c>
      <c r="E3373" s="93">
        <v>7.16</v>
      </c>
      <c r="F3373" s="93">
        <v>33.39</v>
      </c>
      <c r="G3373" s="93">
        <v>0</v>
      </c>
      <c r="H3373" s="93">
        <v>0</v>
      </c>
      <c r="N3373" s="88"/>
      <c r="O3373" s="88"/>
      <c r="P3373" s="88"/>
    </row>
    <row r="3374" spans="1:16">
      <c r="A3374" s="94">
        <v>101918</v>
      </c>
      <c r="B3374" s="87" t="s">
        <v>5946</v>
      </c>
      <c r="C3374" s="12" t="s">
        <v>6</v>
      </c>
      <c r="D3374" s="93">
        <v>166.47</v>
      </c>
      <c r="E3374" s="93">
        <v>18.12</v>
      </c>
      <c r="F3374" s="93">
        <v>148.35</v>
      </c>
      <c r="G3374" s="93">
        <v>0</v>
      </c>
      <c r="H3374" s="93">
        <v>0</v>
      </c>
      <c r="N3374" s="88"/>
      <c r="O3374" s="88"/>
      <c r="P3374" s="88"/>
    </row>
    <row r="3375" spans="1:16">
      <c r="A3375" s="94">
        <v>101919</v>
      </c>
      <c r="B3375" s="87" t="s">
        <v>5947</v>
      </c>
      <c r="C3375" s="12" t="s">
        <v>4</v>
      </c>
      <c r="D3375" s="93">
        <v>286.83999999999997</v>
      </c>
      <c r="E3375" s="93">
        <v>24.45</v>
      </c>
      <c r="F3375" s="93">
        <v>262.39</v>
      </c>
      <c r="G3375" s="93">
        <v>0</v>
      </c>
      <c r="H3375" s="93">
        <v>0</v>
      </c>
      <c r="N3375" s="88"/>
      <c r="O3375" s="88"/>
      <c r="P3375" s="88"/>
    </row>
    <row r="3376" spans="1:16">
      <c r="A3376" s="94">
        <v>101920</v>
      </c>
      <c r="B3376" s="87" t="s">
        <v>5948</v>
      </c>
      <c r="C3376" s="12" t="s">
        <v>4</v>
      </c>
      <c r="D3376" s="93">
        <v>138.15</v>
      </c>
      <c r="E3376" s="93">
        <v>24.46</v>
      </c>
      <c r="F3376" s="93">
        <v>113.69</v>
      </c>
      <c r="G3376" s="93">
        <v>0</v>
      </c>
      <c r="H3376" s="93">
        <v>0</v>
      </c>
      <c r="N3376" s="88"/>
      <c r="O3376" s="88"/>
      <c r="P3376" s="88"/>
    </row>
    <row r="3377" spans="1:16">
      <c r="A3377" s="94">
        <v>101921</v>
      </c>
      <c r="B3377" s="87" t="s">
        <v>5949</v>
      </c>
      <c r="C3377" s="12" t="s">
        <v>4</v>
      </c>
      <c r="D3377" s="93">
        <v>157.29</v>
      </c>
      <c r="E3377" s="93">
        <v>24.45</v>
      </c>
      <c r="F3377" s="93">
        <v>132.84</v>
      </c>
      <c r="G3377" s="93">
        <v>0</v>
      </c>
      <c r="H3377" s="93">
        <v>0</v>
      </c>
      <c r="N3377" s="88"/>
      <c r="O3377" s="88"/>
      <c r="P3377" s="88"/>
    </row>
    <row r="3378" spans="1:16">
      <c r="A3378" s="94">
        <v>101922</v>
      </c>
      <c r="B3378" s="87" t="s">
        <v>5950</v>
      </c>
      <c r="C3378" s="12" t="s">
        <v>4</v>
      </c>
      <c r="D3378" s="93">
        <v>157.29</v>
      </c>
      <c r="E3378" s="93">
        <v>24.45</v>
      </c>
      <c r="F3378" s="93">
        <v>132.84</v>
      </c>
      <c r="G3378" s="93">
        <v>0</v>
      </c>
      <c r="H3378" s="93">
        <v>0</v>
      </c>
      <c r="N3378" s="88"/>
      <c r="O3378" s="88"/>
      <c r="P3378" s="88"/>
    </row>
    <row r="3379" spans="1:16">
      <c r="A3379" s="94">
        <v>101923</v>
      </c>
      <c r="B3379" s="87" t="s">
        <v>5951</v>
      </c>
      <c r="C3379" s="12" t="s">
        <v>4</v>
      </c>
      <c r="D3379" s="93">
        <v>157.29</v>
      </c>
      <c r="E3379" s="93">
        <v>24.45</v>
      </c>
      <c r="F3379" s="93">
        <v>132.84</v>
      </c>
      <c r="G3379" s="93">
        <v>0</v>
      </c>
      <c r="H3379" s="93">
        <v>0</v>
      </c>
      <c r="N3379" s="88"/>
      <c r="O3379" s="88"/>
      <c r="P3379" s="88"/>
    </row>
    <row r="3380" spans="1:16">
      <c r="A3380" s="94">
        <v>101924</v>
      </c>
      <c r="B3380" s="87" t="s">
        <v>5952</v>
      </c>
      <c r="C3380" s="12" t="s">
        <v>4</v>
      </c>
      <c r="D3380" s="93">
        <v>130.13999999999999</v>
      </c>
      <c r="E3380" s="93">
        <v>24.46</v>
      </c>
      <c r="F3380" s="93">
        <v>105.68</v>
      </c>
      <c r="G3380" s="93">
        <v>0</v>
      </c>
      <c r="H3380" s="93">
        <v>0</v>
      </c>
      <c r="N3380" s="88"/>
      <c r="O3380" s="88"/>
      <c r="P3380" s="88"/>
    </row>
    <row r="3381" spans="1:16">
      <c r="A3381" s="94">
        <v>101925</v>
      </c>
      <c r="B3381" s="87" t="s">
        <v>5953</v>
      </c>
      <c r="C3381" s="12" t="s">
        <v>4</v>
      </c>
      <c r="D3381" s="93">
        <v>217.16</v>
      </c>
      <c r="E3381" s="93">
        <v>36.700000000000003</v>
      </c>
      <c r="F3381" s="93">
        <v>180.46</v>
      </c>
      <c r="G3381" s="93">
        <v>0</v>
      </c>
      <c r="H3381" s="93">
        <v>0</v>
      </c>
      <c r="N3381" s="88"/>
      <c r="O3381" s="88"/>
      <c r="P3381" s="88"/>
    </row>
    <row r="3382" spans="1:16">
      <c r="A3382" s="94">
        <v>101926</v>
      </c>
      <c r="B3382" s="87" t="s">
        <v>5954</v>
      </c>
      <c r="C3382" s="12" t="s">
        <v>4</v>
      </c>
      <c r="D3382" s="93">
        <v>280.16000000000003</v>
      </c>
      <c r="E3382" s="93">
        <v>48.94</v>
      </c>
      <c r="F3382" s="93">
        <v>231.22</v>
      </c>
      <c r="G3382" s="93">
        <v>0</v>
      </c>
      <c r="H3382" s="93">
        <v>0</v>
      </c>
      <c r="N3382" s="88"/>
      <c r="O3382" s="88"/>
      <c r="P3382" s="88"/>
    </row>
    <row r="3383" spans="1:16">
      <c r="A3383" s="94">
        <v>101927</v>
      </c>
      <c r="B3383" s="87" t="s">
        <v>5955</v>
      </c>
      <c r="C3383" s="12" t="s">
        <v>6</v>
      </c>
      <c r="D3383" s="93">
        <v>155.15</v>
      </c>
      <c r="E3383" s="93">
        <v>9.27</v>
      </c>
      <c r="F3383" s="93">
        <v>145.88</v>
      </c>
      <c r="G3383" s="93">
        <v>0</v>
      </c>
      <c r="H3383" s="93">
        <v>0</v>
      </c>
      <c r="N3383" s="88"/>
      <c r="O3383" s="88"/>
      <c r="P3383" s="88"/>
    </row>
    <row r="3384" spans="1:16">
      <c r="A3384" s="94">
        <v>101928</v>
      </c>
      <c r="B3384" s="87" t="s">
        <v>5956</v>
      </c>
      <c r="C3384" s="12" t="s">
        <v>4</v>
      </c>
      <c r="D3384" s="93">
        <v>291.18</v>
      </c>
      <c r="E3384" s="93">
        <v>27.84</v>
      </c>
      <c r="F3384" s="93">
        <v>263.33999999999997</v>
      </c>
      <c r="G3384" s="93">
        <v>0</v>
      </c>
      <c r="H3384" s="93">
        <v>0</v>
      </c>
      <c r="N3384" s="88"/>
      <c r="O3384" s="88"/>
      <c r="P3384" s="88"/>
    </row>
    <row r="3385" spans="1:16">
      <c r="A3385" s="94">
        <v>101929</v>
      </c>
      <c r="B3385" s="87" t="s">
        <v>5957</v>
      </c>
      <c r="C3385" s="12" t="s">
        <v>4</v>
      </c>
      <c r="D3385" s="93">
        <v>142.49</v>
      </c>
      <c r="E3385" s="93">
        <v>27.85</v>
      </c>
      <c r="F3385" s="93">
        <v>114.64</v>
      </c>
      <c r="G3385" s="93">
        <v>0</v>
      </c>
      <c r="H3385" s="93">
        <v>0</v>
      </c>
      <c r="N3385" s="88"/>
      <c r="O3385" s="88"/>
      <c r="P3385" s="88"/>
    </row>
    <row r="3386" spans="1:16">
      <c r="A3386" s="94">
        <v>101930</v>
      </c>
      <c r="B3386" s="87" t="s">
        <v>5958</v>
      </c>
      <c r="C3386" s="12" t="s">
        <v>4</v>
      </c>
      <c r="D3386" s="93">
        <v>161.63</v>
      </c>
      <c r="E3386" s="93">
        <v>27.85</v>
      </c>
      <c r="F3386" s="93">
        <v>133.78</v>
      </c>
      <c r="G3386" s="93">
        <v>0</v>
      </c>
      <c r="H3386" s="93">
        <v>0</v>
      </c>
      <c r="N3386" s="88"/>
      <c r="O3386" s="88"/>
      <c r="P3386" s="88"/>
    </row>
    <row r="3387" spans="1:16">
      <c r="A3387" s="94">
        <v>101931</v>
      </c>
      <c r="B3387" s="87" t="s">
        <v>5959</v>
      </c>
      <c r="C3387" s="12" t="s">
        <v>4</v>
      </c>
      <c r="D3387" s="93">
        <v>161.63</v>
      </c>
      <c r="E3387" s="93">
        <v>27.85</v>
      </c>
      <c r="F3387" s="93">
        <v>133.78</v>
      </c>
      <c r="G3387" s="93">
        <v>0</v>
      </c>
      <c r="H3387" s="93">
        <v>0</v>
      </c>
      <c r="N3387" s="88"/>
      <c r="O3387" s="88"/>
      <c r="P3387" s="88"/>
    </row>
    <row r="3388" spans="1:16">
      <c r="A3388" s="94">
        <v>101932</v>
      </c>
      <c r="B3388" s="87" t="s">
        <v>5960</v>
      </c>
      <c r="C3388" s="12" t="s">
        <v>4</v>
      </c>
      <c r="D3388" s="93">
        <v>161.63</v>
      </c>
      <c r="E3388" s="93">
        <v>27.85</v>
      </c>
      <c r="F3388" s="93">
        <v>133.78</v>
      </c>
      <c r="G3388" s="93">
        <v>0</v>
      </c>
      <c r="H3388" s="93">
        <v>0</v>
      </c>
      <c r="N3388" s="88"/>
      <c r="O3388" s="88"/>
      <c r="P3388" s="88"/>
    </row>
    <row r="3389" spans="1:16">
      <c r="A3389" s="94">
        <v>101933</v>
      </c>
      <c r="B3389" s="87" t="s">
        <v>5961</v>
      </c>
      <c r="C3389" s="12" t="s">
        <v>4</v>
      </c>
      <c r="D3389" s="93">
        <v>134.47999999999999</v>
      </c>
      <c r="E3389" s="93">
        <v>27.85</v>
      </c>
      <c r="F3389" s="93">
        <v>106.63</v>
      </c>
      <c r="G3389" s="93">
        <v>0</v>
      </c>
      <c r="H3389" s="93">
        <v>0</v>
      </c>
      <c r="N3389" s="88"/>
      <c r="O3389" s="88"/>
      <c r="P3389" s="88"/>
    </row>
    <row r="3390" spans="1:16">
      <c r="A3390" s="94">
        <v>101934</v>
      </c>
      <c r="B3390" s="87" t="s">
        <v>5962</v>
      </c>
      <c r="C3390" s="12" t="s">
        <v>4</v>
      </c>
      <c r="D3390" s="93">
        <v>223.66</v>
      </c>
      <c r="E3390" s="93">
        <v>41.78</v>
      </c>
      <c r="F3390" s="93">
        <v>181.88</v>
      </c>
      <c r="G3390" s="93">
        <v>0</v>
      </c>
      <c r="H3390" s="93">
        <v>0</v>
      </c>
      <c r="N3390" s="88"/>
      <c r="O3390" s="88"/>
      <c r="P3390" s="88"/>
    </row>
    <row r="3391" spans="1:16">
      <c r="A3391" s="94">
        <v>101935</v>
      </c>
      <c r="B3391" s="87" t="s">
        <v>5963</v>
      </c>
      <c r="C3391" s="12" t="s">
        <v>4</v>
      </c>
      <c r="D3391" s="93">
        <v>288.83</v>
      </c>
      <c r="E3391" s="93">
        <v>55.7</v>
      </c>
      <c r="F3391" s="93">
        <v>233.13</v>
      </c>
      <c r="G3391" s="93">
        <v>0</v>
      </c>
      <c r="H3391" s="93">
        <v>0</v>
      </c>
      <c r="N3391" s="88"/>
      <c r="O3391" s="88"/>
      <c r="P3391" s="88"/>
    </row>
    <row r="3392" spans="1:16">
      <c r="A3392" s="94">
        <v>89358</v>
      </c>
      <c r="B3392" s="87" t="s">
        <v>2989</v>
      </c>
      <c r="C3392" s="12" t="s">
        <v>4</v>
      </c>
      <c r="D3392" s="93">
        <v>5.99</v>
      </c>
      <c r="E3392" s="93">
        <v>3.8</v>
      </c>
      <c r="F3392" s="93">
        <v>2.19</v>
      </c>
      <c r="G3392" s="93">
        <v>0</v>
      </c>
      <c r="H3392" s="93">
        <v>0</v>
      </c>
      <c r="N3392" s="88"/>
      <c r="O3392" s="88"/>
      <c r="P3392" s="88"/>
    </row>
    <row r="3393" spans="1:16">
      <c r="A3393" s="94">
        <v>89359</v>
      </c>
      <c r="B3393" s="87" t="s">
        <v>2990</v>
      </c>
      <c r="C3393" s="12" t="s">
        <v>4</v>
      </c>
      <c r="D3393" s="93">
        <v>6.28</v>
      </c>
      <c r="E3393" s="93">
        <v>3.79</v>
      </c>
      <c r="F3393" s="93">
        <v>2.4900000000000002</v>
      </c>
      <c r="G3393" s="93">
        <v>0</v>
      </c>
      <c r="H3393" s="93">
        <v>0</v>
      </c>
      <c r="N3393" s="88"/>
      <c r="O3393" s="88"/>
      <c r="P3393" s="88"/>
    </row>
    <row r="3394" spans="1:16">
      <c r="A3394" s="94">
        <v>89360</v>
      </c>
      <c r="B3394" s="87" t="s">
        <v>2991</v>
      </c>
      <c r="C3394" s="12" t="s">
        <v>4</v>
      </c>
      <c r="D3394" s="93">
        <v>7.49</v>
      </c>
      <c r="E3394" s="93">
        <v>3.79</v>
      </c>
      <c r="F3394" s="93">
        <v>3.7</v>
      </c>
      <c r="G3394" s="93">
        <v>0</v>
      </c>
      <c r="H3394" s="93">
        <v>0</v>
      </c>
      <c r="N3394" s="88"/>
      <c r="O3394" s="88"/>
      <c r="P3394" s="88"/>
    </row>
    <row r="3395" spans="1:16">
      <c r="A3395" s="94">
        <v>89361</v>
      </c>
      <c r="B3395" s="87" t="s">
        <v>2992</v>
      </c>
      <c r="C3395" s="12" t="s">
        <v>4</v>
      </c>
      <c r="D3395" s="93">
        <v>7.02</v>
      </c>
      <c r="E3395" s="93">
        <v>3.79</v>
      </c>
      <c r="F3395" s="93">
        <v>3.23</v>
      </c>
      <c r="G3395" s="93">
        <v>0</v>
      </c>
      <c r="H3395" s="93">
        <v>0</v>
      </c>
      <c r="N3395" s="88"/>
      <c r="O3395" s="88"/>
      <c r="P3395" s="88"/>
    </row>
    <row r="3396" spans="1:16">
      <c r="A3396" s="94">
        <v>89362</v>
      </c>
      <c r="B3396" s="87" t="s">
        <v>2993</v>
      </c>
      <c r="C3396" s="12" t="s">
        <v>4</v>
      </c>
      <c r="D3396" s="93">
        <v>7.12</v>
      </c>
      <c r="E3396" s="93">
        <v>4.4000000000000004</v>
      </c>
      <c r="F3396" s="93">
        <v>2.72</v>
      </c>
      <c r="G3396" s="93">
        <v>0</v>
      </c>
      <c r="H3396" s="93">
        <v>0</v>
      </c>
      <c r="N3396" s="88"/>
      <c r="O3396" s="88"/>
      <c r="P3396" s="88"/>
    </row>
    <row r="3397" spans="1:16">
      <c r="A3397" s="94">
        <v>89363</v>
      </c>
      <c r="B3397" s="87" t="s">
        <v>2994</v>
      </c>
      <c r="C3397" s="12" t="s">
        <v>4</v>
      </c>
      <c r="D3397" s="93">
        <v>7.74</v>
      </c>
      <c r="E3397" s="93">
        <v>4.4000000000000004</v>
      </c>
      <c r="F3397" s="93">
        <v>3.34</v>
      </c>
      <c r="G3397" s="93">
        <v>0</v>
      </c>
      <c r="H3397" s="93">
        <v>0</v>
      </c>
      <c r="N3397" s="88"/>
      <c r="O3397" s="88"/>
      <c r="P3397" s="88"/>
    </row>
    <row r="3398" spans="1:16">
      <c r="A3398" s="94">
        <v>89364</v>
      </c>
      <c r="B3398" s="87" t="s">
        <v>2995</v>
      </c>
      <c r="C3398" s="12" t="s">
        <v>4</v>
      </c>
      <c r="D3398" s="93">
        <v>9.0299999999999994</v>
      </c>
      <c r="E3398" s="93">
        <v>4.38</v>
      </c>
      <c r="F3398" s="93">
        <v>4.6500000000000004</v>
      </c>
      <c r="G3398" s="93">
        <v>0</v>
      </c>
      <c r="H3398" s="93">
        <v>0</v>
      </c>
      <c r="N3398" s="88"/>
      <c r="O3398" s="88"/>
      <c r="P3398" s="88"/>
    </row>
    <row r="3399" spans="1:16">
      <c r="A3399" s="94">
        <v>89365</v>
      </c>
      <c r="B3399" s="87" t="s">
        <v>2996</v>
      </c>
      <c r="C3399" s="12" t="s">
        <v>4</v>
      </c>
      <c r="D3399" s="93">
        <v>8.4499999999999993</v>
      </c>
      <c r="E3399" s="93">
        <v>4.4000000000000004</v>
      </c>
      <c r="F3399" s="93">
        <v>4.05</v>
      </c>
      <c r="G3399" s="93">
        <v>0</v>
      </c>
      <c r="H3399" s="93">
        <v>0</v>
      </c>
      <c r="N3399" s="88"/>
      <c r="O3399" s="88"/>
      <c r="P3399" s="88"/>
    </row>
    <row r="3400" spans="1:16">
      <c r="A3400" s="94">
        <v>89366</v>
      </c>
      <c r="B3400" s="87" t="s">
        <v>2997</v>
      </c>
      <c r="C3400" s="12" t="s">
        <v>4</v>
      </c>
      <c r="D3400" s="93">
        <v>12.42</v>
      </c>
      <c r="E3400" s="93">
        <v>4.38</v>
      </c>
      <c r="F3400" s="93">
        <v>8.0399999999999991</v>
      </c>
      <c r="G3400" s="93">
        <v>0</v>
      </c>
      <c r="H3400" s="93">
        <v>0</v>
      </c>
      <c r="N3400" s="88"/>
      <c r="O3400" s="88"/>
      <c r="P3400" s="88"/>
    </row>
    <row r="3401" spans="1:16">
      <c r="A3401" s="94">
        <v>89367</v>
      </c>
      <c r="B3401" s="87" t="s">
        <v>2998</v>
      </c>
      <c r="C3401" s="12" t="s">
        <v>4</v>
      </c>
      <c r="D3401" s="93">
        <v>9.69</v>
      </c>
      <c r="E3401" s="93">
        <v>5.24</v>
      </c>
      <c r="F3401" s="93">
        <v>4.45</v>
      </c>
      <c r="G3401" s="93">
        <v>0</v>
      </c>
      <c r="H3401" s="93">
        <v>0</v>
      </c>
      <c r="N3401" s="88"/>
      <c r="O3401" s="88"/>
      <c r="P3401" s="88"/>
    </row>
    <row r="3402" spans="1:16">
      <c r="A3402" s="94">
        <v>89368</v>
      </c>
      <c r="B3402" s="87" t="s">
        <v>2999</v>
      </c>
      <c r="C3402" s="12" t="s">
        <v>4</v>
      </c>
      <c r="D3402" s="93">
        <v>11.43</v>
      </c>
      <c r="E3402" s="93">
        <v>5.22</v>
      </c>
      <c r="F3402" s="93">
        <v>6.21</v>
      </c>
      <c r="G3402" s="93">
        <v>0</v>
      </c>
      <c r="H3402" s="93">
        <v>0</v>
      </c>
      <c r="N3402" s="88"/>
      <c r="O3402" s="88"/>
      <c r="P3402" s="88"/>
    </row>
    <row r="3403" spans="1:16">
      <c r="A3403" s="94">
        <v>89369</v>
      </c>
      <c r="B3403" s="87" t="s">
        <v>3000</v>
      </c>
      <c r="C3403" s="12" t="s">
        <v>4</v>
      </c>
      <c r="D3403" s="93">
        <v>13.59</v>
      </c>
      <c r="E3403" s="93">
        <v>5.22</v>
      </c>
      <c r="F3403" s="93">
        <v>8.3699999999999992</v>
      </c>
      <c r="G3403" s="93">
        <v>0</v>
      </c>
      <c r="H3403" s="93">
        <v>0</v>
      </c>
      <c r="N3403" s="88"/>
      <c r="O3403" s="88"/>
      <c r="P3403" s="88"/>
    </row>
    <row r="3404" spans="1:16">
      <c r="A3404" s="94">
        <v>89370</v>
      </c>
      <c r="B3404" s="87" t="s">
        <v>3001</v>
      </c>
      <c r="C3404" s="12" t="s">
        <v>4</v>
      </c>
      <c r="D3404" s="93">
        <v>11.06</v>
      </c>
      <c r="E3404" s="93">
        <v>5.22</v>
      </c>
      <c r="F3404" s="93">
        <v>5.84</v>
      </c>
      <c r="G3404" s="93">
        <v>0</v>
      </c>
      <c r="H3404" s="93">
        <v>0</v>
      </c>
      <c r="N3404" s="88"/>
      <c r="O3404" s="88"/>
      <c r="P3404" s="88"/>
    </row>
    <row r="3405" spans="1:16">
      <c r="A3405" s="94">
        <v>89371</v>
      </c>
      <c r="B3405" s="87" t="s">
        <v>277</v>
      </c>
      <c r="C3405" s="12" t="s">
        <v>4</v>
      </c>
      <c r="D3405" s="93">
        <v>4.47</v>
      </c>
      <c r="E3405" s="93">
        <v>2.54</v>
      </c>
      <c r="F3405" s="93">
        <v>1.93</v>
      </c>
      <c r="G3405" s="93">
        <v>0</v>
      </c>
      <c r="H3405" s="93">
        <v>0</v>
      </c>
      <c r="N3405" s="88"/>
      <c r="O3405" s="88"/>
      <c r="P3405" s="88"/>
    </row>
    <row r="3406" spans="1:16">
      <c r="A3406" s="94">
        <v>89372</v>
      </c>
      <c r="B3406" s="87" t="s">
        <v>3002</v>
      </c>
      <c r="C3406" s="12" t="s">
        <v>4</v>
      </c>
      <c r="D3406" s="93">
        <v>10.220000000000001</v>
      </c>
      <c r="E3406" s="93">
        <v>2.5</v>
      </c>
      <c r="F3406" s="93">
        <v>7.72</v>
      </c>
      <c r="G3406" s="93">
        <v>0</v>
      </c>
      <c r="H3406" s="93">
        <v>0</v>
      </c>
      <c r="N3406" s="88"/>
      <c r="O3406" s="88"/>
      <c r="P3406" s="88"/>
    </row>
    <row r="3407" spans="1:16">
      <c r="A3407" s="94">
        <v>89373</v>
      </c>
      <c r="B3407" s="87" t="s">
        <v>278</v>
      </c>
      <c r="C3407" s="12" t="s">
        <v>4</v>
      </c>
      <c r="D3407" s="93">
        <v>4.99</v>
      </c>
      <c r="E3407" s="93">
        <v>2.54</v>
      </c>
      <c r="F3407" s="93">
        <v>2.4500000000000002</v>
      </c>
      <c r="G3407" s="93">
        <v>0</v>
      </c>
      <c r="H3407" s="93">
        <v>0</v>
      </c>
      <c r="N3407" s="88"/>
      <c r="O3407" s="88"/>
      <c r="P3407" s="88"/>
    </row>
    <row r="3408" spans="1:16">
      <c r="A3408" s="94">
        <v>89374</v>
      </c>
      <c r="B3408" s="87" t="s">
        <v>3003</v>
      </c>
      <c r="C3408" s="12" t="s">
        <v>4</v>
      </c>
      <c r="D3408" s="93">
        <v>8.11</v>
      </c>
      <c r="E3408" s="93">
        <v>2.5099999999999998</v>
      </c>
      <c r="F3408" s="93">
        <v>5.6</v>
      </c>
      <c r="G3408" s="93">
        <v>0</v>
      </c>
      <c r="H3408" s="93">
        <v>0</v>
      </c>
      <c r="N3408" s="88"/>
      <c r="O3408" s="88"/>
      <c r="P3408" s="88"/>
    </row>
    <row r="3409" spans="1:16">
      <c r="A3409" s="94">
        <v>89375</v>
      </c>
      <c r="B3409" s="87" t="s">
        <v>279</v>
      </c>
      <c r="C3409" s="12" t="s">
        <v>4</v>
      </c>
      <c r="D3409" s="93">
        <v>9.99</v>
      </c>
      <c r="E3409" s="93">
        <v>2.5099999999999998</v>
      </c>
      <c r="F3409" s="93">
        <v>7.48</v>
      </c>
      <c r="G3409" s="93">
        <v>0</v>
      </c>
      <c r="H3409" s="93">
        <v>0</v>
      </c>
      <c r="N3409" s="88"/>
      <c r="O3409" s="88"/>
      <c r="P3409" s="88"/>
    </row>
    <row r="3410" spans="1:16">
      <c r="A3410" s="94">
        <v>89376</v>
      </c>
      <c r="B3410" s="87" t="s">
        <v>3004</v>
      </c>
      <c r="C3410" s="12" t="s">
        <v>4</v>
      </c>
      <c r="D3410" s="93">
        <v>4.53</v>
      </c>
      <c r="E3410" s="93">
        <v>2.54</v>
      </c>
      <c r="F3410" s="93">
        <v>1.99</v>
      </c>
      <c r="G3410" s="93">
        <v>0</v>
      </c>
      <c r="H3410" s="93">
        <v>0</v>
      </c>
      <c r="N3410" s="88"/>
      <c r="O3410" s="88"/>
      <c r="P3410" s="88"/>
    </row>
    <row r="3411" spans="1:16">
      <c r="A3411" s="94">
        <v>89377</v>
      </c>
      <c r="B3411" s="87" t="s">
        <v>3005</v>
      </c>
      <c r="C3411" s="12" t="s">
        <v>4</v>
      </c>
      <c r="D3411" s="93">
        <v>7.31</v>
      </c>
      <c r="E3411" s="93">
        <v>2.5099999999999998</v>
      </c>
      <c r="F3411" s="93">
        <v>4.8</v>
      </c>
      <c r="G3411" s="93">
        <v>0</v>
      </c>
      <c r="H3411" s="93">
        <v>0</v>
      </c>
      <c r="N3411" s="88"/>
      <c r="O3411" s="88"/>
      <c r="P3411" s="88"/>
    </row>
    <row r="3412" spans="1:16">
      <c r="A3412" s="94">
        <v>89378</v>
      </c>
      <c r="B3412" s="87" t="s">
        <v>280</v>
      </c>
      <c r="C3412" s="12" t="s">
        <v>4</v>
      </c>
      <c r="D3412" s="93">
        <v>5.3</v>
      </c>
      <c r="E3412" s="93">
        <v>2.94</v>
      </c>
      <c r="F3412" s="93">
        <v>2.36</v>
      </c>
      <c r="G3412" s="93">
        <v>0</v>
      </c>
      <c r="H3412" s="93">
        <v>0</v>
      </c>
      <c r="N3412" s="88"/>
      <c r="O3412" s="88"/>
      <c r="P3412" s="88"/>
    </row>
    <row r="3413" spans="1:16">
      <c r="A3413" s="94">
        <v>89379</v>
      </c>
      <c r="B3413" s="87" t="s">
        <v>3006</v>
      </c>
      <c r="C3413" s="12" t="s">
        <v>4</v>
      </c>
      <c r="D3413" s="93">
        <v>12.96</v>
      </c>
      <c r="E3413" s="93">
        <v>2.91</v>
      </c>
      <c r="F3413" s="93">
        <v>10.050000000000001</v>
      </c>
      <c r="G3413" s="93">
        <v>0</v>
      </c>
      <c r="H3413" s="93">
        <v>0</v>
      </c>
      <c r="N3413" s="88"/>
      <c r="O3413" s="88"/>
      <c r="P3413" s="88"/>
    </row>
    <row r="3414" spans="1:16">
      <c r="A3414" s="94">
        <v>89380</v>
      </c>
      <c r="B3414" s="87" t="s">
        <v>281</v>
      </c>
      <c r="C3414" s="12" t="s">
        <v>4</v>
      </c>
      <c r="D3414" s="93">
        <v>7.65</v>
      </c>
      <c r="E3414" s="93">
        <v>2.92</v>
      </c>
      <c r="F3414" s="93">
        <v>4.7300000000000004</v>
      </c>
      <c r="G3414" s="93">
        <v>0</v>
      </c>
      <c r="H3414" s="93">
        <v>0</v>
      </c>
      <c r="N3414" s="88"/>
      <c r="O3414" s="88"/>
      <c r="P3414" s="88"/>
    </row>
    <row r="3415" spans="1:16">
      <c r="A3415" s="94">
        <v>89381</v>
      </c>
      <c r="B3415" s="87" t="s">
        <v>3007</v>
      </c>
      <c r="C3415" s="12" t="s">
        <v>4</v>
      </c>
      <c r="D3415" s="93">
        <v>10.15</v>
      </c>
      <c r="E3415" s="93">
        <v>2.91</v>
      </c>
      <c r="F3415" s="93">
        <v>7.24</v>
      </c>
      <c r="G3415" s="93">
        <v>0</v>
      </c>
      <c r="H3415" s="93">
        <v>0</v>
      </c>
      <c r="N3415" s="88"/>
      <c r="O3415" s="88"/>
      <c r="P3415" s="88"/>
    </row>
    <row r="3416" spans="1:16">
      <c r="A3416" s="94">
        <v>89382</v>
      </c>
      <c r="B3416" s="87" t="s">
        <v>282</v>
      </c>
      <c r="C3416" s="12" t="s">
        <v>4</v>
      </c>
      <c r="D3416" s="93">
        <v>11.9</v>
      </c>
      <c r="E3416" s="93">
        <v>2.91</v>
      </c>
      <c r="F3416" s="93">
        <v>8.99</v>
      </c>
      <c r="G3416" s="93">
        <v>0</v>
      </c>
      <c r="H3416" s="93">
        <v>0</v>
      </c>
      <c r="N3416" s="88"/>
      <c r="O3416" s="88"/>
      <c r="P3416" s="88"/>
    </row>
    <row r="3417" spans="1:16">
      <c r="A3417" s="94">
        <v>89383</v>
      </c>
      <c r="B3417" s="87" t="s">
        <v>3008</v>
      </c>
      <c r="C3417" s="12" t="s">
        <v>4</v>
      </c>
      <c r="D3417" s="93">
        <v>5.37</v>
      </c>
      <c r="E3417" s="93">
        <v>2.94</v>
      </c>
      <c r="F3417" s="93">
        <v>2.4300000000000002</v>
      </c>
      <c r="G3417" s="93">
        <v>0</v>
      </c>
      <c r="H3417" s="93">
        <v>0</v>
      </c>
      <c r="N3417" s="88"/>
      <c r="O3417" s="88"/>
      <c r="P3417" s="88"/>
    </row>
    <row r="3418" spans="1:16">
      <c r="A3418" s="94">
        <v>89384</v>
      </c>
      <c r="B3418" s="87" t="s">
        <v>3009</v>
      </c>
      <c r="C3418" s="12" t="s">
        <v>4</v>
      </c>
      <c r="D3418" s="93">
        <v>10.27</v>
      </c>
      <c r="E3418" s="93">
        <v>2.91</v>
      </c>
      <c r="F3418" s="93">
        <v>7.36</v>
      </c>
      <c r="G3418" s="93">
        <v>0</v>
      </c>
      <c r="H3418" s="93">
        <v>0</v>
      </c>
      <c r="N3418" s="88"/>
      <c r="O3418" s="88"/>
      <c r="P3418" s="88"/>
    </row>
    <row r="3419" spans="1:16">
      <c r="A3419" s="94">
        <v>89385</v>
      </c>
      <c r="B3419" s="87" t="s">
        <v>3010</v>
      </c>
      <c r="C3419" s="12" t="s">
        <v>4</v>
      </c>
      <c r="D3419" s="93">
        <v>5.98</v>
      </c>
      <c r="E3419" s="93">
        <v>2.92</v>
      </c>
      <c r="F3419" s="93">
        <v>3.06</v>
      </c>
      <c r="G3419" s="93">
        <v>0</v>
      </c>
      <c r="H3419" s="93">
        <v>0</v>
      </c>
      <c r="N3419" s="88"/>
      <c r="O3419" s="88"/>
      <c r="P3419" s="88"/>
    </row>
    <row r="3420" spans="1:16">
      <c r="A3420" s="94">
        <v>89386</v>
      </c>
      <c r="B3420" s="87" t="s">
        <v>283</v>
      </c>
      <c r="C3420" s="12" t="s">
        <v>4</v>
      </c>
      <c r="D3420" s="93">
        <v>7.23</v>
      </c>
      <c r="E3420" s="93">
        <v>3.48</v>
      </c>
      <c r="F3420" s="93">
        <v>3.75</v>
      </c>
      <c r="G3420" s="93">
        <v>0</v>
      </c>
      <c r="H3420" s="93">
        <v>0</v>
      </c>
      <c r="N3420" s="88"/>
      <c r="O3420" s="88"/>
      <c r="P3420" s="88"/>
    </row>
    <row r="3421" spans="1:16">
      <c r="A3421" s="94">
        <v>89387</v>
      </c>
      <c r="B3421" s="87" t="s">
        <v>3011</v>
      </c>
      <c r="C3421" s="12" t="s">
        <v>4</v>
      </c>
      <c r="D3421" s="93">
        <v>25.53</v>
      </c>
      <c r="E3421" s="93">
        <v>3.46</v>
      </c>
      <c r="F3421" s="93">
        <v>22.07</v>
      </c>
      <c r="G3421" s="93">
        <v>0</v>
      </c>
      <c r="H3421" s="93">
        <v>0</v>
      </c>
      <c r="N3421" s="88"/>
      <c r="O3421" s="88"/>
      <c r="P3421" s="88"/>
    </row>
    <row r="3422" spans="1:16">
      <c r="A3422" s="94">
        <v>89388</v>
      </c>
      <c r="B3422" s="87" t="s">
        <v>284</v>
      </c>
      <c r="C3422" s="12" t="s">
        <v>4</v>
      </c>
      <c r="D3422" s="93">
        <v>9.3000000000000007</v>
      </c>
      <c r="E3422" s="93">
        <v>3.47</v>
      </c>
      <c r="F3422" s="93">
        <v>5.83</v>
      </c>
      <c r="G3422" s="93">
        <v>0</v>
      </c>
      <c r="H3422" s="93">
        <v>0</v>
      </c>
      <c r="N3422" s="88"/>
      <c r="O3422" s="88"/>
      <c r="P3422" s="88"/>
    </row>
    <row r="3423" spans="1:16">
      <c r="A3423" s="94">
        <v>89389</v>
      </c>
      <c r="B3423" s="87" t="s">
        <v>3012</v>
      </c>
      <c r="C3423" s="12" t="s">
        <v>4</v>
      </c>
      <c r="D3423" s="93">
        <v>10.01</v>
      </c>
      <c r="E3423" s="93">
        <v>3.47</v>
      </c>
      <c r="F3423" s="93">
        <v>6.54</v>
      </c>
      <c r="G3423" s="93">
        <v>0</v>
      </c>
      <c r="H3423" s="93">
        <v>0</v>
      </c>
      <c r="N3423" s="88"/>
      <c r="O3423" s="88"/>
      <c r="P3423" s="88"/>
    </row>
    <row r="3424" spans="1:16">
      <c r="A3424" s="94">
        <v>89390</v>
      </c>
      <c r="B3424" s="87" t="s">
        <v>285</v>
      </c>
      <c r="C3424" s="12" t="s">
        <v>4</v>
      </c>
      <c r="D3424" s="93">
        <v>17.55</v>
      </c>
      <c r="E3424" s="93">
        <v>3.46</v>
      </c>
      <c r="F3424" s="93">
        <v>14.09</v>
      </c>
      <c r="G3424" s="93">
        <v>0</v>
      </c>
      <c r="H3424" s="93">
        <v>0</v>
      </c>
      <c r="N3424" s="88"/>
      <c r="O3424" s="88"/>
      <c r="P3424" s="88"/>
    </row>
    <row r="3425" spans="1:16">
      <c r="A3425" s="94">
        <v>89391</v>
      </c>
      <c r="B3425" s="87" t="s">
        <v>3013</v>
      </c>
      <c r="C3425" s="12" t="s">
        <v>4</v>
      </c>
      <c r="D3425" s="93">
        <v>7.15</v>
      </c>
      <c r="E3425" s="93">
        <v>3.48</v>
      </c>
      <c r="F3425" s="93">
        <v>3.67</v>
      </c>
      <c r="G3425" s="93">
        <v>0</v>
      </c>
      <c r="H3425" s="93">
        <v>0</v>
      </c>
      <c r="N3425" s="88"/>
      <c r="O3425" s="88"/>
      <c r="P3425" s="88"/>
    </row>
    <row r="3426" spans="1:16">
      <c r="A3426" s="94">
        <v>89392</v>
      </c>
      <c r="B3426" s="87" t="s">
        <v>3014</v>
      </c>
      <c r="C3426" s="12" t="s">
        <v>4</v>
      </c>
      <c r="D3426" s="93">
        <v>20.7</v>
      </c>
      <c r="E3426" s="93">
        <v>3.46</v>
      </c>
      <c r="F3426" s="93">
        <v>17.239999999999998</v>
      </c>
      <c r="G3426" s="93">
        <v>0</v>
      </c>
      <c r="H3426" s="93">
        <v>0</v>
      </c>
      <c r="N3426" s="88"/>
      <c r="O3426" s="88"/>
      <c r="P3426" s="88"/>
    </row>
    <row r="3427" spans="1:16">
      <c r="A3427" s="94">
        <v>89393</v>
      </c>
      <c r="B3427" s="87" t="s">
        <v>286</v>
      </c>
      <c r="C3427" s="12" t="s">
        <v>4</v>
      </c>
      <c r="D3427" s="93">
        <v>8.31</v>
      </c>
      <c r="E3427" s="93">
        <v>5.05</v>
      </c>
      <c r="F3427" s="93">
        <v>3.26</v>
      </c>
      <c r="G3427" s="93">
        <v>0</v>
      </c>
      <c r="H3427" s="93">
        <v>0</v>
      </c>
      <c r="N3427" s="88"/>
      <c r="O3427" s="88"/>
      <c r="P3427" s="88"/>
    </row>
    <row r="3428" spans="1:16">
      <c r="A3428" s="94">
        <v>89394</v>
      </c>
      <c r="B3428" s="87" t="s">
        <v>3015</v>
      </c>
      <c r="C3428" s="12" t="s">
        <v>4</v>
      </c>
      <c r="D3428" s="93">
        <v>15.49</v>
      </c>
      <c r="E3428" s="93">
        <v>5.0199999999999996</v>
      </c>
      <c r="F3428" s="93">
        <v>10.47</v>
      </c>
      <c r="G3428" s="93">
        <v>0</v>
      </c>
      <c r="H3428" s="93">
        <v>0</v>
      </c>
      <c r="N3428" s="88"/>
      <c r="O3428" s="88"/>
      <c r="P3428" s="88"/>
    </row>
    <row r="3429" spans="1:16">
      <c r="A3429" s="94">
        <v>89395</v>
      </c>
      <c r="B3429" s="87" t="s">
        <v>287</v>
      </c>
      <c r="C3429" s="12" t="s">
        <v>4</v>
      </c>
      <c r="D3429" s="93">
        <v>9.91</v>
      </c>
      <c r="E3429" s="93">
        <v>5.85</v>
      </c>
      <c r="F3429" s="93">
        <v>4.0599999999999996</v>
      </c>
      <c r="G3429" s="93">
        <v>0</v>
      </c>
      <c r="H3429" s="93">
        <v>0</v>
      </c>
      <c r="N3429" s="88"/>
      <c r="O3429" s="88"/>
      <c r="P3429" s="88"/>
    </row>
    <row r="3430" spans="1:16">
      <c r="A3430" s="94">
        <v>89396</v>
      </c>
      <c r="B3430" s="87" t="s">
        <v>3016</v>
      </c>
      <c r="C3430" s="12" t="s">
        <v>4</v>
      </c>
      <c r="D3430" s="93">
        <v>16.05</v>
      </c>
      <c r="E3430" s="93">
        <v>5.84</v>
      </c>
      <c r="F3430" s="93">
        <v>10.210000000000001</v>
      </c>
      <c r="G3430" s="93">
        <v>0</v>
      </c>
      <c r="H3430" s="93">
        <v>0</v>
      </c>
      <c r="N3430" s="88"/>
      <c r="O3430" s="88"/>
      <c r="P3430" s="88"/>
    </row>
    <row r="3431" spans="1:16">
      <c r="A3431" s="94">
        <v>89397</v>
      </c>
      <c r="B3431" s="87" t="s">
        <v>3017</v>
      </c>
      <c r="C3431" s="12" t="s">
        <v>4</v>
      </c>
      <c r="D3431" s="93">
        <v>11.55</v>
      </c>
      <c r="E3431" s="93">
        <v>5.85</v>
      </c>
      <c r="F3431" s="93">
        <v>5.7</v>
      </c>
      <c r="G3431" s="93">
        <v>0</v>
      </c>
      <c r="H3431" s="93">
        <v>0</v>
      </c>
      <c r="N3431" s="88"/>
      <c r="O3431" s="88"/>
      <c r="P3431" s="88"/>
    </row>
    <row r="3432" spans="1:16">
      <c r="A3432" s="94">
        <v>89398</v>
      </c>
      <c r="B3432" s="87" t="s">
        <v>288</v>
      </c>
      <c r="C3432" s="12" t="s">
        <v>4</v>
      </c>
      <c r="D3432" s="93">
        <v>14.15</v>
      </c>
      <c r="E3432" s="93">
        <v>6.94</v>
      </c>
      <c r="F3432" s="93">
        <v>7.21</v>
      </c>
      <c r="G3432" s="93">
        <v>0</v>
      </c>
      <c r="H3432" s="93">
        <v>0</v>
      </c>
      <c r="N3432" s="88"/>
      <c r="O3432" s="88"/>
      <c r="P3432" s="88"/>
    </row>
    <row r="3433" spans="1:16">
      <c r="A3433" s="94">
        <v>89399</v>
      </c>
      <c r="B3433" s="87" t="s">
        <v>3018</v>
      </c>
      <c r="C3433" s="12" t="s">
        <v>4</v>
      </c>
      <c r="D3433" s="93">
        <v>24.57</v>
      </c>
      <c r="E3433" s="93">
        <v>6.93</v>
      </c>
      <c r="F3433" s="93">
        <v>17.64</v>
      </c>
      <c r="G3433" s="93">
        <v>0</v>
      </c>
      <c r="H3433" s="93">
        <v>0</v>
      </c>
      <c r="N3433" s="88"/>
      <c r="O3433" s="88"/>
      <c r="P3433" s="88"/>
    </row>
    <row r="3434" spans="1:16">
      <c r="A3434" s="94">
        <v>89400</v>
      </c>
      <c r="B3434" s="87" t="s">
        <v>3019</v>
      </c>
      <c r="C3434" s="12" t="s">
        <v>4</v>
      </c>
      <c r="D3434" s="93">
        <v>15.77</v>
      </c>
      <c r="E3434" s="93">
        <v>6.94</v>
      </c>
      <c r="F3434" s="93">
        <v>8.83</v>
      </c>
      <c r="G3434" s="93">
        <v>0</v>
      </c>
      <c r="H3434" s="93">
        <v>0</v>
      </c>
      <c r="N3434" s="88"/>
      <c r="O3434" s="88"/>
      <c r="P3434" s="88"/>
    </row>
    <row r="3435" spans="1:16">
      <c r="A3435" s="94">
        <v>89404</v>
      </c>
      <c r="B3435" s="87" t="s">
        <v>3020</v>
      </c>
      <c r="C3435" s="12" t="s">
        <v>4</v>
      </c>
      <c r="D3435" s="93">
        <v>4.01</v>
      </c>
      <c r="E3435" s="93">
        <v>2.2599999999999998</v>
      </c>
      <c r="F3435" s="93">
        <v>1.75</v>
      </c>
      <c r="G3435" s="93">
        <v>0</v>
      </c>
      <c r="H3435" s="93">
        <v>0</v>
      </c>
      <c r="N3435" s="88"/>
      <c r="O3435" s="88"/>
      <c r="P3435" s="88"/>
    </row>
    <row r="3436" spans="1:16">
      <c r="A3436" s="94">
        <v>89405</v>
      </c>
      <c r="B3436" s="87" t="s">
        <v>3021</v>
      </c>
      <c r="C3436" s="12" t="s">
        <v>4</v>
      </c>
      <c r="D3436" s="93">
        <v>4.3</v>
      </c>
      <c r="E3436" s="93">
        <v>2.2599999999999998</v>
      </c>
      <c r="F3436" s="93">
        <v>2.04</v>
      </c>
      <c r="G3436" s="93">
        <v>0</v>
      </c>
      <c r="H3436" s="93">
        <v>0</v>
      </c>
      <c r="N3436" s="88"/>
      <c r="O3436" s="88"/>
      <c r="P3436" s="88"/>
    </row>
    <row r="3437" spans="1:16">
      <c r="A3437" s="94">
        <v>89406</v>
      </c>
      <c r="B3437" s="87" t="s">
        <v>3022</v>
      </c>
      <c r="C3437" s="12" t="s">
        <v>4</v>
      </c>
      <c r="D3437" s="93">
        <v>5.51</v>
      </c>
      <c r="E3437" s="93">
        <v>2.2400000000000002</v>
      </c>
      <c r="F3437" s="93">
        <v>3.27</v>
      </c>
      <c r="G3437" s="93">
        <v>0</v>
      </c>
      <c r="H3437" s="93">
        <v>0</v>
      </c>
      <c r="N3437" s="88"/>
      <c r="O3437" s="88"/>
      <c r="P3437" s="88"/>
    </row>
    <row r="3438" spans="1:16">
      <c r="A3438" s="94">
        <v>89407</v>
      </c>
      <c r="B3438" s="87" t="s">
        <v>3023</v>
      </c>
      <c r="C3438" s="12" t="s">
        <v>4</v>
      </c>
      <c r="D3438" s="93">
        <v>5.04</v>
      </c>
      <c r="E3438" s="93">
        <v>2.2400000000000002</v>
      </c>
      <c r="F3438" s="93">
        <v>2.8</v>
      </c>
      <c r="G3438" s="93">
        <v>0</v>
      </c>
      <c r="H3438" s="93">
        <v>0</v>
      </c>
      <c r="N3438" s="88"/>
      <c r="O3438" s="88"/>
      <c r="P3438" s="88"/>
    </row>
    <row r="3439" spans="1:16">
      <c r="A3439" s="94">
        <v>89408</v>
      </c>
      <c r="B3439" s="87" t="s">
        <v>3024</v>
      </c>
      <c r="C3439" s="12" t="s">
        <v>4</v>
      </c>
      <c r="D3439" s="93">
        <v>4.84</v>
      </c>
      <c r="E3439" s="93">
        <v>2.65</v>
      </c>
      <c r="F3439" s="93">
        <v>2.19</v>
      </c>
      <c r="G3439" s="93">
        <v>0</v>
      </c>
      <c r="H3439" s="93">
        <v>0</v>
      </c>
      <c r="N3439" s="88"/>
      <c r="O3439" s="88"/>
      <c r="P3439" s="88"/>
    </row>
    <row r="3440" spans="1:16">
      <c r="A3440" s="94">
        <v>89409</v>
      </c>
      <c r="B3440" s="87" t="s">
        <v>3025</v>
      </c>
      <c r="C3440" s="12" t="s">
        <v>4</v>
      </c>
      <c r="D3440" s="93">
        <v>5.46</v>
      </c>
      <c r="E3440" s="93">
        <v>2.63</v>
      </c>
      <c r="F3440" s="93">
        <v>2.83</v>
      </c>
      <c r="G3440" s="93">
        <v>0</v>
      </c>
      <c r="H3440" s="93">
        <v>0</v>
      </c>
      <c r="N3440" s="88"/>
      <c r="O3440" s="88"/>
      <c r="P3440" s="88"/>
    </row>
    <row r="3441" spans="1:16">
      <c r="A3441" s="94">
        <v>89410</v>
      </c>
      <c r="B3441" s="87" t="s">
        <v>3026</v>
      </c>
      <c r="C3441" s="12" t="s">
        <v>4</v>
      </c>
      <c r="D3441" s="93">
        <v>6.75</v>
      </c>
      <c r="E3441" s="93">
        <v>2.63</v>
      </c>
      <c r="F3441" s="93">
        <v>4.12</v>
      </c>
      <c r="G3441" s="93">
        <v>0</v>
      </c>
      <c r="H3441" s="93">
        <v>0</v>
      </c>
      <c r="N3441" s="88"/>
      <c r="O3441" s="88"/>
      <c r="P3441" s="88"/>
    </row>
    <row r="3442" spans="1:16">
      <c r="A3442" s="94">
        <v>89411</v>
      </c>
      <c r="B3442" s="87" t="s">
        <v>3027</v>
      </c>
      <c r="C3442" s="12" t="s">
        <v>4</v>
      </c>
      <c r="D3442" s="93">
        <v>6.17</v>
      </c>
      <c r="E3442" s="93">
        <v>2.63</v>
      </c>
      <c r="F3442" s="93">
        <v>3.54</v>
      </c>
      <c r="G3442" s="93">
        <v>0</v>
      </c>
      <c r="H3442" s="93">
        <v>0</v>
      </c>
      <c r="N3442" s="88"/>
      <c r="O3442" s="88"/>
      <c r="P3442" s="88"/>
    </row>
    <row r="3443" spans="1:16">
      <c r="A3443" s="94">
        <v>89412</v>
      </c>
      <c r="B3443" s="87" t="s">
        <v>3028</v>
      </c>
      <c r="C3443" s="12" t="s">
        <v>4</v>
      </c>
      <c r="D3443" s="93">
        <v>6.96</v>
      </c>
      <c r="E3443" s="93">
        <v>2.63</v>
      </c>
      <c r="F3443" s="93">
        <v>4.33</v>
      </c>
      <c r="G3443" s="93">
        <v>0</v>
      </c>
      <c r="H3443" s="93">
        <v>0</v>
      </c>
      <c r="N3443" s="88"/>
      <c r="O3443" s="88"/>
      <c r="P3443" s="88"/>
    </row>
    <row r="3444" spans="1:16">
      <c r="A3444" s="94">
        <v>89413</v>
      </c>
      <c r="B3444" s="87" t="s">
        <v>3029</v>
      </c>
      <c r="C3444" s="12" t="s">
        <v>4</v>
      </c>
      <c r="D3444" s="93">
        <v>6.95</v>
      </c>
      <c r="E3444" s="93">
        <v>3.14</v>
      </c>
      <c r="F3444" s="93">
        <v>3.81</v>
      </c>
      <c r="G3444" s="93">
        <v>0</v>
      </c>
      <c r="H3444" s="93">
        <v>0</v>
      </c>
      <c r="N3444" s="88"/>
      <c r="O3444" s="88"/>
      <c r="P3444" s="88"/>
    </row>
    <row r="3445" spans="1:16">
      <c r="A3445" s="94">
        <v>89414</v>
      </c>
      <c r="B3445" s="87" t="s">
        <v>3030</v>
      </c>
      <c r="C3445" s="12" t="s">
        <v>4</v>
      </c>
      <c r="D3445" s="93">
        <v>8.69</v>
      </c>
      <c r="E3445" s="93">
        <v>3.13</v>
      </c>
      <c r="F3445" s="93">
        <v>5.56</v>
      </c>
      <c r="G3445" s="93">
        <v>0</v>
      </c>
      <c r="H3445" s="93">
        <v>0</v>
      </c>
      <c r="N3445" s="88"/>
      <c r="O3445" s="88"/>
      <c r="P3445" s="88"/>
    </row>
    <row r="3446" spans="1:16">
      <c r="A3446" s="94">
        <v>89415</v>
      </c>
      <c r="B3446" s="87" t="s">
        <v>3031</v>
      </c>
      <c r="C3446" s="12" t="s">
        <v>4</v>
      </c>
      <c r="D3446" s="93">
        <v>10.85</v>
      </c>
      <c r="E3446" s="93">
        <v>3.12</v>
      </c>
      <c r="F3446" s="93">
        <v>7.73</v>
      </c>
      <c r="G3446" s="93">
        <v>0</v>
      </c>
      <c r="H3446" s="93">
        <v>0</v>
      </c>
      <c r="N3446" s="88"/>
      <c r="O3446" s="88"/>
      <c r="P3446" s="88"/>
    </row>
    <row r="3447" spans="1:16">
      <c r="A3447" s="94">
        <v>89416</v>
      </c>
      <c r="B3447" s="87" t="s">
        <v>3032</v>
      </c>
      <c r="C3447" s="12" t="s">
        <v>4</v>
      </c>
      <c r="D3447" s="93">
        <v>8.32</v>
      </c>
      <c r="E3447" s="93">
        <v>3.13</v>
      </c>
      <c r="F3447" s="93">
        <v>5.19</v>
      </c>
      <c r="G3447" s="93">
        <v>0</v>
      </c>
      <c r="H3447" s="93">
        <v>0</v>
      </c>
      <c r="N3447" s="88"/>
      <c r="O3447" s="88"/>
      <c r="P3447" s="88"/>
    </row>
    <row r="3448" spans="1:16">
      <c r="A3448" s="94">
        <v>89417</v>
      </c>
      <c r="B3448" s="87" t="s">
        <v>3033</v>
      </c>
      <c r="C3448" s="12" t="s">
        <v>4</v>
      </c>
      <c r="D3448" s="93">
        <v>3.17</v>
      </c>
      <c r="E3448" s="93">
        <v>1.52</v>
      </c>
      <c r="F3448" s="93">
        <v>1.65</v>
      </c>
      <c r="G3448" s="93">
        <v>0</v>
      </c>
      <c r="H3448" s="93">
        <v>0</v>
      </c>
      <c r="N3448" s="88"/>
      <c r="O3448" s="88"/>
      <c r="P3448" s="88"/>
    </row>
    <row r="3449" spans="1:16">
      <c r="A3449" s="94">
        <v>89418</v>
      </c>
      <c r="B3449" s="87" t="s">
        <v>3034</v>
      </c>
      <c r="C3449" s="12" t="s">
        <v>4</v>
      </c>
      <c r="D3449" s="93">
        <v>8.92</v>
      </c>
      <c r="E3449" s="93">
        <v>1.51</v>
      </c>
      <c r="F3449" s="93">
        <v>7.41</v>
      </c>
      <c r="G3449" s="93">
        <v>0</v>
      </c>
      <c r="H3449" s="93">
        <v>0</v>
      </c>
      <c r="N3449" s="88"/>
      <c r="O3449" s="88"/>
      <c r="P3449" s="88"/>
    </row>
    <row r="3450" spans="1:16">
      <c r="A3450" s="94">
        <v>89419</v>
      </c>
      <c r="B3450" s="87" t="s">
        <v>289</v>
      </c>
      <c r="C3450" s="12" t="s">
        <v>4</v>
      </c>
      <c r="D3450" s="93">
        <v>3.69</v>
      </c>
      <c r="E3450" s="93">
        <v>1.52</v>
      </c>
      <c r="F3450" s="93">
        <v>2.17</v>
      </c>
      <c r="G3450" s="93">
        <v>0</v>
      </c>
      <c r="H3450" s="93">
        <v>0</v>
      </c>
      <c r="N3450" s="88"/>
      <c r="O3450" s="88"/>
      <c r="P3450" s="88"/>
    </row>
    <row r="3451" spans="1:16">
      <c r="A3451" s="94">
        <v>89420</v>
      </c>
      <c r="B3451" s="87" t="s">
        <v>3035</v>
      </c>
      <c r="C3451" s="12" t="s">
        <v>4</v>
      </c>
      <c r="D3451" s="93">
        <v>6.81</v>
      </c>
      <c r="E3451" s="93">
        <v>1.51</v>
      </c>
      <c r="F3451" s="93">
        <v>5.3</v>
      </c>
      <c r="G3451" s="93">
        <v>0</v>
      </c>
      <c r="H3451" s="93">
        <v>0</v>
      </c>
      <c r="N3451" s="88"/>
      <c r="O3451" s="88"/>
      <c r="P3451" s="88"/>
    </row>
    <row r="3452" spans="1:16">
      <c r="A3452" s="94">
        <v>89421</v>
      </c>
      <c r="B3452" s="87" t="s">
        <v>3036</v>
      </c>
      <c r="C3452" s="12" t="s">
        <v>4</v>
      </c>
      <c r="D3452" s="93">
        <v>8.69</v>
      </c>
      <c r="E3452" s="93">
        <v>1.51</v>
      </c>
      <c r="F3452" s="93">
        <v>7.18</v>
      </c>
      <c r="G3452" s="93">
        <v>0</v>
      </c>
      <c r="H3452" s="93">
        <v>0</v>
      </c>
      <c r="N3452" s="88"/>
      <c r="O3452" s="88"/>
      <c r="P3452" s="88"/>
    </row>
    <row r="3453" spans="1:16">
      <c r="A3453" s="94">
        <v>89422</v>
      </c>
      <c r="B3453" s="87" t="s">
        <v>3037</v>
      </c>
      <c r="C3453" s="12" t="s">
        <v>4</v>
      </c>
      <c r="D3453" s="93">
        <v>3.23</v>
      </c>
      <c r="E3453" s="93">
        <v>1.52</v>
      </c>
      <c r="F3453" s="93">
        <v>1.71</v>
      </c>
      <c r="G3453" s="93">
        <v>0</v>
      </c>
      <c r="H3453" s="93">
        <v>0</v>
      </c>
      <c r="N3453" s="88"/>
      <c r="O3453" s="88"/>
      <c r="P3453" s="88"/>
    </row>
    <row r="3454" spans="1:16">
      <c r="A3454" s="94">
        <v>89423</v>
      </c>
      <c r="B3454" s="87" t="s">
        <v>3038</v>
      </c>
      <c r="C3454" s="12" t="s">
        <v>4</v>
      </c>
      <c r="D3454" s="93">
        <v>6.4</v>
      </c>
      <c r="E3454" s="93">
        <v>1.51</v>
      </c>
      <c r="F3454" s="93">
        <v>4.8899999999999997</v>
      </c>
      <c r="G3454" s="93">
        <v>0</v>
      </c>
      <c r="H3454" s="93">
        <v>0</v>
      </c>
      <c r="N3454" s="88"/>
      <c r="O3454" s="88"/>
      <c r="P3454" s="88"/>
    </row>
    <row r="3455" spans="1:16">
      <c r="A3455" s="94">
        <v>89424</v>
      </c>
      <c r="B3455" s="87" t="s">
        <v>3039</v>
      </c>
      <c r="C3455" s="12" t="s">
        <v>4</v>
      </c>
      <c r="D3455" s="93">
        <v>3.77</v>
      </c>
      <c r="E3455" s="93">
        <v>1.77</v>
      </c>
      <c r="F3455" s="93">
        <v>2</v>
      </c>
      <c r="G3455" s="93">
        <v>0</v>
      </c>
      <c r="H3455" s="93">
        <v>0</v>
      </c>
      <c r="N3455" s="88"/>
      <c r="O3455" s="88"/>
      <c r="P3455" s="88"/>
    </row>
    <row r="3456" spans="1:16">
      <c r="A3456" s="94">
        <v>89425</v>
      </c>
      <c r="B3456" s="87" t="s">
        <v>3040</v>
      </c>
      <c r="C3456" s="12" t="s">
        <v>4</v>
      </c>
      <c r="D3456" s="93">
        <v>11.43</v>
      </c>
      <c r="E3456" s="93">
        <v>1.74</v>
      </c>
      <c r="F3456" s="93">
        <v>9.69</v>
      </c>
      <c r="G3456" s="93">
        <v>0</v>
      </c>
      <c r="H3456" s="93">
        <v>0</v>
      </c>
      <c r="N3456" s="88"/>
      <c r="O3456" s="88"/>
      <c r="P3456" s="88"/>
    </row>
    <row r="3457" spans="1:16">
      <c r="A3457" s="94">
        <v>89426</v>
      </c>
      <c r="B3457" s="87" t="s">
        <v>290</v>
      </c>
      <c r="C3457" s="12" t="s">
        <v>4</v>
      </c>
      <c r="D3457" s="93">
        <v>6.12</v>
      </c>
      <c r="E3457" s="93">
        <v>1.75</v>
      </c>
      <c r="F3457" s="93">
        <v>4.37</v>
      </c>
      <c r="G3457" s="93">
        <v>0</v>
      </c>
      <c r="H3457" s="93">
        <v>0</v>
      </c>
      <c r="N3457" s="88"/>
      <c r="O3457" s="88"/>
      <c r="P3457" s="88"/>
    </row>
    <row r="3458" spans="1:16">
      <c r="A3458" s="94">
        <v>89427</v>
      </c>
      <c r="B3458" s="87" t="s">
        <v>3041</v>
      </c>
      <c r="C3458" s="12" t="s">
        <v>4</v>
      </c>
      <c r="D3458" s="93">
        <v>8.6199999999999992</v>
      </c>
      <c r="E3458" s="93">
        <v>1.74</v>
      </c>
      <c r="F3458" s="93">
        <v>6.88</v>
      </c>
      <c r="G3458" s="93">
        <v>0</v>
      </c>
      <c r="H3458" s="93">
        <v>0</v>
      </c>
      <c r="N3458" s="88"/>
      <c r="O3458" s="88"/>
      <c r="P3458" s="88"/>
    </row>
    <row r="3459" spans="1:16">
      <c r="A3459" s="94">
        <v>89428</v>
      </c>
      <c r="B3459" s="87" t="s">
        <v>3042</v>
      </c>
      <c r="C3459" s="12" t="s">
        <v>4</v>
      </c>
      <c r="D3459" s="93">
        <v>10.37</v>
      </c>
      <c r="E3459" s="93">
        <v>1.74</v>
      </c>
      <c r="F3459" s="93">
        <v>8.6300000000000008</v>
      </c>
      <c r="G3459" s="93">
        <v>0</v>
      </c>
      <c r="H3459" s="93">
        <v>0</v>
      </c>
      <c r="N3459" s="88"/>
      <c r="O3459" s="88"/>
      <c r="P3459" s="88"/>
    </row>
    <row r="3460" spans="1:16">
      <c r="A3460" s="94">
        <v>89429</v>
      </c>
      <c r="B3460" s="87" t="s">
        <v>3043</v>
      </c>
      <c r="C3460" s="12" t="s">
        <v>4</v>
      </c>
      <c r="D3460" s="93">
        <v>3.84</v>
      </c>
      <c r="E3460" s="93">
        <v>1.77</v>
      </c>
      <c r="F3460" s="93">
        <v>2.0699999999999998</v>
      </c>
      <c r="G3460" s="93">
        <v>0</v>
      </c>
      <c r="H3460" s="93">
        <v>0</v>
      </c>
      <c r="N3460" s="88"/>
      <c r="O3460" s="88"/>
      <c r="P3460" s="88"/>
    </row>
    <row r="3461" spans="1:16">
      <c r="A3461" s="94">
        <v>89430</v>
      </c>
      <c r="B3461" s="87" t="s">
        <v>3044</v>
      </c>
      <c r="C3461" s="12" t="s">
        <v>4</v>
      </c>
      <c r="D3461" s="93">
        <v>8.74</v>
      </c>
      <c r="E3461" s="93">
        <v>1.74</v>
      </c>
      <c r="F3461" s="93">
        <v>7</v>
      </c>
      <c r="G3461" s="93">
        <v>0</v>
      </c>
      <c r="H3461" s="93">
        <v>0</v>
      </c>
      <c r="N3461" s="88"/>
      <c r="O3461" s="88"/>
      <c r="P3461" s="88"/>
    </row>
    <row r="3462" spans="1:16">
      <c r="A3462" s="94">
        <v>89431</v>
      </c>
      <c r="B3462" s="87" t="s">
        <v>3045</v>
      </c>
      <c r="C3462" s="12" t="s">
        <v>4</v>
      </c>
      <c r="D3462" s="93">
        <v>5.39</v>
      </c>
      <c r="E3462" s="93">
        <v>2.08</v>
      </c>
      <c r="F3462" s="93">
        <v>3.31</v>
      </c>
      <c r="G3462" s="93">
        <v>0</v>
      </c>
      <c r="H3462" s="93">
        <v>0</v>
      </c>
      <c r="N3462" s="88"/>
      <c r="O3462" s="88"/>
      <c r="P3462" s="88"/>
    </row>
    <row r="3463" spans="1:16">
      <c r="A3463" s="94">
        <v>89432</v>
      </c>
      <c r="B3463" s="87" t="s">
        <v>3046</v>
      </c>
      <c r="C3463" s="12" t="s">
        <v>4</v>
      </c>
      <c r="D3463" s="93">
        <v>23.69</v>
      </c>
      <c r="E3463" s="93">
        <v>2.0499999999999998</v>
      </c>
      <c r="F3463" s="93">
        <v>21.64</v>
      </c>
      <c r="G3463" s="93">
        <v>0</v>
      </c>
      <c r="H3463" s="93">
        <v>0</v>
      </c>
      <c r="N3463" s="88"/>
      <c r="O3463" s="88"/>
      <c r="P3463" s="88"/>
    </row>
    <row r="3464" spans="1:16">
      <c r="A3464" s="94">
        <v>89433</v>
      </c>
      <c r="B3464" s="87" t="s">
        <v>291</v>
      </c>
      <c r="C3464" s="12" t="s">
        <v>4</v>
      </c>
      <c r="D3464" s="93">
        <v>7.46</v>
      </c>
      <c r="E3464" s="93">
        <v>2.0699999999999998</v>
      </c>
      <c r="F3464" s="93">
        <v>5.39</v>
      </c>
      <c r="G3464" s="93">
        <v>0</v>
      </c>
      <c r="H3464" s="93">
        <v>0</v>
      </c>
      <c r="N3464" s="88"/>
      <c r="O3464" s="88"/>
      <c r="P3464" s="88"/>
    </row>
    <row r="3465" spans="1:16">
      <c r="A3465" s="94">
        <v>89434</v>
      </c>
      <c r="B3465" s="87" t="s">
        <v>3047</v>
      </c>
      <c r="C3465" s="12" t="s">
        <v>4</v>
      </c>
      <c r="D3465" s="93">
        <v>8.17</v>
      </c>
      <c r="E3465" s="93">
        <v>2.0699999999999998</v>
      </c>
      <c r="F3465" s="93">
        <v>6.1</v>
      </c>
      <c r="G3465" s="93">
        <v>0</v>
      </c>
      <c r="H3465" s="93">
        <v>0</v>
      </c>
      <c r="N3465" s="88"/>
      <c r="O3465" s="88"/>
      <c r="P3465" s="88"/>
    </row>
    <row r="3466" spans="1:16">
      <c r="A3466" s="94">
        <v>89435</v>
      </c>
      <c r="B3466" s="87" t="s">
        <v>3048</v>
      </c>
      <c r="C3466" s="12" t="s">
        <v>4</v>
      </c>
      <c r="D3466" s="93">
        <v>15.71</v>
      </c>
      <c r="E3466" s="93">
        <v>2.06</v>
      </c>
      <c r="F3466" s="93">
        <v>13.65</v>
      </c>
      <c r="G3466" s="93">
        <v>0</v>
      </c>
      <c r="H3466" s="93">
        <v>0</v>
      </c>
      <c r="N3466" s="88"/>
      <c r="O3466" s="88"/>
      <c r="P3466" s="88"/>
    </row>
    <row r="3467" spans="1:16">
      <c r="A3467" s="94">
        <v>89436</v>
      </c>
      <c r="B3467" s="87" t="s">
        <v>3049</v>
      </c>
      <c r="C3467" s="12" t="s">
        <v>4</v>
      </c>
      <c r="D3467" s="93">
        <v>5.31</v>
      </c>
      <c r="E3467" s="93">
        <v>2.08</v>
      </c>
      <c r="F3467" s="93">
        <v>3.23</v>
      </c>
      <c r="G3467" s="93">
        <v>0</v>
      </c>
      <c r="H3467" s="93">
        <v>0</v>
      </c>
      <c r="N3467" s="88"/>
      <c r="O3467" s="88"/>
      <c r="P3467" s="88"/>
    </row>
    <row r="3468" spans="1:16">
      <c r="A3468" s="94">
        <v>89437</v>
      </c>
      <c r="B3468" s="87" t="s">
        <v>3050</v>
      </c>
      <c r="C3468" s="12" t="s">
        <v>4</v>
      </c>
      <c r="D3468" s="93">
        <v>18.86</v>
      </c>
      <c r="E3468" s="93">
        <v>2.06</v>
      </c>
      <c r="F3468" s="93">
        <v>16.8</v>
      </c>
      <c r="G3468" s="93">
        <v>0</v>
      </c>
      <c r="H3468" s="93">
        <v>0</v>
      </c>
      <c r="N3468" s="88"/>
      <c r="O3468" s="88"/>
      <c r="P3468" s="88"/>
    </row>
    <row r="3469" spans="1:16">
      <c r="A3469" s="94">
        <v>89438</v>
      </c>
      <c r="B3469" s="87" t="s">
        <v>292</v>
      </c>
      <c r="C3469" s="12" t="s">
        <v>4</v>
      </c>
      <c r="D3469" s="93">
        <v>5.69</v>
      </c>
      <c r="E3469" s="93">
        <v>3.04</v>
      </c>
      <c r="F3469" s="93">
        <v>2.65</v>
      </c>
      <c r="G3469" s="93">
        <v>0</v>
      </c>
      <c r="H3469" s="93">
        <v>0</v>
      </c>
      <c r="N3469" s="88"/>
      <c r="O3469" s="88"/>
      <c r="P3469" s="88"/>
    </row>
    <row r="3470" spans="1:16">
      <c r="A3470" s="94">
        <v>89439</v>
      </c>
      <c r="B3470" s="87" t="s">
        <v>3051</v>
      </c>
      <c r="C3470" s="12" t="s">
        <v>4</v>
      </c>
      <c r="D3470" s="93">
        <v>7.33</v>
      </c>
      <c r="E3470" s="93">
        <v>3.02</v>
      </c>
      <c r="F3470" s="93">
        <v>4.3099999999999996</v>
      </c>
      <c r="G3470" s="93">
        <v>0</v>
      </c>
      <c r="H3470" s="93">
        <v>0</v>
      </c>
      <c r="N3470" s="88"/>
      <c r="O3470" s="88"/>
      <c r="P3470" s="88"/>
    </row>
    <row r="3471" spans="1:16">
      <c r="A3471" s="94">
        <v>89440</v>
      </c>
      <c r="B3471" s="87" t="s">
        <v>293</v>
      </c>
      <c r="C3471" s="12" t="s">
        <v>4</v>
      </c>
      <c r="D3471" s="93">
        <v>6.86</v>
      </c>
      <c r="E3471" s="93">
        <v>3.53</v>
      </c>
      <c r="F3471" s="93">
        <v>3.33</v>
      </c>
      <c r="G3471" s="93">
        <v>0</v>
      </c>
      <c r="H3471" s="93">
        <v>0</v>
      </c>
      <c r="N3471" s="88"/>
      <c r="O3471" s="88"/>
      <c r="P3471" s="88"/>
    </row>
    <row r="3472" spans="1:16">
      <c r="A3472" s="94">
        <v>89441</v>
      </c>
      <c r="B3472" s="87" t="s">
        <v>3052</v>
      </c>
      <c r="C3472" s="12" t="s">
        <v>4</v>
      </c>
      <c r="D3472" s="93">
        <v>13</v>
      </c>
      <c r="E3472" s="93">
        <v>3.5</v>
      </c>
      <c r="F3472" s="93">
        <v>9.5</v>
      </c>
      <c r="G3472" s="93">
        <v>0</v>
      </c>
      <c r="H3472" s="93">
        <v>0</v>
      </c>
      <c r="N3472" s="88"/>
      <c r="O3472" s="88"/>
      <c r="P3472" s="88"/>
    </row>
    <row r="3473" spans="1:16">
      <c r="A3473" s="94">
        <v>89442</v>
      </c>
      <c r="B3473" s="87" t="s">
        <v>3053</v>
      </c>
      <c r="C3473" s="12" t="s">
        <v>4</v>
      </c>
      <c r="D3473" s="93">
        <v>8.5</v>
      </c>
      <c r="E3473" s="93">
        <v>3.51</v>
      </c>
      <c r="F3473" s="93">
        <v>4.99</v>
      </c>
      <c r="G3473" s="93">
        <v>0</v>
      </c>
      <c r="H3473" s="93">
        <v>0</v>
      </c>
      <c r="N3473" s="88"/>
      <c r="O3473" s="88"/>
      <c r="P3473" s="88"/>
    </row>
    <row r="3474" spans="1:16">
      <c r="A3474" s="94">
        <v>89443</v>
      </c>
      <c r="B3474" s="87" t="s">
        <v>294</v>
      </c>
      <c r="C3474" s="12" t="s">
        <v>4</v>
      </c>
      <c r="D3474" s="93">
        <v>10.54</v>
      </c>
      <c r="E3474" s="93">
        <v>4.18</v>
      </c>
      <c r="F3474" s="93">
        <v>6.36</v>
      </c>
      <c r="G3474" s="93">
        <v>0</v>
      </c>
      <c r="H3474" s="93">
        <v>0</v>
      </c>
      <c r="N3474" s="88"/>
      <c r="O3474" s="88"/>
      <c r="P3474" s="88"/>
    </row>
    <row r="3475" spans="1:16">
      <c r="A3475" s="94">
        <v>89444</v>
      </c>
      <c r="B3475" s="87" t="s">
        <v>3054</v>
      </c>
      <c r="C3475" s="12" t="s">
        <v>4</v>
      </c>
      <c r="D3475" s="93">
        <v>20.96</v>
      </c>
      <c r="E3475" s="93">
        <v>4.17</v>
      </c>
      <c r="F3475" s="93">
        <v>16.79</v>
      </c>
      <c r="G3475" s="93">
        <v>0</v>
      </c>
      <c r="H3475" s="93">
        <v>0</v>
      </c>
      <c r="N3475" s="88"/>
      <c r="O3475" s="88"/>
      <c r="P3475" s="88"/>
    </row>
    <row r="3476" spans="1:16">
      <c r="A3476" s="94">
        <v>89445</v>
      </c>
      <c r="B3476" s="87" t="s">
        <v>3055</v>
      </c>
      <c r="C3476" s="12" t="s">
        <v>4</v>
      </c>
      <c r="D3476" s="93">
        <v>12.16</v>
      </c>
      <c r="E3476" s="93">
        <v>4.18</v>
      </c>
      <c r="F3476" s="93">
        <v>7.98</v>
      </c>
      <c r="G3476" s="93">
        <v>0</v>
      </c>
      <c r="H3476" s="93">
        <v>0</v>
      </c>
      <c r="N3476" s="88"/>
      <c r="O3476" s="88"/>
      <c r="P3476" s="88"/>
    </row>
    <row r="3477" spans="1:16">
      <c r="A3477" s="94">
        <v>89481</v>
      </c>
      <c r="B3477" s="87" t="s">
        <v>295</v>
      </c>
      <c r="C3477" s="12" t="s">
        <v>4</v>
      </c>
      <c r="D3477" s="93">
        <v>3.69</v>
      </c>
      <c r="E3477" s="93">
        <v>1.77</v>
      </c>
      <c r="F3477" s="93">
        <v>1.92</v>
      </c>
      <c r="G3477" s="93">
        <v>0</v>
      </c>
      <c r="H3477" s="93">
        <v>0</v>
      </c>
      <c r="N3477" s="88"/>
      <c r="O3477" s="88"/>
      <c r="P3477" s="88"/>
    </row>
    <row r="3478" spans="1:16">
      <c r="A3478" s="94">
        <v>89485</v>
      </c>
      <c r="B3478" s="87" t="s">
        <v>296</v>
      </c>
      <c r="C3478" s="12" t="s">
        <v>4</v>
      </c>
      <c r="D3478" s="93">
        <v>4.3099999999999996</v>
      </c>
      <c r="E3478" s="93">
        <v>1.76</v>
      </c>
      <c r="F3478" s="93">
        <v>2.5499999999999998</v>
      </c>
      <c r="G3478" s="93">
        <v>0</v>
      </c>
      <c r="H3478" s="93">
        <v>0</v>
      </c>
      <c r="N3478" s="88"/>
      <c r="O3478" s="88"/>
      <c r="P3478" s="88"/>
    </row>
    <row r="3479" spans="1:16">
      <c r="A3479" s="94">
        <v>89489</v>
      </c>
      <c r="B3479" s="87" t="s">
        <v>297</v>
      </c>
      <c r="C3479" s="12" t="s">
        <v>4</v>
      </c>
      <c r="D3479" s="93">
        <v>5.6</v>
      </c>
      <c r="E3479" s="93">
        <v>1.75</v>
      </c>
      <c r="F3479" s="93">
        <v>3.85</v>
      </c>
      <c r="G3479" s="93">
        <v>0</v>
      </c>
      <c r="H3479" s="93">
        <v>0</v>
      </c>
      <c r="N3479" s="88"/>
      <c r="O3479" s="88"/>
      <c r="P3479" s="88"/>
    </row>
    <row r="3480" spans="1:16">
      <c r="A3480" s="94">
        <v>89490</v>
      </c>
      <c r="B3480" s="87" t="s">
        <v>298</v>
      </c>
      <c r="C3480" s="12" t="s">
        <v>4</v>
      </c>
      <c r="D3480" s="93">
        <v>5.0199999999999996</v>
      </c>
      <c r="E3480" s="93">
        <v>1.76</v>
      </c>
      <c r="F3480" s="93">
        <v>3.26</v>
      </c>
      <c r="G3480" s="93">
        <v>0</v>
      </c>
      <c r="H3480" s="93">
        <v>0</v>
      </c>
      <c r="N3480" s="88"/>
      <c r="O3480" s="88"/>
      <c r="P3480" s="88"/>
    </row>
    <row r="3481" spans="1:16">
      <c r="A3481" s="94">
        <v>89492</v>
      </c>
      <c r="B3481" s="87" t="s">
        <v>299</v>
      </c>
      <c r="C3481" s="12" t="s">
        <v>4</v>
      </c>
      <c r="D3481" s="93">
        <v>5.64</v>
      </c>
      <c r="E3481" s="93">
        <v>2.14</v>
      </c>
      <c r="F3481" s="93">
        <v>3.5</v>
      </c>
      <c r="G3481" s="93">
        <v>0</v>
      </c>
      <c r="H3481" s="93">
        <v>0</v>
      </c>
      <c r="N3481" s="88"/>
      <c r="O3481" s="88"/>
      <c r="P3481" s="88"/>
    </row>
    <row r="3482" spans="1:16">
      <c r="A3482" s="94">
        <v>89493</v>
      </c>
      <c r="B3482" s="87" t="s">
        <v>300</v>
      </c>
      <c r="C3482" s="12" t="s">
        <v>4</v>
      </c>
      <c r="D3482" s="93">
        <v>7.38</v>
      </c>
      <c r="E3482" s="93">
        <v>2.13</v>
      </c>
      <c r="F3482" s="93">
        <v>5.25</v>
      </c>
      <c r="G3482" s="93">
        <v>0</v>
      </c>
      <c r="H3482" s="93">
        <v>0</v>
      </c>
      <c r="N3482" s="88"/>
      <c r="O3482" s="88"/>
      <c r="P3482" s="88"/>
    </row>
    <row r="3483" spans="1:16">
      <c r="A3483" s="94">
        <v>89494</v>
      </c>
      <c r="B3483" s="87" t="s">
        <v>301</v>
      </c>
      <c r="C3483" s="12" t="s">
        <v>4</v>
      </c>
      <c r="D3483" s="93">
        <v>9.5399999999999991</v>
      </c>
      <c r="E3483" s="93">
        <v>2.13</v>
      </c>
      <c r="F3483" s="93">
        <v>7.41</v>
      </c>
      <c r="G3483" s="93">
        <v>0</v>
      </c>
      <c r="H3483" s="93">
        <v>0</v>
      </c>
      <c r="N3483" s="88"/>
      <c r="O3483" s="88"/>
      <c r="P3483" s="88"/>
    </row>
    <row r="3484" spans="1:16">
      <c r="A3484" s="94">
        <v>89496</v>
      </c>
      <c r="B3484" s="87" t="s">
        <v>302</v>
      </c>
      <c r="C3484" s="12" t="s">
        <v>4</v>
      </c>
      <c r="D3484" s="93">
        <v>7.01</v>
      </c>
      <c r="E3484" s="93">
        <v>2.13</v>
      </c>
      <c r="F3484" s="93">
        <v>4.88</v>
      </c>
      <c r="G3484" s="93">
        <v>0</v>
      </c>
      <c r="H3484" s="93">
        <v>0</v>
      </c>
      <c r="N3484" s="88"/>
      <c r="O3484" s="88"/>
      <c r="P3484" s="88"/>
    </row>
    <row r="3485" spans="1:16">
      <c r="A3485" s="94">
        <v>89497</v>
      </c>
      <c r="B3485" s="87" t="s">
        <v>303</v>
      </c>
      <c r="C3485" s="12" t="s">
        <v>4</v>
      </c>
      <c r="D3485" s="93">
        <v>9.0399999999999991</v>
      </c>
      <c r="E3485" s="93">
        <v>2.59</v>
      </c>
      <c r="F3485" s="93">
        <v>6.45</v>
      </c>
      <c r="G3485" s="93">
        <v>0</v>
      </c>
      <c r="H3485" s="93">
        <v>0</v>
      </c>
      <c r="N3485" s="88"/>
      <c r="O3485" s="88"/>
      <c r="P3485" s="88"/>
    </row>
    <row r="3486" spans="1:16">
      <c r="A3486" s="94">
        <v>89498</v>
      </c>
      <c r="B3486" s="87" t="s">
        <v>304</v>
      </c>
      <c r="C3486" s="12" t="s">
        <v>4</v>
      </c>
      <c r="D3486" s="93">
        <v>9.83</v>
      </c>
      <c r="E3486" s="93">
        <v>2.59</v>
      </c>
      <c r="F3486" s="93">
        <v>7.24</v>
      </c>
      <c r="G3486" s="93">
        <v>0</v>
      </c>
      <c r="H3486" s="93">
        <v>0</v>
      </c>
      <c r="N3486" s="88"/>
      <c r="O3486" s="88"/>
      <c r="P3486" s="88"/>
    </row>
    <row r="3487" spans="1:16">
      <c r="A3487" s="94">
        <v>89499</v>
      </c>
      <c r="B3487" s="87" t="s">
        <v>305</v>
      </c>
      <c r="C3487" s="12" t="s">
        <v>4</v>
      </c>
      <c r="D3487" s="93">
        <v>14.91</v>
      </c>
      <c r="E3487" s="93">
        <v>2.59</v>
      </c>
      <c r="F3487" s="93">
        <v>12.32</v>
      </c>
      <c r="G3487" s="93">
        <v>0</v>
      </c>
      <c r="H3487" s="93">
        <v>0</v>
      </c>
      <c r="N3487" s="88"/>
      <c r="O3487" s="88"/>
      <c r="P3487" s="88"/>
    </row>
    <row r="3488" spans="1:16">
      <c r="A3488" s="94">
        <v>89500</v>
      </c>
      <c r="B3488" s="87" t="s">
        <v>306</v>
      </c>
      <c r="C3488" s="12" t="s">
        <v>4</v>
      </c>
      <c r="D3488" s="93">
        <v>9.99</v>
      </c>
      <c r="E3488" s="93">
        <v>2.59</v>
      </c>
      <c r="F3488" s="93">
        <v>7.4</v>
      </c>
      <c r="G3488" s="93">
        <v>0</v>
      </c>
      <c r="H3488" s="93">
        <v>0</v>
      </c>
      <c r="N3488" s="88"/>
      <c r="O3488" s="88"/>
      <c r="P3488" s="88"/>
    </row>
    <row r="3489" spans="1:16">
      <c r="A3489" s="94">
        <v>89501</v>
      </c>
      <c r="B3489" s="87" t="s">
        <v>307</v>
      </c>
      <c r="C3489" s="12" t="s">
        <v>4</v>
      </c>
      <c r="D3489" s="93">
        <v>10.89</v>
      </c>
      <c r="E3489" s="93">
        <v>3.16</v>
      </c>
      <c r="F3489" s="93">
        <v>7.73</v>
      </c>
      <c r="G3489" s="93">
        <v>0</v>
      </c>
      <c r="H3489" s="93">
        <v>0</v>
      </c>
      <c r="N3489" s="88"/>
      <c r="O3489" s="88"/>
      <c r="P3489" s="88"/>
    </row>
    <row r="3490" spans="1:16">
      <c r="A3490" s="94">
        <v>89502</v>
      </c>
      <c r="B3490" s="87" t="s">
        <v>308</v>
      </c>
      <c r="C3490" s="12" t="s">
        <v>4</v>
      </c>
      <c r="D3490" s="93">
        <v>12.33</v>
      </c>
      <c r="E3490" s="93">
        <v>3.16</v>
      </c>
      <c r="F3490" s="93">
        <v>9.17</v>
      </c>
      <c r="G3490" s="93">
        <v>0</v>
      </c>
      <c r="H3490" s="93">
        <v>0</v>
      </c>
      <c r="N3490" s="88"/>
      <c r="O3490" s="88"/>
      <c r="P3490" s="88"/>
    </row>
    <row r="3491" spans="1:16">
      <c r="A3491" s="94">
        <v>89503</v>
      </c>
      <c r="B3491" s="87" t="s">
        <v>309</v>
      </c>
      <c r="C3491" s="12" t="s">
        <v>4</v>
      </c>
      <c r="D3491" s="93">
        <v>18.63</v>
      </c>
      <c r="E3491" s="93">
        <v>3.15</v>
      </c>
      <c r="F3491" s="93">
        <v>15.48</v>
      </c>
      <c r="G3491" s="93">
        <v>0</v>
      </c>
      <c r="H3491" s="93">
        <v>0</v>
      </c>
      <c r="N3491" s="88"/>
      <c r="O3491" s="88"/>
      <c r="P3491" s="88"/>
    </row>
    <row r="3492" spans="1:16">
      <c r="A3492" s="94">
        <v>89504</v>
      </c>
      <c r="B3492" s="87" t="s">
        <v>310</v>
      </c>
      <c r="C3492" s="12" t="s">
        <v>4</v>
      </c>
      <c r="D3492" s="93">
        <v>16.350000000000001</v>
      </c>
      <c r="E3492" s="93">
        <v>3.15</v>
      </c>
      <c r="F3492" s="93">
        <v>13.2</v>
      </c>
      <c r="G3492" s="93">
        <v>0</v>
      </c>
      <c r="H3492" s="93">
        <v>0</v>
      </c>
      <c r="N3492" s="88"/>
      <c r="O3492" s="88"/>
      <c r="P3492" s="88"/>
    </row>
    <row r="3493" spans="1:16">
      <c r="A3493" s="94">
        <v>89505</v>
      </c>
      <c r="B3493" s="87" t="s">
        <v>311</v>
      </c>
      <c r="C3493" s="12" t="s">
        <v>4</v>
      </c>
      <c r="D3493" s="93">
        <v>27.67</v>
      </c>
      <c r="E3493" s="93">
        <v>3.71</v>
      </c>
      <c r="F3493" s="93">
        <v>23.96</v>
      </c>
      <c r="G3493" s="93">
        <v>0</v>
      </c>
      <c r="H3493" s="93">
        <v>0</v>
      </c>
      <c r="N3493" s="88"/>
      <c r="O3493" s="88"/>
      <c r="P3493" s="88"/>
    </row>
    <row r="3494" spans="1:16">
      <c r="A3494" s="94">
        <v>89506</v>
      </c>
      <c r="B3494" s="87" t="s">
        <v>312</v>
      </c>
      <c r="C3494" s="12" t="s">
        <v>4</v>
      </c>
      <c r="D3494" s="93">
        <v>31.1</v>
      </c>
      <c r="E3494" s="93">
        <v>3.7</v>
      </c>
      <c r="F3494" s="93">
        <v>27.4</v>
      </c>
      <c r="G3494" s="93">
        <v>0</v>
      </c>
      <c r="H3494" s="93">
        <v>0</v>
      </c>
      <c r="N3494" s="88"/>
      <c r="O3494" s="88"/>
      <c r="P3494" s="88"/>
    </row>
    <row r="3495" spans="1:16">
      <c r="A3495" s="94">
        <v>89507</v>
      </c>
      <c r="B3495" s="87" t="s">
        <v>313</v>
      </c>
      <c r="C3495" s="12" t="s">
        <v>4</v>
      </c>
      <c r="D3495" s="93">
        <v>38.26</v>
      </c>
      <c r="E3495" s="93">
        <v>3.7</v>
      </c>
      <c r="F3495" s="93">
        <v>34.56</v>
      </c>
      <c r="G3495" s="93">
        <v>0</v>
      </c>
      <c r="H3495" s="93">
        <v>0</v>
      </c>
      <c r="N3495" s="88"/>
      <c r="O3495" s="88"/>
      <c r="P3495" s="88"/>
    </row>
    <row r="3496" spans="1:16">
      <c r="A3496" s="94">
        <v>89510</v>
      </c>
      <c r="B3496" s="87" t="s">
        <v>314</v>
      </c>
      <c r="C3496" s="12" t="s">
        <v>4</v>
      </c>
      <c r="D3496" s="93">
        <v>25.13</v>
      </c>
      <c r="E3496" s="93">
        <v>3.71</v>
      </c>
      <c r="F3496" s="93">
        <v>21.42</v>
      </c>
      <c r="G3496" s="93">
        <v>0</v>
      </c>
      <c r="H3496" s="93">
        <v>0</v>
      </c>
      <c r="N3496" s="88"/>
      <c r="O3496" s="88"/>
      <c r="P3496" s="88"/>
    </row>
    <row r="3497" spans="1:16">
      <c r="A3497" s="94">
        <v>89513</v>
      </c>
      <c r="B3497" s="87" t="s">
        <v>315</v>
      </c>
      <c r="C3497" s="12" t="s">
        <v>4</v>
      </c>
      <c r="D3497" s="93">
        <v>85.44</v>
      </c>
      <c r="E3497" s="93">
        <v>4.5599999999999996</v>
      </c>
      <c r="F3497" s="93">
        <v>80.88</v>
      </c>
      <c r="G3497" s="93">
        <v>0</v>
      </c>
      <c r="H3497" s="93">
        <v>0</v>
      </c>
      <c r="N3497" s="88"/>
      <c r="O3497" s="88"/>
      <c r="P3497" s="88"/>
    </row>
    <row r="3498" spans="1:16">
      <c r="A3498" s="94">
        <v>89514</v>
      </c>
      <c r="B3498" s="87" t="s">
        <v>316</v>
      </c>
      <c r="C3498" s="12" t="s">
        <v>4</v>
      </c>
      <c r="D3498" s="93">
        <v>7.3</v>
      </c>
      <c r="E3498" s="93">
        <v>1.44</v>
      </c>
      <c r="F3498" s="93">
        <v>5.86</v>
      </c>
      <c r="G3498" s="93">
        <v>0</v>
      </c>
      <c r="H3498" s="93">
        <v>0</v>
      </c>
      <c r="N3498" s="88"/>
      <c r="O3498" s="88"/>
      <c r="P3498" s="88"/>
    </row>
    <row r="3499" spans="1:16">
      <c r="A3499" s="94">
        <v>89515</v>
      </c>
      <c r="B3499" s="87" t="s">
        <v>317</v>
      </c>
      <c r="C3499" s="12" t="s">
        <v>4</v>
      </c>
      <c r="D3499" s="93">
        <v>64.5</v>
      </c>
      <c r="E3499" s="93">
        <v>4.5599999999999996</v>
      </c>
      <c r="F3499" s="93">
        <v>59.94</v>
      </c>
      <c r="G3499" s="93">
        <v>0</v>
      </c>
      <c r="H3499" s="93">
        <v>0</v>
      </c>
      <c r="N3499" s="88"/>
      <c r="O3499" s="88"/>
      <c r="P3499" s="88"/>
    </row>
    <row r="3500" spans="1:16">
      <c r="A3500" s="94">
        <v>89516</v>
      </c>
      <c r="B3500" s="87" t="s">
        <v>318</v>
      </c>
      <c r="C3500" s="12" t="s">
        <v>4</v>
      </c>
      <c r="D3500" s="93">
        <v>6.41</v>
      </c>
      <c r="E3500" s="93">
        <v>1.45</v>
      </c>
      <c r="F3500" s="93">
        <v>4.96</v>
      </c>
      <c r="G3500" s="93">
        <v>0</v>
      </c>
      <c r="H3500" s="93">
        <v>0</v>
      </c>
      <c r="N3500" s="88"/>
      <c r="O3500" s="88"/>
      <c r="P3500" s="88"/>
    </row>
    <row r="3501" spans="1:16">
      <c r="A3501" s="94">
        <v>89517</v>
      </c>
      <c r="B3501" s="87" t="s">
        <v>319</v>
      </c>
      <c r="C3501" s="12" t="s">
        <v>4</v>
      </c>
      <c r="D3501" s="93">
        <v>54.32</v>
      </c>
      <c r="E3501" s="93">
        <v>4.5599999999999996</v>
      </c>
      <c r="F3501" s="93">
        <v>49.76</v>
      </c>
      <c r="G3501" s="93">
        <v>0</v>
      </c>
      <c r="H3501" s="93">
        <v>0</v>
      </c>
      <c r="N3501" s="88"/>
      <c r="O3501" s="88"/>
      <c r="P3501" s="88"/>
    </row>
    <row r="3502" spans="1:16">
      <c r="A3502" s="94">
        <v>89518</v>
      </c>
      <c r="B3502" s="87" t="s">
        <v>320</v>
      </c>
      <c r="C3502" s="12" t="s">
        <v>4</v>
      </c>
      <c r="D3502" s="93">
        <v>10.34</v>
      </c>
      <c r="E3502" s="93">
        <v>1.88</v>
      </c>
      <c r="F3502" s="93">
        <v>8.4600000000000009</v>
      </c>
      <c r="G3502" s="93">
        <v>0</v>
      </c>
      <c r="H3502" s="93">
        <v>0</v>
      </c>
      <c r="N3502" s="88"/>
      <c r="O3502" s="88"/>
      <c r="P3502" s="88"/>
    </row>
    <row r="3503" spans="1:16">
      <c r="A3503" s="94">
        <v>89519</v>
      </c>
      <c r="B3503" s="87" t="s">
        <v>321</v>
      </c>
      <c r="C3503" s="12" t="s">
        <v>4</v>
      </c>
      <c r="D3503" s="93">
        <v>36.74</v>
      </c>
      <c r="E3503" s="93">
        <v>4.5599999999999996</v>
      </c>
      <c r="F3503" s="93">
        <v>32.18</v>
      </c>
      <c r="G3503" s="93">
        <v>0</v>
      </c>
      <c r="H3503" s="93">
        <v>0</v>
      </c>
      <c r="N3503" s="88"/>
      <c r="O3503" s="88"/>
      <c r="P3503" s="88"/>
    </row>
    <row r="3504" spans="1:16">
      <c r="A3504" s="94">
        <v>89520</v>
      </c>
      <c r="B3504" s="87" t="s">
        <v>322</v>
      </c>
      <c r="C3504" s="12" t="s">
        <v>4</v>
      </c>
      <c r="D3504" s="93">
        <v>9.16</v>
      </c>
      <c r="E3504" s="93">
        <v>1.88</v>
      </c>
      <c r="F3504" s="93">
        <v>7.28</v>
      </c>
      <c r="G3504" s="93">
        <v>0</v>
      </c>
      <c r="H3504" s="93">
        <v>0</v>
      </c>
      <c r="N3504" s="88"/>
      <c r="O3504" s="88"/>
      <c r="P3504" s="88"/>
    </row>
    <row r="3505" spans="1:16">
      <c r="A3505" s="94">
        <v>89521</v>
      </c>
      <c r="B3505" s="87" t="s">
        <v>323</v>
      </c>
      <c r="C3505" s="12" t="s">
        <v>4</v>
      </c>
      <c r="D3505" s="93">
        <v>100.69</v>
      </c>
      <c r="E3505" s="93">
        <v>5.1100000000000003</v>
      </c>
      <c r="F3505" s="93">
        <v>95.58</v>
      </c>
      <c r="G3505" s="93">
        <v>0</v>
      </c>
      <c r="H3505" s="93">
        <v>0</v>
      </c>
      <c r="N3505" s="88"/>
      <c r="O3505" s="88"/>
      <c r="P3505" s="88"/>
    </row>
    <row r="3506" spans="1:16">
      <c r="A3506" s="94">
        <v>89522</v>
      </c>
      <c r="B3506" s="87" t="s">
        <v>324</v>
      </c>
      <c r="C3506" s="12" t="s">
        <v>4</v>
      </c>
      <c r="D3506" s="93">
        <v>20.58</v>
      </c>
      <c r="E3506" s="93">
        <v>2.9</v>
      </c>
      <c r="F3506" s="93">
        <v>17.68</v>
      </c>
      <c r="G3506" s="93">
        <v>0</v>
      </c>
      <c r="H3506" s="93">
        <v>0</v>
      </c>
      <c r="N3506" s="88"/>
      <c r="O3506" s="88"/>
      <c r="P3506" s="88"/>
    </row>
    <row r="3507" spans="1:16">
      <c r="A3507" s="94">
        <v>89523</v>
      </c>
      <c r="B3507" s="87" t="s">
        <v>325</v>
      </c>
      <c r="C3507" s="12" t="s">
        <v>4</v>
      </c>
      <c r="D3507" s="93">
        <v>76.040000000000006</v>
      </c>
      <c r="E3507" s="93">
        <v>5.1100000000000003</v>
      </c>
      <c r="F3507" s="93">
        <v>70.930000000000007</v>
      </c>
      <c r="G3507" s="93">
        <v>0</v>
      </c>
      <c r="H3507" s="93">
        <v>0</v>
      </c>
      <c r="N3507" s="88"/>
      <c r="O3507" s="88"/>
      <c r="P3507" s="88"/>
    </row>
    <row r="3508" spans="1:16">
      <c r="A3508" s="94">
        <v>89524</v>
      </c>
      <c r="B3508" s="87" t="s">
        <v>326</v>
      </c>
      <c r="C3508" s="12" t="s">
        <v>4</v>
      </c>
      <c r="D3508" s="93">
        <v>18.329999999999998</v>
      </c>
      <c r="E3508" s="93">
        <v>2.9</v>
      </c>
      <c r="F3508" s="93">
        <v>15.43</v>
      </c>
      <c r="G3508" s="93">
        <v>0</v>
      </c>
      <c r="H3508" s="93">
        <v>0</v>
      </c>
      <c r="N3508" s="88"/>
      <c r="O3508" s="88"/>
      <c r="P3508" s="88"/>
    </row>
    <row r="3509" spans="1:16">
      <c r="A3509" s="94">
        <v>89525</v>
      </c>
      <c r="B3509" s="87" t="s">
        <v>327</v>
      </c>
      <c r="C3509" s="12" t="s">
        <v>4</v>
      </c>
      <c r="D3509" s="93">
        <v>74.790000000000006</v>
      </c>
      <c r="E3509" s="93">
        <v>5.1100000000000003</v>
      </c>
      <c r="F3509" s="93">
        <v>69.680000000000007</v>
      </c>
      <c r="G3509" s="93">
        <v>0</v>
      </c>
      <c r="H3509" s="93">
        <v>0</v>
      </c>
      <c r="N3509" s="88"/>
      <c r="O3509" s="88"/>
      <c r="P3509" s="88"/>
    </row>
    <row r="3510" spans="1:16">
      <c r="A3510" s="94">
        <v>89526</v>
      </c>
      <c r="B3510" s="87" t="s">
        <v>3056</v>
      </c>
      <c r="C3510" s="12" t="s">
        <v>4</v>
      </c>
      <c r="D3510" s="93">
        <v>26.52</v>
      </c>
      <c r="E3510" s="93">
        <v>2.9</v>
      </c>
      <c r="F3510" s="93">
        <v>23.62</v>
      </c>
      <c r="G3510" s="93">
        <v>0</v>
      </c>
      <c r="H3510" s="93">
        <v>0</v>
      </c>
      <c r="N3510" s="88"/>
      <c r="O3510" s="88"/>
      <c r="P3510" s="88"/>
    </row>
    <row r="3511" spans="1:16">
      <c r="A3511" s="94">
        <v>89527</v>
      </c>
      <c r="B3511" s="87" t="s">
        <v>328</v>
      </c>
      <c r="C3511" s="12" t="s">
        <v>4</v>
      </c>
      <c r="D3511" s="93">
        <v>57.49</v>
      </c>
      <c r="E3511" s="93">
        <v>5.1100000000000003</v>
      </c>
      <c r="F3511" s="93">
        <v>52.38</v>
      </c>
      <c r="G3511" s="93">
        <v>0</v>
      </c>
      <c r="H3511" s="93">
        <v>0</v>
      </c>
      <c r="N3511" s="88"/>
      <c r="O3511" s="88"/>
      <c r="P3511" s="88"/>
    </row>
    <row r="3512" spans="1:16">
      <c r="A3512" s="94">
        <v>89528</v>
      </c>
      <c r="B3512" s="87" t="s">
        <v>3057</v>
      </c>
      <c r="C3512" s="12" t="s">
        <v>4</v>
      </c>
      <c r="D3512" s="93">
        <v>2.98</v>
      </c>
      <c r="E3512" s="93">
        <v>1.1499999999999999</v>
      </c>
      <c r="F3512" s="93">
        <v>1.83</v>
      </c>
      <c r="G3512" s="93">
        <v>0</v>
      </c>
      <c r="H3512" s="93">
        <v>0</v>
      </c>
      <c r="N3512" s="88"/>
      <c r="O3512" s="88"/>
      <c r="P3512" s="88"/>
    </row>
    <row r="3513" spans="1:16">
      <c r="A3513" s="94">
        <v>89529</v>
      </c>
      <c r="B3513" s="87" t="s">
        <v>3058</v>
      </c>
      <c r="C3513" s="12" t="s">
        <v>4</v>
      </c>
      <c r="D3513" s="93">
        <v>30.32</v>
      </c>
      <c r="E3513" s="93">
        <v>4.08</v>
      </c>
      <c r="F3513" s="93">
        <v>26.24</v>
      </c>
      <c r="G3513" s="93">
        <v>0</v>
      </c>
      <c r="H3513" s="93">
        <v>0</v>
      </c>
      <c r="N3513" s="88"/>
      <c r="O3513" s="88"/>
      <c r="P3513" s="88"/>
    </row>
    <row r="3514" spans="1:16">
      <c r="A3514" s="94">
        <v>89530</v>
      </c>
      <c r="B3514" s="87" t="s">
        <v>329</v>
      </c>
      <c r="C3514" s="12" t="s">
        <v>4</v>
      </c>
      <c r="D3514" s="93">
        <v>10.64</v>
      </c>
      <c r="E3514" s="93">
        <v>1.1399999999999999</v>
      </c>
      <c r="F3514" s="93">
        <v>9.5</v>
      </c>
      <c r="G3514" s="93">
        <v>0</v>
      </c>
      <c r="H3514" s="93">
        <v>0</v>
      </c>
      <c r="N3514" s="88"/>
      <c r="O3514" s="88"/>
      <c r="P3514" s="88"/>
    </row>
    <row r="3515" spans="1:16">
      <c r="A3515" s="94">
        <v>89531</v>
      </c>
      <c r="B3515" s="87" t="s">
        <v>3059</v>
      </c>
      <c r="C3515" s="12" t="s">
        <v>4</v>
      </c>
      <c r="D3515" s="93">
        <v>24.86</v>
      </c>
      <c r="E3515" s="93">
        <v>4.08</v>
      </c>
      <c r="F3515" s="93">
        <v>20.78</v>
      </c>
      <c r="G3515" s="93">
        <v>0</v>
      </c>
      <c r="H3515" s="93">
        <v>0</v>
      </c>
      <c r="N3515" s="88"/>
      <c r="O3515" s="88"/>
      <c r="P3515" s="88"/>
    </row>
    <row r="3516" spans="1:16">
      <c r="A3516" s="94">
        <v>89532</v>
      </c>
      <c r="B3516" s="87" t="s">
        <v>3060</v>
      </c>
      <c r="C3516" s="12" t="s">
        <v>4</v>
      </c>
      <c r="D3516" s="93">
        <v>5.33</v>
      </c>
      <c r="E3516" s="93">
        <v>1.1399999999999999</v>
      </c>
      <c r="F3516" s="93">
        <v>4.1900000000000004</v>
      </c>
      <c r="G3516" s="93">
        <v>0</v>
      </c>
      <c r="H3516" s="93">
        <v>0</v>
      </c>
      <c r="N3516" s="88"/>
      <c r="O3516" s="88"/>
      <c r="P3516" s="88"/>
    </row>
    <row r="3517" spans="1:16">
      <c r="A3517" s="94">
        <v>89533</v>
      </c>
      <c r="B3517" s="87" t="s">
        <v>330</v>
      </c>
      <c r="C3517" s="12" t="s">
        <v>4</v>
      </c>
      <c r="D3517" s="93">
        <v>24.86</v>
      </c>
      <c r="E3517" s="93">
        <v>4.08</v>
      </c>
      <c r="F3517" s="93">
        <v>20.78</v>
      </c>
      <c r="G3517" s="93">
        <v>0</v>
      </c>
      <c r="H3517" s="93">
        <v>0</v>
      </c>
      <c r="N3517" s="88"/>
      <c r="O3517" s="88"/>
      <c r="P3517" s="88"/>
    </row>
    <row r="3518" spans="1:16">
      <c r="A3518" s="94">
        <v>89534</v>
      </c>
      <c r="B3518" s="87" t="s">
        <v>3061</v>
      </c>
      <c r="C3518" s="12" t="s">
        <v>4</v>
      </c>
      <c r="D3518" s="93">
        <v>3.66</v>
      </c>
      <c r="E3518" s="93">
        <v>1.1499999999999999</v>
      </c>
      <c r="F3518" s="93">
        <v>2.5099999999999998</v>
      </c>
      <c r="G3518" s="93">
        <v>0</v>
      </c>
      <c r="H3518" s="93">
        <v>0</v>
      </c>
      <c r="N3518" s="88"/>
      <c r="O3518" s="88"/>
      <c r="P3518" s="88"/>
    </row>
    <row r="3519" spans="1:16">
      <c r="A3519" s="94">
        <v>89535</v>
      </c>
      <c r="B3519" s="87" t="s">
        <v>3062</v>
      </c>
      <c r="C3519" s="12" t="s">
        <v>4</v>
      </c>
      <c r="D3519" s="93">
        <v>38.89</v>
      </c>
      <c r="E3519" s="93">
        <v>4.07</v>
      </c>
      <c r="F3519" s="93">
        <v>34.82</v>
      </c>
      <c r="G3519" s="93">
        <v>0</v>
      </c>
      <c r="H3519" s="93">
        <v>0</v>
      </c>
      <c r="N3519" s="88"/>
      <c r="O3519" s="88"/>
      <c r="P3519" s="88"/>
    </row>
    <row r="3520" spans="1:16">
      <c r="A3520" s="94">
        <v>89536</v>
      </c>
      <c r="B3520" s="87" t="s">
        <v>3063</v>
      </c>
      <c r="C3520" s="12" t="s">
        <v>4</v>
      </c>
      <c r="D3520" s="93">
        <v>9.58</v>
      </c>
      <c r="E3520" s="93">
        <v>1.1399999999999999</v>
      </c>
      <c r="F3520" s="93">
        <v>8.44</v>
      </c>
      <c r="G3520" s="93">
        <v>0</v>
      </c>
      <c r="H3520" s="93">
        <v>0</v>
      </c>
      <c r="N3520" s="88"/>
      <c r="O3520" s="88"/>
      <c r="P3520" s="88"/>
    </row>
    <row r="3521" spans="1:16">
      <c r="A3521" s="94">
        <v>89538</v>
      </c>
      <c r="B3521" s="87" t="s">
        <v>3064</v>
      </c>
      <c r="C3521" s="12" t="s">
        <v>4</v>
      </c>
      <c r="D3521" s="93">
        <v>3.05</v>
      </c>
      <c r="E3521" s="93">
        <v>1.1499999999999999</v>
      </c>
      <c r="F3521" s="93">
        <v>1.9</v>
      </c>
      <c r="G3521" s="93">
        <v>0</v>
      </c>
      <c r="H3521" s="93">
        <v>0</v>
      </c>
      <c r="N3521" s="88"/>
      <c r="O3521" s="88"/>
      <c r="P3521" s="88"/>
    </row>
    <row r="3522" spans="1:16">
      <c r="A3522" s="94">
        <v>89540</v>
      </c>
      <c r="B3522" s="87" t="s">
        <v>331</v>
      </c>
      <c r="C3522" s="12" t="s">
        <v>4</v>
      </c>
      <c r="D3522" s="93">
        <v>7.95</v>
      </c>
      <c r="E3522" s="93">
        <v>1.1399999999999999</v>
      </c>
      <c r="F3522" s="93">
        <v>6.81</v>
      </c>
      <c r="G3522" s="93">
        <v>0</v>
      </c>
      <c r="H3522" s="93">
        <v>0</v>
      </c>
      <c r="N3522" s="88"/>
      <c r="O3522" s="88"/>
      <c r="P3522" s="88"/>
    </row>
    <row r="3523" spans="1:16">
      <c r="A3523" s="94">
        <v>89541</v>
      </c>
      <c r="B3523" s="87" t="s">
        <v>3065</v>
      </c>
      <c r="C3523" s="12" t="s">
        <v>4</v>
      </c>
      <c r="D3523" s="93">
        <v>4.5199999999999996</v>
      </c>
      <c r="E3523" s="93">
        <v>1.43</v>
      </c>
      <c r="F3523" s="93">
        <v>3.09</v>
      </c>
      <c r="G3523" s="93">
        <v>0</v>
      </c>
      <c r="H3523" s="93">
        <v>0</v>
      </c>
      <c r="N3523" s="88"/>
      <c r="O3523" s="88"/>
      <c r="P3523" s="88"/>
    </row>
    <row r="3524" spans="1:16">
      <c r="A3524" s="94">
        <v>89542</v>
      </c>
      <c r="B3524" s="87" t="s">
        <v>332</v>
      </c>
      <c r="C3524" s="12" t="s">
        <v>4</v>
      </c>
      <c r="D3524" s="93">
        <v>22.82</v>
      </c>
      <c r="E3524" s="93">
        <v>1.41</v>
      </c>
      <c r="F3524" s="93">
        <v>21.41</v>
      </c>
      <c r="G3524" s="93">
        <v>0</v>
      </c>
      <c r="H3524" s="93">
        <v>0</v>
      </c>
      <c r="N3524" s="88"/>
      <c r="O3524" s="88"/>
      <c r="P3524" s="88"/>
    </row>
    <row r="3525" spans="1:16">
      <c r="A3525" s="94">
        <v>89544</v>
      </c>
      <c r="B3525" s="87" t="s">
        <v>3066</v>
      </c>
      <c r="C3525" s="12" t="s">
        <v>4</v>
      </c>
      <c r="D3525" s="93">
        <v>6.38</v>
      </c>
      <c r="E3525" s="93">
        <v>1.01</v>
      </c>
      <c r="F3525" s="93">
        <v>5.37</v>
      </c>
      <c r="G3525" s="93">
        <v>0</v>
      </c>
      <c r="H3525" s="93">
        <v>0</v>
      </c>
      <c r="N3525" s="88"/>
      <c r="O3525" s="88"/>
      <c r="P3525" s="88"/>
    </row>
    <row r="3526" spans="1:16">
      <c r="A3526" s="94">
        <v>89545</v>
      </c>
      <c r="B3526" s="87" t="s">
        <v>3067</v>
      </c>
      <c r="C3526" s="12" t="s">
        <v>4</v>
      </c>
      <c r="D3526" s="93">
        <v>9.34</v>
      </c>
      <c r="E3526" s="93">
        <v>1.29</v>
      </c>
      <c r="F3526" s="93">
        <v>8.0500000000000007</v>
      </c>
      <c r="G3526" s="93">
        <v>0</v>
      </c>
      <c r="H3526" s="93">
        <v>0</v>
      </c>
      <c r="N3526" s="88"/>
      <c r="O3526" s="88"/>
      <c r="P3526" s="88"/>
    </row>
    <row r="3527" spans="1:16">
      <c r="A3527" s="94">
        <v>89546</v>
      </c>
      <c r="B3527" s="87" t="s">
        <v>3068</v>
      </c>
      <c r="C3527" s="12" t="s">
        <v>4</v>
      </c>
      <c r="D3527" s="93">
        <v>8.16</v>
      </c>
      <c r="E3527" s="93">
        <v>1.29</v>
      </c>
      <c r="F3527" s="93">
        <v>6.87</v>
      </c>
      <c r="G3527" s="93">
        <v>0</v>
      </c>
      <c r="H3527" s="93">
        <v>0</v>
      </c>
      <c r="N3527" s="88"/>
      <c r="O3527" s="88"/>
      <c r="P3527" s="88"/>
    </row>
    <row r="3528" spans="1:16">
      <c r="A3528" s="94">
        <v>89547</v>
      </c>
      <c r="B3528" s="87" t="s">
        <v>3069</v>
      </c>
      <c r="C3528" s="12" t="s">
        <v>4</v>
      </c>
      <c r="D3528" s="93">
        <v>14.09</v>
      </c>
      <c r="E3528" s="93">
        <v>2.04</v>
      </c>
      <c r="F3528" s="93">
        <v>12.05</v>
      </c>
      <c r="G3528" s="93">
        <v>0</v>
      </c>
      <c r="H3528" s="93">
        <v>0</v>
      </c>
      <c r="N3528" s="88"/>
      <c r="O3528" s="88"/>
      <c r="P3528" s="88"/>
    </row>
    <row r="3529" spans="1:16">
      <c r="A3529" s="94">
        <v>89548</v>
      </c>
      <c r="B3529" s="87" t="s">
        <v>333</v>
      </c>
      <c r="C3529" s="12" t="s">
        <v>4</v>
      </c>
      <c r="D3529" s="93">
        <v>15.21</v>
      </c>
      <c r="E3529" s="93">
        <v>2.04</v>
      </c>
      <c r="F3529" s="93">
        <v>13.17</v>
      </c>
      <c r="G3529" s="93">
        <v>0</v>
      </c>
      <c r="H3529" s="93">
        <v>0</v>
      </c>
      <c r="N3529" s="88"/>
      <c r="O3529" s="88"/>
      <c r="P3529" s="88"/>
    </row>
    <row r="3530" spans="1:16">
      <c r="A3530" s="94">
        <v>89549</v>
      </c>
      <c r="B3530" s="87" t="s">
        <v>3070</v>
      </c>
      <c r="C3530" s="12" t="s">
        <v>4</v>
      </c>
      <c r="D3530" s="93">
        <v>11.1</v>
      </c>
      <c r="E3530" s="93">
        <v>2.04</v>
      </c>
      <c r="F3530" s="93">
        <v>9.06</v>
      </c>
      <c r="G3530" s="93">
        <v>0</v>
      </c>
      <c r="H3530" s="93">
        <v>0</v>
      </c>
      <c r="N3530" s="88"/>
      <c r="O3530" s="88"/>
      <c r="P3530" s="88"/>
    </row>
    <row r="3531" spans="1:16">
      <c r="A3531" s="94">
        <v>89550</v>
      </c>
      <c r="B3531" s="87" t="s">
        <v>334</v>
      </c>
      <c r="C3531" s="12" t="s">
        <v>4</v>
      </c>
      <c r="D3531" s="93">
        <v>26.35</v>
      </c>
      <c r="E3531" s="93">
        <v>2.0299999999999998</v>
      </c>
      <c r="F3531" s="93">
        <v>24.32</v>
      </c>
      <c r="G3531" s="93">
        <v>0</v>
      </c>
      <c r="H3531" s="93">
        <v>0</v>
      </c>
      <c r="N3531" s="88"/>
      <c r="O3531" s="88"/>
      <c r="P3531" s="88"/>
    </row>
    <row r="3532" spans="1:16">
      <c r="A3532" s="94">
        <v>89551</v>
      </c>
      <c r="B3532" s="87" t="s">
        <v>3071</v>
      </c>
      <c r="C3532" s="12" t="s">
        <v>4</v>
      </c>
      <c r="D3532" s="93">
        <v>7.3</v>
      </c>
      <c r="E3532" s="93">
        <v>1.42</v>
      </c>
      <c r="F3532" s="93">
        <v>5.88</v>
      </c>
      <c r="G3532" s="93">
        <v>0</v>
      </c>
      <c r="H3532" s="93">
        <v>0</v>
      </c>
      <c r="N3532" s="88"/>
      <c r="O3532" s="88"/>
      <c r="P3532" s="88"/>
    </row>
    <row r="3533" spans="1:16">
      <c r="A3533" s="94">
        <v>89552</v>
      </c>
      <c r="B3533" s="87" t="s">
        <v>3072</v>
      </c>
      <c r="C3533" s="12" t="s">
        <v>4</v>
      </c>
      <c r="D3533" s="93">
        <v>14.84</v>
      </c>
      <c r="E3533" s="93">
        <v>1.41</v>
      </c>
      <c r="F3533" s="93">
        <v>13.43</v>
      </c>
      <c r="G3533" s="93">
        <v>0</v>
      </c>
      <c r="H3533" s="93">
        <v>0</v>
      </c>
      <c r="N3533" s="88"/>
      <c r="O3533" s="88"/>
      <c r="P3533" s="88"/>
    </row>
    <row r="3534" spans="1:16">
      <c r="A3534" s="94">
        <v>89553</v>
      </c>
      <c r="B3534" s="87" t="s">
        <v>3073</v>
      </c>
      <c r="C3534" s="12" t="s">
        <v>4</v>
      </c>
      <c r="D3534" s="93">
        <v>4.4400000000000004</v>
      </c>
      <c r="E3534" s="93">
        <v>1.43</v>
      </c>
      <c r="F3534" s="93">
        <v>3.01</v>
      </c>
      <c r="G3534" s="93">
        <v>0</v>
      </c>
      <c r="H3534" s="93">
        <v>0</v>
      </c>
      <c r="N3534" s="88"/>
      <c r="O3534" s="88"/>
      <c r="P3534" s="88"/>
    </row>
    <row r="3535" spans="1:16">
      <c r="A3535" s="94">
        <v>89554</v>
      </c>
      <c r="B3535" s="87" t="s">
        <v>3074</v>
      </c>
      <c r="C3535" s="12" t="s">
        <v>4</v>
      </c>
      <c r="D3535" s="93">
        <v>17.37</v>
      </c>
      <c r="E3535" s="93">
        <v>2.76</v>
      </c>
      <c r="F3535" s="93">
        <v>14.61</v>
      </c>
      <c r="G3535" s="93">
        <v>0</v>
      </c>
      <c r="H3535" s="93">
        <v>0</v>
      </c>
      <c r="N3535" s="88"/>
      <c r="O3535" s="88"/>
      <c r="P3535" s="88"/>
    </row>
    <row r="3536" spans="1:16">
      <c r="A3536" s="94">
        <v>89555</v>
      </c>
      <c r="B3536" s="87" t="s">
        <v>335</v>
      </c>
      <c r="C3536" s="12" t="s">
        <v>4</v>
      </c>
      <c r="D3536" s="93">
        <v>17.989999999999998</v>
      </c>
      <c r="E3536" s="93">
        <v>1.41</v>
      </c>
      <c r="F3536" s="93">
        <v>16.579999999999998</v>
      </c>
      <c r="G3536" s="93">
        <v>0</v>
      </c>
      <c r="H3536" s="93">
        <v>0</v>
      </c>
      <c r="N3536" s="88"/>
      <c r="O3536" s="88"/>
      <c r="P3536" s="88"/>
    </row>
    <row r="3537" spans="1:16">
      <c r="A3537" s="94">
        <v>89556</v>
      </c>
      <c r="B3537" s="87" t="s">
        <v>336</v>
      </c>
      <c r="C3537" s="12" t="s">
        <v>4</v>
      </c>
      <c r="D3537" s="93">
        <v>25.02</v>
      </c>
      <c r="E3537" s="93">
        <v>2.75</v>
      </c>
      <c r="F3537" s="93">
        <v>22.27</v>
      </c>
      <c r="G3537" s="93">
        <v>0</v>
      </c>
      <c r="H3537" s="93">
        <v>0</v>
      </c>
      <c r="N3537" s="88"/>
      <c r="O3537" s="88"/>
      <c r="P3537" s="88"/>
    </row>
    <row r="3538" spans="1:16">
      <c r="A3538" s="94">
        <v>89557</v>
      </c>
      <c r="B3538" s="87" t="s">
        <v>337</v>
      </c>
      <c r="C3538" s="12" t="s">
        <v>4</v>
      </c>
      <c r="D3538" s="93">
        <v>20</v>
      </c>
      <c r="E3538" s="93">
        <v>2.76</v>
      </c>
      <c r="F3538" s="93">
        <v>17.239999999999998</v>
      </c>
      <c r="G3538" s="93">
        <v>0</v>
      </c>
      <c r="H3538" s="93">
        <v>0</v>
      </c>
      <c r="N3538" s="88"/>
      <c r="O3538" s="88"/>
      <c r="P3538" s="88"/>
    </row>
    <row r="3539" spans="1:16">
      <c r="A3539" s="94">
        <v>89558</v>
      </c>
      <c r="B3539" s="87" t="s">
        <v>3075</v>
      </c>
      <c r="C3539" s="12" t="s">
        <v>4</v>
      </c>
      <c r="D3539" s="93">
        <v>6.89</v>
      </c>
      <c r="E3539" s="93">
        <v>1.71</v>
      </c>
      <c r="F3539" s="93">
        <v>5.18</v>
      </c>
      <c r="G3539" s="93">
        <v>0</v>
      </c>
      <c r="H3539" s="93">
        <v>0</v>
      </c>
      <c r="N3539" s="88"/>
      <c r="O3539" s="88"/>
      <c r="P3539" s="88"/>
    </row>
    <row r="3540" spans="1:16">
      <c r="A3540" s="94">
        <v>89559</v>
      </c>
      <c r="B3540" s="87" t="s">
        <v>338</v>
      </c>
      <c r="C3540" s="12" t="s">
        <v>4</v>
      </c>
      <c r="D3540" s="93">
        <v>43.24</v>
      </c>
      <c r="E3540" s="93">
        <v>2.75</v>
      </c>
      <c r="F3540" s="93">
        <v>40.49</v>
      </c>
      <c r="G3540" s="93">
        <v>0</v>
      </c>
      <c r="H3540" s="93">
        <v>0</v>
      </c>
      <c r="N3540" s="88"/>
      <c r="O3540" s="88"/>
      <c r="P3540" s="88"/>
    </row>
    <row r="3541" spans="1:16">
      <c r="A3541" s="94">
        <v>89561</v>
      </c>
      <c r="B3541" s="87" t="s">
        <v>339</v>
      </c>
      <c r="C3541" s="12" t="s">
        <v>4</v>
      </c>
      <c r="D3541" s="93">
        <v>9.49</v>
      </c>
      <c r="E3541" s="93">
        <v>2.04</v>
      </c>
      <c r="F3541" s="93">
        <v>7.45</v>
      </c>
      <c r="G3541" s="93">
        <v>0</v>
      </c>
      <c r="H3541" s="93">
        <v>0</v>
      </c>
      <c r="N3541" s="88"/>
      <c r="O3541" s="88"/>
      <c r="P3541" s="88"/>
    </row>
    <row r="3542" spans="1:16">
      <c r="A3542" s="94">
        <v>89562</v>
      </c>
      <c r="B3542" s="87" t="s">
        <v>3076</v>
      </c>
      <c r="C3542" s="12" t="s">
        <v>4</v>
      </c>
      <c r="D3542" s="93">
        <v>7.33</v>
      </c>
      <c r="E3542" s="93">
        <v>1.71</v>
      </c>
      <c r="F3542" s="93">
        <v>5.62</v>
      </c>
      <c r="G3542" s="93">
        <v>0</v>
      </c>
      <c r="H3542" s="93">
        <v>0</v>
      </c>
      <c r="N3542" s="88"/>
      <c r="O3542" s="88"/>
      <c r="P3542" s="88"/>
    </row>
    <row r="3543" spans="1:16">
      <c r="A3543" s="94">
        <v>89563</v>
      </c>
      <c r="B3543" s="87" t="s">
        <v>340</v>
      </c>
      <c r="C3543" s="12" t="s">
        <v>4</v>
      </c>
      <c r="D3543" s="93">
        <v>15.54</v>
      </c>
      <c r="E3543" s="93">
        <v>2.61</v>
      </c>
      <c r="F3543" s="93">
        <v>12.93</v>
      </c>
      <c r="G3543" s="93">
        <v>0</v>
      </c>
      <c r="H3543" s="93">
        <v>0</v>
      </c>
      <c r="N3543" s="88"/>
      <c r="O3543" s="88"/>
      <c r="P3543" s="88"/>
    </row>
    <row r="3544" spans="1:16">
      <c r="A3544" s="94">
        <v>89564</v>
      </c>
      <c r="B3544" s="87" t="s">
        <v>3077</v>
      </c>
      <c r="C3544" s="12" t="s">
        <v>4</v>
      </c>
      <c r="D3544" s="93">
        <v>13.31</v>
      </c>
      <c r="E3544" s="93">
        <v>1.71</v>
      </c>
      <c r="F3544" s="93">
        <v>11.6</v>
      </c>
      <c r="G3544" s="93">
        <v>0</v>
      </c>
      <c r="H3544" s="93">
        <v>0</v>
      </c>
      <c r="N3544" s="88"/>
      <c r="O3544" s="88"/>
      <c r="P3544" s="88"/>
    </row>
    <row r="3545" spans="1:16">
      <c r="A3545" s="94">
        <v>89565</v>
      </c>
      <c r="B3545" s="87" t="s">
        <v>3078</v>
      </c>
      <c r="C3545" s="12" t="s">
        <v>4</v>
      </c>
      <c r="D3545" s="93">
        <v>37.200000000000003</v>
      </c>
      <c r="E3545" s="93">
        <v>3.92</v>
      </c>
      <c r="F3545" s="93">
        <v>33.28</v>
      </c>
      <c r="G3545" s="93">
        <v>0</v>
      </c>
      <c r="H3545" s="93">
        <v>0</v>
      </c>
      <c r="N3545" s="88"/>
      <c r="O3545" s="88"/>
      <c r="P3545" s="88"/>
    </row>
    <row r="3546" spans="1:16">
      <c r="A3546" s="94">
        <v>89566</v>
      </c>
      <c r="B3546" s="87" t="s">
        <v>341</v>
      </c>
      <c r="C3546" s="12" t="s">
        <v>4</v>
      </c>
      <c r="D3546" s="93">
        <v>32.36</v>
      </c>
      <c r="E3546" s="93">
        <v>3.93</v>
      </c>
      <c r="F3546" s="93">
        <v>28.43</v>
      </c>
      <c r="G3546" s="93">
        <v>0</v>
      </c>
      <c r="H3546" s="93">
        <v>0</v>
      </c>
      <c r="N3546" s="88"/>
      <c r="O3546" s="88"/>
      <c r="P3546" s="88"/>
    </row>
    <row r="3547" spans="1:16">
      <c r="A3547" s="94">
        <v>89567</v>
      </c>
      <c r="B3547" s="87" t="s">
        <v>3079</v>
      </c>
      <c r="C3547" s="12" t="s">
        <v>4</v>
      </c>
      <c r="D3547" s="93">
        <v>54.67</v>
      </c>
      <c r="E3547" s="93">
        <v>5.38</v>
      </c>
      <c r="F3547" s="93">
        <v>49.29</v>
      </c>
      <c r="G3547" s="93">
        <v>0</v>
      </c>
      <c r="H3547" s="93">
        <v>0</v>
      </c>
      <c r="N3547" s="88"/>
      <c r="O3547" s="88"/>
      <c r="P3547" s="88"/>
    </row>
    <row r="3548" spans="1:16">
      <c r="A3548" s="94">
        <v>89568</v>
      </c>
      <c r="B3548" s="87" t="s">
        <v>3080</v>
      </c>
      <c r="C3548" s="12" t="s">
        <v>4</v>
      </c>
      <c r="D3548" s="93">
        <v>26.85</v>
      </c>
      <c r="E3548" s="93">
        <v>1.7</v>
      </c>
      <c r="F3548" s="93">
        <v>25.15</v>
      </c>
      <c r="G3548" s="93">
        <v>0</v>
      </c>
      <c r="H3548" s="93">
        <v>0</v>
      </c>
      <c r="N3548" s="88"/>
      <c r="O3548" s="88"/>
      <c r="P3548" s="88"/>
    </row>
    <row r="3549" spans="1:16">
      <c r="A3549" s="94">
        <v>89569</v>
      </c>
      <c r="B3549" s="87" t="s">
        <v>3081</v>
      </c>
      <c r="C3549" s="12" t="s">
        <v>4</v>
      </c>
      <c r="D3549" s="93">
        <v>51.78</v>
      </c>
      <c r="E3549" s="93">
        <v>5.38</v>
      </c>
      <c r="F3549" s="93">
        <v>46.4</v>
      </c>
      <c r="G3549" s="93">
        <v>0</v>
      </c>
      <c r="H3549" s="93">
        <v>0</v>
      </c>
      <c r="N3549" s="88"/>
      <c r="O3549" s="88"/>
      <c r="P3549" s="88"/>
    </row>
    <row r="3550" spans="1:16">
      <c r="A3550" s="94">
        <v>89570</v>
      </c>
      <c r="B3550" s="87" t="s">
        <v>3082</v>
      </c>
      <c r="C3550" s="12" t="s">
        <v>4</v>
      </c>
      <c r="D3550" s="93">
        <v>9.42</v>
      </c>
      <c r="E3550" s="93">
        <v>1.71</v>
      </c>
      <c r="F3550" s="93">
        <v>7.71</v>
      </c>
      <c r="G3550" s="93">
        <v>0</v>
      </c>
      <c r="H3550" s="93">
        <v>0</v>
      </c>
      <c r="N3550" s="88"/>
      <c r="O3550" s="88"/>
      <c r="P3550" s="88"/>
    </row>
    <row r="3551" spans="1:16">
      <c r="A3551" s="94">
        <v>89571</v>
      </c>
      <c r="B3551" s="87" t="s">
        <v>3083</v>
      </c>
      <c r="C3551" s="12" t="s">
        <v>4</v>
      </c>
      <c r="D3551" s="93">
        <v>50.42</v>
      </c>
      <c r="E3551" s="93">
        <v>5.38</v>
      </c>
      <c r="F3551" s="93">
        <v>45.04</v>
      </c>
      <c r="G3551" s="93">
        <v>0</v>
      </c>
      <c r="H3551" s="93">
        <v>0</v>
      </c>
      <c r="N3551" s="88"/>
      <c r="O3551" s="88"/>
      <c r="P3551" s="88"/>
    </row>
    <row r="3552" spans="1:16">
      <c r="A3552" s="94">
        <v>89572</v>
      </c>
      <c r="B3552" s="87" t="s">
        <v>3084</v>
      </c>
      <c r="C3552" s="12" t="s">
        <v>4</v>
      </c>
      <c r="D3552" s="93">
        <v>6.52</v>
      </c>
      <c r="E3552" s="93">
        <v>1.72</v>
      </c>
      <c r="F3552" s="93">
        <v>4.8</v>
      </c>
      <c r="G3552" s="93">
        <v>0</v>
      </c>
      <c r="H3552" s="93">
        <v>0</v>
      </c>
      <c r="N3552" s="88"/>
      <c r="O3552" s="88"/>
      <c r="P3552" s="88"/>
    </row>
    <row r="3553" spans="1:16">
      <c r="A3553" s="94">
        <v>89573</v>
      </c>
      <c r="B3553" s="87" t="s">
        <v>3085</v>
      </c>
      <c r="C3553" s="12" t="s">
        <v>4</v>
      </c>
      <c r="D3553" s="93">
        <v>46.03</v>
      </c>
      <c r="E3553" s="93">
        <v>5.38</v>
      </c>
      <c r="F3553" s="93">
        <v>40.65</v>
      </c>
      <c r="G3553" s="93">
        <v>0</v>
      </c>
      <c r="H3553" s="93">
        <v>0</v>
      </c>
      <c r="N3553" s="88"/>
      <c r="O3553" s="88"/>
      <c r="P3553" s="88"/>
    </row>
    <row r="3554" spans="1:16">
      <c r="A3554" s="94">
        <v>89574</v>
      </c>
      <c r="B3554" s="87" t="s">
        <v>3086</v>
      </c>
      <c r="C3554" s="12" t="s">
        <v>4</v>
      </c>
      <c r="D3554" s="93">
        <v>89.01</v>
      </c>
      <c r="E3554" s="93">
        <v>8.2899999999999991</v>
      </c>
      <c r="F3554" s="93">
        <v>80.72</v>
      </c>
      <c r="G3554" s="93">
        <v>0</v>
      </c>
      <c r="H3554" s="93">
        <v>0</v>
      </c>
      <c r="N3554" s="88"/>
      <c r="O3554" s="88"/>
      <c r="P3554" s="88"/>
    </row>
    <row r="3555" spans="1:16">
      <c r="A3555" s="94">
        <v>89575</v>
      </c>
      <c r="B3555" s="87" t="s">
        <v>3087</v>
      </c>
      <c r="C3555" s="12" t="s">
        <v>4</v>
      </c>
      <c r="D3555" s="93">
        <v>8.7100000000000009</v>
      </c>
      <c r="E3555" s="93">
        <v>2.1</v>
      </c>
      <c r="F3555" s="93">
        <v>6.61</v>
      </c>
      <c r="G3555" s="93">
        <v>0</v>
      </c>
      <c r="H3555" s="93">
        <v>0</v>
      </c>
      <c r="N3555" s="88"/>
      <c r="O3555" s="88"/>
      <c r="P3555" s="88"/>
    </row>
    <row r="3556" spans="1:16">
      <c r="A3556" s="94">
        <v>89577</v>
      </c>
      <c r="B3556" s="87" t="s">
        <v>342</v>
      </c>
      <c r="C3556" s="12" t="s">
        <v>4</v>
      </c>
      <c r="D3556" s="93">
        <v>27.51</v>
      </c>
      <c r="E3556" s="93">
        <v>2.09</v>
      </c>
      <c r="F3556" s="93">
        <v>25.42</v>
      </c>
      <c r="G3556" s="93">
        <v>0</v>
      </c>
      <c r="H3556" s="93">
        <v>0</v>
      </c>
      <c r="N3556" s="88"/>
      <c r="O3556" s="88"/>
      <c r="P3556" s="88"/>
    </row>
    <row r="3557" spans="1:16">
      <c r="A3557" s="94">
        <v>89579</v>
      </c>
      <c r="B3557" s="87" t="s">
        <v>3088</v>
      </c>
      <c r="C3557" s="12" t="s">
        <v>4</v>
      </c>
      <c r="D3557" s="93">
        <v>8.92</v>
      </c>
      <c r="E3557" s="93">
        <v>2.1</v>
      </c>
      <c r="F3557" s="93">
        <v>6.82</v>
      </c>
      <c r="G3557" s="93">
        <v>0</v>
      </c>
      <c r="H3557" s="93">
        <v>0</v>
      </c>
      <c r="N3557" s="88"/>
      <c r="O3557" s="88"/>
      <c r="P3557" s="88"/>
    </row>
    <row r="3558" spans="1:16">
      <c r="A3558" s="94">
        <v>89581</v>
      </c>
      <c r="B3558" s="87" t="s">
        <v>3089</v>
      </c>
      <c r="C3558" s="12" t="s">
        <v>4</v>
      </c>
      <c r="D3558" s="93">
        <v>19.079999999999998</v>
      </c>
      <c r="E3558" s="93">
        <v>1.73</v>
      </c>
      <c r="F3558" s="93">
        <v>17.350000000000001</v>
      </c>
      <c r="G3558" s="93">
        <v>0</v>
      </c>
      <c r="H3558" s="93">
        <v>0</v>
      </c>
      <c r="N3558" s="88"/>
      <c r="O3558" s="88"/>
      <c r="P3558" s="88"/>
    </row>
    <row r="3559" spans="1:16">
      <c r="A3559" s="94">
        <v>89582</v>
      </c>
      <c r="B3559" s="87" t="s">
        <v>3090</v>
      </c>
      <c r="C3559" s="12" t="s">
        <v>4</v>
      </c>
      <c r="D3559" s="93">
        <v>16.829999999999998</v>
      </c>
      <c r="E3559" s="93">
        <v>1.73</v>
      </c>
      <c r="F3559" s="93">
        <v>15.1</v>
      </c>
      <c r="G3559" s="93">
        <v>0</v>
      </c>
      <c r="H3559" s="93">
        <v>0</v>
      </c>
      <c r="N3559" s="88"/>
      <c r="O3559" s="88"/>
      <c r="P3559" s="88"/>
    </row>
    <row r="3560" spans="1:16">
      <c r="A3560" s="94">
        <v>89583</v>
      </c>
      <c r="B3560" s="87" t="s">
        <v>3091</v>
      </c>
      <c r="C3560" s="12" t="s">
        <v>4</v>
      </c>
      <c r="D3560" s="93">
        <v>25.02</v>
      </c>
      <c r="E3560" s="93">
        <v>1.73</v>
      </c>
      <c r="F3560" s="93">
        <v>23.29</v>
      </c>
      <c r="G3560" s="93">
        <v>0</v>
      </c>
      <c r="H3560" s="93">
        <v>0</v>
      </c>
      <c r="N3560" s="88"/>
      <c r="O3560" s="88"/>
      <c r="P3560" s="88"/>
    </row>
    <row r="3561" spans="1:16">
      <c r="A3561" s="94">
        <v>89584</v>
      </c>
      <c r="B3561" s="87" t="s">
        <v>3092</v>
      </c>
      <c r="C3561" s="12" t="s">
        <v>4</v>
      </c>
      <c r="D3561" s="93">
        <v>28.83</v>
      </c>
      <c r="E3561" s="93">
        <v>2.9</v>
      </c>
      <c r="F3561" s="93">
        <v>25.93</v>
      </c>
      <c r="G3561" s="93">
        <v>0</v>
      </c>
      <c r="H3561" s="93">
        <v>0</v>
      </c>
      <c r="N3561" s="88"/>
      <c r="O3561" s="88"/>
      <c r="P3561" s="88"/>
    </row>
    <row r="3562" spans="1:16">
      <c r="A3562" s="94">
        <v>89585</v>
      </c>
      <c r="B3562" s="87" t="s">
        <v>3093</v>
      </c>
      <c r="C3562" s="12" t="s">
        <v>4</v>
      </c>
      <c r="D3562" s="93">
        <v>23.37</v>
      </c>
      <c r="E3562" s="93">
        <v>2.9</v>
      </c>
      <c r="F3562" s="93">
        <v>20.47</v>
      </c>
      <c r="G3562" s="93">
        <v>0</v>
      </c>
      <c r="H3562" s="93">
        <v>0</v>
      </c>
      <c r="N3562" s="88"/>
      <c r="O3562" s="88"/>
      <c r="P3562" s="88"/>
    </row>
    <row r="3563" spans="1:16">
      <c r="A3563" s="94">
        <v>89586</v>
      </c>
      <c r="B3563" s="87" t="s">
        <v>3094</v>
      </c>
      <c r="C3563" s="12" t="s">
        <v>4</v>
      </c>
      <c r="D3563" s="93">
        <v>23.37</v>
      </c>
      <c r="E3563" s="93">
        <v>2.9</v>
      </c>
      <c r="F3563" s="93">
        <v>20.47</v>
      </c>
      <c r="G3563" s="93">
        <v>0</v>
      </c>
      <c r="H3563" s="93">
        <v>0</v>
      </c>
      <c r="N3563" s="88"/>
      <c r="O3563" s="88"/>
      <c r="P3563" s="88"/>
    </row>
    <row r="3564" spans="1:16">
      <c r="A3564" s="94">
        <v>89587</v>
      </c>
      <c r="B3564" s="87" t="s">
        <v>3095</v>
      </c>
      <c r="C3564" s="12" t="s">
        <v>4</v>
      </c>
      <c r="D3564" s="93">
        <v>37.4</v>
      </c>
      <c r="E3564" s="93">
        <v>2.9</v>
      </c>
      <c r="F3564" s="93">
        <v>34.5</v>
      </c>
      <c r="G3564" s="93">
        <v>0</v>
      </c>
      <c r="H3564" s="93">
        <v>0</v>
      </c>
      <c r="N3564" s="88"/>
      <c r="O3564" s="88"/>
      <c r="P3564" s="88"/>
    </row>
    <row r="3565" spans="1:16">
      <c r="A3565" s="94">
        <v>89590</v>
      </c>
      <c r="B3565" s="87" t="s">
        <v>3096</v>
      </c>
      <c r="C3565" s="12" t="s">
        <v>4</v>
      </c>
      <c r="D3565" s="93">
        <v>90.48</v>
      </c>
      <c r="E3565" s="93">
        <v>4.9400000000000004</v>
      </c>
      <c r="F3565" s="93">
        <v>85.54</v>
      </c>
      <c r="G3565" s="93">
        <v>0</v>
      </c>
      <c r="H3565" s="93">
        <v>0</v>
      </c>
      <c r="N3565" s="88"/>
      <c r="O3565" s="88"/>
      <c r="P3565" s="88"/>
    </row>
    <row r="3566" spans="1:16">
      <c r="A3566" s="94">
        <v>89591</v>
      </c>
      <c r="B3566" s="87" t="s">
        <v>3097</v>
      </c>
      <c r="C3566" s="12" t="s">
        <v>4</v>
      </c>
      <c r="D3566" s="93">
        <v>74.790000000000006</v>
      </c>
      <c r="E3566" s="93">
        <v>4.9400000000000004</v>
      </c>
      <c r="F3566" s="93">
        <v>69.849999999999994</v>
      </c>
      <c r="G3566" s="93">
        <v>0</v>
      </c>
      <c r="H3566" s="93">
        <v>0</v>
      </c>
      <c r="N3566" s="88"/>
      <c r="O3566" s="88"/>
      <c r="P3566" s="88"/>
    </row>
    <row r="3567" spans="1:16">
      <c r="A3567" s="94">
        <v>89592</v>
      </c>
      <c r="B3567" s="87" t="s">
        <v>3098</v>
      </c>
      <c r="C3567" s="12" t="s">
        <v>4</v>
      </c>
      <c r="D3567" s="93">
        <v>120.41</v>
      </c>
      <c r="E3567" s="93">
        <v>4.9400000000000004</v>
      </c>
      <c r="F3567" s="93">
        <v>115.47</v>
      </c>
      <c r="G3567" s="93">
        <v>0</v>
      </c>
      <c r="H3567" s="93">
        <v>0</v>
      </c>
      <c r="N3567" s="88"/>
      <c r="O3567" s="88"/>
      <c r="P3567" s="88"/>
    </row>
    <row r="3568" spans="1:16">
      <c r="A3568" s="94">
        <v>89593</v>
      </c>
      <c r="B3568" s="87" t="s">
        <v>3099</v>
      </c>
      <c r="C3568" s="12" t="s">
        <v>4</v>
      </c>
      <c r="D3568" s="93">
        <v>24.91</v>
      </c>
      <c r="E3568" s="93">
        <v>2.09</v>
      </c>
      <c r="F3568" s="93">
        <v>22.82</v>
      </c>
      <c r="G3568" s="93">
        <v>0</v>
      </c>
      <c r="H3568" s="93">
        <v>0</v>
      </c>
      <c r="N3568" s="88"/>
      <c r="O3568" s="88"/>
      <c r="P3568" s="88"/>
    </row>
    <row r="3569" spans="1:16">
      <c r="A3569" s="94">
        <v>89594</v>
      </c>
      <c r="B3569" s="87" t="s">
        <v>3100</v>
      </c>
      <c r="C3569" s="12" t="s">
        <v>4</v>
      </c>
      <c r="D3569" s="93">
        <v>30.04</v>
      </c>
      <c r="E3569" s="93">
        <v>2.09</v>
      </c>
      <c r="F3569" s="93">
        <v>27.95</v>
      </c>
      <c r="G3569" s="93">
        <v>0</v>
      </c>
      <c r="H3569" s="93">
        <v>0</v>
      </c>
      <c r="N3569" s="88"/>
      <c r="O3569" s="88"/>
      <c r="P3569" s="88"/>
    </row>
    <row r="3570" spans="1:16">
      <c r="A3570" s="94">
        <v>89595</v>
      </c>
      <c r="B3570" s="87" t="s">
        <v>3101</v>
      </c>
      <c r="C3570" s="12" t="s">
        <v>4</v>
      </c>
      <c r="D3570" s="93">
        <v>11.57</v>
      </c>
      <c r="E3570" s="93">
        <v>2.1</v>
      </c>
      <c r="F3570" s="93">
        <v>9.4700000000000006</v>
      </c>
      <c r="G3570" s="93">
        <v>0</v>
      </c>
      <c r="H3570" s="93">
        <v>0</v>
      </c>
      <c r="N3570" s="88"/>
      <c r="O3570" s="88"/>
      <c r="P3570" s="88"/>
    </row>
    <row r="3571" spans="1:16">
      <c r="A3571" s="94">
        <v>89596</v>
      </c>
      <c r="B3571" s="87" t="s">
        <v>3102</v>
      </c>
      <c r="C3571" s="12" t="s">
        <v>4</v>
      </c>
      <c r="D3571" s="93">
        <v>8.56</v>
      </c>
      <c r="E3571" s="93">
        <v>2.1</v>
      </c>
      <c r="F3571" s="93">
        <v>6.46</v>
      </c>
      <c r="G3571" s="93">
        <v>0</v>
      </c>
      <c r="H3571" s="93">
        <v>0</v>
      </c>
      <c r="N3571" s="88"/>
      <c r="O3571" s="88"/>
      <c r="P3571" s="88"/>
    </row>
    <row r="3572" spans="1:16">
      <c r="A3572" s="94">
        <v>89597</v>
      </c>
      <c r="B3572" s="87" t="s">
        <v>3103</v>
      </c>
      <c r="C3572" s="12" t="s">
        <v>4</v>
      </c>
      <c r="D3572" s="93">
        <v>15.99</v>
      </c>
      <c r="E3572" s="93">
        <v>2.4700000000000002</v>
      </c>
      <c r="F3572" s="93">
        <v>13.52</v>
      </c>
      <c r="G3572" s="93">
        <v>0</v>
      </c>
      <c r="H3572" s="93">
        <v>0</v>
      </c>
      <c r="N3572" s="88"/>
      <c r="O3572" s="88"/>
      <c r="P3572" s="88"/>
    </row>
    <row r="3573" spans="1:16">
      <c r="A3573" s="94">
        <v>89598</v>
      </c>
      <c r="B3573" s="87" t="s">
        <v>3104</v>
      </c>
      <c r="C3573" s="12" t="s">
        <v>4</v>
      </c>
      <c r="D3573" s="93">
        <v>41.47</v>
      </c>
      <c r="E3573" s="93">
        <v>2.46</v>
      </c>
      <c r="F3573" s="93">
        <v>39.01</v>
      </c>
      <c r="G3573" s="93">
        <v>0</v>
      </c>
      <c r="H3573" s="93">
        <v>0</v>
      </c>
      <c r="N3573" s="88"/>
      <c r="O3573" s="88"/>
      <c r="P3573" s="88"/>
    </row>
    <row r="3574" spans="1:16">
      <c r="A3574" s="94">
        <v>89599</v>
      </c>
      <c r="B3574" s="87" t="s">
        <v>3105</v>
      </c>
      <c r="C3574" s="12" t="s">
        <v>4</v>
      </c>
      <c r="D3574" s="93">
        <v>12.96</v>
      </c>
      <c r="E3574" s="93">
        <v>1.1399999999999999</v>
      </c>
      <c r="F3574" s="93">
        <v>11.82</v>
      </c>
      <c r="G3574" s="93">
        <v>0</v>
      </c>
      <c r="H3574" s="93">
        <v>0</v>
      </c>
      <c r="N3574" s="88"/>
      <c r="O3574" s="88"/>
      <c r="P3574" s="88"/>
    </row>
    <row r="3575" spans="1:16">
      <c r="A3575" s="94">
        <v>89600</v>
      </c>
      <c r="B3575" s="87" t="s">
        <v>3106</v>
      </c>
      <c r="C3575" s="12" t="s">
        <v>4</v>
      </c>
      <c r="D3575" s="93">
        <v>14.08</v>
      </c>
      <c r="E3575" s="93">
        <v>1.1399999999999999</v>
      </c>
      <c r="F3575" s="93">
        <v>12.94</v>
      </c>
      <c r="G3575" s="93">
        <v>0</v>
      </c>
      <c r="H3575" s="93">
        <v>0</v>
      </c>
      <c r="N3575" s="88"/>
      <c r="O3575" s="88"/>
      <c r="P3575" s="88"/>
    </row>
    <row r="3576" spans="1:16">
      <c r="A3576" s="94">
        <v>89605</v>
      </c>
      <c r="B3576" s="87" t="s">
        <v>3107</v>
      </c>
      <c r="C3576" s="12" t="s">
        <v>4</v>
      </c>
      <c r="D3576" s="93">
        <v>15.61</v>
      </c>
      <c r="E3576" s="93">
        <v>2.4700000000000002</v>
      </c>
      <c r="F3576" s="93">
        <v>13.14</v>
      </c>
      <c r="G3576" s="93">
        <v>0</v>
      </c>
      <c r="H3576" s="93">
        <v>0</v>
      </c>
      <c r="N3576" s="88"/>
      <c r="O3576" s="88"/>
      <c r="P3576" s="88"/>
    </row>
    <row r="3577" spans="1:16">
      <c r="A3577" s="94">
        <v>89609</v>
      </c>
      <c r="B3577" s="87" t="s">
        <v>3108</v>
      </c>
      <c r="C3577" s="12" t="s">
        <v>4</v>
      </c>
      <c r="D3577" s="93">
        <v>69.349999999999994</v>
      </c>
      <c r="E3577" s="93">
        <v>2.46</v>
      </c>
      <c r="F3577" s="93">
        <v>66.89</v>
      </c>
      <c r="G3577" s="93">
        <v>0</v>
      </c>
      <c r="H3577" s="93">
        <v>0</v>
      </c>
      <c r="N3577" s="88"/>
      <c r="O3577" s="88"/>
      <c r="P3577" s="88"/>
    </row>
    <row r="3578" spans="1:16">
      <c r="A3578" s="94">
        <v>89610</v>
      </c>
      <c r="B3578" s="87" t="s">
        <v>3109</v>
      </c>
      <c r="C3578" s="12" t="s">
        <v>4</v>
      </c>
      <c r="D3578" s="93">
        <v>16</v>
      </c>
      <c r="E3578" s="93">
        <v>2.4700000000000002</v>
      </c>
      <c r="F3578" s="93">
        <v>13.53</v>
      </c>
      <c r="G3578" s="93">
        <v>0</v>
      </c>
      <c r="H3578" s="93">
        <v>0</v>
      </c>
      <c r="N3578" s="88"/>
      <c r="O3578" s="88"/>
      <c r="P3578" s="88"/>
    </row>
    <row r="3579" spans="1:16">
      <c r="A3579" s="94">
        <v>89611</v>
      </c>
      <c r="B3579" s="87" t="s">
        <v>3110</v>
      </c>
      <c r="C3579" s="12" t="s">
        <v>4</v>
      </c>
      <c r="D3579" s="93">
        <v>26.05</v>
      </c>
      <c r="E3579" s="93">
        <v>3.02</v>
      </c>
      <c r="F3579" s="93">
        <v>23.03</v>
      </c>
      <c r="G3579" s="93">
        <v>0</v>
      </c>
      <c r="H3579" s="93">
        <v>0</v>
      </c>
      <c r="N3579" s="88"/>
      <c r="O3579" s="88"/>
      <c r="P3579" s="88"/>
    </row>
    <row r="3580" spans="1:16">
      <c r="A3580" s="94">
        <v>89612</v>
      </c>
      <c r="B3580" s="87" t="s">
        <v>3111</v>
      </c>
      <c r="C3580" s="12" t="s">
        <v>4</v>
      </c>
      <c r="D3580" s="93">
        <v>136.44</v>
      </c>
      <c r="E3580" s="93">
        <v>3.02</v>
      </c>
      <c r="F3580" s="93">
        <v>133.41999999999999</v>
      </c>
      <c r="G3580" s="93">
        <v>0</v>
      </c>
      <c r="H3580" s="93">
        <v>0</v>
      </c>
      <c r="N3580" s="88"/>
      <c r="O3580" s="88"/>
      <c r="P3580" s="88"/>
    </row>
    <row r="3581" spans="1:16">
      <c r="A3581" s="94">
        <v>89613</v>
      </c>
      <c r="B3581" s="87" t="s">
        <v>3112</v>
      </c>
      <c r="C3581" s="12" t="s">
        <v>4</v>
      </c>
      <c r="D3581" s="93">
        <v>23.29</v>
      </c>
      <c r="E3581" s="93">
        <v>3.03</v>
      </c>
      <c r="F3581" s="93">
        <v>20.260000000000002</v>
      </c>
      <c r="G3581" s="93">
        <v>0</v>
      </c>
      <c r="H3581" s="93">
        <v>0</v>
      </c>
      <c r="N3581" s="88"/>
      <c r="O3581" s="88"/>
      <c r="P3581" s="88"/>
    </row>
    <row r="3582" spans="1:16">
      <c r="A3582" s="94">
        <v>89614</v>
      </c>
      <c r="B3582" s="87" t="s">
        <v>3113</v>
      </c>
      <c r="C3582" s="12" t="s">
        <v>4</v>
      </c>
      <c r="D3582" s="93">
        <v>49.24</v>
      </c>
      <c r="E3582" s="93">
        <v>3.39</v>
      </c>
      <c r="F3582" s="93">
        <v>45.85</v>
      </c>
      <c r="G3582" s="93">
        <v>0</v>
      </c>
      <c r="H3582" s="93">
        <v>0</v>
      </c>
      <c r="N3582" s="88"/>
      <c r="O3582" s="88"/>
      <c r="P3582" s="88"/>
    </row>
    <row r="3583" spans="1:16">
      <c r="A3583" s="94">
        <v>89615</v>
      </c>
      <c r="B3583" s="87" t="s">
        <v>3114</v>
      </c>
      <c r="C3583" s="12" t="s">
        <v>4</v>
      </c>
      <c r="D3583" s="93">
        <v>206.23</v>
      </c>
      <c r="E3583" s="93">
        <v>3.39</v>
      </c>
      <c r="F3583" s="93">
        <v>202.84</v>
      </c>
      <c r="G3583" s="93">
        <v>0</v>
      </c>
      <c r="H3583" s="93">
        <v>0</v>
      </c>
      <c r="N3583" s="88"/>
      <c r="O3583" s="88"/>
      <c r="P3583" s="88"/>
    </row>
    <row r="3584" spans="1:16">
      <c r="A3584" s="94">
        <v>89616</v>
      </c>
      <c r="B3584" s="87" t="s">
        <v>3115</v>
      </c>
      <c r="C3584" s="12" t="s">
        <v>4</v>
      </c>
      <c r="D3584" s="93">
        <v>33.75</v>
      </c>
      <c r="E3584" s="93">
        <v>3.39</v>
      </c>
      <c r="F3584" s="93">
        <v>30.36</v>
      </c>
      <c r="G3584" s="93">
        <v>0</v>
      </c>
      <c r="H3584" s="93">
        <v>0</v>
      </c>
      <c r="N3584" s="88"/>
      <c r="O3584" s="88"/>
      <c r="P3584" s="88"/>
    </row>
    <row r="3585" spans="1:16">
      <c r="A3585" s="94">
        <v>89617</v>
      </c>
      <c r="B3585" s="87" t="s">
        <v>3116</v>
      </c>
      <c r="C3585" s="12" t="s">
        <v>4</v>
      </c>
      <c r="D3585" s="93">
        <v>5.32</v>
      </c>
      <c r="E3585" s="93">
        <v>2.34</v>
      </c>
      <c r="F3585" s="93">
        <v>2.98</v>
      </c>
      <c r="G3585" s="93">
        <v>0</v>
      </c>
      <c r="H3585" s="93">
        <v>0</v>
      </c>
      <c r="N3585" s="88"/>
      <c r="O3585" s="88"/>
      <c r="P3585" s="88"/>
    </row>
    <row r="3586" spans="1:16">
      <c r="A3586" s="94">
        <v>89618</v>
      </c>
      <c r="B3586" s="87" t="s">
        <v>3117</v>
      </c>
      <c r="C3586" s="12" t="s">
        <v>4</v>
      </c>
      <c r="D3586" s="93">
        <v>11.46</v>
      </c>
      <c r="E3586" s="93">
        <v>2.3199999999999998</v>
      </c>
      <c r="F3586" s="93">
        <v>9.14</v>
      </c>
      <c r="G3586" s="93">
        <v>0</v>
      </c>
      <c r="H3586" s="93">
        <v>0</v>
      </c>
      <c r="N3586" s="88"/>
      <c r="O3586" s="88"/>
      <c r="P3586" s="88"/>
    </row>
    <row r="3587" spans="1:16">
      <c r="A3587" s="94">
        <v>89619</v>
      </c>
      <c r="B3587" s="87" t="s">
        <v>343</v>
      </c>
      <c r="C3587" s="12" t="s">
        <v>4</v>
      </c>
      <c r="D3587" s="93">
        <v>6.96</v>
      </c>
      <c r="E3587" s="93">
        <v>2.33</v>
      </c>
      <c r="F3587" s="93">
        <v>4.63</v>
      </c>
      <c r="G3587" s="93">
        <v>0</v>
      </c>
      <c r="H3587" s="93">
        <v>0</v>
      </c>
      <c r="N3587" s="88"/>
      <c r="O3587" s="88"/>
      <c r="P3587" s="88"/>
    </row>
    <row r="3588" spans="1:16">
      <c r="A3588" s="94">
        <v>89620</v>
      </c>
      <c r="B3588" s="87" t="s">
        <v>3118</v>
      </c>
      <c r="C3588" s="12" t="s">
        <v>4</v>
      </c>
      <c r="D3588" s="93">
        <v>8.81</v>
      </c>
      <c r="E3588" s="93">
        <v>2.87</v>
      </c>
      <c r="F3588" s="93">
        <v>5.94</v>
      </c>
      <c r="G3588" s="93">
        <v>0</v>
      </c>
      <c r="H3588" s="93">
        <v>0</v>
      </c>
      <c r="N3588" s="88"/>
      <c r="O3588" s="88"/>
      <c r="P3588" s="88"/>
    </row>
    <row r="3589" spans="1:16">
      <c r="A3589" s="94">
        <v>89621</v>
      </c>
      <c r="B3589" s="87" t="s">
        <v>3119</v>
      </c>
      <c r="C3589" s="12" t="s">
        <v>4</v>
      </c>
      <c r="D3589" s="93">
        <v>19.23</v>
      </c>
      <c r="E3589" s="93">
        <v>2.86</v>
      </c>
      <c r="F3589" s="93">
        <v>16.37</v>
      </c>
      <c r="G3589" s="93">
        <v>0</v>
      </c>
      <c r="H3589" s="93">
        <v>0</v>
      </c>
      <c r="N3589" s="88"/>
      <c r="O3589" s="88"/>
      <c r="P3589" s="88"/>
    </row>
    <row r="3590" spans="1:16">
      <c r="A3590" s="94">
        <v>89622</v>
      </c>
      <c r="B3590" s="87" t="s">
        <v>344</v>
      </c>
      <c r="C3590" s="12" t="s">
        <v>4</v>
      </c>
      <c r="D3590" s="93">
        <v>10.43</v>
      </c>
      <c r="E3590" s="93">
        <v>2.86</v>
      </c>
      <c r="F3590" s="93">
        <v>7.57</v>
      </c>
      <c r="G3590" s="93">
        <v>0</v>
      </c>
      <c r="H3590" s="93">
        <v>0</v>
      </c>
      <c r="N3590" s="88"/>
      <c r="O3590" s="88"/>
      <c r="P3590" s="88"/>
    </row>
    <row r="3591" spans="1:16">
      <c r="A3591" s="94">
        <v>89623</v>
      </c>
      <c r="B3591" s="87" t="s">
        <v>3120</v>
      </c>
      <c r="C3591" s="12" t="s">
        <v>4</v>
      </c>
      <c r="D3591" s="93">
        <v>14.05</v>
      </c>
      <c r="E3591" s="93">
        <v>3.46</v>
      </c>
      <c r="F3591" s="93">
        <v>10.59</v>
      </c>
      <c r="G3591" s="93">
        <v>0</v>
      </c>
      <c r="H3591" s="93">
        <v>0</v>
      </c>
      <c r="N3591" s="88"/>
      <c r="O3591" s="88"/>
      <c r="P3591" s="88"/>
    </row>
    <row r="3592" spans="1:16">
      <c r="A3592" s="94">
        <v>89624</v>
      </c>
      <c r="B3592" s="87" t="s">
        <v>345</v>
      </c>
      <c r="C3592" s="12" t="s">
        <v>4</v>
      </c>
      <c r="D3592" s="93">
        <v>14.87</v>
      </c>
      <c r="E3592" s="93">
        <v>3.46</v>
      </c>
      <c r="F3592" s="93">
        <v>11.41</v>
      </c>
      <c r="G3592" s="93">
        <v>0</v>
      </c>
      <c r="H3592" s="93">
        <v>0</v>
      </c>
      <c r="N3592" s="88"/>
      <c r="O3592" s="88"/>
      <c r="P3592" s="88"/>
    </row>
    <row r="3593" spans="1:16">
      <c r="A3593" s="94">
        <v>89625</v>
      </c>
      <c r="B3593" s="87" t="s">
        <v>3121</v>
      </c>
      <c r="C3593" s="12" t="s">
        <v>4</v>
      </c>
      <c r="D3593" s="93">
        <v>16.97</v>
      </c>
      <c r="E3593" s="93">
        <v>4.2</v>
      </c>
      <c r="F3593" s="93">
        <v>12.77</v>
      </c>
      <c r="G3593" s="93">
        <v>0</v>
      </c>
      <c r="H3593" s="93">
        <v>0</v>
      </c>
      <c r="N3593" s="88"/>
      <c r="O3593" s="88"/>
      <c r="P3593" s="88"/>
    </row>
    <row r="3594" spans="1:16">
      <c r="A3594" s="94">
        <v>89626</v>
      </c>
      <c r="B3594" s="87" t="s">
        <v>346</v>
      </c>
      <c r="C3594" s="12" t="s">
        <v>4</v>
      </c>
      <c r="D3594" s="93">
        <v>23.3</v>
      </c>
      <c r="E3594" s="93">
        <v>4.2</v>
      </c>
      <c r="F3594" s="93">
        <v>19.100000000000001</v>
      </c>
      <c r="G3594" s="93">
        <v>0</v>
      </c>
      <c r="H3594" s="93">
        <v>0</v>
      </c>
      <c r="N3594" s="88"/>
      <c r="O3594" s="88"/>
      <c r="P3594" s="88"/>
    </row>
    <row r="3595" spans="1:16">
      <c r="A3595" s="94">
        <v>89627</v>
      </c>
      <c r="B3595" s="87" t="s">
        <v>347</v>
      </c>
      <c r="C3595" s="12" t="s">
        <v>4</v>
      </c>
      <c r="D3595" s="93">
        <v>16.03</v>
      </c>
      <c r="E3595" s="93">
        <v>4.2</v>
      </c>
      <c r="F3595" s="93">
        <v>11.83</v>
      </c>
      <c r="G3595" s="93">
        <v>0</v>
      </c>
      <c r="H3595" s="93">
        <v>0</v>
      </c>
      <c r="N3595" s="88"/>
      <c r="O3595" s="88"/>
      <c r="P3595" s="88"/>
    </row>
    <row r="3596" spans="1:16">
      <c r="A3596" s="94">
        <v>89628</v>
      </c>
      <c r="B3596" s="87" t="s">
        <v>3122</v>
      </c>
      <c r="C3596" s="12" t="s">
        <v>4</v>
      </c>
      <c r="D3596" s="93">
        <v>35.42</v>
      </c>
      <c r="E3596" s="93">
        <v>4.9400000000000004</v>
      </c>
      <c r="F3596" s="93">
        <v>30.48</v>
      </c>
      <c r="G3596" s="93">
        <v>0</v>
      </c>
      <c r="H3596" s="93">
        <v>0</v>
      </c>
      <c r="N3596" s="88"/>
      <c r="O3596" s="88"/>
      <c r="P3596" s="88"/>
    </row>
    <row r="3597" spans="1:16">
      <c r="A3597" s="94">
        <v>89629</v>
      </c>
      <c r="B3597" s="87" t="s">
        <v>3123</v>
      </c>
      <c r="C3597" s="12" t="s">
        <v>4</v>
      </c>
      <c r="D3597" s="93">
        <v>64.66</v>
      </c>
      <c r="E3597" s="93">
        <v>6.08</v>
      </c>
      <c r="F3597" s="93">
        <v>58.58</v>
      </c>
      <c r="G3597" s="93">
        <v>0</v>
      </c>
      <c r="H3597" s="93">
        <v>0</v>
      </c>
      <c r="N3597" s="88"/>
      <c r="O3597" s="88"/>
      <c r="P3597" s="88"/>
    </row>
    <row r="3598" spans="1:16">
      <c r="A3598" s="94">
        <v>89630</v>
      </c>
      <c r="B3598" s="87" t="s">
        <v>348</v>
      </c>
      <c r="C3598" s="12" t="s">
        <v>4</v>
      </c>
      <c r="D3598" s="93">
        <v>56.05</v>
      </c>
      <c r="E3598" s="93">
        <v>6.08</v>
      </c>
      <c r="F3598" s="93">
        <v>49.97</v>
      </c>
      <c r="G3598" s="93">
        <v>0</v>
      </c>
      <c r="H3598" s="93">
        <v>0</v>
      </c>
      <c r="N3598" s="88"/>
      <c r="O3598" s="88"/>
      <c r="P3598" s="88"/>
    </row>
    <row r="3599" spans="1:16">
      <c r="A3599" s="94">
        <v>89631</v>
      </c>
      <c r="B3599" s="87" t="s">
        <v>3124</v>
      </c>
      <c r="C3599" s="12" t="s">
        <v>4</v>
      </c>
      <c r="D3599" s="93">
        <v>98.29</v>
      </c>
      <c r="E3599" s="93">
        <v>6.83</v>
      </c>
      <c r="F3599" s="93">
        <v>91.46</v>
      </c>
      <c r="G3599" s="93">
        <v>0</v>
      </c>
      <c r="H3599" s="93">
        <v>0</v>
      </c>
      <c r="N3599" s="88"/>
      <c r="O3599" s="88"/>
      <c r="P3599" s="88"/>
    </row>
    <row r="3600" spans="1:16">
      <c r="A3600" s="94">
        <v>89632</v>
      </c>
      <c r="B3600" s="87" t="s">
        <v>349</v>
      </c>
      <c r="C3600" s="12" t="s">
        <v>4</v>
      </c>
      <c r="D3600" s="93">
        <v>80.66</v>
      </c>
      <c r="E3600" s="93">
        <v>6.83</v>
      </c>
      <c r="F3600" s="93">
        <v>73.83</v>
      </c>
      <c r="G3600" s="93">
        <v>0</v>
      </c>
      <c r="H3600" s="93">
        <v>0</v>
      </c>
      <c r="N3600" s="88"/>
      <c r="O3600" s="88"/>
      <c r="P3600" s="88"/>
    </row>
    <row r="3601" spans="1:16">
      <c r="A3601" s="94">
        <v>89637</v>
      </c>
      <c r="B3601" s="87" t="s">
        <v>3125</v>
      </c>
      <c r="C3601" s="12" t="s">
        <v>4</v>
      </c>
      <c r="D3601" s="93">
        <v>7.28</v>
      </c>
      <c r="E3601" s="93">
        <v>3.19</v>
      </c>
      <c r="F3601" s="93">
        <v>4.09</v>
      </c>
      <c r="G3601" s="93">
        <v>0</v>
      </c>
      <c r="H3601" s="93">
        <v>0</v>
      </c>
      <c r="N3601" s="88"/>
      <c r="O3601" s="88"/>
      <c r="P3601" s="88"/>
    </row>
    <row r="3602" spans="1:16">
      <c r="A3602" s="94">
        <v>89638</v>
      </c>
      <c r="B3602" s="87" t="s">
        <v>3126</v>
      </c>
      <c r="C3602" s="12" t="s">
        <v>4</v>
      </c>
      <c r="D3602" s="93">
        <v>8.02</v>
      </c>
      <c r="E3602" s="93">
        <v>3.19</v>
      </c>
      <c r="F3602" s="93">
        <v>4.83</v>
      </c>
      <c r="G3602" s="93">
        <v>0</v>
      </c>
      <c r="H3602" s="93">
        <v>0</v>
      </c>
      <c r="N3602" s="88"/>
      <c r="O3602" s="88"/>
      <c r="P3602" s="88"/>
    </row>
    <row r="3603" spans="1:16">
      <c r="A3603" s="94">
        <v>89639</v>
      </c>
      <c r="B3603" s="87" t="s">
        <v>3127</v>
      </c>
      <c r="C3603" s="12" t="s">
        <v>4</v>
      </c>
      <c r="D3603" s="93">
        <v>8.32</v>
      </c>
      <c r="E3603" s="93">
        <v>3.19</v>
      </c>
      <c r="F3603" s="93">
        <v>5.13</v>
      </c>
      <c r="G3603" s="93">
        <v>0</v>
      </c>
      <c r="H3603" s="93">
        <v>0</v>
      </c>
      <c r="N3603" s="88"/>
      <c r="O3603" s="88"/>
      <c r="P3603" s="88"/>
    </row>
    <row r="3604" spans="1:16">
      <c r="A3604" s="94">
        <v>89640</v>
      </c>
      <c r="B3604" s="87" t="s">
        <v>3128</v>
      </c>
      <c r="C3604" s="12" t="s">
        <v>4</v>
      </c>
      <c r="D3604" s="93">
        <v>12.77</v>
      </c>
      <c r="E3604" s="93">
        <v>3.18</v>
      </c>
      <c r="F3604" s="93">
        <v>9.59</v>
      </c>
      <c r="G3604" s="93">
        <v>0</v>
      </c>
      <c r="H3604" s="93">
        <v>0</v>
      </c>
      <c r="N3604" s="88"/>
      <c r="O3604" s="88"/>
      <c r="P3604" s="88"/>
    </row>
    <row r="3605" spans="1:16">
      <c r="A3605" s="94">
        <v>89641</v>
      </c>
      <c r="B3605" s="87" t="s">
        <v>3129</v>
      </c>
      <c r="C3605" s="12" t="s">
        <v>4</v>
      </c>
      <c r="D3605" s="93">
        <v>10.17</v>
      </c>
      <c r="E3605" s="93">
        <v>4.0199999999999996</v>
      </c>
      <c r="F3605" s="93">
        <v>6.15</v>
      </c>
      <c r="G3605" s="93">
        <v>0</v>
      </c>
      <c r="H3605" s="93">
        <v>0</v>
      </c>
      <c r="N3605" s="88"/>
      <c r="O3605" s="88"/>
      <c r="P3605" s="88"/>
    </row>
    <row r="3606" spans="1:16">
      <c r="A3606" s="94">
        <v>89642</v>
      </c>
      <c r="B3606" s="87" t="s">
        <v>3130</v>
      </c>
      <c r="C3606" s="12" t="s">
        <v>4</v>
      </c>
      <c r="D3606" s="93">
        <v>11.6</v>
      </c>
      <c r="E3606" s="93">
        <v>4.0199999999999996</v>
      </c>
      <c r="F3606" s="93">
        <v>7.58</v>
      </c>
      <c r="G3606" s="93">
        <v>0</v>
      </c>
      <c r="H3606" s="93">
        <v>0</v>
      </c>
      <c r="N3606" s="88"/>
      <c r="O3606" s="88"/>
      <c r="P3606" s="88"/>
    </row>
    <row r="3607" spans="1:16">
      <c r="A3607" s="94">
        <v>89643</v>
      </c>
      <c r="B3607" s="87" t="s">
        <v>3131</v>
      </c>
      <c r="C3607" s="12" t="s">
        <v>4</v>
      </c>
      <c r="D3607" s="93">
        <v>12.08</v>
      </c>
      <c r="E3607" s="93">
        <v>4.0199999999999996</v>
      </c>
      <c r="F3607" s="93">
        <v>8.06</v>
      </c>
      <c r="G3607" s="93">
        <v>0</v>
      </c>
      <c r="H3607" s="93">
        <v>0</v>
      </c>
      <c r="N3607" s="88"/>
      <c r="O3607" s="88"/>
      <c r="P3607" s="88"/>
    </row>
    <row r="3608" spans="1:16">
      <c r="A3608" s="94">
        <v>89644</v>
      </c>
      <c r="B3608" s="87" t="s">
        <v>3132</v>
      </c>
      <c r="C3608" s="12" t="s">
        <v>4</v>
      </c>
      <c r="D3608" s="93">
        <v>18.87</v>
      </c>
      <c r="E3608" s="93">
        <v>4.01</v>
      </c>
      <c r="F3608" s="93">
        <v>14.86</v>
      </c>
      <c r="G3608" s="93">
        <v>0</v>
      </c>
      <c r="H3608" s="93">
        <v>0</v>
      </c>
      <c r="N3608" s="88"/>
      <c r="O3608" s="88"/>
      <c r="P3608" s="88"/>
    </row>
    <row r="3609" spans="1:16">
      <c r="A3609" s="94">
        <v>89645</v>
      </c>
      <c r="B3609" s="87" t="s">
        <v>3133</v>
      </c>
      <c r="C3609" s="12" t="s">
        <v>4</v>
      </c>
      <c r="D3609" s="93">
        <v>20.76</v>
      </c>
      <c r="E3609" s="93">
        <v>3.17</v>
      </c>
      <c r="F3609" s="93">
        <v>17.59</v>
      </c>
      <c r="G3609" s="93">
        <v>0</v>
      </c>
      <c r="H3609" s="93">
        <v>0</v>
      </c>
      <c r="N3609" s="88"/>
      <c r="O3609" s="88"/>
      <c r="P3609" s="88"/>
    </row>
    <row r="3610" spans="1:16">
      <c r="A3610" s="94">
        <v>89646</v>
      </c>
      <c r="B3610" s="87" t="s">
        <v>3134</v>
      </c>
      <c r="C3610" s="12" t="s">
        <v>4</v>
      </c>
      <c r="D3610" s="93">
        <v>15.6</v>
      </c>
      <c r="E3610" s="93">
        <v>4.7300000000000004</v>
      </c>
      <c r="F3610" s="93">
        <v>10.87</v>
      </c>
      <c r="G3610" s="93">
        <v>0</v>
      </c>
      <c r="H3610" s="93">
        <v>0</v>
      </c>
      <c r="N3610" s="88"/>
      <c r="O3610" s="88"/>
      <c r="P3610" s="88"/>
    </row>
    <row r="3611" spans="1:16">
      <c r="A3611" s="94">
        <v>89647</v>
      </c>
      <c r="B3611" s="87" t="s">
        <v>3135</v>
      </c>
      <c r="C3611" s="12" t="s">
        <v>4</v>
      </c>
      <c r="D3611" s="93">
        <v>15.26</v>
      </c>
      <c r="E3611" s="93">
        <v>4.7300000000000004</v>
      </c>
      <c r="F3611" s="93">
        <v>10.53</v>
      </c>
      <c r="G3611" s="93">
        <v>0</v>
      </c>
      <c r="H3611" s="93">
        <v>0</v>
      </c>
      <c r="N3611" s="88"/>
      <c r="O3611" s="88"/>
      <c r="P3611" s="88"/>
    </row>
    <row r="3612" spans="1:16">
      <c r="A3612" s="94">
        <v>89648</v>
      </c>
      <c r="B3612" s="87" t="s">
        <v>3136</v>
      </c>
      <c r="C3612" s="12" t="s">
        <v>4</v>
      </c>
      <c r="D3612" s="93">
        <v>16.8</v>
      </c>
      <c r="E3612" s="93">
        <v>4.7300000000000004</v>
      </c>
      <c r="F3612" s="93">
        <v>12.07</v>
      </c>
      <c r="G3612" s="93">
        <v>0</v>
      </c>
      <c r="H3612" s="93">
        <v>0</v>
      </c>
      <c r="N3612" s="88"/>
      <c r="O3612" s="88"/>
      <c r="P3612" s="88"/>
    </row>
    <row r="3613" spans="1:16">
      <c r="A3613" s="94">
        <v>89649</v>
      </c>
      <c r="B3613" s="87" t="s">
        <v>3137</v>
      </c>
      <c r="C3613" s="12" t="s">
        <v>4</v>
      </c>
      <c r="D3613" s="93">
        <v>22.79</v>
      </c>
      <c r="E3613" s="93">
        <v>5.57</v>
      </c>
      <c r="F3613" s="93">
        <v>17.22</v>
      </c>
      <c r="G3613" s="93">
        <v>0</v>
      </c>
      <c r="H3613" s="93">
        <v>0</v>
      </c>
      <c r="N3613" s="88"/>
      <c r="O3613" s="88"/>
      <c r="P3613" s="88"/>
    </row>
    <row r="3614" spans="1:16">
      <c r="A3614" s="94">
        <v>89650</v>
      </c>
      <c r="B3614" s="87" t="s">
        <v>3138</v>
      </c>
      <c r="C3614" s="12" t="s">
        <v>4</v>
      </c>
      <c r="D3614" s="93">
        <v>22.79</v>
      </c>
      <c r="E3614" s="93">
        <v>5.57</v>
      </c>
      <c r="F3614" s="93">
        <v>17.22</v>
      </c>
      <c r="G3614" s="93">
        <v>0</v>
      </c>
      <c r="H3614" s="93">
        <v>0</v>
      </c>
      <c r="N3614" s="88"/>
      <c r="O3614" s="88"/>
      <c r="P3614" s="88"/>
    </row>
    <row r="3615" spans="1:16">
      <c r="A3615" s="94">
        <v>89651</v>
      </c>
      <c r="B3615" s="87" t="s">
        <v>350</v>
      </c>
      <c r="C3615" s="12" t="s">
        <v>4</v>
      </c>
      <c r="D3615" s="93">
        <v>4.99</v>
      </c>
      <c r="E3615" s="93">
        <v>2.14</v>
      </c>
      <c r="F3615" s="93">
        <v>2.85</v>
      </c>
      <c r="G3615" s="93">
        <v>0</v>
      </c>
      <c r="H3615" s="93">
        <v>0</v>
      </c>
      <c r="N3615" s="88"/>
      <c r="O3615" s="88"/>
      <c r="P3615" s="88"/>
    </row>
    <row r="3616" spans="1:16">
      <c r="A3616" s="94">
        <v>89652</v>
      </c>
      <c r="B3616" s="87" t="s">
        <v>3139</v>
      </c>
      <c r="C3616" s="12" t="s">
        <v>4</v>
      </c>
      <c r="D3616" s="93">
        <v>8.2799999999999994</v>
      </c>
      <c r="E3616" s="93">
        <v>2.13</v>
      </c>
      <c r="F3616" s="93">
        <v>6.15</v>
      </c>
      <c r="G3616" s="93">
        <v>0</v>
      </c>
      <c r="H3616" s="93">
        <v>0</v>
      </c>
      <c r="N3616" s="88"/>
      <c r="O3616" s="88"/>
      <c r="P3616" s="88"/>
    </row>
    <row r="3617" spans="1:16">
      <c r="A3617" s="94">
        <v>89653</v>
      </c>
      <c r="B3617" s="87" t="s">
        <v>3140</v>
      </c>
      <c r="C3617" s="12" t="s">
        <v>4</v>
      </c>
      <c r="D3617" s="93">
        <v>13.33</v>
      </c>
      <c r="E3617" s="93">
        <v>2.12</v>
      </c>
      <c r="F3617" s="93">
        <v>11.21</v>
      </c>
      <c r="G3617" s="93">
        <v>0</v>
      </c>
      <c r="H3617" s="93">
        <v>0</v>
      </c>
      <c r="N3617" s="88"/>
      <c r="O3617" s="88"/>
      <c r="P3617" s="88"/>
    </row>
    <row r="3618" spans="1:16">
      <c r="A3618" s="94">
        <v>89654</v>
      </c>
      <c r="B3618" s="87" t="s">
        <v>3141</v>
      </c>
      <c r="C3618" s="12" t="s">
        <v>4</v>
      </c>
      <c r="D3618" s="93">
        <v>13</v>
      </c>
      <c r="E3618" s="93">
        <v>2.12</v>
      </c>
      <c r="F3618" s="93">
        <v>10.88</v>
      </c>
      <c r="G3618" s="93">
        <v>0</v>
      </c>
      <c r="H3618" s="93">
        <v>0</v>
      </c>
      <c r="N3618" s="88"/>
      <c r="O3618" s="88"/>
      <c r="P3618" s="88"/>
    </row>
    <row r="3619" spans="1:16">
      <c r="A3619" s="94">
        <v>89655</v>
      </c>
      <c r="B3619" s="87" t="s">
        <v>3142</v>
      </c>
      <c r="C3619" s="12" t="s">
        <v>4</v>
      </c>
      <c r="D3619" s="93">
        <v>19.18</v>
      </c>
      <c r="E3619" s="93">
        <v>2.12</v>
      </c>
      <c r="F3619" s="93">
        <v>17.059999999999999</v>
      </c>
      <c r="G3619" s="93">
        <v>0</v>
      </c>
      <c r="H3619" s="93">
        <v>0</v>
      </c>
      <c r="N3619" s="88"/>
      <c r="O3619" s="88"/>
      <c r="P3619" s="88"/>
    </row>
    <row r="3620" spans="1:16">
      <c r="A3620" s="94">
        <v>89656</v>
      </c>
      <c r="B3620" s="87" t="s">
        <v>3143</v>
      </c>
      <c r="C3620" s="12" t="s">
        <v>4</v>
      </c>
      <c r="D3620" s="93">
        <v>8.8000000000000007</v>
      </c>
      <c r="E3620" s="93">
        <v>2.13</v>
      </c>
      <c r="F3620" s="93">
        <v>6.67</v>
      </c>
      <c r="G3620" s="93">
        <v>0</v>
      </c>
      <c r="H3620" s="93">
        <v>0</v>
      </c>
      <c r="N3620" s="88"/>
      <c r="O3620" s="88"/>
      <c r="P3620" s="88"/>
    </row>
    <row r="3621" spans="1:16">
      <c r="A3621" s="94">
        <v>89657</v>
      </c>
      <c r="B3621" s="87" t="s">
        <v>3144</v>
      </c>
      <c r="C3621" s="12" t="s">
        <v>4</v>
      </c>
      <c r="D3621" s="93">
        <v>8.9600000000000009</v>
      </c>
      <c r="E3621" s="93">
        <v>2.13</v>
      </c>
      <c r="F3621" s="93">
        <v>6.83</v>
      </c>
      <c r="G3621" s="93">
        <v>0</v>
      </c>
      <c r="H3621" s="93">
        <v>0</v>
      </c>
      <c r="N3621" s="88"/>
      <c r="O3621" s="88"/>
      <c r="P3621" s="88"/>
    </row>
    <row r="3622" spans="1:16">
      <c r="A3622" s="94">
        <v>89658</v>
      </c>
      <c r="B3622" s="87" t="s">
        <v>3145</v>
      </c>
      <c r="C3622" s="12" t="s">
        <v>4</v>
      </c>
      <c r="D3622" s="93">
        <v>6.83</v>
      </c>
      <c r="E3622" s="93">
        <v>2.69</v>
      </c>
      <c r="F3622" s="93">
        <v>4.1399999999999997</v>
      </c>
      <c r="G3622" s="93">
        <v>0</v>
      </c>
      <c r="H3622" s="93">
        <v>0</v>
      </c>
      <c r="N3622" s="88"/>
      <c r="O3622" s="88"/>
      <c r="P3622" s="88"/>
    </row>
    <row r="3623" spans="1:16">
      <c r="A3623" s="94">
        <v>89659</v>
      </c>
      <c r="B3623" s="87" t="s">
        <v>3146</v>
      </c>
      <c r="C3623" s="12" t="s">
        <v>4</v>
      </c>
      <c r="D3623" s="93">
        <v>11.87</v>
      </c>
      <c r="E3623" s="93">
        <v>2.67</v>
      </c>
      <c r="F3623" s="93">
        <v>9.1999999999999993</v>
      </c>
      <c r="G3623" s="93">
        <v>0</v>
      </c>
      <c r="H3623" s="93">
        <v>0</v>
      </c>
      <c r="N3623" s="88"/>
      <c r="O3623" s="88"/>
      <c r="P3623" s="88"/>
    </row>
    <row r="3624" spans="1:16">
      <c r="A3624" s="94">
        <v>89660</v>
      </c>
      <c r="B3624" s="87" t="s">
        <v>3147</v>
      </c>
      <c r="C3624" s="12" t="s">
        <v>4</v>
      </c>
      <c r="D3624" s="93">
        <v>6.4</v>
      </c>
      <c r="E3624" s="93">
        <v>2.69</v>
      </c>
      <c r="F3624" s="93">
        <v>3.71</v>
      </c>
      <c r="G3624" s="93">
        <v>0</v>
      </c>
      <c r="H3624" s="93">
        <v>0</v>
      </c>
      <c r="N3624" s="88"/>
      <c r="O3624" s="88"/>
      <c r="P3624" s="88"/>
    </row>
    <row r="3625" spans="1:16">
      <c r="A3625" s="94">
        <v>89661</v>
      </c>
      <c r="B3625" s="87" t="s">
        <v>3148</v>
      </c>
      <c r="C3625" s="12" t="s">
        <v>4</v>
      </c>
      <c r="D3625" s="93">
        <v>15.7</v>
      </c>
      <c r="E3625" s="93">
        <v>2.67</v>
      </c>
      <c r="F3625" s="93">
        <v>13.03</v>
      </c>
      <c r="G3625" s="93">
        <v>0</v>
      </c>
      <c r="H3625" s="93">
        <v>0</v>
      </c>
      <c r="N3625" s="88"/>
      <c r="O3625" s="88"/>
      <c r="P3625" s="88"/>
    </row>
    <row r="3626" spans="1:16">
      <c r="A3626" s="94">
        <v>89662</v>
      </c>
      <c r="B3626" s="87" t="s">
        <v>3149</v>
      </c>
      <c r="C3626" s="12" t="s">
        <v>4</v>
      </c>
      <c r="D3626" s="93">
        <v>23.9</v>
      </c>
      <c r="E3626" s="93">
        <v>2.66</v>
      </c>
      <c r="F3626" s="93">
        <v>21.24</v>
      </c>
      <c r="G3626" s="93">
        <v>0</v>
      </c>
      <c r="H3626" s="93">
        <v>0</v>
      </c>
      <c r="N3626" s="88"/>
      <c r="O3626" s="88"/>
      <c r="P3626" s="88"/>
    </row>
    <row r="3627" spans="1:16">
      <c r="A3627" s="94">
        <v>89663</v>
      </c>
      <c r="B3627" s="87" t="s">
        <v>3150</v>
      </c>
      <c r="C3627" s="12" t="s">
        <v>4</v>
      </c>
      <c r="D3627" s="93">
        <v>10.16</v>
      </c>
      <c r="E3627" s="93">
        <v>2.68</v>
      </c>
      <c r="F3627" s="93">
        <v>7.48</v>
      </c>
      <c r="G3627" s="93">
        <v>0</v>
      </c>
      <c r="H3627" s="93">
        <v>0</v>
      </c>
      <c r="N3627" s="88"/>
      <c r="O3627" s="88"/>
      <c r="P3627" s="88"/>
    </row>
    <row r="3628" spans="1:16">
      <c r="A3628" s="94">
        <v>89664</v>
      </c>
      <c r="B3628" s="87" t="s">
        <v>3151</v>
      </c>
      <c r="C3628" s="12" t="s">
        <v>4</v>
      </c>
      <c r="D3628" s="93">
        <v>11.87</v>
      </c>
      <c r="E3628" s="93">
        <v>2.67</v>
      </c>
      <c r="F3628" s="93">
        <v>9.1999999999999993</v>
      </c>
      <c r="G3628" s="93">
        <v>0</v>
      </c>
      <c r="H3628" s="93">
        <v>0</v>
      </c>
      <c r="N3628" s="88"/>
      <c r="O3628" s="88"/>
      <c r="P3628" s="88"/>
    </row>
    <row r="3629" spans="1:16">
      <c r="A3629" s="94">
        <v>89665</v>
      </c>
      <c r="B3629" s="87" t="s">
        <v>3152</v>
      </c>
      <c r="C3629" s="12" t="s">
        <v>4</v>
      </c>
      <c r="D3629" s="93">
        <v>9.9700000000000006</v>
      </c>
      <c r="E3629" s="93">
        <v>1.1399999999999999</v>
      </c>
      <c r="F3629" s="93">
        <v>8.83</v>
      </c>
      <c r="G3629" s="93">
        <v>0</v>
      </c>
      <c r="H3629" s="93">
        <v>0</v>
      </c>
      <c r="N3629" s="88"/>
      <c r="O3629" s="88"/>
      <c r="P3629" s="88"/>
    </row>
    <row r="3630" spans="1:16">
      <c r="A3630" s="94">
        <v>89666</v>
      </c>
      <c r="B3630" s="87" t="s">
        <v>3153</v>
      </c>
      <c r="C3630" s="12" t="s">
        <v>4</v>
      </c>
      <c r="D3630" s="93">
        <v>5.65</v>
      </c>
      <c r="E3630" s="93">
        <v>2.69</v>
      </c>
      <c r="F3630" s="93">
        <v>2.96</v>
      </c>
      <c r="G3630" s="93">
        <v>0</v>
      </c>
      <c r="H3630" s="93">
        <v>0</v>
      </c>
      <c r="N3630" s="88"/>
      <c r="O3630" s="88"/>
      <c r="P3630" s="88"/>
    </row>
    <row r="3631" spans="1:16">
      <c r="A3631" s="94">
        <v>89667</v>
      </c>
      <c r="B3631" s="87" t="s">
        <v>3154</v>
      </c>
      <c r="C3631" s="12" t="s">
        <v>4</v>
      </c>
      <c r="D3631" s="93">
        <v>25.22</v>
      </c>
      <c r="E3631" s="93">
        <v>1.1399999999999999</v>
      </c>
      <c r="F3631" s="93">
        <v>24.08</v>
      </c>
      <c r="G3631" s="93">
        <v>0</v>
      </c>
      <c r="H3631" s="93">
        <v>0</v>
      </c>
      <c r="N3631" s="88"/>
      <c r="O3631" s="88"/>
      <c r="P3631" s="88"/>
    </row>
    <row r="3632" spans="1:16">
      <c r="A3632" s="94">
        <v>89668</v>
      </c>
      <c r="B3632" s="87" t="s">
        <v>3155</v>
      </c>
      <c r="C3632" s="12" t="s">
        <v>4</v>
      </c>
      <c r="D3632" s="93">
        <v>22.69</v>
      </c>
      <c r="E3632" s="93">
        <v>2.66</v>
      </c>
      <c r="F3632" s="93">
        <v>20.03</v>
      </c>
      <c r="G3632" s="93">
        <v>0</v>
      </c>
      <c r="H3632" s="93">
        <v>0</v>
      </c>
      <c r="N3632" s="88"/>
      <c r="O3632" s="88"/>
      <c r="P3632" s="88"/>
    </row>
    <row r="3633" spans="1:16">
      <c r="A3633" s="94">
        <v>89669</v>
      </c>
      <c r="B3633" s="87" t="s">
        <v>3156</v>
      </c>
      <c r="C3633" s="12" t="s">
        <v>4</v>
      </c>
      <c r="D3633" s="93">
        <v>16.43</v>
      </c>
      <c r="E3633" s="93">
        <v>2.0299999999999998</v>
      </c>
      <c r="F3633" s="93">
        <v>14.4</v>
      </c>
      <c r="G3633" s="93">
        <v>0</v>
      </c>
      <c r="H3633" s="93">
        <v>0</v>
      </c>
      <c r="N3633" s="88"/>
      <c r="O3633" s="88"/>
      <c r="P3633" s="88"/>
    </row>
    <row r="3634" spans="1:16">
      <c r="A3634" s="94">
        <v>89670</v>
      </c>
      <c r="B3634" s="87" t="s">
        <v>3157</v>
      </c>
      <c r="C3634" s="12" t="s">
        <v>4</v>
      </c>
      <c r="D3634" s="93">
        <v>10.01</v>
      </c>
      <c r="E3634" s="93">
        <v>3.16</v>
      </c>
      <c r="F3634" s="93">
        <v>6.85</v>
      </c>
      <c r="G3634" s="93">
        <v>0</v>
      </c>
      <c r="H3634" s="93">
        <v>0</v>
      </c>
      <c r="N3634" s="88"/>
      <c r="O3634" s="88"/>
      <c r="P3634" s="88"/>
    </row>
    <row r="3635" spans="1:16">
      <c r="A3635" s="94">
        <v>89671</v>
      </c>
      <c r="B3635" s="87" t="s">
        <v>3158</v>
      </c>
      <c r="C3635" s="12" t="s">
        <v>4</v>
      </c>
      <c r="D3635" s="93">
        <v>24.08</v>
      </c>
      <c r="E3635" s="93">
        <v>2.0299999999999998</v>
      </c>
      <c r="F3635" s="93">
        <v>22.05</v>
      </c>
      <c r="G3635" s="93">
        <v>0</v>
      </c>
      <c r="H3635" s="93">
        <v>0</v>
      </c>
      <c r="N3635" s="88"/>
      <c r="O3635" s="88"/>
      <c r="P3635" s="88"/>
    </row>
    <row r="3636" spans="1:16">
      <c r="A3636" s="94">
        <v>89672</v>
      </c>
      <c r="B3636" s="87" t="s">
        <v>3159</v>
      </c>
      <c r="C3636" s="12" t="s">
        <v>4</v>
      </c>
      <c r="D3636" s="93">
        <v>15.77</v>
      </c>
      <c r="E3636" s="93">
        <v>3.15</v>
      </c>
      <c r="F3636" s="93">
        <v>12.62</v>
      </c>
      <c r="G3636" s="93">
        <v>0</v>
      </c>
      <c r="H3636" s="93">
        <v>0</v>
      </c>
      <c r="N3636" s="88"/>
      <c r="O3636" s="88"/>
      <c r="P3636" s="88"/>
    </row>
    <row r="3637" spans="1:16">
      <c r="A3637" s="94">
        <v>89673</v>
      </c>
      <c r="B3637" s="87" t="s">
        <v>3160</v>
      </c>
      <c r="C3637" s="12" t="s">
        <v>4</v>
      </c>
      <c r="D3637" s="93">
        <v>19.059999999999999</v>
      </c>
      <c r="E3637" s="93">
        <v>2.0299999999999998</v>
      </c>
      <c r="F3637" s="93">
        <v>17.03</v>
      </c>
      <c r="G3637" s="93">
        <v>0</v>
      </c>
      <c r="H3637" s="93">
        <v>0</v>
      </c>
      <c r="N3637" s="88"/>
      <c r="O3637" s="88"/>
      <c r="P3637" s="88"/>
    </row>
    <row r="3638" spans="1:16">
      <c r="A3638" s="94">
        <v>89674</v>
      </c>
      <c r="B3638" s="87" t="s">
        <v>3161</v>
      </c>
      <c r="C3638" s="12" t="s">
        <v>4</v>
      </c>
      <c r="D3638" s="93">
        <v>23.12</v>
      </c>
      <c r="E3638" s="93">
        <v>3.15</v>
      </c>
      <c r="F3638" s="93">
        <v>19.97</v>
      </c>
      <c r="G3638" s="93">
        <v>0</v>
      </c>
      <c r="H3638" s="93">
        <v>0</v>
      </c>
      <c r="N3638" s="88"/>
      <c r="O3638" s="88"/>
      <c r="P3638" s="88"/>
    </row>
    <row r="3639" spans="1:16">
      <c r="A3639" s="94">
        <v>89675</v>
      </c>
      <c r="B3639" s="87" t="s">
        <v>3162</v>
      </c>
      <c r="C3639" s="12" t="s">
        <v>4</v>
      </c>
      <c r="D3639" s="93">
        <v>42.3</v>
      </c>
      <c r="E3639" s="93">
        <v>2.0299999999999998</v>
      </c>
      <c r="F3639" s="93">
        <v>40.270000000000003</v>
      </c>
      <c r="G3639" s="93">
        <v>0</v>
      </c>
      <c r="H3639" s="93">
        <v>0</v>
      </c>
      <c r="N3639" s="88"/>
      <c r="O3639" s="88"/>
      <c r="P3639" s="88"/>
    </row>
    <row r="3640" spans="1:16">
      <c r="A3640" s="94">
        <v>89676</v>
      </c>
      <c r="B3640" s="87" t="s">
        <v>3163</v>
      </c>
      <c r="C3640" s="12" t="s">
        <v>4</v>
      </c>
      <c r="D3640" s="93">
        <v>35.1</v>
      </c>
      <c r="E3640" s="93">
        <v>3.14</v>
      </c>
      <c r="F3640" s="93">
        <v>31.96</v>
      </c>
      <c r="G3640" s="93">
        <v>0</v>
      </c>
      <c r="H3640" s="93">
        <v>0</v>
      </c>
      <c r="N3640" s="88"/>
      <c r="O3640" s="88"/>
      <c r="P3640" s="88"/>
    </row>
    <row r="3641" spans="1:16">
      <c r="A3641" s="94">
        <v>89677</v>
      </c>
      <c r="B3641" s="87" t="s">
        <v>3164</v>
      </c>
      <c r="C3641" s="12" t="s">
        <v>4</v>
      </c>
      <c r="D3641" s="93">
        <v>47.35</v>
      </c>
      <c r="E3641" s="93">
        <v>3.19</v>
      </c>
      <c r="F3641" s="93">
        <v>44.16</v>
      </c>
      <c r="G3641" s="93">
        <v>0</v>
      </c>
      <c r="H3641" s="93">
        <v>0</v>
      </c>
      <c r="N3641" s="88"/>
      <c r="O3641" s="88"/>
      <c r="P3641" s="88"/>
    </row>
    <row r="3642" spans="1:16">
      <c r="A3642" s="94">
        <v>89678</v>
      </c>
      <c r="B3642" s="87" t="s">
        <v>3165</v>
      </c>
      <c r="C3642" s="12" t="s">
        <v>4</v>
      </c>
      <c r="D3642" s="93">
        <v>7.45</v>
      </c>
      <c r="E3642" s="93">
        <v>3.17</v>
      </c>
      <c r="F3642" s="93">
        <v>4.28</v>
      </c>
      <c r="G3642" s="93">
        <v>0</v>
      </c>
      <c r="H3642" s="93">
        <v>0</v>
      </c>
      <c r="N3642" s="88"/>
      <c r="O3642" s="88"/>
      <c r="P3642" s="88"/>
    </row>
    <row r="3643" spans="1:16">
      <c r="A3643" s="94">
        <v>89679</v>
      </c>
      <c r="B3643" s="87" t="s">
        <v>3166</v>
      </c>
      <c r="C3643" s="12" t="s">
        <v>4</v>
      </c>
      <c r="D3643" s="93">
        <v>74.63</v>
      </c>
      <c r="E3643" s="93">
        <v>3.19</v>
      </c>
      <c r="F3643" s="93">
        <v>71.44</v>
      </c>
      <c r="G3643" s="93">
        <v>0</v>
      </c>
      <c r="H3643" s="93">
        <v>0</v>
      </c>
      <c r="N3643" s="88"/>
      <c r="O3643" s="88"/>
      <c r="P3643" s="88"/>
    </row>
    <row r="3644" spans="1:16">
      <c r="A3644" s="94">
        <v>89680</v>
      </c>
      <c r="B3644" s="87" t="s">
        <v>3167</v>
      </c>
      <c r="C3644" s="12" t="s">
        <v>4</v>
      </c>
      <c r="D3644" s="93">
        <v>15.51</v>
      </c>
      <c r="E3644" s="93">
        <v>3.7</v>
      </c>
      <c r="F3644" s="93">
        <v>11.81</v>
      </c>
      <c r="G3644" s="93">
        <v>0</v>
      </c>
      <c r="H3644" s="93">
        <v>0</v>
      </c>
      <c r="N3644" s="88"/>
      <c r="O3644" s="88"/>
      <c r="P3644" s="88"/>
    </row>
    <row r="3645" spans="1:16">
      <c r="A3645" s="94">
        <v>89681</v>
      </c>
      <c r="B3645" s="87" t="s">
        <v>3168</v>
      </c>
      <c r="C3645" s="12" t="s">
        <v>4</v>
      </c>
      <c r="D3645" s="93">
        <v>52.17</v>
      </c>
      <c r="E3645" s="93">
        <v>3.19</v>
      </c>
      <c r="F3645" s="93">
        <v>48.98</v>
      </c>
      <c r="G3645" s="93">
        <v>0</v>
      </c>
      <c r="H3645" s="93">
        <v>0</v>
      </c>
      <c r="N3645" s="88"/>
      <c r="O3645" s="88"/>
      <c r="P3645" s="88"/>
    </row>
    <row r="3646" spans="1:16">
      <c r="A3646" s="94">
        <v>89682</v>
      </c>
      <c r="B3646" s="87" t="s">
        <v>3169</v>
      </c>
      <c r="C3646" s="12" t="s">
        <v>4</v>
      </c>
      <c r="D3646" s="93">
        <v>24.12</v>
      </c>
      <c r="E3646" s="93">
        <v>3.69</v>
      </c>
      <c r="F3646" s="93">
        <v>20.43</v>
      </c>
      <c r="G3646" s="93">
        <v>0</v>
      </c>
      <c r="H3646" s="93">
        <v>0</v>
      </c>
      <c r="N3646" s="88"/>
      <c r="O3646" s="88"/>
      <c r="P3646" s="88"/>
    </row>
    <row r="3647" spans="1:16">
      <c r="A3647" s="94">
        <v>89684</v>
      </c>
      <c r="B3647" s="87" t="s">
        <v>3170</v>
      </c>
      <c r="C3647" s="12" t="s">
        <v>4</v>
      </c>
      <c r="D3647" s="93">
        <v>33.36</v>
      </c>
      <c r="E3647" s="93">
        <v>3.68</v>
      </c>
      <c r="F3647" s="93">
        <v>29.68</v>
      </c>
      <c r="G3647" s="93">
        <v>0</v>
      </c>
      <c r="H3647" s="93">
        <v>0</v>
      </c>
      <c r="N3647" s="88"/>
      <c r="O3647" s="88"/>
      <c r="P3647" s="88"/>
    </row>
    <row r="3648" spans="1:16">
      <c r="A3648" s="94">
        <v>89685</v>
      </c>
      <c r="B3648" s="87" t="s">
        <v>3171</v>
      </c>
      <c r="C3648" s="12" t="s">
        <v>4</v>
      </c>
      <c r="D3648" s="93">
        <v>35.130000000000003</v>
      </c>
      <c r="E3648" s="93">
        <v>2.31</v>
      </c>
      <c r="F3648" s="93">
        <v>32.82</v>
      </c>
      <c r="G3648" s="93">
        <v>0</v>
      </c>
      <c r="H3648" s="93">
        <v>0</v>
      </c>
      <c r="N3648" s="88"/>
      <c r="O3648" s="88"/>
      <c r="P3648" s="88"/>
    </row>
    <row r="3649" spans="1:16">
      <c r="A3649" s="94">
        <v>89686</v>
      </c>
      <c r="B3649" s="87" t="s">
        <v>3172</v>
      </c>
      <c r="C3649" s="12" t="s">
        <v>4</v>
      </c>
      <c r="D3649" s="93">
        <v>124.76</v>
      </c>
      <c r="E3649" s="93">
        <v>3.68</v>
      </c>
      <c r="F3649" s="93">
        <v>121.08</v>
      </c>
      <c r="G3649" s="93">
        <v>0</v>
      </c>
      <c r="H3649" s="93">
        <v>0</v>
      </c>
      <c r="N3649" s="88"/>
      <c r="O3649" s="88"/>
      <c r="P3649" s="88"/>
    </row>
    <row r="3650" spans="1:16">
      <c r="A3650" s="94">
        <v>89687</v>
      </c>
      <c r="B3650" s="87" t="s">
        <v>3173</v>
      </c>
      <c r="C3650" s="12" t="s">
        <v>4</v>
      </c>
      <c r="D3650" s="93">
        <v>30.29</v>
      </c>
      <c r="E3650" s="93">
        <v>2.31</v>
      </c>
      <c r="F3650" s="93">
        <v>27.98</v>
      </c>
      <c r="G3650" s="93">
        <v>0</v>
      </c>
      <c r="H3650" s="93">
        <v>0</v>
      </c>
      <c r="N3650" s="88"/>
      <c r="O3650" s="88"/>
      <c r="P3650" s="88"/>
    </row>
    <row r="3651" spans="1:16">
      <c r="A3651" s="94">
        <v>89689</v>
      </c>
      <c r="B3651" s="87" t="s">
        <v>3174</v>
      </c>
      <c r="C3651" s="12" t="s">
        <v>4</v>
      </c>
      <c r="D3651" s="93">
        <v>25.97</v>
      </c>
      <c r="E3651" s="93">
        <v>3.69</v>
      </c>
      <c r="F3651" s="93">
        <v>22.28</v>
      </c>
      <c r="G3651" s="93">
        <v>0</v>
      </c>
      <c r="H3651" s="93">
        <v>0</v>
      </c>
      <c r="N3651" s="88"/>
      <c r="O3651" s="88"/>
      <c r="P3651" s="88"/>
    </row>
    <row r="3652" spans="1:16">
      <c r="A3652" s="94">
        <v>89690</v>
      </c>
      <c r="B3652" s="87" t="s">
        <v>3175</v>
      </c>
      <c r="C3652" s="12" t="s">
        <v>4</v>
      </c>
      <c r="D3652" s="93">
        <v>52.6</v>
      </c>
      <c r="E3652" s="93">
        <v>3.77</v>
      </c>
      <c r="F3652" s="93">
        <v>48.83</v>
      </c>
      <c r="G3652" s="93">
        <v>0</v>
      </c>
      <c r="H3652" s="93">
        <v>0</v>
      </c>
      <c r="N3652" s="88"/>
      <c r="O3652" s="88"/>
      <c r="P3652" s="88"/>
    </row>
    <row r="3653" spans="1:16">
      <c r="A3653" s="94">
        <v>89691</v>
      </c>
      <c r="B3653" s="87" t="s">
        <v>351</v>
      </c>
      <c r="C3653" s="12" t="s">
        <v>4</v>
      </c>
      <c r="D3653" s="93">
        <v>9.4</v>
      </c>
      <c r="E3653" s="93">
        <v>4.25</v>
      </c>
      <c r="F3653" s="93">
        <v>5.15</v>
      </c>
      <c r="G3653" s="93">
        <v>0</v>
      </c>
      <c r="H3653" s="93">
        <v>0</v>
      </c>
      <c r="N3653" s="88"/>
      <c r="O3653" s="88"/>
      <c r="P3653" s="88"/>
    </row>
    <row r="3654" spans="1:16">
      <c r="A3654" s="94">
        <v>89692</v>
      </c>
      <c r="B3654" s="87" t="s">
        <v>3176</v>
      </c>
      <c r="C3654" s="12" t="s">
        <v>4</v>
      </c>
      <c r="D3654" s="93">
        <v>49.71</v>
      </c>
      <c r="E3654" s="93">
        <v>3.77</v>
      </c>
      <c r="F3654" s="93">
        <v>45.94</v>
      </c>
      <c r="G3654" s="93">
        <v>0</v>
      </c>
      <c r="H3654" s="93">
        <v>0</v>
      </c>
      <c r="N3654" s="88"/>
      <c r="O3654" s="88"/>
      <c r="P3654" s="88"/>
    </row>
    <row r="3655" spans="1:16">
      <c r="A3655" s="94">
        <v>89693</v>
      </c>
      <c r="B3655" s="87" t="s">
        <v>3177</v>
      </c>
      <c r="C3655" s="12" t="s">
        <v>4</v>
      </c>
      <c r="D3655" s="93">
        <v>48.35</v>
      </c>
      <c r="E3655" s="93">
        <v>3.77</v>
      </c>
      <c r="F3655" s="93">
        <v>44.58</v>
      </c>
      <c r="G3655" s="93">
        <v>0</v>
      </c>
      <c r="H3655" s="93">
        <v>0</v>
      </c>
      <c r="N3655" s="88"/>
      <c r="O3655" s="88"/>
      <c r="P3655" s="88"/>
    </row>
    <row r="3656" spans="1:16">
      <c r="A3656" s="94">
        <v>89694</v>
      </c>
      <c r="B3656" s="87" t="s">
        <v>3178</v>
      </c>
      <c r="C3656" s="12" t="s">
        <v>4</v>
      </c>
      <c r="D3656" s="93">
        <v>15.04</v>
      </c>
      <c r="E3656" s="93">
        <v>4.24</v>
      </c>
      <c r="F3656" s="93">
        <v>10.8</v>
      </c>
      <c r="G3656" s="93">
        <v>0</v>
      </c>
      <c r="H3656" s="93">
        <v>0</v>
      </c>
      <c r="N3656" s="88"/>
      <c r="O3656" s="88"/>
      <c r="P3656" s="88"/>
    </row>
    <row r="3657" spans="1:16">
      <c r="A3657" s="94">
        <v>89695</v>
      </c>
      <c r="B3657" s="87" t="s">
        <v>3179</v>
      </c>
      <c r="C3657" s="12" t="s">
        <v>4</v>
      </c>
      <c r="D3657" s="93">
        <v>13.98</v>
      </c>
      <c r="E3657" s="93">
        <v>4.24</v>
      </c>
      <c r="F3657" s="93">
        <v>9.74</v>
      </c>
      <c r="G3657" s="93">
        <v>0</v>
      </c>
      <c r="H3657" s="93">
        <v>0</v>
      </c>
      <c r="N3657" s="88"/>
      <c r="O3657" s="88"/>
      <c r="P3657" s="88"/>
    </row>
    <row r="3658" spans="1:16">
      <c r="A3658" s="94">
        <v>89696</v>
      </c>
      <c r="B3658" s="87" t="s">
        <v>3180</v>
      </c>
      <c r="C3658" s="12" t="s">
        <v>4</v>
      </c>
      <c r="D3658" s="93">
        <v>43.96</v>
      </c>
      <c r="E3658" s="93">
        <v>3.77</v>
      </c>
      <c r="F3658" s="93">
        <v>40.19</v>
      </c>
      <c r="G3658" s="93">
        <v>0</v>
      </c>
      <c r="H3658" s="93">
        <v>0</v>
      </c>
      <c r="N3658" s="88"/>
      <c r="O3658" s="88"/>
      <c r="P3658" s="88"/>
    </row>
    <row r="3659" spans="1:16">
      <c r="A3659" s="94">
        <v>89697</v>
      </c>
      <c r="B3659" s="87" t="s">
        <v>352</v>
      </c>
      <c r="C3659" s="12" t="s">
        <v>4</v>
      </c>
      <c r="D3659" s="93">
        <v>11.33</v>
      </c>
      <c r="E3659" s="93">
        <v>5.33</v>
      </c>
      <c r="F3659" s="93">
        <v>6</v>
      </c>
      <c r="G3659" s="93">
        <v>0</v>
      </c>
      <c r="H3659" s="93">
        <v>0</v>
      </c>
      <c r="N3659" s="88"/>
      <c r="O3659" s="88"/>
      <c r="P3659" s="88"/>
    </row>
    <row r="3660" spans="1:16">
      <c r="A3660" s="94">
        <v>89698</v>
      </c>
      <c r="B3660" s="87" t="s">
        <v>3181</v>
      </c>
      <c r="C3660" s="12" t="s">
        <v>4</v>
      </c>
      <c r="D3660" s="93">
        <v>155.46</v>
      </c>
      <c r="E3660" s="93">
        <v>6.69</v>
      </c>
      <c r="F3660" s="93">
        <v>148.77000000000001</v>
      </c>
      <c r="G3660" s="93">
        <v>0</v>
      </c>
      <c r="H3660" s="93">
        <v>0</v>
      </c>
      <c r="N3660" s="88"/>
      <c r="O3660" s="88"/>
      <c r="P3660" s="88"/>
    </row>
    <row r="3661" spans="1:16">
      <c r="A3661" s="94">
        <v>89699</v>
      </c>
      <c r="B3661" s="87" t="s">
        <v>3182</v>
      </c>
      <c r="C3661" s="12" t="s">
        <v>4</v>
      </c>
      <c r="D3661" s="93">
        <v>132.54</v>
      </c>
      <c r="E3661" s="93">
        <v>6.69</v>
      </c>
      <c r="F3661" s="93">
        <v>125.85</v>
      </c>
      <c r="G3661" s="93">
        <v>0</v>
      </c>
      <c r="H3661" s="93">
        <v>0</v>
      </c>
      <c r="N3661" s="88"/>
      <c r="O3661" s="88"/>
      <c r="P3661" s="88"/>
    </row>
    <row r="3662" spans="1:16">
      <c r="A3662" s="94">
        <v>89700</v>
      </c>
      <c r="B3662" s="87" t="s">
        <v>3183</v>
      </c>
      <c r="C3662" s="12" t="s">
        <v>4</v>
      </c>
      <c r="D3662" s="93">
        <v>16.16</v>
      </c>
      <c r="E3662" s="93">
        <v>5.32</v>
      </c>
      <c r="F3662" s="93">
        <v>10.84</v>
      </c>
      <c r="G3662" s="93">
        <v>0</v>
      </c>
      <c r="H3662" s="93">
        <v>0</v>
      </c>
      <c r="N3662" s="88"/>
      <c r="O3662" s="88"/>
      <c r="P3662" s="88"/>
    </row>
    <row r="3663" spans="1:16">
      <c r="A3663" s="94">
        <v>89701</v>
      </c>
      <c r="B3663" s="87" t="s">
        <v>3184</v>
      </c>
      <c r="C3663" s="12" t="s">
        <v>4</v>
      </c>
      <c r="D3663" s="93">
        <v>122.17</v>
      </c>
      <c r="E3663" s="93">
        <v>6.69</v>
      </c>
      <c r="F3663" s="93">
        <v>115.48</v>
      </c>
      <c r="G3663" s="93">
        <v>0</v>
      </c>
      <c r="H3663" s="93">
        <v>0</v>
      </c>
      <c r="N3663" s="88"/>
      <c r="O3663" s="88"/>
      <c r="P3663" s="88"/>
    </row>
    <row r="3664" spans="1:16">
      <c r="A3664" s="94">
        <v>89702</v>
      </c>
      <c r="B3664" s="87" t="s">
        <v>3185</v>
      </c>
      <c r="C3664" s="12" t="s">
        <v>4</v>
      </c>
      <c r="D3664" s="93">
        <v>16.16</v>
      </c>
      <c r="E3664" s="93">
        <v>5.32</v>
      </c>
      <c r="F3664" s="93">
        <v>10.84</v>
      </c>
      <c r="G3664" s="93">
        <v>0</v>
      </c>
      <c r="H3664" s="93">
        <v>0</v>
      </c>
      <c r="N3664" s="88"/>
      <c r="O3664" s="88"/>
      <c r="P3664" s="88"/>
    </row>
    <row r="3665" spans="1:16">
      <c r="A3665" s="94">
        <v>89703</v>
      </c>
      <c r="B3665" s="87" t="s">
        <v>353</v>
      </c>
      <c r="C3665" s="12" t="s">
        <v>4</v>
      </c>
      <c r="D3665" s="93">
        <v>35.76</v>
      </c>
      <c r="E3665" s="93">
        <v>5.31</v>
      </c>
      <c r="F3665" s="93">
        <v>30.45</v>
      </c>
      <c r="G3665" s="93">
        <v>0</v>
      </c>
      <c r="H3665" s="93">
        <v>0</v>
      </c>
      <c r="N3665" s="88"/>
      <c r="O3665" s="88"/>
      <c r="P3665" s="88"/>
    </row>
    <row r="3666" spans="1:16">
      <c r="A3666" s="94">
        <v>89704</v>
      </c>
      <c r="B3666" s="87" t="s">
        <v>3186</v>
      </c>
      <c r="C3666" s="12" t="s">
        <v>4</v>
      </c>
      <c r="D3666" s="93">
        <v>84.81</v>
      </c>
      <c r="E3666" s="93">
        <v>6.69</v>
      </c>
      <c r="F3666" s="93">
        <v>78.12</v>
      </c>
      <c r="G3666" s="93">
        <v>0</v>
      </c>
      <c r="H3666" s="93">
        <v>0</v>
      </c>
      <c r="N3666" s="88"/>
      <c r="O3666" s="88"/>
      <c r="P3666" s="88"/>
    </row>
    <row r="3667" spans="1:16">
      <c r="A3667" s="94">
        <v>89705</v>
      </c>
      <c r="B3667" s="87" t="s">
        <v>3187</v>
      </c>
      <c r="C3667" s="12" t="s">
        <v>4</v>
      </c>
      <c r="D3667" s="93">
        <v>18.71</v>
      </c>
      <c r="E3667" s="93">
        <v>6.31</v>
      </c>
      <c r="F3667" s="93">
        <v>12.4</v>
      </c>
      <c r="G3667" s="93">
        <v>0</v>
      </c>
      <c r="H3667" s="93">
        <v>0</v>
      </c>
      <c r="N3667" s="88"/>
      <c r="O3667" s="88"/>
      <c r="P3667" s="88"/>
    </row>
    <row r="3668" spans="1:16">
      <c r="A3668" s="94">
        <v>89706</v>
      </c>
      <c r="B3668" s="87" t="s">
        <v>3188</v>
      </c>
      <c r="C3668" s="12" t="s">
        <v>4</v>
      </c>
      <c r="D3668" s="93">
        <v>39.96</v>
      </c>
      <c r="E3668" s="93">
        <v>7.42</v>
      </c>
      <c r="F3668" s="93">
        <v>32.54</v>
      </c>
      <c r="G3668" s="93">
        <v>0</v>
      </c>
      <c r="H3668" s="93">
        <v>0</v>
      </c>
      <c r="N3668" s="88"/>
      <c r="O3668" s="88"/>
      <c r="P3668" s="88"/>
    </row>
    <row r="3669" spans="1:16">
      <c r="A3669" s="94">
        <v>89718</v>
      </c>
      <c r="B3669" s="87" t="s">
        <v>3189</v>
      </c>
      <c r="C3669" s="12" t="s">
        <v>6</v>
      </c>
      <c r="D3669" s="93">
        <v>29.11</v>
      </c>
      <c r="E3669" s="93">
        <v>4.2</v>
      </c>
      <c r="F3669" s="93">
        <v>24.91</v>
      </c>
      <c r="G3669" s="93">
        <v>0</v>
      </c>
      <c r="H3669" s="93">
        <v>0</v>
      </c>
      <c r="N3669" s="88"/>
      <c r="O3669" s="88"/>
      <c r="P3669" s="88"/>
    </row>
    <row r="3670" spans="1:16">
      <c r="A3670" s="94">
        <v>89719</v>
      </c>
      <c r="B3670" s="87" t="s">
        <v>3190</v>
      </c>
      <c r="C3670" s="12" t="s">
        <v>4</v>
      </c>
      <c r="D3670" s="93">
        <v>8.08</v>
      </c>
      <c r="E3670" s="93">
        <v>2.39</v>
      </c>
      <c r="F3670" s="93">
        <v>5.69</v>
      </c>
      <c r="G3670" s="93">
        <v>0</v>
      </c>
      <c r="H3670" s="93">
        <v>0</v>
      </c>
      <c r="N3670" s="88"/>
      <c r="O3670" s="88"/>
      <c r="P3670" s="88"/>
    </row>
    <row r="3671" spans="1:16">
      <c r="A3671" s="94">
        <v>89720</v>
      </c>
      <c r="B3671" s="87" t="s">
        <v>3191</v>
      </c>
      <c r="C3671" s="12" t="s">
        <v>4</v>
      </c>
      <c r="D3671" s="93">
        <v>9.51</v>
      </c>
      <c r="E3671" s="93">
        <v>2.38</v>
      </c>
      <c r="F3671" s="93">
        <v>7.13</v>
      </c>
      <c r="G3671" s="93">
        <v>0</v>
      </c>
      <c r="H3671" s="93">
        <v>0</v>
      </c>
      <c r="N3671" s="88"/>
      <c r="O3671" s="88"/>
      <c r="P3671" s="88"/>
    </row>
    <row r="3672" spans="1:16">
      <c r="A3672" s="94">
        <v>89721</v>
      </c>
      <c r="B3672" s="87" t="s">
        <v>3192</v>
      </c>
      <c r="C3672" s="12" t="s">
        <v>4</v>
      </c>
      <c r="D3672" s="93">
        <v>9.99</v>
      </c>
      <c r="E3672" s="93">
        <v>2.38</v>
      </c>
      <c r="F3672" s="93">
        <v>7.61</v>
      </c>
      <c r="G3672" s="93">
        <v>0</v>
      </c>
      <c r="H3672" s="93">
        <v>0</v>
      </c>
      <c r="N3672" s="88"/>
      <c r="O3672" s="88"/>
      <c r="P3672" s="88"/>
    </row>
    <row r="3673" spans="1:16">
      <c r="A3673" s="94">
        <v>89722</v>
      </c>
      <c r="B3673" s="87" t="s">
        <v>3193</v>
      </c>
      <c r="C3673" s="12" t="s">
        <v>4</v>
      </c>
      <c r="D3673" s="93">
        <v>16.78</v>
      </c>
      <c r="E3673" s="93">
        <v>2.37</v>
      </c>
      <c r="F3673" s="93">
        <v>14.41</v>
      </c>
      <c r="G3673" s="93">
        <v>0</v>
      </c>
      <c r="H3673" s="93">
        <v>0</v>
      </c>
      <c r="N3673" s="88"/>
      <c r="O3673" s="88"/>
      <c r="P3673" s="88"/>
    </row>
    <row r="3674" spans="1:16">
      <c r="A3674" s="94">
        <v>89723</v>
      </c>
      <c r="B3674" s="87" t="s">
        <v>3194</v>
      </c>
      <c r="C3674" s="12" t="s">
        <v>4</v>
      </c>
      <c r="D3674" s="93">
        <v>13.17</v>
      </c>
      <c r="E3674" s="93">
        <v>2.82</v>
      </c>
      <c r="F3674" s="93">
        <v>10.35</v>
      </c>
      <c r="G3674" s="93">
        <v>0</v>
      </c>
      <c r="H3674" s="93">
        <v>0</v>
      </c>
      <c r="N3674" s="88"/>
      <c r="O3674" s="88"/>
      <c r="P3674" s="88"/>
    </row>
    <row r="3675" spans="1:16">
      <c r="A3675" s="94">
        <v>89724</v>
      </c>
      <c r="B3675" s="87" t="s">
        <v>3195</v>
      </c>
      <c r="C3675" s="12" t="s">
        <v>4</v>
      </c>
      <c r="D3675" s="93">
        <v>7.64</v>
      </c>
      <c r="E3675" s="93">
        <v>2.92</v>
      </c>
      <c r="F3675" s="93">
        <v>4.72</v>
      </c>
      <c r="G3675" s="93">
        <v>0</v>
      </c>
      <c r="H3675" s="93">
        <v>0</v>
      </c>
      <c r="N3675" s="88"/>
      <c r="O3675" s="88"/>
      <c r="P3675" s="88"/>
    </row>
    <row r="3676" spans="1:16">
      <c r="A3676" s="94">
        <v>89725</v>
      </c>
      <c r="B3676" s="87" t="s">
        <v>3196</v>
      </c>
      <c r="C3676" s="12" t="s">
        <v>4</v>
      </c>
      <c r="D3676" s="93">
        <v>12.83</v>
      </c>
      <c r="E3676" s="93">
        <v>2.82</v>
      </c>
      <c r="F3676" s="93">
        <v>10.01</v>
      </c>
      <c r="G3676" s="93">
        <v>0</v>
      </c>
      <c r="H3676" s="93">
        <v>0</v>
      </c>
      <c r="N3676" s="88"/>
      <c r="O3676" s="88"/>
      <c r="P3676" s="88"/>
    </row>
    <row r="3677" spans="1:16">
      <c r="A3677" s="94">
        <v>89726</v>
      </c>
      <c r="B3677" s="87" t="s">
        <v>3197</v>
      </c>
      <c r="C3677" s="12" t="s">
        <v>4</v>
      </c>
      <c r="D3677" s="93">
        <v>5.87</v>
      </c>
      <c r="E3677" s="93">
        <v>2.92</v>
      </c>
      <c r="F3677" s="93">
        <v>2.95</v>
      </c>
      <c r="G3677" s="93">
        <v>0</v>
      </c>
      <c r="H3677" s="93">
        <v>0</v>
      </c>
      <c r="N3677" s="88"/>
      <c r="O3677" s="88"/>
      <c r="P3677" s="88"/>
    </row>
    <row r="3678" spans="1:16">
      <c r="A3678" s="94">
        <v>89727</v>
      </c>
      <c r="B3678" s="87" t="s">
        <v>3198</v>
      </c>
      <c r="C3678" s="12" t="s">
        <v>4</v>
      </c>
      <c r="D3678" s="93">
        <v>14.37</v>
      </c>
      <c r="E3678" s="93">
        <v>2.82</v>
      </c>
      <c r="F3678" s="93">
        <v>11.55</v>
      </c>
      <c r="G3678" s="93">
        <v>0</v>
      </c>
      <c r="H3678" s="93">
        <v>0</v>
      </c>
      <c r="N3678" s="88"/>
      <c r="O3678" s="88"/>
      <c r="P3678" s="88"/>
    </row>
    <row r="3679" spans="1:16">
      <c r="A3679" s="94">
        <v>89728</v>
      </c>
      <c r="B3679" s="87" t="s">
        <v>3199</v>
      </c>
      <c r="C3679" s="12" t="s">
        <v>4</v>
      </c>
      <c r="D3679" s="93">
        <v>8.08</v>
      </c>
      <c r="E3679" s="93">
        <v>2.92</v>
      </c>
      <c r="F3679" s="93">
        <v>5.16</v>
      </c>
      <c r="G3679" s="93">
        <v>0</v>
      </c>
      <c r="H3679" s="93">
        <v>0</v>
      </c>
      <c r="N3679" s="88"/>
      <c r="O3679" s="88"/>
      <c r="P3679" s="88"/>
    </row>
    <row r="3680" spans="1:16">
      <c r="A3680" s="94">
        <v>89729</v>
      </c>
      <c r="B3680" s="87" t="s">
        <v>3200</v>
      </c>
      <c r="C3680" s="12" t="s">
        <v>4</v>
      </c>
      <c r="D3680" s="93">
        <v>19.91</v>
      </c>
      <c r="E3680" s="93">
        <v>3.31</v>
      </c>
      <c r="F3680" s="93">
        <v>16.600000000000001</v>
      </c>
      <c r="G3680" s="93">
        <v>0</v>
      </c>
      <c r="H3680" s="93">
        <v>0</v>
      </c>
      <c r="N3680" s="88"/>
      <c r="O3680" s="88"/>
      <c r="P3680" s="88"/>
    </row>
    <row r="3681" spans="1:16">
      <c r="A3681" s="94">
        <v>89730</v>
      </c>
      <c r="B3681" s="87" t="s">
        <v>3201</v>
      </c>
      <c r="C3681" s="12" t="s">
        <v>4</v>
      </c>
      <c r="D3681" s="93">
        <v>8.65</v>
      </c>
      <c r="E3681" s="93">
        <v>2.92</v>
      </c>
      <c r="F3681" s="93">
        <v>5.73</v>
      </c>
      <c r="G3681" s="93">
        <v>0</v>
      </c>
      <c r="H3681" s="93">
        <v>0</v>
      </c>
      <c r="N3681" s="88"/>
      <c r="O3681" s="88"/>
      <c r="P3681" s="88"/>
    </row>
    <row r="3682" spans="1:16">
      <c r="A3682" s="94">
        <v>89731</v>
      </c>
      <c r="B3682" s="87" t="s">
        <v>3202</v>
      </c>
      <c r="C3682" s="12" t="s">
        <v>4</v>
      </c>
      <c r="D3682" s="93">
        <v>8.66</v>
      </c>
      <c r="E3682" s="93">
        <v>3.79</v>
      </c>
      <c r="F3682" s="93">
        <v>4.87</v>
      </c>
      <c r="G3682" s="93">
        <v>0</v>
      </c>
      <c r="H3682" s="93">
        <v>0</v>
      </c>
      <c r="N3682" s="88"/>
      <c r="O3682" s="88"/>
      <c r="P3682" s="88"/>
    </row>
    <row r="3683" spans="1:16">
      <c r="A3683" s="94">
        <v>89732</v>
      </c>
      <c r="B3683" s="87" t="s">
        <v>3203</v>
      </c>
      <c r="C3683" s="12" t="s">
        <v>4</v>
      </c>
      <c r="D3683" s="93">
        <v>9.08</v>
      </c>
      <c r="E3683" s="93">
        <v>3.79</v>
      </c>
      <c r="F3683" s="93">
        <v>5.29</v>
      </c>
      <c r="G3683" s="93">
        <v>0</v>
      </c>
      <c r="H3683" s="93">
        <v>0</v>
      </c>
      <c r="N3683" s="88"/>
      <c r="O3683" s="88"/>
      <c r="P3683" s="88"/>
    </row>
    <row r="3684" spans="1:16">
      <c r="A3684" s="94">
        <v>89733</v>
      </c>
      <c r="B3684" s="87" t="s">
        <v>3204</v>
      </c>
      <c r="C3684" s="12" t="s">
        <v>4</v>
      </c>
      <c r="D3684" s="93">
        <v>13.59</v>
      </c>
      <c r="E3684" s="93">
        <v>3.78</v>
      </c>
      <c r="F3684" s="93">
        <v>9.81</v>
      </c>
      <c r="G3684" s="93">
        <v>0</v>
      </c>
      <c r="H3684" s="93">
        <v>0</v>
      </c>
      <c r="N3684" s="88"/>
      <c r="O3684" s="88"/>
      <c r="P3684" s="88"/>
    </row>
    <row r="3685" spans="1:16">
      <c r="A3685" s="94">
        <v>89734</v>
      </c>
      <c r="B3685" s="87" t="s">
        <v>3205</v>
      </c>
      <c r="C3685" s="12" t="s">
        <v>4</v>
      </c>
      <c r="D3685" s="93">
        <v>19.91</v>
      </c>
      <c r="E3685" s="93">
        <v>3.31</v>
      </c>
      <c r="F3685" s="93">
        <v>16.600000000000001</v>
      </c>
      <c r="G3685" s="93">
        <v>0</v>
      </c>
      <c r="H3685" s="93">
        <v>0</v>
      </c>
      <c r="N3685" s="88"/>
      <c r="O3685" s="88"/>
      <c r="P3685" s="88"/>
    </row>
    <row r="3686" spans="1:16">
      <c r="A3686" s="94">
        <v>89735</v>
      </c>
      <c r="B3686" s="87" t="s">
        <v>3206</v>
      </c>
      <c r="C3686" s="12" t="s">
        <v>4</v>
      </c>
      <c r="D3686" s="93">
        <v>14.28</v>
      </c>
      <c r="E3686" s="93">
        <v>3.78</v>
      </c>
      <c r="F3686" s="93">
        <v>10.5</v>
      </c>
      <c r="G3686" s="93">
        <v>0</v>
      </c>
      <c r="H3686" s="93">
        <v>0</v>
      </c>
      <c r="N3686" s="88"/>
      <c r="O3686" s="88"/>
      <c r="P3686" s="88"/>
    </row>
    <row r="3687" spans="1:16">
      <c r="A3687" s="94">
        <v>89736</v>
      </c>
      <c r="B3687" s="87" t="s">
        <v>3207</v>
      </c>
      <c r="C3687" s="12" t="s">
        <v>4</v>
      </c>
      <c r="D3687" s="93">
        <v>5.44</v>
      </c>
      <c r="E3687" s="93">
        <v>1.6</v>
      </c>
      <c r="F3687" s="93">
        <v>3.84</v>
      </c>
      <c r="G3687" s="93">
        <v>0</v>
      </c>
      <c r="H3687" s="93">
        <v>0</v>
      </c>
      <c r="N3687" s="88"/>
      <c r="O3687" s="88"/>
      <c r="P3687" s="88"/>
    </row>
    <row r="3688" spans="1:16">
      <c r="A3688" s="94">
        <v>89737</v>
      </c>
      <c r="B3688" s="87" t="s">
        <v>3208</v>
      </c>
      <c r="C3688" s="12" t="s">
        <v>4</v>
      </c>
      <c r="D3688" s="93">
        <v>14.55</v>
      </c>
      <c r="E3688" s="93">
        <v>5.54</v>
      </c>
      <c r="F3688" s="93">
        <v>9.01</v>
      </c>
      <c r="G3688" s="93">
        <v>0</v>
      </c>
      <c r="H3688" s="93">
        <v>0</v>
      </c>
      <c r="N3688" s="88"/>
      <c r="O3688" s="88"/>
      <c r="P3688" s="88"/>
    </row>
    <row r="3689" spans="1:16">
      <c r="A3689" s="94">
        <v>89738</v>
      </c>
      <c r="B3689" s="87" t="s">
        <v>3209</v>
      </c>
      <c r="C3689" s="12" t="s">
        <v>4</v>
      </c>
      <c r="D3689" s="93">
        <v>10.48</v>
      </c>
      <c r="E3689" s="93">
        <v>1.59</v>
      </c>
      <c r="F3689" s="93">
        <v>8.89</v>
      </c>
      <c r="G3689" s="93">
        <v>0</v>
      </c>
      <c r="H3689" s="93">
        <v>0</v>
      </c>
      <c r="N3689" s="88"/>
      <c r="O3689" s="88"/>
      <c r="P3689" s="88"/>
    </row>
    <row r="3690" spans="1:16">
      <c r="A3690" s="94">
        <v>89739</v>
      </c>
      <c r="B3690" s="87" t="s">
        <v>3210</v>
      </c>
      <c r="C3690" s="12" t="s">
        <v>4</v>
      </c>
      <c r="D3690" s="93">
        <v>15.15</v>
      </c>
      <c r="E3690" s="93">
        <v>5.54</v>
      </c>
      <c r="F3690" s="93">
        <v>9.61</v>
      </c>
      <c r="G3690" s="93">
        <v>0</v>
      </c>
      <c r="H3690" s="93">
        <v>0</v>
      </c>
      <c r="N3690" s="88"/>
      <c r="O3690" s="88"/>
      <c r="P3690" s="88"/>
    </row>
    <row r="3691" spans="1:16">
      <c r="A3691" s="94">
        <v>89740</v>
      </c>
      <c r="B3691" s="87" t="s">
        <v>354</v>
      </c>
      <c r="C3691" s="12" t="s">
        <v>4</v>
      </c>
      <c r="D3691" s="93">
        <v>5.01</v>
      </c>
      <c r="E3691" s="93">
        <v>1.6</v>
      </c>
      <c r="F3691" s="93">
        <v>3.41</v>
      </c>
      <c r="G3691" s="93">
        <v>0</v>
      </c>
      <c r="H3691" s="93">
        <v>0</v>
      </c>
      <c r="N3691" s="88"/>
      <c r="O3691" s="88"/>
      <c r="P3691" s="88"/>
    </row>
    <row r="3692" spans="1:16">
      <c r="A3692" s="94">
        <v>89741</v>
      </c>
      <c r="B3692" s="87" t="s">
        <v>355</v>
      </c>
      <c r="C3692" s="12" t="s">
        <v>4</v>
      </c>
      <c r="D3692" s="93">
        <v>14.31</v>
      </c>
      <c r="E3692" s="93">
        <v>1.58</v>
      </c>
      <c r="F3692" s="93">
        <v>12.73</v>
      </c>
      <c r="G3692" s="93">
        <v>0</v>
      </c>
      <c r="H3692" s="93">
        <v>0</v>
      </c>
      <c r="N3692" s="88"/>
      <c r="O3692" s="88"/>
      <c r="P3692" s="88"/>
    </row>
    <row r="3693" spans="1:16">
      <c r="A3693" s="94">
        <v>89742</v>
      </c>
      <c r="B3693" s="87" t="s">
        <v>3211</v>
      </c>
      <c r="C3693" s="12" t="s">
        <v>4</v>
      </c>
      <c r="D3693" s="93">
        <v>23.1</v>
      </c>
      <c r="E3693" s="93">
        <v>5.53</v>
      </c>
      <c r="F3693" s="93">
        <v>17.57</v>
      </c>
      <c r="G3693" s="93">
        <v>0</v>
      </c>
      <c r="H3693" s="93">
        <v>0</v>
      </c>
      <c r="N3693" s="88"/>
      <c r="O3693" s="88"/>
      <c r="P3693" s="88"/>
    </row>
    <row r="3694" spans="1:16">
      <c r="A3694" s="94">
        <v>89743</v>
      </c>
      <c r="B3694" s="87" t="s">
        <v>3212</v>
      </c>
      <c r="C3694" s="12" t="s">
        <v>4</v>
      </c>
      <c r="D3694" s="93">
        <v>31.67</v>
      </c>
      <c r="E3694" s="93">
        <v>5.53</v>
      </c>
      <c r="F3694" s="93">
        <v>26.14</v>
      </c>
      <c r="G3694" s="93">
        <v>0</v>
      </c>
      <c r="H3694" s="93">
        <v>0</v>
      </c>
      <c r="N3694" s="88"/>
      <c r="O3694" s="88"/>
      <c r="P3694" s="88"/>
    </row>
    <row r="3695" spans="1:16">
      <c r="A3695" s="94">
        <v>89744</v>
      </c>
      <c r="B3695" s="87" t="s">
        <v>3213</v>
      </c>
      <c r="C3695" s="12" t="s">
        <v>4</v>
      </c>
      <c r="D3695" s="93">
        <v>18.97</v>
      </c>
      <c r="E3695" s="93">
        <v>7.29</v>
      </c>
      <c r="F3695" s="93">
        <v>11.68</v>
      </c>
      <c r="G3695" s="93">
        <v>0</v>
      </c>
      <c r="H3695" s="93">
        <v>0</v>
      </c>
      <c r="N3695" s="88"/>
      <c r="O3695" s="88"/>
      <c r="P3695" s="88"/>
    </row>
    <row r="3696" spans="1:16">
      <c r="A3696" s="94">
        <v>89745</v>
      </c>
      <c r="B3696" s="87" t="s">
        <v>3214</v>
      </c>
      <c r="C3696" s="12" t="s">
        <v>4</v>
      </c>
      <c r="D3696" s="93">
        <v>22.51</v>
      </c>
      <c r="E3696" s="93">
        <v>1.58</v>
      </c>
      <c r="F3696" s="93">
        <v>20.93</v>
      </c>
      <c r="G3696" s="93">
        <v>0</v>
      </c>
      <c r="H3696" s="93">
        <v>0</v>
      </c>
      <c r="N3696" s="88"/>
      <c r="O3696" s="88"/>
      <c r="P3696" s="88"/>
    </row>
    <row r="3697" spans="1:16">
      <c r="A3697" s="94">
        <v>89746</v>
      </c>
      <c r="B3697" s="87" t="s">
        <v>3215</v>
      </c>
      <c r="C3697" s="12" t="s">
        <v>4</v>
      </c>
      <c r="D3697" s="93">
        <v>18.93</v>
      </c>
      <c r="E3697" s="93">
        <v>7.29</v>
      </c>
      <c r="F3697" s="93">
        <v>11.64</v>
      </c>
      <c r="G3697" s="93">
        <v>0</v>
      </c>
      <c r="H3697" s="93">
        <v>0</v>
      </c>
      <c r="N3697" s="88"/>
      <c r="O3697" s="88"/>
      <c r="P3697" s="88"/>
    </row>
    <row r="3698" spans="1:16">
      <c r="A3698" s="94">
        <v>89747</v>
      </c>
      <c r="B3698" s="87" t="s">
        <v>356</v>
      </c>
      <c r="C3698" s="12" t="s">
        <v>4</v>
      </c>
      <c r="D3698" s="93">
        <v>8.77</v>
      </c>
      <c r="E3698" s="93">
        <v>1.59</v>
      </c>
      <c r="F3698" s="93">
        <v>7.18</v>
      </c>
      <c r="G3698" s="93">
        <v>0</v>
      </c>
      <c r="H3698" s="93">
        <v>0</v>
      </c>
      <c r="N3698" s="88"/>
      <c r="O3698" s="88"/>
      <c r="P3698" s="88"/>
    </row>
    <row r="3699" spans="1:16">
      <c r="A3699" s="94">
        <v>89748</v>
      </c>
      <c r="B3699" s="87" t="s">
        <v>3216</v>
      </c>
      <c r="C3699" s="12" t="s">
        <v>4</v>
      </c>
      <c r="D3699" s="93">
        <v>28.26</v>
      </c>
      <c r="E3699" s="93">
        <v>7.28</v>
      </c>
      <c r="F3699" s="93">
        <v>20.98</v>
      </c>
      <c r="G3699" s="93">
        <v>0</v>
      </c>
      <c r="H3699" s="93">
        <v>0</v>
      </c>
      <c r="N3699" s="88"/>
      <c r="O3699" s="88"/>
      <c r="P3699" s="88"/>
    </row>
    <row r="3700" spans="1:16">
      <c r="A3700" s="94">
        <v>89749</v>
      </c>
      <c r="B3700" s="87" t="s">
        <v>357</v>
      </c>
      <c r="C3700" s="12" t="s">
        <v>4</v>
      </c>
      <c r="D3700" s="93">
        <v>10.48</v>
      </c>
      <c r="E3700" s="93">
        <v>1.59</v>
      </c>
      <c r="F3700" s="93">
        <v>8.89</v>
      </c>
      <c r="G3700" s="93">
        <v>0</v>
      </c>
      <c r="H3700" s="93">
        <v>0</v>
      </c>
      <c r="N3700" s="88"/>
      <c r="O3700" s="88"/>
      <c r="P3700" s="88"/>
    </row>
    <row r="3701" spans="1:16">
      <c r="A3701" s="94">
        <v>89750</v>
      </c>
      <c r="B3701" s="87" t="s">
        <v>3217</v>
      </c>
      <c r="C3701" s="12" t="s">
        <v>4</v>
      </c>
      <c r="D3701" s="93">
        <v>44.74</v>
      </c>
      <c r="E3701" s="93">
        <v>7.27</v>
      </c>
      <c r="F3701" s="93">
        <v>37.47</v>
      </c>
      <c r="G3701" s="93">
        <v>0</v>
      </c>
      <c r="H3701" s="93">
        <v>0</v>
      </c>
      <c r="N3701" s="88"/>
      <c r="O3701" s="88"/>
      <c r="P3701" s="88"/>
    </row>
    <row r="3702" spans="1:16">
      <c r="A3702" s="94">
        <v>89751</v>
      </c>
      <c r="B3702" s="87" t="s">
        <v>3218</v>
      </c>
      <c r="C3702" s="12" t="s">
        <v>4</v>
      </c>
      <c r="D3702" s="93">
        <v>4.26</v>
      </c>
      <c r="E3702" s="93">
        <v>1.6</v>
      </c>
      <c r="F3702" s="93">
        <v>2.66</v>
      </c>
      <c r="G3702" s="93">
        <v>0</v>
      </c>
      <c r="H3702" s="93">
        <v>0</v>
      </c>
      <c r="N3702" s="88"/>
      <c r="O3702" s="88"/>
      <c r="P3702" s="88"/>
    </row>
    <row r="3703" spans="1:16">
      <c r="A3703" s="94">
        <v>89752</v>
      </c>
      <c r="B3703" s="87" t="s">
        <v>3219</v>
      </c>
      <c r="C3703" s="12" t="s">
        <v>4</v>
      </c>
      <c r="D3703" s="93">
        <v>4.9000000000000004</v>
      </c>
      <c r="E3703" s="93">
        <v>2.06</v>
      </c>
      <c r="F3703" s="93">
        <v>2.84</v>
      </c>
      <c r="G3703" s="93">
        <v>0</v>
      </c>
      <c r="H3703" s="93">
        <v>0</v>
      </c>
      <c r="N3703" s="88"/>
      <c r="O3703" s="88"/>
      <c r="P3703" s="88"/>
    </row>
    <row r="3704" spans="1:16">
      <c r="A3704" s="94">
        <v>89753</v>
      </c>
      <c r="B3704" s="87" t="s">
        <v>3220</v>
      </c>
      <c r="C3704" s="12" t="s">
        <v>4</v>
      </c>
      <c r="D3704" s="93">
        <v>7.05</v>
      </c>
      <c r="E3704" s="93">
        <v>2.33</v>
      </c>
      <c r="F3704" s="93">
        <v>4.72</v>
      </c>
      <c r="G3704" s="93">
        <v>0</v>
      </c>
      <c r="H3704" s="93">
        <v>0</v>
      </c>
      <c r="N3704" s="88"/>
      <c r="O3704" s="88"/>
      <c r="P3704" s="88"/>
    </row>
    <row r="3705" spans="1:16">
      <c r="A3705" s="94">
        <v>89754</v>
      </c>
      <c r="B3705" s="87" t="s">
        <v>3221</v>
      </c>
      <c r="C3705" s="12" t="s">
        <v>4</v>
      </c>
      <c r="D3705" s="93">
        <v>12.05</v>
      </c>
      <c r="E3705" s="93">
        <v>2.3199999999999998</v>
      </c>
      <c r="F3705" s="93">
        <v>9.73</v>
      </c>
      <c r="G3705" s="93">
        <v>0</v>
      </c>
      <c r="H3705" s="93">
        <v>0</v>
      </c>
      <c r="N3705" s="88"/>
      <c r="O3705" s="88"/>
      <c r="P3705" s="88"/>
    </row>
    <row r="3706" spans="1:16">
      <c r="A3706" s="94">
        <v>89755</v>
      </c>
      <c r="B3706" s="87" t="s">
        <v>3222</v>
      </c>
      <c r="C3706" s="12" t="s">
        <v>4</v>
      </c>
      <c r="D3706" s="93">
        <v>8.39</v>
      </c>
      <c r="E3706" s="93">
        <v>1.88</v>
      </c>
      <c r="F3706" s="93">
        <v>6.51</v>
      </c>
      <c r="G3706" s="93">
        <v>0</v>
      </c>
      <c r="H3706" s="93">
        <v>0</v>
      </c>
      <c r="N3706" s="88"/>
      <c r="O3706" s="88"/>
      <c r="P3706" s="88"/>
    </row>
    <row r="3707" spans="1:16">
      <c r="A3707" s="94">
        <v>89756</v>
      </c>
      <c r="B3707" s="87" t="s">
        <v>3223</v>
      </c>
      <c r="C3707" s="12" t="s">
        <v>4</v>
      </c>
      <c r="D3707" s="93">
        <v>14.15</v>
      </c>
      <c r="E3707" s="93">
        <v>1.87</v>
      </c>
      <c r="F3707" s="93">
        <v>12.28</v>
      </c>
      <c r="G3707" s="93">
        <v>0</v>
      </c>
      <c r="H3707" s="93">
        <v>0</v>
      </c>
      <c r="N3707" s="88"/>
      <c r="O3707" s="88"/>
      <c r="P3707" s="88"/>
    </row>
    <row r="3708" spans="1:16">
      <c r="A3708" s="94">
        <v>89757</v>
      </c>
      <c r="B3708" s="87" t="s">
        <v>358</v>
      </c>
      <c r="C3708" s="12" t="s">
        <v>4</v>
      </c>
      <c r="D3708" s="93">
        <v>21.5</v>
      </c>
      <c r="E3708" s="93">
        <v>1.87</v>
      </c>
      <c r="F3708" s="93">
        <v>19.63</v>
      </c>
      <c r="G3708" s="93">
        <v>0</v>
      </c>
      <c r="H3708" s="93">
        <v>0</v>
      </c>
      <c r="N3708" s="88"/>
      <c r="O3708" s="88"/>
      <c r="P3708" s="88"/>
    </row>
    <row r="3709" spans="1:16">
      <c r="A3709" s="94">
        <v>89758</v>
      </c>
      <c r="B3709" s="87" t="s">
        <v>3224</v>
      </c>
      <c r="C3709" s="12" t="s">
        <v>4</v>
      </c>
      <c r="D3709" s="93">
        <v>33.479999999999997</v>
      </c>
      <c r="E3709" s="93">
        <v>1.87</v>
      </c>
      <c r="F3709" s="93">
        <v>31.61</v>
      </c>
      <c r="G3709" s="93">
        <v>0</v>
      </c>
      <c r="H3709" s="93">
        <v>0</v>
      </c>
      <c r="N3709" s="88"/>
      <c r="O3709" s="88"/>
      <c r="P3709" s="88"/>
    </row>
    <row r="3710" spans="1:16">
      <c r="A3710" s="94">
        <v>89759</v>
      </c>
      <c r="B3710" s="87" t="s">
        <v>3225</v>
      </c>
      <c r="C3710" s="12" t="s">
        <v>4</v>
      </c>
      <c r="D3710" s="93">
        <v>5.83</v>
      </c>
      <c r="E3710" s="93">
        <v>1.89</v>
      </c>
      <c r="F3710" s="93">
        <v>3.94</v>
      </c>
      <c r="G3710" s="93">
        <v>0</v>
      </c>
      <c r="H3710" s="93">
        <v>0</v>
      </c>
      <c r="N3710" s="88"/>
      <c r="O3710" s="88"/>
      <c r="P3710" s="88"/>
    </row>
    <row r="3711" spans="1:16">
      <c r="A3711" s="94">
        <v>89760</v>
      </c>
      <c r="B3711" s="87" t="s">
        <v>3226</v>
      </c>
      <c r="C3711" s="12" t="s">
        <v>4</v>
      </c>
      <c r="D3711" s="93">
        <v>13.6</v>
      </c>
      <c r="E3711" s="93">
        <v>2.2000000000000002</v>
      </c>
      <c r="F3711" s="93">
        <v>11.4</v>
      </c>
      <c r="G3711" s="93">
        <v>0</v>
      </c>
      <c r="H3711" s="93">
        <v>0</v>
      </c>
      <c r="N3711" s="88"/>
      <c r="O3711" s="88"/>
      <c r="P3711" s="88"/>
    </row>
    <row r="3712" spans="1:16">
      <c r="A3712" s="94">
        <v>89761</v>
      </c>
      <c r="B3712" s="87" t="s">
        <v>3227</v>
      </c>
      <c r="C3712" s="12" t="s">
        <v>4</v>
      </c>
      <c r="D3712" s="93">
        <v>22.21</v>
      </c>
      <c r="E3712" s="93">
        <v>2.2000000000000002</v>
      </c>
      <c r="F3712" s="93">
        <v>20.010000000000002</v>
      </c>
      <c r="G3712" s="93">
        <v>0</v>
      </c>
      <c r="H3712" s="93">
        <v>0</v>
      </c>
      <c r="N3712" s="88"/>
      <c r="O3712" s="88"/>
      <c r="P3712" s="88"/>
    </row>
    <row r="3713" spans="1:16">
      <c r="A3713" s="94">
        <v>89762</v>
      </c>
      <c r="B3713" s="87" t="s">
        <v>3228</v>
      </c>
      <c r="C3713" s="12" t="s">
        <v>4</v>
      </c>
      <c r="D3713" s="93">
        <v>31.45</v>
      </c>
      <c r="E3713" s="93">
        <v>2.2000000000000002</v>
      </c>
      <c r="F3713" s="93">
        <v>29.25</v>
      </c>
      <c r="G3713" s="93">
        <v>0</v>
      </c>
      <c r="H3713" s="93">
        <v>0</v>
      </c>
      <c r="N3713" s="88"/>
      <c r="O3713" s="88"/>
      <c r="P3713" s="88"/>
    </row>
    <row r="3714" spans="1:16">
      <c r="A3714" s="94">
        <v>89763</v>
      </c>
      <c r="B3714" s="87" t="s">
        <v>3229</v>
      </c>
      <c r="C3714" s="12" t="s">
        <v>4</v>
      </c>
      <c r="D3714" s="93">
        <v>122.85</v>
      </c>
      <c r="E3714" s="93">
        <v>2.2000000000000002</v>
      </c>
      <c r="F3714" s="93">
        <v>120.65</v>
      </c>
      <c r="G3714" s="93">
        <v>0</v>
      </c>
      <c r="H3714" s="93">
        <v>0</v>
      </c>
      <c r="N3714" s="88"/>
      <c r="O3714" s="88"/>
      <c r="P3714" s="88"/>
    </row>
    <row r="3715" spans="1:16">
      <c r="A3715" s="94">
        <v>89764</v>
      </c>
      <c r="B3715" s="87" t="s">
        <v>359</v>
      </c>
      <c r="C3715" s="12" t="s">
        <v>4</v>
      </c>
      <c r="D3715" s="93">
        <v>24.06</v>
      </c>
      <c r="E3715" s="93">
        <v>2.2000000000000002</v>
      </c>
      <c r="F3715" s="93">
        <v>21.86</v>
      </c>
      <c r="G3715" s="93">
        <v>0</v>
      </c>
      <c r="H3715" s="93">
        <v>0</v>
      </c>
      <c r="N3715" s="88"/>
      <c r="O3715" s="88"/>
      <c r="P3715" s="88"/>
    </row>
    <row r="3716" spans="1:16">
      <c r="A3716" s="94">
        <v>89765</v>
      </c>
      <c r="B3716" s="87" t="s">
        <v>3230</v>
      </c>
      <c r="C3716" s="12" t="s">
        <v>4</v>
      </c>
      <c r="D3716" s="93">
        <v>10.44</v>
      </c>
      <c r="E3716" s="93">
        <v>3.2</v>
      </c>
      <c r="F3716" s="93">
        <v>7.24</v>
      </c>
      <c r="G3716" s="93">
        <v>0</v>
      </c>
      <c r="H3716" s="93">
        <v>0</v>
      </c>
      <c r="N3716" s="88"/>
      <c r="O3716" s="88"/>
      <c r="P3716" s="88"/>
    </row>
    <row r="3717" spans="1:16">
      <c r="A3717" s="94">
        <v>89766</v>
      </c>
      <c r="B3717" s="87" t="s">
        <v>360</v>
      </c>
      <c r="C3717" s="12" t="s">
        <v>4</v>
      </c>
      <c r="D3717" s="93">
        <v>15.27</v>
      </c>
      <c r="E3717" s="93">
        <v>3.2</v>
      </c>
      <c r="F3717" s="93">
        <v>12.07</v>
      </c>
      <c r="G3717" s="93">
        <v>0</v>
      </c>
      <c r="H3717" s="93">
        <v>0</v>
      </c>
      <c r="N3717" s="88"/>
      <c r="O3717" s="88"/>
      <c r="P3717" s="88"/>
    </row>
    <row r="3718" spans="1:16">
      <c r="A3718" s="94">
        <v>89767</v>
      </c>
      <c r="B3718" s="87" t="s">
        <v>3231</v>
      </c>
      <c r="C3718" s="12" t="s">
        <v>4</v>
      </c>
      <c r="D3718" s="93">
        <v>15.27</v>
      </c>
      <c r="E3718" s="93">
        <v>3.2</v>
      </c>
      <c r="F3718" s="93">
        <v>12.07</v>
      </c>
      <c r="G3718" s="93">
        <v>0</v>
      </c>
      <c r="H3718" s="93">
        <v>0</v>
      </c>
      <c r="N3718" s="88"/>
      <c r="O3718" s="88"/>
      <c r="P3718" s="88"/>
    </row>
    <row r="3719" spans="1:16">
      <c r="A3719" s="94">
        <v>89768</v>
      </c>
      <c r="B3719" s="87" t="s">
        <v>3232</v>
      </c>
      <c r="C3719" s="12" t="s">
        <v>4</v>
      </c>
      <c r="D3719" s="93">
        <v>15.45</v>
      </c>
      <c r="E3719" s="93">
        <v>3.75</v>
      </c>
      <c r="F3719" s="93">
        <v>11.7</v>
      </c>
      <c r="G3719" s="93">
        <v>0</v>
      </c>
      <c r="H3719" s="93">
        <v>0</v>
      </c>
      <c r="N3719" s="88"/>
      <c r="O3719" s="88"/>
      <c r="P3719" s="88"/>
    </row>
    <row r="3720" spans="1:16">
      <c r="A3720" s="94">
        <v>89769</v>
      </c>
      <c r="B3720" s="87" t="s">
        <v>361</v>
      </c>
      <c r="C3720" s="12" t="s">
        <v>4</v>
      </c>
      <c r="D3720" s="93">
        <v>36.11</v>
      </c>
      <c r="E3720" s="93">
        <v>4.42</v>
      </c>
      <c r="F3720" s="93">
        <v>31.69</v>
      </c>
      <c r="G3720" s="93">
        <v>0</v>
      </c>
      <c r="H3720" s="93">
        <v>0</v>
      </c>
      <c r="N3720" s="88"/>
      <c r="O3720" s="88"/>
      <c r="P3720" s="88"/>
    </row>
    <row r="3721" spans="1:16">
      <c r="A3721" s="94">
        <v>89772</v>
      </c>
      <c r="B3721" s="87" t="s">
        <v>3233</v>
      </c>
      <c r="C3721" s="12" t="s">
        <v>6</v>
      </c>
      <c r="D3721" s="93">
        <v>50.74</v>
      </c>
      <c r="E3721" s="93">
        <v>0.89</v>
      </c>
      <c r="F3721" s="93">
        <v>49.85</v>
      </c>
      <c r="G3721" s="93">
        <v>0</v>
      </c>
      <c r="H3721" s="93">
        <v>0</v>
      </c>
      <c r="N3721" s="88"/>
      <c r="O3721" s="88"/>
      <c r="P3721" s="88"/>
    </row>
    <row r="3722" spans="1:16">
      <c r="A3722" s="94">
        <v>89774</v>
      </c>
      <c r="B3722" s="87" t="s">
        <v>3234</v>
      </c>
      <c r="C3722" s="12" t="s">
        <v>4</v>
      </c>
      <c r="D3722" s="93">
        <v>11.58</v>
      </c>
      <c r="E3722" s="93">
        <v>3.78</v>
      </c>
      <c r="F3722" s="93">
        <v>7.8</v>
      </c>
      <c r="G3722" s="93">
        <v>0</v>
      </c>
      <c r="H3722" s="93">
        <v>0</v>
      </c>
      <c r="N3722" s="88"/>
      <c r="O3722" s="88"/>
      <c r="P3722" s="88"/>
    </row>
    <row r="3723" spans="1:16">
      <c r="A3723" s="94">
        <v>89776</v>
      </c>
      <c r="B3723" s="87" t="s">
        <v>3235</v>
      </c>
      <c r="C3723" s="12" t="s">
        <v>4</v>
      </c>
      <c r="D3723" s="93">
        <v>15.44</v>
      </c>
      <c r="E3723" s="93">
        <v>3.78</v>
      </c>
      <c r="F3723" s="93">
        <v>11.66</v>
      </c>
      <c r="G3723" s="93">
        <v>0</v>
      </c>
      <c r="H3723" s="93">
        <v>0</v>
      </c>
      <c r="N3723" s="88"/>
      <c r="O3723" s="88"/>
      <c r="P3723" s="88"/>
    </row>
    <row r="3724" spans="1:16">
      <c r="A3724" s="94">
        <v>89777</v>
      </c>
      <c r="B3724" s="87" t="s">
        <v>3236</v>
      </c>
      <c r="C3724" s="12" t="s">
        <v>4</v>
      </c>
      <c r="D3724" s="93">
        <v>18.600000000000001</v>
      </c>
      <c r="E3724" s="93">
        <v>2.29</v>
      </c>
      <c r="F3724" s="93">
        <v>16.309999999999999</v>
      </c>
      <c r="G3724" s="93">
        <v>0</v>
      </c>
      <c r="H3724" s="93">
        <v>0</v>
      </c>
      <c r="N3724" s="88"/>
      <c r="O3724" s="88"/>
      <c r="P3724" s="88"/>
    </row>
    <row r="3725" spans="1:16">
      <c r="A3725" s="94">
        <v>89778</v>
      </c>
      <c r="B3725" s="87" t="s">
        <v>3237</v>
      </c>
      <c r="C3725" s="12" t="s">
        <v>4</v>
      </c>
      <c r="D3725" s="93">
        <v>14.63</v>
      </c>
      <c r="E3725" s="93">
        <v>4.96</v>
      </c>
      <c r="F3725" s="93">
        <v>9.67</v>
      </c>
      <c r="G3725" s="93">
        <v>0</v>
      </c>
      <c r="H3725" s="93">
        <v>0</v>
      </c>
      <c r="N3725" s="88"/>
      <c r="O3725" s="88"/>
      <c r="P3725" s="88"/>
    </row>
    <row r="3726" spans="1:16">
      <c r="A3726" s="94">
        <v>89779</v>
      </c>
      <c r="B3726" s="87" t="s">
        <v>3238</v>
      </c>
      <c r="C3726" s="12" t="s">
        <v>4</v>
      </c>
      <c r="D3726" s="93">
        <v>21.79</v>
      </c>
      <c r="E3726" s="93">
        <v>4.95</v>
      </c>
      <c r="F3726" s="93">
        <v>16.84</v>
      </c>
      <c r="G3726" s="93">
        <v>0</v>
      </c>
      <c r="H3726" s="93">
        <v>0</v>
      </c>
      <c r="N3726" s="88"/>
      <c r="O3726" s="88"/>
      <c r="P3726" s="88"/>
    </row>
    <row r="3727" spans="1:16">
      <c r="A3727" s="94">
        <v>89780</v>
      </c>
      <c r="B3727" s="87" t="s">
        <v>362</v>
      </c>
      <c r="C3727" s="12" t="s">
        <v>4</v>
      </c>
      <c r="D3727" s="93">
        <v>18.600000000000001</v>
      </c>
      <c r="E3727" s="93">
        <v>2.29</v>
      </c>
      <c r="F3727" s="93">
        <v>16.309999999999999</v>
      </c>
      <c r="G3727" s="93">
        <v>0</v>
      </c>
      <c r="H3727" s="93">
        <v>0</v>
      </c>
      <c r="N3727" s="88"/>
      <c r="O3727" s="88"/>
      <c r="P3727" s="88"/>
    </row>
    <row r="3728" spans="1:16">
      <c r="A3728" s="94">
        <v>89781</v>
      </c>
      <c r="B3728" s="87" t="s">
        <v>3239</v>
      </c>
      <c r="C3728" s="12" t="s">
        <v>4</v>
      </c>
      <c r="D3728" s="93">
        <v>27.65</v>
      </c>
      <c r="E3728" s="93">
        <v>2.69</v>
      </c>
      <c r="F3728" s="93">
        <v>24.96</v>
      </c>
      <c r="G3728" s="93">
        <v>0</v>
      </c>
      <c r="H3728" s="93">
        <v>0</v>
      </c>
      <c r="N3728" s="88"/>
      <c r="O3728" s="88"/>
      <c r="P3728" s="88"/>
    </row>
    <row r="3729" spans="1:16">
      <c r="A3729" s="94">
        <v>89782</v>
      </c>
      <c r="B3729" s="87" t="s">
        <v>3240</v>
      </c>
      <c r="C3729" s="12" t="s">
        <v>4</v>
      </c>
      <c r="D3729" s="93">
        <v>9.3000000000000007</v>
      </c>
      <c r="E3729" s="93">
        <v>4.0999999999999996</v>
      </c>
      <c r="F3729" s="93">
        <v>5.2</v>
      </c>
      <c r="G3729" s="93">
        <v>0</v>
      </c>
      <c r="H3729" s="93">
        <v>0</v>
      </c>
      <c r="N3729" s="88"/>
      <c r="O3729" s="88"/>
      <c r="P3729" s="88"/>
    </row>
    <row r="3730" spans="1:16">
      <c r="A3730" s="94">
        <v>89783</v>
      </c>
      <c r="B3730" s="87" t="s">
        <v>3241</v>
      </c>
      <c r="C3730" s="12" t="s">
        <v>4</v>
      </c>
      <c r="D3730" s="93">
        <v>9.48</v>
      </c>
      <c r="E3730" s="93">
        <v>4.0999999999999996</v>
      </c>
      <c r="F3730" s="93">
        <v>5.38</v>
      </c>
      <c r="G3730" s="93">
        <v>0</v>
      </c>
      <c r="H3730" s="93">
        <v>0</v>
      </c>
      <c r="N3730" s="88"/>
      <c r="O3730" s="88"/>
      <c r="P3730" s="88"/>
    </row>
    <row r="3731" spans="1:16">
      <c r="A3731" s="94">
        <v>89784</v>
      </c>
      <c r="B3731" s="87" t="s">
        <v>3242</v>
      </c>
      <c r="C3731" s="12" t="s">
        <v>4</v>
      </c>
      <c r="D3731" s="93">
        <v>15.39</v>
      </c>
      <c r="E3731" s="93">
        <v>4.96</v>
      </c>
      <c r="F3731" s="93">
        <v>10.43</v>
      </c>
      <c r="G3731" s="93">
        <v>0</v>
      </c>
      <c r="H3731" s="93">
        <v>0</v>
      </c>
      <c r="N3731" s="88"/>
      <c r="O3731" s="88"/>
      <c r="P3731" s="88"/>
    </row>
    <row r="3732" spans="1:16">
      <c r="A3732" s="94">
        <v>89785</v>
      </c>
      <c r="B3732" s="87" t="s">
        <v>3243</v>
      </c>
      <c r="C3732" s="12" t="s">
        <v>4</v>
      </c>
      <c r="D3732" s="93">
        <v>16.579999999999998</v>
      </c>
      <c r="E3732" s="93">
        <v>4.96</v>
      </c>
      <c r="F3732" s="93">
        <v>11.62</v>
      </c>
      <c r="G3732" s="93">
        <v>0</v>
      </c>
      <c r="H3732" s="93">
        <v>0</v>
      </c>
      <c r="N3732" s="88"/>
      <c r="O3732" s="88"/>
      <c r="P3732" s="88"/>
    </row>
    <row r="3733" spans="1:16">
      <c r="A3733" s="94">
        <v>89786</v>
      </c>
      <c r="B3733" s="87" t="s">
        <v>3244</v>
      </c>
      <c r="C3733" s="12" t="s">
        <v>4</v>
      </c>
      <c r="D3733" s="93">
        <v>25.01</v>
      </c>
      <c r="E3733" s="93">
        <v>7.28</v>
      </c>
      <c r="F3733" s="93">
        <v>17.73</v>
      </c>
      <c r="G3733" s="93">
        <v>0</v>
      </c>
      <c r="H3733" s="93">
        <v>0</v>
      </c>
      <c r="N3733" s="88"/>
      <c r="O3733" s="88"/>
      <c r="P3733" s="88"/>
    </row>
    <row r="3734" spans="1:16">
      <c r="A3734" s="94">
        <v>89787</v>
      </c>
      <c r="B3734" s="87" t="s">
        <v>3245</v>
      </c>
      <c r="C3734" s="12" t="s">
        <v>4</v>
      </c>
      <c r="D3734" s="93">
        <v>27.65</v>
      </c>
      <c r="E3734" s="93">
        <v>2.69</v>
      </c>
      <c r="F3734" s="93">
        <v>24.96</v>
      </c>
      <c r="G3734" s="93">
        <v>0</v>
      </c>
      <c r="H3734" s="93">
        <v>0</v>
      </c>
      <c r="N3734" s="88"/>
      <c r="O3734" s="88"/>
      <c r="P3734" s="88"/>
    </row>
    <row r="3735" spans="1:16">
      <c r="A3735" s="94">
        <v>89788</v>
      </c>
      <c r="B3735" s="87" t="s">
        <v>3246</v>
      </c>
      <c r="C3735" s="12" t="s">
        <v>4</v>
      </c>
      <c r="D3735" s="93">
        <v>53.96</v>
      </c>
      <c r="E3735" s="93">
        <v>3.36</v>
      </c>
      <c r="F3735" s="93">
        <v>50.6</v>
      </c>
      <c r="G3735" s="93">
        <v>0</v>
      </c>
      <c r="H3735" s="93">
        <v>0</v>
      </c>
      <c r="N3735" s="88"/>
      <c r="O3735" s="88"/>
      <c r="P3735" s="88"/>
    </row>
    <row r="3736" spans="1:16">
      <c r="A3736" s="94">
        <v>89789</v>
      </c>
      <c r="B3736" s="87" t="s">
        <v>3247</v>
      </c>
      <c r="C3736" s="12" t="s">
        <v>4</v>
      </c>
      <c r="D3736" s="93">
        <v>54.81</v>
      </c>
      <c r="E3736" s="93">
        <v>3.36</v>
      </c>
      <c r="F3736" s="93">
        <v>51.45</v>
      </c>
      <c r="G3736" s="93">
        <v>0</v>
      </c>
      <c r="H3736" s="93">
        <v>0</v>
      </c>
      <c r="N3736" s="88"/>
      <c r="O3736" s="88"/>
      <c r="P3736" s="88"/>
    </row>
    <row r="3737" spans="1:16">
      <c r="A3737" s="94">
        <v>89790</v>
      </c>
      <c r="B3737" s="87" t="s">
        <v>3248</v>
      </c>
      <c r="C3737" s="12" t="s">
        <v>4</v>
      </c>
      <c r="D3737" s="93">
        <v>133.30000000000001</v>
      </c>
      <c r="E3737" s="93">
        <v>4.45</v>
      </c>
      <c r="F3737" s="93">
        <v>128.85</v>
      </c>
      <c r="G3737" s="93">
        <v>0</v>
      </c>
      <c r="H3737" s="93">
        <v>0</v>
      </c>
      <c r="N3737" s="88"/>
      <c r="O3737" s="88"/>
      <c r="P3737" s="88"/>
    </row>
    <row r="3738" spans="1:16">
      <c r="A3738" s="94">
        <v>89791</v>
      </c>
      <c r="B3738" s="87" t="s">
        <v>3249</v>
      </c>
      <c r="C3738" s="12" t="s">
        <v>4</v>
      </c>
      <c r="D3738" s="93">
        <v>136.41999999999999</v>
      </c>
      <c r="E3738" s="93">
        <v>4.45</v>
      </c>
      <c r="F3738" s="93">
        <v>131.97</v>
      </c>
      <c r="G3738" s="93">
        <v>0</v>
      </c>
      <c r="H3738" s="93">
        <v>0</v>
      </c>
      <c r="N3738" s="88"/>
      <c r="O3738" s="88"/>
      <c r="P3738" s="88"/>
    </row>
    <row r="3739" spans="1:16">
      <c r="A3739" s="94">
        <v>89792</v>
      </c>
      <c r="B3739" s="87" t="s">
        <v>3250</v>
      </c>
      <c r="C3739" s="12" t="s">
        <v>4</v>
      </c>
      <c r="D3739" s="93">
        <v>156.6</v>
      </c>
      <c r="E3739" s="93">
        <v>5.34</v>
      </c>
      <c r="F3739" s="93">
        <v>151.26</v>
      </c>
      <c r="G3739" s="93">
        <v>0</v>
      </c>
      <c r="H3739" s="93">
        <v>0</v>
      </c>
      <c r="N3739" s="88"/>
      <c r="O3739" s="88"/>
      <c r="P3739" s="88"/>
    </row>
    <row r="3740" spans="1:16">
      <c r="A3740" s="94">
        <v>89793</v>
      </c>
      <c r="B3740" s="87" t="s">
        <v>3251</v>
      </c>
      <c r="C3740" s="12" t="s">
        <v>4</v>
      </c>
      <c r="D3740" s="93">
        <v>160.81</v>
      </c>
      <c r="E3740" s="93">
        <v>5.34</v>
      </c>
      <c r="F3740" s="93">
        <v>155.47</v>
      </c>
      <c r="G3740" s="93">
        <v>0</v>
      </c>
      <c r="H3740" s="93">
        <v>0</v>
      </c>
      <c r="N3740" s="88"/>
      <c r="O3740" s="88"/>
      <c r="P3740" s="88"/>
    </row>
    <row r="3741" spans="1:16">
      <c r="A3741" s="94">
        <v>89794</v>
      </c>
      <c r="B3741" s="87" t="s">
        <v>3252</v>
      </c>
      <c r="C3741" s="12" t="s">
        <v>4</v>
      </c>
      <c r="D3741" s="93">
        <v>12.74</v>
      </c>
      <c r="E3741" s="93">
        <v>1.53</v>
      </c>
      <c r="F3741" s="93">
        <v>11.21</v>
      </c>
      <c r="G3741" s="93">
        <v>0</v>
      </c>
      <c r="H3741" s="93">
        <v>0</v>
      </c>
      <c r="N3741" s="88"/>
      <c r="O3741" s="88"/>
      <c r="P3741" s="88"/>
    </row>
    <row r="3742" spans="1:16">
      <c r="A3742" s="94">
        <v>89795</v>
      </c>
      <c r="B3742" s="87" t="s">
        <v>3253</v>
      </c>
      <c r="C3742" s="12" t="s">
        <v>4</v>
      </c>
      <c r="D3742" s="93">
        <v>26.64</v>
      </c>
      <c r="E3742" s="93">
        <v>7.28</v>
      </c>
      <c r="F3742" s="93">
        <v>19.36</v>
      </c>
      <c r="G3742" s="93">
        <v>0</v>
      </c>
      <c r="H3742" s="93">
        <v>0</v>
      </c>
      <c r="N3742" s="88"/>
      <c r="O3742" s="88"/>
      <c r="P3742" s="88"/>
    </row>
    <row r="3743" spans="1:16">
      <c r="A3743" s="94">
        <v>89796</v>
      </c>
      <c r="B3743" s="87" t="s">
        <v>3254</v>
      </c>
      <c r="C3743" s="12" t="s">
        <v>4</v>
      </c>
      <c r="D3743" s="93">
        <v>31.14</v>
      </c>
      <c r="E3743" s="93">
        <v>9.61</v>
      </c>
      <c r="F3743" s="93">
        <v>21.53</v>
      </c>
      <c r="G3743" s="93">
        <v>0</v>
      </c>
      <c r="H3743" s="93">
        <v>0</v>
      </c>
      <c r="N3743" s="88"/>
      <c r="O3743" s="88"/>
      <c r="P3743" s="88"/>
    </row>
    <row r="3744" spans="1:16">
      <c r="A3744" s="94">
        <v>89797</v>
      </c>
      <c r="B3744" s="87" t="s">
        <v>3255</v>
      </c>
      <c r="C3744" s="12" t="s">
        <v>4</v>
      </c>
      <c r="D3744" s="93">
        <v>34.979999999999997</v>
      </c>
      <c r="E3744" s="93">
        <v>9.61</v>
      </c>
      <c r="F3744" s="93">
        <v>25.37</v>
      </c>
      <c r="G3744" s="93">
        <v>0</v>
      </c>
      <c r="H3744" s="93">
        <v>0</v>
      </c>
      <c r="N3744" s="88"/>
      <c r="O3744" s="88"/>
      <c r="P3744" s="88"/>
    </row>
    <row r="3745" spans="1:16">
      <c r="A3745" s="94">
        <v>89801</v>
      </c>
      <c r="B3745" s="87" t="s">
        <v>3256</v>
      </c>
      <c r="C3745" s="12" t="s">
        <v>4</v>
      </c>
      <c r="D3745" s="93">
        <v>5.29</v>
      </c>
      <c r="E3745" s="93">
        <v>1.1399999999999999</v>
      </c>
      <c r="F3745" s="93">
        <v>4.1500000000000004</v>
      </c>
      <c r="G3745" s="93">
        <v>0</v>
      </c>
      <c r="H3745" s="93">
        <v>0</v>
      </c>
      <c r="N3745" s="88"/>
      <c r="O3745" s="88"/>
      <c r="P3745" s="88"/>
    </row>
    <row r="3746" spans="1:16">
      <c r="A3746" s="94">
        <v>89802</v>
      </c>
      <c r="B3746" s="87" t="s">
        <v>3257</v>
      </c>
      <c r="C3746" s="12" t="s">
        <v>4</v>
      </c>
      <c r="D3746" s="93">
        <v>5.71</v>
      </c>
      <c r="E3746" s="93">
        <v>1.1399999999999999</v>
      </c>
      <c r="F3746" s="93">
        <v>4.57</v>
      </c>
      <c r="G3746" s="93">
        <v>0</v>
      </c>
      <c r="H3746" s="93">
        <v>0</v>
      </c>
      <c r="N3746" s="88"/>
      <c r="O3746" s="88"/>
      <c r="P3746" s="88"/>
    </row>
    <row r="3747" spans="1:16">
      <c r="A3747" s="94">
        <v>89803</v>
      </c>
      <c r="B3747" s="87" t="s">
        <v>3258</v>
      </c>
      <c r="C3747" s="12" t="s">
        <v>4</v>
      </c>
      <c r="D3747" s="93">
        <v>10.220000000000001</v>
      </c>
      <c r="E3747" s="93">
        <v>1.1399999999999999</v>
      </c>
      <c r="F3747" s="93">
        <v>9.08</v>
      </c>
      <c r="G3747" s="93">
        <v>0</v>
      </c>
      <c r="H3747" s="93">
        <v>0</v>
      </c>
      <c r="N3747" s="88"/>
      <c r="O3747" s="88"/>
      <c r="P3747" s="88"/>
    </row>
    <row r="3748" spans="1:16">
      <c r="A3748" s="94">
        <v>89804</v>
      </c>
      <c r="B3748" s="87" t="s">
        <v>3259</v>
      </c>
      <c r="C3748" s="12" t="s">
        <v>4</v>
      </c>
      <c r="D3748" s="93">
        <v>10.91</v>
      </c>
      <c r="E3748" s="93">
        <v>1.1399999999999999</v>
      </c>
      <c r="F3748" s="93">
        <v>9.77</v>
      </c>
      <c r="G3748" s="93">
        <v>0</v>
      </c>
      <c r="H3748" s="93">
        <v>0</v>
      </c>
      <c r="N3748" s="88"/>
      <c r="O3748" s="88"/>
      <c r="P3748" s="88"/>
    </row>
    <row r="3749" spans="1:16">
      <c r="A3749" s="94">
        <v>89805</v>
      </c>
      <c r="B3749" s="87" t="s">
        <v>3260</v>
      </c>
      <c r="C3749" s="12" t="s">
        <v>4</v>
      </c>
      <c r="D3749" s="93">
        <v>10.43</v>
      </c>
      <c r="E3749" s="93">
        <v>2.3199999999999998</v>
      </c>
      <c r="F3749" s="93">
        <v>8.11</v>
      </c>
      <c r="G3749" s="93">
        <v>0</v>
      </c>
      <c r="H3749" s="93">
        <v>0</v>
      </c>
      <c r="N3749" s="88"/>
      <c r="O3749" s="88"/>
      <c r="P3749" s="88"/>
    </row>
    <row r="3750" spans="1:16">
      <c r="A3750" s="94">
        <v>89806</v>
      </c>
      <c r="B3750" s="87" t="s">
        <v>3261</v>
      </c>
      <c r="C3750" s="12" t="s">
        <v>4</v>
      </c>
      <c r="D3750" s="93">
        <v>11.03</v>
      </c>
      <c r="E3750" s="93">
        <v>2.3199999999999998</v>
      </c>
      <c r="F3750" s="93">
        <v>8.7100000000000009</v>
      </c>
      <c r="G3750" s="93">
        <v>0</v>
      </c>
      <c r="H3750" s="93">
        <v>0</v>
      </c>
      <c r="N3750" s="88"/>
      <c r="O3750" s="88"/>
      <c r="P3750" s="88"/>
    </row>
    <row r="3751" spans="1:16">
      <c r="A3751" s="94">
        <v>89807</v>
      </c>
      <c r="B3751" s="87" t="s">
        <v>3262</v>
      </c>
      <c r="C3751" s="12" t="s">
        <v>4</v>
      </c>
      <c r="D3751" s="93">
        <v>18.98</v>
      </c>
      <c r="E3751" s="93">
        <v>2.31</v>
      </c>
      <c r="F3751" s="93">
        <v>16.670000000000002</v>
      </c>
      <c r="G3751" s="93">
        <v>0</v>
      </c>
      <c r="H3751" s="93">
        <v>0</v>
      </c>
      <c r="N3751" s="88"/>
      <c r="O3751" s="88"/>
      <c r="P3751" s="88"/>
    </row>
    <row r="3752" spans="1:16">
      <c r="A3752" s="94">
        <v>89808</v>
      </c>
      <c r="B3752" s="87" t="s">
        <v>3263</v>
      </c>
      <c r="C3752" s="12" t="s">
        <v>4</v>
      </c>
      <c r="D3752" s="93">
        <v>27.55</v>
      </c>
      <c r="E3752" s="93">
        <v>2.31</v>
      </c>
      <c r="F3752" s="93">
        <v>25.24</v>
      </c>
      <c r="G3752" s="93">
        <v>0</v>
      </c>
      <c r="H3752" s="93">
        <v>0</v>
      </c>
      <c r="N3752" s="88"/>
      <c r="O3752" s="88"/>
      <c r="P3752" s="88"/>
    </row>
    <row r="3753" spans="1:16">
      <c r="A3753" s="94">
        <v>89809</v>
      </c>
      <c r="B3753" s="87" t="s">
        <v>3264</v>
      </c>
      <c r="C3753" s="12" t="s">
        <v>4</v>
      </c>
      <c r="D3753" s="93">
        <v>14.1</v>
      </c>
      <c r="E3753" s="93">
        <v>3.49</v>
      </c>
      <c r="F3753" s="93">
        <v>10.61</v>
      </c>
      <c r="G3753" s="93">
        <v>0</v>
      </c>
      <c r="H3753" s="93">
        <v>0</v>
      </c>
      <c r="N3753" s="88"/>
      <c r="O3753" s="88"/>
      <c r="P3753" s="88"/>
    </row>
    <row r="3754" spans="1:16">
      <c r="A3754" s="94">
        <v>89810</v>
      </c>
      <c r="B3754" s="87" t="s">
        <v>3265</v>
      </c>
      <c r="C3754" s="12" t="s">
        <v>4</v>
      </c>
      <c r="D3754" s="93">
        <v>14.06</v>
      </c>
      <c r="E3754" s="93">
        <v>3.49</v>
      </c>
      <c r="F3754" s="93">
        <v>10.57</v>
      </c>
      <c r="G3754" s="93">
        <v>0</v>
      </c>
      <c r="H3754" s="93">
        <v>0</v>
      </c>
      <c r="N3754" s="88"/>
      <c r="O3754" s="88"/>
      <c r="P3754" s="88"/>
    </row>
    <row r="3755" spans="1:16">
      <c r="A3755" s="94">
        <v>89811</v>
      </c>
      <c r="B3755" s="87" t="s">
        <v>3266</v>
      </c>
      <c r="C3755" s="12" t="s">
        <v>4</v>
      </c>
      <c r="D3755" s="93">
        <v>23.39</v>
      </c>
      <c r="E3755" s="93">
        <v>3.49</v>
      </c>
      <c r="F3755" s="93">
        <v>19.899999999999999</v>
      </c>
      <c r="G3755" s="93">
        <v>0</v>
      </c>
      <c r="H3755" s="93">
        <v>0</v>
      </c>
      <c r="N3755" s="88"/>
      <c r="O3755" s="88"/>
      <c r="P3755" s="88"/>
    </row>
    <row r="3756" spans="1:16">
      <c r="A3756" s="94">
        <v>89812</v>
      </c>
      <c r="B3756" s="87" t="s">
        <v>3267</v>
      </c>
      <c r="C3756" s="12" t="s">
        <v>4</v>
      </c>
      <c r="D3756" s="93">
        <v>39.869999999999997</v>
      </c>
      <c r="E3756" s="93">
        <v>3.48</v>
      </c>
      <c r="F3756" s="93">
        <v>36.39</v>
      </c>
      <c r="G3756" s="93">
        <v>0</v>
      </c>
      <c r="H3756" s="93">
        <v>0</v>
      </c>
      <c r="N3756" s="88"/>
      <c r="O3756" s="88"/>
      <c r="P3756" s="88"/>
    </row>
    <row r="3757" spans="1:16">
      <c r="A3757" s="94">
        <v>89813</v>
      </c>
      <c r="B3757" s="87" t="s">
        <v>3268</v>
      </c>
      <c r="C3757" s="12" t="s">
        <v>4</v>
      </c>
      <c r="D3757" s="93">
        <v>5.18</v>
      </c>
      <c r="E3757" s="93">
        <v>0.86</v>
      </c>
      <c r="F3757" s="93">
        <v>4.32</v>
      </c>
      <c r="G3757" s="93">
        <v>0</v>
      </c>
      <c r="H3757" s="93">
        <v>0</v>
      </c>
      <c r="N3757" s="88"/>
      <c r="O3757" s="88"/>
      <c r="P3757" s="88"/>
    </row>
    <row r="3758" spans="1:16">
      <c r="A3758" s="94">
        <v>89814</v>
      </c>
      <c r="B3758" s="87" t="s">
        <v>3269</v>
      </c>
      <c r="C3758" s="12" t="s">
        <v>4</v>
      </c>
      <c r="D3758" s="93">
        <v>10.18</v>
      </c>
      <c r="E3758" s="93">
        <v>0.85</v>
      </c>
      <c r="F3758" s="93">
        <v>9.33</v>
      </c>
      <c r="G3758" s="93">
        <v>0</v>
      </c>
      <c r="H3758" s="93">
        <v>0</v>
      </c>
      <c r="N3758" s="88"/>
      <c r="O3758" s="88"/>
      <c r="P3758" s="88"/>
    </row>
    <row r="3759" spans="1:16">
      <c r="A3759" s="94">
        <v>89815</v>
      </c>
      <c r="B3759" s="87" t="s">
        <v>3270</v>
      </c>
      <c r="C3759" s="12" t="s">
        <v>4</v>
      </c>
      <c r="D3759" s="93">
        <v>21.35</v>
      </c>
      <c r="E3759" s="93">
        <v>1.53</v>
      </c>
      <c r="F3759" s="93">
        <v>19.82</v>
      </c>
      <c r="G3759" s="93">
        <v>0</v>
      </c>
      <c r="H3759" s="93">
        <v>0</v>
      </c>
      <c r="N3759" s="88"/>
      <c r="O3759" s="88"/>
      <c r="P3759" s="88"/>
    </row>
    <row r="3760" spans="1:16">
      <c r="A3760" s="94">
        <v>89816</v>
      </c>
      <c r="B3760" s="87" t="s">
        <v>3271</v>
      </c>
      <c r="C3760" s="12" t="s">
        <v>4</v>
      </c>
      <c r="D3760" s="93">
        <v>30.59</v>
      </c>
      <c r="E3760" s="93">
        <v>1.53</v>
      </c>
      <c r="F3760" s="93">
        <v>29.06</v>
      </c>
      <c r="G3760" s="93">
        <v>0</v>
      </c>
      <c r="H3760" s="93">
        <v>0</v>
      </c>
      <c r="N3760" s="88"/>
      <c r="O3760" s="88"/>
      <c r="P3760" s="88"/>
    </row>
    <row r="3761" spans="1:16">
      <c r="A3761" s="94">
        <v>89817</v>
      </c>
      <c r="B3761" s="87" t="s">
        <v>3272</v>
      </c>
      <c r="C3761" s="12" t="s">
        <v>4</v>
      </c>
      <c r="D3761" s="93">
        <v>8.9700000000000006</v>
      </c>
      <c r="E3761" s="93">
        <v>1.74</v>
      </c>
      <c r="F3761" s="93">
        <v>7.23</v>
      </c>
      <c r="G3761" s="93">
        <v>0</v>
      </c>
      <c r="H3761" s="93">
        <v>0</v>
      </c>
      <c r="N3761" s="88"/>
      <c r="O3761" s="88"/>
      <c r="P3761" s="88"/>
    </row>
    <row r="3762" spans="1:16">
      <c r="A3762" s="94">
        <v>89818</v>
      </c>
      <c r="B3762" s="87" t="s">
        <v>3273</v>
      </c>
      <c r="C3762" s="12" t="s">
        <v>4</v>
      </c>
      <c r="D3762" s="93">
        <v>121.99</v>
      </c>
      <c r="E3762" s="93">
        <v>1.53</v>
      </c>
      <c r="F3762" s="93">
        <v>120.46</v>
      </c>
      <c r="G3762" s="93">
        <v>0</v>
      </c>
      <c r="H3762" s="93">
        <v>0</v>
      </c>
      <c r="N3762" s="88"/>
      <c r="O3762" s="88"/>
      <c r="P3762" s="88"/>
    </row>
    <row r="3763" spans="1:16">
      <c r="A3763" s="94">
        <v>89819</v>
      </c>
      <c r="B3763" s="87" t="s">
        <v>3274</v>
      </c>
      <c r="C3763" s="12" t="s">
        <v>4</v>
      </c>
      <c r="D3763" s="93">
        <v>12.83</v>
      </c>
      <c r="E3763" s="93">
        <v>1.74</v>
      </c>
      <c r="F3763" s="93">
        <v>11.09</v>
      </c>
      <c r="G3763" s="93">
        <v>0</v>
      </c>
      <c r="H3763" s="93">
        <v>0</v>
      </c>
      <c r="N3763" s="88"/>
      <c r="O3763" s="88"/>
      <c r="P3763" s="88"/>
    </row>
    <row r="3764" spans="1:16">
      <c r="A3764" s="94">
        <v>89820</v>
      </c>
      <c r="B3764" s="87" t="s">
        <v>3275</v>
      </c>
      <c r="C3764" s="12" t="s">
        <v>4</v>
      </c>
      <c r="D3764" s="93">
        <v>23.2</v>
      </c>
      <c r="E3764" s="93">
        <v>1.53</v>
      </c>
      <c r="F3764" s="93">
        <v>21.67</v>
      </c>
      <c r="G3764" s="93">
        <v>0</v>
      </c>
      <c r="H3764" s="93">
        <v>0</v>
      </c>
      <c r="N3764" s="88"/>
      <c r="O3764" s="88"/>
      <c r="P3764" s="88"/>
    </row>
    <row r="3765" spans="1:16">
      <c r="A3765" s="94">
        <v>89821</v>
      </c>
      <c r="B3765" s="87" t="s">
        <v>3276</v>
      </c>
      <c r="C3765" s="12" t="s">
        <v>4</v>
      </c>
      <c r="D3765" s="93">
        <v>11.26</v>
      </c>
      <c r="E3765" s="93">
        <v>2.3199999999999998</v>
      </c>
      <c r="F3765" s="93">
        <v>8.94</v>
      </c>
      <c r="G3765" s="93">
        <v>0</v>
      </c>
      <c r="H3765" s="93">
        <v>0</v>
      </c>
      <c r="N3765" s="88"/>
      <c r="O3765" s="88"/>
      <c r="P3765" s="88"/>
    </row>
    <row r="3766" spans="1:16">
      <c r="A3766" s="94">
        <v>89822</v>
      </c>
      <c r="B3766" s="87" t="s">
        <v>3277</v>
      </c>
      <c r="C3766" s="12" t="s">
        <v>4</v>
      </c>
      <c r="D3766" s="93">
        <v>16.71</v>
      </c>
      <c r="E3766" s="93">
        <v>1.79</v>
      </c>
      <c r="F3766" s="93">
        <v>14.92</v>
      </c>
      <c r="G3766" s="93">
        <v>0</v>
      </c>
      <c r="H3766" s="93">
        <v>0</v>
      </c>
      <c r="N3766" s="88"/>
      <c r="O3766" s="88"/>
      <c r="P3766" s="88"/>
    </row>
    <row r="3767" spans="1:16">
      <c r="A3767" s="94">
        <v>89823</v>
      </c>
      <c r="B3767" s="87" t="s">
        <v>3278</v>
      </c>
      <c r="C3767" s="12" t="s">
        <v>4</v>
      </c>
      <c r="D3767" s="93">
        <v>18.420000000000002</v>
      </c>
      <c r="E3767" s="93">
        <v>2.31</v>
      </c>
      <c r="F3767" s="93">
        <v>16.11</v>
      </c>
      <c r="G3767" s="93">
        <v>0</v>
      </c>
      <c r="H3767" s="93">
        <v>0</v>
      </c>
      <c r="N3767" s="88"/>
      <c r="O3767" s="88"/>
      <c r="P3767" s="88"/>
    </row>
    <row r="3768" spans="1:16">
      <c r="A3768" s="94">
        <v>89824</v>
      </c>
      <c r="B3768" s="87" t="s">
        <v>3279</v>
      </c>
      <c r="C3768" s="12" t="s">
        <v>4</v>
      </c>
      <c r="D3768" s="93">
        <v>28.99</v>
      </c>
      <c r="E3768" s="93">
        <v>1.79</v>
      </c>
      <c r="F3768" s="93">
        <v>27.2</v>
      </c>
      <c r="G3768" s="93">
        <v>0</v>
      </c>
      <c r="H3768" s="93">
        <v>0</v>
      </c>
      <c r="N3768" s="88"/>
      <c r="O3768" s="88"/>
      <c r="P3768" s="88"/>
    </row>
    <row r="3769" spans="1:16">
      <c r="A3769" s="94">
        <v>89825</v>
      </c>
      <c r="B3769" s="87" t="s">
        <v>3280</v>
      </c>
      <c r="C3769" s="12" t="s">
        <v>4</v>
      </c>
      <c r="D3769" s="93">
        <v>11.28</v>
      </c>
      <c r="E3769" s="93">
        <v>1.74</v>
      </c>
      <c r="F3769" s="93">
        <v>9.5399999999999991</v>
      </c>
      <c r="G3769" s="93">
        <v>0</v>
      </c>
      <c r="H3769" s="93">
        <v>0</v>
      </c>
      <c r="N3769" s="88"/>
      <c r="O3769" s="88"/>
      <c r="P3769" s="88"/>
    </row>
    <row r="3770" spans="1:16">
      <c r="A3770" s="94">
        <v>89826</v>
      </c>
      <c r="B3770" s="87" t="s">
        <v>3281</v>
      </c>
      <c r="C3770" s="12" t="s">
        <v>4</v>
      </c>
      <c r="D3770" s="93">
        <v>124.57</v>
      </c>
      <c r="E3770" s="93">
        <v>1.79</v>
      </c>
      <c r="F3770" s="93">
        <v>122.78</v>
      </c>
      <c r="G3770" s="93">
        <v>0</v>
      </c>
      <c r="H3770" s="93">
        <v>0</v>
      </c>
      <c r="N3770" s="88"/>
      <c r="O3770" s="88"/>
      <c r="P3770" s="88"/>
    </row>
    <row r="3771" spans="1:16">
      <c r="A3771" s="94">
        <v>89827</v>
      </c>
      <c r="B3771" s="87" t="s">
        <v>3282</v>
      </c>
      <c r="C3771" s="12" t="s">
        <v>4</v>
      </c>
      <c r="D3771" s="93">
        <v>12.47</v>
      </c>
      <c r="E3771" s="93">
        <v>1.74</v>
      </c>
      <c r="F3771" s="93">
        <v>10.73</v>
      </c>
      <c r="G3771" s="93">
        <v>0</v>
      </c>
      <c r="H3771" s="93">
        <v>0</v>
      </c>
      <c r="N3771" s="88"/>
      <c r="O3771" s="88"/>
      <c r="P3771" s="88"/>
    </row>
    <row r="3772" spans="1:16">
      <c r="A3772" s="94">
        <v>89828</v>
      </c>
      <c r="B3772" s="87" t="s">
        <v>3283</v>
      </c>
      <c r="C3772" s="12" t="s">
        <v>4</v>
      </c>
      <c r="D3772" s="93">
        <v>44.14</v>
      </c>
      <c r="E3772" s="93">
        <v>1.79</v>
      </c>
      <c r="F3772" s="93">
        <v>42.35</v>
      </c>
      <c r="G3772" s="93">
        <v>0</v>
      </c>
      <c r="H3772" s="93">
        <v>0</v>
      </c>
      <c r="N3772" s="88"/>
      <c r="O3772" s="88"/>
      <c r="P3772" s="88"/>
    </row>
    <row r="3773" spans="1:16">
      <c r="A3773" s="94">
        <v>89829</v>
      </c>
      <c r="B3773" s="87" t="s">
        <v>3284</v>
      </c>
      <c r="C3773" s="12" t="s">
        <v>4</v>
      </c>
      <c r="D3773" s="93">
        <v>19.77</v>
      </c>
      <c r="E3773" s="93">
        <v>3.19</v>
      </c>
      <c r="F3773" s="93">
        <v>16.579999999999998</v>
      </c>
      <c r="G3773" s="93">
        <v>0</v>
      </c>
      <c r="H3773" s="93">
        <v>0</v>
      </c>
      <c r="N3773" s="88"/>
      <c r="O3773" s="88"/>
      <c r="P3773" s="88"/>
    </row>
    <row r="3774" spans="1:16">
      <c r="A3774" s="94">
        <v>89830</v>
      </c>
      <c r="B3774" s="87" t="s">
        <v>3285</v>
      </c>
      <c r="C3774" s="12" t="s">
        <v>4</v>
      </c>
      <c r="D3774" s="93">
        <v>21.4</v>
      </c>
      <c r="E3774" s="93">
        <v>3.19</v>
      </c>
      <c r="F3774" s="93">
        <v>18.21</v>
      </c>
      <c r="G3774" s="93">
        <v>0</v>
      </c>
      <c r="H3774" s="93">
        <v>0</v>
      </c>
      <c r="N3774" s="88"/>
      <c r="O3774" s="88"/>
      <c r="P3774" s="88"/>
    </row>
    <row r="3775" spans="1:16">
      <c r="A3775" s="94">
        <v>89831</v>
      </c>
      <c r="B3775" s="87" t="s">
        <v>3286</v>
      </c>
      <c r="C3775" s="12" t="s">
        <v>4</v>
      </c>
      <c r="D3775" s="93">
        <v>148.94</v>
      </c>
      <c r="E3775" s="93">
        <v>1.79</v>
      </c>
      <c r="F3775" s="93">
        <v>147.15</v>
      </c>
      <c r="G3775" s="93">
        <v>0</v>
      </c>
      <c r="H3775" s="93">
        <v>0</v>
      </c>
      <c r="N3775" s="88"/>
      <c r="O3775" s="88"/>
      <c r="P3775" s="88"/>
    </row>
    <row r="3776" spans="1:16">
      <c r="A3776" s="94">
        <v>89832</v>
      </c>
      <c r="B3776" s="87" t="s">
        <v>3287</v>
      </c>
      <c r="C3776" s="12" t="s">
        <v>4</v>
      </c>
      <c r="D3776" s="93">
        <v>30.38</v>
      </c>
      <c r="E3776" s="93">
        <v>1.79</v>
      </c>
      <c r="F3776" s="93">
        <v>28.59</v>
      </c>
      <c r="G3776" s="93">
        <v>0</v>
      </c>
      <c r="H3776" s="93">
        <v>0</v>
      </c>
      <c r="N3776" s="88"/>
      <c r="O3776" s="88"/>
      <c r="P3776" s="88"/>
    </row>
    <row r="3777" spans="1:16">
      <c r="A3777" s="94">
        <v>89833</v>
      </c>
      <c r="B3777" s="87" t="s">
        <v>3288</v>
      </c>
      <c r="C3777" s="12" t="s">
        <v>4</v>
      </c>
      <c r="D3777" s="93">
        <v>24.78</v>
      </c>
      <c r="E3777" s="93">
        <v>4.66</v>
      </c>
      <c r="F3777" s="93">
        <v>20.12</v>
      </c>
      <c r="G3777" s="93">
        <v>0</v>
      </c>
      <c r="H3777" s="93">
        <v>0</v>
      </c>
      <c r="N3777" s="88"/>
      <c r="O3777" s="88"/>
      <c r="P3777" s="88"/>
    </row>
    <row r="3778" spans="1:16">
      <c r="A3778" s="94">
        <v>89834</v>
      </c>
      <c r="B3778" s="87" t="s">
        <v>3289</v>
      </c>
      <c r="C3778" s="12" t="s">
        <v>4</v>
      </c>
      <c r="D3778" s="93">
        <v>28.62</v>
      </c>
      <c r="E3778" s="93">
        <v>4.66</v>
      </c>
      <c r="F3778" s="93">
        <v>23.96</v>
      </c>
      <c r="G3778" s="93">
        <v>0</v>
      </c>
      <c r="H3778" s="93">
        <v>0</v>
      </c>
      <c r="N3778" s="88"/>
      <c r="O3778" s="88"/>
      <c r="P3778" s="88"/>
    </row>
    <row r="3779" spans="1:16">
      <c r="A3779" s="94">
        <v>89835</v>
      </c>
      <c r="B3779" s="87" t="s">
        <v>3290</v>
      </c>
      <c r="C3779" s="12" t="s">
        <v>4</v>
      </c>
      <c r="D3779" s="93">
        <v>29.95</v>
      </c>
      <c r="E3779" s="93">
        <v>2.23</v>
      </c>
      <c r="F3779" s="93">
        <v>27.72</v>
      </c>
      <c r="G3779" s="93">
        <v>0</v>
      </c>
      <c r="H3779" s="93">
        <v>0</v>
      </c>
      <c r="N3779" s="88"/>
      <c r="O3779" s="88"/>
      <c r="P3779" s="88"/>
    </row>
    <row r="3780" spans="1:16">
      <c r="A3780" s="94">
        <v>89836</v>
      </c>
      <c r="B3780" s="87" t="s">
        <v>3291</v>
      </c>
      <c r="C3780" s="12" t="s">
        <v>4</v>
      </c>
      <c r="D3780" s="93">
        <v>201.26</v>
      </c>
      <c r="E3780" s="93">
        <v>2.23</v>
      </c>
      <c r="F3780" s="93">
        <v>199.03</v>
      </c>
      <c r="G3780" s="93">
        <v>0</v>
      </c>
      <c r="H3780" s="93">
        <v>0</v>
      </c>
      <c r="N3780" s="88"/>
      <c r="O3780" s="88"/>
      <c r="P3780" s="88"/>
    </row>
    <row r="3781" spans="1:16">
      <c r="A3781" s="94">
        <v>89837</v>
      </c>
      <c r="B3781" s="87" t="s">
        <v>3292</v>
      </c>
      <c r="C3781" s="12" t="s">
        <v>4</v>
      </c>
      <c r="D3781" s="93">
        <v>100.25</v>
      </c>
      <c r="E3781" s="93">
        <v>2.23</v>
      </c>
      <c r="F3781" s="93">
        <v>98.02</v>
      </c>
      <c r="G3781" s="93">
        <v>0</v>
      </c>
      <c r="H3781" s="93">
        <v>0</v>
      </c>
      <c r="N3781" s="88"/>
      <c r="O3781" s="88"/>
      <c r="P3781" s="88"/>
    </row>
    <row r="3782" spans="1:16">
      <c r="A3782" s="94">
        <v>89838</v>
      </c>
      <c r="B3782" s="87" t="s">
        <v>3293</v>
      </c>
      <c r="C3782" s="12" t="s">
        <v>4</v>
      </c>
      <c r="D3782" s="93">
        <v>109.55</v>
      </c>
      <c r="E3782" s="93">
        <v>2.96</v>
      </c>
      <c r="F3782" s="93">
        <v>106.59</v>
      </c>
      <c r="G3782" s="93">
        <v>0</v>
      </c>
      <c r="H3782" s="93">
        <v>0</v>
      </c>
      <c r="N3782" s="88"/>
      <c r="O3782" s="88"/>
      <c r="P3782" s="88"/>
    </row>
    <row r="3783" spans="1:16">
      <c r="A3783" s="94">
        <v>89839</v>
      </c>
      <c r="B3783" s="87" t="s">
        <v>3294</v>
      </c>
      <c r="C3783" s="12" t="s">
        <v>4</v>
      </c>
      <c r="D3783" s="93">
        <v>145.19</v>
      </c>
      <c r="E3783" s="93">
        <v>2.96</v>
      </c>
      <c r="F3783" s="93">
        <v>142.22999999999999</v>
      </c>
      <c r="G3783" s="93">
        <v>0</v>
      </c>
      <c r="H3783" s="93">
        <v>0</v>
      </c>
      <c r="N3783" s="88"/>
      <c r="O3783" s="88"/>
      <c r="P3783" s="88"/>
    </row>
    <row r="3784" spans="1:16">
      <c r="A3784" s="94">
        <v>89840</v>
      </c>
      <c r="B3784" s="87" t="s">
        <v>3295</v>
      </c>
      <c r="C3784" s="12" t="s">
        <v>4</v>
      </c>
      <c r="D3784" s="93">
        <v>126.12</v>
      </c>
      <c r="E3784" s="93">
        <v>3.56</v>
      </c>
      <c r="F3784" s="93">
        <v>122.56</v>
      </c>
      <c r="G3784" s="93">
        <v>0</v>
      </c>
      <c r="H3784" s="93">
        <v>0</v>
      </c>
      <c r="N3784" s="88"/>
      <c r="O3784" s="88"/>
      <c r="P3784" s="88"/>
    </row>
    <row r="3785" spans="1:16">
      <c r="A3785" s="94">
        <v>89841</v>
      </c>
      <c r="B3785" s="87" t="s">
        <v>3296</v>
      </c>
      <c r="C3785" s="12" t="s">
        <v>4</v>
      </c>
      <c r="D3785" s="93">
        <v>212.96</v>
      </c>
      <c r="E3785" s="93">
        <v>3.56</v>
      </c>
      <c r="F3785" s="93">
        <v>209.4</v>
      </c>
      <c r="G3785" s="93">
        <v>0</v>
      </c>
      <c r="H3785" s="93">
        <v>0</v>
      </c>
      <c r="N3785" s="88"/>
      <c r="O3785" s="88"/>
      <c r="P3785" s="88"/>
    </row>
    <row r="3786" spans="1:16">
      <c r="A3786" s="94">
        <v>89842</v>
      </c>
      <c r="B3786" s="87" t="s">
        <v>3297</v>
      </c>
      <c r="C3786" s="12" t="s">
        <v>4</v>
      </c>
      <c r="D3786" s="93">
        <v>34.39</v>
      </c>
      <c r="E3786" s="93">
        <v>3.07</v>
      </c>
      <c r="F3786" s="93">
        <v>31.32</v>
      </c>
      <c r="G3786" s="93">
        <v>0</v>
      </c>
      <c r="H3786" s="93">
        <v>0</v>
      </c>
      <c r="N3786" s="88"/>
      <c r="O3786" s="88"/>
      <c r="P3786" s="88"/>
    </row>
    <row r="3787" spans="1:16">
      <c r="A3787" s="94">
        <v>89844</v>
      </c>
      <c r="B3787" s="87" t="s">
        <v>3298</v>
      </c>
      <c r="C3787" s="12" t="s">
        <v>4</v>
      </c>
      <c r="D3787" s="93">
        <v>43.8</v>
      </c>
      <c r="E3787" s="93">
        <v>3.6</v>
      </c>
      <c r="F3787" s="93">
        <v>40.200000000000003</v>
      </c>
      <c r="G3787" s="93">
        <v>0</v>
      </c>
      <c r="H3787" s="93">
        <v>0</v>
      </c>
      <c r="N3787" s="88"/>
      <c r="O3787" s="88"/>
      <c r="P3787" s="88"/>
    </row>
    <row r="3788" spans="1:16">
      <c r="A3788" s="94">
        <v>89845</v>
      </c>
      <c r="B3788" s="87" t="s">
        <v>3299</v>
      </c>
      <c r="C3788" s="12" t="s">
        <v>4</v>
      </c>
      <c r="D3788" s="93">
        <v>67.98</v>
      </c>
      <c r="E3788" s="93">
        <v>4.51</v>
      </c>
      <c r="F3788" s="93">
        <v>63.47</v>
      </c>
      <c r="G3788" s="93">
        <v>0</v>
      </c>
      <c r="H3788" s="93">
        <v>0</v>
      </c>
      <c r="N3788" s="88"/>
      <c r="O3788" s="88"/>
      <c r="P3788" s="88"/>
    </row>
    <row r="3789" spans="1:16">
      <c r="A3789" s="94">
        <v>89846</v>
      </c>
      <c r="B3789" s="87" t="s">
        <v>3300</v>
      </c>
      <c r="C3789" s="12" t="s">
        <v>4</v>
      </c>
      <c r="D3789" s="93">
        <v>152.93</v>
      </c>
      <c r="E3789" s="93">
        <v>5.94</v>
      </c>
      <c r="F3789" s="93">
        <v>146.99</v>
      </c>
      <c r="G3789" s="93">
        <v>0</v>
      </c>
      <c r="H3789" s="93">
        <v>0</v>
      </c>
      <c r="N3789" s="88"/>
      <c r="O3789" s="88"/>
      <c r="P3789" s="88"/>
    </row>
    <row r="3790" spans="1:16">
      <c r="A3790" s="94">
        <v>89847</v>
      </c>
      <c r="B3790" s="87" t="s">
        <v>3301</v>
      </c>
      <c r="C3790" s="12" t="s">
        <v>4</v>
      </c>
      <c r="D3790" s="93">
        <v>187.76</v>
      </c>
      <c r="E3790" s="93">
        <v>7.13</v>
      </c>
      <c r="F3790" s="93">
        <v>180.63</v>
      </c>
      <c r="G3790" s="93">
        <v>0</v>
      </c>
      <c r="H3790" s="93">
        <v>0</v>
      </c>
      <c r="N3790" s="88"/>
      <c r="O3790" s="88"/>
      <c r="P3790" s="88"/>
    </row>
    <row r="3791" spans="1:16">
      <c r="A3791" s="94">
        <v>89850</v>
      </c>
      <c r="B3791" s="87" t="s">
        <v>3302</v>
      </c>
      <c r="C3791" s="12" t="s">
        <v>4</v>
      </c>
      <c r="D3791" s="93">
        <v>18.600000000000001</v>
      </c>
      <c r="E3791" s="93">
        <v>7.01</v>
      </c>
      <c r="F3791" s="93">
        <v>11.59</v>
      </c>
      <c r="G3791" s="93">
        <v>0</v>
      </c>
      <c r="H3791" s="93">
        <v>0</v>
      </c>
      <c r="N3791" s="88"/>
      <c r="O3791" s="88"/>
      <c r="P3791" s="88"/>
    </row>
    <row r="3792" spans="1:16">
      <c r="A3792" s="94">
        <v>89851</v>
      </c>
      <c r="B3792" s="87" t="s">
        <v>3303</v>
      </c>
      <c r="C3792" s="12" t="s">
        <v>4</v>
      </c>
      <c r="D3792" s="93">
        <v>18.559999999999999</v>
      </c>
      <c r="E3792" s="93">
        <v>7.01</v>
      </c>
      <c r="F3792" s="93">
        <v>11.55</v>
      </c>
      <c r="G3792" s="93">
        <v>0</v>
      </c>
      <c r="H3792" s="93">
        <v>0</v>
      </c>
      <c r="N3792" s="88"/>
      <c r="O3792" s="88"/>
      <c r="P3792" s="88"/>
    </row>
    <row r="3793" spans="1:16">
      <c r="A3793" s="94">
        <v>89852</v>
      </c>
      <c r="B3793" s="87" t="s">
        <v>3304</v>
      </c>
      <c r="C3793" s="12" t="s">
        <v>4</v>
      </c>
      <c r="D3793" s="93">
        <v>27.89</v>
      </c>
      <c r="E3793" s="93">
        <v>7</v>
      </c>
      <c r="F3793" s="93">
        <v>20.89</v>
      </c>
      <c r="G3793" s="93">
        <v>0</v>
      </c>
      <c r="H3793" s="93">
        <v>0</v>
      </c>
      <c r="N3793" s="88"/>
      <c r="O3793" s="88"/>
      <c r="P3793" s="88"/>
    </row>
    <row r="3794" spans="1:16">
      <c r="A3794" s="94">
        <v>89853</v>
      </c>
      <c r="B3794" s="87" t="s">
        <v>3305</v>
      </c>
      <c r="C3794" s="12" t="s">
        <v>4</v>
      </c>
      <c r="D3794" s="93">
        <v>44.37</v>
      </c>
      <c r="E3794" s="93">
        <v>6.99</v>
      </c>
      <c r="F3794" s="93">
        <v>37.380000000000003</v>
      </c>
      <c r="G3794" s="93">
        <v>0</v>
      </c>
      <c r="H3794" s="93">
        <v>0</v>
      </c>
      <c r="N3794" s="88"/>
      <c r="O3794" s="88"/>
      <c r="P3794" s="88"/>
    </row>
    <row r="3795" spans="1:16">
      <c r="A3795" s="94">
        <v>89854</v>
      </c>
      <c r="B3795" s="87" t="s">
        <v>3306</v>
      </c>
      <c r="C3795" s="12" t="s">
        <v>4</v>
      </c>
      <c r="D3795" s="93">
        <v>59.16</v>
      </c>
      <c r="E3795" s="93">
        <v>9.6</v>
      </c>
      <c r="F3795" s="93">
        <v>49.56</v>
      </c>
      <c r="G3795" s="93">
        <v>0</v>
      </c>
      <c r="H3795" s="93">
        <v>0</v>
      </c>
      <c r="N3795" s="88"/>
      <c r="O3795" s="88"/>
      <c r="P3795" s="88"/>
    </row>
    <row r="3796" spans="1:16">
      <c r="A3796" s="94">
        <v>89855</v>
      </c>
      <c r="B3796" s="87" t="s">
        <v>3307</v>
      </c>
      <c r="C3796" s="12" t="s">
        <v>4</v>
      </c>
      <c r="D3796" s="93">
        <v>62.49</v>
      </c>
      <c r="E3796" s="93">
        <v>9.6</v>
      </c>
      <c r="F3796" s="93">
        <v>52.89</v>
      </c>
      <c r="G3796" s="93">
        <v>0</v>
      </c>
      <c r="H3796" s="93">
        <v>0</v>
      </c>
      <c r="N3796" s="88"/>
      <c r="O3796" s="88"/>
      <c r="P3796" s="88"/>
    </row>
    <row r="3797" spans="1:16">
      <c r="A3797" s="94">
        <v>89856</v>
      </c>
      <c r="B3797" s="87" t="s">
        <v>3308</v>
      </c>
      <c r="C3797" s="12" t="s">
        <v>4</v>
      </c>
      <c r="D3797" s="93">
        <v>14.26</v>
      </c>
      <c r="E3797" s="93">
        <v>4.67</v>
      </c>
      <c r="F3797" s="93">
        <v>9.59</v>
      </c>
      <c r="G3797" s="93">
        <v>0</v>
      </c>
      <c r="H3797" s="93">
        <v>0</v>
      </c>
      <c r="N3797" s="88"/>
      <c r="O3797" s="88"/>
      <c r="P3797" s="88"/>
    </row>
    <row r="3798" spans="1:16">
      <c r="A3798" s="94">
        <v>89857</v>
      </c>
      <c r="B3798" s="87" t="s">
        <v>3309</v>
      </c>
      <c r="C3798" s="12" t="s">
        <v>4</v>
      </c>
      <c r="D3798" s="93">
        <v>21.42</v>
      </c>
      <c r="E3798" s="93">
        <v>4.66</v>
      </c>
      <c r="F3798" s="93">
        <v>16.760000000000002</v>
      </c>
      <c r="G3798" s="93">
        <v>0</v>
      </c>
      <c r="H3798" s="93">
        <v>0</v>
      </c>
      <c r="N3798" s="88"/>
      <c r="O3798" s="88"/>
      <c r="P3798" s="88"/>
    </row>
    <row r="3799" spans="1:16">
      <c r="A3799" s="94">
        <v>89859</v>
      </c>
      <c r="B3799" s="87" t="s">
        <v>3310</v>
      </c>
      <c r="C3799" s="12" t="s">
        <v>4</v>
      </c>
      <c r="D3799" s="93">
        <v>71.28</v>
      </c>
      <c r="E3799" s="93">
        <v>6.4</v>
      </c>
      <c r="F3799" s="93">
        <v>64.88</v>
      </c>
      <c r="G3799" s="93">
        <v>0</v>
      </c>
      <c r="H3799" s="93">
        <v>0</v>
      </c>
      <c r="N3799" s="88"/>
      <c r="O3799" s="88"/>
      <c r="P3799" s="88"/>
    </row>
    <row r="3800" spans="1:16">
      <c r="A3800" s="94">
        <v>89860</v>
      </c>
      <c r="B3800" s="87" t="s">
        <v>3311</v>
      </c>
      <c r="C3800" s="12" t="s">
        <v>4</v>
      </c>
      <c r="D3800" s="93">
        <v>30.77</v>
      </c>
      <c r="E3800" s="93">
        <v>9.34</v>
      </c>
      <c r="F3800" s="93">
        <v>21.43</v>
      </c>
      <c r="G3800" s="93">
        <v>0</v>
      </c>
      <c r="H3800" s="93">
        <v>0</v>
      </c>
      <c r="N3800" s="88"/>
      <c r="O3800" s="88"/>
      <c r="P3800" s="88"/>
    </row>
    <row r="3801" spans="1:16">
      <c r="A3801" s="94">
        <v>89861</v>
      </c>
      <c r="B3801" s="87" t="s">
        <v>3312</v>
      </c>
      <c r="C3801" s="12" t="s">
        <v>4</v>
      </c>
      <c r="D3801" s="93">
        <v>34.61</v>
      </c>
      <c r="E3801" s="93">
        <v>9.33</v>
      </c>
      <c r="F3801" s="93">
        <v>25.28</v>
      </c>
      <c r="G3801" s="93">
        <v>0</v>
      </c>
      <c r="H3801" s="93">
        <v>0</v>
      </c>
      <c r="N3801" s="88"/>
      <c r="O3801" s="88"/>
      <c r="P3801" s="88"/>
    </row>
    <row r="3802" spans="1:16">
      <c r="A3802" s="94">
        <v>89862</v>
      </c>
      <c r="B3802" s="87" t="s">
        <v>3313</v>
      </c>
      <c r="C3802" s="12" t="s">
        <v>4</v>
      </c>
      <c r="D3802" s="93">
        <v>67.02</v>
      </c>
      <c r="E3802" s="93">
        <v>12.82</v>
      </c>
      <c r="F3802" s="93">
        <v>54.2</v>
      </c>
      <c r="G3802" s="93">
        <v>0</v>
      </c>
      <c r="H3802" s="93">
        <v>0</v>
      </c>
      <c r="N3802" s="88"/>
      <c r="O3802" s="88"/>
      <c r="P3802" s="88"/>
    </row>
    <row r="3803" spans="1:16">
      <c r="A3803" s="94">
        <v>89863</v>
      </c>
      <c r="B3803" s="87" t="s">
        <v>3314</v>
      </c>
      <c r="C3803" s="12" t="s">
        <v>4</v>
      </c>
      <c r="D3803" s="93">
        <v>131.19</v>
      </c>
      <c r="E3803" s="93">
        <v>12.82</v>
      </c>
      <c r="F3803" s="93">
        <v>118.37</v>
      </c>
      <c r="G3803" s="93">
        <v>0</v>
      </c>
      <c r="H3803" s="93">
        <v>0</v>
      </c>
      <c r="N3803" s="88"/>
      <c r="O3803" s="88"/>
      <c r="P3803" s="88"/>
    </row>
    <row r="3804" spans="1:16">
      <c r="A3804" s="94">
        <v>89866</v>
      </c>
      <c r="B3804" s="87" t="s">
        <v>3315</v>
      </c>
      <c r="C3804" s="12" t="s">
        <v>4</v>
      </c>
      <c r="D3804" s="93">
        <v>4.08</v>
      </c>
      <c r="E3804" s="93">
        <v>2.08</v>
      </c>
      <c r="F3804" s="93">
        <v>2</v>
      </c>
      <c r="G3804" s="93">
        <v>0</v>
      </c>
      <c r="H3804" s="93">
        <v>0</v>
      </c>
      <c r="N3804" s="88"/>
      <c r="O3804" s="88"/>
      <c r="P3804" s="88"/>
    </row>
    <row r="3805" spans="1:16">
      <c r="A3805" s="94">
        <v>89867</v>
      </c>
      <c r="B3805" s="87" t="s">
        <v>3316</v>
      </c>
      <c r="C3805" s="12" t="s">
        <v>4</v>
      </c>
      <c r="D3805" s="93">
        <v>4.7</v>
      </c>
      <c r="E3805" s="93">
        <v>2.06</v>
      </c>
      <c r="F3805" s="93">
        <v>2.64</v>
      </c>
      <c r="G3805" s="93">
        <v>0</v>
      </c>
      <c r="H3805" s="93">
        <v>0</v>
      </c>
      <c r="N3805" s="88"/>
      <c r="O3805" s="88"/>
      <c r="P3805" s="88"/>
    </row>
    <row r="3806" spans="1:16">
      <c r="A3806" s="94">
        <v>89868</v>
      </c>
      <c r="B3806" s="87" t="s">
        <v>363</v>
      </c>
      <c r="C3806" s="12" t="s">
        <v>4</v>
      </c>
      <c r="D3806" s="93">
        <v>3</v>
      </c>
      <c r="E3806" s="93">
        <v>1.1499999999999999</v>
      </c>
      <c r="F3806" s="93">
        <v>1.85</v>
      </c>
      <c r="G3806" s="93">
        <v>0</v>
      </c>
      <c r="H3806" s="93">
        <v>0</v>
      </c>
      <c r="N3806" s="88"/>
      <c r="O3806" s="88"/>
      <c r="P3806" s="88"/>
    </row>
    <row r="3807" spans="1:16">
      <c r="A3807" s="94">
        <v>89869</v>
      </c>
      <c r="B3807" s="87" t="s">
        <v>3317</v>
      </c>
      <c r="C3807" s="12" t="s">
        <v>4</v>
      </c>
      <c r="D3807" s="93">
        <v>6.51</v>
      </c>
      <c r="E3807" s="93">
        <v>2.63</v>
      </c>
      <c r="F3807" s="93">
        <v>3.88</v>
      </c>
      <c r="G3807" s="93">
        <v>0</v>
      </c>
      <c r="H3807" s="93">
        <v>0</v>
      </c>
      <c r="N3807" s="88"/>
      <c r="O3807" s="88"/>
      <c r="P3807" s="88"/>
    </row>
    <row r="3808" spans="1:16">
      <c r="A3808" s="94">
        <v>89979</v>
      </c>
      <c r="B3808" s="87" t="s">
        <v>3318</v>
      </c>
      <c r="C3808" s="12" t="s">
        <v>4</v>
      </c>
      <c r="D3808" s="93">
        <v>20.6</v>
      </c>
      <c r="E3808" s="93">
        <v>3.46</v>
      </c>
      <c r="F3808" s="93">
        <v>17.14</v>
      </c>
      <c r="G3808" s="93">
        <v>0</v>
      </c>
      <c r="H3808" s="93">
        <v>0</v>
      </c>
      <c r="N3808" s="88"/>
      <c r="O3808" s="88"/>
      <c r="P3808" s="88"/>
    </row>
    <row r="3809" spans="1:16">
      <c r="A3809" s="94">
        <v>89980</v>
      </c>
      <c r="B3809" s="87" t="s">
        <v>3319</v>
      </c>
      <c r="C3809" s="12" t="s">
        <v>4</v>
      </c>
      <c r="D3809" s="93">
        <v>7.83</v>
      </c>
      <c r="E3809" s="93">
        <v>1.1399999999999999</v>
      </c>
      <c r="F3809" s="93">
        <v>6.69</v>
      </c>
      <c r="G3809" s="93">
        <v>0</v>
      </c>
      <c r="H3809" s="93">
        <v>0</v>
      </c>
      <c r="N3809" s="88"/>
      <c r="O3809" s="88"/>
      <c r="P3809" s="88"/>
    </row>
    <row r="3810" spans="1:16">
      <c r="A3810" s="94">
        <v>89981</v>
      </c>
      <c r="B3810" s="87" t="s">
        <v>3320</v>
      </c>
      <c r="C3810" s="12" t="s">
        <v>4</v>
      </c>
      <c r="D3810" s="93">
        <v>17.89</v>
      </c>
      <c r="E3810" s="93">
        <v>1.41</v>
      </c>
      <c r="F3810" s="93">
        <v>16.48</v>
      </c>
      <c r="G3810" s="93">
        <v>0</v>
      </c>
      <c r="H3810" s="93">
        <v>0</v>
      </c>
      <c r="N3810" s="88"/>
      <c r="O3810" s="88"/>
      <c r="P3810" s="88"/>
    </row>
    <row r="3811" spans="1:16">
      <c r="A3811" s="94">
        <v>90373</v>
      </c>
      <c r="B3811" s="87" t="s">
        <v>3321</v>
      </c>
      <c r="C3811" s="12" t="s">
        <v>4</v>
      </c>
      <c r="D3811" s="93">
        <v>11.5</v>
      </c>
      <c r="E3811" s="93">
        <v>4.38</v>
      </c>
      <c r="F3811" s="93">
        <v>7.12</v>
      </c>
      <c r="G3811" s="93">
        <v>0</v>
      </c>
      <c r="H3811" s="93">
        <v>0</v>
      </c>
      <c r="N3811" s="88"/>
      <c r="O3811" s="88"/>
      <c r="P3811" s="88"/>
    </row>
    <row r="3812" spans="1:16">
      <c r="A3812" s="94">
        <v>90374</v>
      </c>
      <c r="B3812" s="87" t="s">
        <v>3322</v>
      </c>
      <c r="C3812" s="12" t="s">
        <v>4</v>
      </c>
      <c r="D3812" s="93">
        <v>17.84</v>
      </c>
      <c r="E3812" s="93">
        <v>5.83</v>
      </c>
      <c r="F3812" s="93">
        <v>12.01</v>
      </c>
      <c r="G3812" s="93">
        <v>0</v>
      </c>
      <c r="H3812" s="93">
        <v>0</v>
      </c>
      <c r="N3812" s="88"/>
      <c r="O3812" s="88"/>
      <c r="P3812" s="88"/>
    </row>
    <row r="3813" spans="1:16">
      <c r="A3813" s="94">
        <v>90375</v>
      </c>
      <c r="B3813" s="87" t="s">
        <v>364</v>
      </c>
      <c r="C3813" s="12" t="s">
        <v>4</v>
      </c>
      <c r="D3813" s="93">
        <v>7.26</v>
      </c>
      <c r="E3813" s="93">
        <v>3.48</v>
      </c>
      <c r="F3813" s="93">
        <v>3.78</v>
      </c>
      <c r="G3813" s="93">
        <v>0</v>
      </c>
      <c r="H3813" s="93">
        <v>0</v>
      </c>
      <c r="N3813" s="88"/>
      <c r="O3813" s="88"/>
      <c r="P3813" s="88"/>
    </row>
    <row r="3814" spans="1:16">
      <c r="A3814" s="94">
        <v>92287</v>
      </c>
      <c r="B3814" s="87" t="s">
        <v>3323</v>
      </c>
      <c r="C3814" s="12" t="s">
        <v>4</v>
      </c>
      <c r="D3814" s="93">
        <v>13.02</v>
      </c>
      <c r="E3814" s="93">
        <v>2.79</v>
      </c>
      <c r="F3814" s="93">
        <v>10.23</v>
      </c>
      <c r="G3814" s="93">
        <v>0</v>
      </c>
      <c r="H3814" s="93">
        <v>0</v>
      </c>
      <c r="N3814" s="88"/>
      <c r="O3814" s="88"/>
      <c r="P3814" s="88"/>
    </row>
    <row r="3815" spans="1:16">
      <c r="A3815" s="94">
        <v>92288</v>
      </c>
      <c r="B3815" s="87" t="s">
        <v>3324</v>
      </c>
      <c r="C3815" s="12" t="s">
        <v>4</v>
      </c>
      <c r="D3815" s="93">
        <v>19.989999999999998</v>
      </c>
      <c r="E3815" s="93">
        <v>3.31</v>
      </c>
      <c r="F3815" s="93">
        <v>16.68</v>
      </c>
      <c r="G3815" s="93">
        <v>0</v>
      </c>
      <c r="H3815" s="93">
        <v>0</v>
      </c>
      <c r="N3815" s="88"/>
      <c r="O3815" s="88"/>
      <c r="P3815" s="88"/>
    </row>
    <row r="3816" spans="1:16">
      <c r="A3816" s="94">
        <v>92289</v>
      </c>
      <c r="B3816" s="87" t="s">
        <v>3325</v>
      </c>
      <c r="C3816" s="12" t="s">
        <v>4</v>
      </c>
      <c r="D3816" s="93">
        <v>34.799999999999997</v>
      </c>
      <c r="E3816" s="93">
        <v>3.91</v>
      </c>
      <c r="F3816" s="93">
        <v>30.89</v>
      </c>
      <c r="G3816" s="93">
        <v>0</v>
      </c>
      <c r="H3816" s="93">
        <v>0</v>
      </c>
      <c r="N3816" s="88"/>
      <c r="O3816" s="88"/>
      <c r="P3816" s="88"/>
    </row>
    <row r="3817" spans="1:16">
      <c r="A3817" s="94">
        <v>92290</v>
      </c>
      <c r="B3817" s="87" t="s">
        <v>3326</v>
      </c>
      <c r="C3817" s="12" t="s">
        <v>4</v>
      </c>
      <c r="D3817" s="93">
        <v>52.68</v>
      </c>
      <c r="E3817" s="93">
        <v>4.51</v>
      </c>
      <c r="F3817" s="93">
        <v>48.17</v>
      </c>
      <c r="G3817" s="93">
        <v>0</v>
      </c>
      <c r="H3817" s="93">
        <v>0</v>
      </c>
      <c r="N3817" s="88"/>
      <c r="O3817" s="88"/>
      <c r="P3817" s="88"/>
    </row>
    <row r="3818" spans="1:16">
      <c r="A3818" s="94">
        <v>92291</v>
      </c>
      <c r="B3818" s="87" t="s">
        <v>3327</v>
      </c>
      <c r="C3818" s="12" t="s">
        <v>4</v>
      </c>
      <c r="D3818" s="93">
        <v>80.52</v>
      </c>
      <c r="E3818" s="93">
        <v>5.52</v>
      </c>
      <c r="F3818" s="93">
        <v>75</v>
      </c>
      <c r="G3818" s="93">
        <v>0</v>
      </c>
      <c r="H3818" s="93">
        <v>0</v>
      </c>
      <c r="N3818" s="88"/>
      <c r="O3818" s="88"/>
      <c r="P3818" s="88"/>
    </row>
    <row r="3819" spans="1:16">
      <c r="A3819" s="94">
        <v>92292</v>
      </c>
      <c r="B3819" s="87" t="s">
        <v>3328</v>
      </c>
      <c r="C3819" s="12" t="s">
        <v>4</v>
      </c>
      <c r="D3819" s="93">
        <v>250.11</v>
      </c>
      <c r="E3819" s="93">
        <v>6.54</v>
      </c>
      <c r="F3819" s="93">
        <v>243.57</v>
      </c>
      <c r="G3819" s="93">
        <v>0</v>
      </c>
      <c r="H3819" s="93">
        <v>0</v>
      </c>
      <c r="N3819" s="88"/>
      <c r="O3819" s="88"/>
      <c r="P3819" s="88"/>
    </row>
    <row r="3820" spans="1:16">
      <c r="A3820" s="94">
        <v>92293</v>
      </c>
      <c r="B3820" s="87" t="s">
        <v>3329</v>
      </c>
      <c r="C3820" s="12" t="s">
        <v>4</v>
      </c>
      <c r="D3820" s="93">
        <v>7.52</v>
      </c>
      <c r="E3820" s="93">
        <v>1.85</v>
      </c>
      <c r="F3820" s="93">
        <v>5.67</v>
      </c>
      <c r="G3820" s="93">
        <v>0</v>
      </c>
      <c r="H3820" s="93">
        <v>0</v>
      </c>
      <c r="N3820" s="88"/>
      <c r="O3820" s="88"/>
      <c r="P3820" s="88"/>
    </row>
    <row r="3821" spans="1:16">
      <c r="A3821" s="94">
        <v>92294</v>
      </c>
      <c r="B3821" s="87" t="s">
        <v>3330</v>
      </c>
      <c r="C3821" s="12" t="s">
        <v>4</v>
      </c>
      <c r="D3821" s="93">
        <v>12.29</v>
      </c>
      <c r="E3821" s="93">
        <v>2.2000000000000002</v>
      </c>
      <c r="F3821" s="93">
        <v>10.09</v>
      </c>
      <c r="G3821" s="93">
        <v>0</v>
      </c>
      <c r="H3821" s="93">
        <v>0</v>
      </c>
      <c r="N3821" s="88"/>
      <c r="O3821" s="88"/>
      <c r="P3821" s="88"/>
    </row>
    <row r="3822" spans="1:16">
      <c r="A3822" s="94">
        <v>92295</v>
      </c>
      <c r="B3822" s="87" t="s">
        <v>3331</v>
      </c>
      <c r="C3822" s="12" t="s">
        <v>4</v>
      </c>
      <c r="D3822" s="93">
        <v>22.66</v>
      </c>
      <c r="E3822" s="93">
        <v>2.58</v>
      </c>
      <c r="F3822" s="93">
        <v>20.079999999999998</v>
      </c>
      <c r="G3822" s="93">
        <v>0</v>
      </c>
      <c r="H3822" s="93">
        <v>0</v>
      </c>
      <c r="N3822" s="88"/>
      <c r="O3822" s="88"/>
      <c r="P3822" s="88"/>
    </row>
    <row r="3823" spans="1:16">
      <c r="A3823" s="94">
        <v>92296</v>
      </c>
      <c r="B3823" s="87" t="s">
        <v>3332</v>
      </c>
      <c r="C3823" s="12" t="s">
        <v>4</v>
      </c>
      <c r="D3823" s="93">
        <v>30.13</v>
      </c>
      <c r="E3823" s="93">
        <v>2.99</v>
      </c>
      <c r="F3823" s="93">
        <v>27.14</v>
      </c>
      <c r="G3823" s="93">
        <v>0</v>
      </c>
      <c r="H3823" s="93">
        <v>0</v>
      </c>
      <c r="N3823" s="88"/>
      <c r="O3823" s="88"/>
      <c r="P3823" s="88"/>
    </row>
    <row r="3824" spans="1:16">
      <c r="A3824" s="94">
        <v>92297</v>
      </c>
      <c r="B3824" s="87" t="s">
        <v>3333</v>
      </c>
      <c r="C3824" s="12" t="s">
        <v>4</v>
      </c>
      <c r="D3824" s="93">
        <v>46.45</v>
      </c>
      <c r="E3824" s="93">
        <v>3.68</v>
      </c>
      <c r="F3824" s="93">
        <v>42.77</v>
      </c>
      <c r="G3824" s="93">
        <v>0</v>
      </c>
      <c r="H3824" s="93">
        <v>0</v>
      </c>
      <c r="N3824" s="88"/>
      <c r="O3824" s="88"/>
      <c r="P3824" s="88"/>
    </row>
    <row r="3825" spans="1:16">
      <c r="A3825" s="94">
        <v>92298</v>
      </c>
      <c r="B3825" s="87" t="s">
        <v>3334</v>
      </c>
      <c r="C3825" s="12" t="s">
        <v>4</v>
      </c>
      <c r="D3825" s="93">
        <v>129.59</v>
      </c>
      <c r="E3825" s="93">
        <v>4.37</v>
      </c>
      <c r="F3825" s="93">
        <v>125.22</v>
      </c>
      <c r="G3825" s="93">
        <v>0</v>
      </c>
      <c r="H3825" s="93">
        <v>0</v>
      </c>
      <c r="N3825" s="88"/>
      <c r="O3825" s="88"/>
      <c r="P3825" s="88"/>
    </row>
    <row r="3826" spans="1:16">
      <c r="A3826" s="94">
        <v>92299</v>
      </c>
      <c r="B3826" s="87" t="s">
        <v>3335</v>
      </c>
      <c r="C3826" s="12" t="s">
        <v>4</v>
      </c>
      <c r="D3826" s="93">
        <v>17.18</v>
      </c>
      <c r="E3826" s="93">
        <v>3.71</v>
      </c>
      <c r="F3826" s="93">
        <v>13.47</v>
      </c>
      <c r="G3826" s="93">
        <v>0</v>
      </c>
      <c r="H3826" s="93">
        <v>0</v>
      </c>
      <c r="N3826" s="88"/>
      <c r="O3826" s="88"/>
      <c r="P3826" s="88"/>
    </row>
    <row r="3827" spans="1:16">
      <c r="A3827" s="94">
        <v>92300</v>
      </c>
      <c r="B3827" s="87" t="s">
        <v>3336</v>
      </c>
      <c r="C3827" s="12" t="s">
        <v>4</v>
      </c>
      <c r="D3827" s="93">
        <v>25.48</v>
      </c>
      <c r="E3827" s="93">
        <v>4.43</v>
      </c>
      <c r="F3827" s="93">
        <v>21.05</v>
      </c>
      <c r="G3827" s="93">
        <v>0</v>
      </c>
      <c r="H3827" s="93">
        <v>0</v>
      </c>
      <c r="N3827" s="88"/>
      <c r="O3827" s="88"/>
      <c r="P3827" s="88"/>
    </row>
    <row r="3828" spans="1:16">
      <c r="A3828" s="94">
        <v>92301</v>
      </c>
      <c r="B3828" s="87" t="s">
        <v>3337</v>
      </c>
      <c r="C3828" s="12" t="s">
        <v>4</v>
      </c>
      <c r="D3828" s="93">
        <v>49.46</v>
      </c>
      <c r="E3828" s="93">
        <v>5.19</v>
      </c>
      <c r="F3828" s="93">
        <v>44.27</v>
      </c>
      <c r="G3828" s="93">
        <v>0</v>
      </c>
      <c r="H3828" s="93">
        <v>0</v>
      </c>
      <c r="N3828" s="88"/>
      <c r="O3828" s="88"/>
      <c r="P3828" s="88"/>
    </row>
    <row r="3829" spans="1:16">
      <c r="A3829" s="94">
        <v>92302</v>
      </c>
      <c r="B3829" s="87" t="s">
        <v>3338</v>
      </c>
      <c r="C3829" s="12" t="s">
        <v>4</v>
      </c>
      <c r="D3829" s="93">
        <v>65.38</v>
      </c>
      <c r="E3829" s="93">
        <v>6</v>
      </c>
      <c r="F3829" s="93">
        <v>59.38</v>
      </c>
      <c r="G3829" s="93">
        <v>0</v>
      </c>
      <c r="H3829" s="93">
        <v>0</v>
      </c>
      <c r="N3829" s="88"/>
      <c r="O3829" s="88"/>
      <c r="P3829" s="88"/>
    </row>
    <row r="3830" spans="1:16">
      <c r="A3830" s="94">
        <v>92303</v>
      </c>
      <c r="B3830" s="87" t="s">
        <v>3339</v>
      </c>
      <c r="C3830" s="12" t="s">
        <v>4</v>
      </c>
      <c r="D3830" s="93">
        <v>119.26</v>
      </c>
      <c r="E3830" s="93">
        <v>7.36</v>
      </c>
      <c r="F3830" s="93">
        <v>111.9</v>
      </c>
      <c r="G3830" s="93">
        <v>0</v>
      </c>
      <c r="H3830" s="93">
        <v>0</v>
      </c>
      <c r="N3830" s="88"/>
      <c r="O3830" s="88"/>
      <c r="P3830" s="88"/>
    </row>
    <row r="3831" spans="1:16">
      <c r="A3831" s="94">
        <v>92304</v>
      </c>
      <c r="B3831" s="87" t="s">
        <v>3340</v>
      </c>
      <c r="C3831" s="12" t="s">
        <v>4</v>
      </c>
      <c r="D3831" s="93">
        <v>308.75</v>
      </c>
      <c r="E3831" s="93">
        <v>8.74</v>
      </c>
      <c r="F3831" s="93">
        <v>300.01</v>
      </c>
      <c r="G3831" s="93">
        <v>0</v>
      </c>
      <c r="H3831" s="93">
        <v>0</v>
      </c>
      <c r="N3831" s="88"/>
      <c r="O3831" s="88"/>
      <c r="P3831" s="88"/>
    </row>
    <row r="3832" spans="1:16">
      <c r="A3832" s="94">
        <v>92311</v>
      </c>
      <c r="B3832" s="87" t="s">
        <v>3341</v>
      </c>
      <c r="C3832" s="12" t="s">
        <v>4</v>
      </c>
      <c r="D3832" s="93">
        <v>9.52</v>
      </c>
      <c r="E3832" s="93">
        <v>4.01</v>
      </c>
      <c r="F3832" s="93">
        <v>5.51</v>
      </c>
      <c r="G3832" s="93">
        <v>0</v>
      </c>
      <c r="H3832" s="93">
        <v>0</v>
      </c>
      <c r="N3832" s="88"/>
      <c r="O3832" s="88"/>
      <c r="P3832" s="88"/>
    </row>
    <row r="3833" spans="1:16">
      <c r="A3833" s="94">
        <v>92312</v>
      </c>
      <c r="B3833" s="87" t="s">
        <v>3342</v>
      </c>
      <c r="C3833" s="12" t="s">
        <v>4</v>
      </c>
      <c r="D3833" s="93">
        <v>15.36</v>
      </c>
      <c r="E3833" s="93">
        <v>4.62</v>
      </c>
      <c r="F3833" s="93">
        <v>10.74</v>
      </c>
      <c r="G3833" s="93">
        <v>0</v>
      </c>
      <c r="H3833" s="93">
        <v>0</v>
      </c>
      <c r="N3833" s="88"/>
      <c r="O3833" s="88"/>
      <c r="P3833" s="88"/>
    </row>
    <row r="3834" spans="1:16">
      <c r="A3834" s="94">
        <v>92313</v>
      </c>
      <c r="B3834" s="87" t="s">
        <v>3343</v>
      </c>
      <c r="C3834" s="12" t="s">
        <v>4</v>
      </c>
      <c r="D3834" s="93">
        <v>22.32</v>
      </c>
      <c r="E3834" s="93">
        <v>5.12</v>
      </c>
      <c r="F3834" s="93">
        <v>17.2</v>
      </c>
      <c r="G3834" s="93">
        <v>0</v>
      </c>
      <c r="H3834" s="93">
        <v>0</v>
      </c>
      <c r="N3834" s="88"/>
      <c r="O3834" s="88"/>
      <c r="P3834" s="88"/>
    </row>
    <row r="3835" spans="1:16">
      <c r="A3835" s="94">
        <v>92314</v>
      </c>
      <c r="B3835" s="87" t="s">
        <v>3344</v>
      </c>
      <c r="C3835" s="12" t="s">
        <v>4</v>
      </c>
      <c r="D3835" s="93">
        <v>6.19</v>
      </c>
      <c r="E3835" s="93">
        <v>2.66</v>
      </c>
      <c r="F3835" s="93">
        <v>3.53</v>
      </c>
      <c r="G3835" s="93">
        <v>0</v>
      </c>
      <c r="H3835" s="93">
        <v>0</v>
      </c>
      <c r="N3835" s="88"/>
      <c r="O3835" s="88"/>
      <c r="P3835" s="88"/>
    </row>
    <row r="3836" spans="1:16">
      <c r="A3836" s="94">
        <v>92315</v>
      </c>
      <c r="B3836" s="87" t="s">
        <v>3345</v>
      </c>
      <c r="C3836" s="12" t="s">
        <v>4</v>
      </c>
      <c r="D3836" s="93">
        <v>9.11</v>
      </c>
      <c r="E3836" s="93">
        <v>3.1</v>
      </c>
      <c r="F3836" s="93">
        <v>6.01</v>
      </c>
      <c r="G3836" s="93">
        <v>0</v>
      </c>
      <c r="H3836" s="93">
        <v>0</v>
      </c>
      <c r="N3836" s="88"/>
      <c r="O3836" s="88"/>
      <c r="P3836" s="88"/>
    </row>
    <row r="3837" spans="1:16">
      <c r="A3837" s="94">
        <v>92316</v>
      </c>
      <c r="B3837" s="87" t="s">
        <v>3346</v>
      </c>
      <c r="C3837" s="12" t="s">
        <v>4</v>
      </c>
      <c r="D3837" s="93">
        <v>13.87</v>
      </c>
      <c r="E3837" s="93">
        <v>3.44</v>
      </c>
      <c r="F3837" s="93">
        <v>10.43</v>
      </c>
      <c r="G3837" s="93">
        <v>0</v>
      </c>
      <c r="H3837" s="93">
        <v>0</v>
      </c>
      <c r="N3837" s="88"/>
      <c r="O3837" s="88"/>
      <c r="P3837" s="88"/>
    </row>
    <row r="3838" spans="1:16">
      <c r="A3838" s="94">
        <v>92317</v>
      </c>
      <c r="B3838" s="87" t="s">
        <v>3347</v>
      </c>
      <c r="C3838" s="12" t="s">
        <v>4</v>
      </c>
      <c r="D3838" s="93">
        <v>12.93</v>
      </c>
      <c r="E3838" s="93">
        <v>5.33</v>
      </c>
      <c r="F3838" s="93">
        <v>7.6</v>
      </c>
      <c r="G3838" s="93">
        <v>0</v>
      </c>
      <c r="H3838" s="93">
        <v>0</v>
      </c>
      <c r="N3838" s="88"/>
      <c r="O3838" s="88"/>
      <c r="P3838" s="88"/>
    </row>
    <row r="3839" spans="1:16">
      <c r="A3839" s="94">
        <v>92318</v>
      </c>
      <c r="B3839" s="87" t="s">
        <v>3348</v>
      </c>
      <c r="C3839" s="12" t="s">
        <v>4</v>
      </c>
      <c r="D3839" s="93">
        <v>20.32</v>
      </c>
      <c r="E3839" s="93">
        <v>6.16</v>
      </c>
      <c r="F3839" s="93">
        <v>14.16</v>
      </c>
      <c r="G3839" s="93">
        <v>0</v>
      </c>
      <c r="H3839" s="93">
        <v>0</v>
      </c>
      <c r="N3839" s="88"/>
      <c r="O3839" s="88"/>
      <c r="P3839" s="88"/>
    </row>
    <row r="3840" spans="1:16">
      <c r="A3840" s="94">
        <v>92319</v>
      </c>
      <c r="B3840" s="87" t="s">
        <v>3349</v>
      </c>
      <c r="C3840" s="12" t="s">
        <v>4</v>
      </c>
      <c r="D3840" s="93">
        <v>28.61</v>
      </c>
      <c r="E3840" s="93">
        <v>6.84</v>
      </c>
      <c r="F3840" s="93">
        <v>21.77</v>
      </c>
      <c r="G3840" s="93">
        <v>0</v>
      </c>
      <c r="H3840" s="93">
        <v>0</v>
      </c>
      <c r="N3840" s="88"/>
      <c r="O3840" s="88"/>
      <c r="P3840" s="88"/>
    </row>
    <row r="3841" spans="1:16">
      <c r="A3841" s="94">
        <v>92326</v>
      </c>
      <c r="B3841" s="87" t="s">
        <v>3350</v>
      </c>
      <c r="C3841" s="12" t="s">
        <v>4</v>
      </c>
      <c r="D3841" s="93">
        <v>10.46</v>
      </c>
      <c r="E3841" s="93">
        <v>4.16</v>
      </c>
      <c r="F3841" s="93">
        <v>6.29</v>
      </c>
      <c r="G3841" s="93">
        <v>0.01</v>
      </c>
      <c r="H3841" s="93">
        <v>0</v>
      </c>
      <c r="N3841" s="88"/>
      <c r="O3841" s="88"/>
      <c r="P3841" s="88"/>
    </row>
    <row r="3842" spans="1:16">
      <c r="A3842" s="94">
        <v>92327</v>
      </c>
      <c r="B3842" s="87" t="s">
        <v>3351</v>
      </c>
      <c r="C3842" s="12" t="s">
        <v>4</v>
      </c>
      <c r="D3842" s="93">
        <v>17.52</v>
      </c>
      <c r="E3842" s="93">
        <v>6.27</v>
      </c>
      <c r="F3842" s="93">
        <v>11.25</v>
      </c>
      <c r="G3842" s="93">
        <v>0</v>
      </c>
      <c r="H3842" s="93">
        <v>0</v>
      </c>
      <c r="N3842" s="88"/>
      <c r="O3842" s="88"/>
      <c r="P3842" s="88"/>
    </row>
    <row r="3843" spans="1:16">
      <c r="A3843" s="94">
        <v>92328</v>
      </c>
      <c r="B3843" s="87" t="s">
        <v>3352</v>
      </c>
      <c r="C3843" s="12" t="s">
        <v>4</v>
      </c>
      <c r="D3843" s="93">
        <v>26.16</v>
      </c>
      <c r="E3843" s="93">
        <v>8.09</v>
      </c>
      <c r="F3843" s="93">
        <v>18.07</v>
      </c>
      <c r="G3843" s="93">
        <v>0</v>
      </c>
      <c r="H3843" s="93">
        <v>0</v>
      </c>
      <c r="N3843" s="88"/>
      <c r="O3843" s="88"/>
      <c r="P3843" s="88"/>
    </row>
    <row r="3844" spans="1:16">
      <c r="A3844" s="94">
        <v>92329</v>
      </c>
      <c r="B3844" s="87" t="s">
        <v>3353</v>
      </c>
      <c r="C3844" s="12" t="s">
        <v>4</v>
      </c>
      <c r="D3844" s="93">
        <v>6.34</v>
      </c>
      <c r="E3844" s="93">
        <v>2.78</v>
      </c>
      <c r="F3844" s="93">
        <v>3.56</v>
      </c>
      <c r="G3844" s="93">
        <v>0</v>
      </c>
      <c r="H3844" s="93">
        <v>0</v>
      </c>
      <c r="N3844" s="88"/>
      <c r="O3844" s="88"/>
      <c r="P3844" s="88"/>
    </row>
    <row r="3845" spans="1:16">
      <c r="A3845" s="94">
        <v>92330</v>
      </c>
      <c r="B3845" s="87" t="s">
        <v>3354</v>
      </c>
      <c r="C3845" s="12" t="s">
        <v>4</v>
      </c>
      <c r="D3845" s="93">
        <v>10.53</v>
      </c>
      <c r="E3845" s="93">
        <v>4.18</v>
      </c>
      <c r="F3845" s="93">
        <v>6.35</v>
      </c>
      <c r="G3845" s="93">
        <v>0</v>
      </c>
      <c r="H3845" s="93">
        <v>0</v>
      </c>
      <c r="N3845" s="88"/>
      <c r="O3845" s="88"/>
      <c r="P3845" s="88"/>
    </row>
    <row r="3846" spans="1:16">
      <c r="A3846" s="94">
        <v>92331</v>
      </c>
      <c r="B3846" s="87" t="s">
        <v>3355</v>
      </c>
      <c r="C3846" s="12" t="s">
        <v>4</v>
      </c>
      <c r="D3846" s="93">
        <v>16.440000000000001</v>
      </c>
      <c r="E3846" s="93">
        <v>5.39</v>
      </c>
      <c r="F3846" s="93">
        <v>11.05</v>
      </c>
      <c r="G3846" s="93">
        <v>0</v>
      </c>
      <c r="H3846" s="93">
        <v>0</v>
      </c>
      <c r="N3846" s="88"/>
      <c r="O3846" s="88"/>
      <c r="P3846" s="88"/>
    </row>
    <row r="3847" spans="1:16">
      <c r="A3847" s="94">
        <v>92332</v>
      </c>
      <c r="B3847" s="87" t="s">
        <v>3356</v>
      </c>
      <c r="C3847" s="12" t="s">
        <v>4</v>
      </c>
      <c r="D3847" s="93">
        <v>13.14</v>
      </c>
      <c r="E3847" s="93">
        <v>5.5</v>
      </c>
      <c r="F3847" s="93">
        <v>7.64</v>
      </c>
      <c r="G3847" s="93">
        <v>0</v>
      </c>
      <c r="H3847" s="93">
        <v>0</v>
      </c>
      <c r="N3847" s="88"/>
      <c r="O3847" s="88"/>
      <c r="P3847" s="88"/>
    </row>
    <row r="3848" spans="1:16">
      <c r="A3848" s="94">
        <v>92333</v>
      </c>
      <c r="B3848" s="87" t="s">
        <v>3357</v>
      </c>
      <c r="C3848" s="12" t="s">
        <v>4</v>
      </c>
      <c r="D3848" s="93">
        <v>23.17</v>
      </c>
      <c r="E3848" s="93">
        <v>8.35</v>
      </c>
      <c r="F3848" s="93">
        <v>14.82</v>
      </c>
      <c r="G3848" s="93">
        <v>0</v>
      </c>
      <c r="H3848" s="93">
        <v>0</v>
      </c>
      <c r="N3848" s="88"/>
      <c r="O3848" s="88"/>
      <c r="P3848" s="88"/>
    </row>
    <row r="3849" spans="1:16">
      <c r="A3849" s="94">
        <v>92334</v>
      </c>
      <c r="B3849" s="87" t="s">
        <v>3358</v>
      </c>
      <c r="C3849" s="12" t="s">
        <v>4</v>
      </c>
      <c r="D3849" s="93">
        <v>33.71</v>
      </c>
      <c r="E3849" s="93">
        <v>10.75</v>
      </c>
      <c r="F3849" s="93">
        <v>22.96</v>
      </c>
      <c r="G3849" s="93">
        <v>0</v>
      </c>
      <c r="H3849" s="93">
        <v>0</v>
      </c>
      <c r="N3849" s="88"/>
      <c r="O3849" s="88"/>
      <c r="P3849" s="88"/>
    </row>
    <row r="3850" spans="1:16">
      <c r="A3850" s="94">
        <v>92344</v>
      </c>
      <c r="B3850" s="87" t="s">
        <v>5964</v>
      </c>
      <c r="C3850" s="12" t="s">
        <v>4</v>
      </c>
      <c r="D3850" s="93">
        <v>49.02</v>
      </c>
      <c r="E3850" s="93">
        <v>18.829999999999998</v>
      </c>
      <c r="F3850" s="93">
        <v>30.19</v>
      </c>
      <c r="G3850" s="93">
        <v>0</v>
      </c>
      <c r="H3850" s="93">
        <v>0</v>
      </c>
      <c r="N3850" s="88"/>
      <c r="O3850" s="88"/>
      <c r="P3850" s="88"/>
    </row>
    <row r="3851" spans="1:16">
      <c r="A3851" s="94">
        <v>92345</v>
      </c>
      <c r="B3851" s="87" t="s">
        <v>5965</v>
      </c>
      <c r="C3851" s="12" t="s">
        <v>4</v>
      </c>
      <c r="D3851" s="93">
        <v>49.01</v>
      </c>
      <c r="E3851" s="93">
        <v>18.829999999999998</v>
      </c>
      <c r="F3851" s="93">
        <v>30.18</v>
      </c>
      <c r="G3851" s="93">
        <v>0</v>
      </c>
      <c r="H3851" s="93">
        <v>0</v>
      </c>
      <c r="N3851" s="88"/>
      <c r="O3851" s="88"/>
      <c r="P3851" s="88"/>
    </row>
    <row r="3852" spans="1:16">
      <c r="A3852" s="94">
        <v>92346</v>
      </c>
      <c r="B3852" s="87" t="s">
        <v>5966</v>
      </c>
      <c r="C3852" s="12" t="s">
        <v>4</v>
      </c>
      <c r="D3852" s="93">
        <v>64.23</v>
      </c>
      <c r="E3852" s="93">
        <v>20.48</v>
      </c>
      <c r="F3852" s="93">
        <v>43.75</v>
      </c>
      <c r="G3852" s="93">
        <v>0</v>
      </c>
      <c r="H3852" s="93">
        <v>0</v>
      </c>
      <c r="N3852" s="88"/>
      <c r="O3852" s="88"/>
      <c r="P3852" s="88"/>
    </row>
    <row r="3853" spans="1:16">
      <c r="A3853" s="94">
        <v>92347</v>
      </c>
      <c r="B3853" s="87" t="s">
        <v>5967</v>
      </c>
      <c r="C3853" s="12" t="s">
        <v>4</v>
      </c>
      <c r="D3853" s="93">
        <v>71.37</v>
      </c>
      <c r="E3853" s="93">
        <v>20.48</v>
      </c>
      <c r="F3853" s="93">
        <v>50.89</v>
      </c>
      <c r="G3853" s="93">
        <v>0</v>
      </c>
      <c r="H3853" s="93">
        <v>0</v>
      </c>
      <c r="N3853" s="88"/>
      <c r="O3853" s="88"/>
      <c r="P3853" s="88"/>
    </row>
    <row r="3854" spans="1:16">
      <c r="A3854" s="94">
        <v>92348</v>
      </c>
      <c r="B3854" s="87" t="s">
        <v>5968</v>
      </c>
      <c r="C3854" s="12" t="s">
        <v>4</v>
      </c>
      <c r="D3854" s="93">
        <v>89.84</v>
      </c>
      <c r="E3854" s="93">
        <v>22.1</v>
      </c>
      <c r="F3854" s="93">
        <v>67.739999999999995</v>
      </c>
      <c r="G3854" s="93">
        <v>0</v>
      </c>
      <c r="H3854" s="93">
        <v>0</v>
      </c>
      <c r="N3854" s="88"/>
      <c r="O3854" s="88"/>
      <c r="P3854" s="88"/>
    </row>
    <row r="3855" spans="1:16">
      <c r="A3855" s="94">
        <v>92349</v>
      </c>
      <c r="B3855" s="87" t="s">
        <v>5969</v>
      </c>
      <c r="C3855" s="12" t="s">
        <v>4</v>
      </c>
      <c r="D3855" s="93">
        <v>96.19</v>
      </c>
      <c r="E3855" s="93">
        <v>22.1</v>
      </c>
      <c r="F3855" s="93">
        <v>74.09</v>
      </c>
      <c r="G3855" s="93">
        <v>0</v>
      </c>
      <c r="H3855" s="93">
        <v>0</v>
      </c>
      <c r="N3855" s="88"/>
      <c r="O3855" s="88"/>
      <c r="P3855" s="88"/>
    </row>
    <row r="3856" spans="1:16">
      <c r="A3856" s="94">
        <v>92350</v>
      </c>
      <c r="B3856" s="87" t="s">
        <v>5970</v>
      </c>
      <c r="C3856" s="12" t="s">
        <v>4</v>
      </c>
      <c r="D3856" s="93">
        <v>72.91</v>
      </c>
      <c r="E3856" s="93">
        <v>28.22</v>
      </c>
      <c r="F3856" s="93">
        <v>44.69</v>
      </c>
      <c r="G3856" s="93">
        <v>0</v>
      </c>
      <c r="H3856" s="93">
        <v>0</v>
      </c>
      <c r="N3856" s="88"/>
      <c r="O3856" s="88"/>
      <c r="P3856" s="88"/>
    </row>
    <row r="3857" spans="1:16">
      <c r="A3857" s="94">
        <v>92351</v>
      </c>
      <c r="B3857" s="87" t="s">
        <v>5971</v>
      </c>
      <c r="C3857" s="12" t="s">
        <v>4</v>
      </c>
      <c r="D3857" s="93">
        <v>71.33</v>
      </c>
      <c r="E3857" s="93">
        <v>28.22</v>
      </c>
      <c r="F3857" s="93">
        <v>43.11</v>
      </c>
      <c r="G3857" s="93">
        <v>0</v>
      </c>
      <c r="H3857" s="93">
        <v>0</v>
      </c>
      <c r="N3857" s="88"/>
      <c r="O3857" s="88"/>
      <c r="P3857" s="88"/>
    </row>
    <row r="3858" spans="1:16">
      <c r="A3858" s="94">
        <v>92352</v>
      </c>
      <c r="B3858" s="87" t="s">
        <v>5972</v>
      </c>
      <c r="C3858" s="12" t="s">
        <v>4</v>
      </c>
      <c r="D3858" s="93">
        <v>110.03</v>
      </c>
      <c r="E3858" s="93">
        <v>30.69</v>
      </c>
      <c r="F3858" s="93">
        <v>79.34</v>
      </c>
      <c r="G3858" s="93">
        <v>0</v>
      </c>
      <c r="H3858" s="93">
        <v>0</v>
      </c>
      <c r="N3858" s="88"/>
      <c r="O3858" s="88"/>
      <c r="P3858" s="88"/>
    </row>
    <row r="3859" spans="1:16">
      <c r="A3859" s="94">
        <v>92353</v>
      </c>
      <c r="B3859" s="87" t="s">
        <v>5973</v>
      </c>
      <c r="C3859" s="12" t="s">
        <v>4</v>
      </c>
      <c r="D3859" s="93">
        <v>103.04</v>
      </c>
      <c r="E3859" s="93">
        <v>30.69</v>
      </c>
      <c r="F3859" s="93">
        <v>72.349999999999994</v>
      </c>
      <c r="G3859" s="93">
        <v>0</v>
      </c>
      <c r="H3859" s="93">
        <v>0</v>
      </c>
      <c r="N3859" s="88"/>
      <c r="O3859" s="88"/>
      <c r="P3859" s="88"/>
    </row>
    <row r="3860" spans="1:16">
      <c r="A3860" s="94">
        <v>92354</v>
      </c>
      <c r="B3860" s="87" t="s">
        <v>5974</v>
      </c>
      <c r="C3860" s="12" t="s">
        <v>4</v>
      </c>
      <c r="D3860" s="93">
        <v>145.66</v>
      </c>
      <c r="E3860" s="93">
        <v>33.17</v>
      </c>
      <c r="F3860" s="93">
        <v>112.49</v>
      </c>
      <c r="G3860" s="93">
        <v>0</v>
      </c>
      <c r="H3860" s="93">
        <v>0</v>
      </c>
      <c r="N3860" s="88"/>
      <c r="O3860" s="88"/>
      <c r="P3860" s="88"/>
    </row>
    <row r="3861" spans="1:16">
      <c r="A3861" s="94">
        <v>92355</v>
      </c>
      <c r="B3861" s="87" t="s">
        <v>5975</v>
      </c>
      <c r="C3861" s="12" t="s">
        <v>4</v>
      </c>
      <c r="D3861" s="93">
        <v>132.19999999999999</v>
      </c>
      <c r="E3861" s="93">
        <v>33.18</v>
      </c>
      <c r="F3861" s="93">
        <v>99.02</v>
      </c>
      <c r="G3861" s="93">
        <v>0</v>
      </c>
      <c r="H3861" s="93">
        <v>0</v>
      </c>
      <c r="N3861" s="88"/>
      <c r="O3861" s="88"/>
      <c r="P3861" s="88"/>
    </row>
    <row r="3862" spans="1:16">
      <c r="A3862" s="94">
        <v>92356</v>
      </c>
      <c r="B3862" s="87" t="s">
        <v>5976</v>
      </c>
      <c r="C3862" s="12" t="s">
        <v>4</v>
      </c>
      <c r="D3862" s="93">
        <v>95.08</v>
      </c>
      <c r="E3862" s="93">
        <v>37.659999999999997</v>
      </c>
      <c r="F3862" s="93">
        <v>57.42</v>
      </c>
      <c r="G3862" s="93">
        <v>0</v>
      </c>
      <c r="H3862" s="93">
        <v>0</v>
      </c>
      <c r="N3862" s="88"/>
      <c r="O3862" s="88"/>
      <c r="P3862" s="88"/>
    </row>
    <row r="3863" spans="1:16">
      <c r="A3863" s="94">
        <v>92357</v>
      </c>
      <c r="B3863" s="87" t="s">
        <v>5977</v>
      </c>
      <c r="C3863" s="12" t="s">
        <v>4</v>
      </c>
      <c r="D3863" s="93">
        <v>140.9</v>
      </c>
      <c r="E3863" s="93">
        <v>40.93</v>
      </c>
      <c r="F3863" s="93">
        <v>99.97</v>
      </c>
      <c r="G3863" s="93">
        <v>0</v>
      </c>
      <c r="H3863" s="93">
        <v>0</v>
      </c>
      <c r="N3863" s="88"/>
      <c r="O3863" s="88"/>
      <c r="P3863" s="88"/>
    </row>
    <row r="3864" spans="1:16">
      <c r="A3864" s="94">
        <v>92358</v>
      </c>
      <c r="B3864" s="87" t="s">
        <v>5978</v>
      </c>
      <c r="C3864" s="12" t="s">
        <v>4</v>
      </c>
      <c r="D3864" s="93">
        <v>174.98</v>
      </c>
      <c r="E3864" s="93">
        <v>44.22</v>
      </c>
      <c r="F3864" s="93">
        <v>130.76</v>
      </c>
      <c r="G3864" s="93">
        <v>0</v>
      </c>
      <c r="H3864" s="93">
        <v>0</v>
      </c>
      <c r="N3864" s="88"/>
      <c r="O3864" s="88"/>
      <c r="P3864" s="88"/>
    </row>
    <row r="3865" spans="1:16">
      <c r="A3865" s="94">
        <v>92369</v>
      </c>
      <c r="B3865" s="87" t="s">
        <v>5979</v>
      </c>
      <c r="C3865" s="12" t="s">
        <v>4</v>
      </c>
      <c r="D3865" s="93">
        <v>26.6</v>
      </c>
      <c r="E3865" s="93">
        <v>14.33</v>
      </c>
      <c r="F3865" s="93">
        <v>12.27</v>
      </c>
      <c r="G3865" s="93">
        <v>0</v>
      </c>
      <c r="H3865" s="93">
        <v>0</v>
      </c>
      <c r="N3865" s="88"/>
      <c r="O3865" s="88"/>
      <c r="P3865" s="88"/>
    </row>
    <row r="3866" spans="1:16">
      <c r="A3866" s="94">
        <v>92370</v>
      </c>
      <c r="B3866" s="87" t="s">
        <v>5980</v>
      </c>
      <c r="C3866" s="12" t="s">
        <v>4</v>
      </c>
      <c r="D3866" s="93">
        <v>27.89</v>
      </c>
      <c r="E3866" s="93">
        <v>14.33</v>
      </c>
      <c r="F3866" s="93">
        <v>13.56</v>
      </c>
      <c r="G3866" s="93">
        <v>0</v>
      </c>
      <c r="H3866" s="93">
        <v>0</v>
      </c>
      <c r="N3866" s="88"/>
      <c r="O3866" s="88"/>
      <c r="P3866" s="88"/>
    </row>
    <row r="3867" spans="1:16">
      <c r="A3867" s="94">
        <v>92371</v>
      </c>
      <c r="B3867" s="87" t="s">
        <v>5981</v>
      </c>
      <c r="C3867" s="12" t="s">
        <v>4</v>
      </c>
      <c r="D3867" s="93">
        <v>32.1</v>
      </c>
      <c r="E3867" s="93">
        <v>15.56</v>
      </c>
      <c r="F3867" s="93">
        <v>16.54</v>
      </c>
      <c r="G3867" s="93">
        <v>0</v>
      </c>
      <c r="H3867" s="93">
        <v>0</v>
      </c>
      <c r="N3867" s="88"/>
      <c r="O3867" s="88"/>
      <c r="P3867" s="88"/>
    </row>
    <row r="3868" spans="1:16">
      <c r="A3868" s="94">
        <v>92372</v>
      </c>
      <c r="B3868" s="87" t="s">
        <v>5982</v>
      </c>
      <c r="C3868" s="12" t="s">
        <v>4</v>
      </c>
      <c r="D3868" s="93">
        <v>33.29</v>
      </c>
      <c r="E3868" s="93">
        <v>15.56</v>
      </c>
      <c r="F3868" s="93">
        <v>17.73</v>
      </c>
      <c r="G3868" s="93">
        <v>0</v>
      </c>
      <c r="H3868" s="93">
        <v>0</v>
      </c>
      <c r="N3868" s="88"/>
      <c r="O3868" s="88"/>
      <c r="P3868" s="88"/>
    </row>
    <row r="3869" spans="1:16">
      <c r="A3869" s="94">
        <v>92373</v>
      </c>
      <c r="B3869" s="87" t="s">
        <v>5983</v>
      </c>
      <c r="C3869" s="12" t="s">
        <v>4</v>
      </c>
      <c r="D3869" s="93">
        <v>37.86</v>
      </c>
      <c r="E3869" s="93">
        <v>16.98</v>
      </c>
      <c r="F3869" s="93">
        <v>20.88</v>
      </c>
      <c r="G3869" s="93">
        <v>0</v>
      </c>
      <c r="H3869" s="93">
        <v>0</v>
      </c>
      <c r="N3869" s="88"/>
      <c r="O3869" s="88"/>
      <c r="P3869" s="88"/>
    </row>
    <row r="3870" spans="1:16">
      <c r="A3870" s="94">
        <v>92374</v>
      </c>
      <c r="B3870" s="87" t="s">
        <v>5984</v>
      </c>
      <c r="C3870" s="12" t="s">
        <v>4</v>
      </c>
      <c r="D3870" s="93">
        <v>38.090000000000003</v>
      </c>
      <c r="E3870" s="93">
        <v>16.98</v>
      </c>
      <c r="F3870" s="93">
        <v>21.11</v>
      </c>
      <c r="G3870" s="93">
        <v>0</v>
      </c>
      <c r="H3870" s="93">
        <v>0</v>
      </c>
      <c r="N3870" s="88"/>
      <c r="O3870" s="88"/>
      <c r="P3870" s="88"/>
    </row>
    <row r="3871" spans="1:16">
      <c r="A3871" s="94">
        <v>92375</v>
      </c>
      <c r="B3871" s="87" t="s">
        <v>5985</v>
      </c>
      <c r="C3871" s="12" t="s">
        <v>4</v>
      </c>
      <c r="D3871" s="93">
        <v>48.98</v>
      </c>
      <c r="E3871" s="93">
        <v>18.79</v>
      </c>
      <c r="F3871" s="93">
        <v>30.19</v>
      </c>
      <c r="G3871" s="93">
        <v>0</v>
      </c>
      <c r="H3871" s="93">
        <v>0</v>
      </c>
      <c r="N3871" s="88"/>
      <c r="O3871" s="88"/>
      <c r="P3871" s="88"/>
    </row>
    <row r="3872" spans="1:16">
      <c r="A3872" s="94">
        <v>92376</v>
      </c>
      <c r="B3872" s="87" t="s">
        <v>5986</v>
      </c>
      <c r="C3872" s="12" t="s">
        <v>4</v>
      </c>
      <c r="D3872" s="93">
        <v>48.97</v>
      </c>
      <c r="E3872" s="93">
        <v>18.79</v>
      </c>
      <c r="F3872" s="93">
        <v>30.18</v>
      </c>
      <c r="G3872" s="93">
        <v>0</v>
      </c>
      <c r="H3872" s="93">
        <v>0</v>
      </c>
      <c r="N3872" s="88"/>
      <c r="O3872" s="88"/>
      <c r="P3872" s="88"/>
    </row>
    <row r="3873" spans="1:16">
      <c r="A3873" s="94">
        <v>92377</v>
      </c>
      <c r="B3873" s="87" t="s">
        <v>5987</v>
      </c>
      <c r="C3873" s="12" t="s">
        <v>4</v>
      </c>
      <c r="D3873" s="93">
        <v>65.510000000000005</v>
      </c>
      <c r="E3873" s="93">
        <v>21.48</v>
      </c>
      <c r="F3873" s="93">
        <v>44.03</v>
      </c>
      <c r="G3873" s="93">
        <v>0</v>
      </c>
      <c r="H3873" s="93">
        <v>0</v>
      </c>
      <c r="N3873" s="88"/>
      <c r="O3873" s="88"/>
      <c r="P3873" s="88"/>
    </row>
    <row r="3874" spans="1:16">
      <c r="A3874" s="94">
        <v>92378</v>
      </c>
      <c r="B3874" s="87" t="s">
        <v>5988</v>
      </c>
      <c r="C3874" s="12" t="s">
        <v>4</v>
      </c>
      <c r="D3874" s="93">
        <v>72.650000000000006</v>
      </c>
      <c r="E3874" s="93">
        <v>21.48</v>
      </c>
      <c r="F3874" s="93">
        <v>51.17</v>
      </c>
      <c r="G3874" s="93">
        <v>0</v>
      </c>
      <c r="H3874" s="93">
        <v>0</v>
      </c>
      <c r="N3874" s="88"/>
      <c r="O3874" s="88"/>
      <c r="P3874" s="88"/>
    </row>
    <row r="3875" spans="1:16">
      <c r="A3875" s="94">
        <v>92379</v>
      </c>
      <c r="B3875" s="87" t="s">
        <v>5989</v>
      </c>
      <c r="C3875" s="12" t="s">
        <v>4</v>
      </c>
      <c r="D3875" s="93">
        <v>92.46</v>
      </c>
      <c r="E3875" s="93">
        <v>24.15</v>
      </c>
      <c r="F3875" s="93">
        <v>68.31</v>
      </c>
      <c r="G3875" s="93">
        <v>0</v>
      </c>
      <c r="H3875" s="93">
        <v>0</v>
      </c>
      <c r="N3875" s="88"/>
      <c r="O3875" s="88"/>
      <c r="P3875" s="88"/>
    </row>
    <row r="3876" spans="1:16">
      <c r="A3876" s="94">
        <v>92380</v>
      </c>
      <c r="B3876" s="87" t="s">
        <v>5990</v>
      </c>
      <c r="C3876" s="12" t="s">
        <v>4</v>
      </c>
      <c r="D3876" s="93">
        <v>98.81</v>
      </c>
      <c r="E3876" s="93">
        <v>24.15</v>
      </c>
      <c r="F3876" s="93">
        <v>74.66</v>
      </c>
      <c r="G3876" s="93">
        <v>0</v>
      </c>
      <c r="H3876" s="93">
        <v>0</v>
      </c>
      <c r="N3876" s="88"/>
      <c r="O3876" s="88"/>
      <c r="P3876" s="88"/>
    </row>
    <row r="3877" spans="1:16">
      <c r="A3877" s="94">
        <v>92381</v>
      </c>
      <c r="B3877" s="87" t="s">
        <v>5991</v>
      </c>
      <c r="C3877" s="12" t="s">
        <v>4</v>
      </c>
      <c r="D3877" s="93">
        <v>40.26</v>
      </c>
      <c r="E3877" s="93">
        <v>21.46</v>
      </c>
      <c r="F3877" s="93">
        <v>18.8</v>
      </c>
      <c r="G3877" s="93">
        <v>0</v>
      </c>
      <c r="H3877" s="93">
        <v>0</v>
      </c>
      <c r="N3877" s="88"/>
      <c r="O3877" s="88"/>
      <c r="P3877" s="88"/>
    </row>
    <row r="3878" spans="1:16">
      <c r="A3878" s="94">
        <v>92382</v>
      </c>
      <c r="B3878" s="87" t="s">
        <v>5992</v>
      </c>
      <c r="C3878" s="12" t="s">
        <v>4</v>
      </c>
      <c r="D3878" s="93">
        <v>38.56</v>
      </c>
      <c r="E3878" s="93">
        <v>21.46</v>
      </c>
      <c r="F3878" s="93">
        <v>17.100000000000001</v>
      </c>
      <c r="G3878" s="93">
        <v>0</v>
      </c>
      <c r="H3878" s="93">
        <v>0</v>
      </c>
      <c r="N3878" s="88"/>
      <c r="O3878" s="88"/>
      <c r="P3878" s="88"/>
    </row>
    <row r="3879" spans="1:16">
      <c r="A3879" s="94">
        <v>92383</v>
      </c>
      <c r="B3879" s="87" t="s">
        <v>5993</v>
      </c>
      <c r="C3879" s="12" t="s">
        <v>4</v>
      </c>
      <c r="D3879" s="93">
        <v>50.58</v>
      </c>
      <c r="E3879" s="93">
        <v>23.32</v>
      </c>
      <c r="F3879" s="93">
        <v>27.26</v>
      </c>
      <c r="G3879" s="93">
        <v>0</v>
      </c>
      <c r="H3879" s="93">
        <v>0</v>
      </c>
      <c r="N3879" s="88"/>
      <c r="O3879" s="88"/>
      <c r="P3879" s="88"/>
    </row>
    <row r="3880" spans="1:16">
      <c r="A3880" s="94">
        <v>92384</v>
      </c>
      <c r="B3880" s="87" t="s">
        <v>5994</v>
      </c>
      <c r="C3880" s="12" t="s">
        <v>4</v>
      </c>
      <c r="D3880" s="93">
        <v>47.19</v>
      </c>
      <c r="E3880" s="93">
        <v>23.32</v>
      </c>
      <c r="F3880" s="93">
        <v>23.87</v>
      </c>
      <c r="G3880" s="93">
        <v>0</v>
      </c>
      <c r="H3880" s="93">
        <v>0</v>
      </c>
      <c r="N3880" s="88"/>
      <c r="O3880" s="88"/>
      <c r="P3880" s="88"/>
    </row>
    <row r="3881" spans="1:16">
      <c r="A3881" s="94">
        <v>92385</v>
      </c>
      <c r="B3881" s="87" t="s">
        <v>5995</v>
      </c>
      <c r="C3881" s="12" t="s">
        <v>4</v>
      </c>
      <c r="D3881" s="93">
        <v>57.92</v>
      </c>
      <c r="E3881" s="93">
        <v>25.48</v>
      </c>
      <c r="F3881" s="93">
        <v>32.44</v>
      </c>
      <c r="G3881" s="93">
        <v>0</v>
      </c>
      <c r="H3881" s="93">
        <v>0</v>
      </c>
      <c r="N3881" s="88"/>
      <c r="O3881" s="88"/>
      <c r="P3881" s="88"/>
    </row>
    <row r="3882" spans="1:16">
      <c r="A3882" s="94">
        <v>92386</v>
      </c>
      <c r="B3882" s="87" t="s">
        <v>5996</v>
      </c>
      <c r="C3882" s="12" t="s">
        <v>4</v>
      </c>
      <c r="D3882" s="93">
        <v>55.58</v>
      </c>
      <c r="E3882" s="93">
        <v>25.48</v>
      </c>
      <c r="F3882" s="93">
        <v>30.1</v>
      </c>
      <c r="G3882" s="93">
        <v>0</v>
      </c>
      <c r="H3882" s="93">
        <v>0</v>
      </c>
      <c r="N3882" s="88"/>
      <c r="O3882" s="88"/>
      <c r="P3882" s="88"/>
    </row>
    <row r="3883" spans="1:16">
      <c r="A3883" s="94">
        <v>92387</v>
      </c>
      <c r="B3883" s="87" t="s">
        <v>5997</v>
      </c>
      <c r="C3883" s="12" t="s">
        <v>4</v>
      </c>
      <c r="D3883" s="93">
        <v>72.83</v>
      </c>
      <c r="E3883" s="93">
        <v>28.15</v>
      </c>
      <c r="F3883" s="93">
        <v>44.68</v>
      </c>
      <c r="G3883" s="93">
        <v>0</v>
      </c>
      <c r="H3883" s="93">
        <v>0</v>
      </c>
      <c r="N3883" s="88"/>
      <c r="O3883" s="88"/>
      <c r="P3883" s="88"/>
    </row>
    <row r="3884" spans="1:16">
      <c r="A3884" s="94">
        <v>92388</v>
      </c>
      <c r="B3884" s="87" t="s">
        <v>5998</v>
      </c>
      <c r="C3884" s="12" t="s">
        <v>4</v>
      </c>
      <c r="D3884" s="93">
        <v>71.25</v>
      </c>
      <c r="E3884" s="93">
        <v>28.15</v>
      </c>
      <c r="F3884" s="93">
        <v>43.1</v>
      </c>
      <c r="G3884" s="93">
        <v>0</v>
      </c>
      <c r="H3884" s="93">
        <v>0</v>
      </c>
      <c r="N3884" s="88"/>
      <c r="O3884" s="88"/>
      <c r="P3884" s="88"/>
    </row>
    <row r="3885" spans="1:16">
      <c r="A3885" s="94">
        <v>92389</v>
      </c>
      <c r="B3885" s="87" t="s">
        <v>5999</v>
      </c>
      <c r="C3885" s="12" t="s">
        <v>4</v>
      </c>
      <c r="D3885" s="93">
        <v>111.97</v>
      </c>
      <c r="E3885" s="93">
        <v>32.22</v>
      </c>
      <c r="F3885" s="93">
        <v>79.75</v>
      </c>
      <c r="G3885" s="93">
        <v>0</v>
      </c>
      <c r="H3885" s="93">
        <v>0</v>
      </c>
      <c r="N3885" s="88"/>
      <c r="O3885" s="88"/>
      <c r="P3885" s="88"/>
    </row>
    <row r="3886" spans="1:16">
      <c r="A3886" s="94">
        <v>92390</v>
      </c>
      <c r="B3886" s="87" t="s">
        <v>6000</v>
      </c>
      <c r="C3886" s="12" t="s">
        <v>4</v>
      </c>
      <c r="D3886" s="93">
        <v>104.98</v>
      </c>
      <c r="E3886" s="93">
        <v>32.22</v>
      </c>
      <c r="F3886" s="93">
        <v>72.760000000000005</v>
      </c>
      <c r="G3886" s="93">
        <v>0</v>
      </c>
      <c r="H3886" s="93">
        <v>0</v>
      </c>
      <c r="N3886" s="88"/>
      <c r="O3886" s="88"/>
      <c r="P3886" s="88"/>
    </row>
    <row r="3887" spans="1:16">
      <c r="A3887" s="94">
        <v>92635</v>
      </c>
      <c r="B3887" s="87" t="s">
        <v>6001</v>
      </c>
      <c r="C3887" s="12" t="s">
        <v>4</v>
      </c>
      <c r="D3887" s="93">
        <v>149.59</v>
      </c>
      <c r="E3887" s="93">
        <v>36.24</v>
      </c>
      <c r="F3887" s="93">
        <v>113.35</v>
      </c>
      <c r="G3887" s="93">
        <v>0</v>
      </c>
      <c r="H3887" s="93">
        <v>0</v>
      </c>
      <c r="N3887" s="88"/>
      <c r="O3887" s="88"/>
      <c r="P3887" s="88"/>
    </row>
    <row r="3888" spans="1:16">
      <c r="A3888" s="94">
        <v>92636</v>
      </c>
      <c r="B3888" s="87" t="s">
        <v>6002</v>
      </c>
      <c r="C3888" s="12" t="s">
        <v>4</v>
      </c>
      <c r="D3888" s="93">
        <v>136.13</v>
      </c>
      <c r="E3888" s="93">
        <v>36.24</v>
      </c>
      <c r="F3888" s="93">
        <v>99.89</v>
      </c>
      <c r="G3888" s="93">
        <v>0</v>
      </c>
      <c r="H3888" s="93">
        <v>0</v>
      </c>
      <c r="N3888" s="88"/>
      <c r="O3888" s="88"/>
      <c r="P3888" s="88"/>
    </row>
    <row r="3889" spans="1:16">
      <c r="A3889" s="94">
        <v>92637</v>
      </c>
      <c r="B3889" s="87" t="s">
        <v>6003</v>
      </c>
      <c r="C3889" s="12" t="s">
        <v>4</v>
      </c>
      <c r="D3889" s="93">
        <v>52.07</v>
      </c>
      <c r="E3889" s="93">
        <v>28.63</v>
      </c>
      <c r="F3889" s="93">
        <v>23.44</v>
      </c>
      <c r="G3889" s="93">
        <v>0</v>
      </c>
      <c r="H3889" s="93">
        <v>0</v>
      </c>
      <c r="N3889" s="88"/>
      <c r="O3889" s="88"/>
      <c r="P3889" s="88"/>
    </row>
    <row r="3890" spans="1:16">
      <c r="A3890" s="94">
        <v>92638</v>
      </c>
      <c r="B3890" s="87" t="s">
        <v>6004</v>
      </c>
      <c r="C3890" s="12" t="s">
        <v>4</v>
      </c>
      <c r="D3890" s="93">
        <v>63.34</v>
      </c>
      <c r="E3890" s="93">
        <v>31.11</v>
      </c>
      <c r="F3890" s="93">
        <v>32.229999999999997</v>
      </c>
      <c r="G3890" s="93">
        <v>0</v>
      </c>
      <c r="H3890" s="93">
        <v>0</v>
      </c>
      <c r="N3890" s="88"/>
      <c r="O3890" s="88"/>
      <c r="P3890" s="88"/>
    </row>
    <row r="3891" spans="1:16">
      <c r="A3891" s="94">
        <v>92639</v>
      </c>
      <c r="B3891" s="87" t="s">
        <v>6005</v>
      </c>
      <c r="C3891" s="12" t="s">
        <v>4</v>
      </c>
      <c r="D3891" s="93">
        <v>73.23</v>
      </c>
      <c r="E3891" s="93">
        <v>33.97</v>
      </c>
      <c r="F3891" s="93">
        <v>39.26</v>
      </c>
      <c r="G3891" s="93">
        <v>0</v>
      </c>
      <c r="H3891" s="93">
        <v>0</v>
      </c>
      <c r="N3891" s="88"/>
      <c r="O3891" s="88"/>
      <c r="P3891" s="88"/>
    </row>
    <row r="3892" spans="1:16">
      <c r="A3892" s="94">
        <v>92640</v>
      </c>
      <c r="B3892" s="87" t="s">
        <v>6006</v>
      </c>
      <c r="C3892" s="12" t="s">
        <v>4</v>
      </c>
      <c r="D3892" s="93">
        <v>94.96</v>
      </c>
      <c r="E3892" s="93">
        <v>37.56</v>
      </c>
      <c r="F3892" s="93">
        <v>57.4</v>
      </c>
      <c r="G3892" s="93">
        <v>0</v>
      </c>
      <c r="H3892" s="93">
        <v>0</v>
      </c>
      <c r="N3892" s="88"/>
      <c r="O3892" s="88"/>
      <c r="P3892" s="88"/>
    </row>
    <row r="3893" spans="1:16">
      <c r="A3893" s="94">
        <v>92642</v>
      </c>
      <c r="B3893" s="87" t="s">
        <v>6007</v>
      </c>
      <c r="C3893" s="12" t="s">
        <v>4</v>
      </c>
      <c r="D3893" s="93">
        <v>143.44</v>
      </c>
      <c r="E3893" s="93">
        <v>42.92</v>
      </c>
      <c r="F3893" s="93">
        <v>100.52</v>
      </c>
      <c r="G3893" s="93">
        <v>0</v>
      </c>
      <c r="H3893" s="93">
        <v>0</v>
      </c>
      <c r="N3893" s="88"/>
      <c r="O3893" s="88"/>
      <c r="P3893" s="88"/>
    </row>
    <row r="3894" spans="1:16">
      <c r="A3894" s="94">
        <v>92644</v>
      </c>
      <c r="B3894" s="87" t="s">
        <v>6008</v>
      </c>
      <c r="C3894" s="12" t="s">
        <v>4</v>
      </c>
      <c r="D3894" s="93">
        <v>180.22</v>
      </c>
      <c r="E3894" s="93">
        <v>48.31</v>
      </c>
      <c r="F3894" s="93">
        <v>131.91</v>
      </c>
      <c r="G3894" s="93">
        <v>0</v>
      </c>
      <c r="H3894" s="93">
        <v>0</v>
      </c>
      <c r="N3894" s="88"/>
      <c r="O3894" s="88"/>
      <c r="P3894" s="88"/>
    </row>
    <row r="3895" spans="1:16">
      <c r="A3895" s="94">
        <v>92657</v>
      </c>
      <c r="B3895" s="87" t="s">
        <v>6009</v>
      </c>
      <c r="C3895" s="12" t="s">
        <v>4</v>
      </c>
      <c r="D3895" s="93">
        <v>19.52</v>
      </c>
      <c r="E3895" s="93">
        <v>8.7899999999999991</v>
      </c>
      <c r="F3895" s="93">
        <v>10.73</v>
      </c>
      <c r="G3895" s="93">
        <v>0</v>
      </c>
      <c r="H3895" s="93">
        <v>0</v>
      </c>
      <c r="N3895" s="88"/>
      <c r="O3895" s="88"/>
      <c r="P3895" s="88"/>
    </row>
    <row r="3896" spans="1:16">
      <c r="A3896" s="94">
        <v>92658</v>
      </c>
      <c r="B3896" s="87" t="s">
        <v>6010</v>
      </c>
      <c r="C3896" s="12" t="s">
        <v>4</v>
      </c>
      <c r="D3896" s="93">
        <v>20.81</v>
      </c>
      <c r="E3896" s="93">
        <v>8.7899999999999991</v>
      </c>
      <c r="F3896" s="93">
        <v>12.02</v>
      </c>
      <c r="G3896" s="93">
        <v>0</v>
      </c>
      <c r="H3896" s="93">
        <v>0</v>
      </c>
      <c r="N3896" s="88"/>
      <c r="O3896" s="88"/>
      <c r="P3896" s="88"/>
    </row>
    <row r="3897" spans="1:16">
      <c r="A3897" s="94">
        <v>92659</v>
      </c>
      <c r="B3897" s="87" t="s">
        <v>6011</v>
      </c>
      <c r="C3897" s="12" t="s">
        <v>4</v>
      </c>
      <c r="D3897" s="93">
        <v>24.05</v>
      </c>
      <c r="E3897" s="93">
        <v>9.2899999999999991</v>
      </c>
      <c r="F3897" s="93">
        <v>14.76</v>
      </c>
      <c r="G3897" s="93">
        <v>0</v>
      </c>
      <c r="H3897" s="93">
        <v>0</v>
      </c>
      <c r="N3897" s="88"/>
      <c r="O3897" s="88"/>
      <c r="P3897" s="88"/>
    </row>
    <row r="3898" spans="1:16">
      <c r="A3898" s="94">
        <v>92660</v>
      </c>
      <c r="B3898" s="87" t="s">
        <v>6012</v>
      </c>
      <c r="C3898" s="12" t="s">
        <v>4</v>
      </c>
      <c r="D3898" s="93">
        <v>25.24</v>
      </c>
      <c r="E3898" s="93">
        <v>9.2799999999999994</v>
      </c>
      <c r="F3898" s="93">
        <v>15.96</v>
      </c>
      <c r="G3898" s="93">
        <v>0</v>
      </c>
      <c r="H3898" s="93">
        <v>0</v>
      </c>
      <c r="N3898" s="88"/>
      <c r="O3898" s="88"/>
      <c r="P3898" s="88"/>
    </row>
    <row r="3899" spans="1:16">
      <c r="A3899" s="94">
        <v>92661</v>
      </c>
      <c r="B3899" s="87" t="s">
        <v>6013</v>
      </c>
      <c r="C3899" s="12" t="s">
        <v>4</v>
      </c>
      <c r="D3899" s="93">
        <v>28.68</v>
      </c>
      <c r="E3899" s="93">
        <v>9.84</v>
      </c>
      <c r="F3899" s="93">
        <v>18.84</v>
      </c>
      <c r="G3899" s="93">
        <v>0</v>
      </c>
      <c r="H3899" s="93">
        <v>0</v>
      </c>
      <c r="N3899" s="88"/>
      <c r="O3899" s="88"/>
      <c r="P3899" s="88"/>
    </row>
    <row r="3900" spans="1:16">
      <c r="A3900" s="94">
        <v>92662</v>
      </c>
      <c r="B3900" s="87" t="s">
        <v>6014</v>
      </c>
      <c r="C3900" s="12" t="s">
        <v>4</v>
      </c>
      <c r="D3900" s="93">
        <v>28.91</v>
      </c>
      <c r="E3900" s="93">
        <v>9.84</v>
      </c>
      <c r="F3900" s="93">
        <v>19.07</v>
      </c>
      <c r="G3900" s="93">
        <v>0</v>
      </c>
      <c r="H3900" s="93">
        <v>0</v>
      </c>
      <c r="N3900" s="88"/>
      <c r="O3900" s="88"/>
      <c r="P3900" s="88"/>
    </row>
    <row r="3901" spans="1:16">
      <c r="A3901" s="94">
        <v>92663</v>
      </c>
      <c r="B3901" s="87" t="s">
        <v>6015</v>
      </c>
      <c r="C3901" s="12" t="s">
        <v>4</v>
      </c>
      <c r="D3901" s="93">
        <v>38.42</v>
      </c>
      <c r="E3901" s="93">
        <v>10.56</v>
      </c>
      <c r="F3901" s="93">
        <v>27.86</v>
      </c>
      <c r="G3901" s="93">
        <v>0</v>
      </c>
      <c r="H3901" s="93">
        <v>0</v>
      </c>
      <c r="N3901" s="88"/>
      <c r="O3901" s="88"/>
      <c r="P3901" s="88"/>
    </row>
    <row r="3902" spans="1:16">
      <c r="A3902" s="94">
        <v>92664</v>
      </c>
      <c r="B3902" s="87" t="s">
        <v>6016</v>
      </c>
      <c r="C3902" s="12" t="s">
        <v>4</v>
      </c>
      <c r="D3902" s="93">
        <v>38.409999999999997</v>
      </c>
      <c r="E3902" s="93">
        <v>10.56</v>
      </c>
      <c r="F3902" s="93">
        <v>27.85</v>
      </c>
      <c r="G3902" s="93">
        <v>0</v>
      </c>
      <c r="H3902" s="93">
        <v>0</v>
      </c>
      <c r="N3902" s="88"/>
      <c r="O3902" s="88"/>
      <c r="P3902" s="88"/>
    </row>
    <row r="3903" spans="1:16">
      <c r="A3903" s="94">
        <v>92665</v>
      </c>
      <c r="B3903" s="87" t="s">
        <v>6017</v>
      </c>
      <c r="C3903" s="12" t="s">
        <v>4</v>
      </c>
      <c r="D3903" s="93">
        <v>52.85</v>
      </c>
      <c r="E3903" s="93">
        <v>11.6</v>
      </c>
      <c r="F3903" s="93">
        <v>41.25</v>
      </c>
      <c r="G3903" s="93">
        <v>0</v>
      </c>
      <c r="H3903" s="93">
        <v>0</v>
      </c>
      <c r="N3903" s="88"/>
      <c r="O3903" s="88"/>
      <c r="P3903" s="88"/>
    </row>
    <row r="3904" spans="1:16">
      <c r="A3904" s="94">
        <v>92666</v>
      </c>
      <c r="B3904" s="87" t="s">
        <v>6018</v>
      </c>
      <c r="C3904" s="12" t="s">
        <v>4</v>
      </c>
      <c r="D3904" s="93">
        <v>59.99</v>
      </c>
      <c r="E3904" s="93">
        <v>11.6</v>
      </c>
      <c r="F3904" s="93">
        <v>48.39</v>
      </c>
      <c r="G3904" s="93">
        <v>0</v>
      </c>
      <c r="H3904" s="93">
        <v>0</v>
      </c>
      <c r="N3904" s="88"/>
      <c r="O3904" s="88"/>
      <c r="P3904" s="88"/>
    </row>
    <row r="3905" spans="1:16">
      <c r="A3905" s="94">
        <v>92667</v>
      </c>
      <c r="B3905" s="87" t="s">
        <v>6019</v>
      </c>
      <c r="C3905" s="12" t="s">
        <v>4</v>
      </c>
      <c r="D3905" s="93">
        <v>77.75</v>
      </c>
      <c r="E3905" s="93">
        <v>12.68</v>
      </c>
      <c r="F3905" s="93">
        <v>65.069999999999993</v>
      </c>
      <c r="G3905" s="93">
        <v>0</v>
      </c>
      <c r="H3905" s="93">
        <v>0</v>
      </c>
      <c r="N3905" s="88"/>
      <c r="O3905" s="88"/>
      <c r="P3905" s="88"/>
    </row>
    <row r="3906" spans="1:16">
      <c r="A3906" s="94">
        <v>92668</v>
      </c>
      <c r="B3906" s="87" t="s">
        <v>6020</v>
      </c>
      <c r="C3906" s="12" t="s">
        <v>4</v>
      </c>
      <c r="D3906" s="93">
        <v>84.1</v>
      </c>
      <c r="E3906" s="93">
        <v>12.68</v>
      </c>
      <c r="F3906" s="93">
        <v>71.42</v>
      </c>
      <c r="G3906" s="93">
        <v>0</v>
      </c>
      <c r="H3906" s="93">
        <v>0</v>
      </c>
      <c r="N3906" s="88"/>
      <c r="O3906" s="88"/>
      <c r="P3906" s="88"/>
    </row>
    <row r="3907" spans="1:16">
      <c r="A3907" s="94">
        <v>92669</v>
      </c>
      <c r="B3907" s="87" t="s">
        <v>6021</v>
      </c>
      <c r="C3907" s="12" t="s">
        <v>4</v>
      </c>
      <c r="D3907" s="93">
        <v>29.63</v>
      </c>
      <c r="E3907" s="93">
        <v>13.16</v>
      </c>
      <c r="F3907" s="93">
        <v>16.47</v>
      </c>
      <c r="G3907" s="93">
        <v>0</v>
      </c>
      <c r="H3907" s="93">
        <v>0</v>
      </c>
      <c r="N3907" s="88"/>
      <c r="O3907" s="88"/>
      <c r="P3907" s="88"/>
    </row>
    <row r="3908" spans="1:16">
      <c r="A3908" s="94">
        <v>92670</v>
      </c>
      <c r="B3908" s="87" t="s">
        <v>6022</v>
      </c>
      <c r="C3908" s="12" t="s">
        <v>4</v>
      </c>
      <c r="D3908" s="93">
        <v>27.93</v>
      </c>
      <c r="E3908" s="93">
        <v>13.16</v>
      </c>
      <c r="F3908" s="93">
        <v>14.77</v>
      </c>
      <c r="G3908" s="93">
        <v>0</v>
      </c>
      <c r="H3908" s="93">
        <v>0</v>
      </c>
      <c r="N3908" s="88"/>
      <c r="O3908" s="88"/>
      <c r="P3908" s="88"/>
    </row>
    <row r="3909" spans="1:16">
      <c r="A3909" s="94">
        <v>92671</v>
      </c>
      <c r="B3909" s="87" t="s">
        <v>6023</v>
      </c>
      <c r="C3909" s="12" t="s">
        <v>4</v>
      </c>
      <c r="D3909" s="93">
        <v>38.53</v>
      </c>
      <c r="E3909" s="93">
        <v>13.92</v>
      </c>
      <c r="F3909" s="93">
        <v>24.61</v>
      </c>
      <c r="G3909" s="93">
        <v>0</v>
      </c>
      <c r="H3909" s="93">
        <v>0</v>
      </c>
      <c r="N3909" s="88"/>
      <c r="O3909" s="88"/>
      <c r="P3909" s="88"/>
    </row>
    <row r="3910" spans="1:16">
      <c r="A3910" s="94">
        <v>92672</v>
      </c>
      <c r="B3910" s="87" t="s">
        <v>6024</v>
      </c>
      <c r="C3910" s="12" t="s">
        <v>4</v>
      </c>
      <c r="D3910" s="93">
        <v>35.14</v>
      </c>
      <c r="E3910" s="93">
        <v>13.92</v>
      </c>
      <c r="F3910" s="93">
        <v>21.22</v>
      </c>
      <c r="G3910" s="93">
        <v>0</v>
      </c>
      <c r="H3910" s="93">
        <v>0</v>
      </c>
      <c r="N3910" s="88"/>
      <c r="O3910" s="88"/>
      <c r="P3910" s="88"/>
    </row>
    <row r="3911" spans="1:16">
      <c r="A3911" s="94">
        <v>92673</v>
      </c>
      <c r="B3911" s="87" t="s">
        <v>6025</v>
      </c>
      <c r="C3911" s="12" t="s">
        <v>4</v>
      </c>
      <c r="D3911" s="93">
        <v>44.19</v>
      </c>
      <c r="E3911" s="93">
        <v>14.76</v>
      </c>
      <c r="F3911" s="93">
        <v>29.43</v>
      </c>
      <c r="G3911" s="93">
        <v>0</v>
      </c>
      <c r="H3911" s="93">
        <v>0</v>
      </c>
      <c r="N3911" s="88"/>
      <c r="O3911" s="88"/>
      <c r="P3911" s="88"/>
    </row>
    <row r="3912" spans="1:16">
      <c r="A3912" s="94">
        <v>92674</v>
      </c>
      <c r="B3912" s="87" t="s">
        <v>6026</v>
      </c>
      <c r="C3912" s="12" t="s">
        <v>4</v>
      </c>
      <c r="D3912" s="93">
        <v>41.85</v>
      </c>
      <c r="E3912" s="93">
        <v>14.76</v>
      </c>
      <c r="F3912" s="93">
        <v>27.09</v>
      </c>
      <c r="G3912" s="93">
        <v>0</v>
      </c>
      <c r="H3912" s="93">
        <v>0</v>
      </c>
      <c r="N3912" s="88"/>
      <c r="O3912" s="88"/>
      <c r="P3912" s="88"/>
    </row>
    <row r="3913" spans="1:16">
      <c r="A3913" s="94">
        <v>92675</v>
      </c>
      <c r="B3913" s="87" t="s">
        <v>6027</v>
      </c>
      <c r="C3913" s="12" t="s">
        <v>4</v>
      </c>
      <c r="D3913" s="93">
        <v>57.03</v>
      </c>
      <c r="E3913" s="93">
        <v>15.84</v>
      </c>
      <c r="F3913" s="93">
        <v>41.19</v>
      </c>
      <c r="G3913" s="93">
        <v>0</v>
      </c>
      <c r="H3913" s="93">
        <v>0</v>
      </c>
      <c r="N3913" s="88"/>
      <c r="O3913" s="88"/>
      <c r="P3913" s="88"/>
    </row>
    <row r="3914" spans="1:16">
      <c r="A3914" s="94">
        <v>92676</v>
      </c>
      <c r="B3914" s="87" t="s">
        <v>6028</v>
      </c>
      <c r="C3914" s="12" t="s">
        <v>4</v>
      </c>
      <c r="D3914" s="93">
        <v>55.45</v>
      </c>
      <c r="E3914" s="93">
        <v>15.85</v>
      </c>
      <c r="F3914" s="93">
        <v>39.6</v>
      </c>
      <c r="G3914" s="93">
        <v>0</v>
      </c>
      <c r="H3914" s="93">
        <v>0</v>
      </c>
      <c r="N3914" s="88"/>
      <c r="O3914" s="88"/>
      <c r="P3914" s="88"/>
    </row>
    <row r="3915" spans="1:16">
      <c r="A3915" s="94">
        <v>92677</v>
      </c>
      <c r="B3915" s="87" t="s">
        <v>6029</v>
      </c>
      <c r="C3915" s="12" t="s">
        <v>4</v>
      </c>
      <c r="D3915" s="93">
        <v>93.03</v>
      </c>
      <c r="E3915" s="93">
        <v>17.43</v>
      </c>
      <c r="F3915" s="93">
        <v>75.599999999999994</v>
      </c>
      <c r="G3915" s="93">
        <v>0</v>
      </c>
      <c r="H3915" s="93">
        <v>0</v>
      </c>
      <c r="N3915" s="88"/>
      <c r="O3915" s="88"/>
      <c r="P3915" s="88"/>
    </row>
    <row r="3916" spans="1:16">
      <c r="A3916" s="94">
        <v>92678</v>
      </c>
      <c r="B3916" s="87" t="s">
        <v>6030</v>
      </c>
      <c r="C3916" s="12" t="s">
        <v>4</v>
      </c>
      <c r="D3916" s="93">
        <v>86.04</v>
      </c>
      <c r="E3916" s="93">
        <v>17.440000000000001</v>
      </c>
      <c r="F3916" s="93">
        <v>68.599999999999994</v>
      </c>
      <c r="G3916" s="93">
        <v>0</v>
      </c>
      <c r="H3916" s="93">
        <v>0</v>
      </c>
      <c r="N3916" s="88"/>
      <c r="O3916" s="88"/>
      <c r="P3916" s="88"/>
    </row>
    <row r="3917" spans="1:16">
      <c r="A3917" s="94">
        <v>92679</v>
      </c>
      <c r="B3917" s="87" t="s">
        <v>6031</v>
      </c>
      <c r="C3917" s="12" t="s">
        <v>4</v>
      </c>
      <c r="D3917" s="93">
        <v>127.54</v>
      </c>
      <c r="E3917" s="93">
        <v>19.04</v>
      </c>
      <c r="F3917" s="93">
        <v>108.5</v>
      </c>
      <c r="G3917" s="93">
        <v>0</v>
      </c>
      <c r="H3917" s="93">
        <v>0</v>
      </c>
      <c r="N3917" s="88"/>
      <c r="O3917" s="88"/>
      <c r="P3917" s="88"/>
    </row>
    <row r="3918" spans="1:16">
      <c r="A3918" s="94">
        <v>92680</v>
      </c>
      <c r="B3918" s="87" t="s">
        <v>6032</v>
      </c>
      <c r="C3918" s="12" t="s">
        <v>4</v>
      </c>
      <c r="D3918" s="93">
        <v>114.08</v>
      </c>
      <c r="E3918" s="93">
        <v>19.04</v>
      </c>
      <c r="F3918" s="93">
        <v>95.04</v>
      </c>
      <c r="G3918" s="93">
        <v>0</v>
      </c>
      <c r="H3918" s="93">
        <v>0</v>
      </c>
      <c r="N3918" s="88"/>
      <c r="O3918" s="88"/>
      <c r="P3918" s="88"/>
    </row>
    <row r="3919" spans="1:16">
      <c r="A3919" s="94">
        <v>92681</v>
      </c>
      <c r="B3919" s="87" t="s">
        <v>6033</v>
      </c>
      <c r="C3919" s="12" t="s">
        <v>4</v>
      </c>
      <c r="D3919" s="93">
        <v>37.880000000000003</v>
      </c>
      <c r="E3919" s="93">
        <v>17.54</v>
      </c>
      <c r="F3919" s="93">
        <v>20.34</v>
      </c>
      <c r="G3919" s="93">
        <v>0</v>
      </c>
      <c r="H3919" s="93">
        <v>0</v>
      </c>
      <c r="N3919" s="88"/>
      <c r="O3919" s="88"/>
      <c r="P3919" s="88"/>
    </row>
    <row r="3920" spans="1:16">
      <c r="A3920" s="94">
        <v>92682</v>
      </c>
      <c r="B3920" s="87" t="s">
        <v>6034</v>
      </c>
      <c r="C3920" s="12" t="s">
        <v>4</v>
      </c>
      <c r="D3920" s="93">
        <v>47.2</v>
      </c>
      <c r="E3920" s="93">
        <v>18.54</v>
      </c>
      <c r="F3920" s="93">
        <v>28.66</v>
      </c>
      <c r="G3920" s="93">
        <v>0</v>
      </c>
      <c r="H3920" s="93">
        <v>0</v>
      </c>
      <c r="N3920" s="88"/>
      <c r="O3920" s="88"/>
      <c r="P3920" s="88"/>
    </row>
    <row r="3921" spans="1:16">
      <c r="A3921" s="94">
        <v>92683</v>
      </c>
      <c r="B3921" s="87" t="s">
        <v>6035</v>
      </c>
      <c r="C3921" s="12" t="s">
        <v>4</v>
      </c>
      <c r="D3921" s="93">
        <v>54.92</v>
      </c>
      <c r="E3921" s="93">
        <v>19.690000000000001</v>
      </c>
      <c r="F3921" s="93">
        <v>35.229999999999997</v>
      </c>
      <c r="G3921" s="93">
        <v>0</v>
      </c>
      <c r="H3921" s="93">
        <v>0</v>
      </c>
      <c r="N3921" s="88"/>
      <c r="O3921" s="88"/>
      <c r="P3921" s="88"/>
    </row>
    <row r="3922" spans="1:16">
      <c r="A3922" s="94">
        <v>92684</v>
      </c>
      <c r="B3922" s="87" t="s">
        <v>6036</v>
      </c>
      <c r="C3922" s="12" t="s">
        <v>4</v>
      </c>
      <c r="D3922" s="93">
        <v>73.89</v>
      </c>
      <c r="E3922" s="93">
        <v>21.13</v>
      </c>
      <c r="F3922" s="93">
        <v>52.76</v>
      </c>
      <c r="G3922" s="93">
        <v>0</v>
      </c>
      <c r="H3922" s="93">
        <v>0</v>
      </c>
      <c r="N3922" s="88"/>
      <c r="O3922" s="88"/>
      <c r="P3922" s="88"/>
    </row>
    <row r="3923" spans="1:16">
      <c r="A3923" s="94">
        <v>92685</v>
      </c>
      <c r="B3923" s="87" t="s">
        <v>6037</v>
      </c>
      <c r="C3923" s="12" t="s">
        <v>4</v>
      </c>
      <c r="D3923" s="93">
        <v>118.21</v>
      </c>
      <c r="E3923" s="93">
        <v>23.24</v>
      </c>
      <c r="F3923" s="93">
        <v>94.97</v>
      </c>
      <c r="G3923" s="93">
        <v>0</v>
      </c>
      <c r="H3923" s="93">
        <v>0</v>
      </c>
      <c r="N3923" s="88"/>
      <c r="O3923" s="88"/>
      <c r="P3923" s="88"/>
    </row>
    <row r="3924" spans="1:16">
      <c r="A3924" s="94">
        <v>92686</v>
      </c>
      <c r="B3924" s="87" t="s">
        <v>6038</v>
      </c>
      <c r="C3924" s="12" t="s">
        <v>4</v>
      </c>
      <c r="D3924" s="93">
        <v>150.80000000000001</v>
      </c>
      <c r="E3924" s="93">
        <v>25.38</v>
      </c>
      <c r="F3924" s="93">
        <v>125.42</v>
      </c>
      <c r="G3924" s="93">
        <v>0</v>
      </c>
      <c r="H3924" s="93">
        <v>0</v>
      </c>
      <c r="N3924" s="88"/>
      <c r="O3924" s="88"/>
      <c r="P3924" s="88"/>
    </row>
    <row r="3925" spans="1:16">
      <c r="A3925" s="94">
        <v>92692</v>
      </c>
      <c r="B3925" s="87" t="s">
        <v>6039</v>
      </c>
      <c r="C3925" s="12" t="s">
        <v>4</v>
      </c>
      <c r="D3925" s="93">
        <v>10.53</v>
      </c>
      <c r="E3925" s="93">
        <v>5.04</v>
      </c>
      <c r="F3925" s="93">
        <v>5.49</v>
      </c>
      <c r="G3925" s="93">
        <v>0</v>
      </c>
      <c r="H3925" s="93">
        <v>0</v>
      </c>
      <c r="N3925" s="88"/>
      <c r="O3925" s="88"/>
      <c r="P3925" s="88"/>
    </row>
    <row r="3926" spans="1:16">
      <c r="A3926" s="94">
        <v>92693</v>
      </c>
      <c r="B3926" s="87" t="s">
        <v>6040</v>
      </c>
      <c r="C3926" s="12" t="s">
        <v>4</v>
      </c>
      <c r="D3926" s="93">
        <v>10.82</v>
      </c>
      <c r="E3926" s="93">
        <v>5.04</v>
      </c>
      <c r="F3926" s="93">
        <v>5.78</v>
      </c>
      <c r="G3926" s="93">
        <v>0</v>
      </c>
      <c r="H3926" s="93">
        <v>0</v>
      </c>
      <c r="N3926" s="88"/>
      <c r="O3926" s="88"/>
      <c r="P3926" s="88"/>
    </row>
    <row r="3927" spans="1:16">
      <c r="A3927" s="94">
        <v>92694</v>
      </c>
      <c r="B3927" s="87" t="s">
        <v>6041</v>
      </c>
      <c r="C3927" s="12" t="s">
        <v>4</v>
      </c>
      <c r="D3927" s="93">
        <v>16.760000000000002</v>
      </c>
      <c r="E3927" s="93">
        <v>8.69</v>
      </c>
      <c r="F3927" s="93">
        <v>8.07</v>
      </c>
      <c r="G3927" s="93">
        <v>0</v>
      </c>
      <c r="H3927" s="93">
        <v>0</v>
      </c>
      <c r="N3927" s="88"/>
      <c r="O3927" s="88"/>
      <c r="P3927" s="88"/>
    </row>
    <row r="3928" spans="1:16">
      <c r="A3928" s="94">
        <v>92695</v>
      </c>
      <c r="B3928" s="87" t="s">
        <v>6042</v>
      </c>
      <c r="C3928" s="12" t="s">
        <v>4</v>
      </c>
      <c r="D3928" s="93">
        <v>17.04</v>
      </c>
      <c r="E3928" s="93">
        <v>8.69</v>
      </c>
      <c r="F3928" s="93">
        <v>8.35</v>
      </c>
      <c r="G3928" s="93">
        <v>0</v>
      </c>
      <c r="H3928" s="93">
        <v>0</v>
      </c>
      <c r="N3928" s="88"/>
      <c r="O3928" s="88"/>
      <c r="P3928" s="88"/>
    </row>
    <row r="3929" spans="1:16">
      <c r="A3929" s="94">
        <v>92696</v>
      </c>
      <c r="B3929" s="87" t="s">
        <v>6043</v>
      </c>
      <c r="C3929" s="12" t="s">
        <v>4</v>
      </c>
      <c r="D3929" s="93">
        <v>26.3</v>
      </c>
      <c r="E3929" s="93">
        <v>14.09</v>
      </c>
      <c r="F3929" s="93">
        <v>12.21</v>
      </c>
      <c r="G3929" s="93">
        <v>0</v>
      </c>
      <c r="H3929" s="93">
        <v>0</v>
      </c>
      <c r="N3929" s="88"/>
      <c r="O3929" s="88"/>
      <c r="P3929" s="88"/>
    </row>
    <row r="3930" spans="1:16">
      <c r="A3930" s="94">
        <v>92697</v>
      </c>
      <c r="B3930" s="87" t="s">
        <v>6044</v>
      </c>
      <c r="C3930" s="12" t="s">
        <v>4</v>
      </c>
      <c r="D3930" s="93">
        <v>27.59</v>
      </c>
      <c r="E3930" s="93">
        <v>14.09</v>
      </c>
      <c r="F3930" s="93">
        <v>13.5</v>
      </c>
      <c r="G3930" s="93">
        <v>0</v>
      </c>
      <c r="H3930" s="93">
        <v>0</v>
      </c>
      <c r="N3930" s="88"/>
      <c r="O3930" s="88"/>
      <c r="P3930" s="88"/>
    </row>
    <row r="3931" spans="1:16">
      <c r="A3931" s="94">
        <v>92698</v>
      </c>
      <c r="B3931" s="87" t="s">
        <v>6045</v>
      </c>
      <c r="C3931" s="12" t="s">
        <v>4</v>
      </c>
      <c r="D3931" s="93">
        <v>15.58</v>
      </c>
      <c r="E3931" s="93">
        <v>7.56</v>
      </c>
      <c r="F3931" s="93">
        <v>8.02</v>
      </c>
      <c r="G3931" s="93">
        <v>0</v>
      </c>
      <c r="H3931" s="93">
        <v>0</v>
      </c>
      <c r="N3931" s="88"/>
      <c r="O3931" s="88"/>
      <c r="P3931" s="88"/>
    </row>
    <row r="3932" spans="1:16">
      <c r="A3932" s="94">
        <v>92699</v>
      </c>
      <c r="B3932" s="87" t="s">
        <v>6046</v>
      </c>
      <c r="C3932" s="12" t="s">
        <v>4</v>
      </c>
      <c r="D3932" s="93">
        <v>14.65</v>
      </c>
      <c r="E3932" s="93">
        <v>7.58</v>
      </c>
      <c r="F3932" s="93">
        <v>7.07</v>
      </c>
      <c r="G3932" s="93">
        <v>0</v>
      </c>
      <c r="H3932" s="93">
        <v>0</v>
      </c>
      <c r="N3932" s="88"/>
      <c r="O3932" s="88"/>
      <c r="P3932" s="88"/>
    </row>
    <row r="3933" spans="1:16">
      <c r="A3933" s="94">
        <v>92700</v>
      </c>
      <c r="B3933" s="87" t="s">
        <v>6047</v>
      </c>
      <c r="C3933" s="12" t="s">
        <v>4</v>
      </c>
      <c r="D3933" s="93">
        <v>25.45</v>
      </c>
      <c r="E3933" s="93">
        <v>13</v>
      </c>
      <c r="F3933" s="93">
        <v>12.45</v>
      </c>
      <c r="G3933" s="93">
        <v>0</v>
      </c>
      <c r="H3933" s="93">
        <v>0</v>
      </c>
      <c r="N3933" s="88"/>
      <c r="O3933" s="88"/>
      <c r="P3933" s="88"/>
    </row>
    <row r="3934" spans="1:16">
      <c r="A3934" s="94">
        <v>92701</v>
      </c>
      <c r="B3934" s="87" t="s">
        <v>6048</v>
      </c>
      <c r="C3934" s="12" t="s">
        <v>4</v>
      </c>
      <c r="D3934" s="93">
        <v>24.06</v>
      </c>
      <c r="E3934" s="93">
        <v>13</v>
      </c>
      <c r="F3934" s="93">
        <v>11.06</v>
      </c>
      <c r="G3934" s="93">
        <v>0</v>
      </c>
      <c r="H3934" s="93">
        <v>0</v>
      </c>
      <c r="N3934" s="88"/>
      <c r="O3934" s="88"/>
      <c r="P3934" s="88"/>
    </row>
    <row r="3935" spans="1:16">
      <c r="A3935" s="94">
        <v>92702</v>
      </c>
      <c r="B3935" s="87" t="s">
        <v>6049</v>
      </c>
      <c r="C3935" s="12" t="s">
        <v>4</v>
      </c>
      <c r="D3935" s="93">
        <v>39.86</v>
      </c>
      <c r="E3935" s="93">
        <v>21.15</v>
      </c>
      <c r="F3935" s="93">
        <v>18.71</v>
      </c>
      <c r="G3935" s="93">
        <v>0</v>
      </c>
      <c r="H3935" s="93">
        <v>0</v>
      </c>
      <c r="N3935" s="88"/>
      <c r="O3935" s="88"/>
      <c r="P3935" s="88"/>
    </row>
    <row r="3936" spans="1:16">
      <c r="A3936" s="94">
        <v>92703</v>
      </c>
      <c r="B3936" s="87" t="s">
        <v>6050</v>
      </c>
      <c r="C3936" s="12" t="s">
        <v>4</v>
      </c>
      <c r="D3936" s="93">
        <v>38.159999999999997</v>
      </c>
      <c r="E3936" s="93">
        <v>21.15</v>
      </c>
      <c r="F3936" s="93">
        <v>17.010000000000002</v>
      </c>
      <c r="G3936" s="93">
        <v>0</v>
      </c>
      <c r="H3936" s="93">
        <v>0</v>
      </c>
      <c r="N3936" s="88"/>
      <c r="O3936" s="88"/>
      <c r="P3936" s="88"/>
    </row>
    <row r="3937" spans="1:16">
      <c r="A3937" s="94">
        <v>92704</v>
      </c>
      <c r="B3937" s="87" t="s">
        <v>6051</v>
      </c>
      <c r="C3937" s="12" t="s">
        <v>4</v>
      </c>
      <c r="D3937" s="93">
        <v>19.72</v>
      </c>
      <c r="E3937" s="93">
        <v>10.11</v>
      </c>
      <c r="F3937" s="93">
        <v>9.61</v>
      </c>
      <c r="G3937" s="93">
        <v>0</v>
      </c>
      <c r="H3937" s="93">
        <v>0</v>
      </c>
      <c r="N3937" s="88"/>
      <c r="O3937" s="88"/>
      <c r="P3937" s="88"/>
    </row>
    <row r="3938" spans="1:16">
      <c r="A3938" s="94">
        <v>92705</v>
      </c>
      <c r="B3938" s="87" t="s">
        <v>6052</v>
      </c>
      <c r="C3938" s="12" t="s">
        <v>4</v>
      </c>
      <c r="D3938" s="93">
        <v>31.83</v>
      </c>
      <c r="E3938" s="93">
        <v>17.32</v>
      </c>
      <c r="F3938" s="93">
        <v>14.51</v>
      </c>
      <c r="G3938" s="93">
        <v>0</v>
      </c>
      <c r="H3938" s="93">
        <v>0</v>
      </c>
      <c r="N3938" s="88"/>
      <c r="O3938" s="88"/>
      <c r="P3938" s="88"/>
    </row>
    <row r="3939" spans="1:16">
      <c r="A3939" s="94">
        <v>92706</v>
      </c>
      <c r="B3939" s="87" t="s">
        <v>6053</v>
      </c>
      <c r="C3939" s="12" t="s">
        <v>4</v>
      </c>
      <c r="D3939" s="93">
        <v>51.51</v>
      </c>
      <c r="E3939" s="93">
        <v>28.17</v>
      </c>
      <c r="F3939" s="93">
        <v>23.34</v>
      </c>
      <c r="G3939" s="93">
        <v>0</v>
      </c>
      <c r="H3939" s="93">
        <v>0</v>
      </c>
      <c r="N3939" s="88"/>
      <c r="O3939" s="88"/>
      <c r="P3939" s="88"/>
    </row>
    <row r="3940" spans="1:16">
      <c r="A3940" s="94">
        <v>92889</v>
      </c>
      <c r="B3940" s="87" t="s">
        <v>6054</v>
      </c>
      <c r="C3940" s="12" t="s">
        <v>4</v>
      </c>
      <c r="D3940" s="93">
        <v>95.35</v>
      </c>
      <c r="E3940" s="93">
        <v>18.809999999999999</v>
      </c>
      <c r="F3940" s="93">
        <v>76.540000000000006</v>
      </c>
      <c r="G3940" s="93">
        <v>0</v>
      </c>
      <c r="H3940" s="93">
        <v>0</v>
      </c>
      <c r="N3940" s="88"/>
      <c r="O3940" s="88"/>
      <c r="P3940" s="88"/>
    </row>
    <row r="3941" spans="1:16">
      <c r="A3941" s="94">
        <v>92890</v>
      </c>
      <c r="B3941" s="87" t="s">
        <v>6055</v>
      </c>
      <c r="C3941" s="12" t="s">
        <v>4</v>
      </c>
      <c r="D3941" s="93">
        <v>143.91</v>
      </c>
      <c r="E3941" s="93">
        <v>20.46</v>
      </c>
      <c r="F3941" s="93">
        <v>123.45</v>
      </c>
      <c r="G3941" s="93">
        <v>0</v>
      </c>
      <c r="H3941" s="93">
        <v>0</v>
      </c>
      <c r="N3941" s="88"/>
      <c r="O3941" s="88"/>
      <c r="P3941" s="88"/>
    </row>
    <row r="3942" spans="1:16">
      <c r="A3942" s="94">
        <v>92891</v>
      </c>
      <c r="B3942" s="87" t="s">
        <v>6056</v>
      </c>
      <c r="C3942" s="12" t="s">
        <v>4</v>
      </c>
      <c r="D3942" s="93">
        <v>210.39</v>
      </c>
      <c r="E3942" s="93">
        <v>22.09</v>
      </c>
      <c r="F3942" s="93">
        <v>188.3</v>
      </c>
      <c r="G3942" s="93">
        <v>0</v>
      </c>
      <c r="H3942" s="93">
        <v>0</v>
      </c>
      <c r="N3942" s="88"/>
      <c r="O3942" s="88"/>
      <c r="P3942" s="88"/>
    </row>
    <row r="3943" spans="1:16">
      <c r="A3943" s="94">
        <v>92892</v>
      </c>
      <c r="B3943" s="87" t="s">
        <v>6057</v>
      </c>
      <c r="C3943" s="12" t="s">
        <v>4</v>
      </c>
      <c r="D3943" s="93">
        <v>41.68</v>
      </c>
      <c r="E3943" s="93">
        <v>14.3</v>
      </c>
      <c r="F3943" s="93">
        <v>27.38</v>
      </c>
      <c r="G3943" s="93">
        <v>0</v>
      </c>
      <c r="H3943" s="93">
        <v>0</v>
      </c>
      <c r="N3943" s="88"/>
      <c r="O3943" s="88"/>
      <c r="P3943" s="88"/>
    </row>
    <row r="3944" spans="1:16">
      <c r="A3944" s="94">
        <v>92893</v>
      </c>
      <c r="B3944" s="87" t="s">
        <v>6058</v>
      </c>
      <c r="C3944" s="12" t="s">
        <v>4</v>
      </c>
      <c r="D3944" s="93">
        <v>58.93</v>
      </c>
      <c r="E3944" s="93">
        <v>15.55</v>
      </c>
      <c r="F3944" s="93">
        <v>43.38</v>
      </c>
      <c r="G3944" s="93">
        <v>0</v>
      </c>
      <c r="H3944" s="93">
        <v>0</v>
      </c>
      <c r="N3944" s="88"/>
      <c r="O3944" s="88"/>
      <c r="P3944" s="88"/>
    </row>
    <row r="3945" spans="1:16">
      <c r="A3945" s="94">
        <v>92894</v>
      </c>
      <c r="B3945" s="87" t="s">
        <v>6059</v>
      </c>
      <c r="C3945" s="12" t="s">
        <v>4</v>
      </c>
      <c r="D3945" s="93">
        <v>70.27</v>
      </c>
      <c r="E3945" s="93">
        <v>16.97</v>
      </c>
      <c r="F3945" s="93">
        <v>53.3</v>
      </c>
      <c r="G3945" s="93">
        <v>0</v>
      </c>
      <c r="H3945" s="93">
        <v>0</v>
      </c>
      <c r="N3945" s="88"/>
      <c r="O3945" s="88"/>
      <c r="P3945" s="88"/>
    </row>
    <row r="3946" spans="1:16">
      <c r="A3946" s="94">
        <v>92895</v>
      </c>
      <c r="B3946" s="87" t="s">
        <v>6060</v>
      </c>
      <c r="C3946" s="12" t="s">
        <v>4</v>
      </c>
      <c r="D3946" s="93">
        <v>95.31</v>
      </c>
      <c r="E3946" s="93">
        <v>18.78</v>
      </c>
      <c r="F3946" s="93">
        <v>76.53</v>
      </c>
      <c r="G3946" s="93">
        <v>0</v>
      </c>
      <c r="H3946" s="93">
        <v>0</v>
      </c>
      <c r="N3946" s="88"/>
      <c r="O3946" s="88"/>
      <c r="P3946" s="88"/>
    </row>
    <row r="3947" spans="1:16">
      <c r="A3947" s="94">
        <v>92896</v>
      </c>
      <c r="B3947" s="87" t="s">
        <v>6061</v>
      </c>
      <c r="C3947" s="12" t="s">
        <v>4</v>
      </c>
      <c r="D3947" s="93">
        <v>145.19</v>
      </c>
      <c r="E3947" s="93">
        <v>21.47</v>
      </c>
      <c r="F3947" s="93">
        <v>123.72</v>
      </c>
      <c r="G3947" s="93">
        <v>0</v>
      </c>
      <c r="H3947" s="93">
        <v>0</v>
      </c>
      <c r="N3947" s="88"/>
      <c r="O3947" s="88"/>
      <c r="P3947" s="88"/>
    </row>
    <row r="3948" spans="1:16">
      <c r="A3948" s="94">
        <v>92897</v>
      </c>
      <c r="B3948" s="87" t="s">
        <v>6062</v>
      </c>
      <c r="C3948" s="12" t="s">
        <v>4</v>
      </c>
      <c r="D3948" s="93">
        <v>213.01</v>
      </c>
      <c r="E3948" s="93">
        <v>24.14</v>
      </c>
      <c r="F3948" s="93">
        <v>188.87</v>
      </c>
      <c r="G3948" s="93">
        <v>0</v>
      </c>
      <c r="H3948" s="93">
        <v>0</v>
      </c>
      <c r="N3948" s="88"/>
      <c r="O3948" s="88"/>
      <c r="P3948" s="88"/>
    </row>
    <row r="3949" spans="1:16">
      <c r="A3949" s="94">
        <v>92898</v>
      </c>
      <c r="B3949" s="87" t="s">
        <v>6063</v>
      </c>
      <c r="C3949" s="12" t="s">
        <v>4</v>
      </c>
      <c r="D3949" s="93">
        <v>34.6</v>
      </c>
      <c r="E3949" s="93">
        <v>8.7799999999999994</v>
      </c>
      <c r="F3949" s="93">
        <v>25.82</v>
      </c>
      <c r="G3949" s="93">
        <v>0</v>
      </c>
      <c r="H3949" s="93">
        <v>0</v>
      </c>
      <c r="N3949" s="88"/>
      <c r="O3949" s="88"/>
      <c r="P3949" s="88"/>
    </row>
    <row r="3950" spans="1:16">
      <c r="A3950" s="94">
        <v>92899</v>
      </c>
      <c r="B3950" s="87" t="s">
        <v>6064</v>
      </c>
      <c r="C3950" s="12" t="s">
        <v>4</v>
      </c>
      <c r="D3950" s="93">
        <v>50.88</v>
      </c>
      <c r="E3950" s="93">
        <v>9.27</v>
      </c>
      <c r="F3950" s="93">
        <v>41.61</v>
      </c>
      <c r="G3950" s="93">
        <v>0</v>
      </c>
      <c r="H3950" s="93">
        <v>0</v>
      </c>
      <c r="N3950" s="88"/>
      <c r="O3950" s="88"/>
      <c r="P3950" s="88"/>
    </row>
    <row r="3951" spans="1:16">
      <c r="A3951" s="94">
        <v>92900</v>
      </c>
      <c r="B3951" s="87" t="s">
        <v>6065</v>
      </c>
      <c r="C3951" s="12" t="s">
        <v>4</v>
      </c>
      <c r="D3951" s="93">
        <v>61.09</v>
      </c>
      <c r="E3951" s="93">
        <v>9.82</v>
      </c>
      <c r="F3951" s="93">
        <v>51.27</v>
      </c>
      <c r="G3951" s="93">
        <v>0</v>
      </c>
      <c r="H3951" s="93">
        <v>0</v>
      </c>
      <c r="N3951" s="88"/>
      <c r="O3951" s="88"/>
      <c r="P3951" s="88"/>
    </row>
    <row r="3952" spans="1:16">
      <c r="A3952" s="94">
        <v>92901</v>
      </c>
      <c r="B3952" s="87" t="s">
        <v>6066</v>
      </c>
      <c r="C3952" s="12" t="s">
        <v>4</v>
      </c>
      <c r="D3952" s="93">
        <v>84.75</v>
      </c>
      <c r="E3952" s="93">
        <v>10.54</v>
      </c>
      <c r="F3952" s="93">
        <v>74.209999999999994</v>
      </c>
      <c r="G3952" s="93">
        <v>0</v>
      </c>
      <c r="H3952" s="93">
        <v>0</v>
      </c>
      <c r="N3952" s="88"/>
      <c r="O3952" s="88"/>
      <c r="P3952" s="88"/>
    </row>
    <row r="3953" spans="1:16">
      <c r="A3953" s="94">
        <v>92902</v>
      </c>
      <c r="B3953" s="87" t="s">
        <v>6067</v>
      </c>
      <c r="C3953" s="12" t="s">
        <v>4</v>
      </c>
      <c r="D3953" s="93">
        <v>132.53</v>
      </c>
      <c r="E3953" s="93">
        <v>11.59</v>
      </c>
      <c r="F3953" s="93">
        <v>120.94</v>
      </c>
      <c r="G3953" s="93">
        <v>0</v>
      </c>
      <c r="H3953" s="93">
        <v>0</v>
      </c>
      <c r="N3953" s="88"/>
      <c r="O3953" s="88"/>
      <c r="P3953" s="88"/>
    </row>
    <row r="3954" spans="1:16">
      <c r="A3954" s="94">
        <v>92903</v>
      </c>
      <c r="B3954" s="87" t="s">
        <v>6068</v>
      </c>
      <c r="C3954" s="12" t="s">
        <v>4</v>
      </c>
      <c r="D3954" s="93">
        <v>198.3</v>
      </c>
      <c r="E3954" s="93">
        <v>12.67</v>
      </c>
      <c r="F3954" s="93">
        <v>185.63</v>
      </c>
      <c r="G3954" s="93">
        <v>0</v>
      </c>
      <c r="H3954" s="93">
        <v>0</v>
      </c>
      <c r="N3954" s="88"/>
      <c r="O3954" s="88"/>
      <c r="P3954" s="88"/>
    </row>
    <row r="3955" spans="1:16">
      <c r="A3955" s="94">
        <v>92904</v>
      </c>
      <c r="B3955" s="87" t="s">
        <v>6069</v>
      </c>
      <c r="C3955" s="12" t="s">
        <v>4</v>
      </c>
      <c r="D3955" s="93">
        <v>23.48</v>
      </c>
      <c r="E3955" s="93">
        <v>5.03</v>
      </c>
      <c r="F3955" s="93">
        <v>18.45</v>
      </c>
      <c r="G3955" s="93">
        <v>0</v>
      </c>
      <c r="H3955" s="93">
        <v>0</v>
      </c>
      <c r="N3955" s="88"/>
      <c r="O3955" s="88"/>
      <c r="P3955" s="88"/>
    </row>
    <row r="3956" spans="1:16">
      <c r="A3956" s="94">
        <v>92905</v>
      </c>
      <c r="B3956" s="87" t="s">
        <v>6070</v>
      </c>
      <c r="C3956" s="12" t="s">
        <v>4</v>
      </c>
      <c r="D3956" s="93">
        <v>33.65</v>
      </c>
      <c r="E3956" s="93">
        <v>8.66</v>
      </c>
      <c r="F3956" s="93">
        <v>24.99</v>
      </c>
      <c r="G3956" s="93">
        <v>0</v>
      </c>
      <c r="H3956" s="93">
        <v>0</v>
      </c>
      <c r="N3956" s="88"/>
      <c r="O3956" s="88"/>
      <c r="P3956" s="88"/>
    </row>
    <row r="3957" spans="1:16">
      <c r="A3957" s="94">
        <v>92906</v>
      </c>
      <c r="B3957" s="87" t="s">
        <v>6071</v>
      </c>
      <c r="C3957" s="12" t="s">
        <v>4</v>
      </c>
      <c r="D3957" s="93">
        <v>41.38</v>
      </c>
      <c r="E3957" s="93">
        <v>14.07</v>
      </c>
      <c r="F3957" s="93">
        <v>27.31</v>
      </c>
      <c r="G3957" s="93">
        <v>0</v>
      </c>
      <c r="H3957" s="93">
        <v>0</v>
      </c>
      <c r="N3957" s="88"/>
      <c r="O3957" s="88"/>
      <c r="P3957" s="88"/>
    </row>
    <row r="3958" spans="1:16">
      <c r="A3958" s="94">
        <v>92907</v>
      </c>
      <c r="B3958" s="87" t="s">
        <v>6072</v>
      </c>
      <c r="C3958" s="12" t="s">
        <v>4</v>
      </c>
      <c r="D3958" s="93">
        <v>51.7</v>
      </c>
      <c r="E3958" s="93">
        <v>18.82</v>
      </c>
      <c r="F3958" s="93">
        <v>32.880000000000003</v>
      </c>
      <c r="G3958" s="93">
        <v>0</v>
      </c>
      <c r="H3958" s="93">
        <v>0</v>
      </c>
      <c r="N3958" s="88"/>
      <c r="O3958" s="88"/>
      <c r="P3958" s="88"/>
    </row>
    <row r="3959" spans="1:16">
      <c r="A3959" s="94">
        <v>92908</v>
      </c>
      <c r="B3959" s="87" t="s">
        <v>6073</v>
      </c>
      <c r="C3959" s="12" t="s">
        <v>4</v>
      </c>
      <c r="D3959" s="93">
        <v>51.7</v>
      </c>
      <c r="E3959" s="93">
        <v>18.82</v>
      </c>
      <c r="F3959" s="93">
        <v>32.880000000000003</v>
      </c>
      <c r="G3959" s="93">
        <v>0</v>
      </c>
      <c r="H3959" s="93">
        <v>0</v>
      </c>
      <c r="N3959" s="88"/>
      <c r="O3959" s="88"/>
      <c r="P3959" s="88"/>
    </row>
    <row r="3960" spans="1:16">
      <c r="A3960" s="94">
        <v>92909</v>
      </c>
      <c r="B3960" s="87" t="s">
        <v>6074</v>
      </c>
      <c r="C3960" s="12" t="s">
        <v>4</v>
      </c>
      <c r="D3960" s="93">
        <v>51.7</v>
      </c>
      <c r="E3960" s="93">
        <v>18.82</v>
      </c>
      <c r="F3960" s="93">
        <v>32.880000000000003</v>
      </c>
      <c r="G3960" s="93">
        <v>0</v>
      </c>
      <c r="H3960" s="93">
        <v>0</v>
      </c>
      <c r="N3960" s="88"/>
      <c r="O3960" s="88"/>
      <c r="P3960" s="88"/>
    </row>
    <row r="3961" spans="1:16">
      <c r="A3961" s="94">
        <v>92910</v>
      </c>
      <c r="B3961" s="87" t="s">
        <v>6075</v>
      </c>
      <c r="C3961" s="12" t="s">
        <v>4</v>
      </c>
      <c r="D3961" s="93">
        <v>74.38</v>
      </c>
      <c r="E3961" s="93">
        <v>20.47</v>
      </c>
      <c r="F3961" s="93">
        <v>53.91</v>
      </c>
      <c r="G3961" s="93">
        <v>0</v>
      </c>
      <c r="H3961" s="93">
        <v>0</v>
      </c>
      <c r="N3961" s="88"/>
      <c r="O3961" s="88"/>
      <c r="P3961" s="88"/>
    </row>
    <row r="3962" spans="1:16">
      <c r="A3962" s="94">
        <v>92911</v>
      </c>
      <c r="B3962" s="87" t="s">
        <v>6076</v>
      </c>
      <c r="C3962" s="12" t="s">
        <v>4</v>
      </c>
      <c r="D3962" s="93">
        <v>74.38</v>
      </c>
      <c r="E3962" s="93">
        <v>20.47</v>
      </c>
      <c r="F3962" s="93">
        <v>53.91</v>
      </c>
      <c r="G3962" s="93">
        <v>0</v>
      </c>
      <c r="H3962" s="93">
        <v>0</v>
      </c>
      <c r="N3962" s="88"/>
      <c r="O3962" s="88"/>
      <c r="P3962" s="88"/>
    </row>
    <row r="3963" spans="1:16">
      <c r="A3963" s="94">
        <v>92912</v>
      </c>
      <c r="B3963" s="87" t="s">
        <v>6077</v>
      </c>
      <c r="C3963" s="12" t="s">
        <v>4</v>
      </c>
      <c r="D3963" s="93">
        <v>99.26</v>
      </c>
      <c r="E3963" s="93">
        <v>20.47</v>
      </c>
      <c r="F3963" s="93">
        <v>78.790000000000006</v>
      </c>
      <c r="G3963" s="93">
        <v>0</v>
      </c>
      <c r="H3963" s="93">
        <v>0</v>
      </c>
      <c r="N3963" s="88"/>
      <c r="O3963" s="88"/>
      <c r="P3963" s="88"/>
    </row>
    <row r="3964" spans="1:16">
      <c r="A3964" s="94">
        <v>92913</v>
      </c>
      <c r="B3964" s="87" t="s">
        <v>6078</v>
      </c>
      <c r="C3964" s="12" t="s">
        <v>4</v>
      </c>
      <c r="D3964" s="93">
        <v>101.45</v>
      </c>
      <c r="E3964" s="93">
        <v>22.1</v>
      </c>
      <c r="F3964" s="93">
        <v>79.349999999999994</v>
      </c>
      <c r="G3964" s="93">
        <v>0</v>
      </c>
      <c r="H3964" s="93">
        <v>0</v>
      </c>
      <c r="N3964" s="88"/>
      <c r="O3964" s="88"/>
      <c r="P3964" s="88"/>
    </row>
    <row r="3965" spans="1:16">
      <c r="A3965" s="94">
        <v>92914</v>
      </c>
      <c r="B3965" s="87" t="s">
        <v>6079</v>
      </c>
      <c r="C3965" s="12" t="s">
        <v>4</v>
      </c>
      <c r="D3965" s="93">
        <v>101.45</v>
      </c>
      <c r="E3965" s="93">
        <v>22.1</v>
      </c>
      <c r="F3965" s="93">
        <v>79.349999999999994</v>
      </c>
      <c r="G3965" s="93">
        <v>0</v>
      </c>
      <c r="H3965" s="93">
        <v>0</v>
      </c>
      <c r="N3965" s="88"/>
      <c r="O3965" s="88"/>
      <c r="P3965" s="88"/>
    </row>
    <row r="3966" spans="1:16">
      <c r="A3966" s="94">
        <v>92918</v>
      </c>
      <c r="B3966" s="87" t="s">
        <v>6080</v>
      </c>
      <c r="C3966" s="12" t="s">
        <v>4</v>
      </c>
      <c r="D3966" s="93">
        <v>27.78</v>
      </c>
      <c r="E3966" s="93">
        <v>14.33</v>
      </c>
      <c r="F3966" s="93">
        <v>13.45</v>
      </c>
      <c r="G3966" s="93">
        <v>0</v>
      </c>
      <c r="H3966" s="93">
        <v>0</v>
      </c>
      <c r="N3966" s="88"/>
      <c r="O3966" s="88"/>
      <c r="P3966" s="88"/>
    </row>
    <row r="3967" spans="1:16">
      <c r="A3967" s="94">
        <v>92920</v>
      </c>
      <c r="B3967" s="87" t="s">
        <v>6081</v>
      </c>
      <c r="C3967" s="12" t="s">
        <v>4</v>
      </c>
      <c r="D3967" s="93">
        <v>27.96</v>
      </c>
      <c r="E3967" s="93">
        <v>14.33</v>
      </c>
      <c r="F3967" s="93">
        <v>13.63</v>
      </c>
      <c r="G3967" s="93">
        <v>0</v>
      </c>
      <c r="H3967" s="93">
        <v>0</v>
      </c>
      <c r="N3967" s="88"/>
      <c r="O3967" s="88"/>
      <c r="P3967" s="88"/>
    </row>
    <row r="3968" spans="1:16">
      <c r="A3968" s="94">
        <v>92925</v>
      </c>
      <c r="B3968" s="87" t="s">
        <v>6082</v>
      </c>
      <c r="C3968" s="12" t="s">
        <v>4</v>
      </c>
      <c r="D3968" s="93">
        <v>34.25</v>
      </c>
      <c r="E3968" s="93">
        <v>15.56</v>
      </c>
      <c r="F3968" s="93">
        <v>18.690000000000001</v>
      </c>
      <c r="G3968" s="93">
        <v>0</v>
      </c>
      <c r="H3968" s="93">
        <v>0</v>
      </c>
      <c r="N3968" s="88"/>
      <c r="O3968" s="88"/>
      <c r="P3968" s="88"/>
    </row>
    <row r="3969" spans="1:16">
      <c r="A3969" s="94">
        <v>92926</v>
      </c>
      <c r="B3969" s="87" t="s">
        <v>6083</v>
      </c>
      <c r="C3969" s="12" t="s">
        <v>4</v>
      </c>
      <c r="D3969" s="93">
        <v>34.24</v>
      </c>
      <c r="E3969" s="93">
        <v>15.56</v>
      </c>
      <c r="F3969" s="93">
        <v>18.68</v>
      </c>
      <c r="G3969" s="93">
        <v>0</v>
      </c>
      <c r="H3969" s="93">
        <v>0</v>
      </c>
      <c r="N3969" s="88"/>
      <c r="O3969" s="88"/>
      <c r="P3969" s="88"/>
    </row>
    <row r="3970" spans="1:16">
      <c r="A3970" s="94">
        <v>92927</v>
      </c>
      <c r="B3970" s="87" t="s">
        <v>6084</v>
      </c>
      <c r="C3970" s="12" t="s">
        <v>4</v>
      </c>
      <c r="D3970" s="93">
        <v>34.24</v>
      </c>
      <c r="E3970" s="93">
        <v>15.56</v>
      </c>
      <c r="F3970" s="93">
        <v>18.68</v>
      </c>
      <c r="G3970" s="93">
        <v>0</v>
      </c>
      <c r="H3970" s="93">
        <v>0</v>
      </c>
      <c r="N3970" s="88"/>
      <c r="O3970" s="88"/>
      <c r="P3970" s="88"/>
    </row>
    <row r="3971" spans="1:16">
      <c r="A3971" s="94">
        <v>92928</v>
      </c>
      <c r="B3971" s="87" t="s">
        <v>6085</v>
      </c>
      <c r="C3971" s="12" t="s">
        <v>4</v>
      </c>
      <c r="D3971" s="93">
        <v>39.08</v>
      </c>
      <c r="E3971" s="93">
        <v>16.98</v>
      </c>
      <c r="F3971" s="93">
        <v>22.1</v>
      </c>
      <c r="G3971" s="93">
        <v>0</v>
      </c>
      <c r="H3971" s="93">
        <v>0</v>
      </c>
      <c r="N3971" s="88"/>
      <c r="O3971" s="88"/>
      <c r="P3971" s="88"/>
    </row>
    <row r="3972" spans="1:16">
      <c r="A3972" s="94">
        <v>92929</v>
      </c>
      <c r="B3972" s="87" t="s">
        <v>6086</v>
      </c>
      <c r="C3972" s="12" t="s">
        <v>4</v>
      </c>
      <c r="D3972" s="93">
        <v>39.08</v>
      </c>
      <c r="E3972" s="93">
        <v>16.98</v>
      </c>
      <c r="F3972" s="93">
        <v>22.1</v>
      </c>
      <c r="G3972" s="93">
        <v>0</v>
      </c>
      <c r="H3972" s="93">
        <v>0</v>
      </c>
      <c r="N3972" s="88"/>
      <c r="O3972" s="88"/>
      <c r="P3972" s="88"/>
    </row>
    <row r="3973" spans="1:16">
      <c r="A3973" s="94">
        <v>92930</v>
      </c>
      <c r="B3973" s="87" t="s">
        <v>6087</v>
      </c>
      <c r="C3973" s="12" t="s">
        <v>4</v>
      </c>
      <c r="D3973" s="93">
        <v>39.08</v>
      </c>
      <c r="E3973" s="93">
        <v>16.98</v>
      </c>
      <c r="F3973" s="93">
        <v>22.1</v>
      </c>
      <c r="G3973" s="93">
        <v>0</v>
      </c>
      <c r="H3973" s="93">
        <v>0</v>
      </c>
      <c r="N3973" s="88"/>
      <c r="O3973" s="88"/>
      <c r="P3973" s="88"/>
    </row>
    <row r="3974" spans="1:16">
      <c r="A3974" s="94">
        <v>92931</v>
      </c>
      <c r="B3974" s="87" t="s">
        <v>6088</v>
      </c>
      <c r="C3974" s="12" t="s">
        <v>4</v>
      </c>
      <c r="D3974" s="93">
        <v>51.66</v>
      </c>
      <c r="E3974" s="93">
        <v>18.79</v>
      </c>
      <c r="F3974" s="93">
        <v>32.869999999999997</v>
      </c>
      <c r="G3974" s="93">
        <v>0</v>
      </c>
      <c r="H3974" s="93">
        <v>0</v>
      </c>
      <c r="N3974" s="88"/>
      <c r="O3974" s="88"/>
      <c r="P3974" s="88"/>
    </row>
    <row r="3975" spans="1:16">
      <c r="A3975" s="94">
        <v>92932</v>
      </c>
      <c r="B3975" s="87" t="s">
        <v>6089</v>
      </c>
      <c r="C3975" s="12" t="s">
        <v>4</v>
      </c>
      <c r="D3975" s="93">
        <v>51.66</v>
      </c>
      <c r="E3975" s="93">
        <v>18.79</v>
      </c>
      <c r="F3975" s="93">
        <v>32.869999999999997</v>
      </c>
      <c r="G3975" s="93">
        <v>0</v>
      </c>
      <c r="H3975" s="93">
        <v>0</v>
      </c>
      <c r="N3975" s="88"/>
      <c r="O3975" s="88"/>
      <c r="P3975" s="88"/>
    </row>
    <row r="3976" spans="1:16">
      <c r="A3976" s="94">
        <v>92933</v>
      </c>
      <c r="B3976" s="87" t="s">
        <v>6090</v>
      </c>
      <c r="C3976" s="12" t="s">
        <v>4</v>
      </c>
      <c r="D3976" s="93">
        <v>51.66</v>
      </c>
      <c r="E3976" s="93">
        <v>18.79</v>
      </c>
      <c r="F3976" s="93">
        <v>32.869999999999997</v>
      </c>
      <c r="G3976" s="93">
        <v>0</v>
      </c>
      <c r="H3976" s="93">
        <v>0</v>
      </c>
      <c r="N3976" s="88"/>
      <c r="O3976" s="88"/>
      <c r="P3976" s="88"/>
    </row>
    <row r="3977" spans="1:16">
      <c r="A3977" s="94">
        <v>92934</v>
      </c>
      <c r="B3977" s="87" t="s">
        <v>6091</v>
      </c>
      <c r="C3977" s="12" t="s">
        <v>4</v>
      </c>
      <c r="D3977" s="93">
        <v>75.66</v>
      </c>
      <c r="E3977" s="93">
        <v>21.47</v>
      </c>
      <c r="F3977" s="93">
        <v>54.19</v>
      </c>
      <c r="G3977" s="93">
        <v>0</v>
      </c>
      <c r="H3977" s="93">
        <v>0</v>
      </c>
      <c r="N3977" s="88"/>
      <c r="O3977" s="88"/>
      <c r="P3977" s="88"/>
    </row>
    <row r="3978" spans="1:16">
      <c r="A3978" s="94">
        <v>92935</v>
      </c>
      <c r="B3978" s="87" t="s">
        <v>6092</v>
      </c>
      <c r="C3978" s="12" t="s">
        <v>4</v>
      </c>
      <c r="D3978" s="93">
        <v>75.66</v>
      </c>
      <c r="E3978" s="93">
        <v>21.47</v>
      </c>
      <c r="F3978" s="93">
        <v>54.19</v>
      </c>
      <c r="G3978" s="93">
        <v>0</v>
      </c>
      <c r="H3978" s="93">
        <v>0</v>
      </c>
      <c r="N3978" s="88"/>
      <c r="O3978" s="88"/>
      <c r="P3978" s="88"/>
    </row>
    <row r="3979" spans="1:16">
      <c r="A3979" s="94">
        <v>92936</v>
      </c>
      <c r="B3979" s="87" t="s">
        <v>6093</v>
      </c>
      <c r="C3979" s="12" t="s">
        <v>4</v>
      </c>
      <c r="D3979" s="93">
        <v>104.07</v>
      </c>
      <c r="E3979" s="93">
        <v>24.15</v>
      </c>
      <c r="F3979" s="93">
        <v>79.92</v>
      </c>
      <c r="G3979" s="93">
        <v>0</v>
      </c>
      <c r="H3979" s="93">
        <v>0</v>
      </c>
      <c r="N3979" s="88"/>
      <c r="O3979" s="88"/>
      <c r="P3979" s="88"/>
    </row>
    <row r="3980" spans="1:16">
      <c r="A3980" s="94">
        <v>92937</v>
      </c>
      <c r="B3980" s="87" t="s">
        <v>6094</v>
      </c>
      <c r="C3980" s="12" t="s">
        <v>4</v>
      </c>
      <c r="D3980" s="93">
        <v>104.07</v>
      </c>
      <c r="E3980" s="93">
        <v>24.15</v>
      </c>
      <c r="F3980" s="93">
        <v>79.92</v>
      </c>
      <c r="G3980" s="93">
        <v>0</v>
      </c>
      <c r="H3980" s="93">
        <v>0</v>
      </c>
      <c r="N3980" s="88"/>
      <c r="O3980" s="88"/>
      <c r="P3980" s="88"/>
    </row>
    <row r="3981" spans="1:16">
      <c r="A3981" s="94">
        <v>92938</v>
      </c>
      <c r="B3981" s="87" t="s">
        <v>6095</v>
      </c>
      <c r="C3981" s="12" t="s">
        <v>4</v>
      </c>
      <c r="D3981" s="93">
        <v>20.7</v>
      </c>
      <c r="E3981" s="93">
        <v>8.7899999999999991</v>
      </c>
      <c r="F3981" s="93">
        <v>11.91</v>
      </c>
      <c r="G3981" s="93">
        <v>0</v>
      </c>
      <c r="H3981" s="93">
        <v>0</v>
      </c>
      <c r="N3981" s="88"/>
      <c r="O3981" s="88"/>
      <c r="P3981" s="88"/>
    </row>
    <row r="3982" spans="1:16">
      <c r="A3982" s="94">
        <v>92939</v>
      </c>
      <c r="B3982" s="87" t="s">
        <v>6096</v>
      </c>
      <c r="C3982" s="12" t="s">
        <v>4</v>
      </c>
      <c r="D3982" s="93">
        <v>20.88</v>
      </c>
      <c r="E3982" s="93">
        <v>8.7899999999999991</v>
      </c>
      <c r="F3982" s="93">
        <v>12.09</v>
      </c>
      <c r="G3982" s="93">
        <v>0</v>
      </c>
      <c r="H3982" s="93">
        <v>0</v>
      </c>
      <c r="N3982" s="88"/>
      <c r="O3982" s="88"/>
      <c r="P3982" s="88"/>
    </row>
    <row r="3983" spans="1:16">
      <c r="A3983" s="94">
        <v>92940</v>
      </c>
      <c r="B3983" s="87" t="s">
        <v>6097</v>
      </c>
      <c r="C3983" s="12" t="s">
        <v>4</v>
      </c>
      <c r="D3983" s="93">
        <v>26.2</v>
      </c>
      <c r="E3983" s="93">
        <v>9.2799999999999994</v>
      </c>
      <c r="F3983" s="93">
        <v>16.920000000000002</v>
      </c>
      <c r="G3983" s="93">
        <v>0</v>
      </c>
      <c r="H3983" s="93">
        <v>0</v>
      </c>
      <c r="N3983" s="88"/>
      <c r="O3983" s="88"/>
      <c r="P3983" s="88"/>
    </row>
    <row r="3984" spans="1:16">
      <c r="A3984" s="94">
        <v>92941</v>
      </c>
      <c r="B3984" s="87" t="s">
        <v>6098</v>
      </c>
      <c r="C3984" s="12" t="s">
        <v>4</v>
      </c>
      <c r="D3984" s="93">
        <v>26.19</v>
      </c>
      <c r="E3984" s="93">
        <v>9.2799999999999994</v>
      </c>
      <c r="F3984" s="93">
        <v>16.91</v>
      </c>
      <c r="G3984" s="93">
        <v>0</v>
      </c>
      <c r="H3984" s="93">
        <v>0</v>
      </c>
      <c r="N3984" s="88"/>
      <c r="O3984" s="88"/>
      <c r="P3984" s="88"/>
    </row>
    <row r="3985" spans="1:16">
      <c r="A3985" s="94">
        <v>92942</v>
      </c>
      <c r="B3985" s="87" t="s">
        <v>6099</v>
      </c>
      <c r="C3985" s="12" t="s">
        <v>4</v>
      </c>
      <c r="D3985" s="93">
        <v>26.19</v>
      </c>
      <c r="E3985" s="93">
        <v>9.2799999999999994</v>
      </c>
      <c r="F3985" s="93">
        <v>16.91</v>
      </c>
      <c r="G3985" s="93">
        <v>0</v>
      </c>
      <c r="H3985" s="93">
        <v>0</v>
      </c>
      <c r="N3985" s="88"/>
      <c r="O3985" s="88"/>
      <c r="P3985" s="88"/>
    </row>
    <row r="3986" spans="1:16">
      <c r="A3986" s="94">
        <v>92943</v>
      </c>
      <c r="B3986" s="87" t="s">
        <v>6100</v>
      </c>
      <c r="C3986" s="12" t="s">
        <v>4</v>
      </c>
      <c r="D3986" s="93">
        <v>29.9</v>
      </c>
      <c r="E3986" s="93">
        <v>9.83</v>
      </c>
      <c r="F3986" s="93">
        <v>20.07</v>
      </c>
      <c r="G3986" s="93">
        <v>0</v>
      </c>
      <c r="H3986" s="93">
        <v>0</v>
      </c>
      <c r="N3986" s="88"/>
      <c r="O3986" s="88"/>
      <c r="P3986" s="88"/>
    </row>
    <row r="3987" spans="1:16">
      <c r="A3987" s="94">
        <v>92944</v>
      </c>
      <c r="B3987" s="87" t="s">
        <v>6101</v>
      </c>
      <c r="C3987" s="12" t="s">
        <v>4</v>
      </c>
      <c r="D3987" s="93">
        <v>29.9</v>
      </c>
      <c r="E3987" s="93">
        <v>9.83</v>
      </c>
      <c r="F3987" s="93">
        <v>20.07</v>
      </c>
      <c r="G3987" s="93">
        <v>0</v>
      </c>
      <c r="H3987" s="93">
        <v>0</v>
      </c>
      <c r="N3987" s="88"/>
      <c r="O3987" s="88"/>
      <c r="P3987" s="88"/>
    </row>
    <row r="3988" spans="1:16">
      <c r="A3988" s="94">
        <v>92945</v>
      </c>
      <c r="B3988" s="87" t="s">
        <v>6102</v>
      </c>
      <c r="C3988" s="12" t="s">
        <v>4</v>
      </c>
      <c r="D3988" s="93">
        <v>29.9</v>
      </c>
      <c r="E3988" s="93">
        <v>9.83</v>
      </c>
      <c r="F3988" s="93">
        <v>20.07</v>
      </c>
      <c r="G3988" s="93">
        <v>0</v>
      </c>
      <c r="H3988" s="93">
        <v>0</v>
      </c>
      <c r="N3988" s="88"/>
      <c r="O3988" s="88"/>
      <c r="P3988" s="88"/>
    </row>
    <row r="3989" spans="1:16">
      <c r="A3989" s="94">
        <v>92946</v>
      </c>
      <c r="B3989" s="87" t="s">
        <v>6103</v>
      </c>
      <c r="C3989" s="12" t="s">
        <v>4</v>
      </c>
      <c r="D3989" s="93">
        <v>41.1</v>
      </c>
      <c r="E3989" s="93">
        <v>10.56</v>
      </c>
      <c r="F3989" s="93">
        <v>30.54</v>
      </c>
      <c r="G3989" s="93">
        <v>0</v>
      </c>
      <c r="H3989" s="93">
        <v>0</v>
      </c>
      <c r="N3989" s="88"/>
      <c r="O3989" s="88"/>
      <c r="P3989" s="88"/>
    </row>
    <row r="3990" spans="1:16">
      <c r="A3990" s="94">
        <v>92947</v>
      </c>
      <c r="B3990" s="87" t="s">
        <v>6104</v>
      </c>
      <c r="C3990" s="12" t="s">
        <v>4</v>
      </c>
      <c r="D3990" s="93">
        <v>41.1</v>
      </c>
      <c r="E3990" s="93">
        <v>10.56</v>
      </c>
      <c r="F3990" s="93">
        <v>30.54</v>
      </c>
      <c r="G3990" s="93">
        <v>0</v>
      </c>
      <c r="H3990" s="93">
        <v>0</v>
      </c>
      <c r="N3990" s="88"/>
      <c r="O3990" s="88"/>
      <c r="P3990" s="88"/>
    </row>
    <row r="3991" spans="1:16">
      <c r="A3991" s="94">
        <v>92948</v>
      </c>
      <c r="B3991" s="87" t="s">
        <v>6105</v>
      </c>
      <c r="C3991" s="12" t="s">
        <v>4</v>
      </c>
      <c r="D3991" s="93">
        <v>41.1</v>
      </c>
      <c r="E3991" s="93">
        <v>10.56</v>
      </c>
      <c r="F3991" s="93">
        <v>30.54</v>
      </c>
      <c r="G3991" s="93">
        <v>0</v>
      </c>
      <c r="H3991" s="93">
        <v>0</v>
      </c>
      <c r="N3991" s="88"/>
      <c r="O3991" s="88"/>
      <c r="P3991" s="88"/>
    </row>
    <row r="3992" spans="1:16">
      <c r="A3992" s="94">
        <v>92949</v>
      </c>
      <c r="B3992" s="87" t="s">
        <v>6106</v>
      </c>
      <c r="C3992" s="12" t="s">
        <v>4</v>
      </c>
      <c r="D3992" s="93">
        <v>63</v>
      </c>
      <c r="E3992" s="93">
        <v>11.6</v>
      </c>
      <c r="F3992" s="93">
        <v>51.4</v>
      </c>
      <c r="G3992" s="93">
        <v>0</v>
      </c>
      <c r="H3992" s="93">
        <v>0</v>
      </c>
      <c r="N3992" s="88"/>
      <c r="O3992" s="88"/>
      <c r="P3992" s="88"/>
    </row>
    <row r="3993" spans="1:16">
      <c r="A3993" s="94">
        <v>92950</v>
      </c>
      <c r="B3993" s="87" t="s">
        <v>6107</v>
      </c>
      <c r="C3993" s="12" t="s">
        <v>4</v>
      </c>
      <c r="D3993" s="93">
        <v>63</v>
      </c>
      <c r="E3993" s="93">
        <v>11.6</v>
      </c>
      <c r="F3993" s="93">
        <v>51.4</v>
      </c>
      <c r="G3993" s="93">
        <v>0</v>
      </c>
      <c r="H3993" s="93">
        <v>0</v>
      </c>
      <c r="N3993" s="88"/>
      <c r="O3993" s="88"/>
      <c r="P3993" s="88"/>
    </row>
    <row r="3994" spans="1:16">
      <c r="A3994" s="94">
        <v>92951</v>
      </c>
      <c r="B3994" s="87" t="s">
        <v>6108</v>
      </c>
      <c r="C3994" s="12" t="s">
        <v>4</v>
      </c>
      <c r="D3994" s="93">
        <v>89.36</v>
      </c>
      <c r="E3994" s="93">
        <v>12.68</v>
      </c>
      <c r="F3994" s="93">
        <v>76.680000000000007</v>
      </c>
      <c r="G3994" s="93">
        <v>0</v>
      </c>
      <c r="H3994" s="93">
        <v>0</v>
      </c>
      <c r="N3994" s="88"/>
      <c r="O3994" s="88"/>
      <c r="P3994" s="88"/>
    </row>
    <row r="3995" spans="1:16">
      <c r="A3995" s="94">
        <v>92952</v>
      </c>
      <c r="B3995" s="87" t="s">
        <v>6109</v>
      </c>
      <c r="C3995" s="12" t="s">
        <v>4</v>
      </c>
      <c r="D3995" s="93">
        <v>89.36</v>
      </c>
      <c r="E3995" s="93">
        <v>12.68</v>
      </c>
      <c r="F3995" s="93">
        <v>76.680000000000007</v>
      </c>
      <c r="G3995" s="93">
        <v>0</v>
      </c>
      <c r="H3995" s="93">
        <v>0</v>
      </c>
      <c r="N3995" s="88"/>
      <c r="O3995" s="88"/>
      <c r="P3995" s="88"/>
    </row>
    <row r="3996" spans="1:16">
      <c r="A3996" s="94">
        <v>92953</v>
      </c>
      <c r="B3996" s="87" t="s">
        <v>6110</v>
      </c>
      <c r="C3996" s="12" t="s">
        <v>4</v>
      </c>
      <c r="D3996" s="93">
        <v>17.97</v>
      </c>
      <c r="E3996" s="93">
        <v>8.67</v>
      </c>
      <c r="F3996" s="93">
        <v>9.3000000000000007</v>
      </c>
      <c r="G3996" s="93">
        <v>0</v>
      </c>
      <c r="H3996" s="93">
        <v>0</v>
      </c>
      <c r="N3996" s="88"/>
      <c r="O3996" s="88"/>
      <c r="P3996" s="88"/>
    </row>
    <row r="3997" spans="1:16">
      <c r="A3997" s="94">
        <v>93050</v>
      </c>
      <c r="B3997" s="87" t="s">
        <v>3359</v>
      </c>
      <c r="C3997" s="12" t="s">
        <v>4</v>
      </c>
      <c r="D3997" s="93">
        <v>8.4499999999999993</v>
      </c>
      <c r="E3997" s="93">
        <v>1.85</v>
      </c>
      <c r="F3997" s="93">
        <v>6.6</v>
      </c>
      <c r="G3997" s="93">
        <v>0</v>
      </c>
      <c r="H3997" s="93">
        <v>0</v>
      </c>
      <c r="N3997" s="88"/>
      <c r="O3997" s="88"/>
      <c r="P3997" s="88"/>
    </row>
    <row r="3998" spans="1:16">
      <c r="A3998" s="94">
        <v>93051</v>
      </c>
      <c r="B3998" s="87" t="s">
        <v>3360</v>
      </c>
      <c r="C3998" s="12" t="s">
        <v>4</v>
      </c>
      <c r="D3998" s="93">
        <v>7.81</v>
      </c>
      <c r="E3998" s="93">
        <v>1.85</v>
      </c>
      <c r="F3998" s="93">
        <v>5.96</v>
      </c>
      <c r="G3998" s="93">
        <v>0</v>
      </c>
      <c r="H3998" s="93">
        <v>0</v>
      </c>
      <c r="N3998" s="88"/>
      <c r="O3998" s="88"/>
      <c r="P3998" s="88"/>
    </row>
    <row r="3999" spans="1:16">
      <c r="A3999" s="94">
        <v>93052</v>
      </c>
      <c r="B3999" s="87" t="s">
        <v>3361</v>
      </c>
      <c r="C3999" s="12" t="s">
        <v>4</v>
      </c>
      <c r="D3999" s="93">
        <v>365.84</v>
      </c>
      <c r="E3999" s="93">
        <v>1.84</v>
      </c>
      <c r="F3999" s="93">
        <v>364</v>
      </c>
      <c r="G3999" s="93">
        <v>0</v>
      </c>
      <c r="H3999" s="93">
        <v>0</v>
      </c>
      <c r="N3999" s="88"/>
      <c r="O3999" s="88"/>
      <c r="P3999" s="88"/>
    </row>
    <row r="4000" spans="1:16">
      <c r="A4000" s="94">
        <v>93054</v>
      </c>
      <c r="B4000" s="87" t="s">
        <v>3362</v>
      </c>
      <c r="C4000" s="12" t="s">
        <v>4</v>
      </c>
      <c r="D4000" s="93">
        <v>15.9</v>
      </c>
      <c r="E4000" s="93">
        <v>1.84</v>
      </c>
      <c r="F4000" s="93">
        <v>14.06</v>
      </c>
      <c r="G4000" s="93">
        <v>0</v>
      </c>
      <c r="H4000" s="93">
        <v>0</v>
      </c>
      <c r="N4000" s="88"/>
      <c r="O4000" s="88"/>
      <c r="P4000" s="88"/>
    </row>
    <row r="4001" spans="1:16">
      <c r="A4001" s="94">
        <v>93055</v>
      </c>
      <c r="B4001" s="87" t="s">
        <v>3363</v>
      </c>
      <c r="C4001" s="12" t="s">
        <v>4</v>
      </c>
      <c r="D4001" s="93">
        <v>32.119999999999997</v>
      </c>
      <c r="E4001" s="93">
        <v>1.84</v>
      </c>
      <c r="F4001" s="93">
        <v>30.28</v>
      </c>
      <c r="G4001" s="93">
        <v>0</v>
      </c>
      <c r="H4001" s="93">
        <v>0</v>
      </c>
      <c r="N4001" s="88"/>
      <c r="O4001" s="88"/>
      <c r="P4001" s="88"/>
    </row>
    <row r="4002" spans="1:16">
      <c r="A4002" s="94">
        <v>93056</v>
      </c>
      <c r="B4002" s="87" t="s">
        <v>3364</v>
      </c>
      <c r="C4002" s="12" t="s">
        <v>4</v>
      </c>
      <c r="D4002" s="93">
        <v>12.29</v>
      </c>
      <c r="E4002" s="93">
        <v>2.2000000000000002</v>
      </c>
      <c r="F4002" s="93">
        <v>10.09</v>
      </c>
      <c r="G4002" s="93">
        <v>0</v>
      </c>
      <c r="H4002" s="93">
        <v>0</v>
      </c>
      <c r="N4002" s="88"/>
      <c r="O4002" s="88"/>
      <c r="P4002" s="88"/>
    </row>
    <row r="4003" spans="1:16">
      <c r="A4003" s="94">
        <v>93057</v>
      </c>
      <c r="B4003" s="87" t="s">
        <v>3365</v>
      </c>
      <c r="C4003" s="12" t="s">
        <v>4</v>
      </c>
      <c r="D4003" s="93">
        <v>10.78</v>
      </c>
      <c r="E4003" s="93">
        <v>2.2000000000000002</v>
      </c>
      <c r="F4003" s="93">
        <v>8.58</v>
      </c>
      <c r="G4003" s="93">
        <v>0</v>
      </c>
      <c r="H4003" s="93">
        <v>0</v>
      </c>
      <c r="N4003" s="88"/>
      <c r="O4003" s="88"/>
      <c r="P4003" s="88"/>
    </row>
    <row r="4004" spans="1:16">
      <c r="A4004" s="94">
        <v>93058</v>
      </c>
      <c r="B4004" s="87" t="s">
        <v>3366</v>
      </c>
      <c r="C4004" s="12" t="s">
        <v>4</v>
      </c>
      <c r="D4004" s="93">
        <v>402.35</v>
      </c>
      <c r="E4004" s="93">
        <v>2.2000000000000002</v>
      </c>
      <c r="F4004" s="93">
        <v>400.15</v>
      </c>
      <c r="G4004" s="93">
        <v>0</v>
      </c>
      <c r="H4004" s="93">
        <v>0</v>
      </c>
      <c r="N4004" s="88"/>
      <c r="O4004" s="88"/>
      <c r="P4004" s="88"/>
    </row>
    <row r="4005" spans="1:16">
      <c r="A4005" s="94">
        <v>93059</v>
      </c>
      <c r="B4005" s="87" t="s">
        <v>3367</v>
      </c>
      <c r="C4005" s="12" t="s">
        <v>4</v>
      </c>
      <c r="D4005" s="93">
        <v>21.8</v>
      </c>
      <c r="E4005" s="93">
        <v>2.2000000000000002</v>
      </c>
      <c r="F4005" s="93">
        <v>19.600000000000001</v>
      </c>
      <c r="G4005" s="93">
        <v>0</v>
      </c>
      <c r="H4005" s="93">
        <v>0</v>
      </c>
      <c r="N4005" s="88"/>
      <c r="O4005" s="88"/>
      <c r="P4005" s="88"/>
    </row>
    <row r="4006" spans="1:16">
      <c r="A4006" s="94">
        <v>93060</v>
      </c>
      <c r="B4006" s="87" t="s">
        <v>3368</v>
      </c>
      <c r="C4006" s="12" t="s">
        <v>4</v>
      </c>
      <c r="D4006" s="93">
        <v>55.81</v>
      </c>
      <c r="E4006" s="93">
        <v>2.2000000000000002</v>
      </c>
      <c r="F4006" s="93">
        <v>53.61</v>
      </c>
      <c r="G4006" s="93">
        <v>0</v>
      </c>
      <c r="H4006" s="93">
        <v>0</v>
      </c>
      <c r="N4006" s="88"/>
      <c r="O4006" s="88"/>
      <c r="P4006" s="88"/>
    </row>
    <row r="4007" spans="1:16">
      <c r="A4007" s="94">
        <v>93061</v>
      </c>
      <c r="B4007" s="87" t="s">
        <v>3369</v>
      </c>
      <c r="C4007" s="12" t="s">
        <v>4</v>
      </c>
      <c r="D4007" s="93">
        <v>22.75</v>
      </c>
      <c r="E4007" s="93">
        <v>2.58</v>
      </c>
      <c r="F4007" s="93">
        <v>20.170000000000002</v>
      </c>
      <c r="G4007" s="93">
        <v>0</v>
      </c>
      <c r="H4007" s="93">
        <v>0</v>
      </c>
      <c r="N4007" s="88"/>
      <c r="O4007" s="88"/>
      <c r="P4007" s="88"/>
    </row>
    <row r="4008" spans="1:16">
      <c r="A4008" s="94">
        <v>93062</v>
      </c>
      <c r="B4008" s="87" t="s">
        <v>3370</v>
      </c>
      <c r="C4008" s="12" t="s">
        <v>4</v>
      </c>
      <c r="D4008" s="93">
        <v>19.809999999999999</v>
      </c>
      <c r="E4008" s="93">
        <v>2.58</v>
      </c>
      <c r="F4008" s="93">
        <v>17.23</v>
      </c>
      <c r="G4008" s="93">
        <v>0</v>
      </c>
      <c r="H4008" s="93">
        <v>0</v>
      </c>
      <c r="N4008" s="88"/>
      <c r="O4008" s="88"/>
      <c r="P4008" s="88"/>
    </row>
    <row r="4009" spans="1:16">
      <c r="A4009" s="94">
        <v>93063</v>
      </c>
      <c r="B4009" s="87" t="s">
        <v>3371</v>
      </c>
      <c r="C4009" s="12" t="s">
        <v>4</v>
      </c>
      <c r="D4009" s="93">
        <v>460.85</v>
      </c>
      <c r="E4009" s="93">
        <v>2.58</v>
      </c>
      <c r="F4009" s="93">
        <v>458.27</v>
      </c>
      <c r="G4009" s="93">
        <v>0</v>
      </c>
      <c r="H4009" s="93">
        <v>0</v>
      </c>
      <c r="N4009" s="88"/>
      <c r="O4009" s="88"/>
      <c r="P4009" s="88"/>
    </row>
    <row r="4010" spans="1:16">
      <c r="A4010" s="94">
        <v>93064</v>
      </c>
      <c r="B4010" s="87" t="s">
        <v>3372</v>
      </c>
      <c r="C4010" s="12" t="s">
        <v>4</v>
      </c>
      <c r="D4010" s="93">
        <v>34.950000000000003</v>
      </c>
      <c r="E4010" s="93">
        <v>2.99</v>
      </c>
      <c r="F4010" s="93">
        <v>31.96</v>
      </c>
      <c r="G4010" s="93">
        <v>0</v>
      </c>
      <c r="H4010" s="93">
        <v>0</v>
      </c>
      <c r="N4010" s="88"/>
      <c r="O4010" s="88"/>
      <c r="P4010" s="88"/>
    </row>
    <row r="4011" spans="1:16">
      <c r="A4011" s="94">
        <v>93065</v>
      </c>
      <c r="B4011" s="87" t="s">
        <v>3373</v>
      </c>
      <c r="C4011" s="12" t="s">
        <v>4</v>
      </c>
      <c r="D4011" s="93">
        <v>32.78</v>
      </c>
      <c r="E4011" s="93">
        <v>2.99</v>
      </c>
      <c r="F4011" s="93">
        <v>29.79</v>
      </c>
      <c r="G4011" s="93">
        <v>0</v>
      </c>
      <c r="H4011" s="93">
        <v>0</v>
      </c>
      <c r="N4011" s="88"/>
      <c r="O4011" s="88"/>
      <c r="P4011" s="88"/>
    </row>
    <row r="4012" spans="1:16">
      <c r="A4012" s="94">
        <v>93066</v>
      </c>
      <c r="B4012" s="87" t="s">
        <v>3374</v>
      </c>
      <c r="C4012" s="12" t="s">
        <v>4</v>
      </c>
      <c r="D4012" s="93">
        <v>578.46</v>
      </c>
      <c r="E4012" s="93">
        <v>2.99</v>
      </c>
      <c r="F4012" s="93">
        <v>575.47</v>
      </c>
      <c r="G4012" s="93">
        <v>0</v>
      </c>
      <c r="H4012" s="93">
        <v>0</v>
      </c>
      <c r="N4012" s="88"/>
      <c r="O4012" s="88"/>
      <c r="P4012" s="88"/>
    </row>
    <row r="4013" spans="1:16">
      <c r="A4013" s="94">
        <v>93067</v>
      </c>
      <c r="B4013" s="87" t="s">
        <v>3375</v>
      </c>
      <c r="C4013" s="12" t="s">
        <v>4</v>
      </c>
      <c r="D4013" s="93">
        <v>51.7</v>
      </c>
      <c r="E4013" s="93">
        <v>3.68</v>
      </c>
      <c r="F4013" s="93">
        <v>48.02</v>
      </c>
      <c r="G4013" s="93">
        <v>0</v>
      </c>
      <c r="H4013" s="93">
        <v>0</v>
      </c>
      <c r="N4013" s="88"/>
      <c r="O4013" s="88"/>
      <c r="P4013" s="88"/>
    </row>
    <row r="4014" spans="1:16">
      <c r="A4014" s="94">
        <v>93068</v>
      </c>
      <c r="B4014" s="87" t="s">
        <v>3376</v>
      </c>
      <c r="C4014" s="12" t="s">
        <v>4</v>
      </c>
      <c r="D4014" s="93">
        <v>45.33</v>
      </c>
      <c r="E4014" s="93">
        <v>3.68</v>
      </c>
      <c r="F4014" s="93">
        <v>41.65</v>
      </c>
      <c r="G4014" s="93">
        <v>0</v>
      </c>
      <c r="H4014" s="93">
        <v>0</v>
      </c>
      <c r="N4014" s="88"/>
      <c r="O4014" s="88"/>
      <c r="P4014" s="88"/>
    </row>
    <row r="4015" spans="1:16">
      <c r="A4015" s="94">
        <v>93069</v>
      </c>
      <c r="B4015" s="87" t="s">
        <v>3377</v>
      </c>
      <c r="C4015" s="12" t="s">
        <v>4</v>
      </c>
      <c r="D4015" s="93">
        <v>801.6</v>
      </c>
      <c r="E4015" s="93">
        <v>3.68</v>
      </c>
      <c r="F4015" s="93">
        <v>797.92</v>
      </c>
      <c r="G4015" s="93">
        <v>0</v>
      </c>
      <c r="H4015" s="93">
        <v>0</v>
      </c>
      <c r="N4015" s="88"/>
      <c r="O4015" s="88"/>
      <c r="P4015" s="88"/>
    </row>
    <row r="4016" spans="1:16">
      <c r="A4016" s="94">
        <v>93070</v>
      </c>
      <c r="B4016" s="87" t="s">
        <v>3378</v>
      </c>
      <c r="C4016" s="12" t="s">
        <v>4</v>
      </c>
      <c r="D4016" s="93">
        <v>129.59</v>
      </c>
      <c r="E4016" s="93">
        <v>4.37</v>
      </c>
      <c r="F4016" s="93">
        <v>125.22</v>
      </c>
      <c r="G4016" s="93">
        <v>0</v>
      </c>
      <c r="H4016" s="93">
        <v>0</v>
      </c>
      <c r="N4016" s="88"/>
      <c r="O4016" s="88"/>
      <c r="P4016" s="88"/>
    </row>
    <row r="4017" spans="1:16">
      <c r="A4017" s="94">
        <v>93071</v>
      </c>
      <c r="B4017" s="87" t="s">
        <v>3379</v>
      </c>
      <c r="C4017" s="12" t="s">
        <v>4</v>
      </c>
      <c r="D4017" s="93">
        <v>120.39</v>
      </c>
      <c r="E4017" s="93">
        <v>4.37</v>
      </c>
      <c r="F4017" s="93">
        <v>116.02</v>
      </c>
      <c r="G4017" s="93">
        <v>0</v>
      </c>
      <c r="H4017" s="93">
        <v>0</v>
      </c>
      <c r="N4017" s="88"/>
      <c r="O4017" s="88"/>
      <c r="P4017" s="88"/>
    </row>
    <row r="4018" spans="1:16">
      <c r="A4018" s="94">
        <v>93072</v>
      </c>
      <c r="B4018" s="87" t="s">
        <v>3380</v>
      </c>
      <c r="C4018" s="12" t="s">
        <v>4</v>
      </c>
      <c r="D4018" s="93">
        <v>1057.54</v>
      </c>
      <c r="E4018" s="93">
        <v>4.37</v>
      </c>
      <c r="F4018" s="93">
        <v>1053.17</v>
      </c>
      <c r="G4018" s="93">
        <v>0</v>
      </c>
      <c r="H4018" s="93">
        <v>0</v>
      </c>
      <c r="N4018" s="88"/>
      <c r="O4018" s="88"/>
      <c r="P4018" s="88"/>
    </row>
    <row r="4019" spans="1:16">
      <c r="A4019" s="94">
        <v>93073</v>
      </c>
      <c r="B4019" s="87" t="s">
        <v>3381</v>
      </c>
      <c r="C4019" s="12" t="s">
        <v>4</v>
      </c>
      <c r="D4019" s="93">
        <v>58.8</v>
      </c>
      <c r="E4019" s="93">
        <v>3.7</v>
      </c>
      <c r="F4019" s="93">
        <v>55.1</v>
      </c>
      <c r="G4019" s="93">
        <v>0</v>
      </c>
      <c r="H4019" s="93">
        <v>0</v>
      </c>
      <c r="N4019" s="88"/>
      <c r="O4019" s="88"/>
      <c r="P4019" s="88"/>
    </row>
    <row r="4020" spans="1:16">
      <c r="A4020" s="94">
        <v>93074</v>
      </c>
      <c r="B4020" s="87" t="s">
        <v>3382</v>
      </c>
      <c r="C4020" s="12" t="s">
        <v>4</v>
      </c>
      <c r="D4020" s="93">
        <v>9.5</v>
      </c>
      <c r="E4020" s="93">
        <v>4.01</v>
      </c>
      <c r="F4020" s="93">
        <v>5.49</v>
      </c>
      <c r="G4020" s="93">
        <v>0</v>
      </c>
      <c r="H4020" s="93">
        <v>0</v>
      </c>
      <c r="N4020" s="88"/>
      <c r="O4020" s="88"/>
      <c r="P4020" s="88"/>
    </row>
    <row r="4021" spans="1:16">
      <c r="A4021" s="94">
        <v>93075</v>
      </c>
      <c r="B4021" s="87" t="s">
        <v>3383</v>
      </c>
      <c r="C4021" s="12" t="s">
        <v>4</v>
      </c>
      <c r="D4021" s="93">
        <v>15.57</v>
      </c>
      <c r="E4021" s="93">
        <v>4</v>
      </c>
      <c r="F4021" s="93">
        <v>11.57</v>
      </c>
      <c r="G4021" s="93">
        <v>0</v>
      </c>
      <c r="H4021" s="93">
        <v>0</v>
      </c>
      <c r="N4021" s="88"/>
      <c r="O4021" s="88"/>
      <c r="P4021" s="88"/>
    </row>
    <row r="4022" spans="1:16">
      <c r="A4022" s="94">
        <v>93076</v>
      </c>
      <c r="B4022" s="87" t="s">
        <v>3384</v>
      </c>
      <c r="C4022" s="12" t="s">
        <v>4</v>
      </c>
      <c r="D4022" s="93">
        <v>15.16</v>
      </c>
      <c r="E4022" s="93">
        <v>4.62</v>
      </c>
      <c r="F4022" s="93">
        <v>10.54</v>
      </c>
      <c r="G4022" s="93">
        <v>0</v>
      </c>
      <c r="H4022" s="93">
        <v>0</v>
      </c>
      <c r="N4022" s="88"/>
      <c r="O4022" s="88"/>
      <c r="P4022" s="88"/>
    </row>
    <row r="4023" spans="1:16">
      <c r="A4023" s="94">
        <v>93077</v>
      </c>
      <c r="B4023" s="87" t="s">
        <v>3385</v>
      </c>
      <c r="C4023" s="12" t="s">
        <v>4</v>
      </c>
      <c r="D4023" s="93">
        <v>21.98</v>
      </c>
      <c r="E4023" s="93">
        <v>4.6100000000000003</v>
      </c>
      <c r="F4023" s="93">
        <v>17.37</v>
      </c>
      <c r="G4023" s="93">
        <v>0</v>
      </c>
      <c r="H4023" s="93">
        <v>0</v>
      </c>
      <c r="N4023" s="88"/>
      <c r="O4023" s="88"/>
      <c r="P4023" s="88"/>
    </row>
    <row r="4024" spans="1:16">
      <c r="A4024" s="94">
        <v>93078</v>
      </c>
      <c r="B4024" s="87" t="s">
        <v>3386</v>
      </c>
      <c r="C4024" s="12" t="s">
        <v>4</v>
      </c>
      <c r="D4024" s="93">
        <v>23.76</v>
      </c>
      <c r="E4024" s="93">
        <v>4.5999999999999996</v>
      </c>
      <c r="F4024" s="93">
        <v>19.16</v>
      </c>
      <c r="G4024" s="93">
        <v>0</v>
      </c>
      <c r="H4024" s="93">
        <v>0</v>
      </c>
      <c r="N4024" s="88"/>
      <c r="O4024" s="88"/>
      <c r="P4024" s="88"/>
    </row>
    <row r="4025" spans="1:16">
      <c r="A4025" s="94">
        <v>93079</v>
      </c>
      <c r="B4025" s="87" t="s">
        <v>3387</v>
      </c>
      <c r="C4025" s="12" t="s">
        <v>4</v>
      </c>
      <c r="D4025" s="93">
        <v>21.07</v>
      </c>
      <c r="E4025" s="93">
        <v>5.12</v>
      </c>
      <c r="F4025" s="93">
        <v>15.95</v>
      </c>
      <c r="G4025" s="93">
        <v>0</v>
      </c>
      <c r="H4025" s="93">
        <v>0</v>
      </c>
      <c r="N4025" s="88"/>
      <c r="O4025" s="88"/>
      <c r="P4025" s="88"/>
    </row>
    <row r="4026" spans="1:16">
      <c r="A4026" s="94">
        <v>93080</v>
      </c>
      <c r="B4026" s="87" t="s">
        <v>3388</v>
      </c>
      <c r="C4026" s="12" t="s">
        <v>4</v>
      </c>
      <c r="D4026" s="93">
        <v>6.21</v>
      </c>
      <c r="E4026" s="93">
        <v>2.65</v>
      </c>
      <c r="F4026" s="93">
        <v>3.56</v>
      </c>
      <c r="G4026" s="93">
        <v>0</v>
      </c>
      <c r="H4026" s="93">
        <v>0</v>
      </c>
      <c r="N4026" s="88"/>
      <c r="O4026" s="88"/>
      <c r="P4026" s="88"/>
    </row>
    <row r="4027" spans="1:16">
      <c r="A4027" s="94">
        <v>93081</v>
      </c>
      <c r="B4027" s="87" t="s">
        <v>3389</v>
      </c>
      <c r="C4027" s="12" t="s">
        <v>4</v>
      </c>
      <c r="D4027" s="93">
        <v>13.91</v>
      </c>
      <c r="E4027" s="93">
        <v>2.64</v>
      </c>
      <c r="F4027" s="93">
        <v>11.27</v>
      </c>
      <c r="G4027" s="93">
        <v>0</v>
      </c>
      <c r="H4027" s="93">
        <v>0</v>
      </c>
      <c r="N4027" s="88"/>
      <c r="O4027" s="88"/>
      <c r="P4027" s="88"/>
    </row>
    <row r="4028" spans="1:16">
      <c r="A4028" s="94">
        <v>93082</v>
      </c>
      <c r="B4028" s="87" t="s">
        <v>3390</v>
      </c>
      <c r="C4028" s="12" t="s">
        <v>4</v>
      </c>
      <c r="D4028" s="93">
        <v>16.98</v>
      </c>
      <c r="E4028" s="93">
        <v>2.64</v>
      </c>
      <c r="F4028" s="93">
        <v>14.34</v>
      </c>
      <c r="G4028" s="93">
        <v>0</v>
      </c>
      <c r="H4028" s="93">
        <v>0</v>
      </c>
      <c r="N4028" s="88"/>
      <c r="O4028" s="88"/>
      <c r="P4028" s="88"/>
    </row>
    <row r="4029" spans="1:16">
      <c r="A4029" s="94">
        <v>93083</v>
      </c>
      <c r="B4029" s="87" t="s">
        <v>3391</v>
      </c>
      <c r="C4029" s="12" t="s">
        <v>4</v>
      </c>
      <c r="D4029" s="93">
        <v>316.43</v>
      </c>
      <c r="E4029" s="93">
        <v>2.63</v>
      </c>
      <c r="F4029" s="93">
        <v>313.8</v>
      </c>
      <c r="G4029" s="93">
        <v>0</v>
      </c>
      <c r="H4029" s="93">
        <v>0</v>
      </c>
      <c r="N4029" s="88"/>
      <c r="O4029" s="88"/>
      <c r="P4029" s="88"/>
    </row>
    <row r="4030" spans="1:16">
      <c r="A4030" s="94">
        <v>93084</v>
      </c>
      <c r="B4030" s="87" t="s">
        <v>3392</v>
      </c>
      <c r="C4030" s="12" t="s">
        <v>4</v>
      </c>
      <c r="D4030" s="93">
        <v>10.039999999999999</v>
      </c>
      <c r="E4030" s="93">
        <v>3.09</v>
      </c>
      <c r="F4030" s="93">
        <v>6.95</v>
      </c>
      <c r="G4030" s="93">
        <v>0</v>
      </c>
      <c r="H4030" s="93">
        <v>0</v>
      </c>
      <c r="N4030" s="88"/>
      <c r="O4030" s="88"/>
      <c r="P4030" s="88"/>
    </row>
    <row r="4031" spans="1:16">
      <c r="A4031" s="94">
        <v>93085</v>
      </c>
      <c r="B4031" s="87" t="s">
        <v>3393</v>
      </c>
      <c r="C4031" s="12" t="s">
        <v>4</v>
      </c>
      <c r="D4031" s="93">
        <v>9.4</v>
      </c>
      <c r="E4031" s="93">
        <v>3.09</v>
      </c>
      <c r="F4031" s="93">
        <v>6.31</v>
      </c>
      <c r="G4031" s="93">
        <v>0</v>
      </c>
      <c r="H4031" s="93">
        <v>0</v>
      </c>
      <c r="N4031" s="88"/>
      <c r="O4031" s="88"/>
      <c r="P4031" s="88"/>
    </row>
    <row r="4032" spans="1:16">
      <c r="A4032" s="94">
        <v>93086</v>
      </c>
      <c r="B4032" s="87" t="s">
        <v>3394</v>
      </c>
      <c r="C4032" s="12" t="s">
        <v>4</v>
      </c>
      <c r="D4032" s="93">
        <v>367.43</v>
      </c>
      <c r="E4032" s="93">
        <v>3.07</v>
      </c>
      <c r="F4032" s="93">
        <v>364.36</v>
      </c>
      <c r="G4032" s="93">
        <v>0</v>
      </c>
      <c r="H4032" s="93">
        <v>0</v>
      </c>
      <c r="N4032" s="88"/>
      <c r="O4032" s="88"/>
      <c r="P4032" s="88"/>
    </row>
    <row r="4033" spans="1:16">
      <c r="A4033" s="94">
        <v>93087</v>
      </c>
      <c r="B4033" s="87" t="s">
        <v>3395</v>
      </c>
      <c r="C4033" s="12" t="s">
        <v>4</v>
      </c>
      <c r="D4033" s="93">
        <v>15.11</v>
      </c>
      <c r="E4033" s="93">
        <v>3.08</v>
      </c>
      <c r="F4033" s="93">
        <v>12.03</v>
      </c>
      <c r="G4033" s="93">
        <v>0</v>
      </c>
      <c r="H4033" s="93">
        <v>0</v>
      </c>
      <c r="N4033" s="88"/>
      <c r="O4033" s="88"/>
      <c r="P4033" s="88"/>
    </row>
    <row r="4034" spans="1:16">
      <c r="A4034" s="94">
        <v>93088</v>
      </c>
      <c r="B4034" s="87" t="s">
        <v>3396</v>
      </c>
      <c r="C4034" s="12" t="s">
        <v>4</v>
      </c>
      <c r="D4034" s="93">
        <v>17.63</v>
      </c>
      <c r="E4034" s="93">
        <v>3.08</v>
      </c>
      <c r="F4034" s="93">
        <v>14.55</v>
      </c>
      <c r="G4034" s="93">
        <v>0</v>
      </c>
      <c r="H4034" s="93">
        <v>0</v>
      </c>
      <c r="N4034" s="88"/>
      <c r="O4034" s="88"/>
      <c r="P4034" s="88"/>
    </row>
    <row r="4035" spans="1:16">
      <c r="A4035" s="94">
        <v>93089</v>
      </c>
      <c r="B4035" s="87" t="s">
        <v>3397</v>
      </c>
      <c r="C4035" s="12" t="s">
        <v>4</v>
      </c>
      <c r="D4035" s="93">
        <v>33.71</v>
      </c>
      <c r="E4035" s="93">
        <v>3.07</v>
      </c>
      <c r="F4035" s="93">
        <v>30.64</v>
      </c>
      <c r="G4035" s="93">
        <v>0</v>
      </c>
      <c r="H4035" s="93">
        <v>0</v>
      </c>
      <c r="N4035" s="88"/>
      <c r="O4035" s="88"/>
      <c r="P4035" s="88"/>
    </row>
    <row r="4036" spans="1:16">
      <c r="A4036" s="94">
        <v>93090</v>
      </c>
      <c r="B4036" s="87" t="s">
        <v>3398</v>
      </c>
      <c r="C4036" s="12" t="s">
        <v>4</v>
      </c>
      <c r="D4036" s="93">
        <v>13.87</v>
      </c>
      <c r="E4036" s="93">
        <v>3.44</v>
      </c>
      <c r="F4036" s="93">
        <v>10.43</v>
      </c>
      <c r="G4036" s="93">
        <v>0</v>
      </c>
      <c r="H4036" s="93">
        <v>0</v>
      </c>
      <c r="N4036" s="88"/>
      <c r="O4036" s="88"/>
      <c r="P4036" s="88"/>
    </row>
    <row r="4037" spans="1:16">
      <c r="A4037" s="94">
        <v>93091</v>
      </c>
      <c r="B4037" s="87" t="s">
        <v>3399</v>
      </c>
      <c r="C4037" s="12" t="s">
        <v>4</v>
      </c>
      <c r="D4037" s="93">
        <v>12.36</v>
      </c>
      <c r="E4037" s="93">
        <v>3.44</v>
      </c>
      <c r="F4037" s="93">
        <v>8.92</v>
      </c>
      <c r="G4037" s="93">
        <v>0</v>
      </c>
      <c r="H4037" s="93">
        <v>0</v>
      </c>
      <c r="N4037" s="88"/>
      <c r="O4037" s="88"/>
      <c r="P4037" s="88"/>
    </row>
    <row r="4038" spans="1:16">
      <c r="A4038" s="94">
        <v>93092</v>
      </c>
      <c r="B4038" s="87" t="s">
        <v>3400</v>
      </c>
      <c r="C4038" s="12" t="s">
        <v>4</v>
      </c>
      <c r="D4038" s="93">
        <v>403.93</v>
      </c>
      <c r="E4038" s="93">
        <v>3.43</v>
      </c>
      <c r="F4038" s="93">
        <v>400.5</v>
      </c>
      <c r="G4038" s="93">
        <v>0</v>
      </c>
      <c r="H4038" s="93">
        <v>0</v>
      </c>
      <c r="N4038" s="88"/>
      <c r="O4038" s="88"/>
      <c r="P4038" s="88"/>
    </row>
    <row r="4039" spans="1:16">
      <c r="A4039" s="94">
        <v>93093</v>
      </c>
      <c r="B4039" s="87" t="s">
        <v>3401</v>
      </c>
      <c r="C4039" s="12" t="s">
        <v>4</v>
      </c>
      <c r="D4039" s="93">
        <v>23.38</v>
      </c>
      <c r="E4039" s="93">
        <v>3.43</v>
      </c>
      <c r="F4039" s="93">
        <v>19.95</v>
      </c>
      <c r="G4039" s="93">
        <v>0</v>
      </c>
      <c r="H4039" s="93">
        <v>0</v>
      </c>
      <c r="N4039" s="88"/>
      <c r="O4039" s="88"/>
      <c r="P4039" s="88"/>
    </row>
    <row r="4040" spans="1:16">
      <c r="A4040" s="94">
        <v>93094</v>
      </c>
      <c r="B4040" s="87" t="s">
        <v>3402</v>
      </c>
      <c r="C4040" s="12" t="s">
        <v>4</v>
      </c>
      <c r="D4040" s="93">
        <v>57.39</v>
      </c>
      <c r="E4040" s="93">
        <v>3.43</v>
      </c>
      <c r="F4040" s="93">
        <v>53.96</v>
      </c>
      <c r="G4040" s="93">
        <v>0</v>
      </c>
      <c r="H4040" s="93">
        <v>0</v>
      </c>
      <c r="N4040" s="88"/>
      <c r="O4040" s="88"/>
      <c r="P4040" s="88"/>
    </row>
    <row r="4041" spans="1:16">
      <c r="A4041" s="94">
        <v>93095</v>
      </c>
      <c r="B4041" s="87" t="s">
        <v>3403</v>
      </c>
      <c r="C4041" s="12" t="s">
        <v>4</v>
      </c>
      <c r="D4041" s="93">
        <v>43.56</v>
      </c>
      <c r="E4041" s="93">
        <v>5.31</v>
      </c>
      <c r="F4041" s="93">
        <v>38.25</v>
      </c>
      <c r="G4041" s="93">
        <v>0</v>
      </c>
      <c r="H4041" s="93">
        <v>0</v>
      </c>
      <c r="N4041" s="88"/>
      <c r="O4041" s="88"/>
      <c r="P4041" s="88"/>
    </row>
    <row r="4042" spans="1:16">
      <c r="A4042" s="94">
        <v>93096</v>
      </c>
      <c r="B4042" s="87" t="s">
        <v>3404</v>
      </c>
      <c r="C4042" s="12" t="s">
        <v>4</v>
      </c>
      <c r="D4042" s="93">
        <v>61.94</v>
      </c>
      <c r="E4042" s="93">
        <v>6.14</v>
      </c>
      <c r="F4042" s="93">
        <v>55.8</v>
      </c>
      <c r="G4042" s="93">
        <v>0</v>
      </c>
      <c r="H4042" s="93">
        <v>0</v>
      </c>
      <c r="N4042" s="88"/>
      <c r="O4042" s="88"/>
      <c r="P4042" s="88"/>
    </row>
    <row r="4043" spans="1:16">
      <c r="A4043" s="94">
        <v>93097</v>
      </c>
      <c r="B4043" s="87" t="s">
        <v>3405</v>
      </c>
      <c r="C4043" s="12" t="s">
        <v>4</v>
      </c>
      <c r="D4043" s="93">
        <v>9.69</v>
      </c>
      <c r="E4043" s="93">
        <v>4.1500000000000004</v>
      </c>
      <c r="F4043" s="93">
        <v>5.54</v>
      </c>
      <c r="G4043" s="93">
        <v>0</v>
      </c>
      <c r="H4043" s="93">
        <v>0</v>
      </c>
      <c r="N4043" s="88"/>
      <c r="O4043" s="88"/>
      <c r="P4043" s="88"/>
    </row>
    <row r="4044" spans="1:16">
      <c r="A4044" s="94">
        <v>93098</v>
      </c>
      <c r="B4044" s="87" t="s">
        <v>3406</v>
      </c>
      <c r="C4044" s="12" t="s">
        <v>4</v>
      </c>
      <c r="D4044" s="93">
        <v>15.76</v>
      </c>
      <c r="E4044" s="93">
        <v>4.1399999999999997</v>
      </c>
      <c r="F4044" s="93">
        <v>11.62</v>
      </c>
      <c r="G4044" s="93">
        <v>0</v>
      </c>
      <c r="H4044" s="93">
        <v>0</v>
      </c>
      <c r="N4044" s="88"/>
      <c r="O4044" s="88"/>
      <c r="P4044" s="88"/>
    </row>
    <row r="4045" spans="1:16">
      <c r="A4045" s="94">
        <v>93099</v>
      </c>
      <c r="B4045" s="87" t="s">
        <v>3407</v>
      </c>
      <c r="C4045" s="12" t="s">
        <v>4</v>
      </c>
      <c r="D4045" s="93">
        <v>17.32</v>
      </c>
      <c r="E4045" s="93">
        <v>6.27</v>
      </c>
      <c r="F4045" s="93">
        <v>11.05</v>
      </c>
      <c r="G4045" s="93">
        <v>0</v>
      </c>
      <c r="H4045" s="93">
        <v>0</v>
      </c>
      <c r="N4045" s="88"/>
      <c r="O4045" s="88"/>
      <c r="P4045" s="88"/>
    </row>
    <row r="4046" spans="1:16">
      <c r="A4046" s="94">
        <v>93100</v>
      </c>
      <c r="B4046" s="87" t="s">
        <v>3408</v>
      </c>
      <c r="C4046" s="12" t="s">
        <v>4</v>
      </c>
      <c r="D4046" s="93">
        <v>24.14</v>
      </c>
      <c r="E4046" s="93">
        <v>6.26</v>
      </c>
      <c r="F4046" s="93">
        <v>17.88</v>
      </c>
      <c r="G4046" s="93">
        <v>0</v>
      </c>
      <c r="H4046" s="93">
        <v>0</v>
      </c>
      <c r="N4046" s="88"/>
      <c r="O4046" s="88"/>
      <c r="P4046" s="88"/>
    </row>
    <row r="4047" spans="1:16">
      <c r="A4047" s="94">
        <v>93101</v>
      </c>
      <c r="B4047" s="87" t="s">
        <v>3409</v>
      </c>
      <c r="C4047" s="12" t="s">
        <v>4</v>
      </c>
      <c r="D4047" s="93">
        <v>25.92</v>
      </c>
      <c r="E4047" s="93">
        <v>6.26</v>
      </c>
      <c r="F4047" s="93">
        <v>19.66</v>
      </c>
      <c r="G4047" s="93">
        <v>0</v>
      </c>
      <c r="H4047" s="93">
        <v>0</v>
      </c>
      <c r="N4047" s="88"/>
      <c r="O4047" s="88"/>
      <c r="P4047" s="88"/>
    </row>
    <row r="4048" spans="1:16">
      <c r="A4048" s="94">
        <v>93102</v>
      </c>
      <c r="B4048" s="87" t="s">
        <v>3410</v>
      </c>
      <c r="C4048" s="12" t="s">
        <v>4</v>
      </c>
      <c r="D4048" s="93">
        <v>23.04</v>
      </c>
      <c r="E4048" s="93">
        <v>6.62</v>
      </c>
      <c r="F4048" s="93">
        <v>16.420000000000002</v>
      </c>
      <c r="G4048" s="93">
        <v>0</v>
      </c>
      <c r="H4048" s="93">
        <v>0</v>
      </c>
      <c r="N4048" s="88"/>
      <c r="O4048" s="88"/>
      <c r="P4048" s="88"/>
    </row>
    <row r="4049" spans="1:16">
      <c r="A4049" s="94">
        <v>93103</v>
      </c>
      <c r="B4049" s="87" t="s">
        <v>3411</v>
      </c>
      <c r="C4049" s="12" t="s">
        <v>4</v>
      </c>
      <c r="D4049" s="93">
        <v>6.36</v>
      </c>
      <c r="E4049" s="93">
        <v>2.78</v>
      </c>
      <c r="F4049" s="93">
        <v>3.58</v>
      </c>
      <c r="G4049" s="93">
        <v>0</v>
      </c>
      <c r="H4049" s="93">
        <v>0</v>
      </c>
      <c r="N4049" s="88"/>
      <c r="O4049" s="88"/>
      <c r="P4049" s="88"/>
    </row>
    <row r="4050" spans="1:16">
      <c r="A4050" s="94">
        <v>93104</v>
      </c>
      <c r="B4050" s="87" t="s">
        <v>3412</v>
      </c>
      <c r="C4050" s="12" t="s">
        <v>4</v>
      </c>
      <c r="D4050" s="93">
        <v>14.06</v>
      </c>
      <c r="E4050" s="93">
        <v>2.76</v>
      </c>
      <c r="F4050" s="93">
        <v>11.3</v>
      </c>
      <c r="G4050" s="93">
        <v>0</v>
      </c>
      <c r="H4050" s="93">
        <v>0</v>
      </c>
      <c r="N4050" s="88"/>
      <c r="O4050" s="88"/>
      <c r="P4050" s="88"/>
    </row>
    <row r="4051" spans="1:16">
      <c r="A4051" s="94">
        <v>93105</v>
      </c>
      <c r="B4051" s="87" t="s">
        <v>3413</v>
      </c>
      <c r="C4051" s="12" t="s">
        <v>4</v>
      </c>
      <c r="D4051" s="93">
        <v>17.13</v>
      </c>
      <c r="E4051" s="93">
        <v>2.76</v>
      </c>
      <c r="F4051" s="93">
        <v>14.37</v>
      </c>
      <c r="G4051" s="93">
        <v>0</v>
      </c>
      <c r="H4051" s="93">
        <v>0</v>
      </c>
      <c r="N4051" s="88"/>
      <c r="O4051" s="88"/>
      <c r="P4051" s="88"/>
    </row>
    <row r="4052" spans="1:16">
      <c r="A4052" s="94">
        <v>93106</v>
      </c>
      <c r="B4052" s="87" t="s">
        <v>3414</v>
      </c>
      <c r="C4052" s="12" t="s">
        <v>4</v>
      </c>
      <c r="D4052" s="93">
        <v>316.58</v>
      </c>
      <c r="E4052" s="93">
        <v>2.75</v>
      </c>
      <c r="F4052" s="93">
        <v>313.83</v>
      </c>
      <c r="G4052" s="93">
        <v>0</v>
      </c>
      <c r="H4052" s="93">
        <v>0</v>
      </c>
      <c r="N4052" s="88"/>
      <c r="O4052" s="88"/>
      <c r="P4052" s="88"/>
    </row>
    <row r="4053" spans="1:16">
      <c r="A4053" s="94">
        <v>93107</v>
      </c>
      <c r="B4053" s="87" t="s">
        <v>3415</v>
      </c>
      <c r="C4053" s="12" t="s">
        <v>4</v>
      </c>
      <c r="D4053" s="93">
        <v>11.46</v>
      </c>
      <c r="E4053" s="93">
        <v>4.18</v>
      </c>
      <c r="F4053" s="93">
        <v>7.28</v>
      </c>
      <c r="G4053" s="93">
        <v>0</v>
      </c>
      <c r="H4053" s="93">
        <v>0</v>
      </c>
      <c r="N4053" s="88"/>
      <c r="O4053" s="88"/>
      <c r="P4053" s="88"/>
    </row>
    <row r="4054" spans="1:16">
      <c r="A4054" s="94">
        <v>93108</v>
      </c>
      <c r="B4054" s="87" t="s">
        <v>3416</v>
      </c>
      <c r="C4054" s="12" t="s">
        <v>4</v>
      </c>
      <c r="D4054" s="93">
        <v>10.82</v>
      </c>
      <c r="E4054" s="93">
        <v>4.18</v>
      </c>
      <c r="F4054" s="93">
        <v>6.64</v>
      </c>
      <c r="G4054" s="93">
        <v>0</v>
      </c>
      <c r="H4054" s="93">
        <v>0</v>
      </c>
      <c r="N4054" s="88"/>
      <c r="O4054" s="88"/>
      <c r="P4054" s="88"/>
    </row>
    <row r="4055" spans="1:16">
      <c r="A4055" s="94">
        <v>93109</v>
      </c>
      <c r="B4055" s="87" t="s">
        <v>3417</v>
      </c>
      <c r="C4055" s="12" t="s">
        <v>4</v>
      </c>
      <c r="D4055" s="93">
        <v>368.85</v>
      </c>
      <c r="E4055" s="93">
        <v>4.16</v>
      </c>
      <c r="F4055" s="93">
        <v>364.69</v>
      </c>
      <c r="G4055" s="93">
        <v>0</v>
      </c>
      <c r="H4055" s="93">
        <v>0</v>
      </c>
      <c r="N4055" s="88"/>
      <c r="O4055" s="88"/>
      <c r="P4055" s="88"/>
    </row>
    <row r="4056" spans="1:16">
      <c r="A4056" s="94">
        <v>93110</v>
      </c>
      <c r="B4056" s="87" t="s">
        <v>3418</v>
      </c>
      <c r="C4056" s="12" t="s">
        <v>4</v>
      </c>
      <c r="D4056" s="93">
        <v>16.53</v>
      </c>
      <c r="E4056" s="93">
        <v>4.17</v>
      </c>
      <c r="F4056" s="93">
        <v>12.36</v>
      </c>
      <c r="G4056" s="93">
        <v>0</v>
      </c>
      <c r="H4056" s="93">
        <v>0</v>
      </c>
      <c r="N4056" s="88"/>
      <c r="O4056" s="88"/>
      <c r="P4056" s="88"/>
    </row>
    <row r="4057" spans="1:16">
      <c r="A4057" s="94">
        <v>93111</v>
      </c>
      <c r="B4057" s="87" t="s">
        <v>3419</v>
      </c>
      <c r="C4057" s="12" t="s">
        <v>4</v>
      </c>
      <c r="D4057" s="93">
        <v>18.91</v>
      </c>
      <c r="E4057" s="93">
        <v>4.17</v>
      </c>
      <c r="F4057" s="93">
        <v>14.74</v>
      </c>
      <c r="G4057" s="93">
        <v>0</v>
      </c>
      <c r="H4057" s="93">
        <v>0</v>
      </c>
      <c r="N4057" s="88"/>
      <c r="O4057" s="88"/>
      <c r="P4057" s="88"/>
    </row>
    <row r="4058" spans="1:16">
      <c r="A4058" s="94">
        <v>93112</v>
      </c>
      <c r="B4058" s="87" t="s">
        <v>3420</v>
      </c>
      <c r="C4058" s="12" t="s">
        <v>4</v>
      </c>
      <c r="D4058" s="93">
        <v>35.130000000000003</v>
      </c>
      <c r="E4058" s="93">
        <v>4.16</v>
      </c>
      <c r="F4058" s="93">
        <v>30.97</v>
      </c>
      <c r="G4058" s="93">
        <v>0</v>
      </c>
      <c r="H4058" s="93">
        <v>0</v>
      </c>
      <c r="N4058" s="88"/>
      <c r="O4058" s="88"/>
      <c r="P4058" s="88"/>
    </row>
    <row r="4059" spans="1:16">
      <c r="A4059" s="94">
        <v>93113</v>
      </c>
      <c r="B4059" s="87" t="s">
        <v>3421</v>
      </c>
      <c r="C4059" s="12" t="s">
        <v>4</v>
      </c>
      <c r="D4059" s="93">
        <v>16.440000000000001</v>
      </c>
      <c r="E4059" s="93">
        <v>5.39</v>
      </c>
      <c r="F4059" s="93">
        <v>11.05</v>
      </c>
      <c r="G4059" s="93">
        <v>0</v>
      </c>
      <c r="H4059" s="93">
        <v>0</v>
      </c>
      <c r="N4059" s="88"/>
      <c r="O4059" s="88"/>
      <c r="P4059" s="88"/>
    </row>
    <row r="4060" spans="1:16">
      <c r="A4060" s="94">
        <v>93114</v>
      </c>
      <c r="B4060" s="87" t="s">
        <v>3422</v>
      </c>
      <c r="C4060" s="12" t="s">
        <v>4</v>
      </c>
      <c r="D4060" s="93">
        <v>25.95</v>
      </c>
      <c r="E4060" s="93">
        <v>5.39</v>
      </c>
      <c r="F4060" s="93">
        <v>20.56</v>
      </c>
      <c r="G4060" s="93">
        <v>0</v>
      </c>
      <c r="H4060" s="93">
        <v>0</v>
      </c>
      <c r="N4060" s="88"/>
      <c r="O4060" s="88"/>
      <c r="P4060" s="88"/>
    </row>
    <row r="4061" spans="1:16">
      <c r="A4061" s="94">
        <v>93115</v>
      </c>
      <c r="B4061" s="87" t="s">
        <v>3423</v>
      </c>
      <c r="C4061" s="12" t="s">
        <v>4</v>
      </c>
      <c r="D4061" s="93">
        <v>59.96</v>
      </c>
      <c r="E4061" s="93">
        <v>5.38</v>
      </c>
      <c r="F4061" s="93">
        <v>54.58</v>
      </c>
      <c r="G4061" s="93">
        <v>0</v>
      </c>
      <c r="H4061" s="93">
        <v>0</v>
      </c>
      <c r="N4061" s="88"/>
      <c r="O4061" s="88"/>
      <c r="P4061" s="88"/>
    </row>
    <row r="4062" spans="1:16">
      <c r="A4062" s="94">
        <v>93116</v>
      </c>
      <c r="B4062" s="87" t="s">
        <v>3424</v>
      </c>
      <c r="C4062" s="12" t="s">
        <v>4</v>
      </c>
      <c r="D4062" s="93">
        <v>406.5</v>
      </c>
      <c r="E4062" s="93">
        <v>5.38</v>
      </c>
      <c r="F4062" s="93">
        <v>401.12</v>
      </c>
      <c r="G4062" s="93">
        <v>0</v>
      </c>
      <c r="H4062" s="93">
        <v>0</v>
      </c>
      <c r="N4062" s="88"/>
      <c r="O4062" s="88"/>
      <c r="P4062" s="88"/>
    </row>
    <row r="4063" spans="1:16">
      <c r="A4063" s="94">
        <v>93117</v>
      </c>
      <c r="B4063" s="87" t="s">
        <v>3425</v>
      </c>
      <c r="C4063" s="12" t="s">
        <v>4</v>
      </c>
      <c r="D4063" s="93">
        <v>43.77</v>
      </c>
      <c r="E4063" s="93">
        <v>5.48</v>
      </c>
      <c r="F4063" s="93">
        <v>38.29</v>
      </c>
      <c r="G4063" s="93">
        <v>0</v>
      </c>
      <c r="H4063" s="93">
        <v>0</v>
      </c>
      <c r="N4063" s="88"/>
      <c r="O4063" s="88"/>
      <c r="P4063" s="88"/>
    </row>
    <row r="4064" spans="1:16">
      <c r="A4064" s="94">
        <v>93118</v>
      </c>
      <c r="B4064" s="87" t="s">
        <v>3426</v>
      </c>
      <c r="C4064" s="12" t="s">
        <v>4</v>
      </c>
      <c r="D4064" s="93">
        <v>64.790000000000006</v>
      </c>
      <c r="E4064" s="93">
        <v>8.33</v>
      </c>
      <c r="F4064" s="93">
        <v>56.46</v>
      </c>
      <c r="G4064" s="93">
        <v>0</v>
      </c>
      <c r="H4064" s="93">
        <v>0</v>
      </c>
      <c r="N4064" s="88"/>
      <c r="O4064" s="88"/>
      <c r="P4064" s="88"/>
    </row>
    <row r="4065" spans="1:16">
      <c r="A4065" s="94">
        <v>93119</v>
      </c>
      <c r="B4065" s="87" t="s">
        <v>3427</v>
      </c>
      <c r="C4065" s="12" t="s">
        <v>4</v>
      </c>
      <c r="D4065" s="93">
        <v>12.82</v>
      </c>
      <c r="E4065" s="93">
        <v>2.79</v>
      </c>
      <c r="F4065" s="93">
        <v>10.029999999999999</v>
      </c>
      <c r="G4065" s="93">
        <v>0</v>
      </c>
      <c r="H4065" s="93">
        <v>0</v>
      </c>
      <c r="N4065" s="88"/>
      <c r="O4065" s="88"/>
      <c r="P4065" s="88"/>
    </row>
    <row r="4066" spans="1:16">
      <c r="A4066" s="94">
        <v>93120</v>
      </c>
      <c r="B4066" s="87" t="s">
        <v>3428</v>
      </c>
      <c r="C4066" s="12" t="s">
        <v>4</v>
      </c>
      <c r="D4066" s="93">
        <v>19.64</v>
      </c>
      <c r="E4066" s="93">
        <v>2.79</v>
      </c>
      <c r="F4066" s="93">
        <v>16.850000000000001</v>
      </c>
      <c r="G4066" s="93">
        <v>0</v>
      </c>
      <c r="H4066" s="93">
        <v>0</v>
      </c>
      <c r="N4066" s="88"/>
      <c r="O4066" s="88"/>
      <c r="P4066" s="88"/>
    </row>
    <row r="4067" spans="1:16">
      <c r="A4067" s="94">
        <v>93121</v>
      </c>
      <c r="B4067" s="87" t="s">
        <v>3429</v>
      </c>
      <c r="C4067" s="12" t="s">
        <v>4</v>
      </c>
      <c r="D4067" s="93">
        <v>21.42</v>
      </c>
      <c r="E4067" s="93">
        <v>2.79</v>
      </c>
      <c r="F4067" s="93">
        <v>18.63</v>
      </c>
      <c r="G4067" s="93">
        <v>0</v>
      </c>
      <c r="H4067" s="93">
        <v>0</v>
      </c>
      <c r="N4067" s="88"/>
      <c r="O4067" s="88"/>
      <c r="P4067" s="88"/>
    </row>
    <row r="4068" spans="1:16">
      <c r="A4068" s="94">
        <v>93122</v>
      </c>
      <c r="B4068" s="87" t="s">
        <v>3430</v>
      </c>
      <c r="C4068" s="12" t="s">
        <v>4</v>
      </c>
      <c r="D4068" s="93">
        <v>18.739999999999998</v>
      </c>
      <c r="E4068" s="93">
        <v>3.31</v>
      </c>
      <c r="F4068" s="93">
        <v>15.43</v>
      </c>
      <c r="G4068" s="93">
        <v>0</v>
      </c>
      <c r="H4068" s="93">
        <v>0</v>
      </c>
      <c r="N4068" s="88"/>
      <c r="O4068" s="88"/>
      <c r="P4068" s="88"/>
    </row>
    <row r="4069" spans="1:16">
      <c r="A4069" s="94">
        <v>93123</v>
      </c>
      <c r="B4069" s="87" t="s">
        <v>3431</v>
      </c>
      <c r="C4069" s="12" t="s">
        <v>4</v>
      </c>
      <c r="D4069" s="93">
        <v>40.909999999999997</v>
      </c>
      <c r="E4069" s="93">
        <v>3.9</v>
      </c>
      <c r="F4069" s="93">
        <v>37.01</v>
      </c>
      <c r="G4069" s="93">
        <v>0</v>
      </c>
      <c r="H4069" s="93">
        <v>0</v>
      </c>
      <c r="N4069" s="88"/>
      <c r="O4069" s="88"/>
      <c r="P4069" s="88"/>
    </row>
    <row r="4070" spans="1:16">
      <c r="A4070" s="94">
        <v>93124</v>
      </c>
      <c r="B4070" s="87" t="s">
        <v>3432</v>
      </c>
      <c r="C4070" s="12" t="s">
        <v>4</v>
      </c>
      <c r="D4070" s="93">
        <v>64.14</v>
      </c>
      <c r="E4070" s="93">
        <v>4.51</v>
      </c>
      <c r="F4070" s="93">
        <v>59.63</v>
      </c>
      <c r="G4070" s="93">
        <v>0</v>
      </c>
      <c r="H4070" s="93">
        <v>0</v>
      </c>
      <c r="N4070" s="88"/>
      <c r="O4070" s="88"/>
      <c r="P4070" s="88"/>
    </row>
    <row r="4071" spans="1:16">
      <c r="A4071" s="94">
        <v>93125</v>
      </c>
      <c r="B4071" s="87" t="s">
        <v>3433</v>
      </c>
      <c r="C4071" s="12" t="s">
        <v>4</v>
      </c>
      <c r="D4071" s="93">
        <v>93.21</v>
      </c>
      <c r="E4071" s="93">
        <v>5.52</v>
      </c>
      <c r="F4071" s="93">
        <v>87.69</v>
      </c>
      <c r="G4071" s="93">
        <v>0</v>
      </c>
      <c r="H4071" s="93">
        <v>0</v>
      </c>
      <c r="N4071" s="88"/>
      <c r="O4071" s="88"/>
      <c r="P4071" s="88"/>
    </row>
    <row r="4072" spans="1:16">
      <c r="A4072" s="94">
        <v>93126</v>
      </c>
      <c r="B4072" s="87" t="s">
        <v>3434</v>
      </c>
      <c r="C4072" s="12" t="s">
        <v>4</v>
      </c>
      <c r="D4072" s="93">
        <v>205.97</v>
      </c>
      <c r="E4072" s="93">
        <v>6.54</v>
      </c>
      <c r="F4072" s="93">
        <v>199.43</v>
      </c>
      <c r="G4072" s="93">
        <v>0</v>
      </c>
      <c r="H4072" s="93">
        <v>0</v>
      </c>
      <c r="N4072" s="88"/>
      <c r="O4072" s="88"/>
      <c r="P4072" s="88"/>
    </row>
    <row r="4073" spans="1:16">
      <c r="A4073" s="94">
        <v>93133</v>
      </c>
      <c r="B4073" s="87" t="s">
        <v>3435</v>
      </c>
      <c r="C4073" s="12" t="s">
        <v>4</v>
      </c>
      <c r="D4073" s="93">
        <v>14.93</v>
      </c>
      <c r="E4073" s="93">
        <v>5.4</v>
      </c>
      <c r="F4073" s="93">
        <v>9.5299999999999994</v>
      </c>
      <c r="G4073" s="93">
        <v>0</v>
      </c>
      <c r="H4073" s="93">
        <v>0</v>
      </c>
      <c r="N4073" s="88"/>
      <c r="O4073" s="88"/>
      <c r="P4073" s="88"/>
    </row>
    <row r="4074" spans="1:16">
      <c r="A4074" s="94">
        <v>94465</v>
      </c>
      <c r="B4074" s="87" t="s">
        <v>3436</v>
      </c>
      <c r="C4074" s="12" t="s">
        <v>4</v>
      </c>
      <c r="D4074" s="93">
        <v>37.86</v>
      </c>
      <c r="E4074" s="93">
        <v>10.15</v>
      </c>
      <c r="F4074" s="93">
        <v>27.71</v>
      </c>
      <c r="G4074" s="93">
        <v>0</v>
      </c>
      <c r="H4074" s="93">
        <v>0</v>
      </c>
      <c r="N4074" s="88"/>
      <c r="O4074" s="88"/>
      <c r="P4074" s="88"/>
    </row>
    <row r="4075" spans="1:16">
      <c r="A4075" s="94">
        <v>94466</v>
      </c>
      <c r="B4075" s="87" t="s">
        <v>3437</v>
      </c>
      <c r="C4075" s="12" t="s">
        <v>4</v>
      </c>
      <c r="D4075" s="93">
        <v>37.869999999999997</v>
      </c>
      <c r="E4075" s="93">
        <v>10.15</v>
      </c>
      <c r="F4075" s="93">
        <v>27.72</v>
      </c>
      <c r="G4075" s="93">
        <v>0</v>
      </c>
      <c r="H4075" s="93">
        <v>0</v>
      </c>
      <c r="N4075" s="88"/>
      <c r="O4075" s="88"/>
      <c r="P4075" s="88"/>
    </row>
    <row r="4076" spans="1:16">
      <c r="A4076" s="94">
        <v>94467</v>
      </c>
      <c r="B4076" s="87" t="s">
        <v>3438</v>
      </c>
      <c r="C4076" s="12" t="s">
        <v>4</v>
      </c>
      <c r="D4076" s="93">
        <v>57.97</v>
      </c>
      <c r="E4076" s="93">
        <v>10.15</v>
      </c>
      <c r="F4076" s="93">
        <v>47.82</v>
      </c>
      <c r="G4076" s="93">
        <v>0</v>
      </c>
      <c r="H4076" s="93">
        <v>0</v>
      </c>
      <c r="N4076" s="88"/>
      <c r="O4076" s="88"/>
      <c r="P4076" s="88"/>
    </row>
    <row r="4077" spans="1:16">
      <c r="A4077" s="94">
        <v>94468</v>
      </c>
      <c r="B4077" s="87" t="s">
        <v>3439</v>
      </c>
      <c r="C4077" s="12" t="s">
        <v>4</v>
      </c>
      <c r="D4077" s="93">
        <v>50.83</v>
      </c>
      <c r="E4077" s="93">
        <v>10.15</v>
      </c>
      <c r="F4077" s="93">
        <v>40.68</v>
      </c>
      <c r="G4077" s="93">
        <v>0</v>
      </c>
      <c r="H4077" s="93">
        <v>0</v>
      </c>
      <c r="N4077" s="88"/>
      <c r="O4077" s="88"/>
      <c r="P4077" s="88"/>
    </row>
    <row r="4078" spans="1:16">
      <c r="A4078" s="94">
        <v>94469</v>
      </c>
      <c r="B4078" s="87" t="s">
        <v>3440</v>
      </c>
      <c r="C4078" s="12" t="s">
        <v>4</v>
      </c>
      <c r="D4078" s="93">
        <v>84.01</v>
      </c>
      <c r="E4078" s="93">
        <v>12.68</v>
      </c>
      <c r="F4078" s="93">
        <v>71.33</v>
      </c>
      <c r="G4078" s="93">
        <v>0</v>
      </c>
      <c r="H4078" s="93">
        <v>0</v>
      </c>
      <c r="N4078" s="88"/>
      <c r="O4078" s="88"/>
      <c r="P4078" s="88"/>
    </row>
    <row r="4079" spans="1:16">
      <c r="A4079" s="94">
        <v>94470</v>
      </c>
      <c r="B4079" s="87" t="s">
        <v>3441</v>
      </c>
      <c r="C4079" s="12" t="s">
        <v>4</v>
      </c>
      <c r="D4079" s="93">
        <v>77.66</v>
      </c>
      <c r="E4079" s="93">
        <v>12.68</v>
      </c>
      <c r="F4079" s="93">
        <v>64.98</v>
      </c>
      <c r="G4079" s="93">
        <v>0</v>
      </c>
      <c r="H4079" s="93">
        <v>0</v>
      </c>
      <c r="N4079" s="88"/>
      <c r="O4079" s="88"/>
      <c r="P4079" s="88"/>
    </row>
    <row r="4080" spans="1:16">
      <c r="A4080" s="94">
        <v>94471</v>
      </c>
      <c r="B4080" s="87" t="s">
        <v>3442</v>
      </c>
      <c r="C4080" s="12" t="s">
        <v>4</v>
      </c>
      <c r="D4080" s="93">
        <v>54.64</v>
      </c>
      <c r="E4080" s="93">
        <v>15.22</v>
      </c>
      <c r="F4080" s="93">
        <v>39.42</v>
      </c>
      <c r="G4080" s="93">
        <v>0</v>
      </c>
      <c r="H4080" s="93">
        <v>0</v>
      </c>
      <c r="N4080" s="88"/>
      <c r="O4080" s="88"/>
      <c r="P4080" s="88"/>
    </row>
    <row r="4081" spans="1:16">
      <c r="A4081" s="94">
        <v>94472</v>
      </c>
      <c r="B4081" s="87" t="s">
        <v>3443</v>
      </c>
      <c r="C4081" s="12" t="s">
        <v>4</v>
      </c>
      <c r="D4081" s="93">
        <v>56.22</v>
      </c>
      <c r="E4081" s="93">
        <v>15.22</v>
      </c>
      <c r="F4081" s="93">
        <v>41</v>
      </c>
      <c r="G4081" s="93">
        <v>0</v>
      </c>
      <c r="H4081" s="93">
        <v>0</v>
      </c>
      <c r="N4081" s="88"/>
      <c r="O4081" s="88"/>
      <c r="P4081" s="88"/>
    </row>
    <row r="4082" spans="1:16">
      <c r="A4082" s="94">
        <v>94473</v>
      </c>
      <c r="B4082" s="87" t="s">
        <v>3444</v>
      </c>
      <c r="C4082" s="12" t="s">
        <v>4</v>
      </c>
      <c r="D4082" s="93">
        <v>83.05</v>
      </c>
      <c r="E4082" s="93">
        <v>15.21</v>
      </c>
      <c r="F4082" s="93">
        <v>67.84</v>
      </c>
      <c r="G4082" s="93">
        <v>0</v>
      </c>
      <c r="H4082" s="93">
        <v>0</v>
      </c>
      <c r="N4082" s="88"/>
      <c r="O4082" s="88"/>
      <c r="P4082" s="88"/>
    </row>
    <row r="4083" spans="1:16">
      <c r="A4083" s="94">
        <v>94474</v>
      </c>
      <c r="B4083" s="87" t="s">
        <v>3445</v>
      </c>
      <c r="C4083" s="12" t="s">
        <v>4</v>
      </c>
      <c r="D4083" s="93">
        <v>90.04</v>
      </c>
      <c r="E4083" s="93">
        <v>15.21</v>
      </c>
      <c r="F4083" s="93">
        <v>74.83</v>
      </c>
      <c r="G4083" s="93">
        <v>0</v>
      </c>
      <c r="H4083" s="93">
        <v>0</v>
      </c>
      <c r="N4083" s="88"/>
      <c r="O4083" s="88"/>
      <c r="P4083" s="88"/>
    </row>
    <row r="4084" spans="1:16">
      <c r="A4084" s="94">
        <v>94475</v>
      </c>
      <c r="B4084" s="87" t="s">
        <v>3446</v>
      </c>
      <c r="C4084" s="12" t="s">
        <v>4</v>
      </c>
      <c r="D4084" s="93">
        <v>113.95</v>
      </c>
      <c r="E4084" s="93">
        <v>19.010000000000002</v>
      </c>
      <c r="F4084" s="93">
        <v>94.94</v>
      </c>
      <c r="G4084" s="93">
        <v>0</v>
      </c>
      <c r="H4084" s="93">
        <v>0</v>
      </c>
      <c r="N4084" s="88"/>
      <c r="O4084" s="88"/>
      <c r="P4084" s="88"/>
    </row>
    <row r="4085" spans="1:16">
      <c r="A4085" s="94">
        <v>94476</v>
      </c>
      <c r="B4085" s="87" t="s">
        <v>3447</v>
      </c>
      <c r="C4085" s="12" t="s">
        <v>4</v>
      </c>
      <c r="D4085" s="93">
        <v>127.41</v>
      </c>
      <c r="E4085" s="93">
        <v>19.010000000000002</v>
      </c>
      <c r="F4085" s="93">
        <v>108.4</v>
      </c>
      <c r="G4085" s="93">
        <v>0</v>
      </c>
      <c r="H4085" s="93">
        <v>0</v>
      </c>
      <c r="N4085" s="88"/>
      <c r="O4085" s="88"/>
      <c r="P4085" s="88"/>
    </row>
    <row r="4086" spans="1:16">
      <c r="A4086" s="94">
        <v>94477</v>
      </c>
      <c r="B4086" s="87" t="s">
        <v>3448</v>
      </c>
      <c r="C4086" s="12" t="s">
        <v>4</v>
      </c>
      <c r="D4086" s="93">
        <v>72.73</v>
      </c>
      <c r="E4086" s="93">
        <v>20.27</v>
      </c>
      <c r="F4086" s="93">
        <v>52.46</v>
      </c>
      <c r="G4086" s="93">
        <v>0</v>
      </c>
      <c r="H4086" s="93">
        <v>0</v>
      </c>
      <c r="N4086" s="88"/>
      <c r="O4086" s="88"/>
      <c r="P4086" s="88"/>
    </row>
    <row r="4087" spans="1:16">
      <c r="A4087" s="94">
        <v>94478</v>
      </c>
      <c r="B4087" s="87" t="s">
        <v>3449</v>
      </c>
      <c r="C4087" s="12" t="s">
        <v>4</v>
      </c>
      <c r="D4087" s="93">
        <v>114.14</v>
      </c>
      <c r="E4087" s="93">
        <v>20.27</v>
      </c>
      <c r="F4087" s="93">
        <v>93.87</v>
      </c>
      <c r="G4087" s="93">
        <v>0</v>
      </c>
      <c r="H4087" s="93">
        <v>0</v>
      </c>
      <c r="N4087" s="88"/>
      <c r="O4087" s="88"/>
      <c r="P4087" s="88"/>
    </row>
    <row r="4088" spans="1:16">
      <c r="A4088" s="94">
        <v>94479</v>
      </c>
      <c r="B4088" s="87" t="s">
        <v>3450</v>
      </c>
      <c r="C4088" s="12" t="s">
        <v>4</v>
      </c>
      <c r="D4088" s="93">
        <v>150.56</v>
      </c>
      <c r="E4088" s="93">
        <v>25.36</v>
      </c>
      <c r="F4088" s="93">
        <v>125.2</v>
      </c>
      <c r="G4088" s="93">
        <v>0</v>
      </c>
      <c r="H4088" s="93">
        <v>0</v>
      </c>
      <c r="N4088" s="88"/>
      <c r="O4088" s="88"/>
      <c r="P4088" s="88"/>
    </row>
    <row r="4089" spans="1:16">
      <c r="A4089" s="94">
        <v>94606</v>
      </c>
      <c r="B4089" s="87" t="s">
        <v>3451</v>
      </c>
      <c r="C4089" s="12" t="s">
        <v>4</v>
      </c>
      <c r="D4089" s="93">
        <v>57.6</v>
      </c>
      <c r="E4089" s="93">
        <v>11.92</v>
      </c>
      <c r="F4089" s="93">
        <v>45.68</v>
      </c>
      <c r="G4089" s="93">
        <v>0</v>
      </c>
      <c r="H4089" s="93">
        <v>0</v>
      </c>
      <c r="N4089" s="88"/>
      <c r="O4089" s="88"/>
      <c r="P4089" s="88"/>
    </row>
    <row r="4090" spans="1:16">
      <c r="A4090" s="94">
        <v>94608</v>
      </c>
      <c r="B4090" s="87" t="s">
        <v>3452</v>
      </c>
      <c r="C4090" s="12" t="s">
        <v>4</v>
      </c>
      <c r="D4090" s="93">
        <v>138.47999999999999</v>
      </c>
      <c r="E4090" s="93">
        <v>11.91</v>
      </c>
      <c r="F4090" s="93">
        <v>126.57</v>
      </c>
      <c r="G4090" s="93">
        <v>0</v>
      </c>
      <c r="H4090" s="93">
        <v>0</v>
      </c>
      <c r="N4090" s="88"/>
      <c r="O4090" s="88"/>
      <c r="P4090" s="88"/>
    </row>
    <row r="4091" spans="1:16">
      <c r="A4091" s="94">
        <v>94610</v>
      </c>
      <c r="B4091" s="87" t="s">
        <v>3453</v>
      </c>
      <c r="C4091" s="12" t="s">
        <v>4</v>
      </c>
      <c r="D4091" s="93">
        <v>204.86</v>
      </c>
      <c r="E4091" s="93">
        <v>12.99</v>
      </c>
      <c r="F4091" s="93">
        <v>191.87</v>
      </c>
      <c r="G4091" s="93">
        <v>0</v>
      </c>
      <c r="H4091" s="93">
        <v>0</v>
      </c>
      <c r="N4091" s="88"/>
      <c r="O4091" s="88"/>
      <c r="P4091" s="88"/>
    </row>
    <row r="4092" spans="1:16">
      <c r="A4092" s="94">
        <v>94612</v>
      </c>
      <c r="B4092" s="87" t="s">
        <v>3454</v>
      </c>
      <c r="C4092" s="12" t="s">
        <v>4</v>
      </c>
      <c r="D4092" s="93">
        <v>286.51</v>
      </c>
      <c r="E4092" s="93">
        <v>12.99</v>
      </c>
      <c r="F4092" s="93">
        <v>273.52</v>
      </c>
      <c r="G4092" s="93">
        <v>0</v>
      </c>
      <c r="H4092" s="93">
        <v>0</v>
      </c>
      <c r="N4092" s="88"/>
      <c r="O4092" s="88"/>
      <c r="P4092" s="88"/>
    </row>
    <row r="4093" spans="1:16">
      <c r="A4093" s="94">
        <v>94614</v>
      </c>
      <c r="B4093" s="87" t="s">
        <v>3455</v>
      </c>
      <c r="C4093" s="12" t="s">
        <v>4</v>
      </c>
      <c r="D4093" s="93">
        <v>97.04</v>
      </c>
      <c r="E4093" s="93">
        <v>17.899999999999999</v>
      </c>
      <c r="F4093" s="93">
        <v>79.14</v>
      </c>
      <c r="G4093" s="93">
        <v>0</v>
      </c>
      <c r="H4093" s="93">
        <v>0</v>
      </c>
      <c r="N4093" s="88"/>
      <c r="O4093" s="88"/>
      <c r="P4093" s="88"/>
    </row>
    <row r="4094" spans="1:16">
      <c r="A4094" s="94">
        <v>94615</v>
      </c>
      <c r="B4094" s="87" t="s">
        <v>3456</v>
      </c>
      <c r="C4094" s="12" t="s">
        <v>4</v>
      </c>
      <c r="D4094" s="93">
        <v>109.73</v>
      </c>
      <c r="E4094" s="93">
        <v>17.899999999999999</v>
      </c>
      <c r="F4094" s="93">
        <v>91.83</v>
      </c>
      <c r="G4094" s="93">
        <v>0</v>
      </c>
      <c r="H4094" s="93">
        <v>0</v>
      </c>
      <c r="N4094" s="88"/>
      <c r="O4094" s="88"/>
      <c r="P4094" s="88"/>
    </row>
    <row r="4095" spans="1:16">
      <c r="A4095" s="94">
        <v>94616</v>
      </c>
      <c r="B4095" s="87" t="s">
        <v>3457</v>
      </c>
      <c r="C4095" s="12" t="s">
        <v>4</v>
      </c>
      <c r="D4095" s="93">
        <v>263.91000000000003</v>
      </c>
      <c r="E4095" s="93">
        <v>17.89</v>
      </c>
      <c r="F4095" s="93">
        <v>246.02</v>
      </c>
      <c r="G4095" s="93">
        <v>0</v>
      </c>
      <c r="H4095" s="93">
        <v>0</v>
      </c>
      <c r="N4095" s="88"/>
      <c r="O4095" s="88"/>
      <c r="P4095" s="88"/>
    </row>
    <row r="4096" spans="1:16">
      <c r="A4096" s="94">
        <v>94617</v>
      </c>
      <c r="B4096" s="87" t="s">
        <v>3458</v>
      </c>
      <c r="C4096" s="12" t="s">
        <v>4</v>
      </c>
      <c r="D4096" s="93">
        <v>219.77</v>
      </c>
      <c r="E4096" s="93">
        <v>17.89</v>
      </c>
      <c r="F4096" s="93">
        <v>201.88</v>
      </c>
      <c r="G4096" s="93">
        <v>0</v>
      </c>
      <c r="H4096" s="93">
        <v>0</v>
      </c>
      <c r="N4096" s="88"/>
      <c r="O4096" s="88"/>
      <c r="P4096" s="88"/>
    </row>
    <row r="4097" spans="1:16">
      <c r="A4097" s="94">
        <v>94618</v>
      </c>
      <c r="B4097" s="87" t="s">
        <v>3459</v>
      </c>
      <c r="C4097" s="12" t="s">
        <v>4</v>
      </c>
      <c r="D4097" s="93">
        <v>259.5</v>
      </c>
      <c r="E4097" s="93">
        <v>19.48</v>
      </c>
      <c r="F4097" s="93">
        <v>240.02</v>
      </c>
      <c r="G4097" s="93">
        <v>0</v>
      </c>
      <c r="H4097" s="93">
        <v>0</v>
      </c>
      <c r="N4097" s="88"/>
      <c r="O4097" s="88"/>
      <c r="P4097" s="88"/>
    </row>
    <row r="4098" spans="1:16">
      <c r="A4098" s="94">
        <v>94620</v>
      </c>
      <c r="B4098" s="87" t="s">
        <v>3460</v>
      </c>
      <c r="C4098" s="12" t="s">
        <v>4</v>
      </c>
      <c r="D4098" s="93">
        <v>589.72</v>
      </c>
      <c r="E4098" s="93">
        <v>19.48</v>
      </c>
      <c r="F4098" s="93">
        <v>570.24</v>
      </c>
      <c r="G4098" s="93">
        <v>0</v>
      </c>
      <c r="H4098" s="93">
        <v>0</v>
      </c>
      <c r="N4098" s="88"/>
      <c r="O4098" s="88"/>
      <c r="P4098" s="88"/>
    </row>
    <row r="4099" spans="1:16">
      <c r="A4099" s="94">
        <v>94622</v>
      </c>
      <c r="B4099" s="87" t="s">
        <v>3461</v>
      </c>
      <c r="C4099" s="12" t="s">
        <v>4</v>
      </c>
      <c r="D4099" s="93">
        <v>141.53</v>
      </c>
      <c r="E4099" s="93">
        <v>23.86</v>
      </c>
      <c r="F4099" s="93">
        <v>117.67</v>
      </c>
      <c r="G4099" s="93">
        <v>0</v>
      </c>
      <c r="H4099" s="93">
        <v>0</v>
      </c>
      <c r="N4099" s="88"/>
      <c r="O4099" s="88"/>
      <c r="P4099" s="88"/>
    </row>
    <row r="4100" spans="1:16">
      <c r="A4100" s="94">
        <v>94623</v>
      </c>
      <c r="B4100" s="87" t="s">
        <v>3462</v>
      </c>
      <c r="C4100" s="12" t="s">
        <v>4</v>
      </c>
      <c r="D4100" s="93">
        <v>327.14999999999998</v>
      </c>
      <c r="E4100" s="93">
        <v>23.85</v>
      </c>
      <c r="F4100" s="93">
        <v>303.3</v>
      </c>
      <c r="G4100" s="93">
        <v>0</v>
      </c>
      <c r="H4100" s="93">
        <v>0</v>
      </c>
      <c r="N4100" s="88"/>
      <c r="O4100" s="88"/>
      <c r="P4100" s="88"/>
    </row>
    <row r="4101" spans="1:16">
      <c r="A4101" s="94">
        <v>94624</v>
      </c>
      <c r="B4101" s="87" t="s">
        <v>3463</v>
      </c>
      <c r="C4101" s="12" t="s">
        <v>4</v>
      </c>
      <c r="D4101" s="93">
        <v>496.01</v>
      </c>
      <c r="E4101" s="93">
        <v>25.98</v>
      </c>
      <c r="F4101" s="93">
        <v>470.03</v>
      </c>
      <c r="G4101" s="93">
        <v>0</v>
      </c>
      <c r="H4101" s="93">
        <v>0</v>
      </c>
      <c r="N4101" s="88"/>
      <c r="O4101" s="88"/>
      <c r="P4101" s="88"/>
    </row>
    <row r="4102" spans="1:16">
      <c r="A4102" s="94">
        <v>94625</v>
      </c>
      <c r="B4102" s="87" t="s">
        <v>3464</v>
      </c>
      <c r="C4102" s="12" t="s">
        <v>4</v>
      </c>
      <c r="D4102" s="93">
        <v>1027.1400000000001</v>
      </c>
      <c r="E4102" s="93">
        <v>25.98</v>
      </c>
      <c r="F4102" s="93">
        <v>1001.16</v>
      </c>
      <c r="G4102" s="93">
        <v>0</v>
      </c>
      <c r="H4102" s="93">
        <v>0</v>
      </c>
      <c r="N4102" s="88"/>
      <c r="O4102" s="88"/>
      <c r="P4102" s="88"/>
    </row>
    <row r="4103" spans="1:16">
      <c r="A4103" s="94">
        <v>94656</v>
      </c>
      <c r="B4103" s="87" t="s">
        <v>3465</v>
      </c>
      <c r="C4103" s="12" t="s">
        <v>4</v>
      </c>
      <c r="D4103" s="93">
        <v>4.99</v>
      </c>
      <c r="E4103" s="93">
        <v>2.34</v>
      </c>
      <c r="F4103" s="93">
        <v>2.65</v>
      </c>
      <c r="G4103" s="93">
        <v>0</v>
      </c>
      <c r="H4103" s="93">
        <v>0</v>
      </c>
      <c r="N4103" s="88"/>
      <c r="O4103" s="88"/>
      <c r="P4103" s="88"/>
    </row>
    <row r="4104" spans="1:16">
      <c r="A4104" s="94">
        <v>94657</v>
      </c>
      <c r="B4104" s="87" t="s">
        <v>3466</v>
      </c>
      <c r="C4104" s="12" t="s">
        <v>4</v>
      </c>
      <c r="D4104" s="93">
        <v>4.92</v>
      </c>
      <c r="E4104" s="93">
        <v>2.34</v>
      </c>
      <c r="F4104" s="93">
        <v>2.58</v>
      </c>
      <c r="G4104" s="93">
        <v>0</v>
      </c>
      <c r="H4104" s="93">
        <v>0</v>
      </c>
      <c r="N4104" s="88"/>
      <c r="O4104" s="88"/>
      <c r="P4104" s="88"/>
    </row>
    <row r="4105" spans="1:16">
      <c r="A4105" s="94">
        <v>94658</v>
      </c>
      <c r="B4105" s="87" t="s">
        <v>3467</v>
      </c>
      <c r="C4105" s="12" t="s">
        <v>4</v>
      </c>
      <c r="D4105" s="93">
        <v>5.76</v>
      </c>
      <c r="E4105" s="93">
        <v>2.33</v>
      </c>
      <c r="F4105" s="93">
        <v>3.43</v>
      </c>
      <c r="G4105" s="93">
        <v>0</v>
      </c>
      <c r="H4105" s="93">
        <v>0</v>
      </c>
      <c r="N4105" s="88"/>
      <c r="O4105" s="88"/>
      <c r="P4105" s="88"/>
    </row>
    <row r="4106" spans="1:16">
      <c r="A4106" s="94">
        <v>94659</v>
      </c>
      <c r="B4106" s="87" t="s">
        <v>3468</v>
      </c>
      <c r="C4106" s="12" t="s">
        <v>4</v>
      </c>
      <c r="D4106" s="93">
        <v>5.84</v>
      </c>
      <c r="E4106" s="93">
        <v>2.33</v>
      </c>
      <c r="F4106" s="93">
        <v>3.51</v>
      </c>
      <c r="G4106" s="93">
        <v>0</v>
      </c>
      <c r="H4106" s="93">
        <v>0</v>
      </c>
      <c r="N4106" s="88"/>
      <c r="O4106" s="88"/>
      <c r="P4106" s="88"/>
    </row>
    <row r="4107" spans="1:16">
      <c r="A4107" s="94">
        <v>94660</v>
      </c>
      <c r="B4107" s="87" t="s">
        <v>3469</v>
      </c>
      <c r="C4107" s="12" t="s">
        <v>4</v>
      </c>
      <c r="D4107" s="93">
        <v>9.41</v>
      </c>
      <c r="E4107" s="93">
        <v>3.32</v>
      </c>
      <c r="F4107" s="93">
        <v>6.09</v>
      </c>
      <c r="G4107" s="93">
        <v>0</v>
      </c>
      <c r="H4107" s="93">
        <v>0</v>
      </c>
      <c r="N4107" s="88"/>
      <c r="O4107" s="88"/>
      <c r="P4107" s="88"/>
    </row>
    <row r="4108" spans="1:16">
      <c r="A4108" s="94">
        <v>94661</v>
      </c>
      <c r="B4108" s="87" t="s">
        <v>3470</v>
      </c>
      <c r="C4108" s="12" t="s">
        <v>4</v>
      </c>
      <c r="D4108" s="93">
        <v>9.7799999999999994</v>
      </c>
      <c r="E4108" s="93">
        <v>3.32</v>
      </c>
      <c r="F4108" s="93">
        <v>6.46</v>
      </c>
      <c r="G4108" s="93">
        <v>0</v>
      </c>
      <c r="H4108" s="93">
        <v>0</v>
      </c>
      <c r="N4108" s="88"/>
      <c r="O4108" s="88"/>
      <c r="P4108" s="88"/>
    </row>
    <row r="4109" spans="1:16">
      <c r="A4109" s="94">
        <v>94662</v>
      </c>
      <c r="B4109" s="87" t="s">
        <v>3471</v>
      </c>
      <c r="C4109" s="12" t="s">
        <v>4</v>
      </c>
      <c r="D4109" s="93">
        <v>10.18</v>
      </c>
      <c r="E4109" s="93">
        <v>3.32</v>
      </c>
      <c r="F4109" s="93">
        <v>6.86</v>
      </c>
      <c r="G4109" s="93">
        <v>0</v>
      </c>
      <c r="H4109" s="93">
        <v>0</v>
      </c>
      <c r="N4109" s="88"/>
      <c r="O4109" s="88"/>
      <c r="P4109" s="88"/>
    </row>
    <row r="4110" spans="1:16">
      <c r="A4110" s="94">
        <v>94663</v>
      </c>
      <c r="B4110" s="87" t="s">
        <v>3472</v>
      </c>
      <c r="C4110" s="12" t="s">
        <v>4</v>
      </c>
      <c r="D4110" s="93">
        <v>10.33</v>
      </c>
      <c r="E4110" s="93">
        <v>3.32</v>
      </c>
      <c r="F4110" s="93">
        <v>7.01</v>
      </c>
      <c r="G4110" s="93">
        <v>0</v>
      </c>
      <c r="H4110" s="93">
        <v>0</v>
      </c>
      <c r="N4110" s="88"/>
      <c r="O4110" s="88"/>
      <c r="P4110" s="88"/>
    </row>
    <row r="4111" spans="1:16">
      <c r="A4111" s="94">
        <v>94664</v>
      </c>
      <c r="B4111" s="87" t="s">
        <v>3473</v>
      </c>
      <c r="C4111" s="12" t="s">
        <v>4</v>
      </c>
      <c r="D4111" s="93">
        <v>21.8</v>
      </c>
      <c r="E4111" s="93">
        <v>5.35</v>
      </c>
      <c r="F4111" s="93">
        <v>16.45</v>
      </c>
      <c r="G4111" s="93">
        <v>0</v>
      </c>
      <c r="H4111" s="93">
        <v>0</v>
      </c>
      <c r="N4111" s="88"/>
      <c r="O4111" s="88"/>
      <c r="P4111" s="88"/>
    </row>
    <row r="4112" spans="1:16">
      <c r="A4112" s="94">
        <v>94665</v>
      </c>
      <c r="B4112" s="87" t="s">
        <v>3474</v>
      </c>
      <c r="C4112" s="12" t="s">
        <v>4</v>
      </c>
      <c r="D4112" s="93">
        <v>21.79</v>
      </c>
      <c r="E4112" s="93">
        <v>5.35</v>
      </c>
      <c r="F4112" s="93">
        <v>16.440000000000001</v>
      </c>
      <c r="G4112" s="93">
        <v>0</v>
      </c>
      <c r="H4112" s="93">
        <v>0</v>
      </c>
      <c r="N4112" s="88"/>
      <c r="O4112" s="88"/>
      <c r="P4112" s="88"/>
    </row>
    <row r="4113" spans="1:16">
      <c r="A4113" s="94">
        <v>94666</v>
      </c>
      <c r="B4113" s="87" t="s">
        <v>3475</v>
      </c>
      <c r="C4113" s="12" t="s">
        <v>4</v>
      </c>
      <c r="D4113" s="93">
        <v>26.23</v>
      </c>
      <c r="E4113" s="93">
        <v>5.35</v>
      </c>
      <c r="F4113" s="93">
        <v>20.88</v>
      </c>
      <c r="G4113" s="93">
        <v>0</v>
      </c>
      <c r="H4113" s="93">
        <v>0</v>
      </c>
      <c r="N4113" s="88"/>
      <c r="O4113" s="88"/>
      <c r="P4113" s="88"/>
    </row>
    <row r="4114" spans="1:16">
      <c r="A4114" s="94">
        <v>94667</v>
      </c>
      <c r="B4114" s="87" t="s">
        <v>3476</v>
      </c>
      <c r="C4114" s="12" t="s">
        <v>4</v>
      </c>
      <c r="D4114" s="93">
        <v>28.99</v>
      </c>
      <c r="E4114" s="93">
        <v>5.35</v>
      </c>
      <c r="F4114" s="93">
        <v>23.64</v>
      </c>
      <c r="G4114" s="93">
        <v>0</v>
      </c>
      <c r="H4114" s="93">
        <v>0</v>
      </c>
      <c r="N4114" s="88"/>
      <c r="O4114" s="88"/>
      <c r="P4114" s="88"/>
    </row>
    <row r="4115" spans="1:16">
      <c r="A4115" s="94">
        <v>94668</v>
      </c>
      <c r="B4115" s="87" t="s">
        <v>3477</v>
      </c>
      <c r="C4115" s="12" t="s">
        <v>4</v>
      </c>
      <c r="D4115" s="93">
        <v>45.04</v>
      </c>
      <c r="E4115" s="93">
        <v>9.41</v>
      </c>
      <c r="F4115" s="93">
        <v>35.630000000000003</v>
      </c>
      <c r="G4115" s="93">
        <v>0</v>
      </c>
      <c r="H4115" s="93">
        <v>0</v>
      </c>
      <c r="N4115" s="88"/>
      <c r="O4115" s="88"/>
      <c r="P4115" s="88"/>
    </row>
    <row r="4116" spans="1:16">
      <c r="A4116" s="94">
        <v>94669</v>
      </c>
      <c r="B4116" s="87" t="s">
        <v>3478</v>
      </c>
      <c r="C4116" s="12" t="s">
        <v>4</v>
      </c>
      <c r="D4116" s="93">
        <v>60.53</v>
      </c>
      <c r="E4116" s="93">
        <v>9.4</v>
      </c>
      <c r="F4116" s="93">
        <v>51.13</v>
      </c>
      <c r="G4116" s="93">
        <v>0</v>
      </c>
      <c r="H4116" s="93">
        <v>0</v>
      </c>
      <c r="N4116" s="88"/>
      <c r="O4116" s="88"/>
      <c r="P4116" s="88"/>
    </row>
    <row r="4117" spans="1:16">
      <c r="A4117" s="94">
        <v>94670</v>
      </c>
      <c r="B4117" s="87" t="s">
        <v>3479</v>
      </c>
      <c r="C4117" s="12" t="s">
        <v>4</v>
      </c>
      <c r="D4117" s="93">
        <v>58.83</v>
      </c>
      <c r="E4117" s="93">
        <v>9.4</v>
      </c>
      <c r="F4117" s="93">
        <v>49.43</v>
      </c>
      <c r="G4117" s="93">
        <v>0</v>
      </c>
      <c r="H4117" s="93">
        <v>0</v>
      </c>
      <c r="N4117" s="88"/>
      <c r="O4117" s="88"/>
      <c r="P4117" s="88"/>
    </row>
    <row r="4118" spans="1:16">
      <c r="A4118" s="94">
        <v>94671</v>
      </c>
      <c r="B4118" s="87" t="s">
        <v>3480</v>
      </c>
      <c r="C4118" s="12" t="s">
        <v>4</v>
      </c>
      <c r="D4118" s="93">
        <v>84.66</v>
      </c>
      <c r="E4118" s="93">
        <v>9.4</v>
      </c>
      <c r="F4118" s="93">
        <v>75.260000000000005</v>
      </c>
      <c r="G4118" s="93">
        <v>0</v>
      </c>
      <c r="H4118" s="93">
        <v>0</v>
      </c>
      <c r="N4118" s="88"/>
      <c r="O4118" s="88"/>
      <c r="P4118" s="88"/>
    </row>
    <row r="4119" spans="1:16">
      <c r="A4119" s="94">
        <v>94672</v>
      </c>
      <c r="B4119" s="87" t="s">
        <v>3481</v>
      </c>
      <c r="C4119" s="12" t="s">
        <v>4</v>
      </c>
      <c r="D4119" s="93">
        <v>8.5</v>
      </c>
      <c r="E4119" s="93">
        <v>3.51</v>
      </c>
      <c r="F4119" s="93">
        <v>4.99</v>
      </c>
      <c r="G4119" s="93">
        <v>0</v>
      </c>
      <c r="H4119" s="93">
        <v>0</v>
      </c>
      <c r="N4119" s="88"/>
      <c r="O4119" s="88"/>
      <c r="P4119" s="88"/>
    </row>
    <row r="4120" spans="1:16">
      <c r="A4120" s="94">
        <v>94673</v>
      </c>
      <c r="B4120" s="87" t="s">
        <v>3482</v>
      </c>
      <c r="C4120" s="12" t="s">
        <v>4</v>
      </c>
      <c r="D4120" s="93">
        <v>8.2899999999999991</v>
      </c>
      <c r="E4120" s="93">
        <v>3.51</v>
      </c>
      <c r="F4120" s="93">
        <v>4.78</v>
      </c>
      <c r="G4120" s="93">
        <v>0</v>
      </c>
      <c r="H4120" s="93">
        <v>0</v>
      </c>
      <c r="N4120" s="88"/>
      <c r="O4120" s="88"/>
      <c r="P4120" s="88"/>
    </row>
    <row r="4121" spans="1:16">
      <c r="A4121" s="94">
        <v>94674</v>
      </c>
      <c r="B4121" s="87" t="s">
        <v>3483</v>
      </c>
      <c r="C4121" s="12" t="s">
        <v>4</v>
      </c>
      <c r="D4121" s="93">
        <v>7.57</v>
      </c>
      <c r="E4121" s="93">
        <v>3.51</v>
      </c>
      <c r="F4121" s="93">
        <v>4.0599999999999996</v>
      </c>
      <c r="G4121" s="93">
        <v>0</v>
      </c>
      <c r="H4121" s="93">
        <v>0</v>
      </c>
      <c r="N4121" s="88"/>
      <c r="O4121" s="88"/>
      <c r="P4121" s="88"/>
    </row>
    <row r="4122" spans="1:16">
      <c r="A4122" s="94">
        <v>94675</v>
      </c>
      <c r="B4122" s="87" t="s">
        <v>3484</v>
      </c>
      <c r="C4122" s="12" t="s">
        <v>4</v>
      </c>
      <c r="D4122" s="93">
        <v>11.47</v>
      </c>
      <c r="E4122" s="93">
        <v>3.5</v>
      </c>
      <c r="F4122" s="93">
        <v>7.97</v>
      </c>
      <c r="G4122" s="93">
        <v>0</v>
      </c>
      <c r="H4122" s="93">
        <v>0</v>
      </c>
      <c r="N4122" s="88"/>
      <c r="O4122" s="88"/>
      <c r="P4122" s="88"/>
    </row>
    <row r="4123" spans="1:16">
      <c r="A4123" s="94">
        <v>94676</v>
      </c>
      <c r="B4123" s="87" t="s">
        <v>3485</v>
      </c>
      <c r="C4123" s="12" t="s">
        <v>4</v>
      </c>
      <c r="D4123" s="93">
        <v>12.95</v>
      </c>
      <c r="E4123" s="93">
        <v>4.99</v>
      </c>
      <c r="F4123" s="93">
        <v>7.96</v>
      </c>
      <c r="G4123" s="93">
        <v>0</v>
      </c>
      <c r="H4123" s="93">
        <v>0</v>
      </c>
      <c r="N4123" s="88"/>
      <c r="O4123" s="88"/>
      <c r="P4123" s="88"/>
    </row>
    <row r="4124" spans="1:16">
      <c r="A4124" s="94">
        <v>94677</v>
      </c>
      <c r="B4124" s="87" t="s">
        <v>3486</v>
      </c>
      <c r="C4124" s="12" t="s">
        <v>4</v>
      </c>
      <c r="D4124" s="93">
        <v>18.82</v>
      </c>
      <c r="E4124" s="93">
        <v>4.9800000000000004</v>
      </c>
      <c r="F4124" s="93">
        <v>13.84</v>
      </c>
      <c r="G4124" s="93">
        <v>0</v>
      </c>
      <c r="H4124" s="93">
        <v>0</v>
      </c>
      <c r="N4124" s="88"/>
      <c r="O4124" s="88"/>
      <c r="P4124" s="88"/>
    </row>
    <row r="4125" spans="1:16">
      <c r="A4125" s="94">
        <v>94678</v>
      </c>
      <c r="B4125" s="87" t="s">
        <v>3487</v>
      </c>
      <c r="C4125" s="12" t="s">
        <v>4</v>
      </c>
      <c r="D4125" s="93">
        <v>13.29</v>
      </c>
      <c r="E4125" s="93">
        <v>4.99</v>
      </c>
      <c r="F4125" s="93">
        <v>8.3000000000000007</v>
      </c>
      <c r="G4125" s="93">
        <v>0</v>
      </c>
      <c r="H4125" s="93">
        <v>0</v>
      </c>
      <c r="N4125" s="88"/>
      <c r="O4125" s="88"/>
      <c r="P4125" s="88"/>
    </row>
    <row r="4126" spans="1:16">
      <c r="A4126" s="94">
        <v>94679</v>
      </c>
      <c r="B4126" s="87" t="s">
        <v>3488</v>
      </c>
      <c r="C4126" s="12" t="s">
        <v>4</v>
      </c>
      <c r="D4126" s="93">
        <v>21.03</v>
      </c>
      <c r="E4126" s="93">
        <v>4.9800000000000004</v>
      </c>
      <c r="F4126" s="93">
        <v>16.05</v>
      </c>
      <c r="G4126" s="93">
        <v>0</v>
      </c>
      <c r="H4126" s="93">
        <v>0</v>
      </c>
      <c r="N4126" s="88"/>
      <c r="O4126" s="88"/>
      <c r="P4126" s="88"/>
    </row>
    <row r="4127" spans="1:16">
      <c r="A4127" s="94">
        <v>94680</v>
      </c>
      <c r="B4127" s="87" t="s">
        <v>3489</v>
      </c>
      <c r="C4127" s="12" t="s">
        <v>4</v>
      </c>
      <c r="D4127" s="93">
        <v>35.31</v>
      </c>
      <c r="E4127" s="93">
        <v>8.0399999999999991</v>
      </c>
      <c r="F4127" s="93">
        <v>27.27</v>
      </c>
      <c r="G4127" s="93">
        <v>0</v>
      </c>
      <c r="H4127" s="93">
        <v>0</v>
      </c>
      <c r="N4127" s="88"/>
      <c r="O4127" s="88"/>
      <c r="P4127" s="88"/>
    </row>
    <row r="4128" spans="1:16">
      <c r="A4128" s="94">
        <v>94681</v>
      </c>
      <c r="B4128" s="87" t="s">
        <v>3490</v>
      </c>
      <c r="C4128" s="12" t="s">
        <v>4</v>
      </c>
      <c r="D4128" s="93">
        <v>45.9</v>
      </c>
      <c r="E4128" s="93">
        <v>8.0399999999999991</v>
      </c>
      <c r="F4128" s="93">
        <v>37.86</v>
      </c>
      <c r="G4128" s="93">
        <v>0</v>
      </c>
      <c r="H4128" s="93">
        <v>0</v>
      </c>
      <c r="N4128" s="88"/>
      <c r="O4128" s="88"/>
      <c r="P4128" s="88"/>
    </row>
    <row r="4129" spans="1:16">
      <c r="A4129" s="94">
        <v>94682</v>
      </c>
      <c r="B4129" s="87" t="s">
        <v>3491</v>
      </c>
      <c r="C4129" s="12" t="s">
        <v>4</v>
      </c>
      <c r="D4129" s="93">
        <v>89.85</v>
      </c>
      <c r="E4129" s="93">
        <v>8.0299999999999994</v>
      </c>
      <c r="F4129" s="93">
        <v>81.819999999999993</v>
      </c>
      <c r="G4129" s="93">
        <v>0</v>
      </c>
      <c r="H4129" s="93">
        <v>0</v>
      </c>
      <c r="N4129" s="88"/>
      <c r="O4129" s="88"/>
      <c r="P4129" s="88"/>
    </row>
    <row r="4130" spans="1:16">
      <c r="A4130" s="94">
        <v>94683</v>
      </c>
      <c r="B4130" s="87" t="s">
        <v>3492</v>
      </c>
      <c r="C4130" s="12" t="s">
        <v>4</v>
      </c>
      <c r="D4130" s="93">
        <v>58.73</v>
      </c>
      <c r="E4130" s="93">
        <v>8.0299999999999994</v>
      </c>
      <c r="F4130" s="93">
        <v>50.7</v>
      </c>
      <c r="G4130" s="93">
        <v>0</v>
      </c>
      <c r="H4130" s="93">
        <v>0</v>
      </c>
      <c r="N4130" s="88"/>
      <c r="O4130" s="88"/>
      <c r="P4130" s="88"/>
    </row>
    <row r="4131" spans="1:16">
      <c r="A4131" s="94">
        <v>94684</v>
      </c>
      <c r="B4131" s="87" t="s">
        <v>3493</v>
      </c>
      <c r="C4131" s="12" t="s">
        <v>4</v>
      </c>
      <c r="D4131" s="93">
        <v>115.86</v>
      </c>
      <c r="E4131" s="93">
        <v>14.15</v>
      </c>
      <c r="F4131" s="93">
        <v>101.71</v>
      </c>
      <c r="G4131" s="93">
        <v>0</v>
      </c>
      <c r="H4131" s="93">
        <v>0</v>
      </c>
      <c r="N4131" s="88"/>
      <c r="O4131" s="88"/>
      <c r="P4131" s="88"/>
    </row>
    <row r="4132" spans="1:16">
      <c r="A4132" s="94">
        <v>94685</v>
      </c>
      <c r="B4132" s="87" t="s">
        <v>3494</v>
      </c>
      <c r="C4132" s="12" t="s">
        <v>4</v>
      </c>
      <c r="D4132" s="93">
        <v>89.96</v>
      </c>
      <c r="E4132" s="93">
        <v>14.15</v>
      </c>
      <c r="F4132" s="93">
        <v>75.81</v>
      </c>
      <c r="G4132" s="93">
        <v>0</v>
      </c>
      <c r="H4132" s="93">
        <v>0</v>
      </c>
      <c r="N4132" s="88"/>
      <c r="O4132" s="88"/>
      <c r="P4132" s="88"/>
    </row>
    <row r="4133" spans="1:16">
      <c r="A4133" s="94">
        <v>94686</v>
      </c>
      <c r="B4133" s="87" t="s">
        <v>3495</v>
      </c>
      <c r="C4133" s="12" t="s">
        <v>4</v>
      </c>
      <c r="D4133" s="93">
        <v>213.53</v>
      </c>
      <c r="E4133" s="93">
        <v>14.14</v>
      </c>
      <c r="F4133" s="93">
        <v>199.39</v>
      </c>
      <c r="G4133" s="93">
        <v>0</v>
      </c>
      <c r="H4133" s="93">
        <v>0</v>
      </c>
      <c r="N4133" s="88"/>
      <c r="O4133" s="88"/>
      <c r="P4133" s="88"/>
    </row>
    <row r="4134" spans="1:16">
      <c r="A4134" s="94">
        <v>94687</v>
      </c>
      <c r="B4134" s="87" t="s">
        <v>3496</v>
      </c>
      <c r="C4134" s="12" t="s">
        <v>4</v>
      </c>
      <c r="D4134" s="93">
        <v>174.48</v>
      </c>
      <c r="E4134" s="93">
        <v>14.14</v>
      </c>
      <c r="F4134" s="93">
        <v>160.34</v>
      </c>
      <c r="G4134" s="93">
        <v>0</v>
      </c>
      <c r="H4134" s="93">
        <v>0</v>
      </c>
      <c r="N4134" s="88"/>
      <c r="O4134" s="88"/>
      <c r="P4134" s="88"/>
    </row>
    <row r="4135" spans="1:16">
      <c r="A4135" s="94">
        <v>94688</v>
      </c>
      <c r="B4135" s="87" t="s">
        <v>3497</v>
      </c>
      <c r="C4135" s="12" t="s">
        <v>4</v>
      </c>
      <c r="D4135" s="93">
        <v>8.9</v>
      </c>
      <c r="E4135" s="93">
        <v>4.68</v>
      </c>
      <c r="F4135" s="93">
        <v>4.22</v>
      </c>
      <c r="G4135" s="93">
        <v>0</v>
      </c>
      <c r="H4135" s="93">
        <v>0</v>
      </c>
      <c r="N4135" s="88"/>
      <c r="O4135" s="88"/>
      <c r="P4135" s="88"/>
    </row>
    <row r="4136" spans="1:16">
      <c r="A4136" s="94">
        <v>94689</v>
      </c>
      <c r="B4136" s="87" t="s">
        <v>3498</v>
      </c>
      <c r="C4136" s="12" t="s">
        <v>4</v>
      </c>
      <c r="D4136" s="93">
        <v>11.7</v>
      </c>
      <c r="E4136" s="93">
        <v>4.66</v>
      </c>
      <c r="F4136" s="93">
        <v>7.04</v>
      </c>
      <c r="G4136" s="93">
        <v>0</v>
      </c>
      <c r="H4136" s="93">
        <v>0</v>
      </c>
      <c r="N4136" s="88"/>
      <c r="O4136" s="88"/>
      <c r="P4136" s="88"/>
    </row>
    <row r="4137" spans="1:16">
      <c r="A4137" s="94">
        <v>94690</v>
      </c>
      <c r="B4137" s="87" t="s">
        <v>3499</v>
      </c>
      <c r="C4137" s="12" t="s">
        <v>4</v>
      </c>
      <c r="D4137" s="93">
        <v>11.25</v>
      </c>
      <c r="E4137" s="93">
        <v>4.66</v>
      </c>
      <c r="F4137" s="93">
        <v>6.59</v>
      </c>
      <c r="G4137" s="93">
        <v>0</v>
      </c>
      <c r="H4137" s="93">
        <v>0</v>
      </c>
      <c r="N4137" s="88"/>
      <c r="O4137" s="88"/>
      <c r="P4137" s="88"/>
    </row>
    <row r="4138" spans="1:16">
      <c r="A4138" s="94">
        <v>94691</v>
      </c>
      <c r="B4138" s="87" t="s">
        <v>3500</v>
      </c>
      <c r="C4138" s="12" t="s">
        <v>4</v>
      </c>
      <c r="D4138" s="93">
        <v>12.87</v>
      </c>
      <c r="E4138" s="93">
        <v>4.6500000000000004</v>
      </c>
      <c r="F4138" s="93">
        <v>8.2200000000000006</v>
      </c>
      <c r="G4138" s="93">
        <v>0</v>
      </c>
      <c r="H4138" s="93">
        <v>0</v>
      </c>
      <c r="N4138" s="88"/>
      <c r="O4138" s="88"/>
      <c r="P4138" s="88"/>
    </row>
    <row r="4139" spans="1:16">
      <c r="A4139" s="94">
        <v>94692</v>
      </c>
      <c r="B4139" s="87" t="s">
        <v>3501</v>
      </c>
      <c r="C4139" s="12" t="s">
        <v>4</v>
      </c>
      <c r="D4139" s="93">
        <v>19.38</v>
      </c>
      <c r="E4139" s="93">
        <v>6.62</v>
      </c>
      <c r="F4139" s="93">
        <v>12.76</v>
      </c>
      <c r="G4139" s="93">
        <v>0</v>
      </c>
      <c r="H4139" s="93">
        <v>0</v>
      </c>
      <c r="N4139" s="88"/>
      <c r="O4139" s="88"/>
      <c r="P4139" s="88"/>
    </row>
    <row r="4140" spans="1:16">
      <c r="A4140" s="94">
        <v>94693</v>
      </c>
      <c r="B4140" s="87" t="s">
        <v>3502</v>
      </c>
      <c r="C4140" s="12" t="s">
        <v>4</v>
      </c>
      <c r="D4140" s="93">
        <v>20.2</v>
      </c>
      <c r="E4140" s="93">
        <v>6.62</v>
      </c>
      <c r="F4140" s="93">
        <v>13.58</v>
      </c>
      <c r="G4140" s="93">
        <v>0</v>
      </c>
      <c r="H4140" s="93">
        <v>0</v>
      </c>
      <c r="N4140" s="88"/>
      <c r="O4140" s="88"/>
      <c r="P4140" s="88"/>
    </row>
    <row r="4141" spans="1:16">
      <c r="A4141" s="94">
        <v>94694</v>
      </c>
      <c r="B4141" s="87" t="s">
        <v>3503</v>
      </c>
      <c r="C4141" s="12" t="s">
        <v>4</v>
      </c>
      <c r="D4141" s="93">
        <v>20.239999999999998</v>
      </c>
      <c r="E4141" s="93">
        <v>6.62</v>
      </c>
      <c r="F4141" s="93">
        <v>13.62</v>
      </c>
      <c r="G4141" s="93">
        <v>0</v>
      </c>
      <c r="H4141" s="93">
        <v>0</v>
      </c>
      <c r="N4141" s="88"/>
      <c r="O4141" s="88"/>
      <c r="P4141" s="88"/>
    </row>
    <row r="4142" spans="1:16">
      <c r="A4142" s="94">
        <v>94695</v>
      </c>
      <c r="B4142" s="87" t="s">
        <v>3504</v>
      </c>
      <c r="C4142" s="12" t="s">
        <v>4</v>
      </c>
      <c r="D4142" s="93">
        <v>26.57</v>
      </c>
      <c r="E4142" s="93">
        <v>6.61</v>
      </c>
      <c r="F4142" s="93">
        <v>19.96</v>
      </c>
      <c r="G4142" s="93">
        <v>0</v>
      </c>
      <c r="H4142" s="93">
        <v>0</v>
      </c>
      <c r="N4142" s="88"/>
      <c r="O4142" s="88"/>
      <c r="P4142" s="88"/>
    </row>
    <row r="4143" spans="1:16">
      <c r="A4143" s="94">
        <v>94696</v>
      </c>
      <c r="B4143" s="87" t="s">
        <v>3505</v>
      </c>
      <c r="C4143" s="12" t="s">
        <v>4</v>
      </c>
      <c r="D4143" s="93">
        <v>46.09</v>
      </c>
      <c r="E4143" s="93">
        <v>10.72</v>
      </c>
      <c r="F4143" s="93">
        <v>35.369999999999997</v>
      </c>
      <c r="G4143" s="93">
        <v>0</v>
      </c>
      <c r="H4143" s="93">
        <v>0</v>
      </c>
      <c r="N4143" s="88"/>
      <c r="O4143" s="88"/>
      <c r="P4143" s="88"/>
    </row>
    <row r="4144" spans="1:16">
      <c r="A4144" s="94">
        <v>94697</v>
      </c>
      <c r="B4144" s="87" t="s">
        <v>3506</v>
      </c>
      <c r="C4144" s="12" t="s">
        <v>4</v>
      </c>
      <c r="D4144" s="93">
        <v>70.58</v>
      </c>
      <c r="E4144" s="93">
        <v>10.71</v>
      </c>
      <c r="F4144" s="93">
        <v>59.87</v>
      </c>
      <c r="G4144" s="93">
        <v>0</v>
      </c>
      <c r="H4144" s="93">
        <v>0</v>
      </c>
      <c r="N4144" s="88"/>
      <c r="O4144" s="88"/>
      <c r="P4144" s="88"/>
    </row>
    <row r="4145" spans="1:16">
      <c r="A4145" s="94">
        <v>94698</v>
      </c>
      <c r="B4145" s="87" t="s">
        <v>3507</v>
      </c>
      <c r="C4145" s="12" t="s">
        <v>4</v>
      </c>
      <c r="D4145" s="93">
        <v>61.97</v>
      </c>
      <c r="E4145" s="93">
        <v>10.72</v>
      </c>
      <c r="F4145" s="93">
        <v>51.25</v>
      </c>
      <c r="G4145" s="93">
        <v>0</v>
      </c>
      <c r="H4145" s="93">
        <v>0</v>
      </c>
      <c r="N4145" s="88"/>
      <c r="O4145" s="88"/>
      <c r="P4145" s="88"/>
    </row>
    <row r="4146" spans="1:16">
      <c r="A4146" s="94">
        <v>94699</v>
      </c>
      <c r="B4146" s="87" t="s">
        <v>3508</v>
      </c>
      <c r="C4146" s="12" t="s">
        <v>4</v>
      </c>
      <c r="D4146" s="93">
        <v>119.07</v>
      </c>
      <c r="E4146" s="93">
        <v>18.829999999999998</v>
      </c>
      <c r="F4146" s="93">
        <v>100.24</v>
      </c>
      <c r="G4146" s="93">
        <v>0</v>
      </c>
      <c r="H4146" s="93">
        <v>0</v>
      </c>
      <c r="N4146" s="88"/>
      <c r="O4146" s="88"/>
      <c r="P4146" s="88"/>
    </row>
    <row r="4147" spans="1:16">
      <c r="A4147" s="94">
        <v>94700</v>
      </c>
      <c r="B4147" s="87" t="s">
        <v>3509</v>
      </c>
      <c r="C4147" s="12" t="s">
        <v>4</v>
      </c>
      <c r="D4147" s="93">
        <v>101.44</v>
      </c>
      <c r="E4147" s="93">
        <v>18.829999999999998</v>
      </c>
      <c r="F4147" s="93">
        <v>82.61</v>
      </c>
      <c r="G4147" s="93">
        <v>0</v>
      </c>
      <c r="H4147" s="93">
        <v>0</v>
      </c>
      <c r="N4147" s="88"/>
      <c r="O4147" s="88"/>
      <c r="P4147" s="88"/>
    </row>
    <row r="4148" spans="1:16">
      <c r="A4148" s="94">
        <v>94701</v>
      </c>
      <c r="B4148" s="87" t="s">
        <v>3510</v>
      </c>
      <c r="C4148" s="12" t="s">
        <v>4</v>
      </c>
      <c r="D4148" s="93">
        <v>174.98</v>
      </c>
      <c r="E4148" s="93">
        <v>18.829999999999998</v>
      </c>
      <c r="F4148" s="93">
        <v>156.15</v>
      </c>
      <c r="G4148" s="93">
        <v>0</v>
      </c>
      <c r="H4148" s="93">
        <v>0</v>
      </c>
      <c r="N4148" s="88"/>
      <c r="O4148" s="88"/>
      <c r="P4148" s="88"/>
    </row>
    <row r="4149" spans="1:16">
      <c r="A4149" s="94">
        <v>94702</v>
      </c>
      <c r="B4149" s="87" t="s">
        <v>3511</v>
      </c>
      <c r="C4149" s="12" t="s">
        <v>4</v>
      </c>
      <c r="D4149" s="93">
        <v>165.96</v>
      </c>
      <c r="E4149" s="93">
        <v>18.829999999999998</v>
      </c>
      <c r="F4149" s="93">
        <v>147.13</v>
      </c>
      <c r="G4149" s="93">
        <v>0</v>
      </c>
      <c r="H4149" s="93">
        <v>0</v>
      </c>
      <c r="N4149" s="88"/>
      <c r="O4149" s="88"/>
      <c r="P4149" s="88"/>
    </row>
    <row r="4150" spans="1:16">
      <c r="A4150" s="94">
        <v>94703</v>
      </c>
      <c r="B4150" s="87" t="s">
        <v>3512</v>
      </c>
      <c r="C4150" s="12" t="s">
        <v>4</v>
      </c>
      <c r="D4150" s="93">
        <v>15.63</v>
      </c>
      <c r="E4150" s="93">
        <v>3.96</v>
      </c>
      <c r="F4150" s="93">
        <v>11.67</v>
      </c>
      <c r="G4150" s="93">
        <v>0</v>
      </c>
      <c r="H4150" s="93">
        <v>0</v>
      </c>
      <c r="N4150" s="88"/>
      <c r="O4150" s="88"/>
      <c r="P4150" s="88"/>
    </row>
    <row r="4151" spans="1:16">
      <c r="A4151" s="94">
        <v>94704</v>
      </c>
      <c r="B4151" s="87" t="s">
        <v>365</v>
      </c>
      <c r="C4151" s="12" t="s">
        <v>4</v>
      </c>
      <c r="D4151" s="93">
        <v>18.34</v>
      </c>
      <c r="E4151" s="93">
        <v>3.96</v>
      </c>
      <c r="F4151" s="93">
        <v>14.38</v>
      </c>
      <c r="G4151" s="93">
        <v>0</v>
      </c>
      <c r="H4151" s="93">
        <v>0</v>
      </c>
      <c r="N4151" s="88"/>
      <c r="O4151" s="88"/>
      <c r="P4151" s="88"/>
    </row>
    <row r="4152" spans="1:16">
      <c r="A4152" s="94">
        <v>94705</v>
      </c>
      <c r="B4152" s="87" t="s">
        <v>3513</v>
      </c>
      <c r="C4152" s="12" t="s">
        <v>4</v>
      </c>
      <c r="D4152" s="93">
        <v>22.43</v>
      </c>
      <c r="E4152" s="93">
        <v>3.96</v>
      </c>
      <c r="F4152" s="93">
        <v>18.47</v>
      </c>
      <c r="G4152" s="93">
        <v>0</v>
      </c>
      <c r="H4152" s="93">
        <v>0</v>
      </c>
      <c r="N4152" s="88"/>
      <c r="O4152" s="88"/>
      <c r="P4152" s="88"/>
    </row>
    <row r="4153" spans="1:16">
      <c r="A4153" s="94">
        <v>94706</v>
      </c>
      <c r="B4153" s="87" t="s">
        <v>3514</v>
      </c>
      <c r="C4153" s="12" t="s">
        <v>4</v>
      </c>
      <c r="D4153" s="93">
        <v>32.53</v>
      </c>
      <c r="E4153" s="93">
        <v>5.26</v>
      </c>
      <c r="F4153" s="93">
        <v>27.27</v>
      </c>
      <c r="G4153" s="93">
        <v>0</v>
      </c>
      <c r="H4153" s="93">
        <v>0</v>
      </c>
      <c r="N4153" s="88"/>
      <c r="O4153" s="88"/>
      <c r="P4153" s="88"/>
    </row>
    <row r="4154" spans="1:16">
      <c r="A4154" s="94">
        <v>94707</v>
      </c>
      <c r="B4154" s="87" t="s">
        <v>366</v>
      </c>
      <c r="C4154" s="12" t="s">
        <v>4</v>
      </c>
      <c r="D4154" s="93">
        <v>40.130000000000003</v>
      </c>
      <c r="E4154" s="93">
        <v>5.26</v>
      </c>
      <c r="F4154" s="93">
        <v>34.869999999999997</v>
      </c>
      <c r="G4154" s="93">
        <v>0</v>
      </c>
      <c r="H4154" s="93">
        <v>0</v>
      </c>
      <c r="N4154" s="88"/>
      <c r="O4154" s="88"/>
      <c r="P4154" s="88"/>
    </row>
    <row r="4155" spans="1:16">
      <c r="A4155" s="94">
        <v>94708</v>
      </c>
      <c r="B4155" s="87" t="s">
        <v>3515</v>
      </c>
      <c r="C4155" s="12" t="s">
        <v>4</v>
      </c>
      <c r="D4155" s="93">
        <v>20.32</v>
      </c>
      <c r="E4155" s="93">
        <v>6.74</v>
      </c>
      <c r="F4155" s="93">
        <v>13.58</v>
      </c>
      <c r="G4155" s="93">
        <v>0</v>
      </c>
      <c r="H4155" s="93">
        <v>0</v>
      </c>
      <c r="N4155" s="88"/>
      <c r="O4155" s="88"/>
      <c r="P4155" s="88"/>
    </row>
    <row r="4156" spans="1:16">
      <c r="A4156" s="94">
        <v>94709</v>
      </c>
      <c r="B4156" s="87" t="s">
        <v>3516</v>
      </c>
      <c r="C4156" s="12" t="s">
        <v>4</v>
      </c>
      <c r="D4156" s="93">
        <v>25.72</v>
      </c>
      <c r="E4156" s="93">
        <v>6.73</v>
      </c>
      <c r="F4156" s="93">
        <v>18.989999999999998</v>
      </c>
      <c r="G4156" s="93">
        <v>0</v>
      </c>
      <c r="H4156" s="93">
        <v>0</v>
      </c>
      <c r="N4156" s="88"/>
      <c r="O4156" s="88"/>
      <c r="P4156" s="88"/>
    </row>
    <row r="4157" spans="1:16">
      <c r="A4157" s="94">
        <v>94710</v>
      </c>
      <c r="B4157" s="87" t="s">
        <v>3517</v>
      </c>
      <c r="C4157" s="12" t="s">
        <v>4</v>
      </c>
      <c r="D4157" s="93">
        <v>39.11</v>
      </c>
      <c r="E4157" s="93">
        <v>6.73</v>
      </c>
      <c r="F4157" s="93">
        <v>32.380000000000003</v>
      </c>
      <c r="G4157" s="93">
        <v>0</v>
      </c>
      <c r="H4157" s="93">
        <v>0</v>
      </c>
      <c r="N4157" s="88"/>
      <c r="O4157" s="88"/>
      <c r="P4157" s="88"/>
    </row>
    <row r="4158" spans="1:16">
      <c r="A4158" s="94">
        <v>94711</v>
      </c>
      <c r="B4158" s="87" t="s">
        <v>3518</v>
      </c>
      <c r="C4158" s="12" t="s">
        <v>4</v>
      </c>
      <c r="D4158" s="93">
        <v>47.15</v>
      </c>
      <c r="E4158" s="93">
        <v>8.98</v>
      </c>
      <c r="F4158" s="93">
        <v>38.17</v>
      </c>
      <c r="G4158" s="93">
        <v>0</v>
      </c>
      <c r="H4158" s="93">
        <v>0</v>
      </c>
      <c r="N4158" s="88"/>
      <c r="O4158" s="88"/>
      <c r="P4158" s="88"/>
    </row>
    <row r="4159" spans="1:16">
      <c r="A4159" s="94">
        <v>94712</v>
      </c>
      <c r="B4159" s="87" t="s">
        <v>3519</v>
      </c>
      <c r="C4159" s="12" t="s">
        <v>4</v>
      </c>
      <c r="D4159" s="93">
        <v>62.53</v>
      </c>
      <c r="E4159" s="93">
        <v>8.98</v>
      </c>
      <c r="F4159" s="93">
        <v>53.55</v>
      </c>
      <c r="G4159" s="93">
        <v>0</v>
      </c>
      <c r="H4159" s="93">
        <v>0</v>
      </c>
      <c r="N4159" s="88"/>
      <c r="O4159" s="88"/>
      <c r="P4159" s="88"/>
    </row>
    <row r="4160" spans="1:16">
      <c r="A4160" s="94">
        <v>94713</v>
      </c>
      <c r="B4160" s="87" t="s">
        <v>3520</v>
      </c>
      <c r="C4160" s="12" t="s">
        <v>4</v>
      </c>
      <c r="D4160" s="93">
        <v>160.06</v>
      </c>
      <c r="E4160" s="93">
        <v>8.9700000000000006</v>
      </c>
      <c r="F4160" s="93">
        <v>151.09</v>
      </c>
      <c r="G4160" s="93">
        <v>0</v>
      </c>
      <c r="H4160" s="93">
        <v>0</v>
      </c>
      <c r="N4160" s="88"/>
      <c r="O4160" s="88"/>
      <c r="P4160" s="88"/>
    </row>
    <row r="4161" spans="1:16">
      <c r="A4161" s="94">
        <v>94714</v>
      </c>
      <c r="B4161" s="87" t="s">
        <v>3521</v>
      </c>
      <c r="C4161" s="12" t="s">
        <v>4</v>
      </c>
      <c r="D4161" s="93">
        <v>216.3</v>
      </c>
      <c r="E4161" s="93">
        <v>8.9700000000000006</v>
      </c>
      <c r="F4161" s="93">
        <v>207.33</v>
      </c>
      <c r="G4161" s="93">
        <v>0</v>
      </c>
      <c r="H4161" s="93">
        <v>0</v>
      </c>
      <c r="N4161" s="88"/>
      <c r="O4161" s="88"/>
      <c r="P4161" s="88"/>
    </row>
    <row r="4162" spans="1:16">
      <c r="A4162" s="94">
        <v>94715</v>
      </c>
      <c r="B4162" s="87" t="s">
        <v>3522</v>
      </c>
      <c r="C4162" s="12" t="s">
        <v>4</v>
      </c>
      <c r="D4162" s="93">
        <v>297.86</v>
      </c>
      <c r="E4162" s="93">
        <v>8.9700000000000006</v>
      </c>
      <c r="F4162" s="93">
        <v>288.89</v>
      </c>
      <c r="G4162" s="93">
        <v>0</v>
      </c>
      <c r="H4162" s="93">
        <v>0</v>
      </c>
      <c r="N4162" s="88"/>
      <c r="O4162" s="88"/>
      <c r="P4162" s="88"/>
    </row>
    <row r="4163" spans="1:16">
      <c r="A4163" s="94">
        <v>94724</v>
      </c>
      <c r="B4163" s="87" t="s">
        <v>3523</v>
      </c>
      <c r="C4163" s="12" t="s">
        <v>4</v>
      </c>
      <c r="D4163" s="93">
        <v>21.17</v>
      </c>
      <c r="E4163" s="93">
        <v>2.17</v>
      </c>
      <c r="F4163" s="93">
        <v>19</v>
      </c>
      <c r="G4163" s="93">
        <v>0</v>
      </c>
      <c r="H4163" s="93">
        <v>0</v>
      </c>
      <c r="N4163" s="88"/>
      <c r="O4163" s="88"/>
      <c r="P4163" s="88"/>
    </row>
    <row r="4164" spans="1:16">
      <c r="A4164" s="94">
        <v>94725</v>
      </c>
      <c r="B4164" s="87" t="s">
        <v>3524</v>
      </c>
      <c r="C4164" s="12" t="s">
        <v>4</v>
      </c>
      <c r="D4164" s="93">
        <v>5.31</v>
      </c>
      <c r="E4164" s="93">
        <v>2.1800000000000002</v>
      </c>
      <c r="F4164" s="93">
        <v>3.13</v>
      </c>
      <c r="G4164" s="93">
        <v>0</v>
      </c>
      <c r="H4164" s="93">
        <v>0</v>
      </c>
      <c r="N4164" s="88"/>
      <c r="O4164" s="88"/>
      <c r="P4164" s="88"/>
    </row>
    <row r="4165" spans="1:16">
      <c r="A4165" s="94">
        <v>94726</v>
      </c>
      <c r="B4165" s="87" t="s">
        <v>3525</v>
      </c>
      <c r="C4165" s="12" t="s">
        <v>4</v>
      </c>
      <c r="D4165" s="93">
        <v>32.51</v>
      </c>
      <c r="E4165" s="93">
        <v>2.17</v>
      </c>
      <c r="F4165" s="93">
        <v>30.34</v>
      </c>
      <c r="G4165" s="93">
        <v>0</v>
      </c>
      <c r="H4165" s="93">
        <v>0</v>
      </c>
      <c r="N4165" s="88"/>
      <c r="O4165" s="88"/>
      <c r="P4165" s="88"/>
    </row>
    <row r="4166" spans="1:16">
      <c r="A4166" s="94">
        <v>94727</v>
      </c>
      <c r="B4166" s="87" t="s">
        <v>3526</v>
      </c>
      <c r="C4166" s="12" t="s">
        <v>4</v>
      </c>
      <c r="D4166" s="93">
        <v>7.42</v>
      </c>
      <c r="E4166" s="93">
        <v>2.17</v>
      </c>
      <c r="F4166" s="93">
        <v>5.25</v>
      </c>
      <c r="G4166" s="93">
        <v>0</v>
      </c>
      <c r="H4166" s="93">
        <v>0</v>
      </c>
      <c r="N4166" s="88"/>
      <c r="O4166" s="88"/>
      <c r="P4166" s="88"/>
    </row>
    <row r="4167" spans="1:16">
      <c r="A4167" s="94">
        <v>94728</v>
      </c>
      <c r="B4167" s="87" t="s">
        <v>3527</v>
      </c>
      <c r="C4167" s="12" t="s">
        <v>4</v>
      </c>
      <c r="D4167" s="93">
        <v>122.22</v>
      </c>
      <c r="E4167" s="93">
        <v>2.88</v>
      </c>
      <c r="F4167" s="93">
        <v>119.34</v>
      </c>
      <c r="G4167" s="93">
        <v>0</v>
      </c>
      <c r="H4167" s="93">
        <v>0</v>
      </c>
      <c r="N4167" s="88"/>
      <c r="O4167" s="88"/>
      <c r="P4167" s="88"/>
    </row>
    <row r="4168" spans="1:16">
      <c r="A4168" s="94">
        <v>94729</v>
      </c>
      <c r="B4168" s="87" t="s">
        <v>3528</v>
      </c>
      <c r="C4168" s="12" t="s">
        <v>4</v>
      </c>
      <c r="D4168" s="93">
        <v>12.97</v>
      </c>
      <c r="E4168" s="93">
        <v>2.89</v>
      </c>
      <c r="F4168" s="93">
        <v>10.08</v>
      </c>
      <c r="G4168" s="93">
        <v>0</v>
      </c>
      <c r="H4168" s="93">
        <v>0</v>
      </c>
      <c r="N4168" s="88"/>
      <c r="O4168" s="88"/>
      <c r="P4168" s="88"/>
    </row>
    <row r="4169" spans="1:16">
      <c r="A4169" s="94">
        <v>94730</v>
      </c>
      <c r="B4169" s="87" t="s">
        <v>3529</v>
      </c>
      <c r="C4169" s="12" t="s">
        <v>4</v>
      </c>
      <c r="D4169" s="93">
        <v>148.38</v>
      </c>
      <c r="E4169" s="93">
        <v>2.88</v>
      </c>
      <c r="F4169" s="93">
        <v>145.5</v>
      </c>
      <c r="G4169" s="93">
        <v>0</v>
      </c>
      <c r="H4169" s="93">
        <v>0</v>
      </c>
      <c r="N4169" s="88"/>
      <c r="O4169" s="88"/>
      <c r="P4169" s="88"/>
    </row>
    <row r="4170" spans="1:16">
      <c r="A4170" s="94">
        <v>94731</v>
      </c>
      <c r="B4170" s="87" t="s">
        <v>3530</v>
      </c>
      <c r="C4170" s="12" t="s">
        <v>4</v>
      </c>
      <c r="D4170" s="93">
        <v>16.149999999999999</v>
      </c>
      <c r="E4170" s="93">
        <v>2.88</v>
      </c>
      <c r="F4170" s="93">
        <v>13.27</v>
      </c>
      <c r="G4170" s="93">
        <v>0</v>
      </c>
      <c r="H4170" s="93">
        <v>0</v>
      </c>
      <c r="N4170" s="88"/>
      <c r="O4170" s="88"/>
      <c r="P4170" s="88"/>
    </row>
    <row r="4171" spans="1:16">
      <c r="A4171" s="94">
        <v>94733</v>
      </c>
      <c r="B4171" s="87" t="s">
        <v>3531</v>
      </c>
      <c r="C4171" s="12" t="s">
        <v>4</v>
      </c>
      <c r="D4171" s="93">
        <v>31.2</v>
      </c>
      <c r="E4171" s="93">
        <v>4.97</v>
      </c>
      <c r="F4171" s="93">
        <v>26.23</v>
      </c>
      <c r="G4171" s="93">
        <v>0</v>
      </c>
      <c r="H4171" s="93">
        <v>0</v>
      </c>
      <c r="N4171" s="88"/>
      <c r="O4171" s="88"/>
      <c r="P4171" s="88"/>
    </row>
    <row r="4172" spans="1:16">
      <c r="A4172" s="94">
        <v>94737</v>
      </c>
      <c r="B4172" s="87" t="s">
        <v>3532</v>
      </c>
      <c r="C4172" s="12" t="s">
        <v>4</v>
      </c>
      <c r="D4172" s="93">
        <v>128.71</v>
      </c>
      <c r="E4172" s="93">
        <v>10.06</v>
      </c>
      <c r="F4172" s="93">
        <v>118.65</v>
      </c>
      <c r="G4172" s="93">
        <v>0</v>
      </c>
      <c r="H4172" s="93">
        <v>0</v>
      </c>
      <c r="N4172" s="88"/>
      <c r="O4172" s="88"/>
      <c r="P4172" s="88"/>
    </row>
    <row r="4173" spans="1:16">
      <c r="A4173" s="94">
        <v>94740</v>
      </c>
      <c r="B4173" s="87" t="s">
        <v>3533</v>
      </c>
      <c r="C4173" s="12" t="s">
        <v>4</v>
      </c>
      <c r="D4173" s="93">
        <v>8.32</v>
      </c>
      <c r="E4173" s="93">
        <v>3.26</v>
      </c>
      <c r="F4173" s="93">
        <v>5.0599999999999996</v>
      </c>
      <c r="G4173" s="93">
        <v>0</v>
      </c>
      <c r="H4173" s="93">
        <v>0</v>
      </c>
      <c r="N4173" s="88"/>
      <c r="O4173" s="88"/>
      <c r="P4173" s="88"/>
    </row>
    <row r="4174" spans="1:16">
      <c r="A4174" s="94">
        <v>94741</v>
      </c>
      <c r="B4174" s="87" t="s">
        <v>3534</v>
      </c>
      <c r="C4174" s="12" t="s">
        <v>4</v>
      </c>
      <c r="D4174" s="93">
        <v>10.23</v>
      </c>
      <c r="E4174" s="93">
        <v>3.25</v>
      </c>
      <c r="F4174" s="93">
        <v>6.98</v>
      </c>
      <c r="G4174" s="93">
        <v>0</v>
      </c>
      <c r="H4174" s="93">
        <v>0</v>
      </c>
      <c r="N4174" s="88"/>
      <c r="O4174" s="88"/>
      <c r="P4174" s="88"/>
    </row>
    <row r="4175" spans="1:16">
      <c r="A4175" s="94">
        <v>94742</v>
      </c>
      <c r="B4175" s="87" t="s">
        <v>3535</v>
      </c>
      <c r="C4175" s="12" t="s">
        <v>4</v>
      </c>
      <c r="D4175" s="93">
        <v>12.38</v>
      </c>
      <c r="E4175" s="93">
        <v>3.25</v>
      </c>
      <c r="F4175" s="93">
        <v>9.1300000000000008</v>
      </c>
      <c r="G4175" s="93">
        <v>0</v>
      </c>
      <c r="H4175" s="93">
        <v>0</v>
      </c>
      <c r="N4175" s="88"/>
      <c r="O4175" s="88"/>
      <c r="P4175" s="88"/>
    </row>
    <row r="4176" spans="1:16">
      <c r="A4176" s="94">
        <v>94743</v>
      </c>
      <c r="B4176" s="87" t="s">
        <v>3536</v>
      </c>
      <c r="C4176" s="12" t="s">
        <v>4</v>
      </c>
      <c r="D4176" s="93">
        <v>13.58</v>
      </c>
      <c r="E4176" s="93">
        <v>3.25</v>
      </c>
      <c r="F4176" s="93">
        <v>10.33</v>
      </c>
      <c r="G4176" s="93">
        <v>0</v>
      </c>
      <c r="H4176" s="93">
        <v>0</v>
      </c>
      <c r="N4176" s="88"/>
      <c r="O4176" s="88"/>
      <c r="P4176" s="88"/>
    </row>
    <row r="4177" spans="1:16">
      <c r="A4177" s="94">
        <v>94744</v>
      </c>
      <c r="B4177" s="87" t="s">
        <v>3537</v>
      </c>
      <c r="C4177" s="12" t="s">
        <v>4</v>
      </c>
      <c r="D4177" s="93">
        <v>19.66</v>
      </c>
      <c r="E4177" s="93">
        <v>4.28</v>
      </c>
      <c r="F4177" s="93">
        <v>15.38</v>
      </c>
      <c r="G4177" s="93">
        <v>0</v>
      </c>
      <c r="H4177" s="93">
        <v>0</v>
      </c>
      <c r="N4177" s="88"/>
      <c r="O4177" s="88"/>
      <c r="P4177" s="88"/>
    </row>
    <row r="4178" spans="1:16">
      <c r="A4178" s="94">
        <v>94746</v>
      </c>
      <c r="B4178" s="87" t="s">
        <v>3538</v>
      </c>
      <c r="C4178" s="12" t="s">
        <v>4</v>
      </c>
      <c r="D4178" s="93">
        <v>27.73</v>
      </c>
      <c r="E4178" s="93">
        <v>4.2699999999999996</v>
      </c>
      <c r="F4178" s="93">
        <v>23.46</v>
      </c>
      <c r="G4178" s="93">
        <v>0</v>
      </c>
      <c r="H4178" s="93">
        <v>0</v>
      </c>
      <c r="N4178" s="88"/>
      <c r="O4178" s="88"/>
      <c r="P4178" s="88"/>
    </row>
    <row r="4179" spans="1:16">
      <c r="A4179" s="94">
        <v>94748</v>
      </c>
      <c r="B4179" s="87" t="s">
        <v>3539</v>
      </c>
      <c r="C4179" s="12" t="s">
        <v>4</v>
      </c>
      <c r="D4179" s="93">
        <v>56.92</v>
      </c>
      <c r="E4179" s="93">
        <v>7.44</v>
      </c>
      <c r="F4179" s="93">
        <v>49.48</v>
      </c>
      <c r="G4179" s="93">
        <v>0</v>
      </c>
      <c r="H4179" s="93">
        <v>0</v>
      </c>
      <c r="N4179" s="88"/>
      <c r="O4179" s="88"/>
      <c r="P4179" s="88"/>
    </row>
    <row r="4180" spans="1:16">
      <c r="A4180" s="94">
        <v>94750</v>
      </c>
      <c r="B4180" s="87" t="s">
        <v>3540</v>
      </c>
      <c r="C4180" s="12" t="s">
        <v>4</v>
      </c>
      <c r="D4180" s="93">
        <v>133.29</v>
      </c>
      <c r="E4180" s="93">
        <v>7.44</v>
      </c>
      <c r="F4180" s="93">
        <v>125.85</v>
      </c>
      <c r="G4180" s="93">
        <v>0</v>
      </c>
      <c r="H4180" s="93">
        <v>0</v>
      </c>
      <c r="N4180" s="88"/>
      <c r="O4180" s="88"/>
      <c r="P4180" s="88"/>
    </row>
    <row r="4181" spans="1:16">
      <c r="A4181" s="94">
        <v>94752</v>
      </c>
      <c r="B4181" s="87" t="s">
        <v>3541</v>
      </c>
      <c r="C4181" s="12" t="s">
        <v>4</v>
      </c>
      <c r="D4181" s="93">
        <v>163.38</v>
      </c>
      <c r="E4181" s="93">
        <v>15.09</v>
      </c>
      <c r="F4181" s="93">
        <v>148.29</v>
      </c>
      <c r="G4181" s="93">
        <v>0</v>
      </c>
      <c r="H4181" s="93">
        <v>0</v>
      </c>
      <c r="N4181" s="88"/>
      <c r="O4181" s="88"/>
      <c r="P4181" s="88"/>
    </row>
    <row r="4182" spans="1:16">
      <c r="A4182" s="94">
        <v>94756</v>
      </c>
      <c r="B4182" s="87" t="s">
        <v>3542</v>
      </c>
      <c r="C4182" s="12" t="s">
        <v>4</v>
      </c>
      <c r="D4182" s="93">
        <v>10.58</v>
      </c>
      <c r="E4182" s="93">
        <v>4.3600000000000003</v>
      </c>
      <c r="F4182" s="93">
        <v>6.22</v>
      </c>
      <c r="G4182" s="93">
        <v>0</v>
      </c>
      <c r="H4182" s="93">
        <v>0</v>
      </c>
      <c r="N4182" s="88"/>
      <c r="O4182" s="88"/>
      <c r="P4182" s="88"/>
    </row>
    <row r="4183" spans="1:16">
      <c r="A4183" s="94">
        <v>94757</v>
      </c>
      <c r="B4183" s="87" t="s">
        <v>3543</v>
      </c>
      <c r="C4183" s="12" t="s">
        <v>4</v>
      </c>
      <c r="D4183" s="93">
        <v>14.2</v>
      </c>
      <c r="E4183" s="93">
        <v>4.3499999999999996</v>
      </c>
      <c r="F4183" s="93">
        <v>9.85</v>
      </c>
      <c r="G4183" s="93">
        <v>0</v>
      </c>
      <c r="H4183" s="93">
        <v>0</v>
      </c>
      <c r="N4183" s="88"/>
      <c r="O4183" s="88"/>
      <c r="P4183" s="88"/>
    </row>
    <row r="4184" spans="1:16">
      <c r="A4184" s="94">
        <v>94758</v>
      </c>
      <c r="B4184" s="87" t="s">
        <v>3544</v>
      </c>
      <c r="C4184" s="12" t="s">
        <v>4</v>
      </c>
      <c r="D4184" s="93">
        <v>35.49</v>
      </c>
      <c r="E4184" s="93">
        <v>5.71</v>
      </c>
      <c r="F4184" s="93">
        <v>29.78</v>
      </c>
      <c r="G4184" s="93">
        <v>0</v>
      </c>
      <c r="H4184" s="93">
        <v>0</v>
      </c>
      <c r="N4184" s="88"/>
      <c r="O4184" s="88"/>
      <c r="P4184" s="88"/>
    </row>
    <row r="4185" spans="1:16">
      <c r="A4185" s="94">
        <v>94759</v>
      </c>
      <c r="B4185" s="87" t="s">
        <v>3545</v>
      </c>
      <c r="C4185" s="12" t="s">
        <v>4</v>
      </c>
      <c r="D4185" s="93">
        <v>43.54</v>
      </c>
      <c r="E4185" s="93">
        <v>5.7</v>
      </c>
      <c r="F4185" s="93">
        <v>37.840000000000003</v>
      </c>
      <c r="G4185" s="93">
        <v>0</v>
      </c>
      <c r="H4185" s="93">
        <v>0</v>
      </c>
      <c r="N4185" s="88"/>
      <c r="O4185" s="88"/>
      <c r="P4185" s="88"/>
    </row>
    <row r="4186" spans="1:16">
      <c r="A4186" s="94">
        <v>94760</v>
      </c>
      <c r="B4186" s="87" t="s">
        <v>3546</v>
      </c>
      <c r="C4186" s="12" t="s">
        <v>4</v>
      </c>
      <c r="D4186" s="93">
        <v>71.58</v>
      </c>
      <c r="E4186" s="93">
        <v>9.94</v>
      </c>
      <c r="F4186" s="93">
        <v>61.64</v>
      </c>
      <c r="G4186" s="93">
        <v>0</v>
      </c>
      <c r="H4186" s="93">
        <v>0</v>
      </c>
      <c r="N4186" s="88"/>
      <c r="O4186" s="88"/>
      <c r="P4186" s="88"/>
    </row>
    <row r="4187" spans="1:16">
      <c r="A4187" s="94">
        <v>94761</v>
      </c>
      <c r="B4187" s="87" t="s">
        <v>3547</v>
      </c>
      <c r="C4187" s="12" t="s">
        <v>4</v>
      </c>
      <c r="D4187" s="93">
        <v>152.30000000000001</v>
      </c>
      <c r="E4187" s="93">
        <v>9.94</v>
      </c>
      <c r="F4187" s="93">
        <v>142.36000000000001</v>
      </c>
      <c r="G4187" s="93">
        <v>0</v>
      </c>
      <c r="H4187" s="93">
        <v>0</v>
      </c>
      <c r="N4187" s="88"/>
      <c r="O4187" s="88"/>
      <c r="P4187" s="88"/>
    </row>
    <row r="4188" spans="1:16">
      <c r="A4188" s="94">
        <v>94762</v>
      </c>
      <c r="B4188" s="87" t="s">
        <v>3548</v>
      </c>
      <c r="C4188" s="12" t="s">
        <v>4</v>
      </c>
      <c r="D4188" s="93">
        <v>195.9</v>
      </c>
      <c r="E4188" s="93">
        <v>20.12</v>
      </c>
      <c r="F4188" s="93">
        <v>175.78</v>
      </c>
      <c r="G4188" s="93">
        <v>0</v>
      </c>
      <c r="H4188" s="93">
        <v>0</v>
      </c>
      <c r="N4188" s="88"/>
      <c r="O4188" s="88"/>
      <c r="P4188" s="88"/>
    </row>
    <row r="4189" spans="1:16">
      <c r="A4189" s="94">
        <v>94783</v>
      </c>
      <c r="B4189" s="87" t="s">
        <v>3549</v>
      </c>
      <c r="C4189" s="12" t="s">
        <v>4</v>
      </c>
      <c r="D4189" s="93">
        <v>14.45</v>
      </c>
      <c r="E4189" s="93">
        <v>3.96</v>
      </c>
      <c r="F4189" s="93">
        <v>10.49</v>
      </c>
      <c r="G4189" s="93">
        <v>0</v>
      </c>
      <c r="H4189" s="93">
        <v>0</v>
      </c>
      <c r="N4189" s="88"/>
      <c r="O4189" s="88"/>
      <c r="P4189" s="88"/>
    </row>
    <row r="4190" spans="1:16">
      <c r="A4190" s="94">
        <v>94785</v>
      </c>
      <c r="B4190" s="87" t="s">
        <v>3550</v>
      </c>
      <c r="C4190" s="12" t="s">
        <v>4</v>
      </c>
      <c r="D4190" s="93">
        <v>26.1</v>
      </c>
      <c r="E4190" s="93">
        <v>6.73</v>
      </c>
      <c r="F4190" s="93">
        <v>19.37</v>
      </c>
      <c r="G4190" s="93">
        <v>0</v>
      </c>
      <c r="H4190" s="93">
        <v>0</v>
      </c>
      <c r="N4190" s="88"/>
      <c r="O4190" s="88"/>
      <c r="P4190" s="88"/>
    </row>
    <row r="4191" spans="1:16">
      <c r="A4191" s="94">
        <v>94786</v>
      </c>
      <c r="B4191" s="87" t="s">
        <v>367</v>
      </c>
      <c r="C4191" s="12" t="s">
        <v>4</v>
      </c>
      <c r="D4191" s="93">
        <v>33.75</v>
      </c>
      <c r="E4191" s="93">
        <v>6.73</v>
      </c>
      <c r="F4191" s="93">
        <v>27.02</v>
      </c>
      <c r="G4191" s="93">
        <v>0</v>
      </c>
      <c r="H4191" s="93">
        <v>0</v>
      </c>
      <c r="N4191" s="88"/>
      <c r="O4191" s="88"/>
      <c r="P4191" s="88"/>
    </row>
    <row r="4192" spans="1:16">
      <c r="A4192" s="94">
        <v>94787</v>
      </c>
      <c r="B4192" s="87" t="s">
        <v>368</v>
      </c>
      <c r="C4192" s="12" t="s">
        <v>4</v>
      </c>
      <c r="D4192" s="93">
        <v>45.13</v>
      </c>
      <c r="E4192" s="93">
        <v>8.98</v>
      </c>
      <c r="F4192" s="93">
        <v>36.15</v>
      </c>
      <c r="G4192" s="93">
        <v>0</v>
      </c>
      <c r="H4192" s="93">
        <v>0</v>
      </c>
      <c r="N4192" s="88"/>
      <c r="O4192" s="88"/>
      <c r="P4192" s="88"/>
    </row>
    <row r="4193" spans="1:16">
      <c r="A4193" s="94">
        <v>94788</v>
      </c>
      <c r="B4193" s="87" t="s">
        <v>3551</v>
      </c>
      <c r="C4193" s="12" t="s">
        <v>4</v>
      </c>
      <c r="D4193" s="93">
        <v>64.36</v>
      </c>
      <c r="E4193" s="93">
        <v>8.98</v>
      </c>
      <c r="F4193" s="93">
        <v>55.38</v>
      </c>
      <c r="G4193" s="93">
        <v>0</v>
      </c>
      <c r="H4193" s="93">
        <v>0</v>
      </c>
      <c r="N4193" s="88"/>
      <c r="O4193" s="88"/>
      <c r="P4193" s="88"/>
    </row>
    <row r="4194" spans="1:16">
      <c r="A4194" s="94">
        <v>94789</v>
      </c>
      <c r="B4194" s="87" t="s">
        <v>369</v>
      </c>
      <c r="C4194" s="12" t="s">
        <v>4</v>
      </c>
      <c r="D4194" s="93">
        <v>197.76</v>
      </c>
      <c r="E4194" s="93">
        <v>8.9700000000000006</v>
      </c>
      <c r="F4194" s="93">
        <v>188.79</v>
      </c>
      <c r="G4194" s="93">
        <v>0</v>
      </c>
      <c r="H4194" s="93">
        <v>0</v>
      </c>
      <c r="N4194" s="88"/>
      <c r="O4194" s="88"/>
      <c r="P4194" s="88"/>
    </row>
    <row r="4195" spans="1:16">
      <c r="A4195" s="94">
        <v>94790</v>
      </c>
      <c r="B4195" s="87" t="s">
        <v>3552</v>
      </c>
      <c r="C4195" s="12" t="s">
        <v>4</v>
      </c>
      <c r="D4195" s="93">
        <v>228.44</v>
      </c>
      <c r="E4195" s="93">
        <v>8.9700000000000006</v>
      </c>
      <c r="F4195" s="93">
        <v>219.47</v>
      </c>
      <c r="G4195" s="93">
        <v>0</v>
      </c>
      <c r="H4195" s="93">
        <v>0</v>
      </c>
      <c r="N4195" s="88"/>
      <c r="O4195" s="88"/>
      <c r="P4195" s="88"/>
    </row>
    <row r="4196" spans="1:16">
      <c r="A4196" s="94">
        <v>94791</v>
      </c>
      <c r="B4196" s="87" t="s">
        <v>3553</v>
      </c>
      <c r="C4196" s="12" t="s">
        <v>4</v>
      </c>
      <c r="D4196" s="93">
        <v>319.22000000000003</v>
      </c>
      <c r="E4196" s="93">
        <v>8.9700000000000006</v>
      </c>
      <c r="F4196" s="93">
        <v>310.25</v>
      </c>
      <c r="G4196" s="93">
        <v>0</v>
      </c>
      <c r="H4196" s="93">
        <v>0</v>
      </c>
      <c r="N4196" s="88"/>
      <c r="O4196" s="88"/>
      <c r="P4196" s="88"/>
    </row>
    <row r="4197" spans="1:16">
      <c r="A4197" s="94">
        <v>94863</v>
      </c>
      <c r="B4197" s="87" t="s">
        <v>3554</v>
      </c>
      <c r="C4197" s="12" t="s">
        <v>4</v>
      </c>
      <c r="D4197" s="93">
        <v>109.18</v>
      </c>
      <c r="E4197" s="93">
        <v>4.97</v>
      </c>
      <c r="F4197" s="93">
        <v>104.21</v>
      </c>
      <c r="G4197" s="93">
        <v>0</v>
      </c>
      <c r="H4197" s="93">
        <v>0</v>
      </c>
      <c r="N4197" s="88"/>
      <c r="O4197" s="88"/>
      <c r="P4197" s="88"/>
    </row>
    <row r="4198" spans="1:16">
      <c r="A4198" s="94">
        <v>95141</v>
      </c>
      <c r="B4198" s="87" t="s">
        <v>3555</v>
      </c>
      <c r="C4198" s="12" t="s">
        <v>4</v>
      </c>
      <c r="D4198" s="93">
        <v>24.44</v>
      </c>
      <c r="E4198" s="93">
        <v>6.73</v>
      </c>
      <c r="F4198" s="93">
        <v>17.71</v>
      </c>
      <c r="G4198" s="93">
        <v>0</v>
      </c>
      <c r="H4198" s="93">
        <v>0</v>
      </c>
      <c r="N4198" s="88"/>
      <c r="O4198" s="88"/>
      <c r="P4198" s="88"/>
    </row>
    <row r="4199" spans="1:16">
      <c r="A4199" s="94">
        <v>95237</v>
      </c>
      <c r="B4199" s="87" t="s">
        <v>3556</v>
      </c>
      <c r="C4199" s="12" t="s">
        <v>4</v>
      </c>
      <c r="D4199" s="93">
        <v>18.760000000000002</v>
      </c>
      <c r="E4199" s="93">
        <v>2.06</v>
      </c>
      <c r="F4199" s="93">
        <v>16.7</v>
      </c>
      <c r="G4199" s="93">
        <v>0</v>
      </c>
      <c r="H4199" s="93">
        <v>0</v>
      </c>
      <c r="N4199" s="88"/>
      <c r="O4199" s="88"/>
      <c r="P4199" s="88"/>
    </row>
    <row r="4200" spans="1:16">
      <c r="A4200" s="94">
        <v>95693</v>
      </c>
      <c r="B4200" s="87" t="s">
        <v>3557</v>
      </c>
      <c r="C4200" s="12" t="s">
        <v>4</v>
      </c>
      <c r="D4200" s="93">
        <v>39.71</v>
      </c>
      <c r="E4200" s="93">
        <v>6.4</v>
      </c>
      <c r="F4200" s="93">
        <v>33.31</v>
      </c>
      <c r="G4200" s="93">
        <v>0</v>
      </c>
      <c r="H4200" s="93">
        <v>0</v>
      </c>
      <c r="N4200" s="88"/>
      <c r="O4200" s="88"/>
      <c r="P4200" s="88"/>
    </row>
    <row r="4201" spans="1:16">
      <c r="A4201" s="94">
        <v>95694</v>
      </c>
      <c r="B4201" s="87" t="s">
        <v>370</v>
      </c>
      <c r="C4201" s="12" t="s">
        <v>4</v>
      </c>
      <c r="D4201" s="93">
        <v>48.15</v>
      </c>
      <c r="E4201" s="93">
        <v>4.07</v>
      </c>
      <c r="F4201" s="93">
        <v>44.08</v>
      </c>
      <c r="G4201" s="93">
        <v>0</v>
      </c>
      <c r="H4201" s="93">
        <v>0</v>
      </c>
      <c r="N4201" s="88"/>
      <c r="O4201" s="88"/>
      <c r="P4201" s="88"/>
    </row>
    <row r="4202" spans="1:16">
      <c r="A4202" s="94">
        <v>95695</v>
      </c>
      <c r="B4202" s="87" t="s">
        <v>3558</v>
      </c>
      <c r="C4202" s="12" t="s">
        <v>4</v>
      </c>
      <c r="D4202" s="93">
        <v>46.66</v>
      </c>
      <c r="E4202" s="93">
        <v>2.9</v>
      </c>
      <c r="F4202" s="93">
        <v>43.76</v>
      </c>
      <c r="G4202" s="93">
        <v>0</v>
      </c>
      <c r="H4202" s="93">
        <v>0</v>
      </c>
      <c r="N4202" s="88"/>
      <c r="O4202" s="88"/>
      <c r="P4202" s="88"/>
    </row>
    <row r="4203" spans="1:16">
      <c r="A4203" s="94">
        <v>95696</v>
      </c>
      <c r="B4203" s="87" t="s">
        <v>6111</v>
      </c>
      <c r="C4203" s="12" t="s">
        <v>4</v>
      </c>
      <c r="D4203" s="93">
        <v>28.25</v>
      </c>
      <c r="E4203" s="93">
        <v>2.0299999999999998</v>
      </c>
      <c r="F4203" s="93">
        <v>26.22</v>
      </c>
      <c r="G4203" s="93">
        <v>0</v>
      </c>
      <c r="H4203" s="93">
        <v>0</v>
      </c>
      <c r="N4203" s="88"/>
      <c r="O4203" s="88"/>
      <c r="P4203" s="88"/>
    </row>
    <row r="4204" spans="1:16">
      <c r="A4204" s="94">
        <v>96637</v>
      </c>
      <c r="B4204" s="87" t="s">
        <v>3559</v>
      </c>
      <c r="C4204" s="12" t="s">
        <v>4</v>
      </c>
      <c r="D4204" s="93">
        <v>11.23</v>
      </c>
      <c r="E4204" s="93">
        <v>6.92</v>
      </c>
      <c r="F4204" s="93">
        <v>4.3099999999999996</v>
      </c>
      <c r="G4204" s="93">
        <v>0</v>
      </c>
      <c r="H4204" s="93">
        <v>0</v>
      </c>
      <c r="N4204" s="88"/>
      <c r="O4204" s="88"/>
      <c r="P4204" s="88"/>
    </row>
    <row r="4205" spans="1:16">
      <c r="A4205" s="94">
        <v>96638</v>
      </c>
      <c r="B4205" s="87" t="s">
        <v>3560</v>
      </c>
      <c r="C4205" s="12" t="s">
        <v>4</v>
      </c>
      <c r="D4205" s="93">
        <v>10.79</v>
      </c>
      <c r="E4205" s="93">
        <v>6.93</v>
      </c>
      <c r="F4205" s="93">
        <v>3.86</v>
      </c>
      <c r="G4205" s="93">
        <v>0</v>
      </c>
      <c r="H4205" s="93">
        <v>0</v>
      </c>
      <c r="N4205" s="88"/>
      <c r="O4205" s="88"/>
      <c r="P4205" s="88"/>
    </row>
    <row r="4206" spans="1:16">
      <c r="A4206" s="94">
        <v>96639</v>
      </c>
      <c r="B4206" s="87" t="s">
        <v>3561</v>
      </c>
      <c r="C4206" s="12" t="s">
        <v>4</v>
      </c>
      <c r="D4206" s="93">
        <v>7.84</v>
      </c>
      <c r="E4206" s="93">
        <v>4.6100000000000003</v>
      </c>
      <c r="F4206" s="93">
        <v>3.23</v>
      </c>
      <c r="G4206" s="93">
        <v>0</v>
      </c>
      <c r="H4206" s="93">
        <v>0</v>
      </c>
      <c r="N4206" s="88"/>
      <c r="O4206" s="88"/>
      <c r="P4206" s="88"/>
    </row>
    <row r="4207" spans="1:16">
      <c r="A4207" s="94">
        <v>96640</v>
      </c>
      <c r="B4207" s="87" t="s">
        <v>3562</v>
      </c>
      <c r="C4207" s="12" t="s">
        <v>4</v>
      </c>
      <c r="D4207" s="93">
        <v>20.18</v>
      </c>
      <c r="E4207" s="93">
        <v>4.57</v>
      </c>
      <c r="F4207" s="93">
        <v>15.61</v>
      </c>
      <c r="G4207" s="93">
        <v>0</v>
      </c>
      <c r="H4207" s="93">
        <v>0</v>
      </c>
      <c r="N4207" s="88"/>
      <c r="O4207" s="88"/>
      <c r="P4207" s="88"/>
    </row>
    <row r="4208" spans="1:16">
      <c r="A4208" s="94">
        <v>96641</v>
      </c>
      <c r="B4208" s="87" t="s">
        <v>3563</v>
      </c>
      <c r="C4208" s="12" t="s">
        <v>4</v>
      </c>
      <c r="D4208" s="93">
        <v>15.77</v>
      </c>
      <c r="E4208" s="93">
        <v>4.58</v>
      </c>
      <c r="F4208" s="93">
        <v>11.19</v>
      </c>
      <c r="G4208" s="93">
        <v>0</v>
      </c>
      <c r="H4208" s="93">
        <v>0</v>
      </c>
      <c r="N4208" s="88"/>
      <c r="O4208" s="88"/>
      <c r="P4208" s="88"/>
    </row>
    <row r="4209" spans="1:16">
      <c r="A4209" s="94">
        <v>96642</v>
      </c>
      <c r="B4209" s="87" t="s">
        <v>3564</v>
      </c>
      <c r="C4209" s="12" t="s">
        <v>4</v>
      </c>
      <c r="D4209" s="93">
        <v>14.87</v>
      </c>
      <c r="E4209" s="93">
        <v>9.2200000000000006</v>
      </c>
      <c r="F4209" s="93">
        <v>5.65</v>
      </c>
      <c r="G4209" s="93">
        <v>0</v>
      </c>
      <c r="H4209" s="93">
        <v>0</v>
      </c>
      <c r="N4209" s="88"/>
      <c r="O4209" s="88"/>
      <c r="P4209" s="88"/>
    </row>
    <row r="4210" spans="1:16">
      <c r="A4210" s="94">
        <v>96643</v>
      </c>
      <c r="B4210" s="87" t="s">
        <v>3565</v>
      </c>
      <c r="C4210" s="12" t="s">
        <v>4</v>
      </c>
      <c r="D4210" s="93">
        <v>40.700000000000003</v>
      </c>
      <c r="E4210" s="93">
        <v>9.18</v>
      </c>
      <c r="F4210" s="93">
        <v>31.52</v>
      </c>
      <c r="G4210" s="93">
        <v>0</v>
      </c>
      <c r="H4210" s="93">
        <v>0</v>
      </c>
      <c r="N4210" s="88"/>
      <c r="O4210" s="88"/>
      <c r="P4210" s="88"/>
    </row>
    <row r="4211" spans="1:16">
      <c r="A4211" s="94">
        <v>96650</v>
      </c>
      <c r="B4211" s="87" t="s">
        <v>3566</v>
      </c>
      <c r="C4211" s="12" t="s">
        <v>4</v>
      </c>
      <c r="D4211" s="93">
        <v>8.3800000000000008</v>
      </c>
      <c r="E4211" s="93">
        <v>4.71</v>
      </c>
      <c r="F4211" s="93">
        <v>3.67</v>
      </c>
      <c r="G4211" s="93">
        <v>0</v>
      </c>
      <c r="H4211" s="93">
        <v>0</v>
      </c>
      <c r="N4211" s="88"/>
      <c r="O4211" s="88"/>
      <c r="P4211" s="88"/>
    </row>
    <row r="4212" spans="1:16">
      <c r="A4212" s="94">
        <v>96651</v>
      </c>
      <c r="B4212" s="87" t="s">
        <v>3567</v>
      </c>
      <c r="C4212" s="12" t="s">
        <v>4</v>
      </c>
      <c r="D4212" s="93">
        <v>7.94</v>
      </c>
      <c r="E4212" s="93">
        <v>4.71</v>
      </c>
      <c r="F4212" s="93">
        <v>3.23</v>
      </c>
      <c r="G4212" s="93">
        <v>0</v>
      </c>
      <c r="H4212" s="93">
        <v>0</v>
      </c>
      <c r="N4212" s="88"/>
      <c r="O4212" s="88"/>
      <c r="P4212" s="88"/>
    </row>
    <row r="4213" spans="1:16">
      <c r="A4213" s="94">
        <v>96652</v>
      </c>
      <c r="B4213" s="87" t="s">
        <v>3568</v>
      </c>
      <c r="C4213" s="12" t="s">
        <v>4</v>
      </c>
      <c r="D4213" s="93">
        <v>15.95</v>
      </c>
      <c r="E4213" s="93">
        <v>9.59</v>
      </c>
      <c r="F4213" s="93">
        <v>6.36</v>
      </c>
      <c r="G4213" s="93">
        <v>0</v>
      </c>
      <c r="H4213" s="93">
        <v>0</v>
      </c>
      <c r="N4213" s="88"/>
      <c r="O4213" s="88"/>
      <c r="P4213" s="88"/>
    </row>
    <row r="4214" spans="1:16">
      <c r="A4214" s="94">
        <v>96653</v>
      </c>
      <c r="B4214" s="87" t="s">
        <v>3569</v>
      </c>
      <c r="C4214" s="12" t="s">
        <v>4</v>
      </c>
      <c r="D4214" s="93">
        <v>15.9</v>
      </c>
      <c r="E4214" s="93">
        <v>9.59</v>
      </c>
      <c r="F4214" s="93">
        <v>6.31</v>
      </c>
      <c r="G4214" s="93">
        <v>0</v>
      </c>
      <c r="H4214" s="93">
        <v>0</v>
      </c>
      <c r="N4214" s="88"/>
      <c r="O4214" s="88"/>
      <c r="P4214" s="88"/>
    </row>
    <row r="4215" spans="1:16">
      <c r="A4215" s="94">
        <v>96654</v>
      </c>
      <c r="B4215" s="87" t="s">
        <v>3570</v>
      </c>
      <c r="C4215" s="12" t="s">
        <v>4</v>
      </c>
      <c r="D4215" s="93">
        <v>26.44</v>
      </c>
      <c r="E4215" s="93">
        <v>15.19</v>
      </c>
      <c r="F4215" s="93">
        <v>11.25</v>
      </c>
      <c r="G4215" s="93">
        <v>0</v>
      </c>
      <c r="H4215" s="93">
        <v>0</v>
      </c>
      <c r="N4215" s="88"/>
      <c r="O4215" s="88"/>
      <c r="P4215" s="88"/>
    </row>
    <row r="4216" spans="1:16">
      <c r="A4216" s="94">
        <v>96655</v>
      </c>
      <c r="B4216" s="87" t="s">
        <v>3571</v>
      </c>
      <c r="C4216" s="12" t="s">
        <v>4</v>
      </c>
      <c r="D4216" s="93">
        <v>25.95</v>
      </c>
      <c r="E4216" s="93">
        <v>15.19</v>
      </c>
      <c r="F4216" s="93">
        <v>10.76</v>
      </c>
      <c r="G4216" s="93">
        <v>0</v>
      </c>
      <c r="H4216" s="93">
        <v>0</v>
      </c>
      <c r="N4216" s="88"/>
      <c r="O4216" s="88"/>
      <c r="P4216" s="88"/>
    </row>
    <row r="4217" spans="1:16">
      <c r="A4217" s="94">
        <v>96656</v>
      </c>
      <c r="B4217" s="87" t="s">
        <v>3572</v>
      </c>
      <c r="C4217" s="12" t="s">
        <v>4</v>
      </c>
      <c r="D4217" s="93">
        <v>5.97</v>
      </c>
      <c r="E4217" s="93">
        <v>3.15</v>
      </c>
      <c r="F4217" s="93">
        <v>2.82</v>
      </c>
      <c r="G4217" s="93">
        <v>0</v>
      </c>
      <c r="H4217" s="93">
        <v>0</v>
      </c>
      <c r="N4217" s="88"/>
      <c r="O4217" s="88"/>
      <c r="P4217" s="88"/>
    </row>
    <row r="4218" spans="1:16">
      <c r="A4218" s="94">
        <v>96657</v>
      </c>
      <c r="B4218" s="87" t="s">
        <v>3573</v>
      </c>
      <c r="C4218" s="12" t="s">
        <v>4</v>
      </c>
      <c r="D4218" s="93">
        <v>18.309999999999999</v>
      </c>
      <c r="E4218" s="93">
        <v>3.11</v>
      </c>
      <c r="F4218" s="93">
        <v>15.2</v>
      </c>
      <c r="G4218" s="93">
        <v>0</v>
      </c>
      <c r="H4218" s="93">
        <v>0</v>
      </c>
      <c r="N4218" s="88"/>
      <c r="O4218" s="88"/>
      <c r="P4218" s="88"/>
    </row>
    <row r="4219" spans="1:16">
      <c r="A4219" s="94">
        <v>96658</v>
      </c>
      <c r="B4219" s="87" t="s">
        <v>3574</v>
      </c>
      <c r="C4219" s="12" t="s">
        <v>4</v>
      </c>
      <c r="D4219" s="93">
        <v>13.9</v>
      </c>
      <c r="E4219" s="93">
        <v>3.12</v>
      </c>
      <c r="F4219" s="93">
        <v>10.78</v>
      </c>
      <c r="G4219" s="93">
        <v>0</v>
      </c>
      <c r="H4219" s="93">
        <v>0</v>
      </c>
      <c r="N4219" s="88"/>
      <c r="O4219" s="88"/>
      <c r="P4219" s="88"/>
    </row>
    <row r="4220" spans="1:16">
      <c r="A4220" s="94">
        <v>96659</v>
      </c>
      <c r="B4220" s="87" t="s">
        <v>3575</v>
      </c>
      <c r="C4220" s="12" t="s">
        <v>4</v>
      </c>
      <c r="D4220" s="93">
        <v>10.79</v>
      </c>
      <c r="E4220" s="93">
        <v>6.41</v>
      </c>
      <c r="F4220" s="93">
        <v>4.38</v>
      </c>
      <c r="G4220" s="93">
        <v>0</v>
      </c>
      <c r="H4220" s="93">
        <v>0</v>
      </c>
      <c r="N4220" s="88"/>
      <c r="O4220" s="88"/>
      <c r="P4220" s="88"/>
    </row>
    <row r="4221" spans="1:16">
      <c r="A4221" s="94">
        <v>96660</v>
      </c>
      <c r="B4221" s="87" t="s">
        <v>3576</v>
      </c>
      <c r="C4221" s="12" t="s">
        <v>4</v>
      </c>
      <c r="D4221" s="93">
        <v>31.37</v>
      </c>
      <c r="E4221" s="93">
        <v>6.38</v>
      </c>
      <c r="F4221" s="93">
        <v>24.99</v>
      </c>
      <c r="G4221" s="93">
        <v>0</v>
      </c>
      <c r="H4221" s="93">
        <v>0</v>
      </c>
      <c r="N4221" s="88"/>
      <c r="O4221" s="88"/>
      <c r="P4221" s="88"/>
    </row>
    <row r="4222" spans="1:16">
      <c r="A4222" s="94">
        <v>96661</v>
      </c>
      <c r="B4222" s="87" t="s">
        <v>3577</v>
      </c>
      <c r="C4222" s="12" t="s">
        <v>4</v>
      </c>
      <c r="D4222" s="93">
        <v>24.59</v>
      </c>
      <c r="E4222" s="93">
        <v>6.38</v>
      </c>
      <c r="F4222" s="93">
        <v>18.21</v>
      </c>
      <c r="G4222" s="93">
        <v>0</v>
      </c>
      <c r="H4222" s="93">
        <v>0</v>
      </c>
      <c r="N4222" s="88"/>
      <c r="O4222" s="88"/>
      <c r="P4222" s="88"/>
    </row>
    <row r="4223" spans="1:16">
      <c r="A4223" s="94">
        <v>96662</v>
      </c>
      <c r="B4223" s="87" t="s">
        <v>3578</v>
      </c>
      <c r="C4223" s="12" t="s">
        <v>4</v>
      </c>
      <c r="D4223" s="93">
        <v>11.02</v>
      </c>
      <c r="E4223" s="93">
        <v>6.41</v>
      </c>
      <c r="F4223" s="93">
        <v>4.6100000000000003</v>
      </c>
      <c r="G4223" s="93">
        <v>0</v>
      </c>
      <c r="H4223" s="93">
        <v>0</v>
      </c>
      <c r="N4223" s="88"/>
      <c r="O4223" s="88"/>
      <c r="P4223" s="88"/>
    </row>
    <row r="4224" spans="1:16">
      <c r="A4224" s="94">
        <v>96663</v>
      </c>
      <c r="B4224" s="87" t="s">
        <v>3579</v>
      </c>
      <c r="C4224" s="12" t="s">
        <v>4</v>
      </c>
      <c r="D4224" s="93">
        <v>19.59</v>
      </c>
      <c r="E4224" s="93">
        <v>10.14</v>
      </c>
      <c r="F4224" s="93">
        <v>9.4499999999999993</v>
      </c>
      <c r="G4224" s="93">
        <v>0</v>
      </c>
      <c r="H4224" s="93">
        <v>0</v>
      </c>
      <c r="N4224" s="88"/>
      <c r="O4224" s="88"/>
      <c r="P4224" s="88"/>
    </row>
    <row r="4225" spans="1:16">
      <c r="A4225" s="94">
        <v>96664</v>
      </c>
      <c r="B4225" s="87" t="s">
        <v>3580</v>
      </c>
      <c r="C4225" s="12" t="s">
        <v>4</v>
      </c>
      <c r="D4225" s="93">
        <v>21.04</v>
      </c>
      <c r="E4225" s="93">
        <v>10.130000000000001</v>
      </c>
      <c r="F4225" s="93">
        <v>10.91</v>
      </c>
      <c r="G4225" s="93">
        <v>0</v>
      </c>
      <c r="H4225" s="93">
        <v>0</v>
      </c>
      <c r="N4225" s="88"/>
      <c r="O4225" s="88"/>
      <c r="P4225" s="88"/>
    </row>
    <row r="4226" spans="1:16">
      <c r="A4226" s="94">
        <v>96665</v>
      </c>
      <c r="B4226" s="87" t="s">
        <v>3581</v>
      </c>
      <c r="C4226" s="12" t="s">
        <v>4</v>
      </c>
      <c r="D4226" s="93">
        <v>11.04</v>
      </c>
      <c r="E4226" s="93">
        <v>6.24</v>
      </c>
      <c r="F4226" s="93">
        <v>4.8</v>
      </c>
      <c r="G4226" s="93">
        <v>0</v>
      </c>
      <c r="H4226" s="93">
        <v>0</v>
      </c>
      <c r="N4226" s="88"/>
      <c r="O4226" s="88"/>
      <c r="P4226" s="88"/>
    </row>
    <row r="4227" spans="1:16">
      <c r="A4227" s="94">
        <v>96666</v>
      </c>
      <c r="B4227" s="87" t="s">
        <v>3582</v>
      </c>
      <c r="C4227" s="12" t="s">
        <v>4</v>
      </c>
      <c r="D4227" s="93">
        <v>21.37</v>
      </c>
      <c r="E4227" s="93">
        <v>12.79</v>
      </c>
      <c r="F4227" s="93">
        <v>8.58</v>
      </c>
      <c r="G4227" s="93">
        <v>0</v>
      </c>
      <c r="H4227" s="93">
        <v>0</v>
      </c>
      <c r="N4227" s="88"/>
      <c r="O4227" s="88"/>
      <c r="P4227" s="88"/>
    </row>
    <row r="4228" spans="1:16">
      <c r="A4228" s="94">
        <v>96667</v>
      </c>
      <c r="B4228" s="87" t="s">
        <v>3583</v>
      </c>
      <c r="C4228" s="12" t="s">
        <v>4</v>
      </c>
      <c r="D4228" s="93">
        <v>37.270000000000003</v>
      </c>
      <c r="E4228" s="93">
        <v>20.27</v>
      </c>
      <c r="F4228" s="93">
        <v>17</v>
      </c>
      <c r="G4228" s="93">
        <v>0</v>
      </c>
      <c r="H4228" s="93">
        <v>0</v>
      </c>
      <c r="N4228" s="88"/>
      <c r="O4228" s="88"/>
      <c r="P4228" s="88"/>
    </row>
    <row r="4229" spans="1:16">
      <c r="A4229" s="94">
        <v>96684</v>
      </c>
      <c r="B4229" s="87" t="s">
        <v>3584</v>
      </c>
      <c r="C4229" s="12" t="s">
        <v>4</v>
      </c>
      <c r="D4229" s="93">
        <v>4.1100000000000003</v>
      </c>
      <c r="E4229" s="93">
        <v>1.33</v>
      </c>
      <c r="F4229" s="93">
        <v>2.78</v>
      </c>
      <c r="G4229" s="93">
        <v>0</v>
      </c>
      <c r="H4229" s="93">
        <v>0</v>
      </c>
      <c r="N4229" s="88"/>
      <c r="O4229" s="88"/>
      <c r="P4229" s="88"/>
    </row>
    <row r="4230" spans="1:16">
      <c r="A4230" s="94">
        <v>96685</v>
      </c>
      <c r="B4230" s="87" t="s">
        <v>3585</v>
      </c>
      <c r="C4230" s="12" t="s">
        <v>4</v>
      </c>
      <c r="D4230" s="93">
        <v>3.67</v>
      </c>
      <c r="E4230" s="93">
        <v>1.33</v>
      </c>
      <c r="F4230" s="93">
        <v>2.34</v>
      </c>
      <c r="G4230" s="93">
        <v>0</v>
      </c>
      <c r="H4230" s="93">
        <v>0</v>
      </c>
      <c r="N4230" s="88"/>
      <c r="O4230" s="88"/>
      <c r="P4230" s="88"/>
    </row>
    <row r="4231" spans="1:16">
      <c r="A4231" s="94">
        <v>96686</v>
      </c>
      <c r="B4231" s="87" t="s">
        <v>3586</v>
      </c>
      <c r="C4231" s="12" t="s">
        <v>4</v>
      </c>
      <c r="D4231" s="93">
        <v>6.18</v>
      </c>
      <c r="E4231" s="93">
        <v>1.97</v>
      </c>
      <c r="F4231" s="93">
        <v>4.21</v>
      </c>
      <c r="G4231" s="93">
        <v>0</v>
      </c>
      <c r="H4231" s="93">
        <v>0</v>
      </c>
      <c r="N4231" s="88"/>
      <c r="O4231" s="88"/>
      <c r="P4231" s="88"/>
    </row>
    <row r="4232" spans="1:16">
      <c r="A4232" s="94">
        <v>96687</v>
      </c>
      <c r="B4232" s="87" t="s">
        <v>3587</v>
      </c>
      <c r="C4232" s="12" t="s">
        <v>4</v>
      </c>
      <c r="D4232" s="93">
        <v>6.13</v>
      </c>
      <c r="E4232" s="93">
        <v>1.97</v>
      </c>
      <c r="F4232" s="93">
        <v>4.16</v>
      </c>
      <c r="G4232" s="93">
        <v>0</v>
      </c>
      <c r="H4232" s="93">
        <v>0</v>
      </c>
      <c r="N4232" s="88"/>
      <c r="O4232" s="88"/>
      <c r="P4232" s="88"/>
    </row>
    <row r="4233" spans="1:16">
      <c r="A4233" s="94">
        <v>96688</v>
      </c>
      <c r="B4233" s="87" t="s">
        <v>3588</v>
      </c>
      <c r="C4233" s="12" t="s">
        <v>4</v>
      </c>
      <c r="D4233" s="93">
        <v>10.65</v>
      </c>
      <c r="E4233" s="93">
        <v>2.86</v>
      </c>
      <c r="F4233" s="93">
        <v>7.79</v>
      </c>
      <c r="G4233" s="93">
        <v>0</v>
      </c>
      <c r="H4233" s="93">
        <v>0</v>
      </c>
      <c r="N4233" s="88"/>
      <c r="O4233" s="88"/>
      <c r="P4233" s="88"/>
    </row>
    <row r="4234" spans="1:16">
      <c r="A4234" s="94">
        <v>96689</v>
      </c>
      <c r="B4234" s="87" t="s">
        <v>3589</v>
      </c>
      <c r="C4234" s="12" t="s">
        <v>4</v>
      </c>
      <c r="D4234" s="93">
        <v>10.16</v>
      </c>
      <c r="E4234" s="93">
        <v>2.86</v>
      </c>
      <c r="F4234" s="93">
        <v>7.3</v>
      </c>
      <c r="G4234" s="93">
        <v>0</v>
      </c>
      <c r="H4234" s="93">
        <v>0</v>
      </c>
      <c r="N4234" s="88"/>
      <c r="O4234" s="88"/>
      <c r="P4234" s="88"/>
    </row>
    <row r="4235" spans="1:16">
      <c r="A4235" s="94">
        <v>96690</v>
      </c>
      <c r="B4235" s="87" t="s">
        <v>3590</v>
      </c>
      <c r="C4235" s="12" t="s">
        <v>4</v>
      </c>
      <c r="D4235" s="93">
        <v>19.87</v>
      </c>
      <c r="E4235" s="93">
        <v>4.2300000000000004</v>
      </c>
      <c r="F4235" s="93">
        <v>15.64</v>
      </c>
      <c r="G4235" s="93">
        <v>0</v>
      </c>
      <c r="H4235" s="93">
        <v>0</v>
      </c>
      <c r="N4235" s="88"/>
      <c r="O4235" s="88"/>
      <c r="P4235" s="88"/>
    </row>
    <row r="4236" spans="1:16">
      <c r="A4236" s="94">
        <v>96691</v>
      </c>
      <c r="B4236" s="87" t="s">
        <v>3591</v>
      </c>
      <c r="C4236" s="12" t="s">
        <v>4</v>
      </c>
      <c r="D4236" s="93">
        <v>20.53</v>
      </c>
      <c r="E4236" s="93">
        <v>4.2300000000000004</v>
      </c>
      <c r="F4236" s="93">
        <v>16.3</v>
      </c>
      <c r="G4236" s="93">
        <v>0</v>
      </c>
      <c r="H4236" s="93">
        <v>0</v>
      </c>
      <c r="N4236" s="88"/>
      <c r="O4236" s="88"/>
      <c r="P4236" s="88"/>
    </row>
    <row r="4237" spans="1:16">
      <c r="A4237" s="94">
        <v>96692</v>
      </c>
      <c r="B4237" s="87" t="s">
        <v>3592</v>
      </c>
      <c r="C4237" s="12" t="s">
        <v>4</v>
      </c>
      <c r="D4237" s="93">
        <v>30.03</v>
      </c>
      <c r="E4237" s="93">
        <v>6.49</v>
      </c>
      <c r="F4237" s="93">
        <v>23.54</v>
      </c>
      <c r="G4237" s="93">
        <v>0</v>
      </c>
      <c r="H4237" s="93">
        <v>0</v>
      </c>
      <c r="N4237" s="88"/>
      <c r="O4237" s="88"/>
      <c r="P4237" s="88"/>
    </row>
    <row r="4238" spans="1:16">
      <c r="A4238" s="94">
        <v>96693</v>
      </c>
      <c r="B4238" s="87" t="s">
        <v>3593</v>
      </c>
      <c r="C4238" s="12" t="s">
        <v>4</v>
      </c>
      <c r="D4238" s="93">
        <v>28.41</v>
      </c>
      <c r="E4238" s="93">
        <v>6.49</v>
      </c>
      <c r="F4238" s="93">
        <v>21.92</v>
      </c>
      <c r="G4238" s="93">
        <v>0</v>
      </c>
      <c r="H4238" s="93">
        <v>0</v>
      </c>
      <c r="N4238" s="88"/>
      <c r="O4238" s="88"/>
      <c r="P4238" s="88"/>
    </row>
    <row r="4239" spans="1:16">
      <c r="A4239" s="94">
        <v>96694</v>
      </c>
      <c r="B4239" s="87" t="s">
        <v>3594</v>
      </c>
      <c r="C4239" s="12" t="s">
        <v>4</v>
      </c>
      <c r="D4239" s="93">
        <v>66.42</v>
      </c>
      <c r="E4239" s="93">
        <v>9.0299999999999994</v>
      </c>
      <c r="F4239" s="93">
        <v>57.39</v>
      </c>
      <c r="G4239" s="93">
        <v>0</v>
      </c>
      <c r="H4239" s="93">
        <v>0</v>
      </c>
      <c r="N4239" s="88"/>
      <c r="O4239" s="88"/>
      <c r="P4239" s="88"/>
    </row>
    <row r="4240" spans="1:16">
      <c r="A4240" s="94">
        <v>96695</v>
      </c>
      <c r="B4240" s="87" t="s">
        <v>3595</v>
      </c>
      <c r="C4240" s="12" t="s">
        <v>4</v>
      </c>
      <c r="D4240" s="93">
        <v>64.52</v>
      </c>
      <c r="E4240" s="93">
        <v>9.0299999999999994</v>
      </c>
      <c r="F4240" s="93">
        <v>55.49</v>
      </c>
      <c r="G4240" s="93">
        <v>0</v>
      </c>
      <c r="H4240" s="93">
        <v>0</v>
      </c>
      <c r="N4240" s="88"/>
      <c r="O4240" s="88"/>
      <c r="P4240" s="88"/>
    </row>
    <row r="4241" spans="1:16">
      <c r="A4241" s="94">
        <v>96696</v>
      </c>
      <c r="B4241" s="87" t="s">
        <v>3596</v>
      </c>
      <c r="C4241" s="12" t="s">
        <v>4</v>
      </c>
      <c r="D4241" s="93">
        <v>100.06</v>
      </c>
      <c r="E4241" s="93">
        <v>12.84</v>
      </c>
      <c r="F4241" s="93">
        <v>87.22</v>
      </c>
      <c r="G4241" s="93">
        <v>0</v>
      </c>
      <c r="H4241" s="93">
        <v>0</v>
      </c>
      <c r="N4241" s="88"/>
      <c r="O4241" s="88"/>
      <c r="P4241" s="88"/>
    </row>
    <row r="4242" spans="1:16">
      <c r="A4242" s="94">
        <v>96697</v>
      </c>
      <c r="B4242" s="87" t="s">
        <v>3597</v>
      </c>
      <c r="C4242" s="12" t="s">
        <v>4</v>
      </c>
      <c r="D4242" s="93">
        <v>149.72</v>
      </c>
      <c r="E4242" s="93">
        <v>19.010000000000002</v>
      </c>
      <c r="F4242" s="93">
        <v>130.71</v>
      </c>
      <c r="G4242" s="93">
        <v>0</v>
      </c>
      <c r="H4242" s="93">
        <v>0</v>
      </c>
      <c r="N4242" s="88"/>
      <c r="O4242" s="88"/>
      <c r="P4242" s="88"/>
    </row>
    <row r="4243" spans="1:16">
      <c r="A4243" s="94">
        <v>96698</v>
      </c>
      <c r="B4243" s="87" t="s">
        <v>3598</v>
      </c>
      <c r="C4243" s="12" t="s">
        <v>4</v>
      </c>
      <c r="D4243" s="93">
        <v>3.13</v>
      </c>
      <c r="E4243" s="93">
        <v>0.9</v>
      </c>
      <c r="F4243" s="93">
        <v>2.23</v>
      </c>
      <c r="G4243" s="93">
        <v>0</v>
      </c>
      <c r="H4243" s="93">
        <v>0</v>
      </c>
      <c r="N4243" s="88"/>
      <c r="O4243" s="88"/>
      <c r="P4243" s="88"/>
    </row>
    <row r="4244" spans="1:16">
      <c r="A4244" s="94">
        <v>96699</v>
      </c>
      <c r="B4244" s="87" t="s">
        <v>3599</v>
      </c>
      <c r="C4244" s="12" t="s">
        <v>4</v>
      </c>
      <c r="D4244" s="93">
        <v>15.47</v>
      </c>
      <c r="E4244" s="93">
        <v>0.89</v>
      </c>
      <c r="F4244" s="93">
        <v>14.58</v>
      </c>
      <c r="G4244" s="93">
        <v>0</v>
      </c>
      <c r="H4244" s="93">
        <v>0</v>
      </c>
      <c r="N4244" s="88"/>
      <c r="O4244" s="88"/>
      <c r="P4244" s="88"/>
    </row>
    <row r="4245" spans="1:16">
      <c r="A4245" s="94">
        <v>96700</v>
      </c>
      <c r="B4245" s="87" t="s">
        <v>3600</v>
      </c>
      <c r="C4245" s="12" t="s">
        <v>4</v>
      </c>
      <c r="D4245" s="93">
        <v>11.06</v>
      </c>
      <c r="E4245" s="93">
        <v>0.89</v>
      </c>
      <c r="F4245" s="93">
        <v>10.17</v>
      </c>
      <c r="G4245" s="93">
        <v>0</v>
      </c>
      <c r="H4245" s="93">
        <v>0</v>
      </c>
      <c r="N4245" s="88"/>
      <c r="O4245" s="88"/>
      <c r="P4245" s="88"/>
    </row>
    <row r="4246" spans="1:16">
      <c r="A4246" s="94">
        <v>96701</v>
      </c>
      <c r="B4246" s="87" t="s">
        <v>3601</v>
      </c>
      <c r="C4246" s="12" t="s">
        <v>4</v>
      </c>
      <c r="D4246" s="93">
        <v>4.28</v>
      </c>
      <c r="E4246" s="93">
        <v>1.3</v>
      </c>
      <c r="F4246" s="93">
        <v>2.98</v>
      </c>
      <c r="G4246" s="93">
        <v>0</v>
      </c>
      <c r="H4246" s="93">
        <v>0</v>
      </c>
      <c r="N4246" s="88"/>
      <c r="O4246" s="88"/>
      <c r="P4246" s="88"/>
    </row>
    <row r="4247" spans="1:16">
      <c r="A4247" s="94">
        <v>96702</v>
      </c>
      <c r="B4247" s="87" t="s">
        <v>3602</v>
      </c>
      <c r="C4247" s="12" t="s">
        <v>4</v>
      </c>
      <c r="D4247" s="93">
        <v>4.51</v>
      </c>
      <c r="E4247" s="93">
        <v>1.3</v>
      </c>
      <c r="F4247" s="93">
        <v>3.21</v>
      </c>
      <c r="G4247" s="93">
        <v>0</v>
      </c>
      <c r="H4247" s="93">
        <v>0</v>
      </c>
      <c r="N4247" s="88"/>
      <c r="O4247" s="88"/>
      <c r="P4247" s="88"/>
    </row>
    <row r="4248" spans="1:16">
      <c r="A4248" s="94">
        <v>96703</v>
      </c>
      <c r="B4248" s="87" t="s">
        <v>3603</v>
      </c>
      <c r="C4248" s="12" t="s">
        <v>4</v>
      </c>
      <c r="D4248" s="93">
        <v>9.0299999999999994</v>
      </c>
      <c r="E4248" s="93">
        <v>1.88</v>
      </c>
      <c r="F4248" s="93">
        <v>7.15</v>
      </c>
      <c r="G4248" s="93">
        <v>0</v>
      </c>
      <c r="H4248" s="93">
        <v>0</v>
      </c>
      <c r="N4248" s="88"/>
      <c r="O4248" s="88"/>
      <c r="P4248" s="88"/>
    </row>
    <row r="4249" spans="1:16">
      <c r="A4249" s="94">
        <v>96704</v>
      </c>
      <c r="B4249" s="87" t="s">
        <v>3604</v>
      </c>
      <c r="C4249" s="12" t="s">
        <v>4</v>
      </c>
      <c r="D4249" s="93">
        <v>10.48</v>
      </c>
      <c r="E4249" s="93">
        <v>1.88</v>
      </c>
      <c r="F4249" s="93">
        <v>8.6</v>
      </c>
      <c r="G4249" s="93">
        <v>0</v>
      </c>
      <c r="H4249" s="93">
        <v>0</v>
      </c>
      <c r="N4249" s="88"/>
      <c r="O4249" s="88"/>
      <c r="P4249" s="88"/>
    </row>
    <row r="4250" spans="1:16">
      <c r="A4250" s="94">
        <v>96705</v>
      </c>
      <c r="B4250" s="87" t="s">
        <v>3605</v>
      </c>
      <c r="C4250" s="12" t="s">
        <v>4</v>
      </c>
      <c r="D4250" s="93">
        <v>13.61</v>
      </c>
      <c r="E4250" s="93">
        <v>2.82</v>
      </c>
      <c r="F4250" s="93">
        <v>10.79</v>
      </c>
      <c r="G4250" s="93">
        <v>0</v>
      </c>
      <c r="H4250" s="93">
        <v>0</v>
      </c>
      <c r="N4250" s="88"/>
      <c r="O4250" s="88"/>
      <c r="P4250" s="88"/>
    </row>
    <row r="4251" spans="1:16">
      <c r="A4251" s="94">
        <v>96706</v>
      </c>
      <c r="B4251" s="87" t="s">
        <v>3606</v>
      </c>
      <c r="C4251" s="12" t="s">
        <v>4</v>
      </c>
      <c r="D4251" s="93">
        <v>20.440000000000001</v>
      </c>
      <c r="E4251" s="93">
        <v>4.3499999999999996</v>
      </c>
      <c r="F4251" s="93">
        <v>16.09</v>
      </c>
      <c r="G4251" s="93">
        <v>0</v>
      </c>
      <c r="H4251" s="93">
        <v>0</v>
      </c>
      <c r="N4251" s="88"/>
      <c r="O4251" s="88"/>
      <c r="P4251" s="88"/>
    </row>
    <row r="4252" spans="1:16">
      <c r="A4252" s="94">
        <v>96707</v>
      </c>
      <c r="B4252" s="87" t="s">
        <v>3607</v>
      </c>
      <c r="C4252" s="12" t="s">
        <v>4</v>
      </c>
      <c r="D4252" s="93">
        <v>42.67</v>
      </c>
      <c r="E4252" s="93">
        <v>6.03</v>
      </c>
      <c r="F4252" s="93">
        <v>36.64</v>
      </c>
      <c r="G4252" s="93">
        <v>0</v>
      </c>
      <c r="H4252" s="93">
        <v>0</v>
      </c>
      <c r="N4252" s="88"/>
      <c r="O4252" s="88"/>
      <c r="P4252" s="88"/>
    </row>
    <row r="4253" spans="1:16">
      <c r="A4253" s="94">
        <v>96708</v>
      </c>
      <c r="B4253" s="87" t="s">
        <v>3608</v>
      </c>
      <c r="C4253" s="12" t="s">
        <v>4</v>
      </c>
      <c r="D4253" s="93">
        <v>67.37</v>
      </c>
      <c r="E4253" s="93">
        <v>8.56</v>
      </c>
      <c r="F4253" s="93">
        <v>58.81</v>
      </c>
      <c r="G4253" s="93">
        <v>0</v>
      </c>
      <c r="H4253" s="93">
        <v>0</v>
      </c>
      <c r="N4253" s="88"/>
      <c r="O4253" s="88"/>
      <c r="P4253" s="88"/>
    </row>
    <row r="4254" spans="1:16">
      <c r="A4254" s="94">
        <v>96709</v>
      </c>
      <c r="B4254" s="87" t="s">
        <v>3609</v>
      </c>
      <c r="C4254" s="12" t="s">
        <v>4</v>
      </c>
      <c r="D4254" s="93">
        <v>106.48</v>
      </c>
      <c r="E4254" s="93">
        <v>12.68</v>
      </c>
      <c r="F4254" s="93">
        <v>93.8</v>
      </c>
      <c r="G4254" s="93">
        <v>0</v>
      </c>
      <c r="H4254" s="93">
        <v>0</v>
      </c>
      <c r="N4254" s="88"/>
      <c r="O4254" s="88"/>
      <c r="P4254" s="88"/>
    </row>
    <row r="4255" spans="1:16">
      <c r="A4255" s="94">
        <v>96710</v>
      </c>
      <c r="B4255" s="87" t="s">
        <v>3610</v>
      </c>
      <c r="C4255" s="12" t="s">
        <v>4</v>
      </c>
      <c r="D4255" s="93">
        <v>5.39</v>
      </c>
      <c r="E4255" s="93">
        <v>1.81</v>
      </c>
      <c r="F4255" s="93">
        <v>3.58</v>
      </c>
      <c r="G4255" s="93">
        <v>0</v>
      </c>
      <c r="H4255" s="93">
        <v>0</v>
      </c>
      <c r="N4255" s="88"/>
      <c r="O4255" s="88"/>
      <c r="P4255" s="88"/>
    </row>
    <row r="4256" spans="1:16">
      <c r="A4256" s="94">
        <v>96711</v>
      </c>
      <c r="B4256" s="87" t="s">
        <v>3611</v>
      </c>
      <c r="C4256" s="12" t="s">
        <v>4</v>
      </c>
      <c r="D4256" s="93">
        <v>8.3800000000000008</v>
      </c>
      <c r="E4256" s="93">
        <v>2.62</v>
      </c>
      <c r="F4256" s="93">
        <v>5.76</v>
      </c>
      <c r="G4256" s="93">
        <v>0</v>
      </c>
      <c r="H4256" s="93">
        <v>0</v>
      </c>
      <c r="N4256" s="88"/>
      <c r="O4256" s="88"/>
      <c r="P4256" s="88"/>
    </row>
    <row r="4257" spans="1:16">
      <c r="A4257" s="94">
        <v>96712</v>
      </c>
      <c r="B4257" s="87" t="s">
        <v>3612</v>
      </c>
      <c r="C4257" s="12" t="s">
        <v>4</v>
      </c>
      <c r="D4257" s="93">
        <v>16.149999999999999</v>
      </c>
      <c r="E4257" s="93">
        <v>3.78</v>
      </c>
      <c r="F4257" s="93">
        <v>12.37</v>
      </c>
      <c r="G4257" s="93">
        <v>0</v>
      </c>
      <c r="H4257" s="93">
        <v>0</v>
      </c>
      <c r="N4257" s="88"/>
      <c r="O4257" s="88"/>
      <c r="P4257" s="88"/>
    </row>
    <row r="4258" spans="1:16">
      <c r="A4258" s="94">
        <v>96713</v>
      </c>
      <c r="B4258" s="87" t="s">
        <v>3613</v>
      </c>
      <c r="C4258" s="12" t="s">
        <v>4</v>
      </c>
      <c r="D4258" s="93">
        <v>22.4</v>
      </c>
      <c r="E4258" s="93">
        <v>5.65</v>
      </c>
      <c r="F4258" s="93">
        <v>16.75</v>
      </c>
      <c r="G4258" s="93">
        <v>0</v>
      </c>
      <c r="H4258" s="93">
        <v>0</v>
      </c>
      <c r="N4258" s="88"/>
      <c r="O4258" s="88"/>
      <c r="P4258" s="88"/>
    </row>
    <row r="4259" spans="1:16">
      <c r="A4259" s="94">
        <v>96714</v>
      </c>
      <c r="B4259" s="87" t="s">
        <v>3614</v>
      </c>
      <c r="C4259" s="12" t="s">
        <v>4</v>
      </c>
      <c r="D4259" s="93">
        <v>37.85</v>
      </c>
      <c r="E4259" s="93">
        <v>8.66</v>
      </c>
      <c r="F4259" s="93">
        <v>29.19</v>
      </c>
      <c r="G4259" s="93">
        <v>0</v>
      </c>
      <c r="H4259" s="93">
        <v>0</v>
      </c>
      <c r="N4259" s="88"/>
      <c r="O4259" s="88"/>
      <c r="P4259" s="88"/>
    </row>
    <row r="4260" spans="1:16">
      <c r="A4260" s="94">
        <v>96715</v>
      </c>
      <c r="B4260" s="87" t="s">
        <v>3615</v>
      </c>
      <c r="C4260" s="12" t="s">
        <v>4</v>
      </c>
      <c r="D4260" s="93">
        <v>71.349999999999994</v>
      </c>
      <c r="E4260" s="93">
        <v>12.07</v>
      </c>
      <c r="F4260" s="93">
        <v>59.28</v>
      </c>
      <c r="G4260" s="93">
        <v>0</v>
      </c>
      <c r="H4260" s="93">
        <v>0</v>
      </c>
      <c r="N4260" s="88"/>
      <c r="O4260" s="88"/>
      <c r="P4260" s="88"/>
    </row>
    <row r="4261" spans="1:16">
      <c r="A4261" s="94">
        <v>96716</v>
      </c>
      <c r="B4261" s="87" t="s">
        <v>3616</v>
      </c>
      <c r="C4261" s="12" t="s">
        <v>4</v>
      </c>
      <c r="D4261" s="93">
        <v>107.21</v>
      </c>
      <c r="E4261" s="93">
        <v>17.13</v>
      </c>
      <c r="F4261" s="93">
        <v>90.08</v>
      </c>
      <c r="G4261" s="93">
        <v>0</v>
      </c>
      <c r="H4261" s="93">
        <v>0</v>
      </c>
      <c r="N4261" s="88"/>
      <c r="O4261" s="88"/>
      <c r="P4261" s="88"/>
    </row>
    <row r="4262" spans="1:16">
      <c r="A4262" s="94">
        <v>96717</v>
      </c>
      <c r="B4262" s="87" t="s">
        <v>3617</v>
      </c>
      <c r="C4262" s="12" t="s">
        <v>4</v>
      </c>
      <c r="D4262" s="93">
        <v>168.92</v>
      </c>
      <c r="E4262" s="93">
        <v>25.38</v>
      </c>
      <c r="F4262" s="93">
        <v>143.54</v>
      </c>
      <c r="G4262" s="93">
        <v>0</v>
      </c>
      <c r="H4262" s="93">
        <v>0</v>
      </c>
      <c r="N4262" s="88"/>
      <c r="O4262" s="88"/>
      <c r="P4262" s="88"/>
    </row>
    <row r="4263" spans="1:16">
      <c r="A4263" s="94">
        <v>96736</v>
      </c>
      <c r="B4263" s="87" t="s">
        <v>3618</v>
      </c>
      <c r="C4263" s="12" t="s">
        <v>4</v>
      </c>
      <c r="D4263" s="93">
        <v>4.51</v>
      </c>
      <c r="E4263" s="93">
        <v>2.54</v>
      </c>
      <c r="F4263" s="93">
        <v>1.97</v>
      </c>
      <c r="G4263" s="93">
        <v>0</v>
      </c>
      <c r="H4263" s="93">
        <v>0</v>
      </c>
      <c r="N4263" s="88"/>
      <c r="O4263" s="88"/>
      <c r="P4263" s="88"/>
    </row>
    <row r="4264" spans="1:16">
      <c r="A4264" s="94">
        <v>96737</v>
      </c>
      <c r="B4264" s="87" t="s">
        <v>3619</v>
      </c>
      <c r="C4264" s="12" t="s">
        <v>4</v>
      </c>
      <c r="D4264" s="93">
        <v>5.19</v>
      </c>
      <c r="E4264" s="93">
        <v>2.52</v>
      </c>
      <c r="F4264" s="93">
        <v>2.67</v>
      </c>
      <c r="G4264" s="93">
        <v>0</v>
      </c>
      <c r="H4264" s="93">
        <v>0</v>
      </c>
      <c r="N4264" s="88"/>
      <c r="O4264" s="88"/>
      <c r="P4264" s="88"/>
    </row>
    <row r="4265" spans="1:16">
      <c r="A4265" s="94">
        <v>96738</v>
      </c>
      <c r="B4265" s="87" t="s">
        <v>3620</v>
      </c>
      <c r="C4265" s="12" t="s">
        <v>4</v>
      </c>
      <c r="D4265" s="93">
        <v>17.53</v>
      </c>
      <c r="E4265" s="93">
        <v>2.5</v>
      </c>
      <c r="F4265" s="93">
        <v>15.03</v>
      </c>
      <c r="G4265" s="93">
        <v>0</v>
      </c>
      <c r="H4265" s="93">
        <v>0</v>
      </c>
      <c r="N4265" s="88"/>
      <c r="O4265" s="88"/>
      <c r="P4265" s="88"/>
    </row>
    <row r="4266" spans="1:16">
      <c r="A4266" s="94">
        <v>96739</v>
      </c>
      <c r="B4266" s="87" t="s">
        <v>3621</v>
      </c>
      <c r="C4266" s="12" t="s">
        <v>4</v>
      </c>
      <c r="D4266" s="93">
        <v>6.71</v>
      </c>
      <c r="E4266" s="93">
        <v>3.21</v>
      </c>
      <c r="F4266" s="93">
        <v>3.5</v>
      </c>
      <c r="G4266" s="93">
        <v>0</v>
      </c>
      <c r="H4266" s="93">
        <v>0</v>
      </c>
      <c r="N4266" s="88"/>
      <c r="O4266" s="88"/>
      <c r="P4266" s="88"/>
    </row>
    <row r="4267" spans="1:16">
      <c r="A4267" s="94">
        <v>96740</v>
      </c>
      <c r="B4267" s="87" t="s">
        <v>3622</v>
      </c>
      <c r="C4267" s="12" t="s">
        <v>4</v>
      </c>
      <c r="D4267" s="93">
        <v>27.29</v>
      </c>
      <c r="E4267" s="93">
        <v>3.19</v>
      </c>
      <c r="F4267" s="93">
        <v>24.1</v>
      </c>
      <c r="G4267" s="93">
        <v>0</v>
      </c>
      <c r="H4267" s="93">
        <v>0</v>
      </c>
      <c r="N4267" s="88"/>
      <c r="O4267" s="88"/>
      <c r="P4267" s="88"/>
    </row>
    <row r="4268" spans="1:16">
      <c r="A4268" s="94">
        <v>96741</v>
      </c>
      <c r="B4268" s="87" t="s">
        <v>3623</v>
      </c>
      <c r="C4268" s="12" t="s">
        <v>4</v>
      </c>
      <c r="D4268" s="93">
        <v>10.72</v>
      </c>
      <c r="E4268" s="93">
        <v>3.2</v>
      </c>
      <c r="F4268" s="93">
        <v>7.52</v>
      </c>
      <c r="G4268" s="93">
        <v>0</v>
      </c>
      <c r="H4268" s="93">
        <v>0</v>
      </c>
      <c r="N4268" s="88"/>
      <c r="O4268" s="88"/>
      <c r="P4268" s="88"/>
    </row>
    <row r="4269" spans="1:16">
      <c r="A4269" s="94">
        <v>96742</v>
      </c>
      <c r="B4269" s="87" t="s">
        <v>3624</v>
      </c>
      <c r="C4269" s="12" t="s">
        <v>4</v>
      </c>
      <c r="D4269" s="93">
        <v>16.27</v>
      </c>
      <c r="E4269" s="93">
        <v>4.8899999999999997</v>
      </c>
      <c r="F4269" s="93">
        <v>11.38</v>
      </c>
      <c r="G4269" s="93">
        <v>0</v>
      </c>
      <c r="H4269" s="93">
        <v>0</v>
      </c>
      <c r="N4269" s="88"/>
      <c r="O4269" s="88"/>
      <c r="P4269" s="88"/>
    </row>
    <row r="4270" spans="1:16">
      <c r="A4270" s="94">
        <v>96743</v>
      </c>
      <c r="B4270" s="87" t="s">
        <v>3625</v>
      </c>
      <c r="C4270" s="12" t="s">
        <v>4</v>
      </c>
      <c r="D4270" s="93">
        <v>21.15</v>
      </c>
      <c r="E4270" s="93">
        <v>4.8899999999999997</v>
      </c>
      <c r="F4270" s="93">
        <v>16.260000000000002</v>
      </c>
      <c r="G4270" s="93">
        <v>0</v>
      </c>
      <c r="H4270" s="93">
        <v>0</v>
      </c>
      <c r="N4270" s="88"/>
      <c r="O4270" s="88"/>
      <c r="P4270" s="88"/>
    </row>
    <row r="4271" spans="1:16">
      <c r="A4271" s="94">
        <v>96744</v>
      </c>
      <c r="B4271" s="87" t="s">
        <v>3626</v>
      </c>
      <c r="C4271" s="12" t="s">
        <v>4</v>
      </c>
      <c r="D4271" s="93">
        <v>45.29</v>
      </c>
      <c r="E4271" s="93">
        <v>8.08</v>
      </c>
      <c r="F4271" s="93">
        <v>37.21</v>
      </c>
      <c r="G4271" s="93">
        <v>0</v>
      </c>
      <c r="H4271" s="93">
        <v>0</v>
      </c>
      <c r="N4271" s="88"/>
      <c r="O4271" s="88"/>
      <c r="P4271" s="88"/>
    </row>
    <row r="4272" spans="1:16">
      <c r="A4272" s="94">
        <v>96745</v>
      </c>
      <c r="B4272" s="87" t="s">
        <v>3627</v>
      </c>
      <c r="C4272" s="12" t="s">
        <v>4</v>
      </c>
      <c r="D4272" s="93">
        <v>66.73</v>
      </c>
      <c r="E4272" s="93">
        <v>8.07</v>
      </c>
      <c r="F4272" s="93">
        <v>58.66</v>
      </c>
      <c r="G4272" s="93">
        <v>0</v>
      </c>
      <c r="H4272" s="93">
        <v>0</v>
      </c>
      <c r="N4272" s="88"/>
      <c r="O4272" s="88"/>
      <c r="P4272" s="88"/>
    </row>
    <row r="4273" spans="1:16">
      <c r="A4273" s="94">
        <v>96746</v>
      </c>
      <c r="B4273" s="87" t="s">
        <v>3628</v>
      </c>
      <c r="C4273" s="12" t="s">
        <v>4</v>
      </c>
      <c r="D4273" s="93">
        <v>106.44</v>
      </c>
      <c r="E4273" s="93">
        <v>12.65</v>
      </c>
      <c r="F4273" s="93">
        <v>93.79</v>
      </c>
      <c r="G4273" s="93">
        <v>0</v>
      </c>
      <c r="H4273" s="93">
        <v>0</v>
      </c>
      <c r="N4273" s="88"/>
      <c r="O4273" s="88"/>
      <c r="P4273" s="88"/>
    </row>
    <row r="4274" spans="1:16">
      <c r="A4274" s="94">
        <v>96747</v>
      </c>
      <c r="B4274" s="87" t="s">
        <v>3629</v>
      </c>
      <c r="C4274" s="12" t="s">
        <v>4</v>
      </c>
      <c r="D4274" s="93">
        <v>6.37</v>
      </c>
      <c r="E4274" s="93">
        <v>3.79</v>
      </c>
      <c r="F4274" s="93">
        <v>2.58</v>
      </c>
      <c r="G4274" s="93">
        <v>0</v>
      </c>
      <c r="H4274" s="93">
        <v>0</v>
      </c>
      <c r="N4274" s="88"/>
      <c r="O4274" s="88"/>
      <c r="P4274" s="88"/>
    </row>
    <row r="4275" spans="1:16">
      <c r="A4275" s="94">
        <v>96748</v>
      </c>
      <c r="B4275" s="87" t="s">
        <v>3630</v>
      </c>
      <c r="C4275" s="12" t="s">
        <v>4</v>
      </c>
      <c r="D4275" s="93">
        <v>7.22</v>
      </c>
      <c r="E4275" s="93">
        <v>3.79</v>
      </c>
      <c r="F4275" s="93">
        <v>3.43</v>
      </c>
      <c r="G4275" s="93">
        <v>0</v>
      </c>
      <c r="H4275" s="93">
        <v>0</v>
      </c>
      <c r="N4275" s="88"/>
      <c r="O4275" s="88"/>
      <c r="P4275" s="88"/>
    </row>
    <row r="4276" spans="1:16">
      <c r="A4276" s="94">
        <v>96749</v>
      </c>
      <c r="B4276" s="87" t="s">
        <v>3631</v>
      </c>
      <c r="C4276" s="12" t="s">
        <v>4</v>
      </c>
      <c r="D4276" s="93">
        <v>9.84</v>
      </c>
      <c r="E4276" s="93">
        <v>4.82</v>
      </c>
      <c r="F4276" s="93">
        <v>5.0199999999999996</v>
      </c>
      <c r="G4276" s="93">
        <v>0</v>
      </c>
      <c r="H4276" s="93">
        <v>0</v>
      </c>
      <c r="N4276" s="88"/>
      <c r="O4276" s="88"/>
      <c r="P4276" s="88"/>
    </row>
    <row r="4277" spans="1:16">
      <c r="A4277" s="94">
        <v>96750</v>
      </c>
      <c r="B4277" s="87" t="s">
        <v>3632</v>
      </c>
      <c r="C4277" s="12" t="s">
        <v>4</v>
      </c>
      <c r="D4277" s="93">
        <v>13.15</v>
      </c>
      <c r="E4277" s="93">
        <v>4.82</v>
      </c>
      <c r="F4277" s="93">
        <v>8.33</v>
      </c>
      <c r="G4277" s="93">
        <v>0</v>
      </c>
      <c r="H4277" s="93">
        <v>0</v>
      </c>
      <c r="N4277" s="88"/>
      <c r="O4277" s="88"/>
      <c r="P4277" s="88"/>
    </row>
    <row r="4278" spans="1:16">
      <c r="A4278" s="94">
        <v>96751</v>
      </c>
      <c r="B4278" s="87" t="s">
        <v>3633</v>
      </c>
      <c r="C4278" s="12" t="s">
        <v>4</v>
      </c>
      <c r="D4278" s="93">
        <v>23.84</v>
      </c>
      <c r="E4278" s="93">
        <v>7.32</v>
      </c>
      <c r="F4278" s="93">
        <v>16.52</v>
      </c>
      <c r="G4278" s="93">
        <v>0</v>
      </c>
      <c r="H4278" s="93">
        <v>0</v>
      </c>
      <c r="N4278" s="88"/>
      <c r="O4278" s="88"/>
      <c r="P4278" s="88"/>
    </row>
    <row r="4279" spans="1:16">
      <c r="A4279" s="94">
        <v>96752</v>
      </c>
      <c r="B4279" s="87" t="s">
        <v>3634</v>
      </c>
      <c r="C4279" s="12" t="s">
        <v>4</v>
      </c>
      <c r="D4279" s="93">
        <v>31.09</v>
      </c>
      <c r="E4279" s="93">
        <v>7.31</v>
      </c>
      <c r="F4279" s="93">
        <v>23.78</v>
      </c>
      <c r="G4279" s="93">
        <v>0</v>
      </c>
      <c r="H4279" s="93">
        <v>0</v>
      </c>
      <c r="N4279" s="88"/>
      <c r="O4279" s="88"/>
      <c r="P4279" s="88"/>
    </row>
    <row r="4280" spans="1:16">
      <c r="A4280" s="94">
        <v>96753</v>
      </c>
      <c r="B4280" s="87" t="s">
        <v>3635</v>
      </c>
      <c r="C4280" s="12" t="s">
        <v>4</v>
      </c>
      <c r="D4280" s="93">
        <v>70.349999999999994</v>
      </c>
      <c r="E4280" s="93">
        <v>12.1</v>
      </c>
      <c r="F4280" s="93">
        <v>58.25</v>
      </c>
      <c r="G4280" s="93">
        <v>0</v>
      </c>
      <c r="H4280" s="93">
        <v>0</v>
      </c>
      <c r="N4280" s="88"/>
      <c r="O4280" s="88"/>
      <c r="P4280" s="88"/>
    </row>
    <row r="4281" spans="1:16">
      <c r="A4281" s="94">
        <v>96754</v>
      </c>
      <c r="B4281" s="87" t="s">
        <v>3636</v>
      </c>
      <c r="C4281" s="12" t="s">
        <v>4</v>
      </c>
      <c r="D4281" s="93">
        <v>99.09</v>
      </c>
      <c r="E4281" s="93">
        <v>12.09</v>
      </c>
      <c r="F4281" s="93">
        <v>87</v>
      </c>
      <c r="G4281" s="93">
        <v>0</v>
      </c>
      <c r="H4281" s="93">
        <v>0</v>
      </c>
      <c r="N4281" s="88"/>
      <c r="O4281" s="88"/>
      <c r="P4281" s="88"/>
    </row>
    <row r="4282" spans="1:16">
      <c r="A4282" s="94">
        <v>96755</v>
      </c>
      <c r="B4282" s="87" t="s">
        <v>3637</v>
      </c>
      <c r="C4282" s="12" t="s">
        <v>4</v>
      </c>
      <c r="D4282" s="93">
        <v>149.68</v>
      </c>
      <c r="E4282" s="93">
        <v>18.97</v>
      </c>
      <c r="F4282" s="93">
        <v>130.71</v>
      </c>
      <c r="G4282" s="93">
        <v>0</v>
      </c>
      <c r="H4282" s="93">
        <v>0</v>
      </c>
      <c r="N4282" s="88"/>
      <c r="O4282" s="88"/>
      <c r="P4282" s="88"/>
    </row>
    <row r="4283" spans="1:16">
      <c r="A4283" s="94">
        <v>96756</v>
      </c>
      <c r="B4283" s="87" t="s">
        <v>3638</v>
      </c>
      <c r="C4283" s="12" t="s">
        <v>4</v>
      </c>
      <c r="D4283" s="93">
        <v>11.7</v>
      </c>
      <c r="E4283" s="93">
        <v>5.03</v>
      </c>
      <c r="F4283" s="93">
        <v>6.67</v>
      </c>
      <c r="G4283" s="93">
        <v>0</v>
      </c>
      <c r="H4283" s="93">
        <v>0</v>
      </c>
      <c r="N4283" s="88"/>
      <c r="O4283" s="88"/>
      <c r="P4283" s="88"/>
    </row>
    <row r="4284" spans="1:16">
      <c r="A4284" s="94">
        <v>96757</v>
      </c>
      <c r="B4284" s="87" t="s">
        <v>3639</v>
      </c>
      <c r="C4284" s="12" t="s">
        <v>4</v>
      </c>
      <c r="D4284" s="93">
        <v>11.26</v>
      </c>
      <c r="E4284" s="93">
        <v>5.03</v>
      </c>
      <c r="F4284" s="93">
        <v>6.23</v>
      </c>
      <c r="G4284" s="93">
        <v>0</v>
      </c>
      <c r="H4284" s="93">
        <v>0</v>
      </c>
      <c r="N4284" s="88"/>
      <c r="O4284" s="88"/>
      <c r="P4284" s="88"/>
    </row>
    <row r="4285" spans="1:16">
      <c r="A4285" s="94">
        <v>96758</v>
      </c>
      <c r="B4285" s="87" t="s">
        <v>3640</v>
      </c>
      <c r="C4285" s="12" t="s">
        <v>4</v>
      </c>
      <c r="D4285" s="93">
        <v>13.25</v>
      </c>
      <c r="E4285" s="93">
        <v>6.42</v>
      </c>
      <c r="F4285" s="93">
        <v>6.83</v>
      </c>
      <c r="G4285" s="93">
        <v>0</v>
      </c>
      <c r="H4285" s="93">
        <v>0</v>
      </c>
      <c r="N4285" s="88"/>
      <c r="O4285" s="88"/>
      <c r="P4285" s="88"/>
    </row>
    <row r="4286" spans="1:16">
      <c r="A4286" s="94">
        <v>96759</v>
      </c>
      <c r="B4286" s="87" t="s">
        <v>3641</v>
      </c>
      <c r="C4286" s="12" t="s">
        <v>4</v>
      </c>
      <c r="D4286" s="93">
        <v>19.53</v>
      </c>
      <c r="E4286" s="93">
        <v>6.41</v>
      </c>
      <c r="F4286" s="93">
        <v>13.12</v>
      </c>
      <c r="G4286" s="93">
        <v>0</v>
      </c>
      <c r="H4286" s="93">
        <v>0</v>
      </c>
      <c r="N4286" s="88"/>
      <c r="O4286" s="88"/>
      <c r="P4286" s="88"/>
    </row>
    <row r="4287" spans="1:16">
      <c r="A4287" s="94">
        <v>96760</v>
      </c>
      <c r="B4287" s="87" t="s">
        <v>3642</v>
      </c>
      <c r="C4287" s="12" t="s">
        <v>4</v>
      </c>
      <c r="D4287" s="93">
        <v>27.68</v>
      </c>
      <c r="E4287" s="93">
        <v>9.7799999999999994</v>
      </c>
      <c r="F4287" s="93">
        <v>17.899999999999999</v>
      </c>
      <c r="G4287" s="93">
        <v>0</v>
      </c>
      <c r="H4287" s="93">
        <v>0</v>
      </c>
      <c r="N4287" s="88"/>
      <c r="O4287" s="88"/>
      <c r="P4287" s="88"/>
    </row>
    <row r="4288" spans="1:16">
      <c r="A4288" s="94">
        <v>96761</v>
      </c>
      <c r="B4288" s="87" t="s">
        <v>3643</v>
      </c>
      <c r="C4288" s="12" t="s">
        <v>4</v>
      </c>
      <c r="D4288" s="93">
        <v>39.270000000000003</v>
      </c>
      <c r="E4288" s="93">
        <v>9.77</v>
      </c>
      <c r="F4288" s="93">
        <v>29.5</v>
      </c>
      <c r="G4288" s="93">
        <v>0</v>
      </c>
      <c r="H4288" s="93">
        <v>0</v>
      </c>
      <c r="N4288" s="88"/>
      <c r="O4288" s="88"/>
      <c r="P4288" s="88"/>
    </row>
    <row r="4289" spans="1:16">
      <c r="A4289" s="94">
        <v>96762</v>
      </c>
      <c r="B4289" s="87" t="s">
        <v>3644</v>
      </c>
      <c r="C4289" s="12" t="s">
        <v>4</v>
      </c>
      <c r="D4289" s="93">
        <v>76.55</v>
      </c>
      <c r="E4289" s="93">
        <v>16.12</v>
      </c>
      <c r="F4289" s="93">
        <v>60.43</v>
      </c>
      <c r="G4289" s="93">
        <v>0</v>
      </c>
      <c r="H4289" s="93">
        <v>0</v>
      </c>
      <c r="N4289" s="88"/>
      <c r="O4289" s="88"/>
      <c r="P4289" s="88"/>
    </row>
    <row r="4290" spans="1:16">
      <c r="A4290" s="94">
        <v>96763</v>
      </c>
      <c r="B4290" s="87" t="s">
        <v>3645</v>
      </c>
      <c r="C4290" s="12" t="s">
        <v>4</v>
      </c>
      <c r="D4290" s="93">
        <v>105.89</v>
      </c>
      <c r="E4290" s="93">
        <v>16.11</v>
      </c>
      <c r="F4290" s="93">
        <v>89.78</v>
      </c>
      <c r="G4290" s="93">
        <v>0</v>
      </c>
      <c r="H4290" s="93">
        <v>0</v>
      </c>
      <c r="N4290" s="88"/>
      <c r="O4290" s="88"/>
      <c r="P4290" s="88"/>
    </row>
    <row r="4291" spans="1:16">
      <c r="A4291" s="94">
        <v>96764</v>
      </c>
      <c r="B4291" s="87" t="s">
        <v>3646</v>
      </c>
      <c r="C4291" s="12" t="s">
        <v>4</v>
      </c>
      <c r="D4291" s="93">
        <v>168.84</v>
      </c>
      <c r="E4291" s="93">
        <v>25.32</v>
      </c>
      <c r="F4291" s="93">
        <v>143.52000000000001</v>
      </c>
      <c r="G4291" s="93">
        <v>0</v>
      </c>
      <c r="H4291" s="93">
        <v>0</v>
      </c>
      <c r="N4291" s="88"/>
      <c r="O4291" s="88"/>
      <c r="P4291" s="88"/>
    </row>
    <row r="4292" spans="1:16">
      <c r="A4292" s="94">
        <v>96802</v>
      </c>
      <c r="B4292" s="87" t="s">
        <v>3647</v>
      </c>
      <c r="C4292" s="12" t="s">
        <v>4</v>
      </c>
      <c r="D4292" s="93">
        <v>249.14</v>
      </c>
      <c r="E4292" s="93">
        <v>8.4600000000000009</v>
      </c>
      <c r="F4292" s="93">
        <v>240.68</v>
      </c>
      <c r="G4292" s="93">
        <v>0</v>
      </c>
      <c r="H4292" s="93">
        <v>0</v>
      </c>
      <c r="N4292" s="88"/>
      <c r="O4292" s="88"/>
      <c r="P4292" s="88"/>
    </row>
    <row r="4293" spans="1:16">
      <c r="A4293" s="94">
        <v>96803</v>
      </c>
      <c r="B4293" s="87" t="s">
        <v>3648</v>
      </c>
      <c r="C4293" s="12" t="s">
        <v>4</v>
      </c>
      <c r="D4293" s="93">
        <v>127.54</v>
      </c>
      <c r="E4293" s="93">
        <v>6.88</v>
      </c>
      <c r="F4293" s="93">
        <v>120.66</v>
      </c>
      <c r="G4293" s="93">
        <v>0</v>
      </c>
      <c r="H4293" s="93">
        <v>0</v>
      </c>
      <c r="N4293" s="88"/>
      <c r="O4293" s="88"/>
      <c r="P4293" s="88"/>
    </row>
    <row r="4294" spans="1:16">
      <c r="A4294" s="94">
        <v>96804</v>
      </c>
      <c r="B4294" s="87" t="s">
        <v>3649</v>
      </c>
      <c r="C4294" s="12" t="s">
        <v>4</v>
      </c>
      <c r="D4294" s="93">
        <v>227.19</v>
      </c>
      <c r="E4294" s="93">
        <v>19.36</v>
      </c>
      <c r="F4294" s="93">
        <v>207.83</v>
      </c>
      <c r="G4294" s="93">
        <v>0</v>
      </c>
      <c r="H4294" s="93">
        <v>0</v>
      </c>
      <c r="N4294" s="88"/>
      <c r="O4294" s="88"/>
      <c r="P4294" s="88"/>
    </row>
    <row r="4295" spans="1:16">
      <c r="A4295" s="94">
        <v>96805</v>
      </c>
      <c r="B4295" s="87" t="s">
        <v>3650</v>
      </c>
      <c r="C4295" s="12" t="s">
        <v>4</v>
      </c>
      <c r="D4295" s="93">
        <v>256.49</v>
      </c>
      <c r="E4295" s="93">
        <v>13.65</v>
      </c>
      <c r="F4295" s="93">
        <v>242.84</v>
      </c>
      <c r="G4295" s="93">
        <v>0</v>
      </c>
      <c r="H4295" s="93">
        <v>0</v>
      </c>
      <c r="N4295" s="88"/>
      <c r="O4295" s="88"/>
      <c r="P4295" s="88"/>
    </row>
    <row r="4296" spans="1:16">
      <c r="A4296" s="94">
        <v>96806</v>
      </c>
      <c r="B4296" s="87" t="s">
        <v>3651</v>
      </c>
      <c r="C4296" s="12" t="s">
        <v>4</v>
      </c>
      <c r="D4296" s="93">
        <v>123.62</v>
      </c>
      <c r="E4296" s="93">
        <v>12.08</v>
      </c>
      <c r="F4296" s="93">
        <v>111.54</v>
      </c>
      <c r="G4296" s="93">
        <v>0</v>
      </c>
      <c r="H4296" s="93">
        <v>0</v>
      </c>
      <c r="N4296" s="88"/>
      <c r="O4296" s="88"/>
      <c r="P4296" s="88"/>
    </row>
    <row r="4297" spans="1:16">
      <c r="A4297" s="94">
        <v>96807</v>
      </c>
      <c r="B4297" s="87" t="s">
        <v>3652</v>
      </c>
      <c r="C4297" s="12" t="s">
        <v>4</v>
      </c>
      <c r="D4297" s="93">
        <v>205.45</v>
      </c>
      <c r="E4297" s="93">
        <v>24.55</v>
      </c>
      <c r="F4297" s="93">
        <v>180.9</v>
      </c>
      <c r="G4297" s="93">
        <v>0</v>
      </c>
      <c r="H4297" s="93">
        <v>0</v>
      </c>
      <c r="N4297" s="88"/>
      <c r="O4297" s="88"/>
      <c r="P4297" s="88"/>
    </row>
    <row r="4298" spans="1:16">
      <c r="A4298" s="94">
        <v>96808</v>
      </c>
      <c r="B4298" s="87" t="s">
        <v>3653</v>
      </c>
      <c r="C4298" s="12" t="s">
        <v>4</v>
      </c>
      <c r="D4298" s="93">
        <v>11.31</v>
      </c>
      <c r="E4298" s="93">
        <v>3.16</v>
      </c>
      <c r="F4298" s="93">
        <v>8.15</v>
      </c>
      <c r="G4298" s="93">
        <v>0</v>
      </c>
      <c r="H4298" s="93">
        <v>0</v>
      </c>
      <c r="N4298" s="88"/>
      <c r="O4298" s="88"/>
      <c r="P4298" s="88"/>
    </row>
    <row r="4299" spans="1:16">
      <c r="A4299" s="94">
        <v>96809</v>
      </c>
      <c r="B4299" s="87" t="s">
        <v>3654</v>
      </c>
      <c r="C4299" s="12" t="s">
        <v>4</v>
      </c>
      <c r="D4299" s="93">
        <v>13</v>
      </c>
      <c r="E4299" s="93">
        <v>3.16</v>
      </c>
      <c r="F4299" s="93">
        <v>9.84</v>
      </c>
      <c r="G4299" s="93">
        <v>0</v>
      </c>
      <c r="H4299" s="93">
        <v>0</v>
      </c>
      <c r="N4299" s="88"/>
      <c r="O4299" s="88"/>
      <c r="P4299" s="88"/>
    </row>
    <row r="4300" spans="1:16">
      <c r="A4300" s="94">
        <v>96810</v>
      </c>
      <c r="B4300" s="87" t="s">
        <v>3655</v>
      </c>
      <c r="C4300" s="12" t="s">
        <v>4</v>
      </c>
      <c r="D4300" s="93">
        <v>14.14</v>
      </c>
      <c r="E4300" s="93">
        <v>3.16</v>
      </c>
      <c r="F4300" s="93">
        <v>10.98</v>
      </c>
      <c r="G4300" s="93">
        <v>0</v>
      </c>
      <c r="H4300" s="93">
        <v>0</v>
      </c>
      <c r="N4300" s="88"/>
      <c r="O4300" s="88"/>
      <c r="P4300" s="88"/>
    </row>
    <row r="4301" spans="1:16">
      <c r="A4301" s="94">
        <v>96811</v>
      </c>
      <c r="B4301" s="87" t="s">
        <v>3656</v>
      </c>
      <c r="C4301" s="12" t="s">
        <v>4</v>
      </c>
      <c r="D4301" s="93">
        <v>15.16</v>
      </c>
      <c r="E4301" s="93">
        <v>3.72</v>
      </c>
      <c r="F4301" s="93">
        <v>11.44</v>
      </c>
      <c r="G4301" s="93">
        <v>0</v>
      </c>
      <c r="H4301" s="93">
        <v>0</v>
      </c>
      <c r="N4301" s="88"/>
      <c r="O4301" s="88"/>
      <c r="P4301" s="88"/>
    </row>
    <row r="4302" spans="1:16">
      <c r="A4302" s="94">
        <v>96812</v>
      </c>
      <c r="B4302" s="87" t="s">
        <v>3657</v>
      </c>
      <c r="C4302" s="12" t="s">
        <v>4</v>
      </c>
      <c r="D4302" s="93">
        <v>14.55</v>
      </c>
      <c r="E4302" s="93">
        <v>3.73</v>
      </c>
      <c r="F4302" s="93">
        <v>10.82</v>
      </c>
      <c r="G4302" s="93">
        <v>0</v>
      </c>
      <c r="H4302" s="93">
        <v>0</v>
      </c>
      <c r="N4302" s="88"/>
      <c r="O4302" s="88"/>
      <c r="P4302" s="88"/>
    </row>
    <row r="4303" spans="1:16">
      <c r="A4303" s="94">
        <v>96813</v>
      </c>
      <c r="B4303" s="87" t="s">
        <v>3658</v>
      </c>
      <c r="C4303" s="12" t="s">
        <v>4</v>
      </c>
      <c r="D4303" s="93">
        <v>16.82</v>
      </c>
      <c r="E4303" s="93">
        <v>3.72</v>
      </c>
      <c r="F4303" s="93">
        <v>13.1</v>
      </c>
      <c r="G4303" s="93">
        <v>0</v>
      </c>
      <c r="H4303" s="93">
        <v>0</v>
      </c>
      <c r="N4303" s="88"/>
      <c r="O4303" s="88"/>
      <c r="P4303" s="88"/>
    </row>
    <row r="4304" spans="1:16">
      <c r="A4304" s="94">
        <v>96814</v>
      </c>
      <c r="B4304" s="87" t="s">
        <v>3659</v>
      </c>
      <c r="C4304" s="12" t="s">
        <v>4</v>
      </c>
      <c r="D4304" s="93">
        <v>14.17</v>
      </c>
      <c r="E4304" s="93">
        <v>3.73</v>
      </c>
      <c r="F4304" s="93">
        <v>10.44</v>
      </c>
      <c r="G4304" s="93">
        <v>0</v>
      </c>
      <c r="H4304" s="93">
        <v>0</v>
      </c>
      <c r="N4304" s="88"/>
      <c r="O4304" s="88"/>
      <c r="P4304" s="88"/>
    </row>
    <row r="4305" spans="1:16">
      <c r="A4305" s="94">
        <v>96815</v>
      </c>
      <c r="B4305" s="87" t="s">
        <v>3660</v>
      </c>
      <c r="C4305" s="12" t="s">
        <v>4</v>
      </c>
      <c r="D4305" s="93">
        <v>24.06</v>
      </c>
      <c r="E4305" s="93">
        <v>4.47</v>
      </c>
      <c r="F4305" s="93">
        <v>19.59</v>
      </c>
      <c r="G4305" s="93">
        <v>0</v>
      </c>
      <c r="H4305" s="93">
        <v>0</v>
      </c>
      <c r="N4305" s="88"/>
      <c r="O4305" s="88"/>
      <c r="P4305" s="88"/>
    </row>
    <row r="4306" spans="1:16">
      <c r="A4306" s="94">
        <v>96816</v>
      </c>
      <c r="B4306" s="87" t="s">
        <v>3661</v>
      </c>
      <c r="C4306" s="12" t="s">
        <v>4</v>
      </c>
      <c r="D4306" s="93">
        <v>19.739999999999998</v>
      </c>
      <c r="E4306" s="93">
        <v>4.4800000000000004</v>
      </c>
      <c r="F4306" s="93">
        <v>15.26</v>
      </c>
      <c r="G4306" s="93">
        <v>0</v>
      </c>
      <c r="H4306" s="93">
        <v>0</v>
      </c>
      <c r="N4306" s="88"/>
      <c r="O4306" s="88"/>
      <c r="P4306" s="88"/>
    </row>
    <row r="4307" spans="1:16">
      <c r="A4307" s="94">
        <v>96817</v>
      </c>
      <c r="B4307" s="87" t="s">
        <v>3662</v>
      </c>
      <c r="C4307" s="12" t="s">
        <v>4</v>
      </c>
      <c r="D4307" s="93">
        <v>22.49</v>
      </c>
      <c r="E4307" s="93">
        <v>4.47</v>
      </c>
      <c r="F4307" s="93">
        <v>18.02</v>
      </c>
      <c r="G4307" s="93">
        <v>0</v>
      </c>
      <c r="H4307" s="93">
        <v>0</v>
      </c>
      <c r="N4307" s="88"/>
      <c r="O4307" s="88"/>
      <c r="P4307" s="88"/>
    </row>
    <row r="4308" spans="1:16">
      <c r="A4308" s="94">
        <v>96818</v>
      </c>
      <c r="B4308" s="87" t="s">
        <v>3663</v>
      </c>
      <c r="C4308" s="12" t="s">
        <v>4</v>
      </c>
      <c r="D4308" s="93">
        <v>20.92</v>
      </c>
      <c r="E4308" s="93">
        <v>4.47</v>
      </c>
      <c r="F4308" s="93">
        <v>16.45</v>
      </c>
      <c r="G4308" s="93">
        <v>0</v>
      </c>
      <c r="H4308" s="93">
        <v>0</v>
      </c>
      <c r="N4308" s="88"/>
      <c r="O4308" s="88"/>
      <c r="P4308" s="88"/>
    </row>
    <row r="4309" spans="1:16">
      <c r="A4309" s="94">
        <v>96819</v>
      </c>
      <c r="B4309" s="87" t="s">
        <v>3664</v>
      </c>
      <c r="C4309" s="12" t="s">
        <v>4</v>
      </c>
      <c r="D4309" s="93">
        <v>20.92</v>
      </c>
      <c r="E4309" s="93">
        <v>4.47</v>
      </c>
      <c r="F4309" s="93">
        <v>16.45</v>
      </c>
      <c r="G4309" s="93">
        <v>0</v>
      </c>
      <c r="H4309" s="93">
        <v>0</v>
      </c>
      <c r="N4309" s="88"/>
      <c r="O4309" s="88"/>
      <c r="P4309" s="88"/>
    </row>
    <row r="4310" spans="1:16">
      <c r="A4310" s="94">
        <v>96820</v>
      </c>
      <c r="B4310" s="87" t="s">
        <v>3665</v>
      </c>
      <c r="C4310" s="12" t="s">
        <v>4</v>
      </c>
      <c r="D4310" s="93">
        <v>38.270000000000003</v>
      </c>
      <c r="E4310" s="93">
        <v>5.48</v>
      </c>
      <c r="F4310" s="93">
        <v>32.79</v>
      </c>
      <c r="G4310" s="93">
        <v>0</v>
      </c>
      <c r="H4310" s="93">
        <v>0</v>
      </c>
      <c r="N4310" s="88"/>
      <c r="O4310" s="88"/>
      <c r="P4310" s="88"/>
    </row>
    <row r="4311" spans="1:16">
      <c r="A4311" s="94">
        <v>96821</v>
      </c>
      <c r="B4311" s="87" t="s">
        <v>3666</v>
      </c>
      <c r="C4311" s="12" t="s">
        <v>4</v>
      </c>
      <c r="D4311" s="93">
        <v>32.54</v>
      </c>
      <c r="E4311" s="93">
        <v>5.48</v>
      </c>
      <c r="F4311" s="93">
        <v>27.06</v>
      </c>
      <c r="G4311" s="93">
        <v>0</v>
      </c>
      <c r="H4311" s="93">
        <v>0</v>
      </c>
      <c r="N4311" s="88"/>
      <c r="O4311" s="88"/>
      <c r="P4311" s="88"/>
    </row>
    <row r="4312" spans="1:16">
      <c r="A4312" s="94">
        <v>96822</v>
      </c>
      <c r="B4312" s="87" t="s">
        <v>3667</v>
      </c>
      <c r="C4312" s="12" t="s">
        <v>4</v>
      </c>
      <c r="D4312" s="93">
        <v>32.979999999999997</v>
      </c>
      <c r="E4312" s="93">
        <v>5.48</v>
      </c>
      <c r="F4312" s="93">
        <v>27.5</v>
      </c>
      <c r="G4312" s="93">
        <v>0</v>
      </c>
      <c r="H4312" s="93">
        <v>0</v>
      </c>
      <c r="N4312" s="88"/>
      <c r="O4312" s="88"/>
      <c r="P4312" s="88"/>
    </row>
    <row r="4313" spans="1:16">
      <c r="A4313" s="94">
        <v>96823</v>
      </c>
      <c r="B4313" s="87" t="s">
        <v>3668</v>
      </c>
      <c r="C4313" s="12" t="s">
        <v>4</v>
      </c>
      <c r="D4313" s="93">
        <v>13.58</v>
      </c>
      <c r="E4313" s="93">
        <v>2.39</v>
      </c>
      <c r="F4313" s="93">
        <v>11.19</v>
      </c>
      <c r="G4313" s="93">
        <v>0</v>
      </c>
      <c r="H4313" s="93">
        <v>0</v>
      </c>
      <c r="N4313" s="88"/>
      <c r="O4313" s="88"/>
      <c r="P4313" s="88"/>
    </row>
    <row r="4314" spans="1:16">
      <c r="A4314" s="94">
        <v>96824</v>
      </c>
      <c r="B4314" s="87" t="s">
        <v>3669</v>
      </c>
      <c r="C4314" s="12" t="s">
        <v>4</v>
      </c>
      <c r="D4314" s="93">
        <v>15.35</v>
      </c>
      <c r="E4314" s="93">
        <v>2.39</v>
      </c>
      <c r="F4314" s="93">
        <v>12.96</v>
      </c>
      <c r="G4314" s="93">
        <v>0</v>
      </c>
      <c r="H4314" s="93">
        <v>0</v>
      </c>
      <c r="N4314" s="88"/>
      <c r="O4314" s="88"/>
      <c r="P4314" s="88"/>
    </row>
    <row r="4315" spans="1:16">
      <c r="A4315" s="94">
        <v>96825</v>
      </c>
      <c r="B4315" s="87" t="s">
        <v>3670</v>
      </c>
      <c r="C4315" s="12" t="s">
        <v>4</v>
      </c>
      <c r="D4315" s="93">
        <v>20.86</v>
      </c>
      <c r="E4315" s="93">
        <v>2.39</v>
      </c>
      <c r="F4315" s="93">
        <v>18.47</v>
      </c>
      <c r="G4315" s="93">
        <v>0</v>
      </c>
      <c r="H4315" s="93">
        <v>0</v>
      </c>
      <c r="N4315" s="88"/>
      <c r="O4315" s="88"/>
      <c r="P4315" s="88"/>
    </row>
    <row r="4316" spans="1:16">
      <c r="A4316" s="94">
        <v>96826</v>
      </c>
      <c r="B4316" s="87" t="s">
        <v>3671</v>
      </c>
      <c r="C4316" s="12" t="s">
        <v>4</v>
      </c>
      <c r="D4316" s="93">
        <v>18.88</v>
      </c>
      <c r="E4316" s="93">
        <v>2.85</v>
      </c>
      <c r="F4316" s="93">
        <v>16.03</v>
      </c>
      <c r="G4316" s="93">
        <v>0</v>
      </c>
      <c r="H4316" s="93">
        <v>0</v>
      </c>
      <c r="N4316" s="88"/>
      <c r="O4316" s="88"/>
      <c r="P4316" s="88"/>
    </row>
    <row r="4317" spans="1:16">
      <c r="A4317" s="94">
        <v>96827</v>
      </c>
      <c r="B4317" s="87" t="s">
        <v>3672</v>
      </c>
      <c r="C4317" s="12" t="s">
        <v>4</v>
      </c>
      <c r="D4317" s="93">
        <v>19.600000000000001</v>
      </c>
      <c r="E4317" s="93">
        <v>2.85</v>
      </c>
      <c r="F4317" s="93">
        <v>16.75</v>
      </c>
      <c r="G4317" s="93">
        <v>0</v>
      </c>
      <c r="H4317" s="93">
        <v>0</v>
      </c>
      <c r="N4317" s="88"/>
      <c r="O4317" s="88"/>
      <c r="P4317" s="88"/>
    </row>
    <row r="4318" spans="1:16">
      <c r="A4318" s="94">
        <v>96828</v>
      </c>
      <c r="B4318" s="87" t="s">
        <v>3673</v>
      </c>
      <c r="C4318" s="12" t="s">
        <v>4</v>
      </c>
      <c r="D4318" s="93">
        <v>24.66</v>
      </c>
      <c r="E4318" s="93">
        <v>2.84</v>
      </c>
      <c r="F4318" s="93">
        <v>21.82</v>
      </c>
      <c r="G4318" s="93">
        <v>0</v>
      </c>
      <c r="H4318" s="93">
        <v>0</v>
      </c>
      <c r="N4318" s="88"/>
      <c r="O4318" s="88"/>
      <c r="P4318" s="88"/>
    </row>
    <row r="4319" spans="1:16">
      <c r="A4319" s="94">
        <v>96829</v>
      </c>
      <c r="B4319" s="87" t="s">
        <v>3674</v>
      </c>
      <c r="C4319" s="12" t="s">
        <v>4</v>
      </c>
      <c r="D4319" s="93">
        <v>18.850000000000001</v>
      </c>
      <c r="E4319" s="93">
        <v>2.85</v>
      </c>
      <c r="F4319" s="93">
        <v>16</v>
      </c>
      <c r="G4319" s="93">
        <v>0</v>
      </c>
      <c r="H4319" s="93">
        <v>0</v>
      </c>
      <c r="N4319" s="88"/>
      <c r="O4319" s="88"/>
      <c r="P4319" s="88"/>
    </row>
    <row r="4320" spans="1:16">
      <c r="A4320" s="94">
        <v>96830</v>
      </c>
      <c r="B4320" s="87" t="s">
        <v>3675</v>
      </c>
      <c r="C4320" s="12" t="s">
        <v>4</v>
      </c>
      <c r="D4320" s="93">
        <v>27.44</v>
      </c>
      <c r="E4320" s="93">
        <v>3.4</v>
      </c>
      <c r="F4320" s="93">
        <v>24.04</v>
      </c>
      <c r="G4320" s="93">
        <v>0</v>
      </c>
      <c r="H4320" s="93">
        <v>0</v>
      </c>
      <c r="N4320" s="88"/>
      <c r="O4320" s="88"/>
      <c r="P4320" s="88"/>
    </row>
    <row r="4321" spans="1:16">
      <c r="A4321" s="94">
        <v>96831</v>
      </c>
      <c r="B4321" s="87" t="s">
        <v>3676</v>
      </c>
      <c r="C4321" s="12" t="s">
        <v>4</v>
      </c>
      <c r="D4321" s="93">
        <v>22.33</v>
      </c>
      <c r="E4321" s="93">
        <v>3.41</v>
      </c>
      <c r="F4321" s="93">
        <v>18.920000000000002</v>
      </c>
      <c r="G4321" s="93">
        <v>0</v>
      </c>
      <c r="H4321" s="93">
        <v>0</v>
      </c>
      <c r="N4321" s="88"/>
      <c r="O4321" s="88"/>
      <c r="P4321" s="88"/>
    </row>
    <row r="4322" spans="1:16">
      <c r="A4322" s="94">
        <v>96832</v>
      </c>
      <c r="B4322" s="87" t="s">
        <v>3677</v>
      </c>
      <c r="C4322" s="12" t="s">
        <v>4</v>
      </c>
      <c r="D4322" s="93">
        <v>25.85</v>
      </c>
      <c r="E4322" s="93">
        <v>3.41</v>
      </c>
      <c r="F4322" s="93">
        <v>22.44</v>
      </c>
      <c r="G4322" s="93">
        <v>0</v>
      </c>
      <c r="H4322" s="93">
        <v>0</v>
      </c>
      <c r="N4322" s="88"/>
      <c r="O4322" s="88"/>
      <c r="P4322" s="88"/>
    </row>
    <row r="4323" spans="1:16">
      <c r="A4323" s="94">
        <v>96833</v>
      </c>
      <c r="B4323" s="87" t="s">
        <v>3678</v>
      </c>
      <c r="C4323" s="12" t="s">
        <v>4</v>
      </c>
      <c r="D4323" s="93">
        <v>24.19</v>
      </c>
      <c r="E4323" s="93">
        <v>3.41</v>
      </c>
      <c r="F4323" s="93">
        <v>20.78</v>
      </c>
      <c r="G4323" s="93">
        <v>0</v>
      </c>
      <c r="H4323" s="93">
        <v>0</v>
      </c>
      <c r="N4323" s="88"/>
      <c r="O4323" s="88"/>
      <c r="P4323" s="88"/>
    </row>
    <row r="4324" spans="1:16">
      <c r="A4324" s="94">
        <v>96834</v>
      </c>
      <c r="B4324" s="87" t="s">
        <v>3679</v>
      </c>
      <c r="C4324" s="12" t="s">
        <v>4</v>
      </c>
      <c r="D4324" s="93">
        <v>40.08</v>
      </c>
      <c r="E4324" s="93">
        <v>4.17</v>
      </c>
      <c r="F4324" s="93">
        <v>35.909999999999997</v>
      </c>
      <c r="G4324" s="93">
        <v>0</v>
      </c>
      <c r="H4324" s="93">
        <v>0</v>
      </c>
      <c r="N4324" s="88"/>
      <c r="O4324" s="88"/>
      <c r="P4324" s="88"/>
    </row>
    <row r="4325" spans="1:16">
      <c r="A4325" s="94">
        <v>96835</v>
      </c>
      <c r="B4325" s="87" t="s">
        <v>3680</v>
      </c>
      <c r="C4325" s="12" t="s">
        <v>4</v>
      </c>
      <c r="D4325" s="93">
        <v>34.61</v>
      </c>
      <c r="E4325" s="93">
        <v>4.18</v>
      </c>
      <c r="F4325" s="93">
        <v>30.43</v>
      </c>
      <c r="G4325" s="93">
        <v>0</v>
      </c>
      <c r="H4325" s="93">
        <v>0</v>
      </c>
      <c r="N4325" s="88"/>
      <c r="O4325" s="88"/>
      <c r="P4325" s="88"/>
    </row>
    <row r="4326" spans="1:16">
      <c r="A4326" s="94">
        <v>96836</v>
      </c>
      <c r="B4326" s="87" t="s">
        <v>3681</v>
      </c>
      <c r="C4326" s="12" t="s">
        <v>4</v>
      </c>
      <c r="D4326" s="93">
        <v>36.880000000000003</v>
      </c>
      <c r="E4326" s="93">
        <v>4.18</v>
      </c>
      <c r="F4326" s="93">
        <v>32.700000000000003</v>
      </c>
      <c r="G4326" s="93">
        <v>0</v>
      </c>
      <c r="H4326" s="93">
        <v>0</v>
      </c>
      <c r="N4326" s="88"/>
      <c r="O4326" s="88"/>
      <c r="P4326" s="88"/>
    </row>
    <row r="4327" spans="1:16">
      <c r="A4327" s="94">
        <v>96837</v>
      </c>
      <c r="B4327" s="87" t="s">
        <v>3682</v>
      </c>
      <c r="C4327" s="12" t="s">
        <v>4</v>
      </c>
      <c r="D4327" s="93">
        <v>19.809999999999999</v>
      </c>
      <c r="E4327" s="93">
        <v>4.72</v>
      </c>
      <c r="F4327" s="93">
        <v>15.09</v>
      </c>
      <c r="G4327" s="93">
        <v>0</v>
      </c>
      <c r="H4327" s="93">
        <v>0</v>
      </c>
      <c r="N4327" s="88"/>
      <c r="O4327" s="88"/>
      <c r="P4327" s="88"/>
    </row>
    <row r="4328" spans="1:16">
      <c r="A4328" s="94">
        <v>96838</v>
      </c>
      <c r="B4328" s="87" t="s">
        <v>3683</v>
      </c>
      <c r="C4328" s="12" t="s">
        <v>4</v>
      </c>
      <c r="D4328" s="93">
        <v>18.18</v>
      </c>
      <c r="E4328" s="93">
        <v>4.72</v>
      </c>
      <c r="F4328" s="93">
        <v>13.46</v>
      </c>
      <c r="G4328" s="93">
        <v>0</v>
      </c>
      <c r="H4328" s="93">
        <v>0</v>
      </c>
      <c r="N4328" s="88"/>
      <c r="O4328" s="88"/>
      <c r="P4328" s="88"/>
    </row>
    <row r="4329" spans="1:16">
      <c r="A4329" s="94">
        <v>96839</v>
      </c>
      <c r="B4329" s="87" t="s">
        <v>3684</v>
      </c>
      <c r="C4329" s="12" t="s">
        <v>4</v>
      </c>
      <c r="D4329" s="93">
        <v>17.89</v>
      </c>
      <c r="E4329" s="93">
        <v>4.72</v>
      </c>
      <c r="F4329" s="93">
        <v>13.17</v>
      </c>
      <c r="G4329" s="93">
        <v>0</v>
      </c>
      <c r="H4329" s="93">
        <v>0</v>
      </c>
      <c r="N4329" s="88"/>
      <c r="O4329" s="88"/>
      <c r="P4329" s="88"/>
    </row>
    <row r="4330" spans="1:16">
      <c r="A4330" s="94">
        <v>96840</v>
      </c>
      <c r="B4330" s="87" t="s">
        <v>3685</v>
      </c>
      <c r="C4330" s="12" t="s">
        <v>4</v>
      </c>
      <c r="D4330" s="93">
        <v>23.15</v>
      </c>
      <c r="E4330" s="93">
        <v>5.61</v>
      </c>
      <c r="F4330" s="93">
        <v>17.54</v>
      </c>
      <c r="G4330" s="93">
        <v>0</v>
      </c>
      <c r="H4330" s="93">
        <v>0</v>
      </c>
      <c r="N4330" s="88"/>
      <c r="O4330" s="88"/>
      <c r="P4330" s="88"/>
    </row>
    <row r="4331" spans="1:16">
      <c r="A4331" s="94">
        <v>96841</v>
      </c>
      <c r="B4331" s="87" t="s">
        <v>3686</v>
      </c>
      <c r="C4331" s="12" t="s">
        <v>4</v>
      </c>
      <c r="D4331" s="93">
        <v>20.21</v>
      </c>
      <c r="E4331" s="93">
        <v>5.61</v>
      </c>
      <c r="F4331" s="93">
        <v>14.6</v>
      </c>
      <c r="G4331" s="93">
        <v>0</v>
      </c>
      <c r="H4331" s="93">
        <v>0</v>
      </c>
      <c r="N4331" s="88"/>
      <c r="O4331" s="88"/>
      <c r="P4331" s="88"/>
    </row>
    <row r="4332" spans="1:16">
      <c r="A4332" s="94">
        <v>96842</v>
      </c>
      <c r="B4332" s="87" t="s">
        <v>3687</v>
      </c>
      <c r="C4332" s="12" t="s">
        <v>4</v>
      </c>
      <c r="D4332" s="93">
        <v>25.83</v>
      </c>
      <c r="E4332" s="93">
        <v>5.61</v>
      </c>
      <c r="F4332" s="93">
        <v>20.22</v>
      </c>
      <c r="G4332" s="93">
        <v>0</v>
      </c>
      <c r="H4332" s="93">
        <v>0</v>
      </c>
      <c r="N4332" s="88"/>
      <c r="O4332" s="88"/>
      <c r="P4332" s="88"/>
    </row>
    <row r="4333" spans="1:16">
      <c r="A4333" s="94">
        <v>96843</v>
      </c>
      <c r="B4333" s="87" t="s">
        <v>3688</v>
      </c>
      <c r="C4333" s="12" t="s">
        <v>4</v>
      </c>
      <c r="D4333" s="93">
        <v>24.83</v>
      </c>
      <c r="E4333" s="93">
        <v>5.61</v>
      </c>
      <c r="F4333" s="93">
        <v>19.22</v>
      </c>
      <c r="G4333" s="93">
        <v>0</v>
      </c>
      <c r="H4333" s="93">
        <v>0</v>
      </c>
      <c r="N4333" s="88"/>
      <c r="O4333" s="88"/>
      <c r="P4333" s="88"/>
    </row>
    <row r="4334" spans="1:16">
      <c r="A4334" s="94">
        <v>96844</v>
      </c>
      <c r="B4334" s="87" t="s">
        <v>3689</v>
      </c>
      <c r="C4334" s="12" t="s">
        <v>4</v>
      </c>
      <c r="D4334" s="93">
        <v>34</v>
      </c>
      <c r="E4334" s="93">
        <v>5.61</v>
      </c>
      <c r="F4334" s="93">
        <v>28.39</v>
      </c>
      <c r="G4334" s="93">
        <v>0</v>
      </c>
      <c r="H4334" s="93">
        <v>0</v>
      </c>
      <c r="N4334" s="88"/>
      <c r="O4334" s="88"/>
      <c r="P4334" s="88"/>
    </row>
    <row r="4335" spans="1:16">
      <c r="A4335" s="94">
        <v>96845</v>
      </c>
      <c r="B4335" s="87" t="s">
        <v>3690</v>
      </c>
      <c r="C4335" s="12" t="s">
        <v>4</v>
      </c>
      <c r="D4335" s="93">
        <v>36.36</v>
      </c>
      <c r="E4335" s="93">
        <v>6.7</v>
      </c>
      <c r="F4335" s="93">
        <v>29.66</v>
      </c>
      <c r="G4335" s="93">
        <v>0</v>
      </c>
      <c r="H4335" s="93">
        <v>0</v>
      </c>
      <c r="N4335" s="88"/>
      <c r="O4335" s="88"/>
      <c r="P4335" s="88"/>
    </row>
    <row r="4336" spans="1:16">
      <c r="A4336" s="94">
        <v>96846</v>
      </c>
      <c r="B4336" s="87" t="s">
        <v>3691</v>
      </c>
      <c r="C4336" s="12" t="s">
        <v>4</v>
      </c>
      <c r="D4336" s="93">
        <v>28.52</v>
      </c>
      <c r="E4336" s="93">
        <v>6.71</v>
      </c>
      <c r="F4336" s="93">
        <v>21.81</v>
      </c>
      <c r="G4336" s="93">
        <v>0</v>
      </c>
      <c r="H4336" s="93">
        <v>0</v>
      </c>
      <c r="N4336" s="88"/>
      <c r="O4336" s="88"/>
      <c r="P4336" s="88"/>
    </row>
    <row r="4337" spans="1:16">
      <c r="A4337" s="94">
        <v>96847</v>
      </c>
      <c r="B4337" s="87" t="s">
        <v>3692</v>
      </c>
      <c r="C4337" s="12" t="s">
        <v>4</v>
      </c>
      <c r="D4337" s="93">
        <v>31.39</v>
      </c>
      <c r="E4337" s="93">
        <v>6.7</v>
      </c>
      <c r="F4337" s="93">
        <v>24.69</v>
      </c>
      <c r="G4337" s="93">
        <v>0</v>
      </c>
      <c r="H4337" s="93">
        <v>0</v>
      </c>
      <c r="N4337" s="88"/>
      <c r="O4337" s="88"/>
      <c r="P4337" s="88"/>
    </row>
    <row r="4338" spans="1:16">
      <c r="A4338" s="94">
        <v>96848</v>
      </c>
      <c r="B4338" s="87" t="s">
        <v>3693</v>
      </c>
      <c r="C4338" s="12" t="s">
        <v>4</v>
      </c>
      <c r="D4338" s="93">
        <v>47.17</v>
      </c>
      <c r="E4338" s="93">
        <v>8.2200000000000006</v>
      </c>
      <c r="F4338" s="93">
        <v>38.950000000000003</v>
      </c>
      <c r="G4338" s="93">
        <v>0</v>
      </c>
      <c r="H4338" s="93">
        <v>0</v>
      </c>
      <c r="N4338" s="88"/>
      <c r="O4338" s="88"/>
      <c r="P4338" s="88"/>
    </row>
    <row r="4339" spans="1:16">
      <c r="A4339" s="94">
        <v>96849</v>
      </c>
      <c r="B4339" s="87" t="s">
        <v>3694</v>
      </c>
      <c r="C4339" s="12" t="s">
        <v>4</v>
      </c>
      <c r="D4339" s="93">
        <v>17.079999999999998</v>
      </c>
      <c r="E4339" s="93">
        <v>3.62</v>
      </c>
      <c r="F4339" s="93">
        <v>13.46</v>
      </c>
      <c r="G4339" s="93">
        <v>0</v>
      </c>
      <c r="H4339" s="93">
        <v>0</v>
      </c>
      <c r="N4339" s="88"/>
      <c r="O4339" s="88"/>
      <c r="P4339" s="88"/>
    </row>
    <row r="4340" spans="1:16">
      <c r="A4340" s="94">
        <v>96850</v>
      </c>
      <c r="B4340" s="87" t="s">
        <v>3695</v>
      </c>
      <c r="C4340" s="12" t="s">
        <v>4</v>
      </c>
      <c r="D4340" s="93">
        <v>20.010000000000002</v>
      </c>
      <c r="E4340" s="93">
        <v>3.62</v>
      </c>
      <c r="F4340" s="93">
        <v>16.39</v>
      </c>
      <c r="G4340" s="93">
        <v>0</v>
      </c>
      <c r="H4340" s="93">
        <v>0</v>
      </c>
      <c r="N4340" s="88"/>
      <c r="O4340" s="88"/>
      <c r="P4340" s="88"/>
    </row>
    <row r="4341" spans="1:16">
      <c r="A4341" s="94">
        <v>96851</v>
      </c>
      <c r="B4341" s="87" t="s">
        <v>3696</v>
      </c>
      <c r="C4341" s="12" t="s">
        <v>4</v>
      </c>
      <c r="D4341" s="93">
        <v>26.58</v>
      </c>
      <c r="E4341" s="93">
        <v>3.61</v>
      </c>
      <c r="F4341" s="93">
        <v>22.97</v>
      </c>
      <c r="G4341" s="93">
        <v>0</v>
      </c>
      <c r="H4341" s="93">
        <v>0</v>
      </c>
      <c r="N4341" s="88"/>
      <c r="O4341" s="88"/>
      <c r="P4341" s="88"/>
    </row>
    <row r="4342" spans="1:16">
      <c r="A4342" s="94">
        <v>96852</v>
      </c>
      <c r="B4342" s="87" t="s">
        <v>3697</v>
      </c>
      <c r="C4342" s="12" t="s">
        <v>4</v>
      </c>
      <c r="D4342" s="93">
        <v>22.76</v>
      </c>
      <c r="E4342" s="93">
        <v>4.29</v>
      </c>
      <c r="F4342" s="93">
        <v>18.47</v>
      </c>
      <c r="G4342" s="93">
        <v>0</v>
      </c>
      <c r="H4342" s="93">
        <v>0</v>
      </c>
      <c r="N4342" s="88"/>
      <c r="O4342" s="88"/>
      <c r="P4342" s="88"/>
    </row>
    <row r="4343" spans="1:16">
      <c r="A4343" s="94">
        <v>96853</v>
      </c>
      <c r="B4343" s="87" t="s">
        <v>3698</v>
      </c>
      <c r="C4343" s="12" t="s">
        <v>4</v>
      </c>
      <c r="D4343" s="93">
        <v>25.63</v>
      </c>
      <c r="E4343" s="93">
        <v>4.29</v>
      </c>
      <c r="F4343" s="93">
        <v>21.34</v>
      </c>
      <c r="G4343" s="93">
        <v>0</v>
      </c>
      <c r="H4343" s="93">
        <v>0</v>
      </c>
      <c r="N4343" s="88"/>
      <c r="O4343" s="88"/>
      <c r="P4343" s="88"/>
    </row>
    <row r="4344" spans="1:16">
      <c r="A4344" s="94">
        <v>96854</v>
      </c>
      <c r="B4344" s="87" t="s">
        <v>3699</v>
      </c>
      <c r="C4344" s="12" t="s">
        <v>4</v>
      </c>
      <c r="D4344" s="93">
        <v>30.71</v>
      </c>
      <c r="E4344" s="93">
        <v>4.28</v>
      </c>
      <c r="F4344" s="93">
        <v>26.43</v>
      </c>
      <c r="G4344" s="93">
        <v>0</v>
      </c>
      <c r="H4344" s="93">
        <v>0</v>
      </c>
      <c r="N4344" s="88"/>
      <c r="O4344" s="88"/>
      <c r="P4344" s="88"/>
    </row>
    <row r="4345" spans="1:16">
      <c r="A4345" s="94">
        <v>96855</v>
      </c>
      <c r="B4345" s="87" t="s">
        <v>3700</v>
      </c>
      <c r="C4345" s="12" t="s">
        <v>4</v>
      </c>
      <c r="D4345" s="93">
        <v>28.28</v>
      </c>
      <c r="E4345" s="93">
        <v>5.12</v>
      </c>
      <c r="F4345" s="93">
        <v>23.16</v>
      </c>
      <c r="G4345" s="93">
        <v>0</v>
      </c>
      <c r="H4345" s="93">
        <v>0</v>
      </c>
      <c r="N4345" s="88"/>
      <c r="O4345" s="88"/>
      <c r="P4345" s="88"/>
    </row>
    <row r="4346" spans="1:16">
      <c r="A4346" s="94">
        <v>96856</v>
      </c>
      <c r="B4346" s="87" t="s">
        <v>3701</v>
      </c>
      <c r="C4346" s="12" t="s">
        <v>4</v>
      </c>
      <c r="D4346" s="93">
        <v>28.69</v>
      </c>
      <c r="E4346" s="93">
        <v>5.12</v>
      </c>
      <c r="F4346" s="93">
        <v>23.57</v>
      </c>
      <c r="G4346" s="93">
        <v>0</v>
      </c>
      <c r="H4346" s="93">
        <v>0</v>
      </c>
      <c r="N4346" s="88"/>
      <c r="O4346" s="88"/>
      <c r="P4346" s="88"/>
    </row>
    <row r="4347" spans="1:16">
      <c r="A4347" s="94">
        <v>96857</v>
      </c>
      <c r="B4347" s="87" t="s">
        <v>3702</v>
      </c>
      <c r="C4347" s="12" t="s">
        <v>4</v>
      </c>
      <c r="D4347" s="93">
        <v>45.88</v>
      </c>
      <c r="E4347" s="93">
        <v>5.1100000000000003</v>
      </c>
      <c r="F4347" s="93">
        <v>40.770000000000003</v>
      </c>
      <c r="G4347" s="93">
        <v>0</v>
      </c>
      <c r="H4347" s="93">
        <v>0</v>
      </c>
      <c r="N4347" s="88"/>
      <c r="O4347" s="88"/>
      <c r="P4347" s="88"/>
    </row>
    <row r="4348" spans="1:16">
      <c r="A4348" s="94">
        <v>96858</v>
      </c>
      <c r="B4348" s="87" t="s">
        <v>3703</v>
      </c>
      <c r="C4348" s="12" t="s">
        <v>4</v>
      </c>
      <c r="D4348" s="93">
        <v>46.32</v>
      </c>
      <c r="E4348" s="93">
        <v>6.3</v>
      </c>
      <c r="F4348" s="93">
        <v>40.020000000000003</v>
      </c>
      <c r="G4348" s="93">
        <v>0</v>
      </c>
      <c r="H4348" s="93">
        <v>0</v>
      </c>
      <c r="N4348" s="88"/>
      <c r="O4348" s="88"/>
      <c r="P4348" s="88"/>
    </row>
    <row r="4349" spans="1:16">
      <c r="A4349" s="94">
        <v>96859</v>
      </c>
      <c r="B4349" s="87" t="s">
        <v>3704</v>
      </c>
      <c r="C4349" s="12" t="s">
        <v>4</v>
      </c>
      <c r="D4349" s="93">
        <v>57.48</v>
      </c>
      <c r="E4349" s="93">
        <v>6.3</v>
      </c>
      <c r="F4349" s="93">
        <v>51.18</v>
      </c>
      <c r="G4349" s="93">
        <v>0</v>
      </c>
      <c r="H4349" s="93">
        <v>0</v>
      </c>
      <c r="N4349" s="88"/>
      <c r="O4349" s="88"/>
      <c r="P4349" s="88"/>
    </row>
    <row r="4350" spans="1:16">
      <c r="A4350" s="94">
        <v>96860</v>
      </c>
      <c r="B4350" s="87" t="s">
        <v>3705</v>
      </c>
      <c r="C4350" s="12" t="s">
        <v>4</v>
      </c>
      <c r="D4350" s="93">
        <v>22.95</v>
      </c>
      <c r="E4350" s="93">
        <v>6.31</v>
      </c>
      <c r="F4350" s="93">
        <v>16.64</v>
      </c>
      <c r="G4350" s="93">
        <v>0</v>
      </c>
      <c r="H4350" s="93">
        <v>0</v>
      </c>
      <c r="N4350" s="88"/>
      <c r="O4350" s="88"/>
      <c r="P4350" s="88"/>
    </row>
    <row r="4351" spans="1:16">
      <c r="A4351" s="94">
        <v>96861</v>
      </c>
      <c r="B4351" s="87" t="s">
        <v>3706</v>
      </c>
      <c r="C4351" s="12" t="s">
        <v>4</v>
      </c>
      <c r="D4351" s="93">
        <v>24.8</v>
      </c>
      <c r="E4351" s="93">
        <v>6.31</v>
      </c>
      <c r="F4351" s="93">
        <v>18.489999999999998</v>
      </c>
      <c r="G4351" s="93">
        <v>0</v>
      </c>
      <c r="H4351" s="93">
        <v>0</v>
      </c>
      <c r="N4351" s="88"/>
      <c r="O4351" s="88"/>
      <c r="P4351" s="88"/>
    </row>
    <row r="4352" spans="1:16">
      <c r="A4352" s="94">
        <v>96862</v>
      </c>
      <c r="B4352" s="87" t="s">
        <v>3707</v>
      </c>
      <c r="C4352" s="12" t="s">
        <v>4</v>
      </c>
      <c r="D4352" s="93">
        <v>27.66</v>
      </c>
      <c r="E4352" s="93">
        <v>7.48</v>
      </c>
      <c r="F4352" s="93">
        <v>20.18</v>
      </c>
      <c r="G4352" s="93">
        <v>0</v>
      </c>
      <c r="H4352" s="93">
        <v>0</v>
      </c>
      <c r="N4352" s="88"/>
      <c r="O4352" s="88"/>
      <c r="P4352" s="88"/>
    </row>
    <row r="4353" spans="1:16">
      <c r="A4353" s="94">
        <v>96863</v>
      </c>
      <c r="B4353" s="87" t="s">
        <v>3708</v>
      </c>
      <c r="C4353" s="12" t="s">
        <v>4</v>
      </c>
      <c r="D4353" s="93">
        <v>27.35</v>
      </c>
      <c r="E4353" s="93">
        <v>7.48</v>
      </c>
      <c r="F4353" s="93">
        <v>19.87</v>
      </c>
      <c r="G4353" s="93">
        <v>0</v>
      </c>
      <c r="H4353" s="93">
        <v>0</v>
      </c>
      <c r="N4353" s="88"/>
      <c r="O4353" s="88"/>
      <c r="P4353" s="88"/>
    </row>
    <row r="4354" spans="1:16">
      <c r="A4354" s="94">
        <v>96864</v>
      </c>
      <c r="B4354" s="87" t="s">
        <v>3709</v>
      </c>
      <c r="C4354" s="12" t="s">
        <v>4</v>
      </c>
      <c r="D4354" s="93">
        <v>43.49</v>
      </c>
      <c r="E4354" s="93">
        <v>8.94</v>
      </c>
      <c r="F4354" s="93">
        <v>34.549999999999997</v>
      </c>
      <c r="G4354" s="93">
        <v>0</v>
      </c>
      <c r="H4354" s="93">
        <v>0</v>
      </c>
      <c r="N4354" s="88"/>
      <c r="O4354" s="88"/>
      <c r="P4354" s="88"/>
    </row>
    <row r="4355" spans="1:16">
      <c r="A4355" s="94">
        <v>96865</v>
      </c>
      <c r="B4355" s="87" t="s">
        <v>3710</v>
      </c>
      <c r="C4355" s="12" t="s">
        <v>4</v>
      </c>
      <c r="D4355" s="93">
        <v>42.58</v>
      </c>
      <c r="E4355" s="93">
        <v>8.94</v>
      </c>
      <c r="F4355" s="93">
        <v>33.64</v>
      </c>
      <c r="G4355" s="93">
        <v>0</v>
      </c>
      <c r="H4355" s="93">
        <v>0</v>
      </c>
      <c r="N4355" s="88"/>
      <c r="O4355" s="88"/>
      <c r="P4355" s="88"/>
    </row>
    <row r="4356" spans="1:16">
      <c r="A4356" s="94">
        <v>96866</v>
      </c>
      <c r="B4356" s="87" t="s">
        <v>3711</v>
      </c>
      <c r="C4356" s="12" t="s">
        <v>4</v>
      </c>
      <c r="D4356" s="93">
        <v>57.22</v>
      </c>
      <c r="E4356" s="93">
        <v>10.98</v>
      </c>
      <c r="F4356" s="93">
        <v>46.24</v>
      </c>
      <c r="G4356" s="93">
        <v>0</v>
      </c>
      <c r="H4356" s="93">
        <v>0</v>
      </c>
      <c r="N4356" s="88"/>
      <c r="O4356" s="88"/>
      <c r="P4356" s="88"/>
    </row>
    <row r="4357" spans="1:16">
      <c r="A4357" s="94">
        <v>96867</v>
      </c>
      <c r="B4357" s="87" t="s">
        <v>3712</v>
      </c>
      <c r="C4357" s="12" t="s">
        <v>4</v>
      </c>
      <c r="D4357" s="93">
        <v>66.59</v>
      </c>
      <c r="E4357" s="93">
        <v>10.98</v>
      </c>
      <c r="F4357" s="93">
        <v>55.61</v>
      </c>
      <c r="G4357" s="93">
        <v>0</v>
      </c>
      <c r="H4357" s="93">
        <v>0</v>
      </c>
      <c r="N4357" s="88"/>
      <c r="O4357" s="88"/>
      <c r="P4357" s="88"/>
    </row>
    <row r="4358" spans="1:16">
      <c r="A4358" s="94">
        <v>96868</v>
      </c>
      <c r="B4358" s="87" t="s">
        <v>3713</v>
      </c>
      <c r="C4358" s="12" t="s">
        <v>4</v>
      </c>
      <c r="D4358" s="93">
        <v>26.51</v>
      </c>
      <c r="E4358" s="93">
        <v>4.8099999999999996</v>
      </c>
      <c r="F4358" s="93">
        <v>21.7</v>
      </c>
      <c r="G4358" s="93">
        <v>0</v>
      </c>
      <c r="H4358" s="93">
        <v>0</v>
      </c>
      <c r="N4358" s="88"/>
      <c r="O4358" s="88"/>
      <c r="P4358" s="88"/>
    </row>
    <row r="4359" spans="1:16">
      <c r="A4359" s="94">
        <v>96869</v>
      </c>
      <c r="B4359" s="87" t="s">
        <v>3714</v>
      </c>
      <c r="C4359" s="12" t="s">
        <v>4</v>
      </c>
      <c r="D4359" s="93">
        <v>31.68</v>
      </c>
      <c r="E4359" s="93">
        <v>5.71</v>
      </c>
      <c r="F4359" s="93">
        <v>25.97</v>
      </c>
      <c r="G4359" s="93">
        <v>0</v>
      </c>
      <c r="H4359" s="93">
        <v>0</v>
      </c>
      <c r="N4359" s="88"/>
      <c r="O4359" s="88"/>
      <c r="P4359" s="88"/>
    </row>
    <row r="4360" spans="1:16">
      <c r="A4360" s="94">
        <v>96870</v>
      </c>
      <c r="B4360" s="87" t="s">
        <v>3715</v>
      </c>
      <c r="C4360" s="12" t="s">
        <v>4</v>
      </c>
      <c r="D4360" s="93">
        <v>50.17</v>
      </c>
      <c r="E4360" s="93">
        <v>6.83</v>
      </c>
      <c r="F4360" s="93">
        <v>43.34</v>
      </c>
      <c r="G4360" s="93">
        <v>0</v>
      </c>
      <c r="H4360" s="93">
        <v>0</v>
      </c>
      <c r="N4360" s="88"/>
      <c r="O4360" s="88"/>
      <c r="P4360" s="88"/>
    </row>
    <row r="4361" spans="1:16">
      <c r="A4361" s="94">
        <v>96871</v>
      </c>
      <c r="B4361" s="87" t="s">
        <v>3716</v>
      </c>
      <c r="C4361" s="12" t="s">
        <v>4</v>
      </c>
      <c r="D4361" s="93">
        <v>72.8</v>
      </c>
      <c r="E4361" s="93">
        <v>8.39</v>
      </c>
      <c r="F4361" s="93">
        <v>64.41</v>
      </c>
      <c r="G4361" s="93">
        <v>0</v>
      </c>
      <c r="H4361" s="93">
        <v>0</v>
      </c>
      <c r="N4361" s="88"/>
      <c r="O4361" s="88"/>
      <c r="P4361" s="88"/>
    </row>
    <row r="4362" spans="1:16">
      <c r="A4362" s="94">
        <v>96872</v>
      </c>
      <c r="B4362" s="87" t="s">
        <v>3717</v>
      </c>
      <c r="C4362" s="12" t="s">
        <v>4</v>
      </c>
      <c r="D4362" s="93">
        <v>66.95</v>
      </c>
      <c r="E4362" s="93">
        <v>13.55</v>
      </c>
      <c r="F4362" s="93">
        <v>53.4</v>
      </c>
      <c r="G4362" s="93">
        <v>0</v>
      </c>
      <c r="H4362" s="93">
        <v>0</v>
      </c>
      <c r="N4362" s="88"/>
      <c r="O4362" s="88"/>
      <c r="P4362" s="88"/>
    </row>
    <row r="4363" spans="1:16">
      <c r="A4363" s="94">
        <v>96873</v>
      </c>
      <c r="B4363" s="87" t="s">
        <v>3718</v>
      </c>
      <c r="C4363" s="12" t="s">
        <v>4</v>
      </c>
      <c r="D4363" s="93">
        <v>77.28</v>
      </c>
      <c r="E4363" s="93">
        <v>13.55</v>
      </c>
      <c r="F4363" s="93">
        <v>63.73</v>
      </c>
      <c r="G4363" s="93">
        <v>0</v>
      </c>
      <c r="H4363" s="93">
        <v>0</v>
      </c>
      <c r="N4363" s="88"/>
      <c r="O4363" s="88"/>
      <c r="P4363" s="88"/>
    </row>
    <row r="4364" spans="1:16">
      <c r="A4364" s="94">
        <v>96874</v>
      </c>
      <c r="B4364" s="87" t="s">
        <v>3719</v>
      </c>
      <c r="C4364" s="12" t="s">
        <v>4</v>
      </c>
      <c r="D4364" s="93">
        <v>81.36</v>
      </c>
      <c r="E4364" s="93">
        <v>17.73</v>
      </c>
      <c r="F4364" s="93">
        <v>63.63</v>
      </c>
      <c r="G4364" s="93">
        <v>0</v>
      </c>
      <c r="H4364" s="93">
        <v>0</v>
      </c>
      <c r="N4364" s="88"/>
      <c r="O4364" s="88"/>
      <c r="P4364" s="88"/>
    </row>
    <row r="4365" spans="1:16">
      <c r="A4365" s="94">
        <v>96875</v>
      </c>
      <c r="B4365" s="87" t="s">
        <v>3720</v>
      </c>
      <c r="C4365" s="12" t="s">
        <v>4</v>
      </c>
      <c r="D4365" s="93">
        <v>97.98</v>
      </c>
      <c r="E4365" s="93">
        <v>17.73</v>
      </c>
      <c r="F4365" s="93">
        <v>80.25</v>
      </c>
      <c r="G4365" s="93">
        <v>0</v>
      </c>
      <c r="H4365" s="93">
        <v>0</v>
      </c>
      <c r="N4365" s="88"/>
      <c r="O4365" s="88"/>
      <c r="P4365" s="88"/>
    </row>
    <row r="4366" spans="1:16">
      <c r="A4366" s="94">
        <v>96876</v>
      </c>
      <c r="B4366" s="87" t="s">
        <v>3721</v>
      </c>
      <c r="C4366" s="12" t="s">
        <v>4</v>
      </c>
      <c r="D4366" s="93">
        <v>174.19</v>
      </c>
      <c r="E4366" s="93">
        <v>10.35</v>
      </c>
      <c r="F4366" s="93">
        <v>163.84</v>
      </c>
      <c r="G4366" s="93">
        <v>0</v>
      </c>
      <c r="H4366" s="93">
        <v>0</v>
      </c>
      <c r="N4366" s="88"/>
      <c r="O4366" s="88"/>
      <c r="P4366" s="88"/>
    </row>
    <row r="4367" spans="1:16">
      <c r="A4367" s="94">
        <v>96877</v>
      </c>
      <c r="B4367" s="87" t="s">
        <v>3722</v>
      </c>
      <c r="C4367" s="12" t="s">
        <v>4</v>
      </c>
      <c r="D4367" s="93">
        <v>186.26</v>
      </c>
      <c r="E4367" s="93">
        <v>10.35</v>
      </c>
      <c r="F4367" s="93">
        <v>175.91</v>
      </c>
      <c r="G4367" s="93">
        <v>0</v>
      </c>
      <c r="H4367" s="93">
        <v>0</v>
      </c>
      <c r="N4367" s="88"/>
      <c r="O4367" s="88"/>
      <c r="P4367" s="88"/>
    </row>
    <row r="4368" spans="1:16">
      <c r="A4368" s="94">
        <v>96878</v>
      </c>
      <c r="B4368" s="87" t="s">
        <v>3723</v>
      </c>
      <c r="C4368" s="12" t="s">
        <v>4</v>
      </c>
      <c r="D4368" s="93">
        <v>188.51</v>
      </c>
      <c r="E4368" s="93">
        <v>10.35</v>
      </c>
      <c r="F4368" s="93">
        <v>178.16</v>
      </c>
      <c r="G4368" s="93">
        <v>0</v>
      </c>
      <c r="H4368" s="93">
        <v>0</v>
      </c>
      <c r="N4368" s="88"/>
      <c r="O4368" s="88"/>
      <c r="P4368" s="88"/>
    </row>
    <row r="4369" spans="1:16">
      <c r="A4369" s="94">
        <v>96879</v>
      </c>
      <c r="B4369" s="87" t="s">
        <v>3724</v>
      </c>
      <c r="C4369" s="12" t="s">
        <v>4</v>
      </c>
      <c r="D4369" s="93">
        <v>189.09</v>
      </c>
      <c r="E4369" s="93">
        <v>13.55</v>
      </c>
      <c r="F4369" s="93">
        <v>175.54</v>
      </c>
      <c r="G4369" s="93">
        <v>0</v>
      </c>
      <c r="H4369" s="93">
        <v>0</v>
      </c>
      <c r="N4369" s="88"/>
      <c r="O4369" s="88"/>
      <c r="P4369" s="88"/>
    </row>
    <row r="4370" spans="1:16">
      <c r="A4370" s="94">
        <v>96880</v>
      </c>
      <c r="B4370" s="87" t="s">
        <v>3725</v>
      </c>
      <c r="C4370" s="12" t="s">
        <v>4</v>
      </c>
      <c r="D4370" s="93">
        <v>216.12</v>
      </c>
      <c r="E4370" s="93">
        <v>13.55</v>
      </c>
      <c r="F4370" s="93">
        <v>202.57</v>
      </c>
      <c r="G4370" s="93">
        <v>0</v>
      </c>
      <c r="H4370" s="93">
        <v>0</v>
      </c>
      <c r="N4370" s="88"/>
      <c r="O4370" s="88"/>
      <c r="P4370" s="88"/>
    </row>
    <row r="4371" spans="1:16">
      <c r="A4371" s="94">
        <v>96881</v>
      </c>
      <c r="B4371" s="87" t="s">
        <v>3726</v>
      </c>
      <c r="C4371" s="12" t="s">
        <v>4</v>
      </c>
      <c r="D4371" s="93">
        <v>228.36</v>
      </c>
      <c r="E4371" s="93">
        <v>13.55</v>
      </c>
      <c r="F4371" s="93">
        <v>214.81</v>
      </c>
      <c r="G4371" s="93">
        <v>0</v>
      </c>
      <c r="H4371" s="93">
        <v>0</v>
      </c>
      <c r="N4371" s="88"/>
      <c r="O4371" s="88"/>
      <c r="P4371" s="88"/>
    </row>
    <row r="4372" spans="1:16">
      <c r="A4372" s="94">
        <v>97425</v>
      </c>
      <c r="B4372" s="87" t="s">
        <v>3727</v>
      </c>
      <c r="C4372" s="12" t="s">
        <v>4</v>
      </c>
      <c r="D4372" s="93">
        <v>22.79</v>
      </c>
      <c r="E4372" s="93">
        <v>7.64</v>
      </c>
      <c r="F4372" s="93">
        <v>15.15</v>
      </c>
      <c r="G4372" s="93">
        <v>0</v>
      </c>
      <c r="H4372" s="93">
        <v>0</v>
      </c>
      <c r="N4372" s="88"/>
      <c r="O4372" s="88"/>
      <c r="P4372" s="88"/>
    </row>
    <row r="4373" spans="1:16">
      <c r="A4373" s="94">
        <v>97426</v>
      </c>
      <c r="B4373" s="87" t="s">
        <v>3728</v>
      </c>
      <c r="C4373" s="12" t="s">
        <v>4</v>
      </c>
      <c r="D4373" s="93">
        <v>27.47</v>
      </c>
      <c r="E4373" s="93">
        <v>7.64</v>
      </c>
      <c r="F4373" s="93">
        <v>19.829999999999998</v>
      </c>
      <c r="G4373" s="93">
        <v>0</v>
      </c>
      <c r="H4373" s="93">
        <v>0</v>
      </c>
      <c r="N4373" s="88"/>
      <c r="O4373" s="88"/>
      <c r="P4373" s="88"/>
    </row>
    <row r="4374" spans="1:16">
      <c r="A4374" s="94">
        <v>97427</v>
      </c>
      <c r="B4374" s="87" t="s">
        <v>3729</v>
      </c>
      <c r="C4374" s="12" t="s">
        <v>4</v>
      </c>
      <c r="D4374" s="93">
        <v>31</v>
      </c>
      <c r="E4374" s="93">
        <v>7.63</v>
      </c>
      <c r="F4374" s="93">
        <v>23.37</v>
      </c>
      <c r="G4374" s="93">
        <v>0</v>
      </c>
      <c r="H4374" s="93">
        <v>0</v>
      </c>
      <c r="N4374" s="88"/>
      <c r="O4374" s="88"/>
      <c r="P4374" s="88"/>
    </row>
    <row r="4375" spans="1:16">
      <c r="A4375" s="94">
        <v>97428</v>
      </c>
      <c r="B4375" s="87" t="s">
        <v>3730</v>
      </c>
      <c r="C4375" s="12" t="s">
        <v>4</v>
      </c>
      <c r="D4375" s="93">
        <v>39.200000000000003</v>
      </c>
      <c r="E4375" s="93">
        <v>7.63</v>
      </c>
      <c r="F4375" s="93">
        <v>31.57</v>
      </c>
      <c r="G4375" s="93">
        <v>0</v>
      </c>
      <c r="H4375" s="93">
        <v>0</v>
      </c>
      <c r="N4375" s="88"/>
      <c r="O4375" s="88"/>
      <c r="P4375" s="88"/>
    </row>
    <row r="4376" spans="1:16">
      <c r="A4376" s="94">
        <v>97429</v>
      </c>
      <c r="B4376" s="87" t="s">
        <v>3731</v>
      </c>
      <c r="C4376" s="12" t="s">
        <v>4</v>
      </c>
      <c r="D4376" s="93">
        <v>46.75</v>
      </c>
      <c r="E4376" s="93">
        <v>7.63</v>
      </c>
      <c r="F4376" s="93">
        <v>39.119999999999997</v>
      </c>
      <c r="G4376" s="93">
        <v>0</v>
      </c>
      <c r="H4376" s="93">
        <v>0</v>
      </c>
      <c r="N4376" s="88"/>
      <c r="O4376" s="88"/>
      <c r="P4376" s="88"/>
    </row>
    <row r="4377" spans="1:16">
      <c r="A4377" s="94">
        <v>97430</v>
      </c>
      <c r="B4377" s="87" t="s">
        <v>6112</v>
      </c>
      <c r="C4377" s="12" t="s">
        <v>4</v>
      </c>
      <c r="D4377" s="93">
        <v>32.270000000000003</v>
      </c>
      <c r="E4377" s="93">
        <v>10.44</v>
      </c>
      <c r="F4377" s="93">
        <v>21.83</v>
      </c>
      <c r="G4377" s="93">
        <v>0</v>
      </c>
      <c r="H4377" s="93">
        <v>0</v>
      </c>
      <c r="N4377" s="88"/>
      <c r="O4377" s="88"/>
      <c r="P4377" s="88"/>
    </row>
    <row r="4378" spans="1:16">
      <c r="A4378" s="94">
        <v>97431</v>
      </c>
      <c r="B4378" s="87" t="s">
        <v>6113</v>
      </c>
      <c r="C4378" s="12" t="s">
        <v>4</v>
      </c>
      <c r="D4378" s="93">
        <v>35.96</v>
      </c>
      <c r="E4378" s="93">
        <v>12.05</v>
      </c>
      <c r="F4378" s="93">
        <v>23.91</v>
      </c>
      <c r="G4378" s="93">
        <v>0</v>
      </c>
      <c r="H4378" s="93">
        <v>0</v>
      </c>
      <c r="N4378" s="88"/>
      <c r="O4378" s="88"/>
      <c r="P4378" s="88"/>
    </row>
    <row r="4379" spans="1:16">
      <c r="A4379" s="94">
        <v>97432</v>
      </c>
      <c r="B4379" s="87" t="s">
        <v>6114</v>
      </c>
      <c r="C4379" s="12" t="s">
        <v>4</v>
      </c>
      <c r="D4379" s="93">
        <v>40.57</v>
      </c>
      <c r="E4379" s="93">
        <v>13.63</v>
      </c>
      <c r="F4379" s="93">
        <v>26.94</v>
      </c>
      <c r="G4379" s="93">
        <v>0</v>
      </c>
      <c r="H4379" s="93">
        <v>0</v>
      </c>
      <c r="N4379" s="88"/>
      <c r="O4379" s="88"/>
      <c r="P4379" s="88"/>
    </row>
    <row r="4380" spans="1:16">
      <c r="A4380" s="94">
        <v>97433</v>
      </c>
      <c r="B4380" s="87" t="s">
        <v>6115</v>
      </c>
      <c r="C4380" s="12" t="s">
        <v>4</v>
      </c>
      <c r="D4380" s="93">
        <v>74.22</v>
      </c>
      <c r="E4380" s="93">
        <v>15.66</v>
      </c>
      <c r="F4380" s="93">
        <v>58.56</v>
      </c>
      <c r="G4380" s="93">
        <v>0</v>
      </c>
      <c r="H4380" s="93">
        <v>0</v>
      </c>
      <c r="N4380" s="88"/>
      <c r="O4380" s="88"/>
      <c r="P4380" s="88"/>
    </row>
    <row r="4381" spans="1:16">
      <c r="A4381" s="94">
        <v>97434</v>
      </c>
      <c r="B4381" s="87" t="s">
        <v>6116</v>
      </c>
      <c r="C4381" s="12" t="s">
        <v>4</v>
      </c>
      <c r="D4381" s="93">
        <v>75.63</v>
      </c>
      <c r="E4381" s="93">
        <v>15.66</v>
      </c>
      <c r="F4381" s="93">
        <v>59.97</v>
      </c>
      <c r="G4381" s="93">
        <v>0</v>
      </c>
      <c r="H4381" s="93">
        <v>0</v>
      </c>
      <c r="N4381" s="88"/>
      <c r="O4381" s="88"/>
      <c r="P4381" s="88"/>
    </row>
    <row r="4382" spans="1:16">
      <c r="A4382" s="94">
        <v>97435</v>
      </c>
      <c r="B4382" s="87" t="s">
        <v>6117</v>
      </c>
      <c r="C4382" s="12" t="s">
        <v>4</v>
      </c>
      <c r="D4382" s="93">
        <v>86.83</v>
      </c>
      <c r="E4382" s="93">
        <v>18.05</v>
      </c>
      <c r="F4382" s="93">
        <v>68.78</v>
      </c>
      <c r="G4382" s="93">
        <v>0</v>
      </c>
      <c r="H4382" s="93">
        <v>0</v>
      </c>
      <c r="N4382" s="88"/>
      <c r="O4382" s="88"/>
      <c r="P4382" s="88"/>
    </row>
    <row r="4383" spans="1:16">
      <c r="A4383" s="94">
        <v>97436</v>
      </c>
      <c r="B4383" s="87" t="s">
        <v>6118</v>
      </c>
      <c r="C4383" s="12" t="s">
        <v>4</v>
      </c>
      <c r="D4383" s="93">
        <v>89.55</v>
      </c>
      <c r="E4383" s="93">
        <v>18.05</v>
      </c>
      <c r="F4383" s="93">
        <v>71.5</v>
      </c>
      <c r="G4383" s="93">
        <v>0</v>
      </c>
      <c r="H4383" s="93">
        <v>0</v>
      </c>
      <c r="N4383" s="88"/>
      <c r="O4383" s="88"/>
      <c r="P4383" s="88"/>
    </row>
    <row r="4384" spans="1:16">
      <c r="A4384" s="94">
        <v>97437</v>
      </c>
      <c r="B4384" s="87" t="s">
        <v>6119</v>
      </c>
      <c r="C4384" s="12" t="s">
        <v>4</v>
      </c>
      <c r="D4384" s="93">
        <v>99.4</v>
      </c>
      <c r="E4384" s="93">
        <v>20.440000000000001</v>
      </c>
      <c r="F4384" s="93">
        <v>78.959999999999994</v>
      </c>
      <c r="G4384" s="93">
        <v>0</v>
      </c>
      <c r="H4384" s="93">
        <v>0</v>
      </c>
      <c r="N4384" s="88"/>
      <c r="O4384" s="88"/>
      <c r="P4384" s="88"/>
    </row>
    <row r="4385" spans="1:16">
      <c r="A4385" s="94">
        <v>97438</v>
      </c>
      <c r="B4385" s="87" t="s">
        <v>6120</v>
      </c>
      <c r="C4385" s="12" t="s">
        <v>4</v>
      </c>
      <c r="D4385" s="93">
        <v>102.31</v>
      </c>
      <c r="E4385" s="93">
        <v>20.440000000000001</v>
      </c>
      <c r="F4385" s="93">
        <v>81.87</v>
      </c>
      <c r="G4385" s="93">
        <v>0</v>
      </c>
      <c r="H4385" s="93">
        <v>0</v>
      </c>
      <c r="N4385" s="88"/>
      <c r="O4385" s="88"/>
      <c r="P4385" s="88"/>
    </row>
    <row r="4386" spans="1:16">
      <c r="A4386" s="94">
        <v>97439</v>
      </c>
      <c r="B4386" s="87" t="s">
        <v>6121</v>
      </c>
      <c r="C4386" s="12" t="s">
        <v>4</v>
      </c>
      <c r="D4386" s="93">
        <v>112.52</v>
      </c>
      <c r="E4386" s="93">
        <v>20.88</v>
      </c>
      <c r="F4386" s="93">
        <v>91.64</v>
      </c>
      <c r="G4386" s="93">
        <v>0</v>
      </c>
      <c r="H4386" s="93">
        <v>0</v>
      </c>
      <c r="N4386" s="88"/>
      <c r="O4386" s="88"/>
      <c r="P4386" s="88"/>
    </row>
    <row r="4387" spans="1:16">
      <c r="A4387" s="94">
        <v>97440</v>
      </c>
      <c r="B4387" s="87" t="s">
        <v>6122</v>
      </c>
      <c r="C4387" s="12" t="s">
        <v>4</v>
      </c>
      <c r="D4387" s="93">
        <v>134.94</v>
      </c>
      <c r="E4387" s="93">
        <v>24.06</v>
      </c>
      <c r="F4387" s="93">
        <v>110.88</v>
      </c>
      <c r="G4387" s="93">
        <v>0</v>
      </c>
      <c r="H4387" s="93">
        <v>0</v>
      </c>
      <c r="N4387" s="88"/>
      <c r="O4387" s="88"/>
      <c r="P4387" s="88"/>
    </row>
    <row r="4388" spans="1:16">
      <c r="A4388" s="94">
        <v>97442</v>
      </c>
      <c r="B4388" s="87" t="s">
        <v>6123</v>
      </c>
      <c r="C4388" s="12" t="s">
        <v>4</v>
      </c>
      <c r="D4388" s="93">
        <v>149.02000000000001</v>
      </c>
      <c r="E4388" s="93">
        <v>27.25</v>
      </c>
      <c r="F4388" s="93">
        <v>121.77</v>
      </c>
      <c r="G4388" s="93">
        <v>0</v>
      </c>
      <c r="H4388" s="93">
        <v>0</v>
      </c>
      <c r="N4388" s="88"/>
      <c r="O4388" s="88"/>
      <c r="P4388" s="88"/>
    </row>
    <row r="4389" spans="1:16">
      <c r="A4389" s="94">
        <v>97443</v>
      </c>
      <c r="B4389" s="87" t="s">
        <v>6124</v>
      </c>
      <c r="C4389" s="12" t="s">
        <v>4</v>
      </c>
      <c r="D4389" s="93">
        <v>71.900000000000006</v>
      </c>
      <c r="E4389" s="93">
        <v>23.6</v>
      </c>
      <c r="F4389" s="93">
        <v>48.3</v>
      </c>
      <c r="G4389" s="93">
        <v>0</v>
      </c>
      <c r="H4389" s="93">
        <v>0</v>
      </c>
      <c r="N4389" s="88"/>
      <c r="O4389" s="88"/>
      <c r="P4389" s="88"/>
    </row>
    <row r="4390" spans="1:16">
      <c r="A4390" s="94">
        <v>97444</v>
      </c>
      <c r="B4390" s="87" t="s">
        <v>6125</v>
      </c>
      <c r="C4390" s="12" t="s">
        <v>4</v>
      </c>
      <c r="D4390" s="93">
        <v>83.44</v>
      </c>
      <c r="E4390" s="93">
        <v>23.59</v>
      </c>
      <c r="F4390" s="93">
        <v>59.85</v>
      </c>
      <c r="G4390" s="93">
        <v>0</v>
      </c>
      <c r="H4390" s="93">
        <v>0</v>
      </c>
      <c r="N4390" s="88"/>
      <c r="O4390" s="88"/>
      <c r="P4390" s="88"/>
    </row>
    <row r="4391" spans="1:16">
      <c r="A4391" s="94">
        <v>97446</v>
      </c>
      <c r="B4391" s="87" t="s">
        <v>6126</v>
      </c>
      <c r="C4391" s="12" t="s">
        <v>4</v>
      </c>
      <c r="D4391" s="93">
        <v>140.06</v>
      </c>
      <c r="E4391" s="93">
        <v>26.08</v>
      </c>
      <c r="F4391" s="93">
        <v>113.98</v>
      </c>
      <c r="G4391" s="93">
        <v>0</v>
      </c>
      <c r="H4391" s="93">
        <v>0</v>
      </c>
      <c r="N4391" s="88"/>
      <c r="O4391" s="88"/>
      <c r="P4391" s="88"/>
    </row>
    <row r="4392" spans="1:16">
      <c r="A4392" s="94">
        <v>97447</v>
      </c>
      <c r="B4392" s="87" t="s">
        <v>6127</v>
      </c>
      <c r="C4392" s="12" t="s">
        <v>4</v>
      </c>
      <c r="D4392" s="93">
        <v>140.06</v>
      </c>
      <c r="E4392" s="93">
        <v>26.08</v>
      </c>
      <c r="F4392" s="93">
        <v>113.98</v>
      </c>
      <c r="G4392" s="93">
        <v>0</v>
      </c>
      <c r="H4392" s="93">
        <v>0</v>
      </c>
      <c r="N4392" s="88"/>
      <c r="O4392" s="88"/>
      <c r="P4392" s="88"/>
    </row>
    <row r="4393" spans="1:16">
      <c r="A4393" s="94">
        <v>97449</v>
      </c>
      <c r="B4393" s="87" t="s">
        <v>6128</v>
      </c>
      <c r="C4393" s="12" t="s">
        <v>4</v>
      </c>
      <c r="D4393" s="93">
        <v>149.38</v>
      </c>
      <c r="E4393" s="93">
        <v>28.62</v>
      </c>
      <c r="F4393" s="93">
        <v>120.76</v>
      </c>
      <c r="G4393" s="93">
        <v>0</v>
      </c>
      <c r="H4393" s="93">
        <v>0</v>
      </c>
      <c r="N4393" s="88"/>
      <c r="O4393" s="88"/>
      <c r="P4393" s="88"/>
    </row>
    <row r="4394" spans="1:16">
      <c r="A4394" s="94">
        <v>97450</v>
      </c>
      <c r="B4394" s="87" t="s">
        <v>6129</v>
      </c>
      <c r="C4394" s="12" t="s">
        <v>4</v>
      </c>
      <c r="D4394" s="93">
        <v>180.79</v>
      </c>
      <c r="E4394" s="93">
        <v>28.61</v>
      </c>
      <c r="F4394" s="93">
        <v>152.18</v>
      </c>
      <c r="G4394" s="93">
        <v>0</v>
      </c>
      <c r="H4394" s="93">
        <v>0</v>
      </c>
      <c r="N4394" s="88"/>
      <c r="O4394" s="88"/>
      <c r="P4394" s="88"/>
    </row>
    <row r="4395" spans="1:16">
      <c r="A4395" s="94">
        <v>97452</v>
      </c>
      <c r="B4395" s="87" t="s">
        <v>6130</v>
      </c>
      <c r="C4395" s="12" t="s">
        <v>4</v>
      </c>
      <c r="D4395" s="93">
        <v>117.35</v>
      </c>
      <c r="E4395" s="93">
        <v>35.369999999999997</v>
      </c>
      <c r="F4395" s="93">
        <v>81.98</v>
      </c>
      <c r="G4395" s="93">
        <v>0</v>
      </c>
      <c r="H4395" s="93">
        <v>0</v>
      </c>
      <c r="N4395" s="88"/>
      <c r="O4395" s="88"/>
      <c r="P4395" s="88"/>
    </row>
    <row r="4396" spans="1:16">
      <c r="A4396" s="94">
        <v>97453</v>
      </c>
      <c r="B4396" s="87" t="s">
        <v>6131</v>
      </c>
      <c r="C4396" s="12" t="s">
        <v>4</v>
      </c>
      <c r="D4396" s="93">
        <v>123.93</v>
      </c>
      <c r="E4396" s="93">
        <v>35.369999999999997</v>
      </c>
      <c r="F4396" s="93">
        <v>88.56</v>
      </c>
      <c r="G4396" s="93">
        <v>0</v>
      </c>
      <c r="H4396" s="93">
        <v>0</v>
      </c>
      <c r="N4396" s="88"/>
      <c r="O4396" s="88"/>
      <c r="P4396" s="88"/>
    </row>
    <row r="4397" spans="1:16">
      <c r="A4397" s="94">
        <v>97454</v>
      </c>
      <c r="B4397" s="87" t="s">
        <v>6132</v>
      </c>
      <c r="C4397" s="12" t="s">
        <v>4</v>
      </c>
      <c r="D4397" s="93">
        <v>193.56</v>
      </c>
      <c r="E4397" s="93">
        <v>39.15</v>
      </c>
      <c r="F4397" s="93">
        <v>154.41</v>
      </c>
      <c r="G4397" s="93">
        <v>0</v>
      </c>
      <c r="H4397" s="93">
        <v>0</v>
      </c>
      <c r="N4397" s="88"/>
      <c r="O4397" s="88"/>
      <c r="P4397" s="88"/>
    </row>
    <row r="4398" spans="1:16">
      <c r="A4398" s="94">
        <v>97455</v>
      </c>
      <c r="B4398" s="87" t="s">
        <v>6133</v>
      </c>
      <c r="C4398" s="12" t="s">
        <v>4</v>
      </c>
      <c r="D4398" s="93">
        <v>204.09</v>
      </c>
      <c r="E4398" s="93">
        <v>39.14</v>
      </c>
      <c r="F4398" s="93">
        <v>164.95</v>
      </c>
      <c r="G4398" s="93">
        <v>0</v>
      </c>
      <c r="H4398" s="93">
        <v>0</v>
      </c>
      <c r="N4398" s="88"/>
      <c r="O4398" s="88"/>
      <c r="P4398" s="88"/>
    </row>
    <row r="4399" spans="1:16">
      <c r="A4399" s="94">
        <v>97456</v>
      </c>
      <c r="B4399" s="87" t="s">
        <v>6134</v>
      </c>
      <c r="C4399" s="12" t="s">
        <v>4</v>
      </c>
      <c r="D4399" s="93">
        <v>425.15</v>
      </c>
      <c r="E4399" s="93">
        <v>42.92</v>
      </c>
      <c r="F4399" s="93">
        <v>382.23</v>
      </c>
      <c r="G4399" s="93">
        <v>0</v>
      </c>
      <c r="H4399" s="93">
        <v>0</v>
      </c>
      <c r="N4399" s="88"/>
      <c r="O4399" s="88"/>
      <c r="P4399" s="88"/>
    </row>
    <row r="4400" spans="1:16">
      <c r="A4400" s="94">
        <v>97457</v>
      </c>
      <c r="B4400" s="87" t="s">
        <v>6135</v>
      </c>
      <c r="C4400" s="12" t="s">
        <v>4</v>
      </c>
      <c r="D4400" s="93">
        <v>377.91</v>
      </c>
      <c r="E4400" s="93">
        <v>42.92</v>
      </c>
      <c r="F4400" s="93">
        <v>334.99</v>
      </c>
      <c r="G4400" s="93">
        <v>0</v>
      </c>
      <c r="H4400" s="93">
        <v>0</v>
      </c>
      <c r="N4400" s="88"/>
      <c r="O4400" s="88"/>
      <c r="P4400" s="88"/>
    </row>
    <row r="4401" spans="1:16">
      <c r="A4401" s="94">
        <v>97458</v>
      </c>
      <c r="B4401" s="87" t="s">
        <v>6136</v>
      </c>
      <c r="C4401" s="12" t="s">
        <v>4</v>
      </c>
      <c r="D4401" s="93">
        <v>182.91</v>
      </c>
      <c r="E4401" s="93">
        <v>47.2</v>
      </c>
      <c r="F4401" s="93">
        <v>135.71</v>
      </c>
      <c r="G4401" s="93">
        <v>0</v>
      </c>
      <c r="H4401" s="93">
        <v>0</v>
      </c>
      <c r="N4401" s="88"/>
      <c r="O4401" s="88"/>
      <c r="P4401" s="88"/>
    </row>
    <row r="4402" spans="1:16">
      <c r="A4402" s="94">
        <v>97459</v>
      </c>
      <c r="B4402" s="87" t="s">
        <v>6137</v>
      </c>
      <c r="C4402" s="12" t="s">
        <v>4</v>
      </c>
      <c r="D4402" s="93">
        <v>305.36</v>
      </c>
      <c r="E4402" s="93">
        <v>52.2</v>
      </c>
      <c r="F4402" s="93">
        <v>253.16</v>
      </c>
      <c r="G4402" s="93">
        <v>0</v>
      </c>
      <c r="H4402" s="93">
        <v>0</v>
      </c>
      <c r="N4402" s="88"/>
      <c r="O4402" s="88"/>
      <c r="P4402" s="88"/>
    </row>
    <row r="4403" spans="1:16">
      <c r="A4403" s="94">
        <v>97460</v>
      </c>
      <c r="B4403" s="87" t="s">
        <v>6138</v>
      </c>
      <c r="C4403" s="12" t="s">
        <v>4</v>
      </c>
      <c r="D4403" s="93">
        <v>462.62</v>
      </c>
      <c r="E4403" s="93">
        <v>57.24</v>
      </c>
      <c r="F4403" s="93">
        <v>405.38</v>
      </c>
      <c r="G4403" s="93">
        <v>0</v>
      </c>
      <c r="H4403" s="93">
        <v>0</v>
      </c>
      <c r="N4403" s="88"/>
      <c r="O4403" s="88"/>
      <c r="P4403" s="88"/>
    </row>
    <row r="4404" spans="1:16">
      <c r="A4404" s="94">
        <v>97461</v>
      </c>
      <c r="B4404" s="87" t="s">
        <v>6139</v>
      </c>
      <c r="C4404" s="12" t="s">
        <v>4</v>
      </c>
      <c r="D4404" s="93">
        <v>22.5</v>
      </c>
      <c r="E4404" s="93">
        <v>6.93</v>
      </c>
      <c r="F4404" s="93">
        <v>15.57</v>
      </c>
      <c r="G4404" s="93">
        <v>0</v>
      </c>
      <c r="H4404" s="93">
        <v>0</v>
      </c>
      <c r="N4404" s="88"/>
      <c r="O4404" s="88"/>
      <c r="P4404" s="88"/>
    </row>
    <row r="4405" spans="1:16">
      <c r="A4405" s="94">
        <v>97462</v>
      </c>
      <c r="B4405" s="87" t="s">
        <v>6140</v>
      </c>
      <c r="C4405" s="12" t="s">
        <v>4</v>
      </c>
      <c r="D4405" s="93">
        <v>19.12</v>
      </c>
      <c r="E4405" s="93">
        <v>6.93</v>
      </c>
      <c r="F4405" s="93">
        <v>12.19</v>
      </c>
      <c r="G4405" s="93">
        <v>0</v>
      </c>
      <c r="H4405" s="93">
        <v>0</v>
      </c>
      <c r="N4405" s="88"/>
      <c r="O4405" s="88"/>
      <c r="P4405" s="88"/>
    </row>
    <row r="4406" spans="1:16">
      <c r="A4406" s="94">
        <v>97464</v>
      </c>
      <c r="B4406" s="87" t="s">
        <v>6141</v>
      </c>
      <c r="C4406" s="12" t="s">
        <v>4</v>
      </c>
      <c r="D4406" s="93">
        <v>32.08</v>
      </c>
      <c r="E4406" s="93">
        <v>8.85</v>
      </c>
      <c r="F4406" s="93">
        <v>23.23</v>
      </c>
      <c r="G4406" s="93">
        <v>0</v>
      </c>
      <c r="H4406" s="93">
        <v>0</v>
      </c>
      <c r="N4406" s="88"/>
      <c r="O4406" s="88"/>
      <c r="P4406" s="88"/>
    </row>
    <row r="4407" spans="1:16">
      <c r="A4407" s="94">
        <v>97465</v>
      </c>
      <c r="B4407" s="87" t="s">
        <v>6142</v>
      </c>
      <c r="C4407" s="12" t="s">
        <v>4</v>
      </c>
      <c r="D4407" s="93">
        <v>37.78</v>
      </c>
      <c r="E4407" s="93">
        <v>8.85</v>
      </c>
      <c r="F4407" s="93">
        <v>28.93</v>
      </c>
      <c r="G4407" s="93">
        <v>0</v>
      </c>
      <c r="H4407" s="93">
        <v>0</v>
      </c>
      <c r="N4407" s="88"/>
      <c r="O4407" s="88"/>
      <c r="P4407" s="88"/>
    </row>
    <row r="4408" spans="1:16">
      <c r="A4408" s="94">
        <v>97467</v>
      </c>
      <c r="B4408" s="87" t="s">
        <v>6143</v>
      </c>
      <c r="C4408" s="12" t="s">
        <v>4</v>
      </c>
      <c r="D4408" s="93">
        <v>40.659999999999997</v>
      </c>
      <c r="E4408" s="93">
        <v>11.07</v>
      </c>
      <c r="F4408" s="93">
        <v>29.59</v>
      </c>
      <c r="G4408" s="93">
        <v>0</v>
      </c>
      <c r="H4408" s="93">
        <v>0</v>
      </c>
      <c r="N4408" s="88"/>
      <c r="O4408" s="88"/>
      <c r="P4408" s="88"/>
    </row>
    <row r="4409" spans="1:16">
      <c r="A4409" s="94">
        <v>97468</v>
      </c>
      <c r="B4409" s="87" t="s">
        <v>6144</v>
      </c>
      <c r="C4409" s="12" t="s">
        <v>4</v>
      </c>
      <c r="D4409" s="93">
        <v>47.95</v>
      </c>
      <c r="E4409" s="93">
        <v>11.07</v>
      </c>
      <c r="F4409" s="93">
        <v>36.880000000000003</v>
      </c>
      <c r="G4409" s="93">
        <v>0</v>
      </c>
      <c r="H4409" s="93">
        <v>0</v>
      </c>
      <c r="N4409" s="88"/>
      <c r="O4409" s="88"/>
      <c r="P4409" s="88"/>
    </row>
    <row r="4410" spans="1:16">
      <c r="A4410" s="94">
        <v>97470</v>
      </c>
      <c r="B4410" s="87" t="s">
        <v>6145</v>
      </c>
      <c r="C4410" s="12" t="s">
        <v>4</v>
      </c>
      <c r="D4410" s="93">
        <v>59.31</v>
      </c>
      <c r="E4410" s="93">
        <v>13.85</v>
      </c>
      <c r="F4410" s="93">
        <v>45.46</v>
      </c>
      <c r="G4410" s="93">
        <v>0</v>
      </c>
      <c r="H4410" s="93">
        <v>0</v>
      </c>
      <c r="N4410" s="88"/>
      <c r="O4410" s="88"/>
      <c r="P4410" s="88"/>
    </row>
    <row r="4411" spans="1:16">
      <c r="A4411" s="94">
        <v>97471</v>
      </c>
      <c r="B4411" s="87" t="s">
        <v>6146</v>
      </c>
      <c r="C4411" s="12" t="s">
        <v>4</v>
      </c>
      <c r="D4411" s="93">
        <v>70.849999999999994</v>
      </c>
      <c r="E4411" s="93">
        <v>13.84</v>
      </c>
      <c r="F4411" s="93">
        <v>57.01</v>
      </c>
      <c r="G4411" s="93">
        <v>0</v>
      </c>
      <c r="H4411" s="93">
        <v>0</v>
      </c>
      <c r="N4411" s="88"/>
      <c r="O4411" s="88"/>
      <c r="P4411" s="88"/>
    </row>
    <row r="4412" spans="1:16">
      <c r="A4412" s="94">
        <v>97474</v>
      </c>
      <c r="B4412" s="87" t="s">
        <v>6147</v>
      </c>
      <c r="C4412" s="12" t="s">
        <v>4</v>
      </c>
      <c r="D4412" s="93">
        <v>106.3</v>
      </c>
      <c r="E4412" s="93">
        <v>17.989999999999998</v>
      </c>
      <c r="F4412" s="93">
        <v>88.31</v>
      </c>
      <c r="G4412" s="93">
        <v>0</v>
      </c>
      <c r="H4412" s="93">
        <v>0</v>
      </c>
      <c r="N4412" s="88"/>
      <c r="O4412" s="88"/>
      <c r="P4412" s="88"/>
    </row>
    <row r="4413" spans="1:16">
      <c r="A4413" s="94">
        <v>97475</v>
      </c>
      <c r="B4413" s="87" t="s">
        <v>6148</v>
      </c>
      <c r="C4413" s="12" t="s">
        <v>4</v>
      </c>
      <c r="D4413" s="93">
        <v>129.62</v>
      </c>
      <c r="E4413" s="93">
        <v>17.989999999999998</v>
      </c>
      <c r="F4413" s="93">
        <v>111.63</v>
      </c>
      <c r="G4413" s="93">
        <v>0</v>
      </c>
      <c r="H4413" s="93">
        <v>0</v>
      </c>
      <c r="N4413" s="88"/>
      <c r="O4413" s="88"/>
      <c r="P4413" s="88"/>
    </row>
    <row r="4414" spans="1:16">
      <c r="A4414" s="94">
        <v>97477</v>
      </c>
      <c r="B4414" s="87" t="s">
        <v>6149</v>
      </c>
      <c r="C4414" s="12" t="s">
        <v>4</v>
      </c>
      <c r="D4414" s="93">
        <v>141.08000000000001</v>
      </c>
      <c r="E4414" s="93">
        <v>22.2</v>
      </c>
      <c r="F4414" s="93">
        <v>118.88</v>
      </c>
      <c r="G4414" s="93">
        <v>0</v>
      </c>
      <c r="H4414" s="93">
        <v>0</v>
      </c>
      <c r="N4414" s="88"/>
      <c r="O4414" s="88"/>
      <c r="P4414" s="88"/>
    </row>
    <row r="4415" spans="1:16">
      <c r="A4415" s="94">
        <v>97478</v>
      </c>
      <c r="B4415" s="87" t="s">
        <v>6150</v>
      </c>
      <c r="C4415" s="12" t="s">
        <v>4</v>
      </c>
      <c r="D4415" s="93">
        <v>172.49</v>
      </c>
      <c r="E4415" s="93">
        <v>22.2</v>
      </c>
      <c r="F4415" s="93">
        <v>150.29</v>
      </c>
      <c r="G4415" s="93">
        <v>0</v>
      </c>
      <c r="H4415" s="93">
        <v>0</v>
      </c>
      <c r="N4415" s="88"/>
      <c r="O4415" s="88"/>
      <c r="P4415" s="88"/>
    </row>
    <row r="4416" spans="1:16">
      <c r="A4416" s="94">
        <v>97479</v>
      </c>
      <c r="B4416" s="87" t="s">
        <v>6151</v>
      </c>
      <c r="C4416" s="12" t="s">
        <v>4</v>
      </c>
      <c r="D4416" s="93">
        <v>36.090000000000003</v>
      </c>
      <c r="E4416" s="93">
        <v>10.37</v>
      </c>
      <c r="F4416" s="93">
        <v>25.72</v>
      </c>
      <c r="G4416" s="93">
        <v>0</v>
      </c>
      <c r="H4416" s="93">
        <v>0</v>
      </c>
      <c r="N4416" s="88"/>
      <c r="O4416" s="88"/>
      <c r="P4416" s="88"/>
    </row>
    <row r="4417" spans="1:16">
      <c r="A4417" s="94">
        <v>97480</v>
      </c>
      <c r="B4417" s="87" t="s">
        <v>6152</v>
      </c>
      <c r="C4417" s="12" t="s">
        <v>4</v>
      </c>
      <c r="D4417" s="93">
        <v>36.090000000000003</v>
      </c>
      <c r="E4417" s="93">
        <v>10.37</v>
      </c>
      <c r="F4417" s="93">
        <v>25.72</v>
      </c>
      <c r="G4417" s="93">
        <v>0</v>
      </c>
      <c r="H4417" s="93">
        <v>0</v>
      </c>
      <c r="N4417" s="88"/>
      <c r="O4417" s="88"/>
      <c r="P4417" s="88"/>
    </row>
    <row r="4418" spans="1:16">
      <c r="A4418" s="94">
        <v>97481</v>
      </c>
      <c r="B4418" s="87" t="s">
        <v>6153</v>
      </c>
      <c r="C4418" s="12" t="s">
        <v>4</v>
      </c>
      <c r="D4418" s="93">
        <v>51.76</v>
      </c>
      <c r="E4418" s="93">
        <v>13.29</v>
      </c>
      <c r="F4418" s="93">
        <v>38.47</v>
      </c>
      <c r="G4418" s="93">
        <v>0</v>
      </c>
      <c r="H4418" s="93">
        <v>0</v>
      </c>
      <c r="N4418" s="88"/>
      <c r="O4418" s="88"/>
      <c r="P4418" s="88"/>
    </row>
    <row r="4419" spans="1:16">
      <c r="A4419" s="94">
        <v>97482</v>
      </c>
      <c r="B4419" s="87" t="s">
        <v>6154</v>
      </c>
      <c r="C4419" s="12" t="s">
        <v>4</v>
      </c>
      <c r="D4419" s="93">
        <v>51.76</v>
      </c>
      <c r="E4419" s="93">
        <v>13.29</v>
      </c>
      <c r="F4419" s="93">
        <v>38.47</v>
      </c>
      <c r="G4419" s="93">
        <v>0</v>
      </c>
      <c r="H4419" s="93">
        <v>0</v>
      </c>
      <c r="N4419" s="88"/>
      <c r="O4419" s="88"/>
      <c r="P4419" s="88"/>
    </row>
    <row r="4420" spans="1:16">
      <c r="A4420" s="94">
        <v>97483</v>
      </c>
      <c r="B4420" s="87" t="s">
        <v>6155</v>
      </c>
      <c r="C4420" s="12" t="s">
        <v>4</v>
      </c>
      <c r="D4420" s="93">
        <v>71.89</v>
      </c>
      <c r="E4420" s="93">
        <v>16.62</v>
      </c>
      <c r="F4420" s="93">
        <v>55.27</v>
      </c>
      <c r="G4420" s="93">
        <v>0</v>
      </c>
      <c r="H4420" s="93">
        <v>0</v>
      </c>
      <c r="N4420" s="88"/>
      <c r="O4420" s="88"/>
      <c r="P4420" s="88"/>
    </row>
    <row r="4421" spans="1:16">
      <c r="A4421" s="94">
        <v>97484</v>
      </c>
      <c r="B4421" s="87" t="s">
        <v>6156</v>
      </c>
      <c r="C4421" s="12" t="s">
        <v>4</v>
      </c>
      <c r="D4421" s="93">
        <v>71.89</v>
      </c>
      <c r="E4421" s="93">
        <v>16.62</v>
      </c>
      <c r="F4421" s="93">
        <v>55.27</v>
      </c>
      <c r="G4421" s="93">
        <v>0</v>
      </c>
      <c r="H4421" s="93">
        <v>0</v>
      </c>
      <c r="N4421" s="88"/>
      <c r="O4421" s="88"/>
      <c r="P4421" s="88"/>
    </row>
    <row r="4422" spans="1:16">
      <c r="A4422" s="94">
        <v>97485</v>
      </c>
      <c r="B4422" s="87" t="s">
        <v>6157</v>
      </c>
      <c r="C4422" s="12" t="s">
        <v>4</v>
      </c>
      <c r="D4422" s="93">
        <v>98.49</v>
      </c>
      <c r="E4422" s="93">
        <v>20.77</v>
      </c>
      <c r="F4422" s="93">
        <v>77.72</v>
      </c>
      <c r="G4422" s="93">
        <v>0</v>
      </c>
      <c r="H4422" s="93">
        <v>0</v>
      </c>
      <c r="N4422" s="88"/>
      <c r="O4422" s="88"/>
      <c r="P4422" s="88"/>
    </row>
    <row r="4423" spans="1:16">
      <c r="A4423" s="94">
        <v>97486</v>
      </c>
      <c r="B4423" s="87" t="s">
        <v>6158</v>
      </c>
      <c r="C4423" s="12" t="s">
        <v>4</v>
      </c>
      <c r="D4423" s="93">
        <v>105.07</v>
      </c>
      <c r="E4423" s="93">
        <v>20.77</v>
      </c>
      <c r="F4423" s="93">
        <v>84.3</v>
      </c>
      <c r="G4423" s="93">
        <v>0</v>
      </c>
      <c r="H4423" s="93">
        <v>0</v>
      </c>
      <c r="N4423" s="88"/>
      <c r="O4423" s="88"/>
      <c r="P4423" s="88"/>
    </row>
    <row r="4424" spans="1:16">
      <c r="A4424" s="94">
        <v>97487</v>
      </c>
      <c r="B4424" s="87" t="s">
        <v>6159</v>
      </c>
      <c r="C4424" s="12" t="s">
        <v>4</v>
      </c>
      <c r="D4424" s="93">
        <v>177.93</v>
      </c>
      <c r="E4424" s="93">
        <v>27.04</v>
      </c>
      <c r="F4424" s="93">
        <v>150.88999999999999</v>
      </c>
      <c r="G4424" s="93">
        <v>0</v>
      </c>
      <c r="H4424" s="93">
        <v>0</v>
      </c>
      <c r="N4424" s="88"/>
      <c r="O4424" s="88"/>
      <c r="P4424" s="88"/>
    </row>
    <row r="4425" spans="1:16">
      <c r="A4425" s="94">
        <v>97488</v>
      </c>
      <c r="B4425" s="87" t="s">
        <v>6160</v>
      </c>
      <c r="C4425" s="12" t="s">
        <v>4</v>
      </c>
      <c r="D4425" s="93">
        <v>188.46</v>
      </c>
      <c r="E4425" s="93">
        <v>27.04</v>
      </c>
      <c r="F4425" s="93">
        <v>161.41999999999999</v>
      </c>
      <c r="G4425" s="93">
        <v>0</v>
      </c>
      <c r="H4425" s="93">
        <v>0</v>
      </c>
      <c r="N4425" s="88"/>
      <c r="O4425" s="88"/>
      <c r="P4425" s="88"/>
    </row>
    <row r="4426" spans="1:16">
      <c r="A4426" s="94">
        <v>97489</v>
      </c>
      <c r="B4426" s="87" t="s">
        <v>6161</v>
      </c>
      <c r="C4426" s="12" t="s">
        <v>4</v>
      </c>
      <c r="D4426" s="93">
        <v>412.68</v>
      </c>
      <c r="E4426" s="93">
        <v>33.270000000000003</v>
      </c>
      <c r="F4426" s="93">
        <v>379.41</v>
      </c>
      <c r="G4426" s="93">
        <v>0</v>
      </c>
      <c r="H4426" s="93">
        <v>0</v>
      </c>
      <c r="N4426" s="88"/>
      <c r="O4426" s="88"/>
      <c r="P4426" s="88"/>
    </row>
    <row r="4427" spans="1:16">
      <c r="A4427" s="94">
        <v>97490</v>
      </c>
      <c r="B4427" s="87" t="s">
        <v>6162</v>
      </c>
      <c r="C4427" s="12" t="s">
        <v>4</v>
      </c>
      <c r="D4427" s="93">
        <v>365.44</v>
      </c>
      <c r="E4427" s="93">
        <v>33.270000000000003</v>
      </c>
      <c r="F4427" s="93">
        <v>332.17</v>
      </c>
      <c r="G4427" s="93">
        <v>0</v>
      </c>
      <c r="H4427" s="93">
        <v>0</v>
      </c>
      <c r="N4427" s="88"/>
      <c r="O4427" s="88"/>
      <c r="P4427" s="88"/>
    </row>
    <row r="4428" spans="1:16">
      <c r="A4428" s="94">
        <v>97491</v>
      </c>
      <c r="B4428" s="87" t="s">
        <v>6163</v>
      </c>
      <c r="C4428" s="12" t="s">
        <v>4</v>
      </c>
      <c r="D4428" s="93">
        <v>55.06</v>
      </c>
      <c r="E4428" s="93">
        <v>13.81</v>
      </c>
      <c r="F4428" s="93">
        <v>41.25</v>
      </c>
      <c r="G4428" s="93">
        <v>0</v>
      </c>
      <c r="H4428" s="93">
        <v>0</v>
      </c>
      <c r="N4428" s="88"/>
      <c r="O4428" s="88"/>
      <c r="P4428" s="88"/>
    </row>
    <row r="4429" spans="1:16">
      <c r="A4429" s="94">
        <v>97492</v>
      </c>
      <c r="B4429" s="87" t="s">
        <v>6164</v>
      </c>
      <c r="C4429" s="12" t="s">
        <v>4</v>
      </c>
      <c r="D4429" s="93">
        <v>80.03</v>
      </c>
      <c r="E4429" s="93">
        <v>17.71</v>
      </c>
      <c r="F4429" s="93">
        <v>62.32</v>
      </c>
      <c r="G4429" s="93">
        <v>0</v>
      </c>
      <c r="H4429" s="93">
        <v>0</v>
      </c>
      <c r="N4429" s="88"/>
      <c r="O4429" s="88"/>
      <c r="P4429" s="88"/>
    </row>
    <row r="4430" spans="1:16">
      <c r="A4430" s="94">
        <v>97493</v>
      </c>
      <c r="B4430" s="87" t="s">
        <v>6165</v>
      </c>
      <c r="C4430" s="12" t="s">
        <v>4</v>
      </c>
      <c r="D4430" s="93">
        <v>102.99</v>
      </c>
      <c r="E4430" s="93">
        <v>22.16</v>
      </c>
      <c r="F4430" s="93">
        <v>80.83</v>
      </c>
      <c r="G4430" s="93">
        <v>0</v>
      </c>
      <c r="H4430" s="93">
        <v>0</v>
      </c>
      <c r="N4430" s="88"/>
      <c r="O4430" s="88"/>
      <c r="P4430" s="88"/>
    </row>
    <row r="4431" spans="1:16">
      <c r="A4431" s="94">
        <v>97494</v>
      </c>
      <c r="B4431" s="87" t="s">
        <v>6166</v>
      </c>
      <c r="C4431" s="12" t="s">
        <v>4</v>
      </c>
      <c r="D4431" s="93">
        <v>157.72999999999999</v>
      </c>
      <c r="E4431" s="93">
        <v>27.69</v>
      </c>
      <c r="F4431" s="93">
        <v>130.04</v>
      </c>
      <c r="G4431" s="93">
        <v>0</v>
      </c>
      <c r="H4431" s="93">
        <v>0</v>
      </c>
      <c r="N4431" s="88"/>
      <c r="O4431" s="88"/>
      <c r="P4431" s="88"/>
    </row>
    <row r="4432" spans="1:16">
      <c r="A4432" s="94">
        <v>97495</v>
      </c>
      <c r="B4432" s="87" t="s">
        <v>6167</v>
      </c>
      <c r="C4432" s="12" t="s">
        <v>4</v>
      </c>
      <c r="D4432" s="93">
        <v>284.47000000000003</v>
      </c>
      <c r="E4432" s="93">
        <v>36.049999999999997</v>
      </c>
      <c r="F4432" s="93">
        <v>248.42</v>
      </c>
      <c r="G4432" s="93">
        <v>0</v>
      </c>
      <c r="H4432" s="93">
        <v>0</v>
      </c>
      <c r="N4432" s="88"/>
      <c r="O4432" s="88"/>
      <c r="P4432" s="88"/>
    </row>
    <row r="4433" spans="1:16">
      <c r="A4433" s="94">
        <v>97496</v>
      </c>
      <c r="B4433" s="87" t="s">
        <v>6168</v>
      </c>
      <c r="C4433" s="12" t="s">
        <v>4</v>
      </c>
      <c r="D4433" s="93">
        <v>446.03</v>
      </c>
      <c r="E4433" s="93">
        <v>44.4</v>
      </c>
      <c r="F4433" s="93">
        <v>401.63</v>
      </c>
      <c r="G4433" s="93">
        <v>0</v>
      </c>
      <c r="H4433" s="93">
        <v>0</v>
      </c>
      <c r="N4433" s="88"/>
      <c r="O4433" s="88"/>
      <c r="P4433" s="88"/>
    </row>
    <row r="4434" spans="1:16">
      <c r="A4434" s="94">
        <v>97499</v>
      </c>
      <c r="B4434" s="87" t="s">
        <v>6169</v>
      </c>
      <c r="C4434" s="12" t="s">
        <v>4</v>
      </c>
      <c r="D4434" s="93">
        <v>20.47</v>
      </c>
      <c r="E4434" s="93">
        <v>5.34</v>
      </c>
      <c r="F4434" s="93">
        <v>15.13</v>
      </c>
      <c r="G4434" s="93">
        <v>0</v>
      </c>
      <c r="H4434" s="93">
        <v>0</v>
      </c>
      <c r="N4434" s="88"/>
      <c r="O4434" s="88"/>
      <c r="P4434" s="88"/>
    </row>
    <row r="4435" spans="1:16">
      <c r="A4435" s="94">
        <v>97500</v>
      </c>
      <c r="B4435" s="87" t="s">
        <v>6170</v>
      </c>
      <c r="C4435" s="12" t="s">
        <v>4</v>
      </c>
      <c r="D4435" s="93">
        <v>17.09</v>
      </c>
      <c r="E4435" s="93">
        <v>5.35</v>
      </c>
      <c r="F4435" s="93">
        <v>11.74</v>
      </c>
      <c r="G4435" s="93">
        <v>0</v>
      </c>
      <c r="H4435" s="93">
        <v>0</v>
      </c>
      <c r="N4435" s="88"/>
      <c r="O4435" s="88"/>
      <c r="P4435" s="88"/>
    </row>
    <row r="4436" spans="1:16">
      <c r="A4436" s="94">
        <v>97502</v>
      </c>
      <c r="B4436" s="87" t="s">
        <v>6171</v>
      </c>
      <c r="C4436" s="12" t="s">
        <v>4</v>
      </c>
      <c r="D4436" s="93">
        <v>28.3</v>
      </c>
      <c r="E4436" s="93">
        <v>5.92</v>
      </c>
      <c r="F4436" s="93">
        <v>22.38</v>
      </c>
      <c r="G4436" s="93">
        <v>0</v>
      </c>
      <c r="H4436" s="93">
        <v>0</v>
      </c>
      <c r="N4436" s="88"/>
      <c r="O4436" s="88"/>
      <c r="P4436" s="88"/>
    </row>
    <row r="4437" spans="1:16">
      <c r="A4437" s="94">
        <v>97503</v>
      </c>
      <c r="B4437" s="87" t="s">
        <v>6172</v>
      </c>
      <c r="C4437" s="12" t="s">
        <v>4</v>
      </c>
      <c r="D4437" s="93">
        <v>34.19</v>
      </c>
      <c r="E4437" s="93">
        <v>6.07</v>
      </c>
      <c r="F4437" s="93">
        <v>28.12</v>
      </c>
      <c r="G4437" s="93">
        <v>0</v>
      </c>
      <c r="H4437" s="93">
        <v>0</v>
      </c>
      <c r="N4437" s="88"/>
      <c r="O4437" s="88"/>
      <c r="P4437" s="88"/>
    </row>
    <row r="4438" spans="1:16">
      <c r="A4438" s="94">
        <v>97505</v>
      </c>
      <c r="B4438" s="87" t="s">
        <v>6173</v>
      </c>
      <c r="C4438" s="12" t="s">
        <v>4</v>
      </c>
      <c r="D4438" s="93">
        <v>35.35</v>
      </c>
      <c r="E4438" s="93">
        <v>6.95</v>
      </c>
      <c r="F4438" s="93">
        <v>28.4</v>
      </c>
      <c r="G4438" s="93">
        <v>0</v>
      </c>
      <c r="H4438" s="93">
        <v>0</v>
      </c>
      <c r="N4438" s="88"/>
      <c r="O4438" s="88"/>
      <c r="P4438" s="88"/>
    </row>
    <row r="4439" spans="1:16">
      <c r="A4439" s="94">
        <v>97506</v>
      </c>
      <c r="B4439" s="87" t="s">
        <v>6174</v>
      </c>
      <c r="C4439" s="12" t="s">
        <v>4</v>
      </c>
      <c r="D4439" s="93">
        <v>42.64</v>
      </c>
      <c r="E4439" s="93">
        <v>6.95</v>
      </c>
      <c r="F4439" s="93">
        <v>35.69</v>
      </c>
      <c r="G4439" s="93">
        <v>0</v>
      </c>
      <c r="H4439" s="93">
        <v>0</v>
      </c>
      <c r="N4439" s="88"/>
      <c r="O4439" s="88"/>
      <c r="P4439" s="88"/>
    </row>
    <row r="4440" spans="1:16">
      <c r="A4440" s="94">
        <v>97508</v>
      </c>
      <c r="B4440" s="87" t="s">
        <v>6175</v>
      </c>
      <c r="C4440" s="12" t="s">
        <v>4</v>
      </c>
      <c r="D4440" s="93">
        <v>51.79</v>
      </c>
      <c r="E4440" s="93">
        <v>8.01</v>
      </c>
      <c r="F4440" s="93">
        <v>43.78</v>
      </c>
      <c r="G4440" s="93">
        <v>0</v>
      </c>
      <c r="H4440" s="93">
        <v>0</v>
      </c>
      <c r="N4440" s="88"/>
      <c r="O4440" s="88"/>
      <c r="P4440" s="88"/>
    </row>
    <row r="4441" spans="1:16">
      <c r="A4441" s="94">
        <v>97509</v>
      </c>
      <c r="B4441" s="87" t="s">
        <v>6176</v>
      </c>
      <c r="C4441" s="12" t="s">
        <v>4</v>
      </c>
      <c r="D4441" s="93">
        <v>63.33</v>
      </c>
      <c r="E4441" s="93">
        <v>8.01</v>
      </c>
      <c r="F4441" s="93">
        <v>55.32</v>
      </c>
      <c r="G4441" s="93">
        <v>0</v>
      </c>
      <c r="H4441" s="93">
        <v>0</v>
      </c>
      <c r="N4441" s="88"/>
      <c r="O4441" s="88"/>
      <c r="P4441" s="88"/>
    </row>
    <row r="4442" spans="1:16">
      <c r="A4442" s="94">
        <v>97511</v>
      </c>
      <c r="B4442" s="87" t="s">
        <v>6177</v>
      </c>
      <c r="C4442" s="12" t="s">
        <v>4</v>
      </c>
      <c r="D4442" s="93">
        <v>95.5</v>
      </c>
      <c r="E4442" s="93">
        <v>9.6300000000000008</v>
      </c>
      <c r="F4442" s="93">
        <v>85.87</v>
      </c>
      <c r="G4442" s="93">
        <v>0</v>
      </c>
      <c r="H4442" s="93">
        <v>0</v>
      </c>
      <c r="N4442" s="88"/>
      <c r="O4442" s="88"/>
      <c r="P4442" s="88"/>
    </row>
    <row r="4443" spans="1:16">
      <c r="A4443" s="94">
        <v>97512</v>
      </c>
      <c r="B4443" s="87" t="s">
        <v>6178</v>
      </c>
      <c r="C4443" s="12" t="s">
        <v>4</v>
      </c>
      <c r="D4443" s="93">
        <v>118.82</v>
      </c>
      <c r="E4443" s="93">
        <v>9.6199999999999992</v>
      </c>
      <c r="F4443" s="93">
        <v>109.2</v>
      </c>
      <c r="G4443" s="93">
        <v>0</v>
      </c>
      <c r="H4443" s="93">
        <v>0</v>
      </c>
      <c r="N4443" s="88"/>
      <c r="O4443" s="88"/>
      <c r="P4443" s="88"/>
    </row>
    <row r="4444" spans="1:16">
      <c r="A4444" s="94">
        <v>97514</v>
      </c>
      <c r="B4444" s="87" t="s">
        <v>6179</v>
      </c>
      <c r="C4444" s="12" t="s">
        <v>4</v>
      </c>
      <c r="D4444" s="93">
        <v>126.88</v>
      </c>
      <c r="E4444" s="93">
        <v>11.2</v>
      </c>
      <c r="F4444" s="93">
        <v>115.68</v>
      </c>
      <c r="G4444" s="93">
        <v>0</v>
      </c>
      <c r="H4444" s="93">
        <v>0</v>
      </c>
      <c r="N4444" s="88"/>
      <c r="O4444" s="88"/>
      <c r="P4444" s="88"/>
    </row>
    <row r="4445" spans="1:16">
      <c r="A4445" s="94">
        <v>97515</v>
      </c>
      <c r="B4445" s="87" t="s">
        <v>6180</v>
      </c>
      <c r="C4445" s="12" t="s">
        <v>4</v>
      </c>
      <c r="D4445" s="93">
        <v>158.29</v>
      </c>
      <c r="E4445" s="93">
        <v>11.19</v>
      </c>
      <c r="F4445" s="93">
        <v>147.1</v>
      </c>
      <c r="G4445" s="93">
        <v>0</v>
      </c>
      <c r="H4445" s="93">
        <v>0</v>
      </c>
      <c r="N4445" s="88"/>
      <c r="O4445" s="88"/>
      <c r="P4445" s="88"/>
    </row>
    <row r="4446" spans="1:16">
      <c r="A4446" s="94">
        <v>97517</v>
      </c>
      <c r="B4446" s="87" t="s">
        <v>6181</v>
      </c>
      <c r="C4446" s="12" t="s">
        <v>4</v>
      </c>
      <c r="D4446" s="93">
        <v>33.04</v>
      </c>
      <c r="E4446" s="93">
        <v>8.02</v>
      </c>
      <c r="F4446" s="93">
        <v>25.02</v>
      </c>
      <c r="G4446" s="93">
        <v>0</v>
      </c>
      <c r="H4446" s="93">
        <v>0</v>
      </c>
      <c r="N4446" s="88"/>
      <c r="O4446" s="88"/>
      <c r="P4446" s="88"/>
    </row>
    <row r="4447" spans="1:16">
      <c r="A4447" s="94">
        <v>97518</v>
      </c>
      <c r="B4447" s="87" t="s">
        <v>6182</v>
      </c>
      <c r="C4447" s="12" t="s">
        <v>4</v>
      </c>
      <c r="D4447" s="93">
        <v>33.04</v>
      </c>
      <c r="E4447" s="93">
        <v>8.02</v>
      </c>
      <c r="F4447" s="93">
        <v>25.02</v>
      </c>
      <c r="G4447" s="93">
        <v>0</v>
      </c>
      <c r="H4447" s="93">
        <v>0</v>
      </c>
      <c r="N4447" s="88"/>
      <c r="O4447" s="88"/>
      <c r="P4447" s="88"/>
    </row>
    <row r="4448" spans="1:16">
      <c r="A4448" s="94">
        <v>97519</v>
      </c>
      <c r="B4448" s="87" t="s">
        <v>6183</v>
      </c>
      <c r="C4448" s="12" t="s">
        <v>4</v>
      </c>
      <c r="D4448" s="93">
        <v>46.39</v>
      </c>
      <c r="E4448" s="93">
        <v>9.1300000000000008</v>
      </c>
      <c r="F4448" s="93">
        <v>37.26</v>
      </c>
      <c r="G4448" s="93">
        <v>0</v>
      </c>
      <c r="H4448" s="93">
        <v>0</v>
      </c>
      <c r="N4448" s="88"/>
      <c r="O4448" s="88"/>
      <c r="P4448" s="88"/>
    </row>
    <row r="4449" spans="1:16">
      <c r="A4449" s="94">
        <v>97520</v>
      </c>
      <c r="B4449" s="87" t="s">
        <v>6184</v>
      </c>
      <c r="C4449" s="12" t="s">
        <v>4</v>
      </c>
      <c r="D4449" s="93">
        <v>46.39</v>
      </c>
      <c r="E4449" s="93">
        <v>9.1300000000000008</v>
      </c>
      <c r="F4449" s="93">
        <v>37.26</v>
      </c>
      <c r="G4449" s="93">
        <v>0</v>
      </c>
      <c r="H4449" s="93">
        <v>0</v>
      </c>
      <c r="N4449" s="88"/>
      <c r="O4449" s="88"/>
      <c r="P4449" s="88"/>
    </row>
    <row r="4450" spans="1:16">
      <c r="A4450" s="94">
        <v>97521</v>
      </c>
      <c r="B4450" s="87" t="s">
        <v>6185</v>
      </c>
      <c r="C4450" s="12" t="s">
        <v>4</v>
      </c>
      <c r="D4450" s="93">
        <v>63.89</v>
      </c>
      <c r="E4450" s="93">
        <v>10.42</v>
      </c>
      <c r="F4450" s="93">
        <v>53.47</v>
      </c>
      <c r="G4450" s="93">
        <v>0</v>
      </c>
      <c r="H4450" s="93">
        <v>0</v>
      </c>
      <c r="N4450" s="88"/>
      <c r="O4450" s="88"/>
      <c r="P4450" s="88"/>
    </row>
    <row r="4451" spans="1:16">
      <c r="A4451" s="94">
        <v>97522</v>
      </c>
      <c r="B4451" s="87" t="s">
        <v>6186</v>
      </c>
      <c r="C4451" s="12" t="s">
        <v>4</v>
      </c>
      <c r="D4451" s="93">
        <v>63.89</v>
      </c>
      <c r="E4451" s="93">
        <v>10.42</v>
      </c>
      <c r="F4451" s="93">
        <v>53.47</v>
      </c>
      <c r="G4451" s="93">
        <v>0</v>
      </c>
      <c r="H4451" s="93">
        <v>0</v>
      </c>
      <c r="N4451" s="88"/>
      <c r="O4451" s="88"/>
      <c r="P4451" s="88"/>
    </row>
    <row r="4452" spans="1:16">
      <c r="A4452" s="94">
        <v>97523</v>
      </c>
      <c r="B4452" s="87" t="s">
        <v>6187</v>
      </c>
      <c r="C4452" s="12" t="s">
        <v>4</v>
      </c>
      <c r="D4452" s="93">
        <v>87.21</v>
      </c>
      <c r="E4452" s="93">
        <v>12.03</v>
      </c>
      <c r="F4452" s="93">
        <v>75.180000000000007</v>
      </c>
      <c r="G4452" s="93">
        <v>0</v>
      </c>
      <c r="H4452" s="93">
        <v>0</v>
      </c>
      <c r="N4452" s="88"/>
      <c r="O4452" s="88"/>
      <c r="P4452" s="88"/>
    </row>
    <row r="4453" spans="1:16">
      <c r="A4453" s="94">
        <v>97524</v>
      </c>
      <c r="B4453" s="87" t="s">
        <v>6188</v>
      </c>
      <c r="C4453" s="12" t="s">
        <v>4</v>
      </c>
      <c r="D4453" s="93">
        <v>93.79</v>
      </c>
      <c r="E4453" s="93">
        <v>12.03</v>
      </c>
      <c r="F4453" s="93">
        <v>81.760000000000005</v>
      </c>
      <c r="G4453" s="93">
        <v>0</v>
      </c>
      <c r="H4453" s="93">
        <v>0</v>
      </c>
      <c r="N4453" s="88"/>
      <c r="O4453" s="88"/>
      <c r="P4453" s="88"/>
    </row>
    <row r="4454" spans="1:16">
      <c r="A4454" s="94">
        <v>97525</v>
      </c>
      <c r="B4454" s="87" t="s">
        <v>6189</v>
      </c>
      <c r="C4454" s="12" t="s">
        <v>4</v>
      </c>
      <c r="D4454" s="93">
        <v>161.63</v>
      </c>
      <c r="E4454" s="93">
        <v>14.44</v>
      </c>
      <c r="F4454" s="93">
        <v>147.19</v>
      </c>
      <c r="G4454" s="93">
        <v>0</v>
      </c>
      <c r="H4454" s="93">
        <v>0</v>
      </c>
      <c r="N4454" s="88"/>
      <c r="O4454" s="88"/>
      <c r="P4454" s="88"/>
    </row>
    <row r="4455" spans="1:16">
      <c r="A4455" s="94">
        <v>97526</v>
      </c>
      <c r="B4455" s="87" t="s">
        <v>6190</v>
      </c>
      <c r="C4455" s="12" t="s">
        <v>4</v>
      </c>
      <c r="D4455" s="93">
        <v>172.16</v>
      </c>
      <c r="E4455" s="93">
        <v>14.44</v>
      </c>
      <c r="F4455" s="93">
        <v>157.72</v>
      </c>
      <c r="G4455" s="93">
        <v>0</v>
      </c>
      <c r="H4455" s="93">
        <v>0</v>
      </c>
      <c r="N4455" s="88"/>
      <c r="O4455" s="88"/>
      <c r="P4455" s="88"/>
    </row>
    <row r="4456" spans="1:16">
      <c r="A4456" s="94">
        <v>97527</v>
      </c>
      <c r="B4456" s="87" t="s">
        <v>6191</v>
      </c>
      <c r="C4456" s="12" t="s">
        <v>4</v>
      </c>
      <c r="D4456" s="93">
        <v>391.43</v>
      </c>
      <c r="E4456" s="93">
        <v>16.82</v>
      </c>
      <c r="F4456" s="93">
        <v>374.61</v>
      </c>
      <c r="G4456" s="93">
        <v>0</v>
      </c>
      <c r="H4456" s="93">
        <v>0</v>
      </c>
      <c r="N4456" s="88"/>
      <c r="O4456" s="88"/>
      <c r="P4456" s="88"/>
    </row>
    <row r="4457" spans="1:16">
      <c r="A4457" s="94">
        <v>97528</v>
      </c>
      <c r="B4457" s="87" t="s">
        <v>6192</v>
      </c>
      <c r="C4457" s="12" t="s">
        <v>4</v>
      </c>
      <c r="D4457" s="93">
        <v>344.19</v>
      </c>
      <c r="E4457" s="93">
        <v>16.82</v>
      </c>
      <c r="F4457" s="93">
        <v>327.37</v>
      </c>
      <c r="G4457" s="93">
        <v>0</v>
      </c>
      <c r="H4457" s="93">
        <v>0</v>
      </c>
      <c r="N4457" s="88"/>
      <c r="O4457" s="88"/>
      <c r="P4457" s="88"/>
    </row>
    <row r="4458" spans="1:16">
      <c r="A4458" s="94">
        <v>97529</v>
      </c>
      <c r="B4458" s="87" t="s">
        <v>6193</v>
      </c>
      <c r="C4458" s="12" t="s">
        <v>4</v>
      </c>
      <c r="D4458" s="93">
        <v>51.06</v>
      </c>
      <c r="E4458" s="93">
        <v>10.7</v>
      </c>
      <c r="F4458" s="93">
        <v>40.36</v>
      </c>
      <c r="G4458" s="93">
        <v>0</v>
      </c>
      <c r="H4458" s="93">
        <v>0</v>
      </c>
      <c r="N4458" s="88"/>
      <c r="O4458" s="88"/>
      <c r="P4458" s="88"/>
    </row>
    <row r="4459" spans="1:16">
      <c r="A4459" s="94">
        <v>97530</v>
      </c>
      <c r="B4459" s="87" t="s">
        <v>6194</v>
      </c>
      <c r="C4459" s="12" t="s">
        <v>4</v>
      </c>
      <c r="D4459" s="93">
        <v>72.86</v>
      </c>
      <c r="E4459" s="93">
        <v>12.17</v>
      </c>
      <c r="F4459" s="93">
        <v>60.69</v>
      </c>
      <c r="G4459" s="93">
        <v>0</v>
      </c>
      <c r="H4459" s="93">
        <v>0</v>
      </c>
      <c r="N4459" s="88"/>
      <c r="O4459" s="88"/>
      <c r="P4459" s="88"/>
    </row>
    <row r="4460" spans="1:16">
      <c r="A4460" s="94">
        <v>97531</v>
      </c>
      <c r="B4460" s="87" t="s">
        <v>6195</v>
      </c>
      <c r="C4460" s="12" t="s">
        <v>4</v>
      </c>
      <c r="D4460" s="93">
        <v>92.3</v>
      </c>
      <c r="E4460" s="93">
        <v>13.87</v>
      </c>
      <c r="F4460" s="93">
        <v>78.430000000000007</v>
      </c>
      <c r="G4460" s="93">
        <v>0</v>
      </c>
      <c r="H4460" s="93">
        <v>0</v>
      </c>
      <c r="N4460" s="88"/>
      <c r="O4460" s="88"/>
      <c r="P4460" s="88"/>
    </row>
    <row r="4461" spans="1:16">
      <c r="A4461" s="94">
        <v>97532</v>
      </c>
      <c r="B4461" s="87" t="s">
        <v>6196</v>
      </c>
      <c r="C4461" s="12" t="s">
        <v>4</v>
      </c>
      <c r="D4461" s="93">
        <v>142.69</v>
      </c>
      <c r="E4461" s="93">
        <v>16.05</v>
      </c>
      <c r="F4461" s="93">
        <v>126.64</v>
      </c>
      <c r="G4461" s="93">
        <v>0</v>
      </c>
      <c r="H4461" s="93">
        <v>0</v>
      </c>
      <c r="N4461" s="88"/>
      <c r="O4461" s="88"/>
      <c r="P4461" s="88"/>
    </row>
    <row r="4462" spans="1:16">
      <c r="A4462" s="94">
        <v>97533</v>
      </c>
      <c r="B4462" s="87" t="s">
        <v>6197</v>
      </c>
      <c r="C4462" s="12" t="s">
        <v>4</v>
      </c>
      <c r="D4462" s="93">
        <v>265.97000000000003</v>
      </c>
      <c r="E4462" s="93">
        <v>21.72</v>
      </c>
      <c r="F4462" s="93">
        <v>244.25</v>
      </c>
      <c r="G4462" s="93">
        <v>0</v>
      </c>
      <c r="H4462" s="93">
        <v>0</v>
      </c>
      <c r="N4462" s="88"/>
      <c r="O4462" s="88"/>
      <c r="P4462" s="88"/>
    </row>
    <row r="4463" spans="1:16">
      <c r="A4463" s="94">
        <v>97534</v>
      </c>
      <c r="B4463" s="87" t="s">
        <v>6198</v>
      </c>
      <c r="C4463" s="12" t="s">
        <v>4</v>
      </c>
      <c r="D4463" s="93">
        <v>417.68</v>
      </c>
      <c r="E4463" s="93">
        <v>22.46</v>
      </c>
      <c r="F4463" s="93">
        <v>395.22</v>
      </c>
      <c r="G4463" s="93">
        <v>0</v>
      </c>
      <c r="H4463" s="93">
        <v>0</v>
      </c>
      <c r="N4463" s="88"/>
      <c r="O4463" s="88"/>
      <c r="P4463" s="88"/>
    </row>
    <row r="4464" spans="1:16">
      <c r="A4464" s="94">
        <v>97537</v>
      </c>
      <c r="B4464" s="87" t="s">
        <v>6199</v>
      </c>
      <c r="C4464" s="12" t="s">
        <v>4</v>
      </c>
      <c r="D4464" s="93">
        <v>15.75</v>
      </c>
      <c r="E4464" s="93">
        <v>5.26</v>
      </c>
      <c r="F4464" s="93">
        <v>10.49</v>
      </c>
      <c r="G4464" s="93">
        <v>0</v>
      </c>
      <c r="H4464" s="93">
        <v>0</v>
      </c>
      <c r="N4464" s="88"/>
      <c r="O4464" s="88"/>
      <c r="P4464" s="88"/>
    </row>
    <row r="4465" spans="1:16">
      <c r="A4465" s="94">
        <v>97540</v>
      </c>
      <c r="B4465" s="87" t="s">
        <v>6200</v>
      </c>
      <c r="C4465" s="12" t="s">
        <v>4</v>
      </c>
      <c r="D4465" s="93">
        <v>21.76</v>
      </c>
      <c r="E4465" s="93">
        <v>9.06</v>
      </c>
      <c r="F4465" s="93">
        <v>12.7</v>
      </c>
      <c r="G4465" s="93">
        <v>0</v>
      </c>
      <c r="H4465" s="93">
        <v>0</v>
      </c>
      <c r="N4465" s="88"/>
      <c r="O4465" s="88"/>
      <c r="P4465" s="88"/>
    </row>
    <row r="4466" spans="1:16">
      <c r="A4466" s="94">
        <v>97541</v>
      </c>
      <c r="B4466" s="87" t="s">
        <v>6201</v>
      </c>
      <c r="C4466" s="12" t="s">
        <v>4</v>
      </c>
      <c r="D4466" s="93">
        <v>18.96</v>
      </c>
      <c r="E4466" s="93">
        <v>9.06</v>
      </c>
      <c r="F4466" s="93">
        <v>9.9</v>
      </c>
      <c r="G4466" s="93">
        <v>0</v>
      </c>
      <c r="H4466" s="93">
        <v>0</v>
      </c>
      <c r="N4466" s="88"/>
      <c r="O4466" s="88"/>
      <c r="P4466" s="88"/>
    </row>
    <row r="4467" spans="1:16">
      <c r="A4467" s="94">
        <v>97543</v>
      </c>
      <c r="B4467" s="87" t="s">
        <v>6202</v>
      </c>
      <c r="C4467" s="12" t="s">
        <v>4</v>
      </c>
      <c r="D4467" s="93">
        <v>36.29</v>
      </c>
      <c r="E4467" s="93">
        <v>17.62</v>
      </c>
      <c r="F4467" s="93">
        <v>18.670000000000002</v>
      </c>
      <c r="G4467" s="93">
        <v>0</v>
      </c>
      <c r="H4467" s="93">
        <v>0</v>
      </c>
      <c r="N4467" s="88"/>
      <c r="O4467" s="88"/>
      <c r="P4467" s="88"/>
    </row>
    <row r="4468" spans="1:16">
      <c r="A4468" s="94">
        <v>97544</v>
      </c>
      <c r="B4468" s="87" t="s">
        <v>6203</v>
      </c>
      <c r="C4468" s="12" t="s">
        <v>4</v>
      </c>
      <c r="D4468" s="93">
        <v>32.909999999999997</v>
      </c>
      <c r="E4468" s="93">
        <v>17.63</v>
      </c>
      <c r="F4468" s="93">
        <v>15.28</v>
      </c>
      <c r="G4468" s="93">
        <v>0</v>
      </c>
      <c r="H4468" s="93">
        <v>0</v>
      </c>
      <c r="N4468" s="88"/>
      <c r="O4468" s="88"/>
      <c r="P4468" s="88"/>
    </row>
    <row r="4469" spans="1:16">
      <c r="A4469" s="94">
        <v>97546</v>
      </c>
      <c r="B4469" s="87" t="s">
        <v>6204</v>
      </c>
      <c r="C4469" s="12" t="s">
        <v>4</v>
      </c>
      <c r="D4469" s="93">
        <v>22.22</v>
      </c>
      <c r="E4469" s="93">
        <v>7.95</v>
      </c>
      <c r="F4469" s="93">
        <v>14.27</v>
      </c>
      <c r="G4469" s="93">
        <v>0</v>
      </c>
      <c r="H4469" s="93">
        <v>0</v>
      </c>
      <c r="N4469" s="88"/>
      <c r="O4469" s="88"/>
      <c r="P4469" s="88"/>
    </row>
    <row r="4470" spans="1:16">
      <c r="A4470" s="94">
        <v>97547</v>
      </c>
      <c r="B4470" s="87" t="s">
        <v>6205</v>
      </c>
      <c r="C4470" s="12" t="s">
        <v>4</v>
      </c>
      <c r="D4470" s="93">
        <v>22.22</v>
      </c>
      <c r="E4470" s="93">
        <v>7.95</v>
      </c>
      <c r="F4470" s="93">
        <v>14.27</v>
      </c>
      <c r="G4470" s="93">
        <v>0</v>
      </c>
      <c r="H4470" s="93">
        <v>0</v>
      </c>
      <c r="N4470" s="88"/>
      <c r="O4470" s="88"/>
      <c r="P4470" s="88"/>
    </row>
    <row r="4471" spans="1:16">
      <c r="A4471" s="94">
        <v>97548</v>
      </c>
      <c r="B4471" s="87" t="s">
        <v>6206</v>
      </c>
      <c r="C4471" s="12" t="s">
        <v>4</v>
      </c>
      <c r="D4471" s="93">
        <v>33.49</v>
      </c>
      <c r="E4471" s="93">
        <v>13.57</v>
      </c>
      <c r="F4471" s="93">
        <v>19.920000000000002</v>
      </c>
      <c r="G4471" s="93">
        <v>0</v>
      </c>
      <c r="H4471" s="93">
        <v>0</v>
      </c>
      <c r="N4471" s="88"/>
      <c r="O4471" s="88"/>
      <c r="P4471" s="88"/>
    </row>
    <row r="4472" spans="1:16">
      <c r="A4472" s="94">
        <v>97549</v>
      </c>
      <c r="B4472" s="87" t="s">
        <v>6207</v>
      </c>
      <c r="C4472" s="12" t="s">
        <v>4</v>
      </c>
      <c r="D4472" s="93">
        <v>33.49</v>
      </c>
      <c r="E4472" s="93">
        <v>13.57</v>
      </c>
      <c r="F4472" s="93">
        <v>19.920000000000002</v>
      </c>
      <c r="G4472" s="93">
        <v>0</v>
      </c>
      <c r="H4472" s="93">
        <v>0</v>
      </c>
      <c r="N4472" s="88"/>
      <c r="O4472" s="88"/>
      <c r="P4472" s="88"/>
    </row>
    <row r="4473" spans="1:16">
      <c r="A4473" s="94">
        <v>97550</v>
      </c>
      <c r="B4473" s="87" t="s">
        <v>6208</v>
      </c>
      <c r="C4473" s="12" t="s">
        <v>4</v>
      </c>
      <c r="D4473" s="93">
        <v>56.8</v>
      </c>
      <c r="E4473" s="93">
        <v>26.44</v>
      </c>
      <c r="F4473" s="93">
        <v>30.36</v>
      </c>
      <c r="G4473" s="93">
        <v>0</v>
      </c>
      <c r="H4473" s="93">
        <v>0</v>
      </c>
      <c r="N4473" s="88"/>
      <c r="O4473" s="88"/>
      <c r="P4473" s="88"/>
    </row>
    <row r="4474" spans="1:16">
      <c r="A4474" s="94">
        <v>97551</v>
      </c>
      <c r="B4474" s="87" t="s">
        <v>6209</v>
      </c>
      <c r="C4474" s="12" t="s">
        <v>4</v>
      </c>
      <c r="D4474" s="93">
        <v>56.8</v>
      </c>
      <c r="E4474" s="93">
        <v>26.44</v>
      </c>
      <c r="F4474" s="93">
        <v>30.36</v>
      </c>
      <c r="G4474" s="93">
        <v>0</v>
      </c>
      <c r="H4474" s="93">
        <v>0</v>
      </c>
      <c r="N4474" s="88"/>
      <c r="O4474" s="88"/>
      <c r="P4474" s="88"/>
    </row>
    <row r="4475" spans="1:16">
      <c r="A4475" s="94">
        <v>97552</v>
      </c>
      <c r="B4475" s="87" t="s">
        <v>6210</v>
      </c>
      <c r="C4475" s="12" t="s">
        <v>4</v>
      </c>
      <c r="D4475" s="93">
        <v>32.06</v>
      </c>
      <c r="E4475" s="93">
        <v>10.57</v>
      </c>
      <c r="F4475" s="93">
        <v>21.49</v>
      </c>
      <c r="G4475" s="93">
        <v>0</v>
      </c>
      <c r="H4475" s="93">
        <v>0</v>
      </c>
      <c r="N4475" s="88"/>
      <c r="O4475" s="88"/>
      <c r="P4475" s="88"/>
    </row>
    <row r="4476" spans="1:16">
      <c r="A4476" s="94">
        <v>97553</v>
      </c>
      <c r="B4476" s="87" t="s">
        <v>6211</v>
      </c>
      <c r="C4476" s="12" t="s">
        <v>4</v>
      </c>
      <c r="D4476" s="93">
        <v>47.09</v>
      </c>
      <c r="E4476" s="93">
        <v>18.11</v>
      </c>
      <c r="F4476" s="93">
        <v>28.98</v>
      </c>
      <c r="G4476" s="93">
        <v>0</v>
      </c>
      <c r="H4476" s="93">
        <v>0</v>
      </c>
      <c r="N4476" s="88"/>
      <c r="O4476" s="88"/>
      <c r="P4476" s="88"/>
    </row>
    <row r="4477" spans="1:16">
      <c r="A4477" s="94">
        <v>97554</v>
      </c>
      <c r="B4477" s="87" t="s">
        <v>6212</v>
      </c>
      <c r="C4477" s="12" t="s">
        <v>4</v>
      </c>
      <c r="D4477" s="93">
        <v>82.75</v>
      </c>
      <c r="E4477" s="93">
        <v>35.25</v>
      </c>
      <c r="F4477" s="93">
        <v>47.5</v>
      </c>
      <c r="G4477" s="93">
        <v>0</v>
      </c>
      <c r="H4477" s="93">
        <v>0</v>
      </c>
      <c r="N4477" s="88"/>
      <c r="O4477" s="88"/>
      <c r="P4477" s="88"/>
    </row>
    <row r="4478" spans="1:16">
      <c r="A4478" s="94">
        <v>98602</v>
      </c>
      <c r="B4478" s="87" t="s">
        <v>3732</v>
      </c>
      <c r="C4478" s="12" t="s">
        <v>4</v>
      </c>
      <c r="D4478" s="93">
        <v>13.52</v>
      </c>
      <c r="E4478" s="93">
        <v>1.84</v>
      </c>
      <c r="F4478" s="93">
        <v>11.68</v>
      </c>
      <c r="G4478" s="93">
        <v>0</v>
      </c>
      <c r="H4478" s="93">
        <v>0</v>
      </c>
      <c r="N4478" s="88"/>
      <c r="O4478" s="88"/>
      <c r="P4478" s="88"/>
    </row>
    <row r="4479" spans="1:16">
      <c r="A4479" s="94">
        <v>6171</v>
      </c>
      <c r="B4479" s="87" t="s">
        <v>6727</v>
      </c>
      <c r="C4479" s="12" t="s">
        <v>4</v>
      </c>
      <c r="D4479" s="93">
        <v>26.73</v>
      </c>
      <c r="E4479" s="93">
        <v>5.51</v>
      </c>
      <c r="F4479" s="93">
        <v>21.21</v>
      </c>
      <c r="G4479" s="93">
        <v>0</v>
      </c>
      <c r="H4479" s="93">
        <v>0</v>
      </c>
      <c r="N4479" s="88"/>
      <c r="O4479" s="88"/>
      <c r="P4479" s="88"/>
    </row>
    <row r="4480" spans="1:16">
      <c r="A4480" s="94">
        <v>88503</v>
      </c>
      <c r="B4480" s="87" t="s">
        <v>371</v>
      </c>
      <c r="C4480" s="12" t="s">
        <v>4</v>
      </c>
      <c r="D4480" s="93">
        <v>732.81</v>
      </c>
      <c r="E4480" s="93">
        <v>224.67</v>
      </c>
      <c r="F4480" s="93">
        <v>508.14</v>
      </c>
      <c r="G4480" s="93">
        <v>0</v>
      </c>
      <c r="H4480" s="93">
        <v>0</v>
      </c>
      <c r="N4480" s="88"/>
      <c r="O4480" s="88"/>
      <c r="P4480" s="88"/>
    </row>
    <row r="4481" spans="1:16">
      <c r="A4481" s="94">
        <v>88504</v>
      </c>
      <c r="B4481" s="87" t="s">
        <v>372</v>
      </c>
      <c r="C4481" s="12" t="s">
        <v>4</v>
      </c>
      <c r="D4481" s="93">
        <v>596.53</v>
      </c>
      <c r="E4481" s="93">
        <v>224.68</v>
      </c>
      <c r="F4481" s="93">
        <v>371.85</v>
      </c>
      <c r="G4481" s="93">
        <v>0</v>
      </c>
      <c r="H4481" s="93">
        <v>0</v>
      </c>
      <c r="N4481" s="88"/>
      <c r="O4481" s="88"/>
      <c r="P4481" s="88"/>
    </row>
    <row r="4482" spans="1:16">
      <c r="A4482" s="94">
        <v>97895</v>
      </c>
      <c r="B4482" s="87" t="s">
        <v>6728</v>
      </c>
      <c r="C4482" s="12" t="s">
        <v>4</v>
      </c>
      <c r="D4482" s="93">
        <v>107.21</v>
      </c>
      <c r="E4482" s="93">
        <v>16.100000000000001</v>
      </c>
      <c r="F4482" s="93">
        <v>90.95</v>
      </c>
      <c r="G4482" s="93">
        <v>0.08</v>
      </c>
      <c r="H4482" s="93">
        <v>0</v>
      </c>
      <c r="N4482" s="88"/>
      <c r="O4482" s="88"/>
      <c r="P4482" s="88"/>
    </row>
    <row r="4483" spans="1:16">
      <c r="A4483" s="94">
        <v>97896</v>
      </c>
      <c r="B4483" s="87" t="s">
        <v>6729</v>
      </c>
      <c r="C4483" s="12" t="s">
        <v>4</v>
      </c>
      <c r="D4483" s="93">
        <v>187.43</v>
      </c>
      <c r="E4483" s="93">
        <v>24.06</v>
      </c>
      <c r="F4483" s="93">
        <v>161.15</v>
      </c>
      <c r="G4483" s="93">
        <v>2.09</v>
      </c>
      <c r="H4483" s="93">
        <v>0</v>
      </c>
      <c r="N4483" s="88"/>
      <c r="O4483" s="88"/>
      <c r="P4483" s="88"/>
    </row>
    <row r="4484" spans="1:16">
      <c r="A4484" s="94">
        <v>97897</v>
      </c>
      <c r="B4484" s="87" t="s">
        <v>6730</v>
      </c>
      <c r="C4484" s="12" t="s">
        <v>4</v>
      </c>
      <c r="D4484" s="93">
        <v>264.19</v>
      </c>
      <c r="E4484" s="93">
        <v>41.1</v>
      </c>
      <c r="F4484" s="93">
        <v>218.07</v>
      </c>
      <c r="G4484" s="93">
        <v>4.8</v>
      </c>
      <c r="H4484" s="93">
        <v>0</v>
      </c>
      <c r="N4484" s="88"/>
      <c r="O4484" s="88"/>
      <c r="P4484" s="88"/>
    </row>
    <row r="4485" spans="1:16">
      <c r="A4485" s="94">
        <v>97898</v>
      </c>
      <c r="B4485" s="87" t="s">
        <v>6731</v>
      </c>
      <c r="C4485" s="12" t="s">
        <v>4</v>
      </c>
      <c r="D4485" s="93">
        <v>433.31</v>
      </c>
      <c r="E4485" s="93">
        <v>70.28</v>
      </c>
      <c r="F4485" s="93">
        <v>354.74</v>
      </c>
      <c r="G4485" s="93">
        <v>7.9</v>
      </c>
      <c r="H4485" s="93">
        <v>0</v>
      </c>
      <c r="N4485" s="88"/>
      <c r="O4485" s="88"/>
      <c r="P4485" s="88"/>
    </row>
    <row r="4486" spans="1:16">
      <c r="A4486" s="94">
        <v>97900</v>
      </c>
      <c r="B4486" s="87" t="s">
        <v>6732</v>
      </c>
      <c r="C4486" s="12" t="s">
        <v>4</v>
      </c>
      <c r="D4486" s="93">
        <v>158.93</v>
      </c>
      <c r="E4486" s="93">
        <v>75.010000000000005</v>
      </c>
      <c r="F4486" s="93">
        <v>83.45</v>
      </c>
      <c r="G4486" s="93">
        <v>0.27</v>
      </c>
      <c r="H4486" s="93">
        <v>0</v>
      </c>
      <c r="N4486" s="88"/>
      <c r="O4486" s="88"/>
      <c r="P4486" s="88"/>
    </row>
    <row r="4487" spans="1:16">
      <c r="A4487" s="94">
        <v>97901</v>
      </c>
      <c r="B4487" s="87" t="s">
        <v>6733</v>
      </c>
      <c r="C4487" s="12" t="s">
        <v>4</v>
      </c>
      <c r="D4487" s="93">
        <v>252.75</v>
      </c>
      <c r="E4487" s="93">
        <v>118.8</v>
      </c>
      <c r="F4487" s="93">
        <v>133.24</v>
      </c>
      <c r="G4487" s="93">
        <v>0.39</v>
      </c>
      <c r="H4487" s="93">
        <v>0</v>
      </c>
      <c r="N4487" s="88"/>
      <c r="O4487" s="88"/>
      <c r="P4487" s="88"/>
    </row>
    <row r="4488" spans="1:16">
      <c r="A4488" s="94">
        <v>97902</v>
      </c>
      <c r="B4488" s="87" t="s">
        <v>6734</v>
      </c>
      <c r="C4488" s="12" t="s">
        <v>4</v>
      </c>
      <c r="D4488" s="93">
        <v>500.68</v>
      </c>
      <c r="E4488" s="93">
        <v>228.59</v>
      </c>
      <c r="F4488" s="93">
        <v>270.14</v>
      </c>
      <c r="G4488" s="93">
        <v>1.44</v>
      </c>
      <c r="H4488" s="93">
        <v>0</v>
      </c>
      <c r="N4488" s="88"/>
      <c r="O4488" s="88"/>
      <c r="P4488" s="88"/>
    </row>
    <row r="4489" spans="1:16">
      <c r="A4489" s="94">
        <v>97903</v>
      </c>
      <c r="B4489" s="87" t="s">
        <v>6735</v>
      </c>
      <c r="C4489" s="12" t="s">
        <v>4</v>
      </c>
      <c r="D4489" s="93">
        <v>689.13</v>
      </c>
      <c r="E4489" s="93">
        <v>314.68</v>
      </c>
      <c r="F4489" s="93">
        <v>371.42</v>
      </c>
      <c r="G4489" s="93">
        <v>2.27</v>
      </c>
      <c r="H4489" s="93">
        <v>0</v>
      </c>
      <c r="N4489" s="88"/>
      <c r="O4489" s="88"/>
      <c r="P4489" s="88"/>
    </row>
    <row r="4490" spans="1:16">
      <c r="A4490" s="94">
        <v>97904</v>
      </c>
      <c r="B4490" s="87" t="s">
        <v>6736</v>
      </c>
      <c r="C4490" s="12" t="s">
        <v>4</v>
      </c>
      <c r="D4490" s="93">
        <v>815.68</v>
      </c>
      <c r="E4490" s="93">
        <v>349.09</v>
      </c>
      <c r="F4490" s="93">
        <v>463.31</v>
      </c>
      <c r="G4490" s="93">
        <v>2.64</v>
      </c>
      <c r="H4490" s="93">
        <v>0</v>
      </c>
      <c r="N4490" s="88"/>
      <c r="O4490" s="88"/>
      <c r="P4490" s="88"/>
    </row>
    <row r="4491" spans="1:16">
      <c r="A4491" s="94">
        <v>97905</v>
      </c>
      <c r="B4491" s="87" t="s">
        <v>6737</v>
      </c>
      <c r="C4491" s="12" t="s">
        <v>4</v>
      </c>
      <c r="D4491" s="93">
        <v>191.45</v>
      </c>
      <c r="E4491" s="93">
        <v>95.32</v>
      </c>
      <c r="F4491" s="93">
        <v>95.48</v>
      </c>
      <c r="G4491" s="93">
        <v>0.35</v>
      </c>
      <c r="H4491" s="93">
        <v>0</v>
      </c>
      <c r="N4491" s="88"/>
      <c r="O4491" s="88"/>
      <c r="P4491" s="88"/>
    </row>
    <row r="4492" spans="1:16">
      <c r="A4492" s="94">
        <v>97906</v>
      </c>
      <c r="B4492" s="87" t="s">
        <v>6738</v>
      </c>
      <c r="C4492" s="12" t="s">
        <v>4</v>
      </c>
      <c r="D4492" s="93">
        <v>356.54</v>
      </c>
      <c r="E4492" s="93">
        <v>173.51</v>
      </c>
      <c r="F4492" s="93">
        <v>181.16</v>
      </c>
      <c r="G4492" s="93">
        <v>1.4</v>
      </c>
      <c r="H4492" s="93">
        <v>0</v>
      </c>
      <c r="N4492" s="88"/>
      <c r="O4492" s="88"/>
      <c r="P4492" s="88"/>
    </row>
    <row r="4493" spans="1:16">
      <c r="A4493" s="94">
        <v>97907</v>
      </c>
      <c r="B4493" s="87" t="s">
        <v>6739</v>
      </c>
      <c r="C4493" s="12" t="s">
        <v>4</v>
      </c>
      <c r="D4493" s="93">
        <v>505.21</v>
      </c>
      <c r="E4493" s="93">
        <v>244.38</v>
      </c>
      <c r="F4493" s="93">
        <v>257.89999999999998</v>
      </c>
      <c r="G4493" s="93">
        <v>2.21</v>
      </c>
      <c r="H4493" s="93">
        <v>0</v>
      </c>
      <c r="N4493" s="88"/>
      <c r="O4493" s="88"/>
      <c r="P4493" s="88"/>
    </row>
    <row r="4494" spans="1:16">
      <c r="A4494" s="94">
        <v>97908</v>
      </c>
      <c r="B4494" s="87" t="s">
        <v>6740</v>
      </c>
      <c r="C4494" s="12" t="s">
        <v>4</v>
      </c>
      <c r="D4494" s="93">
        <v>598.04999999999995</v>
      </c>
      <c r="E4494" s="93">
        <v>265.91000000000003</v>
      </c>
      <c r="F4494" s="93">
        <v>329.01</v>
      </c>
      <c r="G4494" s="93">
        <v>2.5499999999999998</v>
      </c>
      <c r="H4494" s="93">
        <v>0</v>
      </c>
      <c r="N4494" s="88"/>
      <c r="O4494" s="88"/>
      <c r="P4494" s="88"/>
    </row>
    <row r="4495" spans="1:16">
      <c r="A4495" s="94">
        <v>98102</v>
      </c>
      <c r="B4495" s="87" t="s">
        <v>6741</v>
      </c>
      <c r="C4495" s="12" t="s">
        <v>4</v>
      </c>
      <c r="D4495" s="93">
        <v>80.69</v>
      </c>
      <c r="E4495" s="93">
        <v>4.54</v>
      </c>
      <c r="F4495" s="93">
        <v>74.540000000000006</v>
      </c>
      <c r="G4495" s="93">
        <v>1.61</v>
      </c>
      <c r="H4495" s="93">
        <v>0</v>
      </c>
      <c r="N4495" s="88"/>
      <c r="O4495" s="88"/>
      <c r="P4495" s="88"/>
    </row>
    <row r="4496" spans="1:16">
      <c r="A4496" s="94">
        <v>98104</v>
      </c>
      <c r="B4496" s="87" t="s">
        <v>6742</v>
      </c>
      <c r="C4496" s="12" t="s">
        <v>4</v>
      </c>
      <c r="D4496" s="93">
        <v>339.62</v>
      </c>
      <c r="E4496" s="93">
        <v>156.77000000000001</v>
      </c>
      <c r="F4496" s="93">
        <v>182.38</v>
      </c>
      <c r="G4496" s="93">
        <v>0.24</v>
      </c>
      <c r="H4496" s="93">
        <v>0</v>
      </c>
      <c r="N4496" s="88"/>
      <c r="O4496" s="88"/>
      <c r="P4496" s="88"/>
    </row>
    <row r="4497" spans="1:16">
      <c r="A4497" s="94">
        <v>98105</v>
      </c>
      <c r="B4497" s="87" t="s">
        <v>6743</v>
      </c>
      <c r="C4497" s="12" t="s">
        <v>4</v>
      </c>
      <c r="D4497" s="93">
        <v>585.30999999999995</v>
      </c>
      <c r="E4497" s="93">
        <v>273.2</v>
      </c>
      <c r="F4497" s="93">
        <v>311.10000000000002</v>
      </c>
      <c r="G4497" s="93">
        <v>0.56999999999999995</v>
      </c>
      <c r="H4497" s="93">
        <v>0</v>
      </c>
      <c r="N4497" s="88"/>
      <c r="O4497" s="88"/>
      <c r="P4497" s="88"/>
    </row>
    <row r="4498" spans="1:16">
      <c r="A4498" s="94">
        <v>98106</v>
      </c>
      <c r="B4498" s="87" t="s">
        <v>6744</v>
      </c>
      <c r="C4498" s="12" t="s">
        <v>4</v>
      </c>
      <c r="D4498" s="93">
        <v>969.91</v>
      </c>
      <c r="E4498" s="93">
        <v>450.59</v>
      </c>
      <c r="F4498" s="93">
        <v>517.02</v>
      </c>
      <c r="G4498" s="93">
        <v>1.61</v>
      </c>
      <c r="H4498" s="93">
        <v>0</v>
      </c>
      <c r="N4498" s="88"/>
      <c r="O4498" s="88"/>
      <c r="P4498" s="88"/>
    </row>
    <row r="4499" spans="1:16">
      <c r="A4499" s="94">
        <v>98107</v>
      </c>
      <c r="B4499" s="87" t="s">
        <v>6745</v>
      </c>
      <c r="C4499" s="12" t="s">
        <v>4</v>
      </c>
      <c r="D4499" s="93">
        <v>227.45</v>
      </c>
      <c r="E4499" s="93">
        <v>113.9</v>
      </c>
      <c r="F4499" s="93">
        <v>113.13</v>
      </c>
      <c r="G4499" s="93">
        <v>0.22</v>
      </c>
      <c r="H4499" s="93">
        <v>0</v>
      </c>
      <c r="N4499" s="88"/>
      <c r="O4499" s="88"/>
      <c r="P4499" s="88"/>
    </row>
    <row r="4500" spans="1:16">
      <c r="A4500" s="94">
        <v>98108</v>
      </c>
      <c r="B4500" s="87" t="s">
        <v>6746</v>
      </c>
      <c r="C4500" s="12" t="s">
        <v>4</v>
      </c>
      <c r="D4500" s="93">
        <v>404.5</v>
      </c>
      <c r="E4500" s="93">
        <v>204.13</v>
      </c>
      <c r="F4500" s="93">
        <v>199.46</v>
      </c>
      <c r="G4500" s="93">
        <v>0.51</v>
      </c>
      <c r="H4500" s="93">
        <v>0</v>
      </c>
      <c r="N4500" s="88"/>
      <c r="O4500" s="88"/>
      <c r="P4500" s="88"/>
    </row>
    <row r="4501" spans="1:16">
      <c r="A4501" s="94">
        <v>99250</v>
      </c>
      <c r="B4501" s="87" t="s">
        <v>6747</v>
      </c>
      <c r="C4501" s="12" t="s">
        <v>4</v>
      </c>
      <c r="D4501" s="93">
        <v>155.61000000000001</v>
      </c>
      <c r="E4501" s="93">
        <v>74.819999999999993</v>
      </c>
      <c r="F4501" s="93">
        <v>80.33</v>
      </c>
      <c r="G4501" s="93">
        <v>0.26</v>
      </c>
      <c r="H4501" s="93">
        <v>0</v>
      </c>
      <c r="N4501" s="88"/>
      <c r="O4501" s="88"/>
      <c r="P4501" s="88"/>
    </row>
    <row r="4502" spans="1:16">
      <c r="A4502" s="94">
        <v>99251</v>
      </c>
      <c r="B4502" s="87" t="s">
        <v>6748</v>
      </c>
      <c r="C4502" s="12" t="s">
        <v>4</v>
      </c>
      <c r="D4502" s="93">
        <v>247.06</v>
      </c>
      <c r="E4502" s="93">
        <v>118.46</v>
      </c>
      <c r="F4502" s="93">
        <v>127.9</v>
      </c>
      <c r="G4502" s="93">
        <v>0.38</v>
      </c>
      <c r="H4502" s="93">
        <v>0</v>
      </c>
      <c r="N4502" s="88"/>
      <c r="O4502" s="88"/>
      <c r="P4502" s="88"/>
    </row>
    <row r="4503" spans="1:16">
      <c r="A4503" s="94">
        <v>99253</v>
      </c>
      <c r="B4503" s="87" t="s">
        <v>6749</v>
      </c>
      <c r="C4503" s="12" t="s">
        <v>4</v>
      </c>
      <c r="D4503" s="93">
        <v>487.9</v>
      </c>
      <c r="E4503" s="93">
        <v>227.81</v>
      </c>
      <c r="F4503" s="93">
        <v>258.16000000000003</v>
      </c>
      <c r="G4503" s="93">
        <v>1.43</v>
      </c>
      <c r="H4503" s="93">
        <v>0</v>
      </c>
      <c r="N4503" s="88"/>
      <c r="O4503" s="88"/>
      <c r="P4503" s="88"/>
    </row>
    <row r="4504" spans="1:16">
      <c r="A4504" s="94">
        <v>99255</v>
      </c>
      <c r="B4504" s="87" t="s">
        <v>6750</v>
      </c>
      <c r="C4504" s="12" t="s">
        <v>4</v>
      </c>
      <c r="D4504" s="93">
        <v>671.6</v>
      </c>
      <c r="E4504" s="93">
        <v>313.62</v>
      </c>
      <c r="F4504" s="93">
        <v>354.98</v>
      </c>
      <c r="G4504" s="93">
        <v>2.25</v>
      </c>
      <c r="H4504" s="93">
        <v>0</v>
      </c>
      <c r="N4504" s="88"/>
      <c r="O4504" s="88"/>
      <c r="P4504" s="88"/>
    </row>
    <row r="4505" spans="1:16">
      <c r="A4505" s="94">
        <v>99257</v>
      </c>
      <c r="B4505" s="87" t="s">
        <v>6751</v>
      </c>
      <c r="C4505" s="12" t="s">
        <v>4</v>
      </c>
      <c r="D4505" s="93">
        <v>793.01</v>
      </c>
      <c r="E4505" s="93">
        <v>347.72</v>
      </c>
      <c r="F4505" s="93">
        <v>442.06</v>
      </c>
      <c r="G4505" s="93">
        <v>2.61</v>
      </c>
      <c r="H4505" s="93">
        <v>0</v>
      </c>
      <c r="N4505" s="88"/>
      <c r="O4505" s="88"/>
      <c r="P4505" s="88"/>
    </row>
    <row r="4506" spans="1:16">
      <c r="A4506" s="94">
        <v>99258</v>
      </c>
      <c r="B4506" s="87" t="s">
        <v>6752</v>
      </c>
      <c r="C4506" s="12" t="s">
        <v>4</v>
      </c>
      <c r="D4506" s="93">
        <v>186.76</v>
      </c>
      <c r="E4506" s="93">
        <v>95.06</v>
      </c>
      <c r="F4506" s="93">
        <v>91.05</v>
      </c>
      <c r="G4506" s="93">
        <v>0.35</v>
      </c>
      <c r="H4506" s="93">
        <v>0</v>
      </c>
      <c r="N4506" s="88"/>
      <c r="O4506" s="88"/>
      <c r="P4506" s="88"/>
    </row>
    <row r="4507" spans="1:16">
      <c r="A4507" s="94">
        <v>99260</v>
      </c>
      <c r="B4507" s="87" t="s">
        <v>6753</v>
      </c>
      <c r="C4507" s="12" t="s">
        <v>4</v>
      </c>
      <c r="D4507" s="93">
        <v>348.49</v>
      </c>
      <c r="E4507" s="93">
        <v>173.02</v>
      </c>
      <c r="F4507" s="93">
        <v>173.62</v>
      </c>
      <c r="G4507" s="93">
        <v>1.39</v>
      </c>
      <c r="H4507" s="93">
        <v>0</v>
      </c>
      <c r="N4507" s="88"/>
      <c r="O4507" s="88"/>
      <c r="P4507" s="88"/>
    </row>
    <row r="4508" spans="1:16">
      <c r="A4508" s="94">
        <v>99262</v>
      </c>
      <c r="B4508" s="87" t="s">
        <v>6754</v>
      </c>
      <c r="C4508" s="12" t="s">
        <v>4</v>
      </c>
      <c r="D4508" s="93">
        <v>493.72</v>
      </c>
      <c r="E4508" s="93">
        <v>243.69</v>
      </c>
      <c r="F4508" s="93">
        <v>247.13</v>
      </c>
      <c r="G4508" s="93">
        <v>2.19</v>
      </c>
      <c r="H4508" s="93">
        <v>0</v>
      </c>
      <c r="N4508" s="88"/>
      <c r="O4508" s="88"/>
      <c r="P4508" s="88"/>
    </row>
    <row r="4509" spans="1:16">
      <c r="A4509" s="94">
        <v>99264</v>
      </c>
      <c r="B4509" s="87" t="s">
        <v>6755</v>
      </c>
      <c r="C4509" s="12" t="s">
        <v>4</v>
      </c>
      <c r="D4509" s="93">
        <v>582.53</v>
      </c>
      <c r="E4509" s="93">
        <v>264.97000000000003</v>
      </c>
      <c r="F4509" s="93">
        <v>314.45</v>
      </c>
      <c r="G4509" s="93">
        <v>2.54</v>
      </c>
      <c r="H4509" s="93">
        <v>0</v>
      </c>
      <c r="N4509" s="88"/>
      <c r="O4509" s="88"/>
      <c r="P4509" s="88"/>
    </row>
    <row r="4510" spans="1:16">
      <c r="A4510" s="94">
        <v>89482</v>
      </c>
      <c r="B4510" s="87" t="s">
        <v>3733</v>
      </c>
      <c r="C4510" s="12" t="s">
        <v>4</v>
      </c>
      <c r="D4510" s="93">
        <v>19.86</v>
      </c>
      <c r="E4510" s="93">
        <v>3.93</v>
      </c>
      <c r="F4510" s="93">
        <v>15.93</v>
      </c>
      <c r="G4510" s="93">
        <v>0</v>
      </c>
      <c r="H4510" s="93">
        <v>0</v>
      </c>
      <c r="N4510" s="88"/>
      <c r="O4510" s="88"/>
      <c r="P4510" s="88"/>
    </row>
    <row r="4511" spans="1:16">
      <c r="A4511" s="94">
        <v>89491</v>
      </c>
      <c r="B4511" s="87" t="s">
        <v>3734</v>
      </c>
      <c r="C4511" s="12" t="s">
        <v>4</v>
      </c>
      <c r="D4511" s="93">
        <v>47.16</v>
      </c>
      <c r="E4511" s="93">
        <v>6.11</v>
      </c>
      <c r="F4511" s="93">
        <v>41.05</v>
      </c>
      <c r="G4511" s="93">
        <v>0</v>
      </c>
      <c r="H4511" s="93">
        <v>0</v>
      </c>
      <c r="N4511" s="88"/>
      <c r="O4511" s="88"/>
      <c r="P4511" s="88"/>
    </row>
    <row r="4512" spans="1:16">
      <c r="A4512" s="94">
        <v>89495</v>
      </c>
      <c r="B4512" s="87" t="s">
        <v>3735</v>
      </c>
      <c r="C4512" s="12" t="s">
        <v>4</v>
      </c>
      <c r="D4512" s="93">
        <v>7.53</v>
      </c>
      <c r="E4512" s="93">
        <v>1.01</v>
      </c>
      <c r="F4512" s="93">
        <v>6.52</v>
      </c>
      <c r="G4512" s="93">
        <v>0</v>
      </c>
      <c r="H4512" s="93">
        <v>0</v>
      </c>
      <c r="N4512" s="88"/>
      <c r="O4512" s="88"/>
      <c r="P4512" s="88"/>
    </row>
    <row r="4513" spans="1:16">
      <c r="A4513" s="94">
        <v>89707</v>
      </c>
      <c r="B4513" s="87" t="s">
        <v>3736</v>
      </c>
      <c r="C4513" s="12" t="s">
        <v>4</v>
      </c>
      <c r="D4513" s="93">
        <v>24.38</v>
      </c>
      <c r="E4513" s="93">
        <v>7.28</v>
      </c>
      <c r="F4513" s="93">
        <v>17.100000000000001</v>
      </c>
      <c r="G4513" s="93">
        <v>0</v>
      </c>
      <c r="H4513" s="93">
        <v>0</v>
      </c>
      <c r="N4513" s="88"/>
      <c r="O4513" s="88"/>
      <c r="P4513" s="88"/>
    </row>
    <row r="4514" spans="1:16">
      <c r="A4514" s="94">
        <v>89708</v>
      </c>
      <c r="B4514" s="87" t="s">
        <v>3737</v>
      </c>
      <c r="C4514" s="12" t="s">
        <v>4</v>
      </c>
      <c r="D4514" s="93">
        <v>53.21</v>
      </c>
      <c r="E4514" s="93">
        <v>11.08</v>
      </c>
      <c r="F4514" s="93">
        <v>42.13</v>
      </c>
      <c r="G4514" s="93">
        <v>0</v>
      </c>
      <c r="H4514" s="93">
        <v>0</v>
      </c>
      <c r="N4514" s="88"/>
      <c r="O4514" s="88"/>
      <c r="P4514" s="88"/>
    </row>
    <row r="4515" spans="1:16">
      <c r="A4515" s="94">
        <v>89709</v>
      </c>
      <c r="B4515" s="87" t="s">
        <v>3738</v>
      </c>
      <c r="C4515" s="12" t="s">
        <v>4</v>
      </c>
      <c r="D4515" s="93">
        <v>8.84</v>
      </c>
      <c r="E4515" s="93">
        <v>2.04</v>
      </c>
      <c r="F4515" s="93">
        <v>6.8</v>
      </c>
      <c r="G4515" s="93">
        <v>0</v>
      </c>
      <c r="H4515" s="93">
        <v>0</v>
      </c>
      <c r="N4515" s="88"/>
      <c r="O4515" s="88"/>
      <c r="P4515" s="88"/>
    </row>
    <row r="4516" spans="1:16">
      <c r="A4516" s="94">
        <v>89710</v>
      </c>
      <c r="B4516" s="87" t="s">
        <v>373</v>
      </c>
      <c r="C4516" s="12" t="s">
        <v>4</v>
      </c>
      <c r="D4516" s="93">
        <v>8.67</v>
      </c>
      <c r="E4516" s="93">
        <v>2.04</v>
      </c>
      <c r="F4516" s="93">
        <v>6.63</v>
      </c>
      <c r="G4516" s="93">
        <v>0</v>
      </c>
      <c r="H4516" s="93">
        <v>0</v>
      </c>
      <c r="N4516" s="88"/>
      <c r="O4516" s="88"/>
      <c r="P4516" s="88"/>
    </row>
    <row r="4517" spans="1:16">
      <c r="A4517" s="94">
        <v>86872</v>
      </c>
      <c r="B4517" s="87" t="s">
        <v>3739</v>
      </c>
      <c r="C4517" s="12" t="s">
        <v>4</v>
      </c>
      <c r="D4517" s="93">
        <v>631.53</v>
      </c>
      <c r="E4517" s="93">
        <v>37.76</v>
      </c>
      <c r="F4517" s="93">
        <v>593.77</v>
      </c>
      <c r="G4517" s="93">
        <v>0</v>
      </c>
      <c r="H4517" s="93">
        <v>0</v>
      </c>
      <c r="N4517" s="88"/>
      <c r="O4517" s="88"/>
      <c r="P4517" s="88"/>
    </row>
    <row r="4518" spans="1:16">
      <c r="A4518" s="94">
        <v>86874</v>
      </c>
      <c r="B4518" s="87" t="s">
        <v>3740</v>
      </c>
      <c r="C4518" s="12" t="s">
        <v>4</v>
      </c>
      <c r="D4518" s="93">
        <v>386.7</v>
      </c>
      <c r="E4518" s="93">
        <v>17.7</v>
      </c>
      <c r="F4518" s="93">
        <v>369</v>
      </c>
      <c r="G4518" s="93">
        <v>0</v>
      </c>
      <c r="H4518" s="93">
        <v>0</v>
      </c>
      <c r="N4518" s="88"/>
      <c r="O4518" s="88"/>
      <c r="P4518" s="88"/>
    </row>
    <row r="4519" spans="1:16">
      <c r="A4519" s="94">
        <v>86875</v>
      </c>
      <c r="B4519" s="87" t="s">
        <v>3741</v>
      </c>
      <c r="C4519" s="12" t="s">
        <v>4</v>
      </c>
      <c r="D4519" s="93">
        <v>383.55</v>
      </c>
      <c r="E4519" s="93">
        <v>21.35</v>
      </c>
      <c r="F4519" s="93">
        <v>362.2</v>
      </c>
      <c r="G4519" s="93">
        <v>0</v>
      </c>
      <c r="H4519" s="93">
        <v>0</v>
      </c>
      <c r="N4519" s="88"/>
      <c r="O4519" s="88"/>
      <c r="P4519" s="88"/>
    </row>
    <row r="4520" spans="1:16">
      <c r="A4520" s="94">
        <v>86876</v>
      </c>
      <c r="B4520" s="87" t="s">
        <v>3742</v>
      </c>
      <c r="C4520" s="12" t="s">
        <v>4</v>
      </c>
      <c r="D4520" s="93">
        <v>216.97</v>
      </c>
      <c r="E4520" s="93">
        <v>15.49</v>
      </c>
      <c r="F4520" s="93">
        <v>201.48</v>
      </c>
      <c r="G4520" s="93">
        <v>0</v>
      </c>
      <c r="H4520" s="93">
        <v>0</v>
      </c>
      <c r="N4520" s="88"/>
      <c r="O4520" s="88"/>
      <c r="P4520" s="88"/>
    </row>
    <row r="4521" spans="1:16">
      <c r="A4521" s="94">
        <v>86877</v>
      </c>
      <c r="B4521" s="87" t="s">
        <v>3743</v>
      </c>
      <c r="C4521" s="12" t="s">
        <v>4</v>
      </c>
      <c r="D4521" s="93">
        <v>23.04</v>
      </c>
      <c r="E4521" s="93">
        <v>3.54</v>
      </c>
      <c r="F4521" s="93">
        <v>19.5</v>
      </c>
      <c r="G4521" s="93">
        <v>0</v>
      </c>
      <c r="H4521" s="93">
        <v>0</v>
      </c>
      <c r="N4521" s="88"/>
      <c r="O4521" s="88"/>
      <c r="P4521" s="88"/>
    </row>
    <row r="4522" spans="1:16">
      <c r="A4522" s="94">
        <v>86878</v>
      </c>
      <c r="B4522" s="87" t="s">
        <v>3744</v>
      </c>
      <c r="C4522" s="12" t="s">
        <v>4</v>
      </c>
      <c r="D4522" s="93">
        <v>43.54</v>
      </c>
      <c r="E4522" s="93">
        <v>3.53</v>
      </c>
      <c r="F4522" s="93">
        <v>40.01</v>
      </c>
      <c r="G4522" s="93">
        <v>0</v>
      </c>
      <c r="H4522" s="93">
        <v>0</v>
      </c>
      <c r="N4522" s="88"/>
      <c r="O4522" s="88"/>
      <c r="P4522" s="88"/>
    </row>
    <row r="4523" spans="1:16">
      <c r="A4523" s="94">
        <v>86879</v>
      </c>
      <c r="B4523" s="87" t="s">
        <v>3745</v>
      </c>
      <c r="C4523" s="12" t="s">
        <v>4</v>
      </c>
      <c r="D4523" s="93">
        <v>5.83</v>
      </c>
      <c r="E4523" s="93">
        <v>2.52</v>
      </c>
      <c r="F4523" s="93">
        <v>3.31</v>
      </c>
      <c r="G4523" s="93">
        <v>0</v>
      </c>
      <c r="H4523" s="93">
        <v>0</v>
      </c>
      <c r="N4523" s="88"/>
      <c r="O4523" s="88"/>
      <c r="P4523" s="88"/>
    </row>
    <row r="4524" spans="1:16">
      <c r="A4524" s="94">
        <v>86880</v>
      </c>
      <c r="B4524" s="87" t="s">
        <v>3746</v>
      </c>
      <c r="C4524" s="12" t="s">
        <v>4</v>
      </c>
      <c r="D4524" s="93">
        <v>15.82</v>
      </c>
      <c r="E4524" s="93">
        <v>2.5</v>
      </c>
      <c r="F4524" s="93">
        <v>13.32</v>
      </c>
      <c r="G4524" s="93">
        <v>0</v>
      </c>
      <c r="H4524" s="93">
        <v>0</v>
      </c>
      <c r="N4524" s="88"/>
      <c r="O4524" s="88"/>
      <c r="P4524" s="88"/>
    </row>
    <row r="4525" spans="1:16">
      <c r="A4525" s="94">
        <v>86881</v>
      </c>
      <c r="B4525" s="87" t="s">
        <v>3747</v>
      </c>
      <c r="C4525" s="12" t="s">
        <v>4</v>
      </c>
      <c r="D4525" s="93">
        <v>120.98</v>
      </c>
      <c r="E4525" s="93">
        <v>5.57</v>
      </c>
      <c r="F4525" s="93">
        <v>115.41</v>
      </c>
      <c r="G4525" s="93">
        <v>0</v>
      </c>
      <c r="H4525" s="93">
        <v>0</v>
      </c>
      <c r="N4525" s="88"/>
      <c r="O4525" s="88"/>
      <c r="P4525" s="88"/>
    </row>
    <row r="4526" spans="1:16">
      <c r="A4526" s="94">
        <v>86882</v>
      </c>
      <c r="B4526" s="87" t="s">
        <v>3748</v>
      </c>
      <c r="C4526" s="12" t="s">
        <v>4</v>
      </c>
      <c r="D4526" s="93">
        <v>16.239999999999998</v>
      </c>
      <c r="E4526" s="93">
        <v>2.75</v>
      </c>
      <c r="F4526" s="93">
        <v>13.49</v>
      </c>
      <c r="G4526" s="93">
        <v>0</v>
      </c>
      <c r="H4526" s="93">
        <v>0</v>
      </c>
      <c r="N4526" s="88"/>
      <c r="O4526" s="88"/>
      <c r="P4526" s="88"/>
    </row>
    <row r="4527" spans="1:16">
      <c r="A4527" s="94">
        <v>86883</v>
      </c>
      <c r="B4527" s="87" t="s">
        <v>3749</v>
      </c>
      <c r="C4527" s="12" t="s">
        <v>4</v>
      </c>
      <c r="D4527" s="93">
        <v>9.31</v>
      </c>
      <c r="E4527" s="93">
        <v>1.71</v>
      </c>
      <c r="F4527" s="93">
        <v>7.6</v>
      </c>
      <c r="G4527" s="93">
        <v>0</v>
      </c>
      <c r="H4527" s="93">
        <v>0</v>
      </c>
      <c r="N4527" s="88"/>
      <c r="O4527" s="88"/>
      <c r="P4527" s="88"/>
    </row>
    <row r="4528" spans="1:16">
      <c r="A4528" s="94">
        <v>86884</v>
      </c>
      <c r="B4528" s="87" t="s">
        <v>3750</v>
      </c>
      <c r="C4528" s="12" t="s">
        <v>4</v>
      </c>
      <c r="D4528" s="93">
        <v>7.17</v>
      </c>
      <c r="E4528" s="93">
        <v>3.13</v>
      </c>
      <c r="F4528" s="93">
        <v>4.04</v>
      </c>
      <c r="G4528" s="93">
        <v>0</v>
      </c>
      <c r="H4528" s="93">
        <v>0</v>
      </c>
      <c r="N4528" s="88"/>
      <c r="O4528" s="88"/>
      <c r="P4528" s="88"/>
    </row>
    <row r="4529" spans="1:16">
      <c r="A4529" s="94">
        <v>86885</v>
      </c>
      <c r="B4529" s="87" t="s">
        <v>3751</v>
      </c>
      <c r="C4529" s="12" t="s">
        <v>4</v>
      </c>
      <c r="D4529" s="93">
        <v>9.15</v>
      </c>
      <c r="E4529" s="93">
        <v>3.12</v>
      </c>
      <c r="F4529" s="93">
        <v>6.03</v>
      </c>
      <c r="G4529" s="93">
        <v>0</v>
      </c>
      <c r="H4529" s="93">
        <v>0</v>
      </c>
      <c r="N4529" s="88"/>
      <c r="O4529" s="88"/>
      <c r="P4529" s="88"/>
    </row>
    <row r="4530" spans="1:16">
      <c r="A4530" s="94">
        <v>86886</v>
      </c>
      <c r="B4530" s="87" t="s">
        <v>3752</v>
      </c>
      <c r="C4530" s="12" t="s">
        <v>4</v>
      </c>
      <c r="D4530" s="93">
        <v>30.12</v>
      </c>
      <c r="E4530" s="93">
        <v>3.1</v>
      </c>
      <c r="F4530" s="93">
        <v>27.02</v>
      </c>
      <c r="G4530" s="93">
        <v>0</v>
      </c>
      <c r="H4530" s="93">
        <v>0</v>
      </c>
      <c r="N4530" s="88"/>
      <c r="O4530" s="88"/>
      <c r="P4530" s="88"/>
    </row>
    <row r="4531" spans="1:16">
      <c r="A4531" s="94">
        <v>86887</v>
      </c>
      <c r="B4531" s="87" t="s">
        <v>3753</v>
      </c>
      <c r="C4531" s="12" t="s">
        <v>4</v>
      </c>
      <c r="D4531" s="93">
        <v>32.58</v>
      </c>
      <c r="E4531" s="93">
        <v>3.1</v>
      </c>
      <c r="F4531" s="93">
        <v>29.48</v>
      </c>
      <c r="G4531" s="93">
        <v>0</v>
      </c>
      <c r="H4531" s="93">
        <v>0</v>
      </c>
      <c r="N4531" s="88"/>
      <c r="O4531" s="88"/>
      <c r="P4531" s="88"/>
    </row>
    <row r="4532" spans="1:16">
      <c r="A4532" s="94">
        <v>86888</v>
      </c>
      <c r="B4532" s="87" t="s">
        <v>3754</v>
      </c>
      <c r="C4532" s="12" t="s">
        <v>4</v>
      </c>
      <c r="D4532" s="93">
        <v>374.88</v>
      </c>
      <c r="E4532" s="93">
        <v>17.95</v>
      </c>
      <c r="F4532" s="93">
        <v>356.93</v>
      </c>
      <c r="G4532" s="93">
        <v>0</v>
      </c>
      <c r="H4532" s="93">
        <v>0</v>
      </c>
      <c r="N4532" s="88"/>
      <c r="O4532" s="88"/>
      <c r="P4532" s="88"/>
    </row>
    <row r="4533" spans="1:16">
      <c r="A4533" s="94">
        <v>86889</v>
      </c>
      <c r="B4533" s="87" t="s">
        <v>3755</v>
      </c>
      <c r="C4533" s="12" t="s">
        <v>4</v>
      </c>
      <c r="D4533" s="93">
        <v>551.17999999999995</v>
      </c>
      <c r="E4533" s="93">
        <v>35.369999999999997</v>
      </c>
      <c r="F4533" s="93">
        <v>515.80999999999995</v>
      </c>
      <c r="G4533" s="93">
        <v>0</v>
      </c>
      <c r="H4533" s="93">
        <v>0</v>
      </c>
      <c r="N4533" s="88"/>
      <c r="O4533" s="88"/>
      <c r="P4533" s="88"/>
    </row>
    <row r="4534" spans="1:16">
      <c r="A4534" s="94">
        <v>86893</v>
      </c>
      <c r="B4534" s="87" t="s">
        <v>3756</v>
      </c>
      <c r="C4534" s="12" t="s">
        <v>4</v>
      </c>
      <c r="D4534" s="93">
        <v>449.67</v>
      </c>
      <c r="E4534" s="93">
        <v>35.369999999999997</v>
      </c>
      <c r="F4534" s="93">
        <v>414.3</v>
      </c>
      <c r="G4534" s="93">
        <v>0</v>
      </c>
      <c r="H4534" s="93">
        <v>0</v>
      </c>
      <c r="N4534" s="88"/>
      <c r="O4534" s="88"/>
      <c r="P4534" s="88"/>
    </row>
    <row r="4535" spans="1:16">
      <c r="A4535" s="94">
        <v>86894</v>
      </c>
      <c r="B4535" s="87" t="s">
        <v>3757</v>
      </c>
      <c r="C4535" s="12" t="s">
        <v>4</v>
      </c>
      <c r="D4535" s="93">
        <v>226.28</v>
      </c>
      <c r="E4535" s="93">
        <v>20.85</v>
      </c>
      <c r="F4535" s="93">
        <v>205.43</v>
      </c>
      <c r="G4535" s="93">
        <v>0</v>
      </c>
      <c r="H4535" s="93">
        <v>0</v>
      </c>
      <c r="N4535" s="88"/>
      <c r="O4535" s="88"/>
      <c r="P4535" s="88"/>
    </row>
    <row r="4536" spans="1:16">
      <c r="A4536" s="94">
        <v>86895</v>
      </c>
      <c r="B4536" s="87" t="s">
        <v>3758</v>
      </c>
      <c r="C4536" s="12" t="s">
        <v>4</v>
      </c>
      <c r="D4536" s="93">
        <v>266.27999999999997</v>
      </c>
      <c r="E4536" s="93">
        <v>42.47</v>
      </c>
      <c r="F4536" s="93">
        <v>223.81</v>
      </c>
      <c r="G4536" s="93">
        <v>0</v>
      </c>
      <c r="H4536" s="93">
        <v>0</v>
      </c>
      <c r="N4536" s="88"/>
      <c r="O4536" s="88"/>
      <c r="P4536" s="88"/>
    </row>
    <row r="4537" spans="1:16">
      <c r="A4537" s="94">
        <v>86899</v>
      </c>
      <c r="B4537" s="87" t="s">
        <v>3759</v>
      </c>
      <c r="C4537" s="12" t="s">
        <v>4</v>
      </c>
      <c r="D4537" s="93">
        <v>228.2</v>
      </c>
      <c r="E4537" s="93">
        <v>42.47</v>
      </c>
      <c r="F4537" s="93">
        <v>185.73</v>
      </c>
      <c r="G4537" s="93">
        <v>0</v>
      </c>
      <c r="H4537" s="93">
        <v>0</v>
      </c>
      <c r="N4537" s="88"/>
      <c r="O4537" s="88"/>
      <c r="P4537" s="88"/>
    </row>
    <row r="4538" spans="1:16">
      <c r="A4538" s="94">
        <v>86900</v>
      </c>
      <c r="B4538" s="87" t="s">
        <v>3760</v>
      </c>
      <c r="C4538" s="12" t="s">
        <v>4</v>
      </c>
      <c r="D4538" s="93">
        <v>143.21</v>
      </c>
      <c r="E4538" s="93">
        <v>9.5500000000000007</v>
      </c>
      <c r="F4538" s="93">
        <v>133.66</v>
      </c>
      <c r="G4538" s="93">
        <v>0</v>
      </c>
      <c r="H4538" s="93">
        <v>0</v>
      </c>
      <c r="N4538" s="88"/>
      <c r="O4538" s="88"/>
      <c r="P4538" s="88"/>
    </row>
    <row r="4539" spans="1:16">
      <c r="A4539" s="94">
        <v>86901</v>
      </c>
      <c r="B4539" s="87" t="s">
        <v>3761</v>
      </c>
      <c r="C4539" s="12" t="s">
        <v>4</v>
      </c>
      <c r="D4539" s="93">
        <v>115.49</v>
      </c>
      <c r="E4539" s="93">
        <v>16.93</v>
      </c>
      <c r="F4539" s="93">
        <v>98.56</v>
      </c>
      <c r="G4539" s="93">
        <v>0</v>
      </c>
      <c r="H4539" s="93">
        <v>0</v>
      </c>
      <c r="N4539" s="88"/>
      <c r="O4539" s="88"/>
      <c r="P4539" s="88"/>
    </row>
    <row r="4540" spans="1:16">
      <c r="A4540" s="94">
        <v>86902</v>
      </c>
      <c r="B4540" s="87" t="s">
        <v>3762</v>
      </c>
      <c r="C4540" s="12" t="s">
        <v>4</v>
      </c>
      <c r="D4540" s="93">
        <v>208.69</v>
      </c>
      <c r="E4540" s="93">
        <v>19.72</v>
      </c>
      <c r="F4540" s="93">
        <v>188.97</v>
      </c>
      <c r="G4540" s="93">
        <v>0</v>
      </c>
      <c r="H4540" s="93">
        <v>0</v>
      </c>
      <c r="N4540" s="88"/>
      <c r="O4540" s="88"/>
      <c r="P4540" s="88"/>
    </row>
    <row r="4541" spans="1:16">
      <c r="A4541" s="94">
        <v>86903</v>
      </c>
      <c r="B4541" s="87" t="s">
        <v>3763</v>
      </c>
      <c r="C4541" s="12" t="s">
        <v>4</v>
      </c>
      <c r="D4541" s="93">
        <v>279.16000000000003</v>
      </c>
      <c r="E4541" s="93">
        <v>31.96</v>
      </c>
      <c r="F4541" s="93">
        <v>247.2</v>
      </c>
      <c r="G4541" s="93">
        <v>0</v>
      </c>
      <c r="H4541" s="93">
        <v>0</v>
      </c>
      <c r="N4541" s="88"/>
      <c r="O4541" s="88"/>
      <c r="P4541" s="88"/>
    </row>
    <row r="4542" spans="1:16">
      <c r="A4542" s="94">
        <v>86904</v>
      </c>
      <c r="B4542" s="87" t="s">
        <v>3764</v>
      </c>
      <c r="C4542" s="12" t="s">
        <v>4</v>
      </c>
      <c r="D4542" s="93">
        <v>109.63</v>
      </c>
      <c r="E4542" s="93">
        <v>8.59</v>
      </c>
      <c r="F4542" s="93">
        <v>101.04</v>
      </c>
      <c r="G4542" s="93">
        <v>0</v>
      </c>
      <c r="H4542" s="93">
        <v>0</v>
      </c>
      <c r="N4542" s="88"/>
      <c r="O4542" s="88"/>
      <c r="P4542" s="88"/>
    </row>
    <row r="4543" spans="1:16">
      <c r="A4543" s="94">
        <v>86905</v>
      </c>
      <c r="B4543" s="87" t="s">
        <v>3765</v>
      </c>
      <c r="C4543" s="12" t="s">
        <v>4</v>
      </c>
      <c r="D4543" s="93">
        <v>185.11</v>
      </c>
      <c r="E4543" s="93">
        <v>9.4499999999999993</v>
      </c>
      <c r="F4543" s="93">
        <v>175.66</v>
      </c>
      <c r="G4543" s="93">
        <v>0</v>
      </c>
      <c r="H4543" s="93">
        <v>0</v>
      </c>
      <c r="N4543" s="88"/>
      <c r="O4543" s="88"/>
      <c r="P4543" s="88"/>
    </row>
    <row r="4544" spans="1:16">
      <c r="A4544" s="94">
        <v>86906</v>
      </c>
      <c r="B4544" s="87" t="s">
        <v>3766</v>
      </c>
      <c r="C4544" s="12" t="s">
        <v>4</v>
      </c>
      <c r="D4544" s="93">
        <v>43.16</v>
      </c>
      <c r="E4544" s="93">
        <v>1.94</v>
      </c>
      <c r="F4544" s="93">
        <v>41.22</v>
      </c>
      <c r="G4544" s="93">
        <v>0</v>
      </c>
      <c r="H4544" s="93">
        <v>0</v>
      </c>
      <c r="N4544" s="88"/>
      <c r="O4544" s="88"/>
      <c r="P4544" s="88"/>
    </row>
    <row r="4545" spans="1:16">
      <c r="A4545" s="94">
        <v>86908</v>
      </c>
      <c r="B4545" s="87" t="s">
        <v>3767</v>
      </c>
      <c r="C4545" s="12" t="s">
        <v>4</v>
      </c>
      <c r="D4545" s="93">
        <v>220.53</v>
      </c>
      <c r="E4545" s="93">
        <v>4.6100000000000003</v>
      </c>
      <c r="F4545" s="93">
        <v>215.92</v>
      </c>
      <c r="G4545" s="93">
        <v>0</v>
      </c>
      <c r="H4545" s="93">
        <v>0</v>
      </c>
      <c r="N4545" s="88"/>
      <c r="O4545" s="88"/>
      <c r="P4545" s="88"/>
    </row>
    <row r="4546" spans="1:16">
      <c r="A4546" s="94">
        <v>86909</v>
      </c>
      <c r="B4546" s="87" t="s">
        <v>3768</v>
      </c>
      <c r="C4546" s="12" t="s">
        <v>4</v>
      </c>
      <c r="D4546" s="93">
        <v>86.26</v>
      </c>
      <c r="E4546" s="93">
        <v>3.39</v>
      </c>
      <c r="F4546" s="93">
        <v>82.87</v>
      </c>
      <c r="G4546" s="93">
        <v>0</v>
      </c>
      <c r="H4546" s="93">
        <v>0</v>
      </c>
      <c r="N4546" s="88"/>
      <c r="O4546" s="88"/>
      <c r="P4546" s="88"/>
    </row>
    <row r="4547" spans="1:16">
      <c r="A4547" s="94">
        <v>86910</v>
      </c>
      <c r="B4547" s="87" t="s">
        <v>3769</v>
      </c>
      <c r="C4547" s="12" t="s">
        <v>4</v>
      </c>
      <c r="D4547" s="93">
        <v>81.239999999999995</v>
      </c>
      <c r="E4547" s="93">
        <v>2.36</v>
      </c>
      <c r="F4547" s="93">
        <v>78.88</v>
      </c>
      <c r="G4547" s="93">
        <v>0</v>
      </c>
      <c r="H4547" s="93">
        <v>0</v>
      </c>
      <c r="N4547" s="88"/>
      <c r="O4547" s="88"/>
      <c r="P4547" s="88"/>
    </row>
    <row r="4548" spans="1:16">
      <c r="A4548" s="94">
        <v>86911</v>
      </c>
      <c r="B4548" s="87" t="s">
        <v>3770</v>
      </c>
      <c r="C4548" s="12" t="s">
        <v>4</v>
      </c>
      <c r="D4548" s="93">
        <v>36.71</v>
      </c>
      <c r="E4548" s="93">
        <v>2.36</v>
      </c>
      <c r="F4548" s="93">
        <v>34.35</v>
      </c>
      <c r="G4548" s="93">
        <v>0</v>
      </c>
      <c r="H4548" s="93">
        <v>0</v>
      </c>
      <c r="N4548" s="88"/>
      <c r="O4548" s="88"/>
      <c r="P4548" s="88"/>
    </row>
    <row r="4549" spans="1:16">
      <c r="A4549" s="94">
        <v>86913</v>
      </c>
      <c r="B4549" s="87" t="s">
        <v>3771</v>
      </c>
      <c r="C4549" s="12" t="s">
        <v>4</v>
      </c>
      <c r="D4549" s="93">
        <v>16.87</v>
      </c>
      <c r="E4549" s="93">
        <v>3.11</v>
      </c>
      <c r="F4549" s="93">
        <v>13.76</v>
      </c>
      <c r="G4549" s="93">
        <v>0</v>
      </c>
      <c r="H4549" s="93">
        <v>0</v>
      </c>
      <c r="N4549" s="88"/>
      <c r="O4549" s="88"/>
      <c r="P4549" s="88"/>
    </row>
    <row r="4550" spans="1:16">
      <c r="A4550" s="94">
        <v>86914</v>
      </c>
      <c r="B4550" s="87" t="s">
        <v>3772</v>
      </c>
      <c r="C4550" s="12" t="s">
        <v>4</v>
      </c>
      <c r="D4550" s="93">
        <v>33.69</v>
      </c>
      <c r="E4550" s="93">
        <v>3.1</v>
      </c>
      <c r="F4550" s="93">
        <v>30.59</v>
      </c>
      <c r="G4550" s="93">
        <v>0</v>
      </c>
      <c r="H4550" s="93">
        <v>0</v>
      </c>
      <c r="N4550" s="88"/>
      <c r="O4550" s="88"/>
      <c r="P4550" s="88"/>
    </row>
    <row r="4551" spans="1:16">
      <c r="A4551" s="94">
        <v>86915</v>
      </c>
      <c r="B4551" s="87" t="s">
        <v>3773</v>
      </c>
      <c r="C4551" s="12" t="s">
        <v>4</v>
      </c>
      <c r="D4551" s="93">
        <v>72.400000000000006</v>
      </c>
      <c r="E4551" s="93">
        <v>1.94</v>
      </c>
      <c r="F4551" s="93">
        <v>70.459999999999994</v>
      </c>
      <c r="G4551" s="93">
        <v>0</v>
      </c>
      <c r="H4551" s="93">
        <v>0</v>
      </c>
      <c r="N4551" s="88"/>
      <c r="O4551" s="88"/>
      <c r="P4551" s="88"/>
    </row>
    <row r="4552" spans="1:16">
      <c r="A4552" s="94">
        <v>86916</v>
      </c>
      <c r="B4552" s="87" t="s">
        <v>3774</v>
      </c>
      <c r="C4552" s="12" t="s">
        <v>4</v>
      </c>
      <c r="D4552" s="93">
        <v>26.75</v>
      </c>
      <c r="E4552" s="93">
        <v>3.1</v>
      </c>
      <c r="F4552" s="93">
        <v>23.65</v>
      </c>
      <c r="G4552" s="93">
        <v>0</v>
      </c>
      <c r="H4552" s="93">
        <v>0</v>
      </c>
      <c r="N4552" s="88"/>
      <c r="O4552" s="88"/>
      <c r="P4552" s="88"/>
    </row>
    <row r="4553" spans="1:16">
      <c r="A4553" s="94">
        <v>86919</v>
      </c>
      <c r="B4553" s="87" t="s">
        <v>3775</v>
      </c>
      <c r="C4553" s="12" t="s">
        <v>4</v>
      </c>
      <c r="D4553" s="93">
        <v>697.57</v>
      </c>
      <c r="E4553" s="93">
        <v>46.1</v>
      </c>
      <c r="F4553" s="93">
        <v>651.47</v>
      </c>
      <c r="G4553" s="93">
        <v>0</v>
      </c>
      <c r="H4553" s="93">
        <v>0</v>
      </c>
      <c r="N4553" s="88"/>
      <c r="O4553" s="88"/>
      <c r="P4553" s="88"/>
    </row>
    <row r="4554" spans="1:16">
      <c r="A4554" s="94">
        <v>86920</v>
      </c>
      <c r="B4554" s="87" t="s">
        <v>3776</v>
      </c>
      <c r="C4554" s="12" t="s">
        <v>4</v>
      </c>
      <c r="D4554" s="93">
        <v>663.54</v>
      </c>
      <c r="E4554" s="93">
        <v>45.06</v>
      </c>
      <c r="F4554" s="93">
        <v>618.48</v>
      </c>
      <c r="G4554" s="93">
        <v>0</v>
      </c>
      <c r="H4554" s="93">
        <v>0</v>
      </c>
      <c r="N4554" s="88"/>
      <c r="O4554" s="88"/>
      <c r="P4554" s="88"/>
    </row>
    <row r="4555" spans="1:16">
      <c r="A4555" s="94">
        <v>86921</v>
      </c>
      <c r="B4555" s="87" t="s">
        <v>3777</v>
      </c>
      <c r="C4555" s="12" t="s">
        <v>4</v>
      </c>
      <c r="D4555" s="93">
        <v>673.42</v>
      </c>
      <c r="E4555" s="93">
        <v>45.06</v>
      </c>
      <c r="F4555" s="93">
        <v>628.36</v>
      </c>
      <c r="G4555" s="93">
        <v>0</v>
      </c>
      <c r="H4555" s="93">
        <v>0</v>
      </c>
      <c r="N4555" s="88"/>
      <c r="O4555" s="88"/>
      <c r="P4555" s="88"/>
    </row>
    <row r="4556" spans="1:16">
      <c r="A4556" s="94">
        <v>86922</v>
      </c>
      <c r="B4556" s="87" t="s">
        <v>3778</v>
      </c>
      <c r="C4556" s="12" t="s">
        <v>4</v>
      </c>
      <c r="D4556" s="93">
        <v>564.41</v>
      </c>
      <c r="E4556" s="93">
        <v>29.91</v>
      </c>
      <c r="F4556" s="93">
        <v>534.5</v>
      </c>
      <c r="G4556" s="93">
        <v>0</v>
      </c>
      <c r="H4556" s="93">
        <v>0</v>
      </c>
      <c r="N4556" s="88"/>
      <c r="O4556" s="88"/>
      <c r="P4556" s="88"/>
    </row>
    <row r="4557" spans="1:16">
      <c r="A4557" s="94">
        <v>86923</v>
      </c>
      <c r="B4557" s="87" t="s">
        <v>3779</v>
      </c>
      <c r="C4557" s="12" t="s">
        <v>4</v>
      </c>
      <c r="D4557" s="93">
        <v>425.64</v>
      </c>
      <c r="E4557" s="93">
        <v>26.04</v>
      </c>
      <c r="F4557" s="93">
        <v>399.6</v>
      </c>
      <c r="G4557" s="93">
        <v>0</v>
      </c>
      <c r="H4557" s="93">
        <v>0</v>
      </c>
      <c r="N4557" s="88"/>
      <c r="O4557" s="88"/>
      <c r="P4557" s="88"/>
    </row>
    <row r="4558" spans="1:16">
      <c r="A4558" s="94">
        <v>86924</v>
      </c>
      <c r="B4558" s="87" t="s">
        <v>3780</v>
      </c>
      <c r="C4558" s="12" t="s">
        <v>4</v>
      </c>
      <c r="D4558" s="93">
        <v>435.52</v>
      </c>
      <c r="E4558" s="93">
        <v>26.04</v>
      </c>
      <c r="F4558" s="93">
        <v>409.48</v>
      </c>
      <c r="G4558" s="93">
        <v>0</v>
      </c>
      <c r="H4558" s="93">
        <v>0</v>
      </c>
      <c r="N4558" s="88"/>
      <c r="O4558" s="88"/>
      <c r="P4558" s="88"/>
    </row>
    <row r="4559" spans="1:16">
      <c r="A4559" s="94">
        <v>86925</v>
      </c>
      <c r="B4559" s="87" t="s">
        <v>3781</v>
      </c>
      <c r="C4559" s="12" t="s">
        <v>4</v>
      </c>
      <c r="D4559" s="93">
        <v>415.56</v>
      </c>
      <c r="E4559" s="93">
        <v>28.66</v>
      </c>
      <c r="F4559" s="93">
        <v>386.9</v>
      </c>
      <c r="G4559" s="93">
        <v>0</v>
      </c>
      <c r="H4559" s="93">
        <v>0</v>
      </c>
      <c r="N4559" s="88"/>
      <c r="O4559" s="88"/>
      <c r="P4559" s="88"/>
    </row>
    <row r="4560" spans="1:16">
      <c r="A4560" s="94">
        <v>86926</v>
      </c>
      <c r="B4560" s="87" t="s">
        <v>3782</v>
      </c>
      <c r="C4560" s="12" t="s">
        <v>4</v>
      </c>
      <c r="D4560" s="93">
        <v>425.44</v>
      </c>
      <c r="E4560" s="93">
        <v>28.66</v>
      </c>
      <c r="F4560" s="93">
        <v>396.78</v>
      </c>
      <c r="G4560" s="93">
        <v>0</v>
      </c>
      <c r="H4560" s="93">
        <v>0</v>
      </c>
      <c r="N4560" s="88"/>
      <c r="O4560" s="88"/>
      <c r="P4560" s="88"/>
    </row>
    <row r="4561" spans="1:16">
      <c r="A4561" s="94">
        <v>86927</v>
      </c>
      <c r="B4561" s="87" t="s">
        <v>3783</v>
      </c>
      <c r="C4561" s="12" t="s">
        <v>4</v>
      </c>
      <c r="D4561" s="93">
        <v>255.91</v>
      </c>
      <c r="E4561" s="93">
        <v>23.84</v>
      </c>
      <c r="F4561" s="93">
        <v>232.07</v>
      </c>
      <c r="G4561" s="93">
        <v>0</v>
      </c>
      <c r="H4561" s="93">
        <v>0</v>
      </c>
      <c r="N4561" s="88"/>
      <c r="O4561" s="88"/>
      <c r="P4561" s="88"/>
    </row>
    <row r="4562" spans="1:16">
      <c r="A4562" s="94">
        <v>86928</v>
      </c>
      <c r="B4562" s="87" t="s">
        <v>3784</v>
      </c>
      <c r="C4562" s="12" t="s">
        <v>4</v>
      </c>
      <c r="D4562" s="93">
        <v>265.79000000000002</v>
      </c>
      <c r="E4562" s="93">
        <v>23.84</v>
      </c>
      <c r="F4562" s="93">
        <v>241.95</v>
      </c>
      <c r="G4562" s="93">
        <v>0</v>
      </c>
      <c r="H4562" s="93">
        <v>0</v>
      </c>
      <c r="N4562" s="88"/>
      <c r="O4562" s="88"/>
      <c r="P4562" s="88"/>
    </row>
    <row r="4563" spans="1:16">
      <c r="A4563" s="94">
        <v>86929</v>
      </c>
      <c r="B4563" s="87" t="s">
        <v>3785</v>
      </c>
      <c r="C4563" s="12" t="s">
        <v>4</v>
      </c>
      <c r="D4563" s="93">
        <v>248.98</v>
      </c>
      <c r="E4563" s="93">
        <v>22.8</v>
      </c>
      <c r="F4563" s="93">
        <v>226.18</v>
      </c>
      <c r="G4563" s="93">
        <v>0</v>
      </c>
      <c r="H4563" s="93">
        <v>0</v>
      </c>
      <c r="N4563" s="88"/>
      <c r="O4563" s="88"/>
      <c r="P4563" s="88"/>
    </row>
    <row r="4564" spans="1:16">
      <c r="A4564" s="94">
        <v>86930</v>
      </c>
      <c r="B4564" s="87" t="s">
        <v>3786</v>
      </c>
      <c r="C4564" s="12" t="s">
        <v>4</v>
      </c>
      <c r="D4564" s="93">
        <v>258.86</v>
      </c>
      <c r="E4564" s="93">
        <v>22.8</v>
      </c>
      <c r="F4564" s="93">
        <v>236.06</v>
      </c>
      <c r="G4564" s="93">
        <v>0</v>
      </c>
      <c r="H4564" s="93">
        <v>0</v>
      </c>
      <c r="N4564" s="88"/>
      <c r="O4564" s="88"/>
      <c r="P4564" s="88"/>
    </row>
    <row r="4565" spans="1:16">
      <c r="A4565" s="94">
        <v>86931</v>
      </c>
      <c r="B4565" s="87" t="s">
        <v>3787</v>
      </c>
      <c r="C4565" s="12" t="s">
        <v>4</v>
      </c>
      <c r="D4565" s="93">
        <v>384.03</v>
      </c>
      <c r="E4565" s="93">
        <v>21.05</v>
      </c>
      <c r="F4565" s="93">
        <v>362.98</v>
      </c>
      <c r="G4565" s="93">
        <v>0</v>
      </c>
      <c r="H4565" s="93">
        <v>0</v>
      </c>
      <c r="N4565" s="88"/>
      <c r="O4565" s="88"/>
      <c r="P4565" s="88"/>
    </row>
    <row r="4566" spans="1:16">
      <c r="A4566" s="94">
        <v>86932</v>
      </c>
      <c r="B4566" s="87" t="s">
        <v>3788</v>
      </c>
      <c r="C4566" s="12" t="s">
        <v>4</v>
      </c>
      <c r="D4566" s="93">
        <v>407.46</v>
      </c>
      <c r="E4566" s="93">
        <v>21.05</v>
      </c>
      <c r="F4566" s="93">
        <v>386.41</v>
      </c>
      <c r="G4566" s="93">
        <v>0</v>
      </c>
      <c r="H4566" s="93">
        <v>0</v>
      </c>
      <c r="N4566" s="88"/>
      <c r="O4566" s="88"/>
      <c r="P4566" s="88"/>
    </row>
    <row r="4567" spans="1:16">
      <c r="A4567" s="94">
        <v>86933</v>
      </c>
      <c r="B4567" s="87" t="s">
        <v>3789</v>
      </c>
      <c r="C4567" s="12" t="s">
        <v>4</v>
      </c>
      <c r="D4567" s="93">
        <v>295.05</v>
      </c>
      <c r="E4567" s="93">
        <v>28.46</v>
      </c>
      <c r="F4567" s="93">
        <v>266.58999999999997</v>
      </c>
      <c r="G4567" s="93">
        <v>0</v>
      </c>
      <c r="H4567" s="93">
        <v>0</v>
      </c>
      <c r="N4567" s="88"/>
      <c r="O4567" s="88"/>
      <c r="P4567" s="88"/>
    </row>
    <row r="4568" spans="1:16">
      <c r="A4568" s="94">
        <v>86934</v>
      </c>
      <c r="B4568" s="87" t="s">
        <v>3790</v>
      </c>
      <c r="C4568" s="12" t="s">
        <v>4</v>
      </c>
      <c r="D4568" s="93">
        <v>288.12</v>
      </c>
      <c r="E4568" s="93">
        <v>27.42</v>
      </c>
      <c r="F4568" s="93">
        <v>260.7</v>
      </c>
      <c r="G4568" s="93">
        <v>0</v>
      </c>
      <c r="H4568" s="93">
        <v>0</v>
      </c>
      <c r="N4568" s="88"/>
      <c r="O4568" s="88"/>
      <c r="P4568" s="88"/>
    </row>
    <row r="4569" spans="1:16">
      <c r="A4569" s="94">
        <v>86935</v>
      </c>
      <c r="B4569" s="87" t="s">
        <v>3791</v>
      </c>
      <c r="C4569" s="12" t="s">
        <v>4</v>
      </c>
      <c r="D4569" s="93">
        <v>196.06</v>
      </c>
      <c r="E4569" s="93">
        <v>14.79</v>
      </c>
      <c r="F4569" s="93">
        <v>181.27</v>
      </c>
      <c r="G4569" s="93">
        <v>0</v>
      </c>
      <c r="H4569" s="93">
        <v>0</v>
      </c>
      <c r="N4569" s="88"/>
      <c r="O4569" s="88"/>
      <c r="P4569" s="88"/>
    </row>
    <row r="4570" spans="1:16">
      <c r="A4570" s="94">
        <v>86936</v>
      </c>
      <c r="B4570" s="87" t="s">
        <v>3792</v>
      </c>
      <c r="C4570" s="12" t="s">
        <v>4</v>
      </c>
      <c r="D4570" s="93">
        <v>307.73</v>
      </c>
      <c r="E4570" s="93">
        <v>18.66</v>
      </c>
      <c r="F4570" s="93">
        <v>289.07</v>
      </c>
      <c r="G4570" s="93">
        <v>0</v>
      </c>
      <c r="H4570" s="93">
        <v>0</v>
      </c>
      <c r="N4570" s="88"/>
      <c r="O4570" s="88"/>
      <c r="P4570" s="88"/>
    </row>
    <row r="4571" spans="1:16">
      <c r="A4571" s="94">
        <v>86937</v>
      </c>
      <c r="B4571" s="87" t="s">
        <v>3793</v>
      </c>
      <c r="C4571" s="12" t="s">
        <v>4</v>
      </c>
      <c r="D4571" s="93">
        <v>147.84</v>
      </c>
      <c r="E4571" s="93">
        <v>22.18</v>
      </c>
      <c r="F4571" s="93">
        <v>125.66</v>
      </c>
      <c r="G4571" s="93">
        <v>0</v>
      </c>
      <c r="H4571" s="93">
        <v>0</v>
      </c>
      <c r="N4571" s="88"/>
      <c r="O4571" s="88"/>
      <c r="P4571" s="88"/>
    </row>
    <row r="4572" spans="1:16">
      <c r="A4572" s="94">
        <v>86938</v>
      </c>
      <c r="B4572" s="87" t="s">
        <v>3794</v>
      </c>
      <c r="C4572" s="12" t="s">
        <v>4</v>
      </c>
      <c r="D4572" s="93">
        <v>259.51</v>
      </c>
      <c r="E4572" s="93">
        <v>26.04</v>
      </c>
      <c r="F4572" s="93">
        <v>233.47</v>
      </c>
      <c r="G4572" s="93">
        <v>0</v>
      </c>
      <c r="H4572" s="93">
        <v>0</v>
      </c>
      <c r="N4572" s="88"/>
      <c r="O4572" s="88"/>
      <c r="P4572" s="88"/>
    </row>
    <row r="4573" spans="1:16">
      <c r="A4573" s="94">
        <v>86939</v>
      </c>
      <c r="B4573" s="87" t="s">
        <v>3795</v>
      </c>
      <c r="C4573" s="12" t="s">
        <v>4</v>
      </c>
      <c r="D4573" s="93">
        <v>274.16000000000003</v>
      </c>
      <c r="E4573" s="93">
        <v>28.98</v>
      </c>
      <c r="F4573" s="93">
        <v>245.18</v>
      </c>
      <c r="G4573" s="93">
        <v>0</v>
      </c>
      <c r="H4573" s="93">
        <v>0</v>
      </c>
      <c r="N4573" s="88"/>
      <c r="O4573" s="88"/>
      <c r="P4573" s="88"/>
    </row>
    <row r="4574" spans="1:16">
      <c r="A4574" s="94">
        <v>86940</v>
      </c>
      <c r="B4574" s="87" t="s">
        <v>3796</v>
      </c>
      <c r="C4574" s="12" t="s">
        <v>4</v>
      </c>
      <c r="D4574" s="93">
        <v>673.45</v>
      </c>
      <c r="E4574" s="93">
        <v>56.74</v>
      </c>
      <c r="F4574" s="93">
        <v>616.71</v>
      </c>
      <c r="G4574" s="93">
        <v>0</v>
      </c>
      <c r="H4574" s="93">
        <v>0</v>
      </c>
      <c r="N4574" s="88"/>
      <c r="O4574" s="88"/>
      <c r="P4574" s="88"/>
    </row>
    <row r="4575" spans="1:16">
      <c r="A4575" s="94">
        <v>86941</v>
      </c>
      <c r="B4575" s="87" t="s">
        <v>3797</v>
      </c>
      <c r="C4575" s="12" t="s">
        <v>4</v>
      </c>
      <c r="D4575" s="93">
        <v>528.16</v>
      </c>
      <c r="E4575" s="93">
        <v>46.13</v>
      </c>
      <c r="F4575" s="93">
        <v>482.03</v>
      </c>
      <c r="G4575" s="93">
        <v>0</v>
      </c>
      <c r="H4575" s="93">
        <v>0</v>
      </c>
      <c r="N4575" s="88"/>
      <c r="O4575" s="88"/>
      <c r="P4575" s="88"/>
    </row>
    <row r="4576" spans="1:16">
      <c r="A4576" s="94">
        <v>86942</v>
      </c>
      <c r="B4576" s="87" t="s">
        <v>3798</v>
      </c>
      <c r="C4576" s="12" t="s">
        <v>4</v>
      </c>
      <c r="D4576" s="93">
        <v>182.03</v>
      </c>
      <c r="E4576" s="93">
        <v>18.899999999999999</v>
      </c>
      <c r="F4576" s="93">
        <v>163.13</v>
      </c>
      <c r="G4576" s="93">
        <v>0</v>
      </c>
      <c r="H4576" s="93">
        <v>0</v>
      </c>
      <c r="N4576" s="88"/>
      <c r="O4576" s="88"/>
      <c r="P4576" s="88"/>
    </row>
    <row r="4577" spans="1:16">
      <c r="A4577" s="94">
        <v>86943</v>
      </c>
      <c r="B4577" s="87" t="s">
        <v>3799</v>
      </c>
      <c r="C4577" s="12" t="s">
        <v>4</v>
      </c>
      <c r="D4577" s="93">
        <v>175.1</v>
      </c>
      <c r="E4577" s="93">
        <v>17.850000000000001</v>
      </c>
      <c r="F4577" s="93">
        <v>157.25</v>
      </c>
      <c r="G4577" s="93">
        <v>0</v>
      </c>
      <c r="H4577" s="93">
        <v>0</v>
      </c>
      <c r="N4577" s="88"/>
      <c r="O4577" s="88"/>
      <c r="P4577" s="88"/>
    </row>
    <row r="4578" spans="1:16">
      <c r="A4578" s="94">
        <v>86947</v>
      </c>
      <c r="B4578" s="87" t="s">
        <v>3800</v>
      </c>
      <c r="C4578" s="12" t="s">
        <v>4</v>
      </c>
      <c r="D4578" s="93">
        <v>737.98</v>
      </c>
      <c r="E4578" s="93">
        <v>84.18</v>
      </c>
      <c r="F4578" s="93">
        <v>653.79999999999995</v>
      </c>
      <c r="G4578" s="93">
        <v>0</v>
      </c>
      <c r="H4578" s="93">
        <v>0</v>
      </c>
      <c r="N4578" s="88"/>
      <c r="O4578" s="88"/>
      <c r="P4578" s="88"/>
    </row>
    <row r="4579" spans="1:16">
      <c r="A4579" s="94">
        <v>93396</v>
      </c>
      <c r="B4579" s="87" t="s">
        <v>3801</v>
      </c>
      <c r="C4579" s="12" t="s">
        <v>4</v>
      </c>
      <c r="D4579" s="93">
        <v>464.45</v>
      </c>
      <c r="E4579" s="93">
        <v>69.709999999999994</v>
      </c>
      <c r="F4579" s="93">
        <v>394.74</v>
      </c>
      <c r="G4579" s="93">
        <v>0</v>
      </c>
      <c r="H4579" s="93">
        <v>0</v>
      </c>
      <c r="N4579" s="88"/>
      <c r="O4579" s="88"/>
      <c r="P4579" s="88"/>
    </row>
    <row r="4580" spans="1:16">
      <c r="A4580" s="94">
        <v>93441</v>
      </c>
      <c r="B4580" s="87" t="s">
        <v>3802</v>
      </c>
      <c r="C4580" s="12" t="s">
        <v>4</v>
      </c>
      <c r="D4580" s="93">
        <v>791.12</v>
      </c>
      <c r="E4580" s="93">
        <v>55.63</v>
      </c>
      <c r="F4580" s="93">
        <v>735.49</v>
      </c>
      <c r="G4580" s="93">
        <v>0</v>
      </c>
      <c r="H4580" s="93">
        <v>0</v>
      </c>
      <c r="N4580" s="88"/>
      <c r="O4580" s="88"/>
      <c r="P4580" s="88"/>
    </row>
    <row r="4581" spans="1:16">
      <c r="A4581" s="94">
        <v>93442</v>
      </c>
      <c r="B4581" s="87" t="s">
        <v>3803</v>
      </c>
      <c r="C4581" s="12" t="s">
        <v>4</v>
      </c>
      <c r="D4581" s="93">
        <v>850.83</v>
      </c>
      <c r="E4581" s="93">
        <v>60.53</v>
      </c>
      <c r="F4581" s="93">
        <v>790.3</v>
      </c>
      <c r="G4581" s="93">
        <v>0</v>
      </c>
      <c r="H4581" s="93">
        <v>0</v>
      </c>
      <c r="N4581" s="88"/>
      <c r="O4581" s="88"/>
      <c r="P4581" s="88"/>
    </row>
    <row r="4582" spans="1:16">
      <c r="A4582" s="94">
        <v>95469</v>
      </c>
      <c r="B4582" s="87" t="s">
        <v>3804</v>
      </c>
      <c r="C4582" s="12" t="s">
        <v>4</v>
      </c>
      <c r="D4582" s="93">
        <v>167.76</v>
      </c>
      <c r="E4582" s="93">
        <v>12.19</v>
      </c>
      <c r="F4582" s="93">
        <v>155.57</v>
      </c>
      <c r="G4582" s="93">
        <v>0</v>
      </c>
      <c r="H4582" s="93">
        <v>0</v>
      </c>
      <c r="N4582" s="88"/>
      <c r="O4582" s="88"/>
      <c r="P4582" s="88"/>
    </row>
    <row r="4583" spans="1:16">
      <c r="A4583" s="94">
        <v>95470</v>
      </c>
      <c r="B4583" s="87" t="s">
        <v>3805</v>
      </c>
      <c r="C4583" s="12" t="s">
        <v>4</v>
      </c>
      <c r="D4583" s="93">
        <v>173.65</v>
      </c>
      <c r="E4583" s="93">
        <v>12.19</v>
      </c>
      <c r="F4583" s="93">
        <v>161.46</v>
      </c>
      <c r="G4583" s="93">
        <v>0</v>
      </c>
      <c r="H4583" s="93">
        <v>0</v>
      </c>
      <c r="N4583" s="88"/>
      <c r="O4583" s="88"/>
      <c r="P4583" s="88"/>
    </row>
    <row r="4584" spans="1:16">
      <c r="A4584" s="94">
        <v>95471</v>
      </c>
      <c r="B4584" s="87" t="s">
        <v>3806</v>
      </c>
      <c r="C4584" s="12" t="s">
        <v>4</v>
      </c>
      <c r="D4584" s="93">
        <v>662.27</v>
      </c>
      <c r="E4584" s="93">
        <v>25.61</v>
      </c>
      <c r="F4584" s="93">
        <v>636.66</v>
      </c>
      <c r="G4584" s="93">
        <v>0</v>
      </c>
      <c r="H4584" s="93">
        <v>0</v>
      </c>
      <c r="N4584" s="88"/>
      <c r="O4584" s="88"/>
      <c r="P4584" s="88"/>
    </row>
    <row r="4585" spans="1:16">
      <c r="A4585" s="94">
        <v>95472</v>
      </c>
      <c r="B4585" s="87" t="s">
        <v>3807</v>
      </c>
      <c r="C4585" s="12" t="s">
        <v>4</v>
      </c>
      <c r="D4585" s="93">
        <v>668.16</v>
      </c>
      <c r="E4585" s="93">
        <v>25.61</v>
      </c>
      <c r="F4585" s="93">
        <v>642.54999999999995</v>
      </c>
      <c r="G4585" s="93">
        <v>0</v>
      </c>
      <c r="H4585" s="93">
        <v>0</v>
      </c>
      <c r="N4585" s="88"/>
      <c r="O4585" s="88"/>
      <c r="P4585" s="88"/>
    </row>
    <row r="4586" spans="1:16">
      <c r="A4586" s="94">
        <v>95542</v>
      </c>
      <c r="B4586" s="87" t="s">
        <v>3808</v>
      </c>
      <c r="C4586" s="12" t="s">
        <v>4</v>
      </c>
      <c r="D4586" s="93">
        <v>23.83</v>
      </c>
      <c r="E4586" s="93">
        <v>6.45</v>
      </c>
      <c r="F4586" s="93">
        <v>17.38</v>
      </c>
      <c r="G4586" s="93">
        <v>0</v>
      </c>
      <c r="H4586" s="93">
        <v>0</v>
      </c>
      <c r="N4586" s="88"/>
      <c r="O4586" s="88"/>
      <c r="P4586" s="88"/>
    </row>
    <row r="4587" spans="1:16">
      <c r="A4587" s="94">
        <v>95543</v>
      </c>
      <c r="B4587" s="87" t="s">
        <v>3809</v>
      </c>
      <c r="C4587" s="12" t="s">
        <v>4</v>
      </c>
      <c r="D4587" s="93">
        <v>40.75</v>
      </c>
      <c r="E4587" s="93">
        <v>12.91</v>
      </c>
      <c r="F4587" s="93">
        <v>27.84</v>
      </c>
      <c r="G4587" s="93">
        <v>0</v>
      </c>
      <c r="H4587" s="93">
        <v>0</v>
      </c>
      <c r="N4587" s="88"/>
      <c r="O4587" s="88"/>
      <c r="P4587" s="88"/>
    </row>
    <row r="4588" spans="1:16">
      <c r="A4588" s="94">
        <v>95544</v>
      </c>
      <c r="B4588" s="87" t="s">
        <v>3810</v>
      </c>
      <c r="C4588" s="12" t="s">
        <v>4</v>
      </c>
      <c r="D4588" s="93">
        <v>28.66</v>
      </c>
      <c r="E4588" s="93">
        <v>6.45</v>
      </c>
      <c r="F4588" s="93">
        <v>22.21</v>
      </c>
      <c r="G4588" s="93">
        <v>0</v>
      </c>
      <c r="H4588" s="93">
        <v>0</v>
      </c>
      <c r="N4588" s="88"/>
      <c r="O4588" s="88"/>
      <c r="P4588" s="88"/>
    </row>
    <row r="4589" spans="1:16">
      <c r="A4589" s="94">
        <v>95545</v>
      </c>
      <c r="B4589" s="87" t="s">
        <v>3811</v>
      </c>
      <c r="C4589" s="12" t="s">
        <v>4</v>
      </c>
      <c r="D4589" s="93">
        <v>28.15</v>
      </c>
      <c r="E4589" s="93">
        <v>6.45</v>
      </c>
      <c r="F4589" s="93">
        <v>21.7</v>
      </c>
      <c r="G4589" s="93">
        <v>0</v>
      </c>
      <c r="H4589" s="93">
        <v>0</v>
      </c>
      <c r="N4589" s="88"/>
      <c r="O4589" s="88"/>
      <c r="P4589" s="88"/>
    </row>
    <row r="4590" spans="1:16">
      <c r="A4590" s="94">
        <v>95546</v>
      </c>
      <c r="B4590" s="87" t="s">
        <v>3812</v>
      </c>
      <c r="C4590" s="12" t="s">
        <v>4</v>
      </c>
      <c r="D4590" s="93">
        <v>101.85</v>
      </c>
      <c r="E4590" s="93">
        <v>38.76</v>
      </c>
      <c r="F4590" s="93">
        <v>63.09</v>
      </c>
      <c r="G4590" s="93">
        <v>0</v>
      </c>
      <c r="H4590" s="93">
        <v>0</v>
      </c>
      <c r="N4590" s="88"/>
      <c r="O4590" s="88"/>
      <c r="P4590" s="88"/>
    </row>
    <row r="4591" spans="1:16">
      <c r="A4591" s="94">
        <v>95547</v>
      </c>
      <c r="B4591" s="87" t="s">
        <v>3813</v>
      </c>
      <c r="C4591" s="12" t="s">
        <v>4</v>
      </c>
      <c r="D4591" s="93">
        <v>45.34</v>
      </c>
      <c r="E4591" s="93">
        <v>6.44</v>
      </c>
      <c r="F4591" s="93">
        <v>38.9</v>
      </c>
      <c r="G4591" s="93">
        <v>0</v>
      </c>
      <c r="H4591" s="93">
        <v>0</v>
      </c>
      <c r="N4591" s="88"/>
      <c r="O4591" s="88"/>
      <c r="P4591" s="88"/>
    </row>
    <row r="4592" spans="1:16">
      <c r="A4592" s="94">
        <v>100848</v>
      </c>
      <c r="B4592" s="87" t="s">
        <v>3814</v>
      </c>
      <c r="C4592" s="12" t="s">
        <v>4</v>
      </c>
      <c r="D4592" s="93">
        <v>317.92</v>
      </c>
      <c r="E4592" s="93">
        <v>12.19</v>
      </c>
      <c r="F4592" s="93">
        <v>305.73</v>
      </c>
      <c r="G4592" s="93">
        <v>0</v>
      </c>
      <c r="H4592" s="93">
        <v>0</v>
      </c>
      <c r="N4592" s="88"/>
      <c r="O4592" s="88"/>
      <c r="P4592" s="88"/>
    </row>
    <row r="4593" spans="1:16">
      <c r="A4593" s="94">
        <v>100849</v>
      </c>
      <c r="B4593" s="87" t="s">
        <v>3815</v>
      </c>
      <c r="C4593" s="12" t="s">
        <v>4</v>
      </c>
      <c r="D4593" s="93">
        <v>28.98</v>
      </c>
      <c r="E4593" s="93">
        <v>3.12</v>
      </c>
      <c r="F4593" s="93">
        <v>25.86</v>
      </c>
      <c r="G4593" s="93">
        <v>0</v>
      </c>
      <c r="H4593" s="93">
        <v>0</v>
      </c>
      <c r="N4593" s="88"/>
      <c r="O4593" s="88"/>
      <c r="P4593" s="88"/>
    </row>
    <row r="4594" spans="1:16">
      <c r="A4594" s="94">
        <v>100851</v>
      </c>
      <c r="B4594" s="87" t="s">
        <v>3816</v>
      </c>
      <c r="C4594" s="12" t="s">
        <v>4</v>
      </c>
      <c r="D4594" s="93">
        <v>57.18</v>
      </c>
      <c r="E4594" s="93">
        <v>3.12</v>
      </c>
      <c r="F4594" s="93">
        <v>54.06</v>
      </c>
      <c r="G4594" s="93">
        <v>0</v>
      </c>
      <c r="H4594" s="93">
        <v>0</v>
      </c>
      <c r="N4594" s="88"/>
      <c r="O4594" s="88"/>
      <c r="P4594" s="88"/>
    </row>
    <row r="4595" spans="1:16">
      <c r="A4595" s="94">
        <v>100852</v>
      </c>
      <c r="B4595" s="87" t="s">
        <v>3817</v>
      </c>
      <c r="C4595" s="12" t="s">
        <v>4</v>
      </c>
      <c r="D4595" s="93">
        <v>156.82</v>
      </c>
      <c r="E4595" s="93">
        <v>9.5500000000000007</v>
      </c>
      <c r="F4595" s="93">
        <v>147.27000000000001</v>
      </c>
      <c r="G4595" s="93">
        <v>0</v>
      </c>
      <c r="H4595" s="93">
        <v>0</v>
      </c>
      <c r="N4595" s="88"/>
      <c r="O4595" s="88"/>
      <c r="P4595" s="88"/>
    </row>
    <row r="4596" spans="1:16">
      <c r="A4596" s="94">
        <v>100854</v>
      </c>
      <c r="B4596" s="87" t="s">
        <v>3818</v>
      </c>
      <c r="C4596" s="12" t="s">
        <v>4</v>
      </c>
      <c r="D4596" s="93">
        <v>543.35</v>
      </c>
      <c r="E4596" s="93">
        <v>13.17</v>
      </c>
      <c r="F4596" s="93">
        <v>530.17999999999995</v>
      </c>
      <c r="G4596" s="93">
        <v>0</v>
      </c>
      <c r="H4596" s="93">
        <v>0</v>
      </c>
      <c r="N4596" s="88"/>
      <c r="O4596" s="88"/>
      <c r="P4596" s="88"/>
    </row>
    <row r="4597" spans="1:16">
      <c r="A4597" s="94">
        <v>100855</v>
      </c>
      <c r="B4597" s="87" t="s">
        <v>3819</v>
      </c>
      <c r="C4597" s="12" t="s">
        <v>4</v>
      </c>
      <c r="D4597" s="93">
        <v>28.15</v>
      </c>
      <c r="E4597" s="93">
        <v>6.45</v>
      </c>
      <c r="F4597" s="93">
        <v>21.7</v>
      </c>
      <c r="G4597" s="93">
        <v>0</v>
      </c>
      <c r="H4597" s="93">
        <v>0</v>
      </c>
      <c r="N4597" s="88"/>
      <c r="O4597" s="88"/>
      <c r="P4597" s="88"/>
    </row>
    <row r="4598" spans="1:16">
      <c r="A4598" s="94">
        <v>100856</v>
      </c>
      <c r="B4598" s="87" t="s">
        <v>3820</v>
      </c>
      <c r="C4598" s="12" t="s">
        <v>4</v>
      </c>
      <c r="D4598" s="93">
        <v>20.81</v>
      </c>
      <c r="E4598" s="93">
        <v>1.94</v>
      </c>
      <c r="F4598" s="93">
        <v>18.87</v>
      </c>
      <c r="G4598" s="93">
        <v>0</v>
      </c>
      <c r="H4598" s="93">
        <v>0</v>
      </c>
      <c r="N4598" s="88"/>
      <c r="O4598" s="88"/>
      <c r="P4598" s="88"/>
    </row>
    <row r="4599" spans="1:16">
      <c r="A4599" s="94">
        <v>100857</v>
      </c>
      <c r="B4599" s="87" t="s">
        <v>3821</v>
      </c>
      <c r="C4599" s="12" t="s">
        <v>4</v>
      </c>
      <c r="D4599" s="93">
        <v>204.04</v>
      </c>
      <c r="E4599" s="93">
        <v>7.02</v>
      </c>
      <c r="F4599" s="93">
        <v>197.02</v>
      </c>
      <c r="G4599" s="93">
        <v>0</v>
      </c>
      <c r="H4599" s="93">
        <v>0</v>
      </c>
      <c r="N4599" s="88"/>
      <c r="O4599" s="88"/>
      <c r="P4599" s="88"/>
    </row>
    <row r="4600" spans="1:16">
      <c r="A4600" s="94">
        <v>100858</v>
      </c>
      <c r="B4600" s="87" t="s">
        <v>3822</v>
      </c>
      <c r="C4600" s="12" t="s">
        <v>4</v>
      </c>
      <c r="D4600" s="93">
        <v>453.66</v>
      </c>
      <c r="E4600" s="93">
        <v>20.6</v>
      </c>
      <c r="F4600" s="93">
        <v>433.06</v>
      </c>
      <c r="G4600" s="93">
        <v>0</v>
      </c>
      <c r="H4600" s="93">
        <v>0</v>
      </c>
      <c r="N4600" s="88"/>
      <c r="O4600" s="88"/>
      <c r="P4600" s="88"/>
    </row>
    <row r="4601" spans="1:16">
      <c r="A4601" s="94">
        <v>100860</v>
      </c>
      <c r="B4601" s="87" t="s">
        <v>3823</v>
      </c>
      <c r="C4601" s="12" t="s">
        <v>4</v>
      </c>
      <c r="D4601" s="93">
        <v>66.569999999999993</v>
      </c>
      <c r="E4601" s="93">
        <v>9.1199999999999992</v>
      </c>
      <c r="F4601" s="93">
        <v>57.45</v>
      </c>
      <c r="G4601" s="93">
        <v>0</v>
      </c>
      <c r="H4601" s="93">
        <v>0</v>
      </c>
      <c r="N4601" s="88"/>
      <c r="O4601" s="88"/>
      <c r="P4601" s="88"/>
    </row>
    <row r="4602" spans="1:16">
      <c r="A4602" s="94">
        <v>100861</v>
      </c>
      <c r="B4602" s="87" t="s">
        <v>3824</v>
      </c>
      <c r="C4602" s="12" t="s">
        <v>4</v>
      </c>
      <c r="D4602" s="93">
        <v>25.74</v>
      </c>
      <c r="E4602" s="93">
        <v>9.69</v>
      </c>
      <c r="F4602" s="93">
        <v>16.05</v>
      </c>
      <c r="G4602" s="93">
        <v>0</v>
      </c>
      <c r="H4602" s="93">
        <v>0</v>
      </c>
      <c r="N4602" s="88"/>
      <c r="O4602" s="88"/>
      <c r="P4602" s="88"/>
    </row>
    <row r="4603" spans="1:16">
      <c r="A4603" s="94">
        <v>100862</v>
      </c>
      <c r="B4603" s="87" t="s">
        <v>3825</v>
      </c>
      <c r="C4603" s="12" t="s">
        <v>4</v>
      </c>
      <c r="D4603" s="93">
        <v>28.16</v>
      </c>
      <c r="E4603" s="93">
        <v>9.69</v>
      </c>
      <c r="F4603" s="93">
        <v>18.47</v>
      </c>
      <c r="G4603" s="93">
        <v>0</v>
      </c>
      <c r="H4603" s="93">
        <v>0</v>
      </c>
      <c r="N4603" s="88"/>
      <c r="O4603" s="88"/>
      <c r="P4603" s="88"/>
    </row>
    <row r="4604" spans="1:16">
      <c r="A4604" s="94">
        <v>100863</v>
      </c>
      <c r="B4604" s="87" t="s">
        <v>3826</v>
      </c>
      <c r="C4604" s="12" t="s">
        <v>4</v>
      </c>
      <c r="D4604" s="93">
        <v>422.5</v>
      </c>
      <c r="E4604" s="93">
        <v>29.05</v>
      </c>
      <c r="F4604" s="93">
        <v>393.45</v>
      </c>
      <c r="G4604" s="93">
        <v>0</v>
      </c>
      <c r="H4604" s="93">
        <v>0</v>
      </c>
      <c r="N4604" s="88"/>
      <c r="O4604" s="88"/>
      <c r="P4604" s="88"/>
    </row>
    <row r="4605" spans="1:16">
      <c r="A4605" s="94">
        <v>100864</v>
      </c>
      <c r="B4605" s="87" t="s">
        <v>3827</v>
      </c>
      <c r="C4605" s="12" t="s">
        <v>4</v>
      </c>
      <c r="D4605" s="93">
        <v>467.15</v>
      </c>
      <c r="E4605" s="93">
        <v>29.05</v>
      </c>
      <c r="F4605" s="93">
        <v>438.1</v>
      </c>
      <c r="G4605" s="93">
        <v>0</v>
      </c>
      <c r="H4605" s="93">
        <v>0</v>
      </c>
      <c r="N4605" s="88"/>
      <c r="O4605" s="88"/>
      <c r="P4605" s="88"/>
    </row>
    <row r="4606" spans="1:16">
      <c r="A4606" s="94">
        <v>100865</v>
      </c>
      <c r="B4606" s="87" t="s">
        <v>3828</v>
      </c>
      <c r="C4606" s="12" t="s">
        <v>4</v>
      </c>
      <c r="D4606" s="93">
        <v>428.87</v>
      </c>
      <c r="E4606" s="93">
        <v>12.89</v>
      </c>
      <c r="F4606" s="93">
        <v>415.98</v>
      </c>
      <c r="G4606" s="93">
        <v>0</v>
      </c>
      <c r="H4606" s="93">
        <v>0</v>
      </c>
      <c r="N4606" s="88"/>
      <c r="O4606" s="88"/>
      <c r="P4606" s="88"/>
    </row>
    <row r="4607" spans="1:16">
      <c r="A4607" s="94">
        <v>100866</v>
      </c>
      <c r="B4607" s="87" t="s">
        <v>3829</v>
      </c>
      <c r="C4607" s="12" t="s">
        <v>4</v>
      </c>
      <c r="D4607" s="93">
        <v>213.2</v>
      </c>
      <c r="E4607" s="93">
        <v>19.36</v>
      </c>
      <c r="F4607" s="93">
        <v>193.84</v>
      </c>
      <c r="G4607" s="93">
        <v>0</v>
      </c>
      <c r="H4607" s="93">
        <v>0</v>
      </c>
      <c r="N4607" s="88"/>
      <c r="O4607" s="88"/>
      <c r="P4607" s="88"/>
    </row>
    <row r="4608" spans="1:16">
      <c r="A4608" s="94">
        <v>100867</v>
      </c>
      <c r="B4608" s="87" t="s">
        <v>3830</v>
      </c>
      <c r="C4608" s="12" t="s">
        <v>4</v>
      </c>
      <c r="D4608" s="93">
        <v>227.92</v>
      </c>
      <c r="E4608" s="93">
        <v>19.36</v>
      </c>
      <c r="F4608" s="93">
        <v>208.56</v>
      </c>
      <c r="G4608" s="93">
        <v>0</v>
      </c>
      <c r="H4608" s="93">
        <v>0</v>
      </c>
      <c r="N4608" s="88"/>
      <c r="O4608" s="88"/>
      <c r="P4608" s="88"/>
    </row>
    <row r="4609" spans="1:16">
      <c r="A4609" s="94">
        <v>100868</v>
      </c>
      <c r="B4609" s="87" t="s">
        <v>3831</v>
      </c>
      <c r="C4609" s="12" t="s">
        <v>4</v>
      </c>
      <c r="D4609" s="93">
        <v>237.72</v>
      </c>
      <c r="E4609" s="93">
        <v>19.36</v>
      </c>
      <c r="F4609" s="93">
        <v>218.36</v>
      </c>
      <c r="G4609" s="93">
        <v>0</v>
      </c>
      <c r="H4609" s="93">
        <v>0</v>
      </c>
      <c r="N4609" s="88"/>
      <c r="O4609" s="88"/>
      <c r="P4609" s="88"/>
    </row>
    <row r="4610" spans="1:16">
      <c r="A4610" s="94">
        <v>100869</v>
      </c>
      <c r="B4610" s="87" t="s">
        <v>3832</v>
      </c>
      <c r="C4610" s="12" t="s">
        <v>4</v>
      </c>
      <c r="D4610" s="93">
        <v>245.23</v>
      </c>
      <c r="E4610" s="93">
        <v>19.36</v>
      </c>
      <c r="F4610" s="93">
        <v>225.87</v>
      </c>
      <c r="G4610" s="93">
        <v>0</v>
      </c>
      <c r="H4610" s="93">
        <v>0</v>
      </c>
      <c r="N4610" s="88"/>
      <c r="O4610" s="88"/>
      <c r="P4610" s="88"/>
    </row>
    <row r="4611" spans="1:16">
      <c r="A4611" s="94">
        <v>100870</v>
      </c>
      <c r="B4611" s="87" t="s">
        <v>3833</v>
      </c>
      <c r="C4611" s="12" t="s">
        <v>4</v>
      </c>
      <c r="D4611" s="93">
        <v>164.63</v>
      </c>
      <c r="E4611" s="93">
        <v>19.36</v>
      </c>
      <c r="F4611" s="93">
        <v>145.27000000000001</v>
      </c>
      <c r="G4611" s="93">
        <v>0</v>
      </c>
      <c r="H4611" s="93">
        <v>0</v>
      </c>
      <c r="N4611" s="88"/>
      <c r="O4611" s="88"/>
      <c r="P4611" s="88"/>
    </row>
    <row r="4612" spans="1:16">
      <c r="A4612" s="94">
        <v>100871</v>
      </c>
      <c r="B4612" s="87" t="s">
        <v>3834</v>
      </c>
      <c r="C4612" s="12" t="s">
        <v>4</v>
      </c>
      <c r="D4612" s="93">
        <v>177.04</v>
      </c>
      <c r="E4612" s="93">
        <v>19.36</v>
      </c>
      <c r="F4612" s="93">
        <v>157.68</v>
      </c>
      <c r="G4612" s="93">
        <v>0</v>
      </c>
      <c r="H4612" s="93">
        <v>0</v>
      </c>
      <c r="N4612" s="88"/>
      <c r="O4612" s="88"/>
      <c r="P4612" s="88"/>
    </row>
    <row r="4613" spans="1:16">
      <c r="A4613" s="94">
        <v>100872</v>
      </c>
      <c r="B4613" s="87" t="s">
        <v>3835</v>
      </c>
      <c r="C4613" s="12" t="s">
        <v>4</v>
      </c>
      <c r="D4613" s="93">
        <v>184.96</v>
      </c>
      <c r="E4613" s="93">
        <v>19.36</v>
      </c>
      <c r="F4613" s="93">
        <v>165.6</v>
      </c>
      <c r="G4613" s="93">
        <v>0</v>
      </c>
      <c r="H4613" s="93">
        <v>0</v>
      </c>
      <c r="N4613" s="88"/>
      <c r="O4613" s="88"/>
      <c r="P4613" s="88"/>
    </row>
    <row r="4614" spans="1:16">
      <c r="A4614" s="94">
        <v>100873</v>
      </c>
      <c r="B4614" s="87" t="s">
        <v>3836</v>
      </c>
      <c r="C4614" s="12" t="s">
        <v>4</v>
      </c>
      <c r="D4614" s="93">
        <v>189.9</v>
      </c>
      <c r="E4614" s="93">
        <v>19.36</v>
      </c>
      <c r="F4614" s="93">
        <v>170.54</v>
      </c>
      <c r="G4614" s="93">
        <v>0</v>
      </c>
      <c r="H4614" s="93">
        <v>0</v>
      </c>
      <c r="N4614" s="88"/>
      <c r="O4614" s="88"/>
      <c r="P4614" s="88"/>
    </row>
    <row r="4615" spans="1:16">
      <c r="A4615" s="94">
        <v>100874</v>
      </c>
      <c r="B4615" s="87" t="s">
        <v>3837</v>
      </c>
      <c r="C4615" s="12" t="s">
        <v>4</v>
      </c>
      <c r="D4615" s="93">
        <v>213.2</v>
      </c>
      <c r="E4615" s="93">
        <v>19.36</v>
      </c>
      <c r="F4615" s="93">
        <v>193.84</v>
      </c>
      <c r="G4615" s="93">
        <v>0</v>
      </c>
      <c r="H4615" s="93">
        <v>0</v>
      </c>
      <c r="N4615" s="88"/>
      <c r="O4615" s="88"/>
      <c r="P4615" s="88"/>
    </row>
    <row r="4616" spans="1:16">
      <c r="A4616" s="94">
        <v>100875</v>
      </c>
      <c r="B4616" s="87" t="s">
        <v>3838</v>
      </c>
      <c r="C4616" s="12" t="s">
        <v>4</v>
      </c>
      <c r="D4616" s="93">
        <v>789.5</v>
      </c>
      <c r="E4616" s="93">
        <v>25.82</v>
      </c>
      <c r="F4616" s="93">
        <v>763.68</v>
      </c>
      <c r="G4616" s="93">
        <v>0</v>
      </c>
      <c r="H4616" s="93">
        <v>0</v>
      </c>
      <c r="N4616" s="88"/>
      <c r="O4616" s="88"/>
      <c r="P4616" s="88"/>
    </row>
    <row r="4617" spans="1:16">
      <c r="A4617" s="94">
        <v>6087</v>
      </c>
      <c r="B4617" s="87" t="s">
        <v>6756</v>
      </c>
      <c r="C4617" s="12" t="s">
        <v>4</v>
      </c>
      <c r="D4617" s="93">
        <v>26.53</v>
      </c>
      <c r="E4617" s="93">
        <v>5.51</v>
      </c>
      <c r="F4617" s="93">
        <v>21.01</v>
      </c>
      <c r="G4617" s="93">
        <v>0</v>
      </c>
      <c r="H4617" s="93">
        <v>0</v>
      </c>
      <c r="N4617" s="88"/>
      <c r="O4617" s="88"/>
      <c r="P4617" s="88"/>
    </row>
    <row r="4618" spans="1:16">
      <c r="A4618" s="94">
        <v>98052</v>
      </c>
      <c r="B4618" s="87" t="s">
        <v>6757</v>
      </c>
      <c r="C4618" s="12" t="s">
        <v>4</v>
      </c>
      <c r="D4618" s="93">
        <v>1203.29</v>
      </c>
      <c r="E4618" s="93">
        <v>251.09</v>
      </c>
      <c r="F4618" s="93">
        <v>916.25</v>
      </c>
      <c r="G4618" s="93">
        <v>35.049999999999997</v>
      </c>
      <c r="H4618" s="93">
        <v>0</v>
      </c>
      <c r="N4618" s="88"/>
      <c r="O4618" s="88"/>
      <c r="P4618" s="88"/>
    </row>
    <row r="4619" spans="1:16">
      <c r="A4619" s="94">
        <v>98053</v>
      </c>
      <c r="B4619" s="87" t="s">
        <v>6758</v>
      </c>
      <c r="C4619" s="12" t="s">
        <v>4</v>
      </c>
      <c r="D4619" s="93">
        <v>1636.71</v>
      </c>
      <c r="E4619" s="93">
        <v>333.02</v>
      </c>
      <c r="F4619" s="93">
        <v>1262.3599999999999</v>
      </c>
      <c r="G4619" s="93">
        <v>40.01</v>
      </c>
      <c r="H4619" s="93">
        <v>0</v>
      </c>
      <c r="N4619" s="88"/>
      <c r="O4619" s="88"/>
      <c r="P4619" s="88"/>
    </row>
    <row r="4620" spans="1:16">
      <c r="A4620" s="94">
        <v>98054</v>
      </c>
      <c r="B4620" s="87" t="s">
        <v>6759</v>
      </c>
      <c r="C4620" s="12" t="s">
        <v>4</v>
      </c>
      <c r="D4620" s="93">
        <v>2536.1799999999998</v>
      </c>
      <c r="E4620" s="93">
        <v>384.07</v>
      </c>
      <c r="F4620" s="93">
        <v>2099.7600000000002</v>
      </c>
      <c r="G4620" s="93">
        <v>51.13</v>
      </c>
      <c r="H4620" s="93">
        <v>0</v>
      </c>
      <c r="N4620" s="88"/>
      <c r="O4620" s="88"/>
      <c r="P4620" s="88"/>
    </row>
    <row r="4621" spans="1:16">
      <c r="A4621" s="94">
        <v>98055</v>
      </c>
      <c r="B4621" s="87" t="s">
        <v>6760</v>
      </c>
      <c r="C4621" s="12" t="s">
        <v>4</v>
      </c>
      <c r="D4621" s="93">
        <v>3436.3</v>
      </c>
      <c r="E4621" s="93">
        <v>514.62</v>
      </c>
      <c r="F4621" s="93">
        <v>2858.1</v>
      </c>
      <c r="G4621" s="93">
        <v>61.82</v>
      </c>
      <c r="H4621" s="93">
        <v>0</v>
      </c>
      <c r="N4621" s="88"/>
      <c r="O4621" s="88"/>
      <c r="P4621" s="88"/>
    </row>
    <row r="4622" spans="1:16">
      <c r="A4622" s="94">
        <v>98056</v>
      </c>
      <c r="B4622" s="87" t="s">
        <v>6761</v>
      </c>
      <c r="C4622" s="12" t="s">
        <v>4</v>
      </c>
      <c r="D4622" s="93">
        <v>3963.17</v>
      </c>
      <c r="E4622" s="93">
        <v>565.1</v>
      </c>
      <c r="F4622" s="93">
        <v>3322.72</v>
      </c>
      <c r="G4622" s="93">
        <v>73.52</v>
      </c>
      <c r="H4622" s="93">
        <v>0</v>
      </c>
      <c r="N4622" s="88"/>
      <c r="O4622" s="88"/>
      <c r="P4622" s="88"/>
    </row>
    <row r="4623" spans="1:16">
      <c r="A4623" s="94">
        <v>98057</v>
      </c>
      <c r="B4623" s="87" t="s">
        <v>6762</v>
      </c>
      <c r="C4623" s="12" t="s">
        <v>4</v>
      </c>
      <c r="D4623" s="93">
        <v>4693.67</v>
      </c>
      <c r="E4623" s="93">
        <v>664.27</v>
      </c>
      <c r="F4623" s="93">
        <v>3953.36</v>
      </c>
      <c r="G4623" s="93">
        <v>73.62</v>
      </c>
      <c r="H4623" s="93">
        <v>0</v>
      </c>
      <c r="N4623" s="88"/>
      <c r="O4623" s="88"/>
      <c r="P4623" s="88"/>
    </row>
    <row r="4624" spans="1:16">
      <c r="A4624" s="94">
        <v>98058</v>
      </c>
      <c r="B4624" s="87" t="s">
        <v>6763</v>
      </c>
      <c r="C4624" s="12" t="s">
        <v>4</v>
      </c>
      <c r="D4624" s="93">
        <v>1118.1400000000001</v>
      </c>
      <c r="E4624" s="93">
        <v>273.55</v>
      </c>
      <c r="F4624" s="93">
        <v>803.68</v>
      </c>
      <c r="G4624" s="93">
        <v>39.78</v>
      </c>
      <c r="H4624" s="93">
        <v>0</v>
      </c>
      <c r="N4624" s="88"/>
      <c r="O4624" s="88"/>
      <c r="P4624" s="88"/>
    </row>
    <row r="4625" spans="1:16">
      <c r="A4625" s="94">
        <v>98059</v>
      </c>
      <c r="B4625" s="87" t="s">
        <v>6764</v>
      </c>
      <c r="C4625" s="12" t="s">
        <v>4</v>
      </c>
      <c r="D4625" s="93">
        <v>2346.46</v>
      </c>
      <c r="E4625" s="93">
        <v>441.07</v>
      </c>
      <c r="F4625" s="93">
        <v>1825.22</v>
      </c>
      <c r="G4625" s="93">
        <v>78.66</v>
      </c>
      <c r="H4625" s="93">
        <v>0</v>
      </c>
      <c r="N4625" s="88"/>
      <c r="O4625" s="88"/>
      <c r="P4625" s="88"/>
    </row>
    <row r="4626" spans="1:16">
      <c r="A4626" s="94">
        <v>98060</v>
      </c>
      <c r="B4626" s="87" t="s">
        <v>6765</v>
      </c>
      <c r="C4626" s="12" t="s">
        <v>4</v>
      </c>
      <c r="D4626" s="93">
        <v>3309.8</v>
      </c>
      <c r="E4626" s="93">
        <v>629.01</v>
      </c>
      <c r="F4626" s="93">
        <v>2566.41</v>
      </c>
      <c r="G4626" s="93">
        <v>112.16</v>
      </c>
      <c r="H4626" s="93">
        <v>0</v>
      </c>
      <c r="N4626" s="88"/>
      <c r="O4626" s="88"/>
      <c r="P4626" s="88"/>
    </row>
    <row r="4627" spans="1:16">
      <c r="A4627" s="94">
        <v>98061</v>
      </c>
      <c r="B4627" s="87" t="s">
        <v>6766</v>
      </c>
      <c r="C4627" s="12" t="s">
        <v>4</v>
      </c>
      <c r="D4627" s="93">
        <v>4583.8599999999997</v>
      </c>
      <c r="E4627" s="93">
        <v>852.98</v>
      </c>
      <c r="F4627" s="93">
        <v>3575.11</v>
      </c>
      <c r="G4627" s="93">
        <v>152.65</v>
      </c>
      <c r="H4627" s="93">
        <v>0</v>
      </c>
      <c r="N4627" s="88"/>
      <c r="O4627" s="88"/>
      <c r="P4627" s="88"/>
    </row>
    <row r="4628" spans="1:16">
      <c r="A4628" s="94">
        <v>98062</v>
      </c>
      <c r="B4628" s="87" t="s">
        <v>6767</v>
      </c>
      <c r="C4628" s="12" t="s">
        <v>4</v>
      </c>
      <c r="D4628" s="93">
        <v>1620.15</v>
      </c>
      <c r="E4628" s="93">
        <v>257.79000000000002</v>
      </c>
      <c r="F4628" s="93">
        <v>1320.35</v>
      </c>
      <c r="G4628" s="93">
        <v>41.05</v>
      </c>
      <c r="H4628" s="93">
        <v>0</v>
      </c>
      <c r="N4628" s="88"/>
      <c r="O4628" s="88"/>
      <c r="P4628" s="88"/>
    </row>
    <row r="4629" spans="1:16">
      <c r="A4629" s="94">
        <v>98063</v>
      </c>
      <c r="B4629" s="87" t="s">
        <v>6768</v>
      </c>
      <c r="C4629" s="12" t="s">
        <v>4</v>
      </c>
      <c r="D4629" s="93">
        <v>2457.61</v>
      </c>
      <c r="E4629" s="93">
        <v>380.01</v>
      </c>
      <c r="F4629" s="93">
        <v>2014.76</v>
      </c>
      <c r="G4629" s="93">
        <v>61.41</v>
      </c>
      <c r="H4629" s="93">
        <v>0</v>
      </c>
      <c r="N4629" s="88"/>
      <c r="O4629" s="88"/>
      <c r="P4629" s="88"/>
    </row>
    <row r="4630" spans="1:16">
      <c r="A4630" s="94">
        <v>98064</v>
      </c>
      <c r="B4630" s="87" t="s">
        <v>6769</v>
      </c>
      <c r="C4630" s="12" t="s">
        <v>4</v>
      </c>
      <c r="D4630" s="93">
        <v>2791.77</v>
      </c>
      <c r="E4630" s="93">
        <v>404.12</v>
      </c>
      <c r="F4630" s="93">
        <v>2313.1999999999998</v>
      </c>
      <c r="G4630" s="93">
        <v>73.02</v>
      </c>
      <c r="H4630" s="93">
        <v>0</v>
      </c>
      <c r="N4630" s="88"/>
      <c r="O4630" s="88"/>
      <c r="P4630" s="88"/>
    </row>
    <row r="4631" spans="1:16">
      <c r="A4631" s="94">
        <v>98065</v>
      </c>
      <c r="B4631" s="87" t="s">
        <v>6770</v>
      </c>
      <c r="C4631" s="12" t="s">
        <v>4</v>
      </c>
      <c r="D4631" s="93">
        <v>3844.02</v>
      </c>
      <c r="E4631" s="93">
        <v>527.16999999999996</v>
      </c>
      <c r="F4631" s="93">
        <v>3229.06</v>
      </c>
      <c r="G4631" s="93">
        <v>85.79</v>
      </c>
      <c r="H4631" s="93">
        <v>0</v>
      </c>
      <c r="N4631" s="88"/>
      <c r="O4631" s="88"/>
      <c r="P4631" s="88"/>
    </row>
    <row r="4632" spans="1:16">
      <c r="A4632" s="94">
        <v>98066</v>
      </c>
      <c r="B4632" s="87" t="s">
        <v>6771</v>
      </c>
      <c r="C4632" s="12" t="s">
        <v>4</v>
      </c>
      <c r="D4632" s="93">
        <v>4446.83</v>
      </c>
      <c r="E4632" s="93">
        <v>1580.98</v>
      </c>
      <c r="F4632" s="93">
        <v>2847.38</v>
      </c>
      <c r="G4632" s="93">
        <v>14.35</v>
      </c>
      <c r="H4632" s="93">
        <v>0</v>
      </c>
      <c r="N4632" s="88"/>
      <c r="O4632" s="88"/>
      <c r="P4632" s="88"/>
    </row>
    <row r="4633" spans="1:16">
      <c r="A4633" s="94">
        <v>98067</v>
      </c>
      <c r="B4633" s="87" t="s">
        <v>6772</v>
      </c>
      <c r="C4633" s="12" t="s">
        <v>4</v>
      </c>
      <c r="D4633" s="93">
        <v>5947.69</v>
      </c>
      <c r="E4633" s="93">
        <v>2116.46</v>
      </c>
      <c r="F4633" s="93">
        <v>3806.78</v>
      </c>
      <c r="G4633" s="93">
        <v>18.98</v>
      </c>
      <c r="H4633" s="93">
        <v>0</v>
      </c>
      <c r="N4633" s="88"/>
      <c r="O4633" s="88"/>
      <c r="P4633" s="88"/>
    </row>
    <row r="4634" spans="1:16">
      <c r="A4634" s="94">
        <v>98068</v>
      </c>
      <c r="B4634" s="87" t="s">
        <v>6773</v>
      </c>
      <c r="C4634" s="12" t="s">
        <v>4</v>
      </c>
      <c r="D4634" s="93">
        <v>8410.73</v>
      </c>
      <c r="E4634" s="93">
        <v>3001.89</v>
      </c>
      <c r="F4634" s="93">
        <v>5374.01</v>
      </c>
      <c r="G4634" s="93">
        <v>27.07</v>
      </c>
      <c r="H4634" s="93">
        <v>0</v>
      </c>
      <c r="N4634" s="88"/>
      <c r="O4634" s="88"/>
      <c r="P4634" s="88"/>
    </row>
    <row r="4635" spans="1:16">
      <c r="A4635" s="94">
        <v>98069</v>
      </c>
      <c r="B4635" s="87" t="s">
        <v>6774</v>
      </c>
      <c r="C4635" s="12" t="s">
        <v>4</v>
      </c>
      <c r="D4635" s="93">
        <v>11236.24</v>
      </c>
      <c r="E4635" s="93">
        <v>4048.25</v>
      </c>
      <c r="F4635" s="93">
        <v>7137.65</v>
      </c>
      <c r="G4635" s="93">
        <v>39.4</v>
      </c>
      <c r="H4635" s="93">
        <v>0</v>
      </c>
      <c r="N4635" s="88"/>
      <c r="O4635" s="88"/>
      <c r="P4635" s="88"/>
    </row>
    <row r="4636" spans="1:16">
      <c r="A4636" s="94">
        <v>98070</v>
      </c>
      <c r="B4636" s="87" t="s">
        <v>6775</v>
      </c>
      <c r="C4636" s="12" t="s">
        <v>4</v>
      </c>
      <c r="D4636" s="93">
        <v>12910.02</v>
      </c>
      <c r="E4636" s="93">
        <v>4630.29</v>
      </c>
      <c r="F4636" s="93">
        <v>8224.75</v>
      </c>
      <c r="G4636" s="93">
        <v>42.87</v>
      </c>
      <c r="H4636" s="93">
        <v>0</v>
      </c>
      <c r="N4636" s="88"/>
      <c r="O4636" s="88"/>
      <c r="P4636" s="88"/>
    </row>
    <row r="4637" spans="1:16">
      <c r="A4637" s="94">
        <v>98071</v>
      </c>
      <c r="B4637" s="87" t="s">
        <v>6776</v>
      </c>
      <c r="C4637" s="12" t="s">
        <v>4</v>
      </c>
      <c r="D4637" s="93">
        <v>14243.68</v>
      </c>
      <c r="E4637" s="93">
        <v>5056.4799999999996</v>
      </c>
      <c r="F4637" s="93">
        <v>9132.2900000000009</v>
      </c>
      <c r="G4637" s="93">
        <v>42.53</v>
      </c>
      <c r="H4637" s="93">
        <v>0</v>
      </c>
      <c r="N4637" s="88"/>
      <c r="O4637" s="88"/>
      <c r="P4637" s="88"/>
    </row>
    <row r="4638" spans="1:16">
      <c r="A4638" s="94">
        <v>98072</v>
      </c>
      <c r="B4638" s="87" t="s">
        <v>6777</v>
      </c>
      <c r="C4638" s="12" t="s">
        <v>4</v>
      </c>
      <c r="D4638" s="93">
        <v>3686.03</v>
      </c>
      <c r="E4638" s="93">
        <v>1326.65</v>
      </c>
      <c r="F4638" s="93">
        <v>2326.52</v>
      </c>
      <c r="G4638" s="93">
        <v>29.11</v>
      </c>
      <c r="H4638" s="93">
        <v>0</v>
      </c>
      <c r="N4638" s="88"/>
      <c r="O4638" s="88"/>
      <c r="P4638" s="88"/>
    </row>
    <row r="4639" spans="1:16">
      <c r="A4639" s="94">
        <v>98073</v>
      </c>
      <c r="B4639" s="87" t="s">
        <v>6778</v>
      </c>
      <c r="C4639" s="12" t="s">
        <v>4</v>
      </c>
      <c r="D4639" s="93">
        <v>5718.47</v>
      </c>
      <c r="E4639" s="93">
        <v>2080.9299999999998</v>
      </c>
      <c r="F4639" s="93">
        <v>3574.75</v>
      </c>
      <c r="G4639" s="93">
        <v>56.46</v>
      </c>
      <c r="H4639" s="93">
        <v>0</v>
      </c>
      <c r="N4639" s="88"/>
      <c r="O4639" s="88"/>
      <c r="P4639" s="88"/>
    </row>
    <row r="4640" spans="1:16">
      <c r="A4640" s="94">
        <v>98074</v>
      </c>
      <c r="B4640" s="87" t="s">
        <v>6779</v>
      </c>
      <c r="C4640" s="12" t="s">
        <v>4</v>
      </c>
      <c r="D4640" s="93">
        <v>8820.94</v>
      </c>
      <c r="E4640" s="93">
        <v>3235.77</v>
      </c>
      <c r="F4640" s="93">
        <v>5466.58</v>
      </c>
      <c r="G4640" s="93">
        <v>108.2</v>
      </c>
      <c r="H4640" s="93">
        <v>0</v>
      </c>
      <c r="N4640" s="88"/>
      <c r="O4640" s="88"/>
      <c r="P4640" s="88"/>
    </row>
    <row r="4641" spans="1:16">
      <c r="A4641" s="94">
        <v>98075</v>
      </c>
      <c r="B4641" s="87" t="s">
        <v>6780</v>
      </c>
      <c r="C4641" s="12" t="s">
        <v>4</v>
      </c>
      <c r="D4641" s="93">
        <v>11440.85</v>
      </c>
      <c r="E4641" s="93">
        <v>4207.47</v>
      </c>
      <c r="F4641" s="93">
        <v>7068.9</v>
      </c>
      <c r="G4641" s="93">
        <v>150.72999999999999</v>
      </c>
      <c r="H4641" s="93">
        <v>0</v>
      </c>
      <c r="N4641" s="88"/>
      <c r="O4641" s="88"/>
      <c r="P4641" s="88"/>
    </row>
    <row r="4642" spans="1:16">
      <c r="A4642" s="94">
        <v>98076</v>
      </c>
      <c r="B4642" s="87" t="s">
        <v>6781</v>
      </c>
      <c r="C4642" s="12" t="s">
        <v>4</v>
      </c>
      <c r="D4642" s="93">
        <v>13146.7</v>
      </c>
      <c r="E4642" s="93">
        <v>4851.8</v>
      </c>
      <c r="F4642" s="93">
        <v>8092.34</v>
      </c>
      <c r="G4642" s="93">
        <v>186.3</v>
      </c>
      <c r="H4642" s="93">
        <v>0</v>
      </c>
      <c r="N4642" s="88"/>
      <c r="O4642" s="88"/>
      <c r="P4642" s="88"/>
    </row>
    <row r="4643" spans="1:16">
      <c r="A4643" s="94">
        <v>98077</v>
      </c>
      <c r="B4643" s="87" t="s">
        <v>6782</v>
      </c>
      <c r="C4643" s="12" t="s">
        <v>4</v>
      </c>
      <c r="D4643" s="93">
        <v>15457.24</v>
      </c>
      <c r="E4643" s="93">
        <v>5711.82</v>
      </c>
      <c r="F4643" s="93">
        <v>9499.5300000000007</v>
      </c>
      <c r="G4643" s="93">
        <v>226.57</v>
      </c>
      <c r="H4643" s="93">
        <v>0</v>
      </c>
      <c r="N4643" s="88"/>
      <c r="O4643" s="88"/>
      <c r="P4643" s="88"/>
    </row>
    <row r="4644" spans="1:16">
      <c r="A4644" s="94">
        <v>98078</v>
      </c>
      <c r="B4644" s="87" t="s">
        <v>6783</v>
      </c>
      <c r="C4644" s="12" t="s">
        <v>4</v>
      </c>
      <c r="D4644" s="93">
        <v>3888.55</v>
      </c>
      <c r="E4644" s="93">
        <v>1360.57</v>
      </c>
      <c r="F4644" s="93">
        <v>2510.39</v>
      </c>
      <c r="G4644" s="93">
        <v>15.5</v>
      </c>
      <c r="H4644" s="93">
        <v>0</v>
      </c>
      <c r="N4644" s="88"/>
      <c r="O4644" s="88"/>
      <c r="P4644" s="88"/>
    </row>
    <row r="4645" spans="1:16">
      <c r="A4645" s="94">
        <v>98079</v>
      </c>
      <c r="B4645" s="87" t="s">
        <v>6784</v>
      </c>
      <c r="C4645" s="12" t="s">
        <v>4</v>
      </c>
      <c r="D4645" s="93">
        <v>6794.84</v>
      </c>
      <c r="E4645" s="93">
        <v>2380.7399999999998</v>
      </c>
      <c r="F4645" s="93">
        <v>4373.54</v>
      </c>
      <c r="G4645" s="93">
        <v>36.53</v>
      </c>
      <c r="H4645" s="93">
        <v>0</v>
      </c>
      <c r="N4645" s="88"/>
      <c r="O4645" s="88"/>
      <c r="P4645" s="88"/>
    </row>
    <row r="4646" spans="1:16">
      <c r="A4646" s="94">
        <v>98080</v>
      </c>
      <c r="B4646" s="87" t="s">
        <v>6785</v>
      </c>
      <c r="C4646" s="12" t="s">
        <v>4</v>
      </c>
      <c r="D4646" s="93">
        <v>8705.84</v>
      </c>
      <c r="E4646" s="93">
        <v>3066.59</v>
      </c>
      <c r="F4646" s="93">
        <v>5572.33</v>
      </c>
      <c r="G4646" s="93">
        <v>61.07</v>
      </c>
      <c r="H4646" s="93">
        <v>0</v>
      </c>
      <c r="N4646" s="88"/>
      <c r="O4646" s="88"/>
      <c r="P4646" s="88"/>
    </row>
    <row r="4647" spans="1:16">
      <c r="A4647" s="94">
        <v>98081</v>
      </c>
      <c r="B4647" s="87" t="s">
        <v>6786</v>
      </c>
      <c r="C4647" s="12" t="s">
        <v>4</v>
      </c>
      <c r="D4647" s="93">
        <v>12872.73</v>
      </c>
      <c r="E4647" s="93">
        <v>4547.22</v>
      </c>
      <c r="F4647" s="93">
        <v>8214.84</v>
      </c>
      <c r="G4647" s="93">
        <v>101.48</v>
      </c>
      <c r="H4647" s="93">
        <v>0</v>
      </c>
      <c r="N4647" s="88"/>
      <c r="O4647" s="88"/>
      <c r="P4647" s="88"/>
    </row>
    <row r="4648" spans="1:16">
      <c r="A4648" s="94">
        <v>98082</v>
      </c>
      <c r="B4648" s="87" t="s">
        <v>6787</v>
      </c>
      <c r="C4648" s="12" t="s">
        <v>4</v>
      </c>
      <c r="D4648" s="93">
        <v>3149.62</v>
      </c>
      <c r="E4648" s="93">
        <v>1234.81</v>
      </c>
      <c r="F4648" s="93">
        <v>1897.27</v>
      </c>
      <c r="G4648" s="93">
        <v>13.84</v>
      </c>
      <c r="H4648" s="93">
        <v>0</v>
      </c>
      <c r="N4648" s="88"/>
      <c r="O4648" s="88"/>
      <c r="P4648" s="88"/>
    </row>
    <row r="4649" spans="1:16">
      <c r="A4649" s="94">
        <v>98083</v>
      </c>
      <c r="B4649" s="87" t="s">
        <v>6788</v>
      </c>
      <c r="C4649" s="12" t="s">
        <v>4</v>
      </c>
      <c r="D4649" s="93">
        <v>4163.3599999999997</v>
      </c>
      <c r="E4649" s="93">
        <v>1642.52</v>
      </c>
      <c r="F4649" s="93">
        <v>2497.7399999999998</v>
      </c>
      <c r="G4649" s="93">
        <v>18.239999999999998</v>
      </c>
      <c r="H4649" s="93">
        <v>0</v>
      </c>
      <c r="N4649" s="88"/>
      <c r="O4649" s="88"/>
      <c r="P4649" s="88"/>
    </row>
    <row r="4650" spans="1:16">
      <c r="A4650" s="94">
        <v>98084</v>
      </c>
      <c r="B4650" s="87" t="s">
        <v>6789</v>
      </c>
      <c r="C4650" s="12" t="s">
        <v>4</v>
      </c>
      <c r="D4650" s="93">
        <v>5848.6</v>
      </c>
      <c r="E4650" s="93">
        <v>2322.8000000000002</v>
      </c>
      <c r="F4650" s="93">
        <v>3492.9</v>
      </c>
      <c r="G4650" s="93">
        <v>26.02</v>
      </c>
      <c r="H4650" s="93">
        <v>0</v>
      </c>
      <c r="N4650" s="88"/>
      <c r="O4650" s="88"/>
      <c r="P4650" s="88"/>
    </row>
    <row r="4651" spans="1:16">
      <c r="A4651" s="94">
        <v>98085</v>
      </c>
      <c r="B4651" s="87" t="s">
        <v>6790</v>
      </c>
      <c r="C4651" s="12" t="s">
        <v>4</v>
      </c>
      <c r="D4651" s="93">
        <v>7929.37</v>
      </c>
      <c r="E4651" s="93">
        <v>3168.29</v>
      </c>
      <c r="F4651" s="93">
        <v>4713.22</v>
      </c>
      <c r="G4651" s="93">
        <v>38.07</v>
      </c>
      <c r="H4651" s="93">
        <v>0</v>
      </c>
      <c r="N4651" s="88"/>
      <c r="O4651" s="88"/>
      <c r="P4651" s="88"/>
    </row>
    <row r="4652" spans="1:16">
      <c r="A4652" s="94">
        <v>98086</v>
      </c>
      <c r="B4652" s="87" t="s">
        <v>6791</v>
      </c>
      <c r="C4652" s="12" t="s">
        <v>4</v>
      </c>
      <c r="D4652" s="93">
        <v>8964.61</v>
      </c>
      <c r="E4652" s="93">
        <v>3585.06</v>
      </c>
      <c r="F4652" s="93">
        <v>5327.57</v>
      </c>
      <c r="G4652" s="93">
        <v>41.26</v>
      </c>
      <c r="H4652" s="93">
        <v>0</v>
      </c>
      <c r="N4652" s="88"/>
      <c r="O4652" s="88"/>
      <c r="P4652" s="88"/>
    </row>
    <row r="4653" spans="1:16">
      <c r="A4653" s="94">
        <v>98087</v>
      </c>
      <c r="B4653" s="87" t="s">
        <v>6792</v>
      </c>
      <c r="C4653" s="12" t="s">
        <v>4</v>
      </c>
      <c r="D4653" s="93">
        <v>9593.59</v>
      </c>
      <c r="E4653" s="93">
        <v>3834.46</v>
      </c>
      <c r="F4653" s="93">
        <v>5707.94</v>
      </c>
      <c r="G4653" s="93">
        <v>40.5</v>
      </c>
      <c r="H4653" s="93">
        <v>0</v>
      </c>
      <c r="N4653" s="88"/>
      <c r="O4653" s="88"/>
      <c r="P4653" s="88"/>
    </row>
    <row r="4654" spans="1:16">
      <c r="A4654" s="94">
        <v>98088</v>
      </c>
      <c r="B4654" s="87" t="s">
        <v>6793</v>
      </c>
      <c r="C4654" s="12" t="s">
        <v>4</v>
      </c>
      <c r="D4654" s="93">
        <v>2690.41</v>
      </c>
      <c r="E4654" s="93">
        <v>1042.81</v>
      </c>
      <c r="F4654" s="93">
        <v>1625.27</v>
      </c>
      <c r="G4654" s="93">
        <v>18.93</v>
      </c>
      <c r="H4654" s="93">
        <v>0</v>
      </c>
      <c r="N4654" s="88"/>
      <c r="O4654" s="88"/>
      <c r="P4654" s="88"/>
    </row>
    <row r="4655" spans="1:16">
      <c r="A4655" s="94">
        <v>98089</v>
      </c>
      <c r="B4655" s="87" t="s">
        <v>6794</v>
      </c>
      <c r="C4655" s="12" t="s">
        <v>4</v>
      </c>
      <c r="D4655" s="93">
        <v>4261.25</v>
      </c>
      <c r="E4655" s="93">
        <v>1662.13</v>
      </c>
      <c r="F4655" s="93">
        <v>2552.0100000000002</v>
      </c>
      <c r="G4655" s="93">
        <v>41.31</v>
      </c>
      <c r="H4655" s="93">
        <v>0</v>
      </c>
      <c r="N4655" s="88"/>
      <c r="O4655" s="88"/>
      <c r="P4655" s="88"/>
    </row>
    <row r="4656" spans="1:16">
      <c r="A4656" s="94">
        <v>98090</v>
      </c>
      <c r="B4656" s="87" t="s">
        <v>6795</v>
      </c>
      <c r="C4656" s="12" t="s">
        <v>4</v>
      </c>
      <c r="D4656" s="93">
        <v>6704.51</v>
      </c>
      <c r="E4656" s="93">
        <v>2619.73</v>
      </c>
      <c r="F4656" s="93">
        <v>3993.24</v>
      </c>
      <c r="G4656" s="93">
        <v>81.94</v>
      </c>
      <c r="H4656" s="93">
        <v>0</v>
      </c>
      <c r="N4656" s="88"/>
      <c r="O4656" s="88"/>
      <c r="P4656" s="88"/>
    </row>
    <row r="4657" spans="1:16">
      <c r="A4657" s="94">
        <v>98091</v>
      </c>
      <c r="B4657" s="87" t="s">
        <v>6796</v>
      </c>
      <c r="C4657" s="12" t="s">
        <v>4</v>
      </c>
      <c r="D4657" s="93">
        <v>8647.99</v>
      </c>
      <c r="E4657" s="93">
        <v>3357.56</v>
      </c>
      <c r="F4657" s="93">
        <v>5201.2700000000004</v>
      </c>
      <c r="G4657" s="93">
        <v>76.39</v>
      </c>
      <c r="H4657" s="93">
        <v>0</v>
      </c>
      <c r="N4657" s="88"/>
      <c r="O4657" s="88"/>
      <c r="P4657" s="88"/>
    </row>
    <row r="4658" spans="1:16">
      <c r="A4658" s="94">
        <v>98092</v>
      </c>
      <c r="B4658" s="87" t="s">
        <v>6797</v>
      </c>
      <c r="C4658" s="12" t="s">
        <v>4</v>
      </c>
      <c r="D4658" s="93">
        <v>10182.780000000001</v>
      </c>
      <c r="E4658" s="93">
        <v>3980.42</v>
      </c>
      <c r="F4658" s="93">
        <v>6042.66</v>
      </c>
      <c r="G4658" s="93">
        <v>144.52000000000001</v>
      </c>
      <c r="H4658" s="93">
        <v>0</v>
      </c>
      <c r="N4658" s="88"/>
      <c r="O4658" s="88"/>
      <c r="P4658" s="88"/>
    </row>
    <row r="4659" spans="1:16">
      <c r="A4659" s="94">
        <v>98093</v>
      </c>
      <c r="B4659" s="87" t="s">
        <v>6798</v>
      </c>
      <c r="C4659" s="12" t="s">
        <v>4</v>
      </c>
      <c r="D4659" s="93">
        <v>12023.99</v>
      </c>
      <c r="E4659" s="93">
        <v>4699.8599999999997</v>
      </c>
      <c r="F4659" s="93">
        <v>7129.02</v>
      </c>
      <c r="G4659" s="93">
        <v>177.03</v>
      </c>
      <c r="H4659" s="93">
        <v>0</v>
      </c>
      <c r="N4659" s="88"/>
      <c r="O4659" s="88"/>
      <c r="P4659" s="88"/>
    </row>
    <row r="4660" spans="1:16">
      <c r="A4660" s="94">
        <v>98094</v>
      </c>
      <c r="B4660" s="87" t="s">
        <v>6799</v>
      </c>
      <c r="C4660" s="12" t="s">
        <v>4</v>
      </c>
      <c r="D4660" s="93">
        <v>2178.3000000000002</v>
      </c>
      <c r="E4660" s="93">
        <v>829.73</v>
      </c>
      <c r="F4660" s="93">
        <v>1332.03</v>
      </c>
      <c r="G4660" s="93">
        <v>14.92</v>
      </c>
      <c r="H4660" s="93">
        <v>0</v>
      </c>
      <c r="N4660" s="88"/>
      <c r="O4660" s="88"/>
      <c r="P4660" s="88"/>
    </row>
    <row r="4661" spans="1:16">
      <c r="A4661" s="94">
        <v>98099</v>
      </c>
      <c r="B4661" s="87" t="s">
        <v>6800</v>
      </c>
      <c r="C4661" s="12" t="s">
        <v>4</v>
      </c>
      <c r="D4661" s="93">
        <v>3744.66</v>
      </c>
      <c r="E4661" s="93">
        <v>1432.37</v>
      </c>
      <c r="F4661" s="93">
        <v>2273.83</v>
      </c>
      <c r="G4661" s="93">
        <v>35.380000000000003</v>
      </c>
      <c r="H4661" s="93">
        <v>0</v>
      </c>
      <c r="N4661" s="88"/>
      <c r="O4661" s="88"/>
      <c r="P4661" s="88"/>
    </row>
    <row r="4662" spans="1:16">
      <c r="A4662" s="94">
        <v>98100</v>
      </c>
      <c r="B4662" s="87" t="s">
        <v>6801</v>
      </c>
      <c r="C4662" s="12" t="s">
        <v>4</v>
      </c>
      <c r="D4662" s="93">
        <v>4911.2299999999996</v>
      </c>
      <c r="E4662" s="93">
        <v>1886.32</v>
      </c>
      <c r="F4662" s="93">
        <v>2960.7</v>
      </c>
      <c r="G4662" s="93">
        <v>59.59</v>
      </c>
      <c r="H4662" s="93">
        <v>0</v>
      </c>
      <c r="N4662" s="88"/>
      <c r="O4662" s="88"/>
      <c r="P4662" s="88"/>
    </row>
    <row r="4663" spans="1:16">
      <c r="A4663" s="94">
        <v>98101</v>
      </c>
      <c r="B4663" s="87" t="s">
        <v>6802</v>
      </c>
      <c r="C4663" s="12" t="s">
        <v>4</v>
      </c>
      <c r="D4663" s="93">
        <v>7276.92</v>
      </c>
      <c r="E4663" s="93">
        <v>2806.66</v>
      </c>
      <c r="F4663" s="93">
        <v>4363.72</v>
      </c>
      <c r="G4663" s="93">
        <v>99.24</v>
      </c>
      <c r="H4663" s="93">
        <v>0</v>
      </c>
      <c r="N4663" s="88"/>
      <c r="O4663" s="88"/>
      <c r="P4663" s="88"/>
    </row>
    <row r="4664" spans="1:16">
      <c r="A4664" s="94">
        <v>98109</v>
      </c>
      <c r="B4664" s="87" t="s">
        <v>6803</v>
      </c>
      <c r="C4664" s="12" t="s">
        <v>4</v>
      </c>
      <c r="D4664" s="93">
        <v>657.92</v>
      </c>
      <c r="E4664" s="93">
        <v>331.35</v>
      </c>
      <c r="F4664" s="93">
        <v>324.47000000000003</v>
      </c>
      <c r="G4664" s="93">
        <v>1.49</v>
      </c>
      <c r="H4664" s="93">
        <v>0</v>
      </c>
      <c r="N4664" s="88"/>
      <c r="O4664" s="88"/>
      <c r="P4664" s="88"/>
    </row>
    <row r="4665" spans="1:16">
      <c r="A4665" s="94">
        <v>98110</v>
      </c>
      <c r="B4665" s="87" t="s">
        <v>6804</v>
      </c>
      <c r="C4665" s="12" t="s">
        <v>4</v>
      </c>
      <c r="D4665" s="93">
        <v>368.85</v>
      </c>
      <c r="E4665" s="93">
        <v>10.59</v>
      </c>
      <c r="F4665" s="93">
        <v>358.26</v>
      </c>
      <c r="G4665" s="93">
        <v>0</v>
      </c>
      <c r="H4665" s="93">
        <v>0</v>
      </c>
      <c r="N4665" s="88"/>
      <c r="O4665" s="88"/>
      <c r="P4665" s="88"/>
    </row>
    <row r="4666" spans="1:16">
      <c r="A4666" s="94">
        <v>98111</v>
      </c>
      <c r="B4666" s="87" t="s">
        <v>6805</v>
      </c>
      <c r="C4666" s="12" t="s">
        <v>4</v>
      </c>
      <c r="D4666" s="93">
        <v>20.78</v>
      </c>
      <c r="E4666" s="93">
        <v>5.68</v>
      </c>
      <c r="F4666" s="93">
        <v>15.1</v>
      </c>
      <c r="G4666" s="93">
        <v>0</v>
      </c>
      <c r="H4666" s="93">
        <v>0</v>
      </c>
      <c r="N4666" s="88"/>
      <c r="O4666" s="88"/>
      <c r="P4666" s="88"/>
    </row>
    <row r="4667" spans="1:16">
      <c r="A4667" s="94">
        <v>98112</v>
      </c>
      <c r="B4667" s="87" t="s">
        <v>6806</v>
      </c>
      <c r="C4667" s="12" t="s">
        <v>4</v>
      </c>
      <c r="D4667" s="93">
        <v>105.2</v>
      </c>
      <c r="E4667" s="93">
        <v>29.76</v>
      </c>
      <c r="F4667" s="93">
        <v>75.42</v>
      </c>
      <c r="G4667" s="93">
        <v>0.02</v>
      </c>
      <c r="H4667" s="93">
        <v>0</v>
      </c>
      <c r="N4667" s="88"/>
      <c r="O4667" s="88"/>
      <c r="P4667" s="88"/>
    </row>
    <row r="4668" spans="1:16">
      <c r="A4668" s="94">
        <v>98114</v>
      </c>
      <c r="B4668" s="87" t="s">
        <v>6807</v>
      </c>
      <c r="C4668" s="12" t="s">
        <v>4</v>
      </c>
      <c r="D4668" s="93">
        <v>610.02</v>
      </c>
      <c r="E4668" s="93">
        <v>40.31</v>
      </c>
      <c r="F4668" s="93">
        <v>569.65</v>
      </c>
      <c r="G4668" s="93">
        <v>0.03</v>
      </c>
      <c r="H4668" s="93">
        <v>0</v>
      </c>
      <c r="N4668" s="88"/>
      <c r="O4668" s="88"/>
      <c r="P4668" s="88"/>
    </row>
    <row r="4669" spans="1:16">
      <c r="A4669" s="94">
        <v>98115</v>
      </c>
      <c r="B4669" s="87" t="s">
        <v>6808</v>
      </c>
      <c r="C4669" s="12" t="s">
        <v>4</v>
      </c>
      <c r="D4669" s="93">
        <v>94.27</v>
      </c>
      <c r="E4669" s="93">
        <v>43.84</v>
      </c>
      <c r="F4669" s="93">
        <v>49.84</v>
      </c>
      <c r="G4669" s="93">
        <v>0.31</v>
      </c>
      <c r="H4669" s="93">
        <v>0</v>
      </c>
      <c r="N4669" s="88"/>
      <c r="O4669" s="88"/>
      <c r="P4669" s="88"/>
    </row>
    <row r="4670" spans="1:16">
      <c r="A4670" s="94">
        <v>89957</v>
      </c>
      <c r="B4670" s="87" t="s">
        <v>3839</v>
      </c>
      <c r="C4670" s="12" t="s">
        <v>4</v>
      </c>
      <c r="D4670" s="93">
        <v>112.01</v>
      </c>
      <c r="E4670" s="93">
        <v>72.709999999999994</v>
      </c>
      <c r="F4670" s="93">
        <v>39.299999999999997</v>
      </c>
      <c r="G4670" s="93">
        <v>0</v>
      </c>
      <c r="H4670" s="93">
        <v>0</v>
      </c>
      <c r="N4670" s="88"/>
      <c r="O4670" s="88"/>
      <c r="P4670" s="88"/>
    </row>
    <row r="4671" spans="1:16">
      <c r="A4671" s="94">
        <v>89959</v>
      </c>
      <c r="B4671" s="87" t="s">
        <v>3840</v>
      </c>
      <c r="C4671" s="12" t="s">
        <v>4</v>
      </c>
      <c r="D4671" s="93">
        <v>172.86</v>
      </c>
      <c r="E4671" s="93">
        <v>87.21</v>
      </c>
      <c r="F4671" s="93">
        <v>85.65</v>
      </c>
      <c r="G4671" s="93">
        <v>0</v>
      </c>
      <c r="H4671" s="93">
        <v>0</v>
      </c>
      <c r="N4671" s="88"/>
      <c r="O4671" s="88"/>
      <c r="P4671" s="88"/>
    </row>
    <row r="4672" spans="1:16">
      <c r="A4672" s="94">
        <v>89349</v>
      </c>
      <c r="B4672" s="87" t="s">
        <v>3841</v>
      </c>
      <c r="C4672" s="12" t="s">
        <v>4</v>
      </c>
      <c r="D4672" s="93">
        <v>21.05</v>
      </c>
      <c r="E4672" s="93">
        <v>5.83</v>
      </c>
      <c r="F4672" s="93">
        <v>15.22</v>
      </c>
      <c r="G4672" s="93">
        <v>0</v>
      </c>
      <c r="H4672" s="93">
        <v>0</v>
      </c>
      <c r="N4672" s="88"/>
      <c r="O4672" s="88"/>
      <c r="P4672" s="88"/>
    </row>
    <row r="4673" spans="1:16">
      <c r="A4673" s="94">
        <v>89351</v>
      </c>
      <c r="B4673" s="87" t="s">
        <v>3842</v>
      </c>
      <c r="C4673" s="12" t="s">
        <v>4</v>
      </c>
      <c r="D4673" s="93">
        <v>23.65</v>
      </c>
      <c r="E4673" s="93">
        <v>5.83</v>
      </c>
      <c r="F4673" s="93">
        <v>17.82</v>
      </c>
      <c r="G4673" s="93">
        <v>0</v>
      </c>
      <c r="H4673" s="93">
        <v>0</v>
      </c>
      <c r="N4673" s="88"/>
      <c r="O4673" s="88"/>
      <c r="P4673" s="88"/>
    </row>
    <row r="4674" spans="1:16">
      <c r="A4674" s="94">
        <v>89352</v>
      </c>
      <c r="B4674" s="87" t="s">
        <v>374</v>
      </c>
      <c r="C4674" s="12" t="s">
        <v>4</v>
      </c>
      <c r="D4674" s="93">
        <v>26.55</v>
      </c>
      <c r="E4674" s="93">
        <v>5.83</v>
      </c>
      <c r="F4674" s="93">
        <v>20.72</v>
      </c>
      <c r="G4674" s="93">
        <v>0</v>
      </c>
      <c r="H4674" s="93">
        <v>0</v>
      </c>
      <c r="N4674" s="88"/>
      <c r="O4674" s="88"/>
      <c r="P4674" s="88"/>
    </row>
    <row r="4675" spans="1:16">
      <c r="A4675" s="94">
        <v>89353</v>
      </c>
      <c r="B4675" s="87" t="s">
        <v>375</v>
      </c>
      <c r="C4675" s="12" t="s">
        <v>4</v>
      </c>
      <c r="D4675" s="93">
        <v>27.59</v>
      </c>
      <c r="E4675" s="93">
        <v>5.83</v>
      </c>
      <c r="F4675" s="93">
        <v>21.76</v>
      </c>
      <c r="G4675" s="93">
        <v>0</v>
      </c>
      <c r="H4675" s="93">
        <v>0</v>
      </c>
      <c r="N4675" s="88"/>
      <c r="O4675" s="88"/>
      <c r="P4675" s="88"/>
    </row>
    <row r="4676" spans="1:16">
      <c r="A4676" s="94">
        <v>89354</v>
      </c>
      <c r="B4676" s="87" t="s">
        <v>376</v>
      </c>
      <c r="C4676" s="12" t="s">
        <v>4</v>
      </c>
      <c r="D4676" s="93">
        <v>210.35</v>
      </c>
      <c r="E4676" s="93">
        <v>11.66</v>
      </c>
      <c r="F4676" s="93">
        <v>198.69</v>
      </c>
      <c r="G4676" s="93">
        <v>0</v>
      </c>
      <c r="H4676" s="93">
        <v>0</v>
      </c>
      <c r="N4676" s="88"/>
      <c r="O4676" s="88"/>
      <c r="P4676" s="88"/>
    </row>
    <row r="4677" spans="1:16">
      <c r="A4677" s="94">
        <v>89969</v>
      </c>
      <c r="B4677" s="87" t="s">
        <v>3843</v>
      </c>
      <c r="C4677" s="12" t="s">
        <v>4</v>
      </c>
      <c r="D4677" s="93">
        <v>32.39</v>
      </c>
      <c r="E4677" s="93">
        <v>9.8699999999999992</v>
      </c>
      <c r="F4677" s="93">
        <v>22.52</v>
      </c>
      <c r="G4677" s="93">
        <v>0</v>
      </c>
      <c r="H4677" s="93">
        <v>0</v>
      </c>
      <c r="N4677" s="88"/>
      <c r="O4677" s="88"/>
      <c r="P4677" s="88"/>
    </row>
    <row r="4678" spans="1:16">
      <c r="A4678" s="94">
        <v>89970</v>
      </c>
      <c r="B4678" s="87" t="s">
        <v>3844</v>
      </c>
      <c r="C4678" s="12" t="s">
        <v>4</v>
      </c>
      <c r="D4678" s="93">
        <v>35</v>
      </c>
      <c r="E4678" s="93">
        <v>11.68</v>
      </c>
      <c r="F4678" s="93">
        <v>23.32</v>
      </c>
      <c r="G4678" s="93">
        <v>0</v>
      </c>
      <c r="H4678" s="93">
        <v>0</v>
      </c>
      <c r="N4678" s="88"/>
      <c r="O4678" s="88"/>
      <c r="P4678" s="88"/>
    </row>
    <row r="4679" spans="1:16">
      <c r="A4679" s="94">
        <v>89971</v>
      </c>
      <c r="B4679" s="87" t="s">
        <v>3845</v>
      </c>
      <c r="C4679" s="12" t="s">
        <v>4</v>
      </c>
      <c r="D4679" s="93">
        <v>35.61</v>
      </c>
      <c r="E4679" s="93">
        <v>10.86</v>
      </c>
      <c r="F4679" s="93">
        <v>24.75</v>
      </c>
      <c r="G4679" s="93">
        <v>0</v>
      </c>
      <c r="H4679" s="93">
        <v>0</v>
      </c>
      <c r="N4679" s="88"/>
      <c r="O4679" s="88"/>
      <c r="P4679" s="88"/>
    </row>
    <row r="4680" spans="1:16">
      <c r="A4680" s="94">
        <v>89972</v>
      </c>
      <c r="B4680" s="87" t="s">
        <v>3846</v>
      </c>
      <c r="C4680" s="12" t="s">
        <v>4</v>
      </c>
      <c r="D4680" s="93">
        <v>38.33</v>
      </c>
      <c r="E4680" s="93">
        <v>11.67</v>
      </c>
      <c r="F4680" s="93">
        <v>26.66</v>
      </c>
      <c r="G4680" s="93">
        <v>0</v>
      </c>
      <c r="H4680" s="93">
        <v>0</v>
      </c>
      <c r="N4680" s="88"/>
      <c r="O4680" s="88"/>
      <c r="P4680" s="88"/>
    </row>
    <row r="4681" spans="1:16">
      <c r="A4681" s="94">
        <v>89973</v>
      </c>
      <c r="B4681" s="87" t="s">
        <v>3847</v>
      </c>
      <c r="C4681" s="12" t="s">
        <v>4</v>
      </c>
      <c r="D4681" s="93">
        <v>365.01</v>
      </c>
      <c r="E4681" s="93">
        <v>49.31</v>
      </c>
      <c r="F4681" s="93">
        <v>315.7</v>
      </c>
      <c r="G4681" s="93">
        <v>0</v>
      </c>
      <c r="H4681" s="93">
        <v>0</v>
      </c>
      <c r="N4681" s="88"/>
      <c r="O4681" s="88"/>
      <c r="P4681" s="88"/>
    </row>
    <row r="4682" spans="1:16">
      <c r="A4682" s="94">
        <v>89974</v>
      </c>
      <c r="B4682" s="87" t="s">
        <v>3848</v>
      </c>
      <c r="C4682" s="12" t="s">
        <v>4</v>
      </c>
      <c r="D4682" s="93">
        <v>215.03</v>
      </c>
      <c r="E4682" s="93">
        <v>52.02</v>
      </c>
      <c r="F4682" s="93">
        <v>163.01</v>
      </c>
      <c r="G4682" s="93">
        <v>0</v>
      </c>
      <c r="H4682" s="93">
        <v>0</v>
      </c>
      <c r="N4682" s="88"/>
      <c r="O4682" s="88"/>
      <c r="P4682" s="88"/>
    </row>
    <row r="4683" spans="1:16">
      <c r="A4683" s="94">
        <v>89984</v>
      </c>
      <c r="B4683" s="87" t="s">
        <v>3849</v>
      </c>
      <c r="C4683" s="12" t="s">
        <v>4</v>
      </c>
      <c r="D4683" s="93">
        <v>54.64</v>
      </c>
      <c r="E4683" s="93">
        <v>7.9</v>
      </c>
      <c r="F4683" s="93">
        <v>46.74</v>
      </c>
      <c r="G4683" s="93">
        <v>0</v>
      </c>
      <c r="H4683" s="93">
        <v>0</v>
      </c>
      <c r="N4683" s="88"/>
      <c r="O4683" s="88"/>
      <c r="P4683" s="88"/>
    </row>
    <row r="4684" spans="1:16">
      <c r="A4684" s="94">
        <v>89985</v>
      </c>
      <c r="B4684" s="87" t="s">
        <v>3850</v>
      </c>
      <c r="C4684" s="12" t="s">
        <v>4</v>
      </c>
      <c r="D4684" s="93">
        <v>56.13</v>
      </c>
      <c r="E4684" s="93">
        <v>7.89</v>
      </c>
      <c r="F4684" s="93">
        <v>48.24</v>
      </c>
      <c r="G4684" s="93">
        <v>0</v>
      </c>
      <c r="H4684" s="93">
        <v>0</v>
      </c>
      <c r="N4684" s="88"/>
      <c r="O4684" s="88"/>
      <c r="P4684" s="88"/>
    </row>
    <row r="4685" spans="1:16">
      <c r="A4685" s="94">
        <v>89986</v>
      </c>
      <c r="B4685" s="87" t="s">
        <v>3851</v>
      </c>
      <c r="C4685" s="12" t="s">
        <v>4</v>
      </c>
      <c r="D4685" s="93">
        <v>53.38</v>
      </c>
      <c r="E4685" s="93">
        <v>7.9</v>
      </c>
      <c r="F4685" s="93">
        <v>45.48</v>
      </c>
      <c r="G4685" s="93">
        <v>0</v>
      </c>
      <c r="H4685" s="93">
        <v>0</v>
      </c>
      <c r="N4685" s="88"/>
      <c r="O4685" s="88"/>
      <c r="P4685" s="88"/>
    </row>
    <row r="4686" spans="1:16">
      <c r="A4686" s="94">
        <v>89987</v>
      </c>
      <c r="B4686" s="87" t="s">
        <v>3852</v>
      </c>
      <c r="C4686" s="12" t="s">
        <v>4</v>
      </c>
      <c r="D4686" s="93">
        <v>58.9</v>
      </c>
      <c r="E4686" s="93">
        <v>7.89</v>
      </c>
      <c r="F4686" s="93">
        <v>51.01</v>
      </c>
      <c r="G4686" s="93">
        <v>0</v>
      </c>
      <c r="H4686" s="93">
        <v>0</v>
      </c>
      <c r="N4686" s="88"/>
      <c r="O4686" s="88"/>
      <c r="P4686" s="88"/>
    </row>
    <row r="4687" spans="1:16">
      <c r="A4687" s="94">
        <v>90371</v>
      </c>
      <c r="B4687" s="87" t="s">
        <v>3853</v>
      </c>
      <c r="C4687" s="12" t="s">
        <v>4</v>
      </c>
      <c r="D4687" s="93">
        <v>20.32</v>
      </c>
      <c r="E4687" s="93">
        <v>5.83</v>
      </c>
      <c r="F4687" s="93">
        <v>14.49</v>
      </c>
      <c r="G4687" s="93">
        <v>0</v>
      </c>
      <c r="H4687" s="93">
        <v>0</v>
      </c>
      <c r="N4687" s="88"/>
      <c r="O4687" s="88"/>
      <c r="P4687" s="88"/>
    </row>
    <row r="4688" spans="1:16">
      <c r="A4688" s="94">
        <v>94489</v>
      </c>
      <c r="B4688" s="87" t="s">
        <v>3854</v>
      </c>
      <c r="C4688" s="12" t="s">
        <v>4</v>
      </c>
      <c r="D4688" s="93">
        <v>16.75</v>
      </c>
      <c r="E4688" s="93">
        <v>1.53</v>
      </c>
      <c r="F4688" s="93">
        <v>15.22</v>
      </c>
      <c r="G4688" s="93">
        <v>0</v>
      </c>
      <c r="H4688" s="93">
        <v>0</v>
      </c>
      <c r="N4688" s="88"/>
      <c r="O4688" s="88"/>
      <c r="P4688" s="88"/>
    </row>
    <row r="4689" spans="1:16">
      <c r="A4689" s="94">
        <v>94490</v>
      </c>
      <c r="B4689" s="87" t="s">
        <v>3855</v>
      </c>
      <c r="C4689" s="12" t="s">
        <v>4</v>
      </c>
      <c r="D4689" s="93">
        <v>28.28</v>
      </c>
      <c r="E4689" s="93">
        <v>4.6399999999999997</v>
      </c>
      <c r="F4689" s="93">
        <v>23.64</v>
      </c>
      <c r="G4689" s="93">
        <v>0</v>
      </c>
      <c r="H4689" s="93">
        <v>0</v>
      </c>
      <c r="N4689" s="88"/>
      <c r="O4689" s="88"/>
      <c r="P4689" s="88"/>
    </row>
    <row r="4690" spans="1:16">
      <c r="A4690" s="94">
        <v>94491</v>
      </c>
      <c r="B4690" s="87" t="s">
        <v>3856</v>
      </c>
      <c r="C4690" s="12" t="s">
        <v>4</v>
      </c>
      <c r="D4690" s="93">
        <v>39.299999999999997</v>
      </c>
      <c r="E4690" s="93">
        <v>6.61</v>
      </c>
      <c r="F4690" s="93">
        <v>32.69</v>
      </c>
      <c r="G4690" s="93">
        <v>0</v>
      </c>
      <c r="H4690" s="93">
        <v>0</v>
      </c>
      <c r="N4690" s="88"/>
      <c r="O4690" s="88"/>
      <c r="P4690" s="88"/>
    </row>
    <row r="4691" spans="1:16">
      <c r="A4691" s="94">
        <v>94492</v>
      </c>
      <c r="B4691" s="87" t="s">
        <v>3857</v>
      </c>
      <c r="C4691" s="12" t="s">
        <v>4</v>
      </c>
      <c r="D4691" s="93">
        <v>40.19</v>
      </c>
      <c r="E4691" s="93">
        <v>6.61</v>
      </c>
      <c r="F4691" s="93">
        <v>33.58</v>
      </c>
      <c r="G4691" s="93">
        <v>0</v>
      </c>
      <c r="H4691" s="93">
        <v>0</v>
      </c>
      <c r="N4691" s="88"/>
      <c r="O4691" s="88"/>
      <c r="P4691" s="88"/>
    </row>
    <row r="4692" spans="1:16">
      <c r="A4692" s="94">
        <v>94493</v>
      </c>
      <c r="B4692" s="87" t="s">
        <v>3858</v>
      </c>
      <c r="C4692" s="12" t="s">
        <v>4</v>
      </c>
      <c r="D4692" s="93">
        <v>73.180000000000007</v>
      </c>
      <c r="E4692" s="93">
        <v>10.71</v>
      </c>
      <c r="F4692" s="93">
        <v>62.47</v>
      </c>
      <c r="G4692" s="93">
        <v>0</v>
      </c>
      <c r="H4692" s="93">
        <v>0</v>
      </c>
      <c r="N4692" s="88"/>
      <c r="O4692" s="88"/>
      <c r="P4692" s="88"/>
    </row>
    <row r="4693" spans="1:16">
      <c r="A4693" s="94">
        <v>94494</v>
      </c>
      <c r="B4693" s="87" t="s">
        <v>3859</v>
      </c>
      <c r="C4693" s="12" t="s">
        <v>4</v>
      </c>
      <c r="D4693" s="93">
        <v>49.05</v>
      </c>
      <c r="E4693" s="93">
        <v>22.62</v>
      </c>
      <c r="F4693" s="93">
        <v>26.43</v>
      </c>
      <c r="G4693" s="93">
        <v>0</v>
      </c>
      <c r="H4693" s="93">
        <v>0</v>
      </c>
      <c r="N4693" s="88"/>
      <c r="O4693" s="88"/>
      <c r="P4693" s="88"/>
    </row>
    <row r="4694" spans="1:16">
      <c r="A4694" s="94">
        <v>94495</v>
      </c>
      <c r="B4694" s="87" t="s">
        <v>3860</v>
      </c>
      <c r="C4694" s="12" t="s">
        <v>4</v>
      </c>
      <c r="D4694" s="93">
        <v>60.58</v>
      </c>
      <c r="E4694" s="93">
        <v>22.61</v>
      </c>
      <c r="F4694" s="93">
        <v>37.97</v>
      </c>
      <c r="G4694" s="93">
        <v>0</v>
      </c>
      <c r="H4694" s="93">
        <v>0</v>
      </c>
      <c r="N4694" s="88"/>
      <c r="O4694" s="88"/>
      <c r="P4694" s="88"/>
    </row>
    <row r="4695" spans="1:16">
      <c r="A4695" s="94">
        <v>94496</v>
      </c>
      <c r="B4695" s="87" t="s">
        <v>3861</v>
      </c>
      <c r="C4695" s="12" t="s">
        <v>4</v>
      </c>
      <c r="D4695" s="93">
        <v>72.680000000000007</v>
      </c>
      <c r="E4695" s="93">
        <v>23.02</v>
      </c>
      <c r="F4695" s="93">
        <v>49.66</v>
      </c>
      <c r="G4695" s="93">
        <v>0</v>
      </c>
      <c r="H4695" s="93">
        <v>0</v>
      </c>
      <c r="N4695" s="88"/>
      <c r="O4695" s="88"/>
      <c r="P4695" s="88"/>
    </row>
    <row r="4696" spans="1:16">
      <c r="A4696" s="94">
        <v>94497</v>
      </c>
      <c r="B4696" s="87" t="s">
        <v>3862</v>
      </c>
      <c r="C4696" s="12" t="s">
        <v>4</v>
      </c>
      <c r="D4696" s="93">
        <v>83.94</v>
      </c>
      <c r="E4696" s="93">
        <v>23.01</v>
      </c>
      <c r="F4696" s="93">
        <v>60.93</v>
      </c>
      <c r="G4696" s="93">
        <v>0</v>
      </c>
      <c r="H4696" s="93">
        <v>0</v>
      </c>
      <c r="N4696" s="88"/>
      <c r="O4696" s="88"/>
      <c r="P4696" s="88"/>
    </row>
    <row r="4697" spans="1:16">
      <c r="A4697" s="94">
        <v>94498</v>
      </c>
      <c r="B4697" s="87" t="s">
        <v>3863</v>
      </c>
      <c r="C4697" s="12" t="s">
        <v>4</v>
      </c>
      <c r="D4697" s="93">
        <v>106.55</v>
      </c>
      <c r="E4697" s="93">
        <v>23.86</v>
      </c>
      <c r="F4697" s="93">
        <v>82.69</v>
      </c>
      <c r="G4697" s="93">
        <v>0</v>
      </c>
      <c r="H4697" s="93">
        <v>0</v>
      </c>
      <c r="N4697" s="88"/>
      <c r="O4697" s="88"/>
      <c r="P4697" s="88"/>
    </row>
    <row r="4698" spans="1:16">
      <c r="A4698" s="94">
        <v>94499</v>
      </c>
      <c r="B4698" s="87" t="s">
        <v>3864</v>
      </c>
      <c r="C4698" s="12" t="s">
        <v>4</v>
      </c>
      <c r="D4698" s="93">
        <v>187.53</v>
      </c>
      <c r="E4698" s="93">
        <v>23.86</v>
      </c>
      <c r="F4698" s="93">
        <v>163.66999999999999</v>
      </c>
      <c r="G4698" s="93">
        <v>0</v>
      </c>
      <c r="H4698" s="93">
        <v>0</v>
      </c>
      <c r="N4698" s="88"/>
      <c r="O4698" s="88"/>
      <c r="P4698" s="88"/>
    </row>
    <row r="4699" spans="1:16">
      <c r="A4699" s="94">
        <v>94500</v>
      </c>
      <c r="B4699" s="87" t="s">
        <v>3865</v>
      </c>
      <c r="C4699" s="12" t="s">
        <v>4</v>
      </c>
      <c r="D4699" s="93">
        <v>221.84</v>
      </c>
      <c r="E4699" s="93">
        <v>24.69</v>
      </c>
      <c r="F4699" s="93">
        <v>197.15</v>
      </c>
      <c r="G4699" s="93">
        <v>0</v>
      </c>
      <c r="H4699" s="93">
        <v>0</v>
      </c>
      <c r="N4699" s="88"/>
      <c r="O4699" s="88"/>
      <c r="P4699" s="88"/>
    </row>
    <row r="4700" spans="1:16">
      <c r="A4700" s="94">
        <v>94501</v>
      </c>
      <c r="B4700" s="87" t="s">
        <v>3866</v>
      </c>
      <c r="C4700" s="12" t="s">
        <v>4</v>
      </c>
      <c r="D4700" s="93">
        <v>427.01</v>
      </c>
      <c r="E4700" s="93">
        <v>24.69</v>
      </c>
      <c r="F4700" s="93">
        <v>402.32</v>
      </c>
      <c r="G4700" s="93">
        <v>0</v>
      </c>
      <c r="H4700" s="93">
        <v>0</v>
      </c>
      <c r="N4700" s="88"/>
      <c r="O4700" s="88"/>
      <c r="P4700" s="88"/>
    </row>
    <row r="4701" spans="1:16">
      <c r="A4701" s="94">
        <v>94792</v>
      </c>
      <c r="B4701" s="87" t="s">
        <v>3867</v>
      </c>
      <c r="C4701" s="12" t="s">
        <v>4</v>
      </c>
      <c r="D4701" s="93">
        <v>88.65</v>
      </c>
      <c r="E4701" s="93">
        <v>22.6</v>
      </c>
      <c r="F4701" s="93">
        <v>66.05</v>
      </c>
      <c r="G4701" s="93">
        <v>0</v>
      </c>
      <c r="H4701" s="93">
        <v>0</v>
      </c>
      <c r="N4701" s="88"/>
      <c r="O4701" s="88"/>
      <c r="P4701" s="88"/>
    </row>
    <row r="4702" spans="1:16">
      <c r="A4702" s="94">
        <v>94793</v>
      </c>
      <c r="B4702" s="87" t="s">
        <v>3868</v>
      </c>
      <c r="C4702" s="12" t="s">
        <v>4</v>
      </c>
      <c r="D4702" s="93">
        <v>112.56</v>
      </c>
      <c r="E4702" s="93">
        <v>23.01</v>
      </c>
      <c r="F4702" s="93">
        <v>89.55</v>
      </c>
      <c r="G4702" s="93">
        <v>0</v>
      </c>
      <c r="H4702" s="93">
        <v>0</v>
      </c>
      <c r="N4702" s="88"/>
      <c r="O4702" s="88"/>
      <c r="P4702" s="88"/>
    </row>
    <row r="4703" spans="1:16">
      <c r="A4703" s="94">
        <v>94794</v>
      </c>
      <c r="B4703" s="87" t="s">
        <v>3869</v>
      </c>
      <c r="C4703" s="12" t="s">
        <v>4</v>
      </c>
      <c r="D4703" s="93">
        <v>116.37</v>
      </c>
      <c r="E4703" s="93">
        <v>23.01</v>
      </c>
      <c r="F4703" s="93">
        <v>93.36</v>
      </c>
      <c r="G4703" s="93">
        <v>0</v>
      </c>
      <c r="H4703" s="93">
        <v>0</v>
      </c>
      <c r="N4703" s="88"/>
      <c r="O4703" s="88"/>
      <c r="P4703" s="88"/>
    </row>
    <row r="4704" spans="1:16">
      <c r="A4704" s="94">
        <v>94795</v>
      </c>
      <c r="B4704" s="87" t="s">
        <v>3870</v>
      </c>
      <c r="C4704" s="12" t="s">
        <v>4</v>
      </c>
      <c r="D4704" s="93">
        <v>27.56</v>
      </c>
      <c r="E4704" s="93">
        <v>3.92</v>
      </c>
      <c r="F4704" s="93">
        <v>23.64</v>
      </c>
      <c r="G4704" s="93">
        <v>0</v>
      </c>
      <c r="H4704" s="93">
        <v>0</v>
      </c>
      <c r="N4704" s="88"/>
      <c r="O4704" s="88"/>
      <c r="P4704" s="88"/>
    </row>
    <row r="4705" spans="1:16">
      <c r="A4705" s="94">
        <v>94796</v>
      </c>
      <c r="B4705" s="87" t="s">
        <v>3871</v>
      </c>
      <c r="C4705" s="12" t="s">
        <v>4</v>
      </c>
      <c r="D4705" s="93">
        <v>31.94</v>
      </c>
      <c r="E4705" s="93">
        <v>5.88</v>
      </c>
      <c r="F4705" s="93">
        <v>26.06</v>
      </c>
      <c r="G4705" s="93">
        <v>0</v>
      </c>
      <c r="H4705" s="93">
        <v>0</v>
      </c>
      <c r="N4705" s="88"/>
      <c r="O4705" s="88"/>
      <c r="P4705" s="88"/>
    </row>
    <row r="4706" spans="1:16">
      <c r="A4706" s="94">
        <v>94797</v>
      </c>
      <c r="B4706" s="87" t="s">
        <v>3872</v>
      </c>
      <c r="C4706" s="12" t="s">
        <v>4</v>
      </c>
      <c r="D4706" s="93">
        <v>48.75</v>
      </c>
      <c r="E4706" s="93">
        <v>7.85</v>
      </c>
      <c r="F4706" s="93">
        <v>40.9</v>
      </c>
      <c r="G4706" s="93">
        <v>0</v>
      </c>
      <c r="H4706" s="93">
        <v>0</v>
      </c>
      <c r="N4706" s="88"/>
      <c r="O4706" s="88"/>
      <c r="P4706" s="88"/>
    </row>
    <row r="4707" spans="1:16">
      <c r="A4707" s="94">
        <v>94798</v>
      </c>
      <c r="B4707" s="87" t="s">
        <v>3873</v>
      </c>
      <c r="C4707" s="12" t="s">
        <v>4</v>
      </c>
      <c r="D4707" s="93">
        <v>106.55</v>
      </c>
      <c r="E4707" s="93">
        <v>9.81</v>
      </c>
      <c r="F4707" s="93">
        <v>96.74</v>
      </c>
      <c r="G4707" s="93">
        <v>0</v>
      </c>
      <c r="H4707" s="93">
        <v>0</v>
      </c>
      <c r="N4707" s="88"/>
      <c r="O4707" s="88"/>
      <c r="P4707" s="88"/>
    </row>
    <row r="4708" spans="1:16">
      <c r="A4708" s="94">
        <v>94799</v>
      </c>
      <c r="B4708" s="87" t="s">
        <v>3874</v>
      </c>
      <c r="C4708" s="12" t="s">
        <v>4</v>
      </c>
      <c r="D4708" s="93">
        <v>103.12</v>
      </c>
      <c r="E4708" s="93">
        <v>11.77</v>
      </c>
      <c r="F4708" s="93">
        <v>91.35</v>
      </c>
      <c r="G4708" s="93">
        <v>0</v>
      </c>
      <c r="H4708" s="93">
        <v>0</v>
      </c>
      <c r="N4708" s="88"/>
      <c r="O4708" s="88"/>
      <c r="P4708" s="88"/>
    </row>
    <row r="4709" spans="1:16">
      <c r="A4709" s="94">
        <v>94800</v>
      </c>
      <c r="B4709" s="87" t="s">
        <v>3875</v>
      </c>
      <c r="C4709" s="12" t="s">
        <v>4</v>
      </c>
      <c r="D4709" s="93">
        <v>176.1</v>
      </c>
      <c r="E4709" s="93">
        <v>15.7</v>
      </c>
      <c r="F4709" s="93">
        <v>160.4</v>
      </c>
      <c r="G4709" s="93">
        <v>0</v>
      </c>
      <c r="H4709" s="93">
        <v>0</v>
      </c>
      <c r="N4709" s="88"/>
      <c r="O4709" s="88"/>
      <c r="P4709" s="88"/>
    </row>
    <row r="4710" spans="1:16">
      <c r="A4710" s="94">
        <v>95248</v>
      </c>
      <c r="B4710" s="87" t="s">
        <v>3876</v>
      </c>
      <c r="C4710" s="12" t="s">
        <v>4</v>
      </c>
      <c r="D4710" s="93">
        <v>57.45</v>
      </c>
      <c r="E4710" s="93">
        <v>22.61</v>
      </c>
      <c r="F4710" s="93">
        <v>34.840000000000003</v>
      </c>
      <c r="G4710" s="93">
        <v>0</v>
      </c>
      <c r="H4710" s="93">
        <v>0</v>
      </c>
      <c r="N4710" s="88"/>
      <c r="O4710" s="88"/>
      <c r="P4710" s="88"/>
    </row>
    <row r="4711" spans="1:16">
      <c r="A4711" s="94">
        <v>95249</v>
      </c>
      <c r="B4711" s="87" t="s">
        <v>3877</v>
      </c>
      <c r="C4711" s="12" t="s">
        <v>4</v>
      </c>
      <c r="D4711" s="93">
        <v>61.82</v>
      </c>
      <c r="E4711" s="93">
        <v>22.61</v>
      </c>
      <c r="F4711" s="93">
        <v>39.21</v>
      </c>
      <c r="G4711" s="93">
        <v>0</v>
      </c>
      <c r="H4711" s="93">
        <v>0</v>
      </c>
      <c r="N4711" s="88"/>
      <c r="O4711" s="88"/>
      <c r="P4711" s="88"/>
    </row>
    <row r="4712" spans="1:16">
      <c r="A4712" s="94">
        <v>95250</v>
      </c>
      <c r="B4712" s="87" t="s">
        <v>3878</v>
      </c>
      <c r="C4712" s="12" t="s">
        <v>4</v>
      </c>
      <c r="D4712" s="93">
        <v>73.260000000000005</v>
      </c>
      <c r="E4712" s="93">
        <v>22.6</v>
      </c>
      <c r="F4712" s="93">
        <v>50.66</v>
      </c>
      <c r="G4712" s="93">
        <v>0</v>
      </c>
      <c r="H4712" s="93">
        <v>0</v>
      </c>
      <c r="N4712" s="88"/>
      <c r="O4712" s="88"/>
      <c r="P4712" s="88"/>
    </row>
    <row r="4713" spans="1:16">
      <c r="A4713" s="94">
        <v>95251</v>
      </c>
      <c r="B4713" s="87" t="s">
        <v>3879</v>
      </c>
      <c r="C4713" s="12" t="s">
        <v>4</v>
      </c>
      <c r="D4713" s="93">
        <v>95.59</v>
      </c>
      <c r="E4713" s="93">
        <v>23.01</v>
      </c>
      <c r="F4713" s="93">
        <v>72.58</v>
      </c>
      <c r="G4713" s="93">
        <v>0</v>
      </c>
      <c r="H4713" s="93">
        <v>0</v>
      </c>
      <c r="N4713" s="88"/>
      <c r="O4713" s="88"/>
      <c r="P4713" s="88"/>
    </row>
    <row r="4714" spans="1:16">
      <c r="A4714" s="94">
        <v>95252</v>
      </c>
      <c r="B4714" s="87" t="s">
        <v>3880</v>
      </c>
      <c r="C4714" s="12" t="s">
        <v>4</v>
      </c>
      <c r="D4714" s="93">
        <v>109.08</v>
      </c>
      <c r="E4714" s="93">
        <v>23.01</v>
      </c>
      <c r="F4714" s="93">
        <v>86.07</v>
      </c>
      <c r="G4714" s="93">
        <v>0</v>
      </c>
      <c r="H4714" s="93">
        <v>0</v>
      </c>
      <c r="N4714" s="88"/>
      <c r="O4714" s="88"/>
      <c r="P4714" s="88"/>
    </row>
    <row r="4715" spans="1:16">
      <c r="A4715" s="94">
        <v>95253</v>
      </c>
      <c r="B4715" s="87" t="s">
        <v>3881</v>
      </c>
      <c r="C4715" s="12" t="s">
        <v>4</v>
      </c>
      <c r="D4715" s="93">
        <v>153.41</v>
      </c>
      <c r="E4715" s="93">
        <v>23.86</v>
      </c>
      <c r="F4715" s="93">
        <v>129.55000000000001</v>
      </c>
      <c r="G4715" s="93">
        <v>0</v>
      </c>
      <c r="H4715" s="93">
        <v>0</v>
      </c>
      <c r="N4715" s="88"/>
      <c r="O4715" s="88"/>
      <c r="P4715" s="88"/>
    </row>
    <row r="4716" spans="1:16">
      <c r="A4716" s="94">
        <v>99619</v>
      </c>
      <c r="B4716" s="87" t="s">
        <v>3882</v>
      </c>
      <c r="C4716" s="12" t="s">
        <v>4</v>
      </c>
      <c r="D4716" s="93">
        <v>64.400000000000006</v>
      </c>
      <c r="E4716" s="93">
        <v>5.83</v>
      </c>
      <c r="F4716" s="93">
        <v>58.57</v>
      </c>
      <c r="G4716" s="93">
        <v>0</v>
      </c>
      <c r="H4716" s="93">
        <v>0</v>
      </c>
      <c r="N4716" s="88"/>
      <c r="O4716" s="88"/>
      <c r="P4716" s="88"/>
    </row>
    <row r="4717" spans="1:16">
      <c r="A4717" s="94">
        <v>99620</v>
      </c>
      <c r="B4717" s="87" t="s">
        <v>3883</v>
      </c>
      <c r="C4717" s="12" t="s">
        <v>4</v>
      </c>
      <c r="D4717" s="93">
        <v>106.24</v>
      </c>
      <c r="E4717" s="93">
        <v>22.59</v>
      </c>
      <c r="F4717" s="93">
        <v>83.65</v>
      </c>
      <c r="G4717" s="93">
        <v>0</v>
      </c>
      <c r="H4717" s="93">
        <v>0</v>
      </c>
      <c r="N4717" s="88"/>
      <c r="O4717" s="88"/>
      <c r="P4717" s="88"/>
    </row>
    <row r="4718" spans="1:16">
      <c r="A4718" s="94">
        <v>99621</v>
      </c>
      <c r="B4718" s="87" t="s">
        <v>3884</v>
      </c>
      <c r="C4718" s="12" t="s">
        <v>4</v>
      </c>
      <c r="D4718" s="93">
        <v>145.25</v>
      </c>
      <c r="E4718" s="93">
        <v>23.01</v>
      </c>
      <c r="F4718" s="93">
        <v>122.24</v>
      </c>
      <c r="G4718" s="93">
        <v>0</v>
      </c>
      <c r="H4718" s="93">
        <v>0</v>
      </c>
      <c r="N4718" s="88"/>
      <c r="O4718" s="88"/>
      <c r="P4718" s="88"/>
    </row>
    <row r="4719" spans="1:16">
      <c r="A4719" s="94">
        <v>99622</v>
      </c>
      <c r="B4719" s="87" t="s">
        <v>3885</v>
      </c>
      <c r="C4719" s="12" t="s">
        <v>4</v>
      </c>
      <c r="D4719" s="93">
        <v>158.82</v>
      </c>
      <c r="E4719" s="93">
        <v>23.01</v>
      </c>
      <c r="F4719" s="93">
        <v>135.81</v>
      </c>
      <c r="G4719" s="93">
        <v>0</v>
      </c>
      <c r="H4719" s="93">
        <v>0</v>
      </c>
      <c r="N4719" s="88"/>
      <c r="O4719" s="88"/>
      <c r="P4719" s="88"/>
    </row>
    <row r="4720" spans="1:16">
      <c r="A4720" s="94">
        <v>99623</v>
      </c>
      <c r="B4720" s="87" t="s">
        <v>3886</v>
      </c>
      <c r="C4720" s="12" t="s">
        <v>4</v>
      </c>
      <c r="D4720" s="93">
        <v>211.91</v>
      </c>
      <c r="E4720" s="93">
        <v>23.85</v>
      </c>
      <c r="F4720" s="93">
        <v>188.06</v>
      </c>
      <c r="G4720" s="93">
        <v>0</v>
      </c>
      <c r="H4720" s="93">
        <v>0</v>
      </c>
      <c r="N4720" s="88"/>
      <c r="O4720" s="88"/>
      <c r="P4720" s="88"/>
    </row>
    <row r="4721" spans="1:16">
      <c r="A4721" s="94">
        <v>99624</v>
      </c>
      <c r="B4721" s="87" t="s">
        <v>3887</v>
      </c>
      <c r="C4721" s="12" t="s">
        <v>4</v>
      </c>
      <c r="D4721" s="93">
        <v>289.64</v>
      </c>
      <c r="E4721" s="93">
        <v>23.85</v>
      </c>
      <c r="F4721" s="93">
        <v>265.79000000000002</v>
      </c>
      <c r="G4721" s="93">
        <v>0</v>
      </c>
      <c r="H4721" s="93">
        <v>0</v>
      </c>
      <c r="N4721" s="88"/>
      <c r="O4721" s="88"/>
      <c r="P4721" s="88"/>
    </row>
    <row r="4722" spans="1:16">
      <c r="A4722" s="94">
        <v>99625</v>
      </c>
      <c r="B4722" s="87" t="s">
        <v>3888</v>
      </c>
      <c r="C4722" s="12" t="s">
        <v>4</v>
      </c>
      <c r="D4722" s="93">
        <v>389.54</v>
      </c>
      <c r="E4722" s="93">
        <v>24.69</v>
      </c>
      <c r="F4722" s="93">
        <v>364.85</v>
      </c>
      <c r="G4722" s="93">
        <v>0</v>
      </c>
      <c r="H4722" s="93">
        <v>0</v>
      </c>
      <c r="N4722" s="88"/>
      <c r="O4722" s="88"/>
      <c r="P4722" s="88"/>
    </row>
    <row r="4723" spans="1:16">
      <c r="A4723" s="94">
        <v>99626</v>
      </c>
      <c r="B4723" s="87" t="s">
        <v>3889</v>
      </c>
      <c r="C4723" s="12" t="s">
        <v>4</v>
      </c>
      <c r="D4723" s="93">
        <v>586.27</v>
      </c>
      <c r="E4723" s="93">
        <v>24.69</v>
      </c>
      <c r="F4723" s="93">
        <v>561.58000000000004</v>
      </c>
      <c r="G4723" s="93">
        <v>0</v>
      </c>
      <c r="H4723" s="93">
        <v>0</v>
      </c>
      <c r="N4723" s="88"/>
      <c r="O4723" s="88"/>
      <c r="P4723" s="88"/>
    </row>
    <row r="4724" spans="1:16">
      <c r="A4724" s="94">
        <v>99627</v>
      </c>
      <c r="B4724" s="87" t="s">
        <v>3890</v>
      </c>
      <c r="C4724" s="12" t="s">
        <v>4</v>
      </c>
      <c r="D4724" s="93">
        <v>63.88</v>
      </c>
      <c r="E4724" s="93">
        <v>23.02</v>
      </c>
      <c r="F4724" s="93">
        <v>40.86</v>
      </c>
      <c r="G4724" s="93">
        <v>0</v>
      </c>
      <c r="H4724" s="93">
        <v>0</v>
      </c>
      <c r="N4724" s="88"/>
      <c r="O4724" s="88"/>
      <c r="P4724" s="88"/>
    </row>
    <row r="4725" spans="1:16">
      <c r="A4725" s="94">
        <v>99628</v>
      </c>
      <c r="B4725" s="87" t="s">
        <v>3891</v>
      </c>
      <c r="C4725" s="12" t="s">
        <v>4</v>
      </c>
      <c r="D4725" s="93">
        <v>44.03</v>
      </c>
      <c r="E4725" s="93">
        <v>5.83</v>
      </c>
      <c r="F4725" s="93">
        <v>38.200000000000003</v>
      </c>
      <c r="G4725" s="93">
        <v>0</v>
      </c>
      <c r="H4725" s="93">
        <v>0</v>
      </c>
      <c r="N4725" s="88"/>
      <c r="O4725" s="88"/>
      <c r="P4725" s="88"/>
    </row>
    <row r="4726" spans="1:16">
      <c r="A4726" s="94">
        <v>99629</v>
      </c>
      <c r="B4726" s="87" t="s">
        <v>3892</v>
      </c>
      <c r="C4726" s="12" t="s">
        <v>4</v>
      </c>
      <c r="D4726" s="93">
        <v>68.86</v>
      </c>
      <c r="E4726" s="93">
        <v>22.6</v>
      </c>
      <c r="F4726" s="93">
        <v>46.26</v>
      </c>
      <c r="G4726" s="93">
        <v>0</v>
      </c>
      <c r="H4726" s="93">
        <v>0</v>
      </c>
      <c r="N4726" s="88"/>
      <c r="O4726" s="88"/>
      <c r="P4726" s="88"/>
    </row>
    <row r="4727" spans="1:16">
      <c r="A4727" s="94">
        <v>99630</v>
      </c>
      <c r="B4727" s="87" t="s">
        <v>3893</v>
      </c>
      <c r="C4727" s="12" t="s">
        <v>4</v>
      </c>
      <c r="D4727" s="93">
        <v>89.42</v>
      </c>
      <c r="E4727" s="93">
        <v>23.01</v>
      </c>
      <c r="F4727" s="93">
        <v>66.41</v>
      </c>
      <c r="G4727" s="93">
        <v>0</v>
      </c>
      <c r="H4727" s="93">
        <v>0</v>
      </c>
      <c r="N4727" s="88"/>
      <c r="O4727" s="88"/>
      <c r="P4727" s="88"/>
    </row>
    <row r="4728" spans="1:16">
      <c r="A4728" s="94">
        <v>99631</v>
      </c>
      <c r="B4728" s="87" t="s">
        <v>3894</v>
      </c>
      <c r="C4728" s="12" t="s">
        <v>4</v>
      </c>
      <c r="D4728" s="93">
        <v>98.48</v>
      </c>
      <c r="E4728" s="93">
        <v>23.01</v>
      </c>
      <c r="F4728" s="93">
        <v>75.47</v>
      </c>
      <c r="G4728" s="93">
        <v>0</v>
      </c>
      <c r="H4728" s="93">
        <v>0</v>
      </c>
      <c r="N4728" s="88"/>
      <c r="O4728" s="88"/>
      <c r="P4728" s="88"/>
    </row>
    <row r="4729" spans="1:16">
      <c r="A4729" s="94">
        <v>99632</v>
      </c>
      <c r="B4729" s="87" t="s">
        <v>3895</v>
      </c>
      <c r="C4729" s="12" t="s">
        <v>4</v>
      </c>
      <c r="D4729" s="93">
        <v>131.22999999999999</v>
      </c>
      <c r="E4729" s="93">
        <v>23.86</v>
      </c>
      <c r="F4729" s="93">
        <v>107.37</v>
      </c>
      <c r="G4729" s="93">
        <v>0</v>
      </c>
      <c r="H4729" s="93">
        <v>0</v>
      </c>
      <c r="N4729" s="88"/>
      <c r="O4729" s="88"/>
      <c r="P4729" s="88"/>
    </row>
    <row r="4730" spans="1:16">
      <c r="A4730" s="94">
        <v>99633</v>
      </c>
      <c r="B4730" s="87" t="s">
        <v>3896</v>
      </c>
      <c r="C4730" s="12" t="s">
        <v>4</v>
      </c>
      <c r="D4730" s="93">
        <v>251.51</v>
      </c>
      <c r="E4730" s="93">
        <v>24.69</v>
      </c>
      <c r="F4730" s="93">
        <v>226.82</v>
      </c>
      <c r="G4730" s="93">
        <v>0</v>
      </c>
      <c r="H4730" s="93">
        <v>0</v>
      </c>
      <c r="N4730" s="88"/>
      <c r="O4730" s="88"/>
      <c r="P4730" s="88"/>
    </row>
    <row r="4731" spans="1:16">
      <c r="A4731" s="94">
        <v>99634</v>
      </c>
      <c r="B4731" s="87" t="s">
        <v>3897</v>
      </c>
      <c r="C4731" s="12" t="s">
        <v>4</v>
      </c>
      <c r="D4731" s="93">
        <v>412.59</v>
      </c>
      <c r="E4731" s="93">
        <v>24.69</v>
      </c>
      <c r="F4731" s="93">
        <v>387.9</v>
      </c>
      <c r="G4731" s="93">
        <v>0</v>
      </c>
      <c r="H4731" s="93">
        <v>0</v>
      </c>
      <c r="N4731" s="88"/>
      <c r="O4731" s="88"/>
      <c r="P4731" s="88"/>
    </row>
    <row r="4732" spans="1:16">
      <c r="A4732" s="94">
        <v>99635</v>
      </c>
      <c r="B4732" s="87" t="s">
        <v>3898</v>
      </c>
      <c r="C4732" s="12" t="s">
        <v>4</v>
      </c>
      <c r="D4732" s="93">
        <v>181.25</v>
      </c>
      <c r="E4732" s="93">
        <v>23</v>
      </c>
      <c r="F4732" s="93">
        <v>158.25</v>
      </c>
      <c r="G4732" s="93">
        <v>0</v>
      </c>
      <c r="H4732" s="93">
        <v>0</v>
      </c>
      <c r="N4732" s="88"/>
      <c r="O4732" s="88"/>
      <c r="P4732" s="88"/>
    </row>
    <row r="4733" spans="1:16">
      <c r="A4733" s="94">
        <v>95634</v>
      </c>
      <c r="B4733" s="87" t="s">
        <v>3899</v>
      </c>
      <c r="C4733" s="12" t="s">
        <v>4</v>
      </c>
      <c r="D4733" s="93">
        <v>126.59</v>
      </c>
      <c r="E4733" s="93">
        <v>42.95</v>
      </c>
      <c r="F4733" s="93">
        <v>83.64</v>
      </c>
      <c r="G4733" s="93">
        <v>0</v>
      </c>
      <c r="H4733" s="93">
        <v>0</v>
      </c>
      <c r="N4733" s="88"/>
      <c r="O4733" s="88"/>
      <c r="P4733" s="88"/>
    </row>
    <row r="4734" spans="1:16">
      <c r="A4734" s="94">
        <v>95635</v>
      </c>
      <c r="B4734" s="87" t="s">
        <v>3900</v>
      </c>
      <c r="C4734" s="12" t="s">
        <v>4</v>
      </c>
      <c r="D4734" s="93">
        <v>137.18</v>
      </c>
      <c r="E4734" s="93">
        <v>49.68</v>
      </c>
      <c r="F4734" s="93">
        <v>87.5</v>
      </c>
      <c r="G4734" s="93">
        <v>0</v>
      </c>
      <c r="H4734" s="93">
        <v>0</v>
      </c>
      <c r="N4734" s="88"/>
      <c r="O4734" s="88"/>
      <c r="P4734" s="88"/>
    </row>
    <row r="4735" spans="1:16">
      <c r="A4735" s="94">
        <v>95637</v>
      </c>
      <c r="B4735" s="87" t="s">
        <v>3901</v>
      </c>
      <c r="C4735" s="12" t="s">
        <v>4</v>
      </c>
      <c r="D4735" s="93">
        <v>411.49</v>
      </c>
      <c r="E4735" s="93">
        <v>163.91</v>
      </c>
      <c r="F4735" s="93">
        <v>247.58</v>
      </c>
      <c r="G4735" s="93">
        <v>0</v>
      </c>
      <c r="H4735" s="93">
        <v>0</v>
      </c>
      <c r="N4735" s="88"/>
      <c r="O4735" s="88"/>
      <c r="P4735" s="88"/>
    </row>
    <row r="4736" spans="1:16">
      <c r="A4736" s="94">
        <v>95638</v>
      </c>
      <c r="B4736" s="87" t="s">
        <v>3902</v>
      </c>
      <c r="C4736" s="12" t="s">
        <v>4</v>
      </c>
      <c r="D4736" s="93">
        <v>498.32</v>
      </c>
      <c r="E4736" s="93">
        <v>188.96</v>
      </c>
      <c r="F4736" s="93">
        <v>309.36</v>
      </c>
      <c r="G4736" s="93">
        <v>0</v>
      </c>
      <c r="H4736" s="93">
        <v>0</v>
      </c>
      <c r="N4736" s="88"/>
      <c r="O4736" s="88"/>
      <c r="P4736" s="88"/>
    </row>
    <row r="4737" spans="1:16">
      <c r="A4737" s="94">
        <v>95639</v>
      </c>
      <c r="B4737" s="87" t="s">
        <v>3903</v>
      </c>
      <c r="C4737" s="12" t="s">
        <v>4</v>
      </c>
      <c r="D4737" s="93">
        <v>631.29999999999995</v>
      </c>
      <c r="E4737" s="93">
        <v>194.55</v>
      </c>
      <c r="F4737" s="93">
        <v>436.75</v>
      </c>
      <c r="G4737" s="93">
        <v>0</v>
      </c>
      <c r="H4737" s="93">
        <v>0</v>
      </c>
      <c r="N4737" s="88"/>
      <c r="O4737" s="88"/>
      <c r="P4737" s="88"/>
    </row>
    <row r="4738" spans="1:16">
      <c r="A4738" s="94">
        <v>95641</v>
      </c>
      <c r="B4738" s="87" t="s">
        <v>3904</v>
      </c>
      <c r="C4738" s="12" t="s">
        <v>4</v>
      </c>
      <c r="D4738" s="93">
        <v>221.96</v>
      </c>
      <c r="E4738" s="93">
        <v>74.28</v>
      </c>
      <c r="F4738" s="93">
        <v>147.68</v>
      </c>
      <c r="G4738" s="93">
        <v>0</v>
      </c>
      <c r="H4738" s="93">
        <v>0</v>
      </c>
      <c r="N4738" s="88"/>
      <c r="O4738" s="88"/>
      <c r="P4738" s="88"/>
    </row>
    <row r="4739" spans="1:16">
      <c r="A4739" s="94">
        <v>95642</v>
      </c>
      <c r="B4739" s="87" t="s">
        <v>3905</v>
      </c>
      <c r="C4739" s="12" t="s">
        <v>4</v>
      </c>
      <c r="D4739" s="93">
        <v>327.91</v>
      </c>
      <c r="E4739" s="93">
        <v>109.83</v>
      </c>
      <c r="F4739" s="93">
        <v>218.08</v>
      </c>
      <c r="G4739" s="93">
        <v>0</v>
      </c>
      <c r="H4739" s="93">
        <v>0</v>
      </c>
      <c r="N4739" s="88"/>
      <c r="O4739" s="88"/>
      <c r="P4739" s="88"/>
    </row>
    <row r="4740" spans="1:16">
      <c r="A4740" s="94">
        <v>95643</v>
      </c>
      <c r="B4740" s="87" t="s">
        <v>3906</v>
      </c>
      <c r="C4740" s="12" t="s">
        <v>4</v>
      </c>
      <c r="D4740" s="93">
        <v>428.89</v>
      </c>
      <c r="E4740" s="93">
        <v>142.85</v>
      </c>
      <c r="F4740" s="93">
        <v>286.04000000000002</v>
      </c>
      <c r="G4740" s="93">
        <v>0</v>
      </c>
      <c r="H4740" s="93">
        <v>0</v>
      </c>
      <c r="N4740" s="88"/>
      <c r="O4740" s="88"/>
      <c r="P4740" s="88"/>
    </row>
    <row r="4741" spans="1:16">
      <c r="A4741" s="94">
        <v>95644</v>
      </c>
      <c r="B4741" s="87" t="s">
        <v>3907</v>
      </c>
      <c r="C4741" s="12" t="s">
        <v>4</v>
      </c>
      <c r="D4741" s="93">
        <v>160.43</v>
      </c>
      <c r="E4741" s="93">
        <v>47.01</v>
      </c>
      <c r="F4741" s="93">
        <v>113.42</v>
      </c>
      <c r="G4741" s="93">
        <v>0</v>
      </c>
      <c r="H4741" s="93">
        <v>0</v>
      </c>
      <c r="N4741" s="88"/>
      <c r="O4741" s="88"/>
      <c r="P4741" s="88"/>
    </row>
    <row r="4742" spans="1:16">
      <c r="A4742" s="94">
        <v>95645</v>
      </c>
      <c r="B4742" s="87" t="s">
        <v>3908</v>
      </c>
      <c r="C4742" s="12" t="s">
        <v>4</v>
      </c>
      <c r="D4742" s="93">
        <v>293.14999999999998</v>
      </c>
      <c r="E4742" s="93">
        <v>83.52</v>
      </c>
      <c r="F4742" s="93">
        <v>209.63</v>
      </c>
      <c r="G4742" s="93">
        <v>0</v>
      </c>
      <c r="H4742" s="93">
        <v>0</v>
      </c>
      <c r="N4742" s="88"/>
      <c r="O4742" s="88"/>
      <c r="P4742" s="88"/>
    </row>
    <row r="4743" spans="1:16">
      <c r="A4743" s="94">
        <v>95646</v>
      </c>
      <c r="B4743" s="87" t="s">
        <v>3909</v>
      </c>
      <c r="C4743" s="12" t="s">
        <v>4</v>
      </c>
      <c r="D4743" s="93">
        <v>436.62</v>
      </c>
      <c r="E4743" s="93">
        <v>124.02</v>
      </c>
      <c r="F4743" s="93">
        <v>312.60000000000002</v>
      </c>
      <c r="G4743" s="93">
        <v>0</v>
      </c>
      <c r="H4743" s="93">
        <v>0</v>
      </c>
      <c r="N4743" s="88"/>
      <c r="O4743" s="88"/>
      <c r="P4743" s="88"/>
    </row>
    <row r="4744" spans="1:16">
      <c r="A4744" s="94">
        <v>95647</v>
      </c>
      <c r="B4744" s="87" t="s">
        <v>3910</v>
      </c>
      <c r="C4744" s="12" t="s">
        <v>4</v>
      </c>
      <c r="D4744" s="93">
        <v>572.32000000000005</v>
      </c>
      <c r="E4744" s="93">
        <v>161.55000000000001</v>
      </c>
      <c r="F4744" s="93">
        <v>410.77</v>
      </c>
      <c r="G4744" s="93">
        <v>0</v>
      </c>
      <c r="H4744" s="93">
        <v>0</v>
      </c>
      <c r="N4744" s="88"/>
      <c r="O4744" s="88"/>
      <c r="P4744" s="88"/>
    </row>
    <row r="4745" spans="1:16">
      <c r="A4745" s="94">
        <v>95673</v>
      </c>
      <c r="B4745" s="87" t="s">
        <v>3911</v>
      </c>
      <c r="C4745" s="12" t="s">
        <v>4</v>
      </c>
      <c r="D4745" s="93">
        <v>121.23</v>
      </c>
      <c r="E4745" s="93">
        <v>13.24</v>
      </c>
      <c r="F4745" s="93">
        <v>107.99</v>
      </c>
      <c r="G4745" s="93">
        <v>0</v>
      </c>
      <c r="H4745" s="93">
        <v>0</v>
      </c>
      <c r="N4745" s="88"/>
      <c r="O4745" s="88"/>
      <c r="P4745" s="88"/>
    </row>
    <row r="4746" spans="1:16">
      <c r="A4746" s="94">
        <v>95674</v>
      </c>
      <c r="B4746" s="87" t="s">
        <v>3912</v>
      </c>
      <c r="C4746" s="12" t="s">
        <v>4</v>
      </c>
      <c r="D4746" s="93">
        <v>128.87</v>
      </c>
      <c r="E4746" s="93">
        <v>13.24</v>
      </c>
      <c r="F4746" s="93">
        <v>115.63</v>
      </c>
      <c r="G4746" s="93">
        <v>0</v>
      </c>
      <c r="H4746" s="93">
        <v>0</v>
      </c>
      <c r="N4746" s="88"/>
      <c r="O4746" s="88"/>
      <c r="P4746" s="88"/>
    </row>
    <row r="4747" spans="1:16">
      <c r="A4747" s="94">
        <v>95675</v>
      </c>
      <c r="B4747" s="87" t="s">
        <v>377</v>
      </c>
      <c r="C4747" s="12" t="s">
        <v>4</v>
      </c>
      <c r="D4747" s="93">
        <v>157.6</v>
      </c>
      <c r="E4747" s="93">
        <v>15.33</v>
      </c>
      <c r="F4747" s="93">
        <v>142.27000000000001</v>
      </c>
      <c r="G4747" s="93">
        <v>0</v>
      </c>
      <c r="H4747" s="93">
        <v>0</v>
      </c>
      <c r="N4747" s="88"/>
      <c r="O4747" s="88"/>
      <c r="P4747" s="88"/>
    </row>
    <row r="4748" spans="1:16">
      <c r="A4748" s="94">
        <v>95676</v>
      </c>
      <c r="B4748" s="87" t="s">
        <v>3913</v>
      </c>
      <c r="C4748" s="12" t="s">
        <v>4</v>
      </c>
      <c r="D4748" s="93">
        <v>58.61</v>
      </c>
      <c r="E4748" s="93">
        <v>6.31</v>
      </c>
      <c r="F4748" s="93">
        <v>52.3</v>
      </c>
      <c r="G4748" s="93">
        <v>0</v>
      </c>
      <c r="H4748" s="93">
        <v>0</v>
      </c>
      <c r="N4748" s="88"/>
      <c r="O4748" s="88"/>
      <c r="P4748" s="88"/>
    </row>
    <row r="4749" spans="1:16">
      <c r="A4749" s="94">
        <v>97741</v>
      </c>
      <c r="B4749" s="87" t="s">
        <v>3914</v>
      </c>
      <c r="C4749" s="12" t="s">
        <v>4</v>
      </c>
      <c r="D4749" s="93">
        <v>124.45</v>
      </c>
      <c r="E4749" s="93">
        <v>42.34</v>
      </c>
      <c r="F4749" s="93">
        <v>82.11</v>
      </c>
      <c r="G4749" s="93">
        <v>0</v>
      </c>
      <c r="H4749" s="93">
        <v>0</v>
      </c>
      <c r="N4749" s="88"/>
      <c r="O4749" s="88"/>
      <c r="P4749" s="88"/>
    </row>
    <row r="4750" spans="1:16">
      <c r="A4750" s="94">
        <v>72285</v>
      </c>
      <c r="B4750" s="87" t="s">
        <v>6809</v>
      </c>
      <c r="C4750" s="12" t="s">
        <v>4</v>
      </c>
      <c r="D4750" s="93">
        <v>90.58</v>
      </c>
      <c r="E4750" s="93">
        <v>38.81</v>
      </c>
      <c r="F4750" s="93">
        <v>51.77</v>
      </c>
      <c r="G4750" s="93">
        <v>0</v>
      </c>
      <c r="H4750" s="93">
        <v>0</v>
      </c>
      <c r="N4750" s="88"/>
      <c r="O4750" s="88"/>
      <c r="P4750" s="88"/>
    </row>
    <row r="4751" spans="1:16">
      <c r="A4751" s="94">
        <v>90436</v>
      </c>
      <c r="B4751" s="87" t="s">
        <v>378</v>
      </c>
      <c r="C4751" s="12" t="s">
        <v>4</v>
      </c>
      <c r="D4751" s="93">
        <v>11.71</v>
      </c>
      <c r="E4751" s="93">
        <v>9.4</v>
      </c>
      <c r="F4751" s="93">
        <v>2.31</v>
      </c>
      <c r="G4751" s="93">
        <v>0</v>
      </c>
      <c r="H4751" s="93">
        <v>0</v>
      </c>
      <c r="N4751" s="88"/>
      <c r="O4751" s="88"/>
      <c r="P4751" s="88"/>
    </row>
    <row r="4752" spans="1:16">
      <c r="A4752" s="94">
        <v>90437</v>
      </c>
      <c r="B4752" s="87" t="s">
        <v>379</v>
      </c>
      <c r="C4752" s="12" t="s">
        <v>4</v>
      </c>
      <c r="D4752" s="93">
        <v>28.48</v>
      </c>
      <c r="E4752" s="93">
        <v>22.78</v>
      </c>
      <c r="F4752" s="93">
        <v>5.7</v>
      </c>
      <c r="G4752" s="93">
        <v>0</v>
      </c>
      <c r="H4752" s="93">
        <v>0</v>
      </c>
      <c r="N4752" s="88"/>
      <c r="O4752" s="88"/>
      <c r="P4752" s="88"/>
    </row>
    <row r="4753" spans="1:16">
      <c r="A4753" s="94">
        <v>90438</v>
      </c>
      <c r="B4753" s="87" t="s">
        <v>380</v>
      </c>
      <c r="C4753" s="12" t="s">
        <v>4</v>
      </c>
      <c r="D4753" s="93">
        <v>40.81</v>
      </c>
      <c r="E4753" s="93">
        <v>32.65</v>
      </c>
      <c r="F4753" s="93">
        <v>8.16</v>
      </c>
      <c r="G4753" s="93">
        <v>0</v>
      </c>
      <c r="H4753" s="93">
        <v>0</v>
      </c>
      <c r="N4753" s="88"/>
      <c r="O4753" s="88"/>
      <c r="P4753" s="88"/>
    </row>
    <row r="4754" spans="1:16">
      <c r="A4754" s="94">
        <v>90439</v>
      </c>
      <c r="B4754" s="87" t="s">
        <v>381</v>
      </c>
      <c r="C4754" s="12" t="s">
        <v>4</v>
      </c>
      <c r="D4754" s="93">
        <v>52.32</v>
      </c>
      <c r="E4754" s="93">
        <v>40.549999999999997</v>
      </c>
      <c r="F4754" s="93">
        <v>9.85</v>
      </c>
      <c r="G4754" s="93">
        <v>1.92</v>
      </c>
      <c r="H4754" s="93">
        <v>0</v>
      </c>
      <c r="N4754" s="88"/>
      <c r="O4754" s="88"/>
      <c r="P4754" s="88"/>
    </row>
    <row r="4755" spans="1:16">
      <c r="A4755" s="94">
        <v>90440</v>
      </c>
      <c r="B4755" s="87" t="s">
        <v>382</v>
      </c>
      <c r="C4755" s="12" t="s">
        <v>4</v>
      </c>
      <c r="D4755" s="93">
        <v>83.8</v>
      </c>
      <c r="E4755" s="93">
        <v>64.91</v>
      </c>
      <c r="F4755" s="93">
        <v>15.8</v>
      </c>
      <c r="G4755" s="93">
        <v>3.09</v>
      </c>
      <c r="H4755" s="93">
        <v>0</v>
      </c>
      <c r="N4755" s="88"/>
      <c r="O4755" s="88"/>
      <c r="P4755" s="88"/>
    </row>
    <row r="4756" spans="1:16">
      <c r="A4756" s="94">
        <v>90441</v>
      </c>
      <c r="B4756" s="87" t="s">
        <v>383</v>
      </c>
      <c r="C4756" s="12" t="s">
        <v>4</v>
      </c>
      <c r="D4756" s="93">
        <v>107.04</v>
      </c>
      <c r="E4756" s="93">
        <v>82.88</v>
      </c>
      <c r="F4756" s="93">
        <v>20.2</v>
      </c>
      <c r="G4756" s="93">
        <v>3.96</v>
      </c>
      <c r="H4756" s="93">
        <v>0</v>
      </c>
      <c r="N4756" s="88"/>
      <c r="O4756" s="88"/>
      <c r="P4756" s="88"/>
    </row>
    <row r="4757" spans="1:16">
      <c r="A4757" s="94">
        <v>90443</v>
      </c>
      <c r="B4757" s="87" t="s">
        <v>384</v>
      </c>
      <c r="C4757" s="12" t="s">
        <v>6</v>
      </c>
      <c r="D4757" s="93">
        <v>10.65</v>
      </c>
      <c r="E4757" s="93">
        <v>8.58</v>
      </c>
      <c r="F4757" s="93">
        <v>2.0699999999999998</v>
      </c>
      <c r="G4757" s="93">
        <v>0</v>
      </c>
      <c r="H4757" s="93">
        <v>0</v>
      </c>
      <c r="N4757" s="88"/>
      <c r="O4757" s="88"/>
      <c r="P4757" s="88"/>
    </row>
    <row r="4758" spans="1:16">
      <c r="A4758" s="94">
        <v>90444</v>
      </c>
      <c r="B4758" s="87" t="s">
        <v>385</v>
      </c>
      <c r="C4758" s="12" t="s">
        <v>6</v>
      </c>
      <c r="D4758" s="93">
        <v>22.45</v>
      </c>
      <c r="E4758" s="93">
        <v>17.45</v>
      </c>
      <c r="F4758" s="93">
        <v>4.18</v>
      </c>
      <c r="G4758" s="93">
        <v>0.82</v>
      </c>
      <c r="H4758" s="93">
        <v>0</v>
      </c>
      <c r="N4758" s="88"/>
      <c r="O4758" s="88"/>
      <c r="P4758" s="88"/>
    </row>
    <row r="4759" spans="1:16">
      <c r="A4759" s="94">
        <v>90445</v>
      </c>
      <c r="B4759" s="87" t="s">
        <v>3915</v>
      </c>
      <c r="C4759" s="12" t="s">
        <v>6</v>
      </c>
      <c r="D4759" s="93">
        <v>23.96</v>
      </c>
      <c r="E4759" s="93">
        <v>18.63</v>
      </c>
      <c r="F4759" s="93">
        <v>4.46</v>
      </c>
      <c r="G4759" s="93">
        <v>0.87</v>
      </c>
      <c r="H4759" s="93">
        <v>0</v>
      </c>
      <c r="N4759" s="88"/>
      <c r="O4759" s="88"/>
      <c r="P4759" s="88"/>
    </row>
    <row r="4760" spans="1:16">
      <c r="A4760" s="94">
        <v>90446</v>
      </c>
      <c r="B4760" s="87" t="s">
        <v>3916</v>
      </c>
      <c r="C4760" s="12" t="s">
        <v>6</v>
      </c>
      <c r="D4760" s="93">
        <v>26.04</v>
      </c>
      <c r="E4760" s="93">
        <v>20.22</v>
      </c>
      <c r="F4760" s="93">
        <v>4.8600000000000003</v>
      </c>
      <c r="G4760" s="93">
        <v>0.96</v>
      </c>
      <c r="H4760" s="93">
        <v>0</v>
      </c>
      <c r="N4760" s="88"/>
      <c r="O4760" s="88"/>
      <c r="P4760" s="88"/>
    </row>
    <row r="4761" spans="1:16">
      <c r="A4761" s="94">
        <v>90447</v>
      </c>
      <c r="B4761" s="87" t="s">
        <v>386</v>
      </c>
      <c r="C4761" s="12" t="s">
        <v>6</v>
      </c>
      <c r="D4761" s="93">
        <v>5.28</v>
      </c>
      <c r="E4761" s="93">
        <v>4.1900000000000004</v>
      </c>
      <c r="F4761" s="93">
        <v>1.0900000000000001</v>
      </c>
      <c r="G4761" s="93">
        <v>0</v>
      </c>
      <c r="H4761" s="93">
        <v>0</v>
      </c>
      <c r="N4761" s="88"/>
      <c r="O4761" s="88"/>
      <c r="P4761" s="88"/>
    </row>
    <row r="4762" spans="1:16">
      <c r="A4762" s="94">
        <v>90451</v>
      </c>
      <c r="B4762" s="87" t="s">
        <v>3917</v>
      </c>
      <c r="C4762" s="12" t="s">
        <v>4</v>
      </c>
      <c r="D4762" s="93">
        <v>3.5</v>
      </c>
      <c r="E4762" s="93">
        <v>2.27</v>
      </c>
      <c r="F4762" s="93">
        <v>1.23</v>
      </c>
      <c r="G4762" s="93">
        <v>0</v>
      </c>
      <c r="H4762" s="93">
        <v>0</v>
      </c>
      <c r="N4762" s="88"/>
      <c r="O4762" s="88"/>
      <c r="P4762" s="88"/>
    </row>
    <row r="4763" spans="1:16">
      <c r="A4763" s="94">
        <v>90452</v>
      </c>
      <c r="B4763" s="87" t="s">
        <v>387</v>
      </c>
      <c r="C4763" s="12" t="s">
        <v>4</v>
      </c>
      <c r="D4763" s="93">
        <v>13.77</v>
      </c>
      <c r="E4763" s="93">
        <v>3.42</v>
      </c>
      <c r="F4763" s="93">
        <v>10.35</v>
      </c>
      <c r="G4763" s="93">
        <v>0</v>
      </c>
      <c r="H4763" s="93">
        <v>0</v>
      </c>
      <c r="N4763" s="88"/>
      <c r="O4763" s="88"/>
      <c r="P4763" s="88"/>
    </row>
    <row r="4764" spans="1:16">
      <c r="A4764" s="94">
        <v>90453</v>
      </c>
      <c r="B4764" s="87" t="s">
        <v>388</v>
      </c>
      <c r="C4764" s="12" t="s">
        <v>4</v>
      </c>
      <c r="D4764" s="93">
        <v>2.15</v>
      </c>
      <c r="E4764" s="93">
        <v>1.28</v>
      </c>
      <c r="F4764" s="93">
        <v>0.87</v>
      </c>
      <c r="G4764" s="93">
        <v>0</v>
      </c>
      <c r="H4764" s="93">
        <v>0</v>
      </c>
      <c r="N4764" s="88"/>
      <c r="O4764" s="88"/>
      <c r="P4764" s="88"/>
    </row>
    <row r="4765" spans="1:16">
      <c r="A4765" s="94">
        <v>90454</v>
      </c>
      <c r="B4765" s="87" t="s">
        <v>389</v>
      </c>
      <c r="C4765" s="12" t="s">
        <v>4</v>
      </c>
      <c r="D4765" s="93">
        <v>3.77</v>
      </c>
      <c r="E4765" s="93">
        <v>1.94</v>
      </c>
      <c r="F4765" s="93">
        <v>1.83</v>
      </c>
      <c r="G4765" s="93">
        <v>0</v>
      </c>
      <c r="H4765" s="93">
        <v>0</v>
      </c>
      <c r="N4765" s="88"/>
      <c r="O4765" s="88"/>
      <c r="P4765" s="88"/>
    </row>
    <row r="4766" spans="1:16">
      <c r="A4766" s="94">
        <v>90455</v>
      </c>
      <c r="B4766" s="87" t="s">
        <v>3918</v>
      </c>
      <c r="C4766" s="12" t="s">
        <v>4</v>
      </c>
      <c r="D4766" s="93">
        <v>5.03</v>
      </c>
      <c r="E4766" s="93">
        <v>2.81</v>
      </c>
      <c r="F4766" s="93">
        <v>2.2200000000000002</v>
      </c>
      <c r="G4766" s="93">
        <v>0</v>
      </c>
      <c r="H4766" s="93">
        <v>0</v>
      </c>
      <c r="N4766" s="88"/>
      <c r="O4766" s="88"/>
      <c r="P4766" s="88"/>
    </row>
    <row r="4767" spans="1:16">
      <c r="A4767" s="94">
        <v>90456</v>
      </c>
      <c r="B4767" s="87" t="s">
        <v>3919</v>
      </c>
      <c r="C4767" s="12" t="s">
        <v>4</v>
      </c>
      <c r="D4767" s="93">
        <v>3.42</v>
      </c>
      <c r="E4767" s="93">
        <v>2.79</v>
      </c>
      <c r="F4767" s="93">
        <v>0.63</v>
      </c>
      <c r="G4767" s="93">
        <v>0</v>
      </c>
      <c r="H4767" s="93">
        <v>0</v>
      </c>
      <c r="N4767" s="88"/>
      <c r="O4767" s="88"/>
      <c r="P4767" s="88"/>
    </row>
    <row r="4768" spans="1:16">
      <c r="A4768" s="94">
        <v>90457</v>
      </c>
      <c r="B4768" s="87" t="s">
        <v>3920</v>
      </c>
      <c r="C4768" s="12" t="s">
        <v>4</v>
      </c>
      <c r="D4768" s="93">
        <v>7.79</v>
      </c>
      <c r="E4768" s="93">
        <v>6.26</v>
      </c>
      <c r="F4768" s="93">
        <v>1.53</v>
      </c>
      <c r="G4768" s="93">
        <v>0</v>
      </c>
      <c r="H4768" s="93">
        <v>0</v>
      </c>
      <c r="N4768" s="88"/>
      <c r="O4768" s="88"/>
      <c r="P4768" s="88"/>
    </row>
    <row r="4769" spans="1:16">
      <c r="A4769" s="94">
        <v>90458</v>
      </c>
      <c r="B4769" s="87" t="s">
        <v>3921</v>
      </c>
      <c r="C4769" s="12" t="s">
        <v>4</v>
      </c>
      <c r="D4769" s="93">
        <v>22.12</v>
      </c>
      <c r="E4769" s="93">
        <v>17.72</v>
      </c>
      <c r="F4769" s="93">
        <v>4.4000000000000004</v>
      </c>
      <c r="G4769" s="93">
        <v>0</v>
      </c>
      <c r="H4769" s="93">
        <v>0</v>
      </c>
      <c r="N4769" s="88"/>
      <c r="O4769" s="88"/>
      <c r="P4769" s="88"/>
    </row>
    <row r="4770" spans="1:16">
      <c r="A4770" s="94">
        <v>90459</v>
      </c>
      <c r="B4770" s="87" t="s">
        <v>3922</v>
      </c>
      <c r="C4770" s="12" t="s">
        <v>4</v>
      </c>
      <c r="D4770" s="93">
        <v>31.21</v>
      </c>
      <c r="E4770" s="93">
        <v>24.98</v>
      </c>
      <c r="F4770" s="93">
        <v>6.23</v>
      </c>
      <c r="G4770" s="93">
        <v>0</v>
      </c>
      <c r="H4770" s="93">
        <v>0</v>
      </c>
      <c r="N4770" s="88"/>
      <c r="O4770" s="88"/>
      <c r="P4770" s="88"/>
    </row>
    <row r="4771" spans="1:16">
      <c r="A4771" s="94">
        <v>90460</v>
      </c>
      <c r="B4771" s="87" t="s">
        <v>3923</v>
      </c>
      <c r="C4771" s="12" t="s">
        <v>6</v>
      </c>
      <c r="D4771" s="93">
        <v>6.01</v>
      </c>
      <c r="E4771" s="93">
        <v>1.01</v>
      </c>
      <c r="F4771" s="93">
        <v>5</v>
      </c>
      <c r="G4771" s="93">
        <v>0</v>
      </c>
      <c r="H4771" s="93">
        <v>0</v>
      </c>
      <c r="N4771" s="88"/>
      <c r="O4771" s="88"/>
      <c r="P4771" s="88"/>
    </row>
    <row r="4772" spans="1:16">
      <c r="A4772" s="94">
        <v>90461</v>
      </c>
      <c r="B4772" s="87" t="s">
        <v>3924</v>
      </c>
      <c r="C4772" s="12" t="s">
        <v>6</v>
      </c>
      <c r="D4772" s="93">
        <v>4.12</v>
      </c>
      <c r="E4772" s="93">
        <v>1.1399999999999999</v>
      </c>
      <c r="F4772" s="93">
        <v>2.98</v>
      </c>
      <c r="G4772" s="93">
        <v>0</v>
      </c>
      <c r="H4772" s="93">
        <v>0</v>
      </c>
      <c r="N4772" s="88"/>
      <c r="O4772" s="88"/>
      <c r="P4772" s="88"/>
    </row>
    <row r="4773" spans="1:16">
      <c r="A4773" s="94">
        <v>90462</v>
      </c>
      <c r="B4773" s="87" t="s">
        <v>3925</v>
      </c>
      <c r="C4773" s="12" t="s">
        <v>6</v>
      </c>
      <c r="D4773" s="93">
        <v>0.88</v>
      </c>
      <c r="E4773" s="93">
        <v>0.27</v>
      </c>
      <c r="F4773" s="93">
        <v>0.61</v>
      </c>
      <c r="G4773" s="93">
        <v>0</v>
      </c>
      <c r="H4773" s="93">
        <v>0</v>
      </c>
      <c r="N4773" s="88"/>
      <c r="O4773" s="88"/>
      <c r="P4773" s="88"/>
    </row>
    <row r="4774" spans="1:16">
      <c r="A4774" s="94">
        <v>90463</v>
      </c>
      <c r="B4774" s="87" t="s">
        <v>3926</v>
      </c>
      <c r="C4774" s="12" t="s">
        <v>6</v>
      </c>
      <c r="D4774" s="93">
        <v>0.81</v>
      </c>
      <c r="E4774" s="93">
        <v>0.31</v>
      </c>
      <c r="F4774" s="93">
        <v>0.5</v>
      </c>
      <c r="G4774" s="93">
        <v>0</v>
      </c>
      <c r="H4774" s="93">
        <v>0</v>
      </c>
      <c r="N4774" s="88"/>
      <c r="O4774" s="88"/>
      <c r="P4774" s="88"/>
    </row>
    <row r="4775" spans="1:16">
      <c r="A4775" s="94">
        <v>90466</v>
      </c>
      <c r="B4775" s="87" t="s">
        <v>390</v>
      </c>
      <c r="C4775" s="12" t="s">
        <v>6</v>
      </c>
      <c r="D4775" s="93">
        <v>10.65</v>
      </c>
      <c r="E4775" s="93">
        <v>7.66</v>
      </c>
      <c r="F4775" s="93">
        <v>2.99</v>
      </c>
      <c r="G4775" s="93">
        <v>0</v>
      </c>
      <c r="H4775" s="93">
        <v>0</v>
      </c>
      <c r="N4775" s="88"/>
      <c r="O4775" s="88"/>
      <c r="P4775" s="88"/>
    </row>
    <row r="4776" spans="1:16">
      <c r="A4776" s="94">
        <v>90467</v>
      </c>
      <c r="B4776" s="87" t="s">
        <v>391</v>
      </c>
      <c r="C4776" s="12" t="s">
        <v>6</v>
      </c>
      <c r="D4776" s="93">
        <v>16.84</v>
      </c>
      <c r="E4776" s="93">
        <v>12.02</v>
      </c>
      <c r="F4776" s="93">
        <v>4.82</v>
      </c>
      <c r="G4776" s="93">
        <v>0</v>
      </c>
      <c r="H4776" s="93">
        <v>0</v>
      </c>
      <c r="N4776" s="88"/>
      <c r="O4776" s="88"/>
      <c r="P4776" s="88"/>
    </row>
    <row r="4777" spans="1:16">
      <c r="A4777" s="94">
        <v>90468</v>
      </c>
      <c r="B4777" s="87" t="s">
        <v>3927</v>
      </c>
      <c r="C4777" s="12" t="s">
        <v>6</v>
      </c>
      <c r="D4777" s="93">
        <v>4.67</v>
      </c>
      <c r="E4777" s="93">
        <v>2.88</v>
      </c>
      <c r="F4777" s="93">
        <v>1.79</v>
      </c>
      <c r="G4777" s="93">
        <v>0</v>
      </c>
      <c r="H4777" s="93">
        <v>0</v>
      </c>
      <c r="N4777" s="88"/>
      <c r="O4777" s="88"/>
      <c r="P4777" s="88"/>
    </row>
    <row r="4778" spans="1:16">
      <c r="A4778" s="94">
        <v>90469</v>
      </c>
      <c r="B4778" s="87" t="s">
        <v>3928</v>
      </c>
      <c r="C4778" s="12" t="s">
        <v>6</v>
      </c>
      <c r="D4778" s="93">
        <v>7.49</v>
      </c>
      <c r="E4778" s="93">
        <v>4.53</v>
      </c>
      <c r="F4778" s="93">
        <v>2.96</v>
      </c>
      <c r="G4778" s="93">
        <v>0</v>
      </c>
      <c r="H4778" s="93">
        <v>0</v>
      </c>
      <c r="N4778" s="88"/>
      <c r="O4778" s="88"/>
      <c r="P4778" s="88"/>
    </row>
    <row r="4779" spans="1:16">
      <c r="A4779" s="94">
        <v>90470</v>
      </c>
      <c r="B4779" s="87" t="s">
        <v>3929</v>
      </c>
      <c r="C4779" s="12" t="s">
        <v>6</v>
      </c>
      <c r="D4779" s="93">
        <v>10.3</v>
      </c>
      <c r="E4779" s="93">
        <v>5.86</v>
      </c>
      <c r="F4779" s="93">
        <v>4.4400000000000004</v>
      </c>
      <c r="G4779" s="93">
        <v>0</v>
      </c>
      <c r="H4779" s="93">
        <v>0</v>
      </c>
      <c r="N4779" s="88"/>
      <c r="O4779" s="88"/>
      <c r="P4779" s="88"/>
    </row>
    <row r="4780" spans="1:16">
      <c r="A4780" s="94">
        <v>91166</v>
      </c>
      <c r="B4780" s="87" t="s">
        <v>3930</v>
      </c>
      <c r="C4780" s="12" t="s">
        <v>6</v>
      </c>
      <c r="D4780" s="93">
        <v>2.71</v>
      </c>
      <c r="E4780" s="93">
        <v>1.39</v>
      </c>
      <c r="F4780" s="93">
        <v>1.32</v>
      </c>
      <c r="G4780" s="93">
        <v>0</v>
      </c>
      <c r="H4780" s="93">
        <v>0</v>
      </c>
      <c r="N4780" s="88"/>
      <c r="O4780" s="88"/>
      <c r="P4780" s="88"/>
    </row>
    <row r="4781" spans="1:16">
      <c r="A4781" s="94">
        <v>91167</v>
      </c>
      <c r="B4781" s="87" t="s">
        <v>3931</v>
      </c>
      <c r="C4781" s="12" t="s">
        <v>6</v>
      </c>
      <c r="D4781" s="93">
        <v>7.54</v>
      </c>
      <c r="E4781" s="93">
        <v>5.0599999999999996</v>
      </c>
      <c r="F4781" s="93">
        <v>2.48</v>
      </c>
      <c r="G4781" s="93">
        <v>0</v>
      </c>
      <c r="H4781" s="93">
        <v>0</v>
      </c>
      <c r="N4781" s="88"/>
      <c r="O4781" s="88"/>
      <c r="P4781" s="88"/>
    </row>
    <row r="4782" spans="1:16">
      <c r="A4782" s="94">
        <v>91168</v>
      </c>
      <c r="B4782" s="87" t="s">
        <v>3932</v>
      </c>
      <c r="C4782" s="12" t="s">
        <v>6</v>
      </c>
      <c r="D4782" s="93">
        <v>5.62</v>
      </c>
      <c r="E4782" s="93">
        <v>3.73</v>
      </c>
      <c r="F4782" s="93">
        <v>1.89</v>
      </c>
      <c r="G4782" s="93">
        <v>0</v>
      </c>
      <c r="H4782" s="93">
        <v>0</v>
      </c>
      <c r="N4782" s="88"/>
      <c r="O4782" s="88"/>
      <c r="P4782" s="88"/>
    </row>
    <row r="4783" spans="1:16">
      <c r="A4783" s="94">
        <v>91169</v>
      </c>
      <c r="B4783" s="87" t="s">
        <v>3933</v>
      </c>
      <c r="C4783" s="12" t="s">
        <v>6</v>
      </c>
      <c r="D4783" s="93">
        <v>6.7</v>
      </c>
      <c r="E4783" s="93">
        <v>4.47</v>
      </c>
      <c r="F4783" s="93">
        <v>2.23</v>
      </c>
      <c r="G4783" s="93">
        <v>0</v>
      </c>
      <c r="H4783" s="93">
        <v>0</v>
      </c>
      <c r="N4783" s="88"/>
      <c r="O4783" s="88"/>
      <c r="P4783" s="88"/>
    </row>
    <row r="4784" spans="1:16">
      <c r="A4784" s="94">
        <v>91170</v>
      </c>
      <c r="B4784" s="87" t="s">
        <v>3934</v>
      </c>
      <c r="C4784" s="12" t="s">
        <v>6</v>
      </c>
      <c r="D4784" s="93">
        <v>1.94</v>
      </c>
      <c r="E4784" s="93">
        <v>1.34</v>
      </c>
      <c r="F4784" s="93">
        <v>0.6</v>
      </c>
      <c r="G4784" s="93">
        <v>0</v>
      </c>
      <c r="H4784" s="93">
        <v>0</v>
      </c>
      <c r="N4784" s="88"/>
      <c r="O4784" s="88"/>
      <c r="P4784" s="88"/>
    </row>
    <row r="4785" spans="1:16">
      <c r="A4785" s="94">
        <v>91171</v>
      </c>
      <c r="B4785" s="87" t="s">
        <v>3935</v>
      </c>
      <c r="C4785" s="12" t="s">
        <v>6</v>
      </c>
      <c r="D4785" s="93">
        <v>2.4</v>
      </c>
      <c r="E4785" s="93">
        <v>1.63</v>
      </c>
      <c r="F4785" s="93">
        <v>0.77</v>
      </c>
      <c r="G4785" s="93">
        <v>0</v>
      </c>
      <c r="H4785" s="93">
        <v>0</v>
      </c>
      <c r="N4785" s="88"/>
      <c r="O4785" s="88"/>
      <c r="P4785" s="88"/>
    </row>
    <row r="4786" spans="1:16">
      <c r="A4786" s="94">
        <v>91172</v>
      </c>
      <c r="B4786" s="87" t="s">
        <v>3936</v>
      </c>
      <c r="C4786" s="12" t="s">
        <v>6</v>
      </c>
      <c r="D4786" s="93">
        <v>3.54</v>
      </c>
      <c r="E4786" s="93">
        <v>2.37</v>
      </c>
      <c r="F4786" s="93">
        <v>1.17</v>
      </c>
      <c r="G4786" s="93">
        <v>0</v>
      </c>
      <c r="H4786" s="93">
        <v>0</v>
      </c>
      <c r="N4786" s="88"/>
      <c r="O4786" s="88"/>
      <c r="P4786" s="88"/>
    </row>
    <row r="4787" spans="1:16">
      <c r="A4787" s="94">
        <v>91173</v>
      </c>
      <c r="B4787" s="87" t="s">
        <v>3937</v>
      </c>
      <c r="C4787" s="12" t="s">
        <v>6</v>
      </c>
      <c r="D4787" s="93">
        <v>0.98</v>
      </c>
      <c r="E4787" s="93">
        <v>0.7</v>
      </c>
      <c r="F4787" s="93">
        <v>0.28000000000000003</v>
      </c>
      <c r="G4787" s="93">
        <v>0</v>
      </c>
      <c r="H4787" s="93">
        <v>0</v>
      </c>
      <c r="N4787" s="88"/>
      <c r="O4787" s="88"/>
      <c r="P4787" s="88"/>
    </row>
    <row r="4788" spans="1:16">
      <c r="A4788" s="94">
        <v>91174</v>
      </c>
      <c r="B4788" s="87" t="s">
        <v>3938</v>
      </c>
      <c r="C4788" s="12" t="s">
        <v>6</v>
      </c>
      <c r="D4788" s="93">
        <v>1.9</v>
      </c>
      <c r="E4788" s="93">
        <v>1.29</v>
      </c>
      <c r="F4788" s="93">
        <v>0.61</v>
      </c>
      <c r="G4788" s="93">
        <v>0</v>
      </c>
      <c r="H4788" s="93">
        <v>0</v>
      </c>
      <c r="N4788" s="88"/>
      <c r="O4788" s="88"/>
      <c r="P4788" s="88"/>
    </row>
    <row r="4789" spans="1:16">
      <c r="A4789" s="94">
        <v>91175</v>
      </c>
      <c r="B4789" s="87" t="s">
        <v>3939</v>
      </c>
      <c r="C4789" s="12" t="s">
        <v>6</v>
      </c>
      <c r="D4789" s="93">
        <v>3.11</v>
      </c>
      <c r="E4789" s="93">
        <v>2.09</v>
      </c>
      <c r="F4789" s="93">
        <v>1.02</v>
      </c>
      <c r="G4789" s="93">
        <v>0</v>
      </c>
      <c r="H4789" s="93">
        <v>0</v>
      </c>
      <c r="N4789" s="88"/>
      <c r="O4789" s="88"/>
      <c r="P4789" s="88"/>
    </row>
    <row r="4790" spans="1:16">
      <c r="A4790" s="94">
        <v>91176</v>
      </c>
      <c r="B4790" s="87" t="s">
        <v>3940</v>
      </c>
      <c r="C4790" s="12" t="s">
        <v>6</v>
      </c>
      <c r="D4790" s="93">
        <v>18.010000000000002</v>
      </c>
      <c r="E4790" s="93">
        <v>10.29</v>
      </c>
      <c r="F4790" s="93">
        <v>7.72</v>
      </c>
      <c r="G4790" s="93">
        <v>0</v>
      </c>
      <c r="H4790" s="93">
        <v>0</v>
      </c>
      <c r="N4790" s="88"/>
      <c r="O4790" s="88"/>
      <c r="P4790" s="88"/>
    </row>
    <row r="4791" spans="1:16">
      <c r="A4791" s="94">
        <v>91177</v>
      </c>
      <c r="B4791" s="87" t="s">
        <v>3941</v>
      </c>
      <c r="C4791" s="12" t="s">
        <v>6</v>
      </c>
      <c r="D4791" s="93">
        <v>9.15</v>
      </c>
      <c r="E4791" s="93">
        <v>5.78</v>
      </c>
      <c r="F4791" s="93">
        <v>3.37</v>
      </c>
      <c r="G4791" s="93">
        <v>0</v>
      </c>
      <c r="H4791" s="93">
        <v>0</v>
      </c>
      <c r="N4791" s="88"/>
      <c r="O4791" s="88"/>
      <c r="P4791" s="88"/>
    </row>
    <row r="4792" spans="1:16">
      <c r="A4792" s="94">
        <v>91178</v>
      </c>
      <c r="B4792" s="87" t="s">
        <v>3942</v>
      </c>
      <c r="C4792" s="12" t="s">
        <v>6</v>
      </c>
      <c r="D4792" s="93">
        <v>9.65</v>
      </c>
      <c r="E4792" s="93">
        <v>5.94</v>
      </c>
      <c r="F4792" s="93">
        <v>3.71</v>
      </c>
      <c r="G4792" s="93">
        <v>0</v>
      </c>
      <c r="H4792" s="93">
        <v>0</v>
      </c>
      <c r="N4792" s="88"/>
      <c r="O4792" s="88"/>
      <c r="P4792" s="88"/>
    </row>
    <row r="4793" spans="1:16">
      <c r="A4793" s="94">
        <v>91179</v>
      </c>
      <c r="B4793" s="87" t="s">
        <v>3943</v>
      </c>
      <c r="C4793" s="12" t="s">
        <v>6</v>
      </c>
      <c r="D4793" s="93">
        <v>4.62</v>
      </c>
      <c r="E4793" s="93">
        <v>2.68</v>
      </c>
      <c r="F4793" s="93">
        <v>1.94</v>
      </c>
      <c r="G4793" s="93">
        <v>0</v>
      </c>
      <c r="H4793" s="93">
        <v>0</v>
      </c>
      <c r="N4793" s="88"/>
      <c r="O4793" s="88"/>
      <c r="P4793" s="88"/>
    </row>
    <row r="4794" spans="1:16">
      <c r="A4794" s="94">
        <v>91180</v>
      </c>
      <c r="B4794" s="87" t="s">
        <v>3944</v>
      </c>
      <c r="C4794" s="12" t="s">
        <v>6</v>
      </c>
      <c r="D4794" s="93">
        <v>4.0999999999999996</v>
      </c>
      <c r="E4794" s="93">
        <v>2.4700000000000002</v>
      </c>
      <c r="F4794" s="93">
        <v>1.63</v>
      </c>
      <c r="G4794" s="93">
        <v>0</v>
      </c>
      <c r="H4794" s="93">
        <v>0</v>
      </c>
      <c r="N4794" s="88"/>
      <c r="O4794" s="88"/>
      <c r="P4794" s="88"/>
    </row>
    <row r="4795" spans="1:16">
      <c r="A4795" s="94">
        <v>91181</v>
      </c>
      <c r="B4795" s="87" t="s">
        <v>3945</v>
      </c>
      <c r="C4795" s="12" t="s">
        <v>6</v>
      </c>
      <c r="D4795" s="93">
        <v>4.88</v>
      </c>
      <c r="E4795" s="93">
        <v>3.16</v>
      </c>
      <c r="F4795" s="93">
        <v>1.72</v>
      </c>
      <c r="G4795" s="93">
        <v>0</v>
      </c>
      <c r="H4795" s="93">
        <v>0</v>
      </c>
      <c r="N4795" s="88"/>
      <c r="O4795" s="88"/>
      <c r="P4795" s="88"/>
    </row>
    <row r="4796" spans="1:16">
      <c r="A4796" s="94">
        <v>91182</v>
      </c>
      <c r="B4796" s="87" t="s">
        <v>3946</v>
      </c>
      <c r="C4796" s="12" t="s">
        <v>6</v>
      </c>
      <c r="D4796" s="93">
        <v>22.02</v>
      </c>
      <c r="E4796" s="93">
        <v>15.43</v>
      </c>
      <c r="F4796" s="93">
        <v>6.59</v>
      </c>
      <c r="G4796" s="93">
        <v>0</v>
      </c>
      <c r="H4796" s="93">
        <v>0</v>
      </c>
      <c r="N4796" s="88"/>
      <c r="O4796" s="88"/>
      <c r="P4796" s="88"/>
    </row>
    <row r="4797" spans="1:16">
      <c r="A4797" s="94">
        <v>91183</v>
      </c>
      <c r="B4797" s="87" t="s">
        <v>3947</v>
      </c>
      <c r="C4797" s="12" t="s">
        <v>6</v>
      </c>
      <c r="D4797" s="93">
        <v>10.91</v>
      </c>
      <c r="E4797" s="93">
        <v>7.76</v>
      </c>
      <c r="F4797" s="93">
        <v>3.15</v>
      </c>
      <c r="G4797" s="93">
        <v>0</v>
      </c>
      <c r="H4797" s="93">
        <v>0</v>
      </c>
      <c r="N4797" s="88"/>
      <c r="O4797" s="88"/>
      <c r="P4797" s="88"/>
    </row>
    <row r="4798" spans="1:16">
      <c r="A4798" s="94">
        <v>91184</v>
      </c>
      <c r="B4798" s="87" t="s">
        <v>3948</v>
      </c>
      <c r="C4798" s="12" t="s">
        <v>6</v>
      </c>
      <c r="D4798" s="93">
        <v>10.23</v>
      </c>
      <c r="E4798" s="93">
        <v>7.4</v>
      </c>
      <c r="F4798" s="93">
        <v>2.83</v>
      </c>
      <c r="G4798" s="93">
        <v>0</v>
      </c>
      <c r="H4798" s="93">
        <v>0</v>
      </c>
      <c r="N4798" s="88"/>
      <c r="O4798" s="88"/>
      <c r="P4798" s="88"/>
    </row>
    <row r="4799" spans="1:16">
      <c r="A4799" s="94">
        <v>91185</v>
      </c>
      <c r="B4799" s="87" t="s">
        <v>3949</v>
      </c>
      <c r="C4799" s="12" t="s">
        <v>6</v>
      </c>
      <c r="D4799" s="93">
        <v>5.65</v>
      </c>
      <c r="E4799" s="93">
        <v>3.99</v>
      </c>
      <c r="F4799" s="93">
        <v>1.66</v>
      </c>
      <c r="G4799" s="93">
        <v>0</v>
      </c>
      <c r="H4799" s="93">
        <v>0</v>
      </c>
      <c r="N4799" s="88"/>
      <c r="O4799" s="88"/>
      <c r="P4799" s="88"/>
    </row>
    <row r="4800" spans="1:16">
      <c r="A4800" s="94">
        <v>91186</v>
      </c>
      <c r="B4800" s="87" t="s">
        <v>3950</v>
      </c>
      <c r="C4800" s="12" t="s">
        <v>6</v>
      </c>
      <c r="D4800" s="93">
        <v>4.66</v>
      </c>
      <c r="E4800" s="93">
        <v>3.31</v>
      </c>
      <c r="F4800" s="93">
        <v>1.35</v>
      </c>
      <c r="G4800" s="93">
        <v>0</v>
      </c>
      <c r="H4800" s="93">
        <v>0</v>
      </c>
      <c r="N4800" s="88"/>
      <c r="O4800" s="88"/>
      <c r="P4800" s="88"/>
    </row>
    <row r="4801" spans="1:16">
      <c r="A4801" s="94">
        <v>91187</v>
      </c>
      <c r="B4801" s="87" t="s">
        <v>3951</v>
      </c>
      <c r="C4801" s="12" t="s">
        <v>6</v>
      </c>
      <c r="D4801" s="93">
        <v>5.4</v>
      </c>
      <c r="E4801" s="93">
        <v>3.94</v>
      </c>
      <c r="F4801" s="93">
        <v>1.46</v>
      </c>
      <c r="G4801" s="93">
        <v>0</v>
      </c>
      <c r="H4801" s="93">
        <v>0</v>
      </c>
      <c r="N4801" s="88"/>
      <c r="O4801" s="88"/>
      <c r="P4801" s="88"/>
    </row>
    <row r="4802" spans="1:16">
      <c r="A4802" s="94">
        <v>91188</v>
      </c>
      <c r="B4802" s="87" t="s">
        <v>3952</v>
      </c>
      <c r="C4802" s="12" t="s">
        <v>4</v>
      </c>
      <c r="D4802" s="93">
        <v>5.63</v>
      </c>
      <c r="E4802" s="93">
        <v>3.66</v>
      </c>
      <c r="F4802" s="93">
        <v>1.97</v>
      </c>
      <c r="G4802" s="93">
        <v>0</v>
      </c>
      <c r="H4802" s="93">
        <v>0</v>
      </c>
      <c r="N4802" s="88"/>
      <c r="O4802" s="88"/>
      <c r="P4802" s="88"/>
    </row>
    <row r="4803" spans="1:16">
      <c r="A4803" s="94">
        <v>91189</v>
      </c>
      <c r="B4803" s="87" t="s">
        <v>392</v>
      </c>
      <c r="C4803" s="12" t="s">
        <v>4</v>
      </c>
      <c r="D4803" s="93">
        <v>37.090000000000003</v>
      </c>
      <c r="E4803" s="93">
        <v>16.09</v>
      </c>
      <c r="F4803" s="93">
        <v>21</v>
      </c>
      <c r="G4803" s="93">
        <v>0</v>
      </c>
      <c r="H4803" s="93">
        <v>0</v>
      </c>
      <c r="N4803" s="88"/>
      <c r="O4803" s="88"/>
      <c r="P4803" s="88"/>
    </row>
    <row r="4804" spans="1:16">
      <c r="A4804" s="94">
        <v>91190</v>
      </c>
      <c r="B4804" s="87" t="s">
        <v>393</v>
      </c>
      <c r="C4804" s="12" t="s">
        <v>4</v>
      </c>
      <c r="D4804" s="93">
        <v>4.12</v>
      </c>
      <c r="E4804" s="93">
        <v>3.07</v>
      </c>
      <c r="F4804" s="93">
        <v>1.05</v>
      </c>
      <c r="G4804" s="93">
        <v>0</v>
      </c>
      <c r="H4804" s="93">
        <v>0</v>
      </c>
      <c r="N4804" s="88"/>
      <c r="O4804" s="88"/>
      <c r="P4804" s="88"/>
    </row>
    <row r="4805" spans="1:16">
      <c r="A4805" s="94">
        <v>91191</v>
      </c>
      <c r="B4805" s="87" t="s">
        <v>394</v>
      </c>
      <c r="C4805" s="12" t="s">
        <v>4</v>
      </c>
      <c r="D4805" s="93">
        <v>4.38</v>
      </c>
      <c r="E4805" s="93">
        <v>3.28</v>
      </c>
      <c r="F4805" s="93">
        <v>1.1000000000000001</v>
      </c>
      <c r="G4805" s="93">
        <v>0</v>
      </c>
      <c r="H4805" s="93">
        <v>0</v>
      </c>
      <c r="N4805" s="88"/>
      <c r="O4805" s="88"/>
      <c r="P4805" s="88"/>
    </row>
    <row r="4806" spans="1:16">
      <c r="A4806" s="94">
        <v>91192</v>
      </c>
      <c r="B4806" s="87" t="s">
        <v>395</v>
      </c>
      <c r="C4806" s="12" t="s">
        <v>4</v>
      </c>
      <c r="D4806" s="93">
        <v>4.8499999999999996</v>
      </c>
      <c r="E4806" s="93">
        <v>3.63</v>
      </c>
      <c r="F4806" s="93">
        <v>1.22</v>
      </c>
      <c r="G4806" s="93">
        <v>0</v>
      </c>
      <c r="H4806" s="93">
        <v>0</v>
      </c>
      <c r="N4806" s="88"/>
      <c r="O4806" s="88"/>
      <c r="P4806" s="88"/>
    </row>
    <row r="4807" spans="1:16">
      <c r="A4807" s="94">
        <v>91222</v>
      </c>
      <c r="B4807" s="87" t="s">
        <v>396</v>
      </c>
      <c r="C4807" s="12" t="s">
        <v>6</v>
      </c>
      <c r="D4807" s="93">
        <v>11.47</v>
      </c>
      <c r="E4807" s="93">
        <v>9.1999999999999993</v>
      </c>
      <c r="F4807" s="93">
        <v>2.27</v>
      </c>
      <c r="G4807" s="93">
        <v>0</v>
      </c>
      <c r="H4807" s="93">
        <v>0</v>
      </c>
      <c r="N4807" s="88"/>
      <c r="O4807" s="88"/>
      <c r="P4807" s="88"/>
    </row>
    <row r="4808" spans="1:16">
      <c r="A4808" s="94">
        <v>94480</v>
      </c>
      <c r="B4808" s="87" t="s">
        <v>3953</v>
      </c>
      <c r="C4808" s="12" t="s">
        <v>4</v>
      </c>
      <c r="D4808" s="93">
        <v>1875.1</v>
      </c>
      <c r="E4808" s="93">
        <v>516.63</v>
      </c>
      <c r="F4808" s="93">
        <v>1358.47</v>
      </c>
      <c r="G4808" s="93">
        <v>0</v>
      </c>
      <c r="H4808" s="93">
        <v>0</v>
      </c>
      <c r="N4808" s="88"/>
      <c r="O4808" s="88"/>
      <c r="P4808" s="88"/>
    </row>
    <row r="4809" spans="1:16">
      <c r="A4809" s="94">
        <v>94481</v>
      </c>
      <c r="B4809" s="87" t="s">
        <v>3954</v>
      </c>
      <c r="C4809" s="12" t="s">
        <v>4</v>
      </c>
      <c r="D4809" s="93">
        <v>1343.58</v>
      </c>
      <c r="E4809" s="93">
        <v>459.42</v>
      </c>
      <c r="F4809" s="93">
        <v>884.16</v>
      </c>
      <c r="G4809" s="93">
        <v>0</v>
      </c>
      <c r="H4809" s="93">
        <v>0</v>
      </c>
      <c r="N4809" s="88"/>
      <c r="O4809" s="88"/>
      <c r="P4809" s="88"/>
    </row>
    <row r="4810" spans="1:16">
      <c r="A4810" s="94">
        <v>94482</v>
      </c>
      <c r="B4810" s="87" t="s">
        <v>3955</v>
      </c>
      <c r="C4810" s="12" t="s">
        <v>4</v>
      </c>
      <c r="D4810" s="93">
        <v>1072.17</v>
      </c>
      <c r="E4810" s="93">
        <v>418.3</v>
      </c>
      <c r="F4810" s="93">
        <v>653.87</v>
      </c>
      <c r="G4810" s="93">
        <v>0</v>
      </c>
      <c r="H4810" s="93">
        <v>0</v>
      </c>
      <c r="N4810" s="88"/>
      <c r="O4810" s="88"/>
      <c r="P4810" s="88"/>
    </row>
    <row r="4811" spans="1:16">
      <c r="A4811" s="94">
        <v>94483</v>
      </c>
      <c r="B4811" s="87" t="s">
        <v>3956</v>
      </c>
      <c r="C4811" s="12" t="s">
        <v>4</v>
      </c>
      <c r="D4811" s="93">
        <v>909.24</v>
      </c>
      <c r="E4811" s="93">
        <v>384.47</v>
      </c>
      <c r="F4811" s="93">
        <v>524.77</v>
      </c>
      <c r="G4811" s="93">
        <v>0</v>
      </c>
      <c r="H4811" s="93">
        <v>0</v>
      </c>
      <c r="N4811" s="88"/>
      <c r="O4811" s="88"/>
      <c r="P4811" s="88"/>
    </row>
    <row r="4812" spans="1:16">
      <c r="A4812" s="94">
        <v>95541</v>
      </c>
      <c r="B4812" s="87" t="s">
        <v>3957</v>
      </c>
      <c r="C4812" s="12" t="s">
        <v>4</v>
      </c>
      <c r="D4812" s="93">
        <v>3.79</v>
      </c>
      <c r="E4812" s="93">
        <v>3.09</v>
      </c>
      <c r="F4812" s="93">
        <v>0.7</v>
      </c>
      <c r="G4812" s="93">
        <v>0</v>
      </c>
      <c r="H4812" s="93">
        <v>0</v>
      </c>
      <c r="N4812" s="88"/>
      <c r="O4812" s="88"/>
      <c r="P4812" s="88"/>
    </row>
    <row r="4813" spans="1:16">
      <c r="A4813" s="94">
        <v>96559</v>
      </c>
      <c r="B4813" s="87" t="s">
        <v>3958</v>
      </c>
      <c r="C4813" s="12" t="s">
        <v>9</v>
      </c>
      <c r="D4813" s="93">
        <v>16.78</v>
      </c>
      <c r="E4813" s="93">
        <v>2.91</v>
      </c>
      <c r="F4813" s="93">
        <v>13.87</v>
      </c>
      <c r="G4813" s="93">
        <v>0</v>
      </c>
      <c r="H4813" s="93">
        <v>0</v>
      </c>
      <c r="N4813" s="88"/>
      <c r="O4813" s="88"/>
      <c r="P4813" s="88"/>
    </row>
    <row r="4814" spans="1:16">
      <c r="A4814" s="94">
        <v>96560</v>
      </c>
      <c r="B4814" s="87" t="s">
        <v>3959</v>
      </c>
      <c r="C4814" s="12" t="s">
        <v>9</v>
      </c>
      <c r="D4814" s="93">
        <v>11.7</v>
      </c>
      <c r="E4814" s="93">
        <v>2.88</v>
      </c>
      <c r="F4814" s="93">
        <v>8.82</v>
      </c>
      <c r="G4814" s="93">
        <v>0</v>
      </c>
      <c r="H4814" s="93">
        <v>0</v>
      </c>
      <c r="N4814" s="88"/>
      <c r="O4814" s="88"/>
      <c r="P4814" s="88"/>
    </row>
    <row r="4815" spans="1:16">
      <c r="A4815" s="94">
        <v>96561</v>
      </c>
      <c r="B4815" s="87" t="s">
        <v>3960</v>
      </c>
      <c r="C4815" s="12" t="s">
        <v>9</v>
      </c>
      <c r="D4815" s="93">
        <v>8.3000000000000007</v>
      </c>
      <c r="E4815" s="93">
        <v>1.59</v>
      </c>
      <c r="F4815" s="93">
        <v>6.71</v>
      </c>
      <c r="G4815" s="93">
        <v>0</v>
      </c>
      <c r="H4815" s="93">
        <v>0</v>
      </c>
      <c r="N4815" s="88"/>
      <c r="O4815" s="88"/>
      <c r="P4815" s="88"/>
    </row>
    <row r="4816" spans="1:16">
      <c r="A4816" s="94">
        <v>96562</v>
      </c>
      <c r="B4816" s="87" t="s">
        <v>3961</v>
      </c>
      <c r="C4816" s="12" t="s">
        <v>6</v>
      </c>
      <c r="D4816" s="93">
        <v>11.06</v>
      </c>
      <c r="E4816" s="93">
        <v>3.03</v>
      </c>
      <c r="F4816" s="93">
        <v>8.0299999999999994</v>
      </c>
      <c r="G4816" s="93">
        <v>0</v>
      </c>
      <c r="H4816" s="93">
        <v>0</v>
      </c>
      <c r="N4816" s="88"/>
      <c r="O4816" s="88"/>
      <c r="P4816" s="88"/>
    </row>
    <row r="4817" spans="1:16">
      <c r="A4817" s="94">
        <v>96563</v>
      </c>
      <c r="B4817" s="87" t="s">
        <v>3962</v>
      </c>
      <c r="C4817" s="12" t="s">
        <v>6</v>
      </c>
      <c r="D4817" s="93">
        <v>13.52</v>
      </c>
      <c r="E4817" s="93">
        <v>3.02</v>
      </c>
      <c r="F4817" s="93">
        <v>10.5</v>
      </c>
      <c r="G4817" s="93">
        <v>0</v>
      </c>
      <c r="H4817" s="93">
        <v>0</v>
      </c>
      <c r="N4817" s="88"/>
      <c r="O4817" s="88"/>
      <c r="P4817" s="88"/>
    </row>
    <row r="4818" spans="1:16">
      <c r="A4818" s="95" t="s">
        <v>6810</v>
      </c>
      <c r="B4818" s="87" t="s">
        <v>6811</v>
      </c>
      <c r="C4818" s="12" t="s">
        <v>4</v>
      </c>
      <c r="D4818" s="93">
        <v>573.70000000000005</v>
      </c>
      <c r="E4818" s="93">
        <v>473.35</v>
      </c>
      <c r="F4818" s="93">
        <v>100.05</v>
      </c>
      <c r="G4818" s="93">
        <v>0.3</v>
      </c>
      <c r="H4818" s="93">
        <v>0</v>
      </c>
      <c r="N4818" s="88"/>
      <c r="O4818" s="88"/>
      <c r="P4818" s="88"/>
    </row>
    <row r="4819" spans="1:16">
      <c r="A4819" s="95" t="s">
        <v>6812</v>
      </c>
      <c r="B4819" s="87" t="s">
        <v>6813</v>
      </c>
      <c r="C4819" s="12" t="s">
        <v>4</v>
      </c>
      <c r="D4819" s="93">
        <v>745.81</v>
      </c>
      <c r="E4819" s="93">
        <v>615.38</v>
      </c>
      <c r="F4819" s="93">
        <v>130.05000000000001</v>
      </c>
      <c r="G4819" s="93">
        <v>0.38</v>
      </c>
      <c r="H4819" s="93">
        <v>0</v>
      </c>
      <c r="N4819" s="88"/>
      <c r="O4819" s="88"/>
      <c r="P4819" s="88"/>
    </row>
    <row r="4820" spans="1:16">
      <c r="A4820" s="95" t="s">
        <v>6814</v>
      </c>
      <c r="B4820" s="87" t="s">
        <v>6815</v>
      </c>
      <c r="C4820" s="12" t="s">
        <v>4</v>
      </c>
      <c r="D4820" s="93">
        <v>187.87</v>
      </c>
      <c r="E4820" s="93">
        <v>145.85</v>
      </c>
      <c r="F4820" s="93">
        <v>41.88</v>
      </c>
      <c r="G4820" s="93">
        <v>0.14000000000000001</v>
      </c>
      <c r="H4820" s="93">
        <v>0</v>
      </c>
      <c r="N4820" s="88"/>
      <c r="O4820" s="88"/>
      <c r="P4820" s="88"/>
    </row>
    <row r="4821" spans="1:16">
      <c r="A4821" s="95" t="s">
        <v>6816</v>
      </c>
      <c r="B4821" s="87" t="s">
        <v>6817</v>
      </c>
      <c r="C4821" s="12" t="s">
        <v>4</v>
      </c>
      <c r="D4821" s="93">
        <v>300.60000000000002</v>
      </c>
      <c r="E4821" s="93">
        <v>233.32</v>
      </c>
      <c r="F4821" s="93">
        <v>67.040000000000006</v>
      </c>
      <c r="G4821" s="93">
        <v>0.24</v>
      </c>
      <c r="H4821" s="93">
        <v>0</v>
      </c>
      <c r="N4821" s="88"/>
      <c r="O4821" s="88"/>
      <c r="P4821" s="88"/>
    </row>
    <row r="4822" spans="1:16">
      <c r="A4822" s="95" t="s">
        <v>6818</v>
      </c>
      <c r="B4822" s="87" t="s">
        <v>6819</v>
      </c>
      <c r="C4822" s="12" t="s">
        <v>4</v>
      </c>
      <c r="D4822" s="93">
        <v>601.20000000000005</v>
      </c>
      <c r="E4822" s="93">
        <v>466.64</v>
      </c>
      <c r="F4822" s="93">
        <v>134.08000000000001</v>
      </c>
      <c r="G4822" s="93">
        <v>0.48</v>
      </c>
      <c r="H4822" s="93">
        <v>0</v>
      </c>
      <c r="N4822" s="88"/>
      <c r="O4822" s="88"/>
      <c r="P4822" s="88"/>
    </row>
    <row r="4823" spans="1:16">
      <c r="A4823" s="95" t="s">
        <v>6820</v>
      </c>
      <c r="B4823" s="87" t="s">
        <v>6821</v>
      </c>
      <c r="C4823" s="12" t="s">
        <v>4</v>
      </c>
      <c r="D4823" s="93">
        <v>901.8</v>
      </c>
      <c r="E4823" s="93">
        <v>699.96</v>
      </c>
      <c r="F4823" s="93">
        <v>201.12</v>
      </c>
      <c r="G4823" s="93">
        <v>0.72</v>
      </c>
      <c r="H4823" s="93">
        <v>0</v>
      </c>
      <c r="N4823" s="88"/>
      <c r="O4823" s="88"/>
      <c r="P4823" s="88"/>
    </row>
    <row r="4824" spans="1:16">
      <c r="A4824" s="95" t="s">
        <v>6822</v>
      </c>
      <c r="B4824" s="87" t="s">
        <v>6823</v>
      </c>
      <c r="C4824" s="12" t="s">
        <v>4</v>
      </c>
      <c r="D4824" s="93">
        <v>1235.1199999999999</v>
      </c>
      <c r="E4824" s="93">
        <v>978.76</v>
      </c>
      <c r="F4824" s="93">
        <v>255.62</v>
      </c>
      <c r="G4824" s="93">
        <v>0.74</v>
      </c>
      <c r="H4824" s="93">
        <v>0</v>
      </c>
      <c r="N4824" s="88"/>
      <c r="O4824" s="88"/>
      <c r="P4824" s="88"/>
    </row>
    <row r="4825" spans="1:16">
      <c r="A4825" s="95" t="s">
        <v>6824</v>
      </c>
      <c r="B4825" s="87" t="s">
        <v>6825</v>
      </c>
      <c r="C4825" s="12" t="s">
        <v>4</v>
      </c>
      <c r="D4825" s="93">
        <v>1679.77</v>
      </c>
      <c r="E4825" s="93">
        <v>1331.1</v>
      </c>
      <c r="F4825" s="93">
        <v>347.65</v>
      </c>
      <c r="G4825" s="93">
        <v>1.02</v>
      </c>
      <c r="H4825" s="93">
        <v>0</v>
      </c>
      <c r="N4825" s="88"/>
      <c r="O4825" s="88"/>
      <c r="P4825" s="88"/>
    </row>
    <row r="4826" spans="1:16">
      <c r="A4826" s="95" t="s">
        <v>6826</v>
      </c>
      <c r="B4826" s="87" t="s">
        <v>6827</v>
      </c>
      <c r="C4826" s="12" t="s">
        <v>4</v>
      </c>
      <c r="D4826" s="93">
        <v>1877.39</v>
      </c>
      <c r="E4826" s="93">
        <v>1487.7</v>
      </c>
      <c r="F4826" s="93">
        <v>388.55</v>
      </c>
      <c r="G4826" s="93">
        <v>1.1399999999999999</v>
      </c>
      <c r="H4826" s="93">
        <v>0</v>
      </c>
      <c r="N4826" s="88"/>
      <c r="O4826" s="88"/>
      <c r="P4826" s="88"/>
    </row>
    <row r="4827" spans="1:16">
      <c r="A4827" s="95" t="s">
        <v>6828</v>
      </c>
      <c r="B4827" s="87" t="s">
        <v>6829</v>
      </c>
      <c r="C4827" s="12" t="s">
        <v>4</v>
      </c>
      <c r="D4827" s="93">
        <v>494.05</v>
      </c>
      <c r="E4827" s="93">
        <v>391.5</v>
      </c>
      <c r="F4827" s="93">
        <v>102.25</v>
      </c>
      <c r="G4827" s="93">
        <v>0.3</v>
      </c>
      <c r="H4827" s="93">
        <v>0</v>
      </c>
      <c r="N4827" s="88"/>
      <c r="O4827" s="88"/>
      <c r="P4827" s="88"/>
    </row>
    <row r="4828" spans="1:16">
      <c r="A4828" s="95" t="s">
        <v>6830</v>
      </c>
      <c r="B4828" s="87" t="s">
        <v>6831</v>
      </c>
      <c r="C4828" s="12" t="s">
        <v>4</v>
      </c>
      <c r="D4828" s="93">
        <v>642.26</v>
      </c>
      <c r="E4828" s="93">
        <v>508.96</v>
      </c>
      <c r="F4828" s="93">
        <v>132.91999999999999</v>
      </c>
      <c r="G4828" s="93">
        <v>0.38</v>
      </c>
      <c r="H4828" s="93">
        <v>0</v>
      </c>
      <c r="N4828" s="88"/>
      <c r="O4828" s="88"/>
      <c r="P4828" s="88"/>
    </row>
    <row r="4829" spans="1:16">
      <c r="A4829" s="95" t="s">
        <v>6832</v>
      </c>
      <c r="B4829" s="87" t="s">
        <v>6833</v>
      </c>
      <c r="C4829" s="12" t="s">
        <v>4</v>
      </c>
      <c r="D4829" s="93">
        <v>988.1</v>
      </c>
      <c r="E4829" s="93">
        <v>783</v>
      </c>
      <c r="F4829" s="93">
        <v>204.5</v>
      </c>
      <c r="G4829" s="93">
        <v>0.6</v>
      </c>
      <c r="H4829" s="93">
        <v>0</v>
      </c>
      <c r="N4829" s="88"/>
      <c r="O4829" s="88"/>
      <c r="P4829" s="88"/>
    </row>
    <row r="4830" spans="1:16">
      <c r="A4830" s="95" t="s">
        <v>6834</v>
      </c>
      <c r="B4830" s="87" t="s">
        <v>6835</v>
      </c>
      <c r="C4830" s="12" t="s">
        <v>4</v>
      </c>
      <c r="D4830" s="93">
        <v>1580.96</v>
      </c>
      <c r="E4830" s="93">
        <v>1252.8</v>
      </c>
      <c r="F4830" s="93">
        <v>327.2</v>
      </c>
      <c r="G4830" s="93">
        <v>0.96</v>
      </c>
      <c r="H4830" s="93">
        <v>0</v>
      </c>
      <c r="N4830" s="88"/>
      <c r="O4830" s="88"/>
      <c r="P4830" s="88"/>
    </row>
    <row r="4831" spans="1:16">
      <c r="A4831" s="95" t="s">
        <v>6836</v>
      </c>
      <c r="B4831" s="87" t="s">
        <v>6837</v>
      </c>
      <c r="C4831" s="12" t="s">
        <v>4</v>
      </c>
      <c r="D4831" s="93">
        <v>187.87</v>
      </c>
      <c r="E4831" s="93">
        <v>145.85</v>
      </c>
      <c r="F4831" s="93">
        <v>41.88</v>
      </c>
      <c r="G4831" s="93">
        <v>0.14000000000000001</v>
      </c>
      <c r="H4831" s="93">
        <v>0</v>
      </c>
      <c r="N4831" s="88"/>
      <c r="O4831" s="88"/>
      <c r="P4831" s="88"/>
    </row>
    <row r="4832" spans="1:16">
      <c r="A4832" s="95" t="s">
        <v>6838</v>
      </c>
      <c r="B4832" s="87" t="s">
        <v>6839</v>
      </c>
      <c r="C4832" s="12" t="s">
        <v>4</v>
      </c>
      <c r="D4832" s="93">
        <v>375.75</v>
      </c>
      <c r="E4832" s="93">
        <v>291.64999999999998</v>
      </c>
      <c r="F4832" s="93">
        <v>83.8</v>
      </c>
      <c r="G4832" s="93">
        <v>0.3</v>
      </c>
      <c r="H4832" s="93">
        <v>0</v>
      </c>
      <c r="N4832" s="88"/>
      <c r="O4832" s="88"/>
      <c r="P4832" s="88"/>
    </row>
    <row r="4833" spans="1:16">
      <c r="A4833" s="95" t="s">
        <v>6840</v>
      </c>
      <c r="B4833" s="87" t="s">
        <v>6841</v>
      </c>
      <c r="C4833" s="12" t="s">
        <v>4</v>
      </c>
      <c r="D4833" s="93">
        <v>751.5</v>
      </c>
      <c r="E4833" s="93">
        <v>583.29999999999995</v>
      </c>
      <c r="F4833" s="93">
        <v>167.6</v>
      </c>
      <c r="G4833" s="93">
        <v>0.6</v>
      </c>
      <c r="H4833" s="93">
        <v>0</v>
      </c>
      <c r="N4833" s="88"/>
      <c r="O4833" s="88"/>
      <c r="P4833" s="88"/>
    </row>
    <row r="4834" spans="1:16">
      <c r="A4834" s="94">
        <v>93350</v>
      </c>
      <c r="B4834" s="87" t="s">
        <v>3963</v>
      </c>
      <c r="C4834" s="12" t="s">
        <v>4</v>
      </c>
      <c r="D4834" s="93">
        <v>887.48</v>
      </c>
      <c r="E4834" s="93">
        <v>357</v>
      </c>
      <c r="F4834" s="93">
        <v>527.24</v>
      </c>
      <c r="G4834" s="93">
        <v>3.24</v>
      </c>
      <c r="H4834" s="93">
        <v>0</v>
      </c>
      <c r="N4834" s="88"/>
      <c r="O4834" s="88"/>
      <c r="P4834" s="88"/>
    </row>
    <row r="4835" spans="1:16">
      <c r="A4835" s="94">
        <v>93351</v>
      </c>
      <c r="B4835" s="87" t="s">
        <v>3964</v>
      </c>
      <c r="C4835" s="12" t="s">
        <v>4</v>
      </c>
      <c r="D4835" s="93">
        <v>724.97</v>
      </c>
      <c r="E4835" s="93">
        <v>286.7</v>
      </c>
      <c r="F4835" s="93">
        <v>435.74</v>
      </c>
      <c r="G4835" s="93">
        <v>2.5299999999999998</v>
      </c>
      <c r="H4835" s="93">
        <v>0</v>
      </c>
      <c r="N4835" s="88"/>
      <c r="O4835" s="88"/>
      <c r="P4835" s="88"/>
    </row>
    <row r="4836" spans="1:16">
      <c r="A4836" s="94">
        <v>93352</v>
      </c>
      <c r="B4836" s="87" t="s">
        <v>3965</v>
      </c>
      <c r="C4836" s="12" t="s">
        <v>4</v>
      </c>
      <c r="D4836" s="93">
        <v>563.29999999999995</v>
      </c>
      <c r="E4836" s="93">
        <v>217.98</v>
      </c>
      <c r="F4836" s="93">
        <v>343.45</v>
      </c>
      <c r="G4836" s="93">
        <v>1.87</v>
      </c>
      <c r="H4836" s="93">
        <v>0</v>
      </c>
      <c r="N4836" s="88"/>
      <c r="O4836" s="88"/>
      <c r="P4836" s="88"/>
    </row>
    <row r="4837" spans="1:16">
      <c r="A4837" s="94">
        <v>93353</v>
      </c>
      <c r="B4837" s="87" t="s">
        <v>3966</v>
      </c>
      <c r="C4837" s="12" t="s">
        <v>4</v>
      </c>
      <c r="D4837" s="93">
        <v>405.27</v>
      </c>
      <c r="E4837" s="93">
        <v>150.86000000000001</v>
      </c>
      <c r="F4837" s="93">
        <v>253.21</v>
      </c>
      <c r="G4837" s="93">
        <v>1.2</v>
      </c>
      <c r="H4837" s="93">
        <v>0</v>
      </c>
      <c r="N4837" s="88"/>
      <c r="O4837" s="88"/>
      <c r="P4837" s="88"/>
    </row>
    <row r="4838" spans="1:16">
      <c r="A4838" s="94">
        <v>93354</v>
      </c>
      <c r="B4838" s="87" t="s">
        <v>3967</v>
      </c>
      <c r="C4838" s="12" t="s">
        <v>4</v>
      </c>
      <c r="D4838" s="93">
        <v>627.36</v>
      </c>
      <c r="E4838" s="93">
        <v>152.31</v>
      </c>
      <c r="F4838" s="93">
        <v>447.65</v>
      </c>
      <c r="G4838" s="93">
        <v>27.4</v>
      </c>
      <c r="H4838" s="93">
        <v>0</v>
      </c>
      <c r="N4838" s="88"/>
      <c r="O4838" s="88"/>
      <c r="P4838" s="88"/>
    </row>
    <row r="4839" spans="1:16">
      <c r="A4839" s="94">
        <v>93355</v>
      </c>
      <c r="B4839" s="87" t="s">
        <v>3968</v>
      </c>
      <c r="C4839" s="12" t="s">
        <v>4</v>
      </c>
      <c r="D4839" s="93">
        <v>519.95000000000005</v>
      </c>
      <c r="E4839" s="93">
        <v>125.32</v>
      </c>
      <c r="F4839" s="93">
        <v>372.99</v>
      </c>
      <c r="G4839" s="93">
        <v>21.64</v>
      </c>
      <c r="H4839" s="93">
        <v>0</v>
      </c>
      <c r="N4839" s="88"/>
      <c r="O4839" s="88"/>
      <c r="P4839" s="88"/>
    </row>
    <row r="4840" spans="1:16">
      <c r="A4840" s="94">
        <v>93356</v>
      </c>
      <c r="B4840" s="87" t="s">
        <v>3969</v>
      </c>
      <c r="C4840" s="12" t="s">
        <v>4</v>
      </c>
      <c r="D4840" s="93">
        <v>411.85</v>
      </c>
      <c r="E4840" s="93">
        <v>98.74</v>
      </c>
      <c r="F4840" s="93">
        <v>297.08999999999997</v>
      </c>
      <c r="G4840" s="93">
        <v>16.02</v>
      </c>
      <c r="H4840" s="93">
        <v>0</v>
      </c>
      <c r="N4840" s="88"/>
      <c r="O4840" s="88"/>
      <c r="P4840" s="88"/>
    </row>
    <row r="4841" spans="1:16">
      <c r="A4841" s="94">
        <v>93357</v>
      </c>
      <c r="B4841" s="87" t="s">
        <v>3970</v>
      </c>
      <c r="C4841" s="12" t="s">
        <v>4</v>
      </c>
      <c r="D4841" s="93">
        <v>305.85000000000002</v>
      </c>
      <c r="E4841" s="93">
        <v>72.52</v>
      </c>
      <c r="F4841" s="93">
        <v>222.83</v>
      </c>
      <c r="G4841" s="93">
        <v>10.5</v>
      </c>
      <c r="H4841" s="93">
        <v>0</v>
      </c>
      <c r="N4841" s="88"/>
      <c r="O4841" s="88"/>
      <c r="P4841" s="88"/>
    </row>
    <row r="4842" spans="1:16">
      <c r="A4842" s="94">
        <v>96520</v>
      </c>
      <c r="B4842" s="87" t="s">
        <v>3971</v>
      </c>
      <c r="C4842" s="12" t="s">
        <v>5</v>
      </c>
      <c r="D4842" s="93">
        <v>75.64</v>
      </c>
      <c r="E4842" s="93">
        <v>43.28</v>
      </c>
      <c r="F4842" s="93">
        <v>20.32</v>
      </c>
      <c r="G4842" s="93">
        <v>12.04</v>
      </c>
      <c r="H4842" s="93">
        <v>0</v>
      </c>
      <c r="N4842" s="88"/>
      <c r="O4842" s="88"/>
      <c r="P4842" s="88"/>
    </row>
    <row r="4843" spans="1:16">
      <c r="A4843" s="94">
        <v>96521</v>
      </c>
      <c r="B4843" s="87" t="s">
        <v>3972</v>
      </c>
      <c r="C4843" s="12" t="s">
        <v>5</v>
      </c>
      <c r="D4843" s="93">
        <v>32.159999999999997</v>
      </c>
      <c r="E4843" s="93">
        <v>14</v>
      </c>
      <c r="F4843" s="93">
        <v>9.31</v>
      </c>
      <c r="G4843" s="93">
        <v>8.85</v>
      </c>
      <c r="H4843" s="93">
        <v>0</v>
      </c>
      <c r="N4843" s="88"/>
      <c r="O4843" s="88"/>
      <c r="P4843" s="88"/>
    </row>
    <row r="4844" spans="1:16">
      <c r="A4844" s="94">
        <v>96522</v>
      </c>
      <c r="B4844" s="87" t="s">
        <v>3973</v>
      </c>
      <c r="C4844" s="12" t="s">
        <v>5</v>
      </c>
      <c r="D4844" s="93">
        <v>113.89</v>
      </c>
      <c r="E4844" s="93">
        <v>84.59</v>
      </c>
      <c r="F4844" s="93">
        <v>29.3</v>
      </c>
      <c r="G4844" s="93">
        <v>0</v>
      </c>
      <c r="H4844" s="93">
        <v>0</v>
      </c>
      <c r="N4844" s="88"/>
      <c r="O4844" s="88"/>
      <c r="P4844" s="88"/>
    </row>
    <row r="4845" spans="1:16">
      <c r="A4845" s="94">
        <v>96523</v>
      </c>
      <c r="B4845" s="87" t="s">
        <v>3974</v>
      </c>
      <c r="C4845" s="12" t="s">
        <v>5</v>
      </c>
      <c r="D4845" s="93">
        <v>71.930000000000007</v>
      </c>
      <c r="E4845" s="93">
        <v>52.88</v>
      </c>
      <c r="F4845" s="93">
        <v>19.05</v>
      </c>
      <c r="G4845" s="93">
        <v>0</v>
      </c>
      <c r="H4845" s="93">
        <v>0</v>
      </c>
      <c r="N4845" s="88"/>
      <c r="O4845" s="88"/>
      <c r="P4845" s="88"/>
    </row>
    <row r="4846" spans="1:16">
      <c r="A4846" s="94">
        <v>96524</v>
      </c>
      <c r="B4846" s="87" t="s">
        <v>3975</v>
      </c>
      <c r="C4846" s="12" t="s">
        <v>5</v>
      </c>
      <c r="D4846" s="93">
        <v>143.27000000000001</v>
      </c>
      <c r="E4846" s="93">
        <v>95.96</v>
      </c>
      <c r="F4846" s="93">
        <v>31.13</v>
      </c>
      <c r="G4846" s="93">
        <v>16.18</v>
      </c>
      <c r="H4846" s="93">
        <v>0</v>
      </c>
      <c r="N4846" s="88"/>
      <c r="O4846" s="88"/>
      <c r="P4846" s="88"/>
    </row>
    <row r="4847" spans="1:16">
      <c r="A4847" s="94">
        <v>96525</v>
      </c>
      <c r="B4847" s="87" t="s">
        <v>3976</v>
      </c>
      <c r="C4847" s="12" t="s">
        <v>5</v>
      </c>
      <c r="D4847" s="93">
        <v>32.950000000000003</v>
      </c>
      <c r="E4847" s="93">
        <v>14.92</v>
      </c>
      <c r="F4847" s="93">
        <v>5.41</v>
      </c>
      <c r="G4847" s="93">
        <v>12.62</v>
      </c>
      <c r="H4847" s="93">
        <v>0</v>
      </c>
      <c r="N4847" s="88"/>
      <c r="O4847" s="88"/>
      <c r="P4847" s="88"/>
    </row>
    <row r="4848" spans="1:16">
      <c r="A4848" s="94">
        <v>96526</v>
      </c>
      <c r="B4848" s="87" t="s">
        <v>3977</v>
      </c>
      <c r="C4848" s="12" t="s">
        <v>5</v>
      </c>
      <c r="D4848" s="93">
        <v>230.79</v>
      </c>
      <c r="E4848" s="93">
        <v>171.95</v>
      </c>
      <c r="F4848" s="93">
        <v>58.84</v>
      </c>
      <c r="G4848" s="93">
        <v>0</v>
      </c>
      <c r="H4848" s="93">
        <v>0</v>
      </c>
      <c r="N4848" s="88"/>
      <c r="O4848" s="88"/>
      <c r="P4848" s="88"/>
    </row>
    <row r="4849" spans="1:16">
      <c r="A4849" s="94">
        <v>96527</v>
      </c>
      <c r="B4849" s="87" t="s">
        <v>3978</v>
      </c>
      <c r="C4849" s="12" t="s">
        <v>5</v>
      </c>
      <c r="D4849" s="93">
        <v>94.18</v>
      </c>
      <c r="E4849" s="93">
        <v>69.05</v>
      </c>
      <c r="F4849" s="93">
        <v>25.13</v>
      </c>
      <c r="G4849" s="93">
        <v>0</v>
      </c>
      <c r="H4849" s="93">
        <v>0</v>
      </c>
      <c r="N4849" s="88"/>
      <c r="O4849" s="88"/>
      <c r="P4849" s="88"/>
    </row>
    <row r="4850" spans="1:16">
      <c r="A4850" s="94">
        <v>96528</v>
      </c>
      <c r="B4850" s="87" t="s">
        <v>3979</v>
      </c>
      <c r="C4850" s="12" t="s">
        <v>9</v>
      </c>
      <c r="D4850" s="93">
        <v>122.74</v>
      </c>
      <c r="E4850" s="93">
        <v>43.18</v>
      </c>
      <c r="F4850" s="93">
        <v>79.39</v>
      </c>
      <c r="G4850" s="93">
        <v>0</v>
      </c>
      <c r="H4850" s="93">
        <v>0</v>
      </c>
      <c r="N4850" s="88"/>
      <c r="O4850" s="88"/>
      <c r="P4850" s="88"/>
    </row>
    <row r="4851" spans="1:16">
      <c r="A4851" s="94">
        <v>101114</v>
      </c>
      <c r="B4851" s="87" t="s">
        <v>3980</v>
      </c>
      <c r="C4851" s="12" t="s">
        <v>5</v>
      </c>
      <c r="D4851" s="93">
        <v>2.86</v>
      </c>
      <c r="E4851" s="93">
        <v>1.05</v>
      </c>
      <c r="F4851" s="93">
        <v>0.63</v>
      </c>
      <c r="G4851" s="93">
        <v>1.18</v>
      </c>
      <c r="H4851" s="93">
        <v>0</v>
      </c>
      <c r="N4851" s="88"/>
      <c r="O4851" s="88"/>
      <c r="P4851" s="88"/>
    </row>
    <row r="4852" spans="1:16">
      <c r="A4852" s="94">
        <v>101115</v>
      </c>
      <c r="B4852" s="87" t="s">
        <v>3981</v>
      </c>
      <c r="C4852" s="12" t="s">
        <v>5</v>
      </c>
      <c r="D4852" s="93">
        <v>2.34</v>
      </c>
      <c r="E4852" s="93">
        <v>0.73</v>
      </c>
      <c r="F4852" s="93">
        <v>0.56000000000000005</v>
      </c>
      <c r="G4852" s="93">
        <v>1.05</v>
      </c>
      <c r="H4852" s="93">
        <v>0</v>
      </c>
      <c r="N4852" s="88"/>
      <c r="O4852" s="88"/>
      <c r="P4852" s="88"/>
    </row>
    <row r="4853" spans="1:16">
      <c r="A4853" s="94">
        <v>101116</v>
      </c>
      <c r="B4853" s="87" t="s">
        <v>3982</v>
      </c>
      <c r="C4853" s="12" t="s">
        <v>5</v>
      </c>
      <c r="D4853" s="93">
        <v>1.45</v>
      </c>
      <c r="E4853" s="93">
        <v>0.44</v>
      </c>
      <c r="F4853" s="93">
        <v>0.37</v>
      </c>
      <c r="G4853" s="93">
        <v>0.64</v>
      </c>
      <c r="H4853" s="93">
        <v>0</v>
      </c>
      <c r="N4853" s="88"/>
      <c r="O4853" s="88"/>
      <c r="P4853" s="88"/>
    </row>
    <row r="4854" spans="1:16">
      <c r="A4854" s="94">
        <v>101117</v>
      </c>
      <c r="B4854" s="87" t="s">
        <v>3983</v>
      </c>
      <c r="C4854" s="12" t="s">
        <v>5</v>
      </c>
      <c r="D4854" s="93">
        <v>1.91</v>
      </c>
      <c r="E4854" s="93">
        <v>0.25</v>
      </c>
      <c r="F4854" s="93">
        <v>0.39</v>
      </c>
      <c r="G4854" s="93">
        <v>1.27</v>
      </c>
      <c r="H4854" s="93">
        <v>0</v>
      </c>
      <c r="N4854" s="88"/>
      <c r="O4854" s="88"/>
      <c r="P4854" s="88"/>
    </row>
    <row r="4855" spans="1:16">
      <c r="A4855" s="94">
        <v>101118</v>
      </c>
      <c r="B4855" s="87" t="s">
        <v>3984</v>
      </c>
      <c r="C4855" s="12" t="s">
        <v>5</v>
      </c>
      <c r="D4855" s="93">
        <v>2.44</v>
      </c>
      <c r="E4855" s="93">
        <v>0.86</v>
      </c>
      <c r="F4855" s="93">
        <v>1.58</v>
      </c>
      <c r="G4855" s="93">
        <v>0</v>
      </c>
      <c r="H4855" s="93">
        <v>0</v>
      </c>
      <c r="N4855" s="88"/>
      <c r="O4855" s="88"/>
      <c r="P4855" s="88"/>
    </row>
    <row r="4856" spans="1:16">
      <c r="A4856" s="94">
        <v>101119</v>
      </c>
      <c r="B4856" s="87" t="s">
        <v>3985</v>
      </c>
      <c r="C4856" s="12" t="s">
        <v>5</v>
      </c>
      <c r="D4856" s="93">
        <v>5.46</v>
      </c>
      <c r="E4856" s="93">
        <v>2</v>
      </c>
      <c r="F4856" s="93">
        <v>1.24</v>
      </c>
      <c r="G4856" s="93">
        <v>2.2200000000000002</v>
      </c>
      <c r="H4856" s="93">
        <v>0</v>
      </c>
      <c r="N4856" s="88"/>
      <c r="O4856" s="88"/>
      <c r="P4856" s="88"/>
    </row>
    <row r="4857" spans="1:16">
      <c r="A4857" s="94">
        <v>101120</v>
      </c>
      <c r="B4857" s="87" t="s">
        <v>3986</v>
      </c>
      <c r="C4857" s="12" t="s">
        <v>5</v>
      </c>
      <c r="D4857" s="93">
        <v>4.4800000000000004</v>
      </c>
      <c r="E4857" s="93">
        <v>1.38</v>
      </c>
      <c r="F4857" s="93">
        <v>1.1200000000000001</v>
      </c>
      <c r="G4857" s="93">
        <v>1.98</v>
      </c>
      <c r="H4857" s="93">
        <v>0</v>
      </c>
      <c r="N4857" s="88"/>
      <c r="O4857" s="88"/>
      <c r="P4857" s="88"/>
    </row>
    <row r="4858" spans="1:16">
      <c r="A4858" s="94">
        <v>101121</v>
      </c>
      <c r="B4858" s="87" t="s">
        <v>3987</v>
      </c>
      <c r="C4858" s="12" t="s">
        <v>5</v>
      </c>
      <c r="D4858" s="93">
        <v>2.79</v>
      </c>
      <c r="E4858" s="93">
        <v>0.85</v>
      </c>
      <c r="F4858" s="93">
        <v>0.73</v>
      </c>
      <c r="G4858" s="93">
        <v>1.21</v>
      </c>
      <c r="H4858" s="93">
        <v>0</v>
      </c>
      <c r="N4858" s="88"/>
      <c r="O4858" s="88"/>
      <c r="P4858" s="88"/>
    </row>
    <row r="4859" spans="1:16">
      <c r="A4859" s="94">
        <v>101122</v>
      </c>
      <c r="B4859" s="87" t="s">
        <v>3988</v>
      </c>
      <c r="C4859" s="12" t="s">
        <v>5</v>
      </c>
      <c r="D4859" s="93">
        <v>3.64</v>
      </c>
      <c r="E4859" s="93">
        <v>0.49</v>
      </c>
      <c r="F4859" s="93">
        <v>0.77</v>
      </c>
      <c r="G4859" s="93">
        <v>2.38</v>
      </c>
      <c r="H4859" s="93">
        <v>0</v>
      </c>
      <c r="N4859" s="88"/>
      <c r="O4859" s="88"/>
      <c r="P4859" s="88"/>
    </row>
    <row r="4860" spans="1:16">
      <c r="A4860" s="94">
        <v>101123</v>
      </c>
      <c r="B4860" s="87" t="s">
        <v>3989</v>
      </c>
      <c r="C4860" s="12" t="s">
        <v>5</v>
      </c>
      <c r="D4860" s="93">
        <v>4.66</v>
      </c>
      <c r="E4860" s="93">
        <v>1.64</v>
      </c>
      <c r="F4860" s="93">
        <v>3.02</v>
      </c>
      <c r="G4860" s="93">
        <v>0</v>
      </c>
      <c r="H4860" s="93">
        <v>0</v>
      </c>
      <c r="N4860" s="88"/>
      <c r="O4860" s="88"/>
      <c r="P4860" s="88"/>
    </row>
    <row r="4861" spans="1:16">
      <c r="A4861" s="94">
        <v>101124</v>
      </c>
      <c r="B4861" s="87" t="s">
        <v>3990</v>
      </c>
      <c r="C4861" s="12" t="s">
        <v>5</v>
      </c>
      <c r="D4861" s="93">
        <v>9.42</v>
      </c>
      <c r="E4861" s="93">
        <v>2.54</v>
      </c>
      <c r="F4861" s="93">
        <v>3.42</v>
      </c>
      <c r="G4861" s="93">
        <v>3.46</v>
      </c>
      <c r="H4861" s="93">
        <v>0</v>
      </c>
      <c r="N4861" s="88"/>
      <c r="O4861" s="88"/>
      <c r="P4861" s="88"/>
    </row>
    <row r="4862" spans="1:16">
      <c r="A4862" s="94">
        <v>101125</v>
      </c>
      <c r="B4862" s="87" t="s">
        <v>3991</v>
      </c>
      <c r="C4862" s="12" t="s">
        <v>5</v>
      </c>
      <c r="D4862" s="93">
        <v>8.9</v>
      </c>
      <c r="E4862" s="93">
        <v>2.21</v>
      </c>
      <c r="F4862" s="93">
        <v>3.38</v>
      </c>
      <c r="G4862" s="93">
        <v>3.31</v>
      </c>
      <c r="H4862" s="93">
        <v>0</v>
      </c>
      <c r="N4862" s="88"/>
      <c r="O4862" s="88"/>
      <c r="P4862" s="88"/>
    </row>
    <row r="4863" spans="1:16">
      <c r="A4863" s="94">
        <v>101126</v>
      </c>
      <c r="B4863" s="87" t="s">
        <v>3992</v>
      </c>
      <c r="C4863" s="12" t="s">
        <v>5</v>
      </c>
      <c r="D4863" s="93">
        <v>8.01</v>
      </c>
      <c r="E4863" s="93">
        <v>1.92</v>
      </c>
      <c r="F4863" s="93">
        <v>3.19</v>
      </c>
      <c r="G4863" s="93">
        <v>2.9</v>
      </c>
      <c r="H4863" s="93">
        <v>0</v>
      </c>
      <c r="N4863" s="88"/>
      <c r="O4863" s="88"/>
      <c r="P4863" s="88"/>
    </row>
    <row r="4864" spans="1:16">
      <c r="A4864" s="94">
        <v>101127</v>
      </c>
      <c r="B4864" s="87" t="s">
        <v>3993</v>
      </c>
      <c r="C4864" s="12" t="s">
        <v>5</v>
      </c>
      <c r="D4864" s="93">
        <v>8.4700000000000006</v>
      </c>
      <c r="E4864" s="93">
        <v>1.73</v>
      </c>
      <c r="F4864" s="93">
        <v>3.19</v>
      </c>
      <c r="G4864" s="93">
        <v>3.55</v>
      </c>
      <c r="H4864" s="93">
        <v>0</v>
      </c>
      <c r="N4864" s="88"/>
      <c r="O4864" s="88"/>
      <c r="P4864" s="88"/>
    </row>
    <row r="4865" spans="1:16">
      <c r="A4865" s="94">
        <v>101128</v>
      </c>
      <c r="B4865" s="87" t="s">
        <v>3994</v>
      </c>
      <c r="C4865" s="12" t="s">
        <v>5</v>
      </c>
      <c r="D4865" s="93">
        <v>9</v>
      </c>
      <c r="E4865" s="93">
        <v>2.34</v>
      </c>
      <c r="F4865" s="93">
        <v>4.4000000000000004</v>
      </c>
      <c r="G4865" s="93">
        <v>2.2599999999999998</v>
      </c>
      <c r="H4865" s="93">
        <v>0</v>
      </c>
      <c r="N4865" s="88"/>
      <c r="O4865" s="88"/>
      <c r="P4865" s="88"/>
    </row>
    <row r="4866" spans="1:16">
      <c r="A4866" s="94">
        <v>101129</v>
      </c>
      <c r="B4866" s="87" t="s">
        <v>3995</v>
      </c>
      <c r="C4866" s="12" t="s">
        <v>5</v>
      </c>
      <c r="D4866" s="93">
        <v>12.28</v>
      </c>
      <c r="E4866" s="93">
        <v>3.56</v>
      </c>
      <c r="F4866" s="93">
        <v>4.13</v>
      </c>
      <c r="G4866" s="93">
        <v>4.59</v>
      </c>
      <c r="H4866" s="93">
        <v>0</v>
      </c>
      <c r="N4866" s="88"/>
      <c r="O4866" s="88"/>
      <c r="P4866" s="88"/>
    </row>
    <row r="4867" spans="1:16">
      <c r="A4867" s="94">
        <v>101130</v>
      </c>
      <c r="B4867" s="87" t="s">
        <v>3996</v>
      </c>
      <c r="C4867" s="12" t="s">
        <v>5</v>
      </c>
      <c r="D4867" s="93">
        <v>11.3</v>
      </c>
      <c r="E4867" s="93">
        <v>2.93</v>
      </c>
      <c r="F4867" s="93">
        <v>4.0199999999999996</v>
      </c>
      <c r="G4867" s="93">
        <v>4.3499999999999996</v>
      </c>
      <c r="H4867" s="93">
        <v>0</v>
      </c>
      <c r="N4867" s="88"/>
      <c r="O4867" s="88"/>
      <c r="P4867" s="88"/>
    </row>
    <row r="4868" spans="1:16">
      <c r="A4868" s="94">
        <v>101131</v>
      </c>
      <c r="B4868" s="87" t="s">
        <v>3997</v>
      </c>
      <c r="C4868" s="12" t="s">
        <v>5</v>
      </c>
      <c r="D4868" s="93">
        <v>9.61</v>
      </c>
      <c r="E4868" s="93">
        <v>2.4</v>
      </c>
      <c r="F4868" s="93">
        <v>3.64</v>
      </c>
      <c r="G4868" s="93">
        <v>3.57</v>
      </c>
      <c r="H4868" s="93">
        <v>0</v>
      </c>
      <c r="N4868" s="88"/>
      <c r="O4868" s="88"/>
      <c r="P4868" s="88"/>
    </row>
    <row r="4869" spans="1:16">
      <c r="A4869" s="94">
        <v>101132</v>
      </c>
      <c r="B4869" s="87" t="s">
        <v>3998</v>
      </c>
      <c r="C4869" s="12" t="s">
        <v>5</v>
      </c>
      <c r="D4869" s="93">
        <v>10.46</v>
      </c>
      <c r="E4869" s="93">
        <v>2.0299999999999998</v>
      </c>
      <c r="F4869" s="93">
        <v>3.66</v>
      </c>
      <c r="G4869" s="93">
        <v>4.7699999999999996</v>
      </c>
      <c r="H4869" s="93">
        <v>0</v>
      </c>
      <c r="N4869" s="88"/>
      <c r="O4869" s="88"/>
      <c r="P4869" s="88"/>
    </row>
    <row r="4870" spans="1:16">
      <c r="A4870" s="94">
        <v>101133</v>
      </c>
      <c r="B4870" s="87" t="s">
        <v>3999</v>
      </c>
      <c r="C4870" s="12" t="s">
        <v>5</v>
      </c>
      <c r="D4870" s="93">
        <v>11.48</v>
      </c>
      <c r="E4870" s="93">
        <v>3.19</v>
      </c>
      <c r="F4870" s="93">
        <v>5.95</v>
      </c>
      <c r="G4870" s="93">
        <v>2.34</v>
      </c>
      <c r="H4870" s="93">
        <v>0</v>
      </c>
      <c r="N4870" s="88"/>
      <c r="O4870" s="88"/>
      <c r="P4870" s="88"/>
    </row>
    <row r="4871" spans="1:16">
      <c r="A4871" s="94">
        <v>101134</v>
      </c>
      <c r="B4871" s="87" t="s">
        <v>4000</v>
      </c>
      <c r="C4871" s="12" t="s">
        <v>5</v>
      </c>
      <c r="D4871" s="93">
        <v>9.81</v>
      </c>
      <c r="E4871" s="93">
        <v>2.62</v>
      </c>
      <c r="F4871" s="93">
        <v>3.64</v>
      </c>
      <c r="G4871" s="93">
        <v>3.55</v>
      </c>
      <c r="H4871" s="93">
        <v>0</v>
      </c>
      <c r="N4871" s="88"/>
      <c r="O4871" s="88"/>
      <c r="P4871" s="88"/>
    </row>
    <row r="4872" spans="1:16">
      <c r="A4872" s="94">
        <v>101135</v>
      </c>
      <c r="B4872" s="87" t="s">
        <v>4001</v>
      </c>
      <c r="C4872" s="12" t="s">
        <v>5</v>
      </c>
      <c r="D4872" s="93">
        <v>9.2899999999999991</v>
      </c>
      <c r="E4872" s="93">
        <v>2.29</v>
      </c>
      <c r="F4872" s="93">
        <v>3.59</v>
      </c>
      <c r="G4872" s="93">
        <v>3.41</v>
      </c>
      <c r="H4872" s="93">
        <v>0</v>
      </c>
      <c r="N4872" s="88"/>
      <c r="O4872" s="88"/>
      <c r="P4872" s="88"/>
    </row>
    <row r="4873" spans="1:16">
      <c r="A4873" s="94">
        <v>101136</v>
      </c>
      <c r="B4873" s="87" t="s">
        <v>4002</v>
      </c>
      <c r="C4873" s="12" t="s">
        <v>5</v>
      </c>
      <c r="D4873" s="93">
        <v>8.4</v>
      </c>
      <c r="E4873" s="93">
        <v>2</v>
      </c>
      <c r="F4873" s="93">
        <v>3.4</v>
      </c>
      <c r="G4873" s="93">
        <v>3</v>
      </c>
      <c r="H4873" s="93">
        <v>0</v>
      </c>
      <c r="N4873" s="88"/>
      <c r="O4873" s="88"/>
      <c r="P4873" s="88"/>
    </row>
    <row r="4874" spans="1:16">
      <c r="A4874" s="94">
        <v>101137</v>
      </c>
      <c r="B4874" s="87" t="s">
        <v>4003</v>
      </c>
      <c r="C4874" s="12" t="s">
        <v>5</v>
      </c>
      <c r="D4874" s="93">
        <v>8.86</v>
      </c>
      <c r="E4874" s="93">
        <v>1.81</v>
      </c>
      <c r="F4874" s="93">
        <v>3.4</v>
      </c>
      <c r="G4874" s="93">
        <v>3.65</v>
      </c>
      <c r="H4874" s="93">
        <v>0</v>
      </c>
      <c r="N4874" s="88"/>
      <c r="O4874" s="88"/>
      <c r="P4874" s="88"/>
    </row>
    <row r="4875" spans="1:16">
      <c r="A4875" s="94">
        <v>101138</v>
      </c>
      <c r="B4875" s="87" t="s">
        <v>4004</v>
      </c>
      <c r="C4875" s="12" t="s">
        <v>5</v>
      </c>
      <c r="D4875" s="93">
        <v>9.39</v>
      </c>
      <c r="E4875" s="93">
        <v>2.42</v>
      </c>
      <c r="F4875" s="93">
        <v>4.6100000000000003</v>
      </c>
      <c r="G4875" s="93">
        <v>2.36</v>
      </c>
      <c r="H4875" s="93">
        <v>0</v>
      </c>
      <c r="N4875" s="88"/>
      <c r="O4875" s="88"/>
      <c r="P4875" s="88"/>
    </row>
    <row r="4876" spans="1:16">
      <c r="A4876" s="94">
        <v>101139</v>
      </c>
      <c r="B4876" s="87" t="s">
        <v>4005</v>
      </c>
      <c r="C4876" s="12" t="s">
        <v>5</v>
      </c>
      <c r="D4876" s="93">
        <v>12.68</v>
      </c>
      <c r="E4876" s="93">
        <v>3.64</v>
      </c>
      <c r="F4876" s="93">
        <v>4.3499999999999996</v>
      </c>
      <c r="G4876" s="93">
        <v>4.6900000000000004</v>
      </c>
      <c r="H4876" s="93">
        <v>0</v>
      </c>
      <c r="N4876" s="88"/>
      <c r="O4876" s="88"/>
      <c r="P4876" s="88"/>
    </row>
    <row r="4877" spans="1:16">
      <c r="A4877" s="94">
        <v>101140</v>
      </c>
      <c r="B4877" s="87" t="s">
        <v>4006</v>
      </c>
      <c r="C4877" s="12" t="s">
        <v>5</v>
      </c>
      <c r="D4877" s="93">
        <v>11.7</v>
      </c>
      <c r="E4877" s="93">
        <v>3.01</v>
      </c>
      <c r="F4877" s="93">
        <v>4.2300000000000004</v>
      </c>
      <c r="G4877" s="93">
        <v>4.46</v>
      </c>
      <c r="H4877" s="93">
        <v>0</v>
      </c>
      <c r="N4877" s="88"/>
      <c r="O4877" s="88"/>
      <c r="P4877" s="88"/>
    </row>
    <row r="4878" spans="1:16">
      <c r="A4878" s="94">
        <v>101141</v>
      </c>
      <c r="B4878" s="87" t="s">
        <v>4007</v>
      </c>
      <c r="C4878" s="12" t="s">
        <v>5</v>
      </c>
      <c r="D4878" s="93">
        <v>10.01</v>
      </c>
      <c r="E4878" s="93">
        <v>2.48</v>
      </c>
      <c r="F4878" s="93">
        <v>3.86</v>
      </c>
      <c r="G4878" s="93">
        <v>3.67</v>
      </c>
      <c r="H4878" s="93">
        <v>0</v>
      </c>
      <c r="N4878" s="88"/>
      <c r="O4878" s="88"/>
      <c r="P4878" s="88"/>
    </row>
    <row r="4879" spans="1:16">
      <c r="A4879" s="94">
        <v>101142</v>
      </c>
      <c r="B4879" s="87" t="s">
        <v>4008</v>
      </c>
      <c r="C4879" s="12" t="s">
        <v>5</v>
      </c>
      <c r="D4879" s="93">
        <v>10.86</v>
      </c>
      <c r="E4879" s="93">
        <v>2.1</v>
      </c>
      <c r="F4879" s="93">
        <v>3.88</v>
      </c>
      <c r="G4879" s="93">
        <v>4.88</v>
      </c>
      <c r="H4879" s="93">
        <v>0</v>
      </c>
      <c r="N4879" s="88"/>
      <c r="O4879" s="88"/>
      <c r="P4879" s="88"/>
    </row>
    <row r="4880" spans="1:16">
      <c r="A4880" s="94">
        <v>101143</v>
      </c>
      <c r="B4880" s="87" t="s">
        <v>4009</v>
      </c>
      <c r="C4880" s="12" t="s">
        <v>5</v>
      </c>
      <c r="D4880" s="93">
        <v>11.88</v>
      </c>
      <c r="E4880" s="93">
        <v>3.27</v>
      </c>
      <c r="F4880" s="93">
        <v>6.17</v>
      </c>
      <c r="G4880" s="93">
        <v>2.44</v>
      </c>
      <c r="H4880" s="93">
        <v>0</v>
      </c>
      <c r="N4880" s="88"/>
      <c r="O4880" s="88"/>
      <c r="P4880" s="88"/>
    </row>
    <row r="4881" spans="1:16">
      <c r="A4881" s="94">
        <v>101144</v>
      </c>
      <c r="B4881" s="87" t="s">
        <v>4010</v>
      </c>
      <c r="C4881" s="12" t="s">
        <v>5</v>
      </c>
      <c r="D4881" s="93">
        <v>9.9700000000000006</v>
      </c>
      <c r="E4881" s="93">
        <v>2.4</v>
      </c>
      <c r="F4881" s="93">
        <v>3.7</v>
      </c>
      <c r="G4881" s="93">
        <v>3.87</v>
      </c>
      <c r="H4881" s="93">
        <v>0</v>
      </c>
      <c r="N4881" s="88"/>
      <c r="O4881" s="88"/>
      <c r="P4881" s="88"/>
    </row>
    <row r="4882" spans="1:16">
      <c r="A4882" s="94">
        <v>101145</v>
      </c>
      <c r="B4882" s="87" t="s">
        <v>4011</v>
      </c>
      <c r="C4882" s="12" t="s">
        <v>5</v>
      </c>
      <c r="D4882" s="93">
        <v>9.4499999999999993</v>
      </c>
      <c r="E4882" s="93">
        <v>2.0699999999999998</v>
      </c>
      <c r="F4882" s="93">
        <v>3.65</v>
      </c>
      <c r="G4882" s="93">
        <v>3.73</v>
      </c>
      <c r="H4882" s="93">
        <v>0</v>
      </c>
      <c r="N4882" s="88"/>
      <c r="O4882" s="88"/>
      <c r="P4882" s="88"/>
    </row>
    <row r="4883" spans="1:16">
      <c r="A4883" s="94">
        <v>101146</v>
      </c>
      <c r="B4883" s="87" t="s">
        <v>4012</v>
      </c>
      <c r="C4883" s="12" t="s">
        <v>5</v>
      </c>
      <c r="D4883" s="93">
        <v>8.56</v>
      </c>
      <c r="E4883" s="93">
        <v>1.78</v>
      </c>
      <c r="F4883" s="93">
        <v>3.47</v>
      </c>
      <c r="G4883" s="93">
        <v>3.31</v>
      </c>
      <c r="H4883" s="93">
        <v>0</v>
      </c>
      <c r="N4883" s="88"/>
      <c r="O4883" s="88"/>
      <c r="P4883" s="88"/>
    </row>
    <row r="4884" spans="1:16">
      <c r="A4884" s="94">
        <v>101147</v>
      </c>
      <c r="B4884" s="87" t="s">
        <v>4013</v>
      </c>
      <c r="C4884" s="12" t="s">
        <v>5</v>
      </c>
      <c r="D4884" s="93">
        <v>9.02</v>
      </c>
      <c r="E4884" s="93">
        <v>1.59</v>
      </c>
      <c r="F4884" s="93">
        <v>3.47</v>
      </c>
      <c r="G4884" s="93">
        <v>3.96</v>
      </c>
      <c r="H4884" s="93">
        <v>0</v>
      </c>
      <c r="N4884" s="88"/>
      <c r="O4884" s="88"/>
      <c r="P4884" s="88"/>
    </row>
    <row r="4885" spans="1:16">
      <c r="A4885" s="94">
        <v>101148</v>
      </c>
      <c r="B4885" s="87" t="s">
        <v>4014</v>
      </c>
      <c r="C4885" s="12" t="s">
        <v>5</v>
      </c>
      <c r="D4885" s="93">
        <v>9.5500000000000007</v>
      </c>
      <c r="E4885" s="93">
        <v>2.2000000000000002</v>
      </c>
      <c r="F4885" s="93">
        <v>4.6900000000000004</v>
      </c>
      <c r="G4885" s="93">
        <v>2.66</v>
      </c>
      <c r="H4885" s="93">
        <v>0</v>
      </c>
      <c r="N4885" s="88"/>
      <c r="O4885" s="88"/>
      <c r="P4885" s="88"/>
    </row>
    <row r="4886" spans="1:16">
      <c r="A4886" s="94">
        <v>101149</v>
      </c>
      <c r="B4886" s="87" t="s">
        <v>4015</v>
      </c>
      <c r="C4886" s="12" t="s">
        <v>5</v>
      </c>
      <c r="D4886" s="93">
        <v>12.85</v>
      </c>
      <c r="E4886" s="93">
        <v>3.41</v>
      </c>
      <c r="F4886" s="93">
        <v>4.43</v>
      </c>
      <c r="G4886" s="93">
        <v>5.01</v>
      </c>
      <c r="H4886" s="93">
        <v>0</v>
      </c>
      <c r="N4886" s="88"/>
      <c r="O4886" s="88"/>
      <c r="P4886" s="88"/>
    </row>
    <row r="4887" spans="1:16">
      <c r="A4887" s="94">
        <v>101150</v>
      </c>
      <c r="B4887" s="87" t="s">
        <v>4016</v>
      </c>
      <c r="C4887" s="12" t="s">
        <v>5</v>
      </c>
      <c r="D4887" s="93">
        <v>11.87</v>
      </c>
      <c r="E4887" s="93">
        <v>2.78</v>
      </c>
      <c r="F4887" s="93">
        <v>4.32</v>
      </c>
      <c r="G4887" s="93">
        <v>4.7699999999999996</v>
      </c>
      <c r="H4887" s="93">
        <v>0</v>
      </c>
      <c r="N4887" s="88"/>
      <c r="O4887" s="88"/>
      <c r="P4887" s="88"/>
    </row>
    <row r="4888" spans="1:16">
      <c r="A4888" s="94">
        <v>101151</v>
      </c>
      <c r="B4888" s="87" t="s">
        <v>4017</v>
      </c>
      <c r="C4888" s="12" t="s">
        <v>5</v>
      </c>
      <c r="D4888" s="93">
        <v>10.18</v>
      </c>
      <c r="E4888" s="93">
        <v>2.25</v>
      </c>
      <c r="F4888" s="93">
        <v>3.93</v>
      </c>
      <c r="G4888" s="93">
        <v>4</v>
      </c>
      <c r="H4888" s="93">
        <v>0</v>
      </c>
      <c r="N4888" s="88"/>
      <c r="O4888" s="88"/>
      <c r="P4888" s="88"/>
    </row>
    <row r="4889" spans="1:16">
      <c r="A4889" s="94">
        <v>101152</v>
      </c>
      <c r="B4889" s="87" t="s">
        <v>4018</v>
      </c>
      <c r="C4889" s="12" t="s">
        <v>5</v>
      </c>
      <c r="D4889" s="93">
        <v>11.03</v>
      </c>
      <c r="E4889" s="93">
        <v>1.87</v>
      </c>
      <c r="F4889" s="93">
        <v>3.96</v>
      </c>
      <c r="G4889" s="93">
        <v>5.2</v>
      </c>
      <c r="H4889" s="93">
        <v>0</v>
      </c>
      <c r="N4889" s="88"/>
      <c r="O4889" s="88"/>
      <c r="P4889" s="88"/>
    </row>
    <row r="4890" spans="1:16">
      <c r="A4890" s="94">
        <v>101153</v>
      </c>
      <c r="B4890" s="87" t="s">
        <v>4019</v>
      </c>
      <c r="C4890" s="12" t="s">
        <v>5</v>
      </c>
      <c r="D4890" s="93">
        <v>12.05</v>
      </c>
      <c r="E4890" s="93">
        <v>3.04</v>
      </c>
      <c r="F4890" s="93">
        <v>6.26</v>
      </c>
      <c r="G4890" s="93">
        <v>2.75</v>
      </c>
      <c r="H4890" s="93">
        <v>0</v>
      </c>
      <c r="N4890" s="88"/>
      <c r="O4890" s="88"/>
      <c r="P4890" s="88"/>
    </row>
    <row r="4891" spans="1:16">
      <c r="A4891" s="94">
        <v>101206</v>
      </c>
      <c r="B4891" s="87" t="s">
        <v>4020</v>
      </c>
      <c r="C4891" s="12" t="s">
        <v>5</v>
      </c>
      <c r="D4891" s="93">
        <v>7.76</v>
      </c>
      <c r="E4891" s="93">
        <v>1.52</v>
      </c>
      <c r="F4891" s="93">
        <v>3.23</v>
      </c>
      <c r="G4891" s="93">
        <v>3.01</v>
      </c>
      <c r="H4891" s="93">
        <v>0</v>
      </c>
      <c r="N4891" s="88"/>
      <c r="O4891" s="88"/>
      <c r="P4891" s="88"/>
    </row>
    <row r="4892" spans="1:16">
      <c r="A4892" s="94">
        <v>101207</v>
      </c>
      <c r="B4892" s="87" t="s">
        <v>4021</v>
      </c>
      <c r="C4892" s="12" t="s">
        <v>5</v>
      </c>
      <c r="D4892" s="93">
        <v>6.68</v>
      </c>
      <c r="E4892" s="93">
        <v>1.1200000000000001</v>
      </c>
      <c r="F4892" s="93">
        <v>3.12</v>
      </c>
      <c r="G4892" s="93">
        <v>2.44</v>
      </c>
      <c r="H4892" s="93">
        <v>0</v>
      </c>
      <c r="N4892" s="88"/>
      <c r="O4892" s="88"/>
      <c r="P4892" s="88"/>
    </row>
    <row r="4893" spans="1:16">
      <c r="A4893" s="94">
        <v>101208</v>
      </c>
      <c r="B4893" s="87" t="s">
        <v>4022</v>
      </c>
      <c r="C4893" s="12" t="s">
        <v>5</v>
      </c>
      <c r="D4893" s="93">
        <v>6.53</v>
      </c>
      <c r="E4893" s="93">
        <v>1.1499999999999999</v>
      </c>
      <c r="F4893" s="93">
        <v>2.92</v>
      </c>
      <c r="G4893" s="93">
        <v>2.46</v>
      </c>
      <c r="H4893" s="93">
        <v>0</v>
      </c>
      <c r="N4893" s="88"/>
      <c r="O4893" s="88"/>
      <c r="P4893" s="88"/>
    </row>
    <row r="4894" spans="1:16">
      <c r="A4894" s="94">
        <v>101209</v>
      </c>
      <c r="B4894" s="87" t="s">
        <v>4023</v>
      </c>
      <c r="C4894" s="12" t="s">
        <v>5</v>
      </c>
      <c r="D4894" s="93">
        <v>6.03</v>
      </c>
      <c r="E4894" s="93">
        <v>1.03</v>
      </c>
      <c r="F4894" s="93">
        <v>2.75</v>
      </c>
      <c r="G4894" s="93">
        <v>2.25</v>
      </c>
      <c r="H4894" s="93">
        <v>0</v>
      </c>
      <c r="N4894" s="88"/>
      <c r="O4894" s="88"/>
      <c r="P4894" s="88"/>
    </row>
    <row r="4895" spans="1:16">
      <c r="A4895" s="94">
        <v>101210</v>
      </c>
      <c r="B4895" s="87" t="s">
        <v>4024</v>
      </c>
      <c r="C4895" s="12" t="s">
        <v>5</v>
      </c>
      <c r="D4895" s="93">
        <v>10.79</v>
      </c>
      <c r="E4895" s="93">
        <v>1.74</v>
      </c>
      <c r="F4895" s="93">
        <v>5.05</v>
      </c>
      <c r="G4895" s="93">
        <v>4</v>
      </c>
      <c r="H4895" s="93">
        <v>0</v>
      </c>
      <c r="N4895" s="88"/>
      <c r="O4895" s="88"/>
      <c r="P4895" s="88"/>
    </row>
    <row r="4896" spans="1:16">
      <c r="A4896" s="94">
        <v>101211</v>
      </c>
      <c r="B4896" s="87" t="s">
        <v>4025</v>
      </c>
      <c r="C4896" s="12" t="s">
        <v>5</v>
      </c>
      <c r="D4896" s="93">
        <v>11.58</v>
      </c>
      <c r="E4896" s="93">
        <v>1.83</v>
      </c>
      <c r="F4896" s="93">
        <v>5.47</v>
      </c>
      <c r="G4896" s="93">
        <v>4.28</v>
      </c>
      <c r="H4896" s="93">
        <v>0</v>
      </c>
      <c r="N4896" s="88"/>
      <c r="O4896" s="88"/>
      <c r="P4896" s="88"/>
    </row>
    <row r="4897" spans="1:16">
      <c r="A4897" s="94">
        <v>101212</v>
      </c>
      <c r="B4897" s="87" t="s">
        <v>4026</v>
      </c>
      <c r="C4897" s="12" t="s">
        <v>5</v>
      </c>
      <c r="D4897" s="93">
        <v>13.5</v>
      </c>
      <c r="E4897" s="93">
        <v>2.15</v>
      </c>
      <c r="F4897" s="93">
        <v>6.35</v>
      </c>
      <c r="G4897" s="93">
        <v>5</v>
      </c>
      <c r="H4897" s="93">
        <v>0</v>
      </c>
      <c r="N4897" s="88"/>
      <c r="O4897" s="88"/>
      <c r="P4897" s="88"/>
    </row>
    <row r="4898" spans="1:16">
      <c r="A4898" s="94">
        <v>101213</v>
      </c>
      <c r="B4898" s="87" t="s">
        <v>4027</v>
      </c>
      <c r="C4898" s="12" t="s">
        <v>5</v>
      </c>
      <c r="D4898" s="93">
        <v>15.09</v>
      </c>
      <c r="E4898" s="93">
        <v>2.46</v>
      </c>
      <c r="F4898" s="93">
        <v>7</v>
      </c>
      <c r="G4898" s="93">
        <v>5.63</v>
      </c>
      <c r="H4898" s="93">
        <v>0</v>
      </c>
      <c r="N4898" s="88"/>
      <c r="O4898" s="88"/>
      <c r="P4898" s="88"/>
    </row>
    <row r="4899" spans="1:16">
      <c r="A4899" s="94">
        <v>101214</v>
      </c>
      <c r="B4899" s="87" t="s">
        <v>4028</v>
      </c>
      <c r="C4899" s="12" t="s">
        <v>5</v>
      </c>
      <c r="D4899" s="93">
        <v>18.21</v>
      </c>
      <c r="E4899" s="93">
        <v>2.76</v>
      </c>
      <c r="F4899" s="93">
        <v>8.76</v>
      </c>
      <c r="G4899" s="93">
        <v>6.69</v>
      </c>
      <c r="H4899" s="93">
        <v>0</v>
      </c>
      <c r="N4899" s="88"/>
      <c r="O4899" s="88"/>
      <c r="P4899" s="88"/>
    </row>
    <row r="4900" spans="1:16">
      <c r="A4900" s="94">
        <v>101215</v>
      </c>
      <c r="B4900" s="87" t="s">
        <v>4029</v>
      </c>
      <c r="C4900" s="12" t="s">
        <v>5</v>
      </c>
      <c r="D4900" s="93">
        <v>10.33</v>
      </c>
      <c r="E4900" s="93">
        <v>1.71</v>
      </c>
      <c r="F4900" s="93">
        <v>4.8099999999999996</v>
      </c>
      <c r="G4900" s="93">
        <v>3.81</v>
      </c>
      <c r="H4900" s="93">
        <v>0</v>
      </c>
      <c r="N4900" s="88"/>
      <c r="O4900" s="88"/>
      <c r="P4900" s="88"/>
    </row>
    <row r="4901" spans="1:16">
      <c r="A4901" s="94">
        <v>101216</v>
      </c>
      <c r="B4901" s="87" t="s">
        <v>4030</v>
      </c>
      <c r="C4901" s="12" t="s">
        <v>5</v>
      </c>
      <c r="D4901" s="93">
        <v>10.83</v>
      </c>
      <c r="E4901" s="93">
        <v>1.71</v>
      </c>
      <c r="F4901" s="93">
        <v>5.2</v>
      </c>
      <c r="G4901" s="93">
        <v>3.92</v>
      </c>
      <c r="H4901" s="93">
        <v>0</v>
      </c>
      <c r="N4901" s="88"/>
      <c r="O4901" s="88"/>
      <c r="P4901" s="88"/>
    </row>
    <row r="4902" spans="1:16">
      <c r="A4902" s="94">
        <v>101217</v>
      </c>
      <c r="B4902" s="87" t="s">
        <v>4031</v>
      </c>
      <c r="C4902" s="12" t="s">
        <v>5</v>
      </c>
      <c r="D4902" s="93">
        <v>12.6</v>
      </c>
      <c r="E4902" s="93">
        <v>2.0099999999999998</v>
      </c>
      <c r="F4902" s="93">
        <v>5.98</v>
      </c>
      <c r="G4902" s="93">
        <v>4.6100000000000003</v>
      </c>
      <c r="H4902" s="93">
        <v>0</v>
      </c>
      <c r="N4902" s="88"/>
      <c r="O4902" s="88"/>
      <c r="P4902" s="88"/>
    </row>
    <row r="4903" spans="1:16">
      <c r="A4903" s="94">
        <v>101218</v>
      </c>
      <c r="B4903" s="87" t="s">
        <v>4032</v>
      </c>
      <c r="C4903" s="12" t="s">
        <v>5</v>
      </c>
      <c r="D4903" s="93">
        <v>13.31</v>
      </c>
      <c r="E4903" s="93">
        <v>2</v>
      </c>
      <c r="F4903" s="93">
        <v>6.51</v>
      </c>
      <c r="G4903" s="93">
        <v>4.8</v>
      </c>
      <c r="H4903" s="93">
        <v>0</v>
      </c>
      <c r="N4903" s="88"/>
      <c r="O4903" s="88"/>
      <c r="P4903" s="88"/>
    </row>
    <row r="4904" spans="1:16">
      <c r="A4904" s="94">
        <v>101219</v>
      </c>
      <c r="B4904" s="87" t="s">
        <v>4033</v>
      </c>
      <c r="C4904" s="12" t="s">
        <v>5</v>
      </c>
      <c r="D4904" s="93">
        <v>16.12</v>
      </c>
      <c r="E4904" s="93">
        <v>2.29</v>
      </c>
      <c r="F4904" s="93">
        <v>8.07</v>
      </c>
      <c r="G4904" s="93">
        <v>5.76</v>
      </c>
      <c r="H4904" s="93">
        <v>0</v>
      </c>
      <c r="N4904" s="88"/>
      <c r="O4904" s="88"/>
      <c r="P4904" s="88"/>
    </row>
    <row r="4905" spans="1:16">
      <c r="A4905" s="94">
        <v>101220</v>
      </c>
      <c r="B4905" s="87" t="s">
        <v>4034</v>
      </c>
      <c r="C4905" s="12" t="s">
        <v>5</v>
      </c>
      <c r="D4905" s="93">
        <v>10.15</v>
      </c>
      <c r="E4905" s="93">
        <v>1.62</v>
      </c>
      <c r="F4905" s="93">
        <v>4.78</v>
      </c>
      <c r="G4905" s="93">
        <v>3.75</v>
      </c>
      <c r="H4905" s="93">
        <v>0</v>
      </c>
      <c r="N4905" s="88"/>
      <c r="O4905" s="88"/>
      <c r="P4905" s="88"/>
    </row>
    <row r="4906" spans="1:16">
      <c r="A4906" s="94">
        <v>101221</v>
      </c>
      <c r="B4906" s="87" t="s">
        <v>4035</v>
      </c>
      <c r="C4906" s="12" t="s">
        <v>5</v>
      </c>
      <c r="D4906" s="93">
        <v>10.72</v>
      </c>
      <c r="E4906" s="93">
        <v>1.62</v>
      </c>
      <c r="F4906" s="93">
        <v>5.18</v>
      </c>
      <c r="G4906" s="93">
        <v>3.92</v>
      </c>
      <c r="H4906" s="93">
        <v>0</v>
      </c>
      <c r="N4906" s="88"/>
      <c r="O4906" s="88"/>
      <c r="P4906" s="88"/>
    </row>
    <row r="4907" spans="1:16">
      <c r="A4907" s="94">
        <v>101222</v>
      </c>
      <c r="B4907" s="87" t="s">
        <v>4036</v>
      </c>
      <c r="C4907" s="12" t="s">
        <v>5</v>
      </c>
      <c r="D4907" s="93">
        <v>12.45</v>
      </c>
      <c r="E4907" s="93">
        <v>1.85</v>
      </c>
      <c r="F4907" s="93">
        <v>6.06</v>
      </c>
      <c r="G4907" s="93">
        <v>4.54</v>
      </c>
      <c r="H4907" s="93">
        <v>0</v>
      </c>
      <c r="N4907" s="88"/>
      <c r="O4907" s="88"/>
      <c r="P4907" s="88"/>
    </row>
    <row r="4908" spans="1:16">
      <c r="A4908" s="94">
        <v>101223</v>
      </c>
      <c r="B4908" s="87" t="s">
        <v>4037</v>
      </c>
      <c r="C4908" s="12" t="s">
        <v>5</v>
      </c>
      <c r="D4908" s="93">
        <v>13.87</v>
      </c>
      <c r="E4908" s="93">
        <v>2.09</v>
      </c>
      <c r="F4908" s="93">
        <v>6.69</v>
      </c>
      <c r="G4908" s="93">
        <v>5.09</v>
      </c>
      <c r="H4908" s="93">
        <v>0</v>
      </c>
      <c r="N4908" s="88"/>
      <c r="O4908" s="88"/>
      <c r="P4908" s="88"/>
    </row>
    <row r="4909" spans="1:16">
      <c r="A4909" s="94">
        <v>101224</v>
      </c>
      <c r="B4909" s="87" t="s">
        <v>4038</v>
      </c>
      <c r="C4909" s="12" t="s">
        <v>5</v>
      </c>
      <c r="D4909" s="93">
        <v>17.37</v>
      </c>
      <c r="E4909" s="93">
        <v>2.57</v>
      </c>
      <c r="F4909" s="93">
        <v>8.44</v>
      </c>
      <c r="G4909" s="93">
        <v>6.36</v>
      </c>
      <c r="H4909" s="93">
        <v>0</v>
      </c>
      <c r="N4909" s="88"/>
      <c r="O4909" s="88"/>
      <c r="P4909" s="88"/>
    </row>
    <row r="4910" spans="1:16">
      <c r="A4910" s="94">
        <v>101225</v>
      </c>
      <c r="B4910" s="87" t="s">
        <v>4039</v>
      </c>
      <c r="C4910" s="12" t="s">
        <v>5</v>
      </c>
      <c r="D4910" s="93">
        <v>9.2799999999999994</v>
      </c>
      <c r="E4910" s="93">
        <v>1.47</v>
      </c>
      <c r="F4910" s="93">
        <v>4.42</v>
      </c>
      <c r="G4910" s="93">
        <v>3.39</v>
      </c>
      <c r="H4910" s="93">
        <v>0</v>
      </c>
      <c r="N4910" s="88"/>
      <c r="O4910" s="88"/>
      <c r="P4910" s="88"/>
    </row>
    <row r="4911" spans="1:16">
      <c r="A4911" s="94">
        <v>101226</v>
      </c>
      <c r="B4911" s="87" t="s">
        <v>4040</v>
      </c>
      <c r="C4911" s="12" t="s">
        <v>5</v>
      </c>
      <c r="D4911" s="93">
        <v>9.77</v>
      </c>
      <c r="E4911" s="93">
        <v>1.46</v>
      </c>
      <c r="F4911" s="93">
        <v>4.79</v>
      </c>
      <c r="G4911" s="93">
        <v>3.52</v>
      </c>
      <c r="H4911" s="93">
        <v>0</v>
      </c>
      <c r="N4911" s="88"/>
      <c r="O4911" s="88"/>
      <c r="P4911" s="88"/>
    </row>
    <row r="4912" spans="1:16">
      <c r="A4912" s="94">
        <v>101227</v>
      </c>
      <c r="B4912" s="87" t="s">
        <v>4041</v>
      </c>
      <c r="C4912" s="12" t="s">
        <v>5</v>
      </c>
      <c r="D4912" s="93">
        <v>11.33</v>
      </c>
      <c r="E4912" s="93">
        <v>1.68</v>
      </c>
      <c r="F4912" s="93">
        <v>5.58</v>
      </c>
      <c r="G4912" s="93">
        <v>4.07</v>
      </c>
      <c r="H4912" s="93">
        <v>0</v>
      </c>
      <c r="N4912" s="88"/>
      <c r="O4912" s="88"/>
      <c r="P4912" s="88"/>
    </row>
    <row r="4913" spans="1:16">
      <c r="A4913" s="94">
        <v>101228</v>
      </c>
      <c r="B4913" s="87" t="s">
        <v>4042</v>
      </c>
      <c r="C4913" s="12" t="s">
        <v>5</v>
      </c>
      <c r="D4913" s="93">
        <v>12.08</v>
      </c>
      <c r="E4913" s="93">
        <v>1.68</v>
      </c>
      <c r="F4913" s="93">
        <v>6.12</v>
      </c>
      <c r="G4913" s="93">
        <v>4.28</v>
      </c>
      <c r="H4913" s="93">
        <v>0</v>
      </c>
      <c r="N4913" s="88"/>
      <c r="O4913" s="88"/>
      <c r="P4913" s="88"/>
    </row>
    <row r="4914" spans="1:16">
      <c r="A4914" s="94">
        <v>101229</v>
      </c>
      <c r="B4914" s="87" t="s">
        <v>4043</v>
      </c>
      <c r="C4914" s="12" t="s">
        <v>5</v>
      </c>
      <c r="D4914" s="93">
        <v>15.22</v>
      </c>
      <c r="E4914" s="93">
        <v>2.11</v>
      </c>
      <c r="F4914" s="93">
        <v>7.71</v>
      </c>
      <c r="G4914" s="93">
        <v>5.4</v>
      </c>
      <c r="H4914" s="93">
        <v>0</v>
      </c>
      <c r="N4914" s="88"/>
      <c r="O4914" s="88"/>
      <c r="P4914" s="88"/>
    </row>
    <row r="4915" spans="1:16">
      <c r="A4915" s="94">
        <v>101230</v>
      </c>
      <c r="B4915" s="87" t="s">
        <v>4044</v>
      </c>
      <c r="C4915" s="12" t="s">
        <v>5</v>
      </c>
      <c r="D4915" s="93">
        <v>6.83</v>
      </c>
      <c r="E4915" s="93">
        <v>1.27</v>
      </c>
      <c r="F4915" s="93">
        <v>2.95</v>
      </c>
      <c r="G4915" s="93">
        <v>2.61</v>
      </c>
      <c r="H4915" s="93">
        <v>0</v>
      </c>
      <c r="N4915" s="88"/>
      <c r="O4915" s="88"/>
      <c r="P4915" s="88"/>
    </row>
    <row r="4916" spans="1:16">
      <c r="A4916" s="94">
        <v>101231</v>
      </c>
      <c r="B4916" s="87" t="s">
        <v>4045</v>
      </c>
      <c r="C4916" s="12" t="s">
        <v>5</v>
      </c>
      <c r="D4916" s="93">
        <v>6.46</v>
      </c>
      <c r="E4916" s="93">
        <v>1.18</v>
      </c>
      <c r="F4916" s="93">
        <v>2.85</v>
      </c>
      <c r="G4916" s="93">
        <v>2.4300000000000002</v>
      </c>
      <c r="H4916" s="93">
        <v>0</v>
      </c>
      <c r="N4916" s="88"/>
      <c r="O4916" s="88"/>
      <c r="P4916" s="88"/>
    </row>
    <row r="4917" spans="1:16">
      <c r="A4917" s="94">
        <v>101232</v>
      </c>
      <c r="B4917" s="87" t="s">
        <v>4046</v>
      </c>
      <c r="C4917" s="12" t="s">
        <v>5</v>
      </c>
      <c r="D4917" s="93">
        <v>5.81</v>
      </c>
      <c r="E4917" s="93">
        <v>0.97</v>
      </c>
      <c r="F4917" s="93">
        <v>2.69</v>
      </c>
      <c r="G4917" s="93">
        <v>2.15</v>
      </c>
      <c r="H4917" s="93">
        <v>0</v>
      </c>
      <c r="N4917" s="88"/>
      <c r="O4917" s="88"/>
      <c r="P4917" s="88"/>
    </row>
    <row r="4918" spans="1:16">
      <c r="A4918" s="94">
        <v>101233</v>
      </c>
      <c r="B4918" s="87" t="s">
        <v>4047</v>
      </c>
      <c r="C4918" s="12" t="s">
        <v>5</v>
      </c>
      <c r="D4918" s="93">
        <v>5.35</v>
      </c>
      <c r="E4918" s="93">
        <v>0.87</v>
      </c>
      <c r="F4918" s="93">
        <v>2.5299999999999998</v>
      </c>
      <c r="G4918" s="93">
        <v>1.95</v>
      </c>
      <c r="H4918" s="93">
        <v>0</v>
      </c>
      <c r="N4918" s="88"/>
      <c r="O4918" s="88"/>
      <c r="P4918" s="88"/>
    </row>
    <row r="4919" spans="1:16">
      <c r="A4919" s="94">
        <v>101234</v>
      </c>
      <c r="B4919" s="87" t="s">
        <v>4048</v>
      </c>
      <c r="C4919" s="12" t="s">
        <v>5</v>
      </c>
      <c r="D4919" s="93">
        <v>10.58</v>
      </c>
      <c r="E4919" s="93">
        <v>1.79</v>
      </c>
      <c r="F4919" s="93">
        <v>4.82</v>
      </c>
      <c r="G4919" s="93">
        <v>3.97</v>
      </c>
      <c r="H4919" s="93">
        <v>0</v>
      </c>
      <c r="N4919" s="88"/>
      <c r="O4919" s="88"/>
      <c r="P4919" s="88"/>
    </row>
    <row r="4920" spans="1:16">
      <c r="A4920" s="94">
        <v>101235</v>
      </c>
      <c r="B4920" s="87" t="s">
        <v>4049</v>
      </c>
      <c r="C4920" s="12" t="s">
        <v>5</v>
      </c>
      <c r="D4920" s="93">
        <v>11.14</v>
      </c>
      <c r="E4920" s="93">
        <v>1.8</v>
      </c>
      <c r="F4920" s="93">
        <v>5.23</v>
      </c>
      <c r="G4920" s="93">
        <v>4.1100000000000003</v>
      </c>
      <c r="H4920" s="93">
        <v>0</v>
      </c>
      <c r="N4920" s="88"/>
      <c r="O4920" s="88"/>
      <c r="P4920" s="88"/>
    </row>
    <row r="4921" spans="1:16">
      <c r="A4921" s="94">
        <v>101236</v>
      </c>
      <c r="B4921" s="87" t="s">
        <v>4050</v>
      </c>
      <c r="C4921" s="12" t="s">
        <v>5</v>
      </c>
      <c r="D4921" s="93">
        <v>12.96</v>
      </c>
      <c r="E4921" s="93">
        <v>2.06</v>
      </c>
      <c r="F4921" s="93">
        <v>6.11</v>
      </c>
      <c r="G4921" s="93">
        <v>4.79</v>
      </c>
      <c r="H4921" s="93">
        <v>0</v>
      </c>
      <c r="N4921" s="88"/>
      <c r="O4921" s="88"/>
      <c r="P4921" s="88"/>
    </row>
    <row r="4922" spans="1:16">
      <c r="A4922" s="94">
        <v>101237</v>
      </c>
      <c r="B4922" s="87" t="s">
        <v>4051</v>
      </c>
      <c r="C4922" s="12" t="s">
        <v>5</v>
      </c>
      <c r="D4922" s="93">
        <v>13.79</v>
      </c>
      <c r="E4922" s="93">
        <v>2.06</v>
      </c>
      <c r="F4922" s="93">
        <v>6.7</v>
      </c>
      <c r="G4922" s="93">
        <v>5.03</v>
      </c>
      <c r="H4922" s="93">
        <v>0</v>
      </c>
      <c r="N4922" s="88"/>
      <c r="O4922" s="88"/>
      <c r="P4922" s="88"/>
    </row>
    <row r="4923" spans="1:16">
      <c r="A4923" s="94">
        <v>101238</v>
      </c>
      <c r="B4923" s="87" t="s">
        <v>4052</v>
      </c>
      <c r="C4923" s="12" t="s">
        <v>5</v>
      </c>
      <c r="D4923" s="93">
        <v>17.43</v>
      </c>
      <c r="E4923" s="93">
        <v>2.59</v>
      </c>
      <c r="F4923" s="93">
        <v>8.4700000000000006</v>
      </c>
      <c r="G4923" s="93">
        <v>6.37</v>
      </c>
      <c r="H4923" s="93">
        <v>0</v>
      </c>
      <c r="N4923" s="88"/>
      <c r="O4923" s="88"/>
      <c r="P4923" s="88"/>
    </row>
    <row r="4924" spans="1:16">
      <c r="A4924" s="94">
        <v>101239</v>
      </c>
      <c r="B4924" s="87" t="s">
        <v>4053</v>
      </c>
      <c r="C4924" s="12" t="s">
        <v>5</v>
      </c>
      <c r="D4924" s="93">
        <v>9.24</v>
      </c>
      <c r="E4924" s="93">
        <v>1.43</v>
      </c>
      <c r="F4924" s="93">
        <v>4.4800000000000004</v>
      </c>
      <c r="G4924" s="93">
        <v>3.33</v>
      </c>
      <c r="H4924" s="93">
        <v>0</v>
      </c>
      <c r="N4924" s="88"/>
      <c r="O4924" s="88"/>
      <c r="P4924" s="88"/>
    </row>
    <row r="4925" spans="1:16">
      <c r="A4925" s="94">
        <v>101240</v>
      </c>
      <c r="B4925" s="87" t="s">
        <v>4054</v>
      </c>
      <c r="C4925" s="12" t="s">
        <v>5</v>
      </c>
      <c r="D4925" s="93">
        <v>9.74</v>
      </c>
      <c r="E4925" s="93">
        <v>1.43</v>
      </c>
      <c r="F4925" s="93">
        <v>4.84</v>
      </c>
      <c r="G4925" s="93">
        <v>3.47</v>
      </c>
      <c r="H4925" s="93">
        <v>0</v>
      </c>
      <c r="N4925" s="88"/>
      <c r="O4925" s="88"/>
      <c r="P4925" s="88"/>
    </row>
    <row r="4926" spans="1:16">
      <c r="A4926" s="94">
        <v>101241</v>
      </c>
      <c r="B4926" s="87" t="s">
        <v>4055</v>
      </c>
      <c r="C4926" s="12" t="s">
        <v>5</v>
      </c>
      <c r="D4926" s="93">
        <v>11.38</v>
      </c>
      <c r="E4926" s="93">
        <v>1.68</v>
      </c>
      <c r="F4926" s="93">
        <v>5.63</v>
      </c>
      <c r="G4926" s="93">
        <v>4.07</v>
      </c>
      <c r="H4926" s="93">
        <v>0</v>
      </c>
      <c r="N4926" s="88"/>
      <c r="O4926" s="88"/>
      <c r="P4926" s="88"/>
    </row>
    <row r="4927" spans="1:16">
      <c r="A4927" s="94">
        <v>101242</v>
      </c>
      <c r="B4927" s="87" t="s">
        <v>4056</v>
      </c>
      <c r="C4927" s="12" t="s">
        <v>5</v>
      </c>
      <c r="D4927" s="93">
        <v>12.73</v>
      </c>
      <c r="E4927" s="93">
        <v>1.92</v>
      </c>
      <c r="F4927" s="93">
        <v>6.21</v>
      </c>
      <c r="G4927" s="93">
        <v>4.5999999999999996</v>
      </c>
      <c r="H4927" s="93">
        <v>0</v>
      </c>
      <c r="N4927" s="88"/>
      <c r="O4927" s="88"/>
      <c r="P4927" s="88"/>
    </row>
    <row r="4928" spans="1:16">
      <c r="A4928" s="94">
        <v>101243</v>
      </c>
      <c r="B4928" s="87" t="s">
        <v>4057</v>
      </c>
      <c r="C4928" s="12" t="s">
        <v>5</v>
      </c>
      <c r="D4928" s="93">
        <v>15.4</v>
      </c>
      <c r="E4928" s="93">
        <v>2.16</v>
      </c>
      <c r="F4928" s="93">
        <v>7.77</v>
      </c>
      <c r="G4928" s="93">
        <v>5.47</v>
      </c>
      <c r="H4928" s="93">
        <v>0</v>
      </c>
      <c r="N4928" s="88"/>
      <c r="O4928" s="88"/>
      <c r="P4928" s="88"/>
    </row>
    <row r="4929" spans="1:16">
      <c r="A4929" s="94">
        <v>101244</v>
      </c>
      <c r="B4929" s="87" t="s">
        <v>4058</v>
      </c>
      <c r="C4929" s="12" t="s">
        <v>5</v>
      </c>
      <c r="D4929" s="93">
        <v>9.75</v>
      </c>
      <c r="E4929" s="93">
        <v>1.56</v>
      </c>
      <c r="F4929" s="93">
        <v>4.57</v>
      </c>
      <c r="G4929" s="93">
        <v>3.62</v>
      </c>
      <c r="H4929" s="93">
        <v>0</v>
      </c>
      <c r="N4929" s="88"/>
      <c r="O4929" s="88"/>
      <c r="P4929" s="88"/>
    </row>
    <row r="4930" spans="1:16">
      <c r="A4930" s="94">
        <v>101245</v>
      </c>
      <c r="B4930" s="87" t="s">
        <v>4059</v>
      </c>
      <c r="C4930" s="12" t="s">
        <v>5</v>
      </c>
      <c r="D4930" s="93">
        <v>10.31</v>
      </c>
      <c r="E4930" s="93">
        <v>1.56</v>
      </c>
      <c r="F4930" s="93">
        <v>4.9800000000000004</v>
      </c>
      <c r="G4930" s="93">
        <v>3.77</v>
      </c>
      <c r="H4930" s="93">
        <v>0</v>
      </c>
      <c r="N4930" s="88"/>
      <c r="O4930" s="88"/>
      <c r="P4930" s="88"/>
    </row>
    <row r="4931" spans="1:16">
      <c r="A4931" s="94">
        <v>101246</v>
      </c>
      <c r="B4931" s="87" t="s">
        <v>4060</v>
      </c>
      <c r="C4931" s="12" t="s">
        <v>5</v>
      </c>
      <c r="D4931" s="93">
        <v>11.97</v>
      </c>
      <c r="E4931" s="93">
        <v>1.77</v>
      </c>
      <c r="F4931" s="93">
        <v>5.84</v>
      </c>
      <c r="G4931" s="93">
        <v>4.3600000000000003</v>
      </c>
      <c r="H4931" s="93">
        <v>0</v>
      </c>
      <c r="N4931" s="88"/>
      <c r="O4931" s="88"/>
      <c r="P4931" s="88"/>
    </row>
    <row r="4932" spans="1:16">
      <c r="A4932" s="94">
        <v>101247</v>
      </c>
      <c r="B4932" s="87" t="s">
        <v>4061</v>
      </c>
      <c r="C4932" s="12" t="s">
        <v>5</v>
      </c>
      <c r="D4932" s="93">
        <v>13.29</v>
      </c>
      <c r="E4932" s="93">
        <v>1.97</v>
      </c>
      <c r="F4932" s="93">
        <v>6.46</v>
      </c>
      <c r="G4932" s="93">
        <v>4.8600000000000003</v>
      </c>
      <c r="H4932" s="93">
        <v>0</v>
      </c>
      <c r="N4932" s="88"/>
      <c r="O4932" s="88"/>
      <c r="P4932" s="88"/>
    </row>
    <row r="4933" spans="1:16">
      <c r="A4933" s="94">
        <v>101248</v>
      </c>
      <c r="B4933" s="87" t="s">
        <v>4062</v>
      </c>
      <c r="C4933" s="12" t="s">
        <v>5</v>
      </c>
      <c r="D4933" s="93">
        <v>16.62</v>
      </c>
      <c r="E4933" s="93">
        <v>2.36</v>
      </c>
      <c r="F4933" s="93">
        <v>8.2200000000000006</v>
      </c>
      <c r="G4933" s="93">
        <v>6.04</v>
      </c>
      <c r="H4933" s="93">
        <v>0</v>
      </c>
      <c r="N4933" s="88"/>
      <c r="O4933" s="88"/>
      <c r="P4933" s="88"/>
    </row>
    <row r="4934" spans="1:16">
      <c r="A4934" s="94">
        <v>101249</v>
      </c>
      <c r="B4934" s="87" t="s">
        <v>4063</v>
      </c>
      <c r="C4934" s="12" t="s">
        <v>5</v>
      </c>
      <c r="D4934" s="93">
        <v>8.43</v>
      </c>
      <c r="E4934" s="93">
        <v>1.23</v>
      </c>
      <c r="F4934" s="93">
        <v>4.1900000000000004</v>
      </c>
      <c r="G4934" s="93">
        <v>3.01</v>
      </c>
      <c r="H4934" s="93">
        <v>0</v>
      </c>
      <c r="N4934" s="88"/>
      <c r="O4934" s="88"/>
      <c r="P4934" s="88"/>
    </row>
    <row r="4935" spans="1:16">
      <c r="A4935" s="94">
        <v>101250</v>
      </c>
      <c r="B4935" s="87" t="s">
        <v>4064</v>
      </c>
      <c r="C4935" s="12" t="s">
        <v>5</v>
      </c>
      <c r="D4935" s="93">
        <v>9.3699999999999992</v>
      </c>
      <c r="E4935" s="93">
        <v>1.41</v>
      </c>
      <c r="F4935" s="93">
        <v>4.5999999999999996</v>
      </c>
      <c r="G4935" s="93">
        <v>3.36</v>
      </c>
      <c r="H4935" s="93">
        <v>0</v>
      </c>
      <c r="N4935" s="88"/>
      <c r="O4935" s="88"/>
      <c r="P4935" s="88"/>
    </row>
    <row r="4936" spans="1:16">
      <c r="A4936" s="94">
        <v>101251</v>
      </c>
      <c r="B4936" s="87" t="s">
        <v>4065</v>
      </c>
      <c r="C4936" s="12" t="s">
        <v>5</v>
      </c>
      <c r="D4936" s="93">
        <v>10.68</v>
      </c>
      <c r="E4936" s="93">
        <v>1.53</v>
      </c>
      <c r="F4936" s="93">
        <v>5.33</v>
      </c>
      <c r="G4936" s="93">
        <v>3.82</v>
      </c>
      <c r="H4936" s="93">
        <v>0</v>
      </c>
      <c r="N4936" s="88"/>
      <c r="O4936" s="88"/>
      <c r="P4936" s="88"/>
    </row>
    <row r="4937" spans="1:16">
      <c r="A4937" s="94">
        <v>101252</v>
      </c>
      <c r="B4937" s="87" t="s">
        <v>4066</v>
      </c>
      <c r="C4937" s="12" t="s">
        <v>5</v>
      </c>
      <c r="D4937" s="93">
        <v>11.56</v>
      </c>
      <c r="E4937" s="93">
        <v>1.58</v>
      </c>
      <c r="F4937" s="93">
        <v>5.89</v>
      </c>
      <c r="G4937" s="93">
        <v>4.09</v>
      </c>
      <c r="H4937" s="93">
        <v>0</v>
      </c>
      <c r="N4937" s="88"/>
      <c r="O4937" s="88"/>
      <c r="P4937" s="88"/>
    </row>
    <row r="4938" spans="1:16">
      <c r="A4938" s="94">
        <v>101253</v>
      </c>
      <c r="B4938" s="87" t="s">
        <v>4067</v>
      </c>
      <c r="C4938" s="12" t="s">
        <v>5</v>
      </c>
      <c r="D4938" s="93">
        <v>14.56</v>
      </c>
      <c r="E4938" s="93">
        <v>1.94</v>
      </c>
      <c r="F4938" s="93">
        <v>7.49</v>
      </c>
      <c r="G4938" s="93">
        <v>5.13</v>
      </c>
      <c r="H4938" s="93">
        <v>0</v>
      </c>
      <c r="N4938" s="88"/>
      <c r="O4938" s="88"/>
      <c r="P4938" s="88"/>
    </row>
    <row r="4939" spans="1:16">
      <c r="A4939" s="94">
        <v>101254</v>
      </c>
      <c r="B4939" s="87" t="s">
        <v>4068</v>
      </c>
      <c r="C4939" s="12" t="s">
        <v>5</v>
      </c>
      <c r="D4939" s="93">
        <v>7.7</v>
      </c>
      <c r="E4939" s="93">
        <v>1.69</v>
      </c>
      <c r="F4939" s="93">
        <v>3.38</v>
      </c>
      <c r="G4939" s="93">
        <v>2.63</v>
      </c>
      <c r="H4939" s="93">
        <v>0</v>
      </c>
      <c r="N4939" s="88"/>
      <c r="O4939" s="88"/>
      <c r="P4939" s="88"/>
    </row>
    <row r="4940" spans="1:16">
      <c r="A4940" s="94">
        <v>101255</v>
      </c>
      <c r="B4940" s="87" t="s">
        <v>4069</v>
      </c>
      <c r="C4940" s="12" t="s">
        <v>5</v>
      </c>
      <c r="D4940" s="93">
        <v>6.76</v>
      </c>
      <c r="E4940" s="93">
        <v>1.34</v>
      </c>
      <c r="F4940" s="93">
        <v>3.15</v>
      </c>
      <c r="G4940" s="93">
        <v>2.27</v>
      </c>
      <c r="H4940" s="93">
        <v>0</v>
      </c>
      <c r="N4940" s="88"/>
      <c r="O4940" s="88"/>
      <c r="P4940" s="88"/>
    </row>
    <row r="4941" spans="1:16">
      <c r="A4941" s="94">
        <v>101256</v>
      </c>
      <c r="B4941" s="87" t="s">
        <v>4070</v>
      </c>
      <c r="C4941" s="12" t="s">
        <v>5</v>
      </c>
      <c r="D4941" s="93">
        <v>11.78</v>
      </c>
      <c r="E4941" s="93">
        <v>2.39</v>
      </c>
      <c r="F4941" s="93">
        <v>5.51</v>
      </c>
      <c r="G4941" s="93">
        <v>3.88</v>
      </c>
      <c r="H4941" s="93">
        <v>0</v>
      </c>
      <c r="N4941" s="88"/>
      <c r="O4941" s="88"/>
      <c r="P4941" s="88"/>
    </row>
    <row r="4942" spans="1:16">
      <c r="A4942" s="94">
        <v>101257</v>
      </c>
      <c r="B4942" s="87" t="s">
        <v>4071</v>
      </c>
      <c r="C4942" s="12" t="s">
        <v>5</v>
      </c>
      <c r="D4942" s="93">
        <v>12.39</v>
      </c>
      <c r="E4942" s="93">
        <v>2.39</v>
      </c>
      <c r="F4942" s="93">
        <v>5.97</v>
      </c>
      <c r="G4942" s="93">
        <v>4.03</v>
      </c>
      <c r="H4942" s="93">
        <v>0</v>
      </c>
      <c r="N4942" s="88"/>
      <c r="O4942" s="88"/>
      <c r="P4942" s="88"/>
    </row>
    <row r="4943" spans="1:16">
      <c r="A4943" s="94">
        <v>101258</v>
      </c>
      <c r="B4943" s="87" t="s">
        <v>4072</v>
      </c>
      <c r="C4943" s="12" t="s">
        <v>5</v>
      </c>
      <c r="D4943" s="93">
        <v>14.34</v>
      </c>
      <c r="E4943" s="93">
        <v>2.75</v>
      </c>
      <c r="F4943" s="93">
        <v>6.94</v>
      </c>
      <c r="G4943" s="93">
        <v>4.6500000000000004</v>
      </c>
      <c r="H4943" s="93">
        <v>0</v>
      </c>
      <c r="N4943" s="88"/>
      <c r="O4943" s="88"/>
      <c r="P4943" s="88"/>
    </row>
    <row r="4944" spans="1:16">
      <c r="A4944" s="94">
        <v>101259</v>
      </c>
      <c r="B4944" s="87" t="s">
        <v>4073</v>
      </c>
      <c r="C4944" s="12" t="s">
        <v>5</v>
      </c>
      <c r="D4944" s="93">
        <v>15.93</v>
      </c>
      <c r="E4944" s="93">
        <v>3.09</v>
      </c>
      <c r="F4944" s="93">
        <v>7.67</v>
      </c>
      <c r="G4944" s="93">
        <v>5.17</v>
      </c>
      <c r="H4944" s="93">
        <v>0</v>
      </c>
      <c r="N4944" s="88"/>
      <c r="O4944" s="88"/>
      <c r="P4944" s="88"/>
    </row>
    <row r="4945" spans="1:16">
      <c r="A4945" s="94">
        <v>101260</v>
      </c>
      <c r="B4945" s="87" t="s">
        <v>4074</v>
      </c>
      <c r="C4945" s="12" t="s">
        <v>5</v>
      </c>
      <c r="D4945" s="93">
        <v>19.87</v>
      </c>
      <c r="E4945" s="93">
        <v>3.79</v>
      </c>
      <c r="F4945" s="93">
        <v>9.6999999999999993</v>
      </c>
      <c r="G4945" s="93">
        <v>6.38</v>
      </c>
      <c r="H4945" s="93">
        <v>0</v>
      </c>
      <c r="N4945" s="88"/>
      <c r="O4945" s="88"/>
      <c r="P4945" s="88"/>
    </row>
    <row r="4946" spans="1:16">
      <c r="A4946" s="94">
        <v>101261</v>
      </c>
      <c r="B4946" s="87" t="s">
        <v>4075</v>
      </c>
      <c r="C4946" s="12" t="s">
        <v>5</v>
      </c>
      <c r="D4946" s="93">
        <v>11.11</v>
      </c>
      <c r="E4946" s="93">
        <v>2.1800000000000002</v>
      </c>
      <c r="F4946" s="93">
        <v>5.3</v>
      </c>
      <c r="G4946" s="93">
        <v>3.63</v>
      </c>
      <c r="H4946" s="93">
        <v>0</v>
      </c>
      <c r="N4946" s="88"/>
      <c r="O4946" s="88"/>
      <c r="P4946" s="88"/>
    </row>
    <row r="4947" spans="1:16">
      <c r="A4947" s="94">
        <v>101262</v>
      </c>
      <c r="B4947" s="87" t="s">
        <v>4076</v>
      </c>
      <c r="C4947" s="12" t="s">
        <v>5</v>
      </c>
      <c r="D4947" s="93">
        <v>11.7</v>
      </c>
      <c r="E4947" s="93">
        <v>2.17</v>
      </c>
      <c r="F4947" s="93">
        <v>5.76</v>
      </c>
      <c r="G4947" s="93">
        <v>3.77</v>
      </c>
      <c r="H4947" s="93">
        <v>0</v>
      </c>
      <c r="N4947" s="88"/>
      <c r="O4947" s="88"/>
      <c r="P4947" s="88"/>
    </row>
    <row r="4948" spans="1:16">
      <c r="A4948" s="94">
        <v>101263</v>
      </c>
      <c r="B4948" s="87" t="s">
        <v>4077</v>
      </c>
      <c r="C4948" s="12" t="s">
        <v>5</v>
      </c>
      <c r="D4948" s="93">
        <v>13.51</v>
      </c>
      <c r="E4948" s="93">
        <v>2.4500000000000002</v>
      </c>
      <c r="F4948" s="93">
        <v>6.74</v>
      </c>
      <c r="G4948" s="93">
        <v>4.32</v>
      </c>
      <c r="H4948" s="93">
        <v>0</v>
      </c>
      <c r="N4948" s="88"/>
      <c r="O4948" s="88"/>
      <c r="P4948" s="88"/>
    </row>
    <row r="4949" spans="1:16">
      <c r="A4949" s="94">
        <v>101264</v>
      </c>
      <c r="B4949" s="87" t="s">
        <v>4078</v>
      </c>
      <c r="C4949" s="12" t="s">
        <v>5</v>
      </c>
      <c r="D4949" s="93">
        <v>14.97</v>
      </c>
      <c r="E4949" s="93">
        <v>2.72</v>
      </c>
      <c r="F4949" s="93">
        <v>7.45</v>
      </c>
      <c r="G4949" s="93">
        <v>4.8</v>
      </c>
      <c r="H4949" s="93">
        <v>0</v>
      </c>
      <c r="N4949" s="88"/>
      <c r="O4949" s="88"/>
      <c r="P4949" s="88"/>
    </row>
    <row r="4950" spans="1:16">
      <c r="A4950" s="94">
        <v>101265</v>
      </c>
      <c r="B4950" s="87" t="s">
        <v>4079</v>
      </c>
      <c r="C4950" s="12" t="s">
        <v>5</v>
      </c>
      <c r="D4950" s="93">
        <v>18.62</v>
      </c>
      <c r="E4950" s="93">
        <v>3.28</v>
      </c>
      <c r="F4950" s="93">
        <v>9.4499999999999993</v>
      </c>
      <c r="G4950" s="93">
        <v>5.89</v>
      </c>
      <c r="H4950" s="93">
        <v>0</v>
      </c>
      <c r="N4950" s="88"/>
      <c r="O4950" s="88"/>
      <c r="P4950" s="88"/>
    </row>
    <row r="4951" spans="1:16">
      <c r="A4951" s="94">
        <v>101266</v>
      </c>
      <c r="B4951" s="87" t="s">
        <v>4080</v>
      </c>
      <c r="C4951" s="12" t="s">
        <v>5</v>
      </c>
      <c r="D4951" s="93">
        <v>6.82</v>
      </c>
      <c r="E4951" s="93">
        <v>1.43</v>
      </c>
      <c r="F4951" s="93">
        <v>3.08</v>
      </c>
      <c r="G4951" s="93">
        <v>2.31</v>
      </c>
      <c r="H4951" s="93">
        <v>0</v>
      </c>
      <c r="N4951" s="88"/>
      <c r="O4951" s="88"/>
      <c r="P4951" s="88"/>
    </row>
    <row r="4952" spans="1:16">
      <c r="A4952" s="94">
        <v>101267</v>
      </c>
      <c r="B4952" s="87" t="s">
        <v>4081</v>
      </c>
      <c r="C4952" s="12" t="s">
        <v>5</v>
      </c>
      <c r="D4952" s="93">
        <v>6.54</v>
      </c>
      <c r="E4952" s="93">
        <v>1.39</v>
      </c>
      <c r="F4952" s="93">
        <v>2.95</v>
      </c>
      <c r="G4952" s="93">
        <v>2.2000000000000002</v>
      </c>
      <c r="H4952" s="93">
        <v>0</v>
      </c>
      <c r="N4952" s="88"/>
      <c r="O4952" s="88"/>
      <c r="P4952" s="88"/>
    </row>
    <row r="4953" spans="1:16">
      <c r="A4953" s="94">
        <v>101268</v>
      </c>
      <c r="B4953" s="87" t="s">
        <v>4082</v>
      </c>
      <c r="C4953" s="12" t="s">
        <v>5</v>
      </c>
      <c r="D4953" s="93">
        <v>10.66</v>
      </c>
      <c r="E4953" s="93">
        <v>2.02</v>
      </c>
      <c r="F4953" s="93">
        <v>5.19</v>
      </c>
      <c r="G4953" s="93">
        <v>3.45</v>
      </c>
      <c r="H4953" s="93">
        <v>0</v>
      </c>
      <c r="N4953" s="88"/>
      <c r="O4953" s="88"/>
      <c r="P4953" s="88"/>
    </row>
    <row r="4954" spans="1:16">
      <c r="A4954" s="94">
        <v>101269</v>
      </c>
      <c r="B4954" s="87" t="s">
        <v>4083</v>
      </c>
      <c r="C4954" s="12" t="s">
        <v>5</v>
      </c>
      <c r="D4954" s="93">
        <v>11.87</v>
      </c>
      <c r="E4954" s="93">
        <v>2.3199999999999998</v>
      </c>
      <c r="F4954" s="93">
        <v>5.7</v>
      </c>
      <c r="G4954" s="93">
        <v>3.85</v>
      </c>
      <c r="H4954" s="93">
        <v>0</v>
      </c>
      <c r="N4954" s="88"/>
      <c r="O4954" s="88"/>
      <c r="P4954" s="88"/>
    </row>
    <row r="4955" spans="1:16">
      <c r="A4955" s="94">
        <v>101270</v>
      </c>
      <c r="B4955" s="87" t="s">
        <v>4084</v>
      </c>
      <c r="C4955" s="12" t="s">
        <v>5</v>
      </c>
      <c r="D4955" s="93">
        <v>13.73</v>
      </c>
      <c r="E4955" s="93">
        <v>2.61</v>
      </c>
      <c r="F4955" s="93">
        <v>6.7</v>
      </c>
      <c r="G4955" s="93">
        <v>4.42</v>
      </c>
      <c r="H4955" s="93">
        <v>0</v>
      </c>
      <c r="N4955" s="88"/>
      <c r="O4955" s="88"/>
      <c r="P4955" s="88"/>
    </row>
    <row r="4956" spans="1:16">
      <c r="A4956" s="94">
        <v>101271</v>
      </c>
      <c r="B4956" s="87" t="s">
        <v>4085</v>
      </c>
      <c r="C4956" s="12" t="s">
        <v>5</v>
      </c>
      <c r="D4956" s="93">
        <v>15.22</v>
      </c>
      <c r="E4956" s="93">
        <v>2.91</v>
      </c>
      <c r="F4956" s="93">
        <v>7.41</v>
      </c>
      <c r="G4956" s="93">
        <v>4.9000000000000004</v>
      </c>
      <c r="H4956" s="93">
        <v>0</v>
      </c>
      <c r="N4956" s="88"/>
      <c r="O4956" s="88"/>
      <c r="P4956" s="88"/>
    </row>
    <row r="4957" spans="1:16">
      <c r="A4957" s="94">
        <v>101272</v>
      </c>
      <c r="B4957" s="87" t="s">
        <v>4086</v>
      </c>
      <c r="C4957" s="12" t="s">
        <v>5</v>
      </c>
      <c r="D4957" s="93">
        <v>18.940000000000001</v>
      </c>
      <c r="E4957" s="93">
        <v>3.5</v>
      </c>
      <c r="F4957" s="93">
        <v>9.41</v>
      </c>
      <c r="G4957" s="93">
        <v>6.03</v>
      </c>
      <c r="H4957" s="93">
        <v>0</v>
      </c>
      <c r="N4957" s="88"/>
      <c r="O4957" s="88"/>
      <c r="P4957" s="88"/>
    </row>
    <row r="4958" spans="1:16">
      <c r="A4958" s="94">
        <v>101273</v>
      </c>
      <c r="B4958" s="87" t="s">
        <v>4087</v>
      </c>
      <c r="C4958" s="12" t="s">
        <v>5</v>
      </c>
      <c r="D4958" s="93">
        <v>10.17</v>
      </c>
      <c r="E4958" s="93">
        <v>1.87</v>
      </c>
      <c r="F4958" s="93">
        <v>5.04</v>
      </c>
      <c r="G4958" s="93">
        <v>3.26</v>
      </c>
      <c r="H4958" s="93">
        <v>0</v>
      </c>
      <c r="N4958" s="88"/>
      <c r="O4958" s="88"/>
      <c r="P4958" s="88"/>
    </row>
    <row r="4959" spans="1:16">
      <c r="A4959" s="94">
        <v>101274</v>
      </c>
      <c r="B4959" s="87" t="s">
        <v>4088</v>
      </c>
      <c r="C4959" s="12" t="s">
        <v>5</v>
      </c>
      <c r="D4959" s="93">
        <v>11.24</v>
      </c>
      <c r="E4959" s="93">
        <v>2.09</v>
      </c>
      <c r="F4959" s="93">
        <v>5.55</v>
      </c>
      <c r="G4959" s="93">
        <v>3.6</v>
      </c>
      <c r="H4959" s="93">
        <v>0</v>
      </c>
      <c r="N4959" s="88"/>
      <c r="O4959" s="88"/>
      <c r="P4959" s="88"/>
    </row>
    <row r="4960" spans="1:16">
      <c r="A4960" s="94">
        <v>101275</v>
      </c>
      <c r="B4960" s="87" t="s">
        <v>4089</v>
      </c>
      <c r="C4960" s="12" t="s">
        <v>5</v>
      </c>
      <c r="D4960" s="93">
        <v>12.98</v>
      </c>
      <c r="E4960" s="93">
        <v>2.33</v>
      </c>
      <c r="F4960" s="93">
        <v>6.52</v>
      </c>
      <c r="G4960" s="93">
        <v>4.13</v>
      </c>
      <c r="H4960" s="93">
        <v>0</v>
      </c>
      <c r="N4960" s="88"/>
      <c r="O4960" s="88"/>
      <c r="P4960" s="88"/>
    </row>
    <row r="4961" spans="1:16">
      <c r="A4961" s="94">
        <v>101276</v>
      </c>
      <c r="B4961" s="87" t="s">
        <v>4090</v>
      </c>
      <c r="C4961" s="12" t="s">
        <v>5</v>
      </c>
      <c r="D4961" s="93">
        <v>14.34</v>
      </c>
      <c r="E4961" s="93">
        <v>2.57</v>
      </c>
      <c r="F4961" s="93">
        <v>7.23</v>
      </c>
      <c r="G4961" s="93">
        <v>4.54</v>
      </c>
      <c r="H4961" s="93">
        <v>0</v>
      </c>
      <c r="N4961" s="88"/>
      <c r="O4961" s="88"/>
      <c r="P4961" s="88"/>
    </row>
    <row r="4962" spans="1:16">
      <c r="A4962" s="94">
        <v>101277</v>
      </c>
      <c r="B4962" s="87" t="s">
        <v>4091</v>
      </c>
      <c r="C4962" s="12" t="s">
        <v>5</v>
      </c>
      <c r="D4962" s="93">
        <v>18.3</v>
      </c>
      <c r="E4962" s="93">
        <v>3.27</v>
      </c>
      <c r="F4962" s="93">
        <v>9.24</v>
      </c>
      <c r="G4962" s="93">
        <v>5.79</v>
      </c>
      <c r="H4962" s="93">
        <v>0</v>
      </c>
      <c r="N4962" s="88"/>
      <c r="O4962" s="88"/>
      <c r="P4962" s="88"/>
    </row>
    <row r="4963" spans="1:16">
      <c r="A4963" s="94">
        <v>72915</v>
      </c>
      <c r="B4963" s="87" t="s">
        <v>6842</v>
      </c>
      <c r="C4963" s="12" t="s">
        <v>5</v>
      </c>
      <c r="D4963" s="93">
        <v>10</v>
      </c>
      <c r="E4963" s="93">
        <v>3.12</v>
      </c>
      <c r="F4963" s="93">
        <v>3.11</v>
      </c>
      <c r="G4963" s="93">
        <v>3.77</v>
      </c>
      <c r="H4963" s="93">
        <v>0</v>
      </c>
      <c r="N4963" s="88"/>
      <c r="O4963" s="88"/>
      <c r="P4963" s="88"/>
    </row>
    <row r="4964" spans="1:16">
      <c r="A4964" s="94">
        <v>72917</v>
      </c>
      <c r="B4964" s="87" t="s">
        <v>6843</v>
      </c>
      <c r="C4964" s="12" t="s">
        <v>5</v>
      </c>
      <c r="D4964" s="93">
        <v>11.42</v>
      </c>
      <c r="E4964" s="93">
        <v>3.57</v>
      </c>
      <c r="F4964" s="93">
        <v>3.53</v>
      </c>
      <c r="G4964" s="93">
        <v>4.32</v>
      </c>
      <c r="H4964" s="93">
        <v>0</v>
      </c>
      <c r="N4964" s="88"/>
      <c r="O4964" s="88"/>
      <c r="P4964" s="88"/>
    </row>
    <row r="4965" spans="1:16">
      <c r="A4965" s="94">
        <v>72918</v>
      </c>
      <c r="B4965" s="87" t="s">
        <v>6844</v>
      </c>
      <c r="C4965" s="12" t="s">
        <v>5</v>
      </c>
      <c r="D4965" s="93">
        <v>13.33</v>
      </c>
      <c r="E4965" s="93">
        <v>4.16</v>
      </c>
      <c r="F4965" s="93">
        <v>4.1500000000000004</v>
      </c>
      <c r="G4965" s="93">
        <v>5.0199999999999996</v>
      </c>
      <c r="H4965" s="93">
        <v>0</v>
      </c>
      <c r="N4965" s="88"/>
      <c r="O4965" s="88"/>
      <c r="P4965" s="88"/>
    </row>
    <row r="4966" spans="1:16">
      <c r="A4966" s="95" t="s">
        <v>6845</v>
      </c>
      <c r="B4966" s="87" t="s">
        <v>6846</v>
      </c>
      <c r="C4966" s="12" t="s">
        <v>5</v>
      </c>
      <c r="D4966" s="93">
        <v>151.1</v>
      </c>
      <c r="E4966" s="93">
        <v>106.4</v>
      </c>
      <c r="F4966" s="93">
        <v>44.7</v>
      </c>
      <c r="G4966" s="93">
        <v>0</v>
      </c>
      <c r="H4966" s="93">
        <v>0</v>
      </c>
      <c r="N4966" s="88"/>
      <c r="O4966" s="88"/>
      <c r="P4966" s="88"/>
    </row>
    <row r="4967" spans="1:16">
      <c r="A4967" s="95" t="s">
        <v>6847</v>
      </c>
      <c r="B4967" s="87" t="s">
        <v>6848</v>
      </c>
      <c r="C4967" s="12" t="s">
        <v>5</v>
      </c>
      <c r="D4967" s="93">
        <v>226.65</v>
      </c>
      <c r="E4967" s="93">
        <v>159.6</v>
      </c>
      <c r="F4967" s="93">
        <v>67.05</v>
      </c>
      <c r="G4967" s="93">
        <v>0</v>
      </c>
      <c r="H4967" s="93">
        <v>0</v>
      </c>
      <c r="N4967" s="88"/>
      <c r="O4967" s="88"/>
      <c r="P4967" s="88"/>
    </row>
    <row r="4968" spans="1:16">
      <c r="A4968" s="94">
        <v>83343</v>
      </c>
      <c r="B4968" s="87" t="s">
        <v>6849</v>
      </c>
      <c r="C4968" s="12" t="s">
        <v>5</v>
      </c>
      <c r="D4968" s="93">
        <v>13.01</v>
      </c>
      <c r="E4968" s="93">
        <v>4.74</v>
      </c>
      <c r="F4968" s="93">
        <v>4.1399999999999997</v>
      </c>
      <c r="G4968" s="93">
        <v>4.13</v>
      </c>
      <c r="H4968" s="93">
        <v>0</v>
      </c>
      <c r="N4968" s="88"/>
      <c r="O4968" s="88"/>
      <c r="P4968" s="88"/>
    </row>
    <row r="4969" spans="1:16">
      <c r="A4969" s="94">
        <v>90082</v>
      </c>
      <c r="B4969" s="87" t="s">
        <v>6850</v>
      </c>
      <c r="C4969" s="12" t="s">
        <v>5</v>
      </c>
      <c r="D4969" s="93">
        <v>8.26</v>
      </c>
      <c r="E4969" s="93">
        <v>2.92</v>
      </c>
      <c r="F4969" s="93">
        <v>1.92</v>
      </c>
      <c r="G4969" s="93">
        <v>3.42</v>
      </c>
      <c r="H4969" s="93">
        <v>0</v>
      </c>
      <c r="N4969" s="88"/>
      <c r="O4969" s="88"/>
      <c r="P4969" s="88"/>
    </row>
    <row r="4970" spans="1:16">
      <c r="A4970" s="94">
        <v>90084</v>
      </c>
      <c r="B4970" s="87" t="s">
        <v>6851</v>
      </c>
      <c r="C4970" s="12" t="s">
        <v>5</v>
      </c>
      <c r="D4970" s="93">
        <v>8.02</v>
      </c>
      <c r="E4970" s="93">
        <v>2.85</v>
      </c>
      <c r="F4970" s="93">
        <v>1.84</v>
      </c>
      <c r="G4970" s="93">
        <v>3.33</v>
      </c>
      <c r="H4970" s="93">
        <v>0</v>
      </c>
      <c r="N4970" s="88"/>
      <c r="O4970" s="88"/>
      <c r="P4970" s="88"/>
    </row>
    <row r="4971" spans="1:16">
      <c r="A4971" s="94">
        <v>90085</v>
      </c>
      <c r="B4971" s="87" t="s">
        <v>6852</v>
      </c>
      <c r="C4971" s="12" t="s">
        <v>5</v>
      </c>
      <c r="D4971" s="93">
        <v>7.53</v>
      </c>
      <c r="E4971" s="93">
        <v>2.69</v>
      </c>
      <c r="F4971" s="93">
        <v>1.72</v>
      </c>
      <c r="G4971" s="93">
        <v>3.12</v>
      </c>
      <c r="H4971" s="93">
        <v>0</v>
      </c>
      <c r="N4971" s="88"/>
      <c r="O4971" s="88"/>
      <c r="P4971" s="88"/>
    </row>
    <row r="4972" spans="1:16">
      <c r="A4972" s="94">
        <v>90086</v>
      </c>
      <c r="B4972" s="87" t="s">
        <v>6853</v>
      </c>
      <c r="C4972" s="12" t="s">
        <v>5</v>
      </c>
      <c r="D4972" s="93">
        <v>7.63</v>
      </c>
      <c r="E4972" s="93">
        <v>2.71</v>
      </c>
      <c r="F4972" s="93">
        <v>1.75</v>
      </c>
      <c r="G4972" s="93">
        <v>3.17</v>
      </c>
      <c r="H4972" s="93">
        <v>0</v>
      </c>
      <c r="N4972" s="88"/>
      <c r="O4972" s="88"/>
      <c r="P4972" s="88"/>
    </row>
    <row r="4973" spans="1:16">
      <c r="A4973" s="94">
        <v>90087</v>
      </c>
      <c r="B4973" s="87" t="s">
        <v>6854</v>
      </c>
      <c r="C4973" s="12" t="s">
        <v>5</v>
      </c>
      <c r="D4973" s="93">
        <v>6.46</v>
      </c>
      <c r="E4973" s="93">
        <v>2.0499999999999998</v>
      </c>
      <c r="F4973" s="93">
        <v>1.73</v>
      </c>
      <c r="G4973" s="93">
        <v>2.68</v>
      </c>
      <c r="H4973" s="93">
        <v>0</v>
      </c>
      <c r="N4973" s="88"/>
      <c r="O4973" s="88"/>
      <c r="P4973" s="88"/>
    </row>
    <row r="4974" spans="1:16">
      <c r="A4974" s="94">
        <v>90088</v>
      </c>
      <c r="B4974" s="87" t="s">
        <v>6855</v>
      </c>
      <c r="C4974" s="12" t="s">
        <v>5</v>
      </c>
      <c r="D4974" s="93">
        <v>6.59</v>
      </c>
      <c r="E4974" s="93">
        <v>2.1</v>
      </c>
      <c r="F4974" s="93">
        <v>1.74</v>
      </c>
      <c r="G4974" s="93">
        <v>2.75</v>
      </c>
      <c r="H4974" s="93">
        <v>0</v>
      </c>
      <c r="N4974" s="88"/>
      <c r="O4974" s="88"/>
      <c r="P4974" s="88"/>
    </row>
    <row r="4975" spans="1:16">
      <c r="A4975" s="94">
        <v>90090</v>
      </c>
      <c r="B4975" s="87" t="s">
        <v>6856</v>
      </c>
      <c r="C4975" s="12" t="s">
        <v>5</v>
      </c>
      <c r="D4975" s="93">
        <v>6.33</v>
      </c>
      <c r="E4975" s="93">
        <v>2.0099999999999998</v>
      </c>
      <c r="F4975" s="93">
        <v>1.68</v>
      </c>
      <c r="G4975" s="93">
        <v>2.64</v>
      </c>
      <c r="H4975" s="93">
        <v>0</v>
      </c>
      <c r="N4975" s="88"/>
      <c r="O4975" s="88"/>
      <c r="P4975" s="88"/>
    </row>
    <row r="4976" spans="1:16">
      <c r="A4976" s="94">
        <v>90091</v>
      </c>
      <c r="B4976" s="87" t="s">
        <v>6857</v>
      </c>
      <c r="C4976" s="12" t="s">
        <v>5</v>
      </c>
      <c r="D4976" s="93">
        <v>4.92</v>
      </c>
      <c r="E4976" s="93">
        <v>1.74</v>
      </c>
      <c r="F4976" s="93">
        <v>1.1100000000000001</v>
      </c>
      <c r="G4976" s="93">
        <v>2.0699999999999998</v>
      </c>
      <c r="H4976" s="93">
        <v>0</v>
      </c>
      <c r="N4976" s="88"/>
      <c r="O4976" s="88"/>
      <c r="P4976" s="88"/>
    </row>
    <row r="4977" spans="1:16">
      <c r="A4977" s="94">
        <v>90092</v>
      </c>
      <c r="B4977" s="87" t="s">
        <v>6858</v>
      </c>
      <c r="C4977" s="12" t="s">
        <v>5</v>
      </c>
      <c r="D4977" s="93">
        <v>4.78</v>
      </c>
      <c r="E4977" s="93">
        <v>1.7</v>
      </c>
      <c r="F4977" s="93">
        <v>1.08</v>
      </c>
      <c r="G4977" s="93">
        <v>2</v>
      </c>
      <c r="H4977" s="93">
        <v>0</v>
      </c>
      <c r="N4977" s="88"/>
      <c r="O4977" s="88"/>
      <c r="P4977" s="88"/>
    </row>
    <row r="4978" spans="1:16">
      <c r="A4978" s="94">
        <v>90093</v>
      </c>
      <c r="B4978" s="87" t="s">
        <v>6859</v>
      </c>
      <c r="C4978" s="12" t="s">
        <v>5</v>
      </c>
      <c r="D4978" s="93">
        <v>4.5</v>
      </c>
      <c r="E4978" s="93">
        <v>1.6</v>
      </c>
      <c r="F4978" s="93">
        <v>1.03</v>
      </c>
      <c r="G4978" s="93">
        <v>1.87</v>
      </c>
      <c r="H4978" s="93">
        <v>0</v>
      </c>
      <c r="N4978" s="88"/>
      <c r="O4978" s="88"/>
      <c r="P4978" s="88"/>
    </row>
    <row r="4979" spans="1:16">
      <c r="A4979" s="94">
        <v>90094</v>
      </c>
      <c r="B4979" s="87" t="s">
        <v>6860</v>
      </c>
      <c r="C4979" s="12" t="s">
        <v>5</v>
      </c>
      <c r="D4979" s="93">
        <v>4.54</v>
      </c>
      <c r="E4979" s="93">
        <v>1.61</v>
      </c>
      <c r="F4979" s="93">
        <v>1.04</v>
      </c>
      <c r="G4979" s="93">
        <v>1.89</v>
      </c>
      <c r="H4979" s="93">
        <v>0</v>
      </c>
      <c r="N4979" s="88"/>
      <c r="O4979" s="88"/>
      <c r="P4979" s="88"/>
    </row>
    <row r="4980" spans="1:16">
      <c r="A4980" s="94">
        <v>90095</v>
      </c>
      <c r="B4980" s="87" t="s">
        <v>6861</v>
      </c>
      <c r="C4980" s="12" t="s">
        <v>5</v>
      </c>
      <c r="D4980" s="93">
        <v>3.85</v>
      </c>
      <c r="E4980" s="93">
        <v>1.23</v>
      </c>
      <c r="F4980" s="93">
        <v>1.01</v>
      </c>
      <c r="G4980" s="93">
        <v>1.61</v>
      </c>
      <c r="H4980" s="93">
        <v>0</v>
      </c>
      <c r="N4980" s="88"/>
      <c r="O4980" s="88"/>
      <c r="P4980" s="88"/>
    </row>
    <row r="4981" spans="1:16">
      <c r="A4981" s="94">
        <v>90096</v>
      </c>
      <c r="B4981" s="87" t="s">
        <v>6862</v>
      </c>
      <c r="C4981" s="12" t="s">
        <v>5</v>
      </c>
      <c r="D4981" s="93">
        <v>3.93</v>
      </c>
      <c r="E4981" s="93">
        <v>1.26</v>
      </c>
      <c r="F4981" s="93">
        <v>1.02</v>
      </c>
      <c r="G4981" s="93">
        <v>1.65</v>
      </c>
      <c r="H4981" s="93">
        <v>0</v>
      </c>
      <c r="N4981" s="88"/>
      <c r="O4981" s="88"/>
      <c r="P4981" s="88"/>
    </row>
    <row r="4982" spans="1:16">
      <c r="A4982" s="94">
        <v>90098</v>
      </c>
      <c r="B4982" s="87" t="s">
        <v>6863</v>
      </c>
      <c r="C4982" s="12" t="s">
        <v>5</v>
      </c>
      <c r="D4982" s="93">
        <v>3.78</v>
      </c>
      <c r="E4982" s="93">
        <v>1.21</v>
      </c>
      <c r="F4982" s="93">
        <v>0.98</v>
      </c>
      <c r="G4982" s="93">
        <v>1.59</v>
      </c>
      <c r="H4982" s="93">
        <v>0</v>
      </c>
      <c r="N4982" s="88"/>
      <c r="O4982" s="88"/>
      <c r="P4982" s="88"/>
    </row>
    <row r="4983" spans="1:16">
      <c r="A4983" s="94">
        <v>90099</v>
      </c>
      <c r="B4983" s="87" t="s">
        <v>6864</v>
      </c>
      <c r="C4983" s="12" t="s">
        <v>5</v>
      </c>
      <c r="D4983" s="93">
        <v>11.41</v>
      </c>
      <c r="E4983" s="93">
        <v>5.21</v>
      </c>
      <c r="F4983" s="93">
        <v>2.87</v>
      </c>
      <c r="G4983" s="93">
        <v>3.33</v>
      </c>
      <c r="H4983" s="93">
        <v>0</v>
      </c>
      <c r="N4983" s="88"/>
      <c r="O4983" s="88"/>
      <c r="P4983" s="88"/>
    </row>
    <row r="4984" spans="1:16">
      <c r="A4984" s="94">
        <v>90100</v>
      </c>
      <c r="B4984" s="87" t="s">
        <v>6865</v>
      </c>
      <c r="C4984" s="12" t="s">
        <v>5</v>
      </c>
      <c r="D4984" s="93">
        <v>9.6999999999999993</v>
      </c>
      <c r="E4984" s="93">
        <v>4.42</v>
      </c>
      <c r="F4984" s="93">
        <v>2.4500000000000002</v>
      </c>
      <c r="G4984" s="93">
        <v>2.83</v>
      </c>
      <c r="H4984" s="93">
        <v>0</v>
      </c>
      <c r="N4984" s="88"/>
      <c r="O4984" s="88"/>
      <c r="P4984" s="88"/>
    </row>
    <row r="4985" spans="1:16">
      <c r="A4985" s="94">
        <v>90101</v>
      </c>
      <c r="B4985" s="87" t="s">
        <v>6866</v>
      </c>
      <c r="C4985" s="12" t="s">
        <v>5</v>
      </c>
      <c r="D4985" s="93">
        <v>9.58</v>
      </c>
      <c r="E4985" s="93">
        <v>4.37</v>
      </c>
      <c r="F4985" s="93">
        <v>2.42</v>
      </c>
      <c r="G4985" s="93">
        <v>2.79</v>
      </c>
      <c r="H4985" s="93">
        <v>0</v>
      </c>
      <c r="N4985" s="88"/>
      <c r="O4985" s="88"/>
      <c r="P4985" s="88"/>
    </row>
    <row r="4986" spans="1:16">
      <c r="A4986" s="94">
        <v>90102</v>
      </c>
      <c r="B4986" s="87" t="s">
        <v>6867</v>
      </c>
      <c r="C4986" s="12" t="s">
        <v>5</v>
      </c>
      <c r="D4986" s="93">
        <v>8.7200000000000006</v>
      </c>
      <c r="E4986" s="93">
        <v>3.99</v>
      </c>
      <c r="F4986" s="93">
        <v>2.19</v>
      </c>
      <c r="G4986" s="93">
        <v>2.54</v>
      </c>
      <c r="H4986" s="93">
        <v>0</v>
      </c>
      <c r="N4986" s="88"/>
      <c r="O4986" s="88"/>
      <c r="P4986" s="88"/>
    </row>
    <row r="4987" spans="1:16">
      <c r="A4987" s="94">
        <v>90105</v>
      </c>
      <c r="B4987" s="87" t="s">
        <v>6868</v>
      </c>
      <c r="C4987" s="12" t="s">
        <v>5</v>
      </c>
      <c r="D4987" s="93">
        <v>6.81</v>
      </c>
      <c r="E4987" s="93">
        <v>3.13</v>
      </c>
      <c r="F4987" s="93">
        <v>1.69</v>
      </c>
      <c r="G4987" s="93">
        <v>1.99</v>
      </c>
      <c r="H4987" s="93">
        <v>0</v>
      </c>
      <c r="N4987" s="88"/>
      <c r="O4987" s="88"/>
      <c r="P4987" s="88"/>
    </row>
    <row r="4988" spans="1:16">
      <c r="A4988" s="94">
        <v>90106</v>
      </c>
      <c r="B4988" s="87" t="s">
        <v>6869</v>
      </c>
      <c r="C4988" s="12" t="s">
        <v>5</v>
      </c>
      <c r="D4988" s="93">
        <v>5.79</v>
      </c>
      <c r="E4988" s="93">
        <v>2.65</v>
      </c>
      <c r="F4988" s="93">
        <v>1.43</v>
      </c>
      <c r="G4988" s="93">
        <v>1.71</v>
      </c>
      <c r="H4988" s="93">
        <v>0</v>
      </c>
      <c r="N4988" s="88"/>
      <c r="O4988" s="88"/>
      <c r="P4988" s="88"/>
    </row>
    <row r="4989" spans="1:16">
      <c r="A4989" s="94">
        <v>90107</v>
      </c>
      <c r="B4989" s="87" t="s">
        <v>6870</v>
      </c>
      <c r="C4989" s="12" t="s">
        <v>5</v>
      </c>
      <c r="D4989" s="93">
        <v>5.72</v>
      </c>
      <c r="E4989" s="93">
        <v>2.63</v>
      </c>
      <c r="F4989" s="93">
        <v>1.4</v>
      </c>
      <c r="G4989" s="93">
        <v>1.69</v>
      </c>
      <c r="H4989" s="93">
        <v>0</v>
      </c>
      <c r="N4989" s="88"/>
      <c r="O4989" s="88"/>
      <c r="P4989" s="88"/>
    </row>
    <row r="4990" spans="1:16">
      <c r="A4990" s="94">
        <v>90108</v>
      </c>
      <c r="B4990" s="87" t="s">
        <v>6871</v>
      </c>
      <c r="C4990" s="12" t="s">
        <v>5</v>
      </c>
      <c r="D4990" s="93">
        <v>5.2</v>
      </c>
      <c r="E4990" s="93">
        <v>2.38</v>
      </c>
      <c r="F4990" s="93">
        <v>1.3</v>
      </c>
      <c r="G4990" s="93">
        <v>1.52</v>
      </c>
      <c r="H4990" s="93">
        <v>0</v>
      </c>
      <c r="N4990" s="88"/>
      <c r="O4990" s="88"/>
      <c r="P4990" s="88"/>
    </row>
    <row r="4991" spans="1:16">
      <c r="A4991" s="94">
        <v>93358</v>
      </c>
      <c r="B4991" s="87" t="s">
        <v>6872</v>
      </c>
      <c r="C4991" s="12" t="s">
        <v>5</v>
      </c>
      <c r="D4991" s="93">
        <v>59.77</v>
      </c>
      <c r="E4991" s="93">
        <v>42.11</v>
      </c>
      <c r="F4991" s="93">
        <v>17.66</v>
      </c>
      <c r="G4991" s="93">
        <v>0</v>
      </c>
      <c r="H4991" s="93">
        <v>0</v>
      </c>
      <c r="N4991" s="88"/>
      <c r="O4991" s="88"/>
      <c r="P4991" s="88"/>
    </row>
    <row r="4992" spans="1:16">
      <c r="A4992" s="94">
        <v>94304</v>
      </c>
      <c r="B4992" s="87" t="s">
        <v>4092</v>
      </c>
      <c r="C4992" s="12" t="s">
        <v>5</v>
      </c>
      <c r="D4992" s="93">
        <v>28.41</v>
      </c>
      <c r="E4992" s="93">
        <v>7.34</v>
      </c>
      <c r="F4992" s="93">
        <v>16.63</v>
      </c>
      <c r="G4992" s="93">
        <v>4.4400000000000004</v>
      </c>
      <c r="H4992" s="93">
        <v>0</v>
      </c>
      <c r="N4992" s="88"/>
      <c r="O4992" s="88"/>
      <c r="P4992" s="88"/>
    </row>
    <row r="4993" spans="1:16">
      <c r="A4993" s="94">
        <v>94305</v>
      </c>
      <c r="B4993" s="87" t="s">
        <v>4093</v>
      </c>
      <c r="C4993" s="12" t="s">
        <v>5</v>
      </c>
      <c r="D4993" s="93">
        <v>25.18</v>
      </c>
      <c r="E4993" s="93">
        <v>5.5</v>
      </c>
      <c r="F4993" s="93">
        <v>15.91</v>
      </c>
      <c r="G4993" s="93">
        <v>3.77</v>
      </c>
      <c r="H4993" s="93">
        <v>0</v>
      </c>
      <c r="N4993" s="88"/>
      <c r="O4993" s="88"/>
      <c r="P4993" s="88"/>
    </row>
    <row r="4994" spans="1:16">
      <c r="A4994" s="94">
        <v>94306</v>
      </c>
      <c r="B4994" s="87" t="s">
        <v>4094</v>
      </c>
      <c r="C4994" s="12" t="s">
        <v>5</v>
      </c>
      <c r="D4994" s="93">
        <v>21.11</v>
      </c>
      <c r="E4994" s="93">
        <v>3.09</v>
      </c>
      <c r="F4994" s="93">
        <v>15.08</v>
      </c>
      <c r="G4994" s="93">
        <v>2.94</v>
      </c>
      <c r="H4994" s="93">
        <v>0</v>
      </c>
      <c r="N4994" s="88"/>
      <c r="O4994" s="88"/>
      <c r="P4994" s="88"/>
    </row>
    <row r="4995" spans="1:16">
      <c r="A4995" s="94">
        <v>94307</v>
      </c>
      <c r="B4995" s="87" t="s">
        <v>4095</v>
      </c>
      <c r="C4995" s="12" t="s">
        <v>5</v>
      </c>
      <c r="D4995" s="93">
        <v>22.01</v>
      </c>
      <c r="E4995" s="93">
        <v>3.61</v>
      </c>
      <c r="F4995" s="93">
        <v>15.27</v>
      </c>
      <c r="G4995" s="93">
        <v>3.13</v>
      </c>
      <c r="H4995" s="93">
        <v>0</v>
      </c>
      <c r="N4995" s="88"/>
      <c r="O4995" s="88"/>
      <c r="P4995" s="88"/>
    </row>
    <row r="4996" spans="1:16">
      <c r="A4996" s="94">
        <v>94308</v>
      </c>
      <c r="B4996" s="87" t="s">
        <v>4096</v>
      </c>
      <c r="C4996" s="12" t="s">
        <v>5</v>
      </c>
      <c r="D4996" s="93">
        <v>19.64</v>
      </c>
      <c r="E4996" s="93">
        <v>2.38</v>
      </c>
      <c r="F4996" s="93">
        <v>14.76</v>
      </c>
      <c r="G4996" s="93">
        <v>2.5</v>
      </c>
      <c r="H4996" s="93">
        <v>0</v>
      </c>
      <c r="N4996" s="88"/>
      <c r="O4996" s="88"/>
      <c r="P4996" s="88"/>
    </row>
    <row r="4997" spans="1:16">
      <c r="A4997" s="94">
        <v>94309</v>
      </c>
      <c r="B4997" s="87" t="s">
        <v>4097</v>
      </c>
      <c r="C4997" s="12" t="s">
        <v>5</v>
      </c>
      <c r="D4997" s="93">
        <v>20.68</v>
      </c>
      <c r="E4997" s="93">
        <v>2.88</v>
      </c>
      <c r="F4997" s="93">
        <v>14.97</v>
      </c>
      <c r="G4997" s="93">
        <v>2.83</v>
      </c>
      <c r="H4997" s="93">
        <v>0</v>
      </c>
      <c r="N4997" s="88"/>
      <c r="O4997" s="88"/>
      <c r="P4997" s="88"/>
    </row>
    <row r="4998" spans="1:16">
      <c r="A4998" s="94">
        <v>94310</v>
      </c>
      <c r="B4998" s="87" t="s">
        <v>4098</v>
      </c>
      <c r="C4998" s="12" t="s">
        <v>5</v>
      </c>
      <c r="D4998" s="93">
        <v>18.920000000000002</v>
      </c>
      <c r="E4998" s="93">
        <v>2.0299999999999998</v>
      </c>
      <c r="F4998" s="93">
        <v>14.6</v>
      </c>
      <c r="G4998" s="93">
        <v>2.29</v>
      </c>
      <c r="H4998" s="93">
        <v>0</v>
      </c>
      <c r="N4998" s="88"/>
      <c r="O4998" s="88"/>
      <c r="P4998" s="88"/>
    </row>
    <row r="4999" spans="1:16">
      <c r="A4999" s="94">
        <v>94315</v>
      </c>
      <c r="B4999" s="87" t="s">
        <v>397</v>
      </c>
      <c r="C4999" s="12" t="s">
        <v>5</v>
      </c>
      <c r="D4999" s="93">
        <v>37.11</v>
      </c>
      <c r="E4999" s="93">
        <v>15.25</v>
      </c>
      <c r="F4999" s="93">
        <v>18.59</v>
      </c>
      <c r="G4999" s="93">
        <v>3.27</v>
      </c>
      <c r="H4999" s="93">
        <v>0</v>
      </c>
      <c r="N4999" s="88"/>
      <c r="O4999" s="88"/>
      <c r="P4999" s="88"/>
    </row>
    <row r="5000" spans="1:16">
      <c r="A5000" s="94">
        <v>94316</v>
      </c>
      <c r="B5000" s="87" t="s">
        <v>4099</v>
      </c>
      <c r="C5000" s="12" t="s">
        <v>5</v>
      </c>
      <c r="D5000" s="93">
        <v>29.05</v>
      </c>
      <c r="E5000" s="93">
        <v>9.85</v>
      </c>
      <c r="F5000" s="93">
        <v>16.84</v>
      </c>
      <c r="G5000" s="93">
        <v>2.36</v>
      </c>
      <c r="H5000" s="93">
        <v>0</v>
      </c>
      <c r="N5000" s="88"/>
      <c r="O5000" s="88"/>
      <c r="P5000" s="88"/>
    </row>
    <row r="5001" spans="1:16">
      <c r="A5001" s="94">
        <v>94317</v>
      </c>
      <c r="B5001" s="87" t="s">
        <v>398</v>
      </c>
      <c r="C5001" s="12" t="s">
        <v>5</v>
      </c>
      <c r="D5001" s="93">
        <v>25.48</v>
      </c>
      <c r="E5001" s="93">
        <v>7.45</v>
      </c>
      <c r="F5001" s="93">
        <v>16.059999999999999</v>
      </c>
      <c r="G5001" s="93">
        <v>1.97</v>
      </c>
      <c r="H5001" s="93">
        <v>0</v>
      </c>
      <c r="N5001" s="88"/>
      <c r="O5001" s="88"/>
      <c r="P5001" s="88"/>
    </row>
    <row r="5002" spans="1:16">
      <c r="A5002" s="94">
        <v>94318</v>
      </c>
      <c r="B5002" s="87" t="s">
        <v>4100</v>
      </c>
      <c r="C5002" s="12" t="s">
        <v>5</v>
      </c>
      <c r="D5002" s="93">
        <v>20.88</v>
      </c>
      <c r="E5002" s="93">
        <v>4.3499999999999996</v>
      </c>
      <c r="F5002" s="93">
        <v>15.06</v>
      </c>
      <c r="G5002" s="93">
        <v>1.47</v>
      </c>
      <c r="H5002" s="93">
        <v>0</v>
      </c>
      <c r="N5002" s="88"/>
      <c r="O5002" s="88"/>
      <c r="P5002" s="88"/>
    </row>
    <row r="5003" spans="1:16">
      <c r="A5003" s="94">
        <v>94319</v>
      </c>
      <c r="B5003" s="87" t="s">
        <v>4101</v>
      </c>
      <c r="C5003" s="12" t="s">
        <v>5</v>
      </c>
      <c r="D5003" s="93">
        <v>39.549999999999997</v>
      </c>
      <c r="E5003" s="93">
        <v>18.989999999999998</v>
      </c>
      <c r="F5003" s="93">
        <v>19.66</v>
      </c>
      <c r="G5003" s="93">
        <v>0.9</v>
      </c>
      <c r="H5003" s="93">
        <v>0</v>
      </c>
      <c r="N5003" s="88"/>
      <c r="O5003" s="88"/>
      <c r="P5003" s="88"/>
    </row>
    <row r="5004" spans="1:16">
      <c r="A5004" s="94">
        <v>94327</v>
      </c>
      <c r="B5004" s="87" t="s">
        <v>4102</v>
      </c>
      <c r="C5004" s="12" t="s">
        <v>5</v>
      </c>
      <c r="D5004" s="93">
        <v>128.19</v>
      </c>
      <c r="E5004" s="93">
        <v>7.28</v>
      </c>
      <c r="F5004" s="93">
        <v>116.5</v>
      </c>
      <c r="G5004" s="93">
        <v>4.41</v>
      </c>
      <c r="H5004" s="93">
        <v>0</v>
      </c>
      <c r="N5004" s="88"/>
      <c r="O5004" s="88"/>
      <c r="P5004" s="88"/>
    </row>
    <row r="5005" spans="1:16">
      <c r="A5005" s="94">
        <v>94328</v>
      </c>
      <c r="B5005" s="87" t="s">
        <v>4103</v>
      </c>
      <c r="C5005" s="12" t="s">
        <v>5</v>
      </c>
      <c r="D5005" s="93">
        <v>124.96</v>
      </c>
      <c r="E5005" s="93">
        <v>5.46</v>
      </c>
      <c r="F5005" s="93">
        <v>115.77</v>
      </c>
      <c r="G5005" s="93">
        <v>3.73</v>
      </c>
      <c r="H5005" s="93">
        <v>0</v>
      </c>
      <c r="N5005" s="88"/>
      <c r="O5005" s="88"/>
      <c r="P5005" s="88"/>
    </row>
    <row r="5006" spans="1:16">
      <c r="A5006" s="94">
        <v>94329</v>
      </c>
      <c r="B5006" s="87" t="s">
        <v>4104</v>
      </c>
      <c r="C5006" s="12" t="s">
        <v>5</v>
      </c>
      <c r="D5006" s="93">
        <v>120.89</v>
      </c>
      <c r="E5006" s="93">
        <v>3.06</v>
      </c>
      <c r="F5006" s="93">
        <v>114.92</v>
      </c>
      <c r="G5006" s="93">
        <v>2.91</v>
      </c>
      <c r="H5006" s="93">
        <v>0</v>
      </c>
      <c r="N5006" s="88"/>
      <c r="O5006" s="88"/>
      <c r="P5006" s="88"/>
    </row>
    <row r="5007" spans="1:16">
      <c r="A5007" s="94">
        <v>94330</v>
      </c>
      <c r="B5007" s="87" t="s">
        <v>4105</v>
      </c>
      <c r="C5007" s="12" t="s">
        <v>5</v>
      </c>
      <c r="D5007" s="93">
        <v>121.79</v>
      </c>
      <c r="E5007" s="93">
        <v>3.56</v>
      </c>
      <c r="F5007" s="93">
        <v>115.14</v>
      </c>
      <c r="G5007" s="93">
        <v>3.09</v>
      </c>
      <c r="H5007" s="93">
        <v>0</v>
      </c>
      <c r="N5007" s="88"/>
      <c r="O5007" s="88"/>
      <c r="P5007" s="88"/>
    </row>
    <row r="5008" spans="1:16">
      <c r="A5008" s="94">
        <v>94331</v>
      </c>
      <c r="B5008" s="87" t="s">
        <v>4106</v>
      </c>
      <c r="C5008" s="12" t="s">
        <v>5</v>
      </c>
      <c r="D5008" s="93">
        <v>119.42</v>
      </c>
      <c r="E5008" s="93">
        <v>2.35</v>
      </c>
      <c r="F5008" s="93">
        <v>114.6</v>
      </c>
      <c r="G5008" s="93">
        <v>2.4700000000000002</v>
      </c>
      <c r="H5008" s="93">
        <v>0</v>
      </c>
      <c r="N5008" s="88"/>
      <c r="O5008" s="88"/>
      <c r="P5008" s="88"/>
    </row>
    <row r="5009" spans="1:16">
      <c r="A5009" s="94">
        <v>94332</v>
      </c>
      <c r="B5009" s="87" t="s">
        <v>4107</v>
      </c>
      <c r="C5009" s="12" t="s">
        <v>5</v>
      </c>
      <c r="D5009" s="93">
        <v>120.46</v>
      </c>
      <c r="E5009" s="93">
        <v>2.85</v>
      </c>
      <c r="F5009" s="93">
        <v>114.81</v>
      </c>
      <c r="G5009" s="93">
        <v>2.8</v>
      </c>
      <c r="H5009" s="93">
        <v>0</v>
      </c>
      <c r="N5009" s="88"/>
      <c r="O5009" s="88"/>
      <c r="P5009" s="88"/>
    </row>
    <row r="5010" spans="1:16">
      <c r="A5010" s="94">
        <v>94333</v>
      </c>
      <c r="B5010" s="87" t="s">
        <v>4108</v>
      </c>
      <c r="C5010" s="12" t="s">
        <v>5</v>
      </c>
      <c r="D5010" s="93">
        <v>118.7</v>
      </c>
      <c r="E5010" s="93">
        <v>2.0099999999999998</v>
      </c>
      <c r="F5010" s="93">
        <v>114.43</v>
      </c>
      <c r="G5010" s="93">
        <v>2.2599999999999998</v>
      </c>
      <c r="H5010" s="93">
        <v>0</v>
      </c>
      <c r="N5010" s="88"/>
      <c r="O5010" s="88"/>
      <c r="P5010" s="88"/>
    </row>
    <row r="5011" spans="1:16">
      <c r="A5011" s="94">
        <v>94338</v>
      </c>
      <c r="B5011" s="87" t="s">
        <v>399</v>
      </c>
      <c r="C5011" s="12" t="s">
        <v>5</v>
      </c>
      <c r="D5011" s="93">
        <v>136.88999999999999</v>
      </c>
      <c r="E5011" s="93">
        <v>15.16</v>
      </c>
      <c r="F5011" s="93">
        <v>118.48</v>
      </c>
      <c r="G5011" s="93">
        <v>3.25</v>
      </c>
      <c r="H5011" s="93">
        <v>0</v>
      </c>
      <c r="N5011" s="88"/>
      <c r="O5011" s="88"/>
      <c r="P5011" s="88"/>
    </row>
    <row r="5012" spans="1:16">
      <c r="A5012" s="94">
        <v>94339</v>
      </c>
      <c r="B5012" s="87" t="s">
        <v>4109</v>
      </c>
      <c r="C5012" s="12" t="s">
        <v>5</v>
      </c>
      <c r="D5012" s="93">
        <v>128.83000000000001</v>
      </c>
      <c r="E5012" s="93">
        <v>9.77</v>
      </c>
      <c r="F5012" s="93">
        <v>116.72</v>
      </c>
      <c r="G5012" s="93">
        <v>2.34</v>
      </c>
      <c r="H5012" s="93">
        <v>0</v>
      </c>
      <c r="N5012" s="88"/>
      <c r="O5012" s="88"/>
      <c r="P5012" s="88"/>
    </row>
    <row r="5013" spans="1:16">
      <c r="A5013" s="94">
        <v>94340</v>
      </c>
      <c r="B5013" s="87" t="s">
        <v>400</v>
      </c>
      <c r="C5013" s="12" t="s">
        <v>5</v>
      </c>
      <c r="D5013" s="93">
        <v>125.26</v>
      </c>
      <c r="E5013" s="93">
        <v>7.39</v>
      </c>
      <c r="F5013" s="93">
        <v>115.91</v>
      </c>
      <c r="G5013" s="93">
        <v>1.96</v>
      </c>
      <c r="H5013" s="93">
        <v>0</v>
      </c>
      <c r="N5013" s="88"/>
      <c r="O5013" s="88"/>
      <c r="P5013" s="88"/>
    </row>
    <row r="5014" spans="1:16">
      <c r="A5014" s="94">
        <v>94341</v>
      </c>
      <c r="B5014" s="87" t="s">
        <v>4110</v>
      </c>
      <c r="C5014" s="12" t="s">
        <v>5</v>
      </c>
      <c r="D5014" s="93">
        <v>120.66</v>
      </c>
      <c r="E5014" s="93">
        <v>4.3099999999999996</v>
      </c>
      <c r="F5014" s="93">
        <v>114.89</v>
      </c>
      <c r="G5014" s="93">
        <v>1.46</v>
      </c>
      <c r="H5014" s="93">
        <v>0</v>
      </c>
      <c r="N5014" s="88"/>
      <c r="O5014" s="88"/>
      <c r="P5014" s="88"/>
    </row>
    <row r="5015" spans="1:16">
      <c r="A5015" s="94">
        <v>94342</v>
      </c>
      <c r="B5015" s="87" t="s">
        <v>401</v>
      </c>
      <c r="C5015" s="12" t="s">
        <v>5</v>
      </c>
      <c r="D5015" s="93">
        <v>139.33000000000001</v>
      </c>
      <c r="E5015" s="93">
        <v>18.91</v>
      </c>
      <c r="F5015" s="93">
        <v>119.52</v>
      </c>
      <c r="G5015" s="93">
        <v>0.9</v>
      </c>
      <c r="H5015" s="93">
        <v>0</v>
      </c>
      <c r="N5015" s="88"/>
      <c r="O5015" s="88"/>
      <c r="P5015" s="88"/>
    </row>
    <row r="5016" spans="1:16">
      <c r="A5016" s="94">
        <v>96385</v>
      </c>
      <c r="B5016" s="87" t="s">
        <v>4111</v>
      </c>
      <c r="C5016" s="12" t="s">
        <v>5</v>
      </c>
      <c r="D5016" s="93">
        <v>7.71</v>
      </c>
      <c r="E5016" s="93">
        <v>3.49</v>
      </c>
      <c r="F5016" s="93">
        <v>1.55</v>
      </c>
      <c r="G5016" s="93">
        <v>2.67</v>
      </c>
      <c r="H5016" s="93">
        <v>0</v>
      </c>
      <c r="N5016" s="88"/>
      <c r="O5016" s="88"/>
      <c r="P5016" s="88"/>
    </row>
    <row r="5017" spans="1:16">
      <c r="A5017" s="94">
        <v>96386</v>
      </c>
      <c r="B5017" s="87" t="s">
        <v>4112</v>
      </c>
      <c r="C5017" s="12" t="s">
        <v>5</v>
      </c>
      <c r="D5017" s="93">
        <v>5.28</v>
      </c>
      <c r="E5017" s="93">
        <v>2</v>
      </c>
      <c r="F5017" s="93">
        <v>1.1000000000000001</v>
      </c>
      <c r="G5017" s="93">
        <v>2.1800000000000002</v>
      </c>
      <c r="H5017" s="93">
        <v>0</v>
      </c>
      <c r="N5017" s="88"/>
      <c r="O5017" s="88"/>
      <c r="P5017" s="88"/>
    </row>
    <row r="5018" spans="1:16">
      <c r="A5018" s="94">
        <v>93360</v>
      </c>
      <c r="B5018" s="87" t="s">
        <v>4113</v>
      </c>
      <c r="C5018" s="12" t="s">
        <v>5</v>
      </c>
      <c r="D5018" s="93">
        <v>16.649999999999999</v>
      </c>
      <c r="E5018" s="93">
        <v>7.77</v>
      </c>
      <c r="F5018" s="93">
        <v>3.95</v>
      </c>
      <c r="G5018" s="93">
        <v>4.93</v>
      </c>
      <c r="H5018" s="93">
        <v>0</v>
      </c>
      <c r="N5018" s="88"/>
      <c r="O5018" s="88"/>
      <c r="P5018" s="88"/>
    </row>
    <row r="5019" spans="1:16">
      <c r="A5019" s="94">
        <v>93361</v>
      </c>
      <c r="B5019" s="87" t="s">
        <v>4114</v>
      </c>
      <c r="C5019" s="12" t="s">
        <v>5</v>
      </c>
      <c r="D5019" s="93">
        <v>13.52</v>
      </c>
      <c r="E5019" s="93">
        <v>5.92</v>
      </c>
      <c r="F5019" s="93">
        <v>3.31</v>
      </c>
      <c r="G5019" s="93">
        <v>4.29</v>
      </c>
      <c r="H5019" s="93">
        <v>0</v>
      </c>
      <c r="N5019" s="88"/>
      <c r="O5019" s="88"/>
      <c r="P5019" s="88"/>
    </row>
    <row r="5020" spans="1:16">
      <c r="A5020" s="94">
        <v>93362</v>
      </c>
      <c r="B5020" s="87" t="s">
        <v>4115</v>
      </c>
      <c r="C5020" s="12" t="s">
        <v>5</v>
      </c>
      <c r="D5020" s="93">
        <v>9.3800000000000008</v>
      </c>
      <c r="E5020" s="93">
        <v>3.54</v>
      </c>
      <c r="F5020" s="93">
        <v>2.4</v>
      </c>
      <c r="G5020" s="93">
        <v>3.44</v>
      </c>
      <c r="H5020" s="93">
        <v>0</v>
      </c>
      <c r="N5020" s="88"/>
      <c r="O5020" s="88"/>
      <c r="P5020" s="88"/>
    </row>
    <row r="5021" spans="1:16">
      <c r="A5021" s="94">
        <v>93363</v>
      </c>
      <c r="B5021" s="87" t="s">
        <v>4116</v>
      </c>
      <c r="C5021" s="12" t="s">
        <v>5</v>
      </c>
      <c r="D5021" s="93">
        <v>10.27</v>
      </c>
      <c r="E5021" s="93">
        <v>4.03</v>
      </c>
      <c r="F5021" s="93">
        <v>2.61</v>
      </c>
      <c r="G5021" s="93">
        <v>3.63</v>
      </c>
      <c r="H5021" s="93">
        <v>0</v>
      </c>
      <c r="N5021" s="88"/>
      <c r="O5021" s="88"/>
      <c r="P5021" s="88"/>
    </row>
    <row r="5022" spans="1:16">
      <c r="A5022" s="94">
        <v>93364</v>
      </c>
      <c r="B5022" s="87" t="s">
        <v>4117</v>
      </c>
      <c r="C5022" s="12" t="s">
        <v>5</v>
      </c>
      <c r="D5022" s="93">
        <v>7.9</v>
      </c>
      <c r="E5022" s="93">
        <v>2.79</v>
      </c>
      <c r="F5022" s="93">
        <v>2.06</v>
      </c>
      <c r="G5022" s="93">
        <v>3.05</v>
      </c>
      <c r="H5022" s="93">
        <v>0</v>
      </c>
      <c r="N5022" s="88"/>
      <c r="O5022" s="88"/>
      <c r="P5022" s="88"/>
    </row>
    <row r="5023" spans="1:16">
      <c r="A5023" s="94">
        <v>93365</v>
      </c>
      <c r="B5023" s="87" t="s">
        <v>4118</v>
      </c>
      <c r="C5023" s="12" t="s">
        <v>5</v>
      </c>
      <c r="D5023" s="93">
        <v>8.8800000000000008</v>
      </c>
      <c r="E5023" s="93">
        <v>3.25</v>
      </c>
      <c r="F5023" s="93">
        <v>2.2999999999999998</v>
      </c>
      <c r="G5023" s="93">
        <v>3.33</v>
      </c>
      <c r="H5023" s="93">
        <v>0</v>
      </c>
      <c r="N5023" s="88"/>
      <c r="O5023" s="88"/>
      <c r="P5023" s="88"/>
    </row>
    <row r="5024" spans="1:16">
      <c r="A5024" s="94">
        <v>93366</v>
      </c>
      <c r="B5024" s="87" t="s">
        <v>4119</v>
      </c>
      <c r="C5024" s="12" t="s">
        <v>5</v>
      </c>
      <c r="D5024" s="93">
        <v>7.19</v>
      </c>
      <c r="E5024" s="93">
        <v>2.46</v>
      </c>
      <c r="F5024" s="93">
        <v>1.92</v>
      </c>
      <c r="G5024" s="93">
        <v>2.81</v>
      </c>
      <c r="H5024" s="93">
        <v>0</v>
      </c>
      <c r="N5024" s="88"/>
      <c r="O5024" s="88"/>
      <c r="P5024" s="88"/>
    </row>
    <row r="5025" spans="1:16">
      <c r="A5025" s="94">
        <v>93367</v>
      </c>
      <c r="B5025" s="87" t="s">
        <v>4120</v>
      </c>
      <c r="C5025" s="12" t="s">
        <v>5</v>
      </c>
      <c r="D5025" s="93">
        <v>15.66</v>
      </c>
      <c r="E5025" s="93">
        <v>7.41</v>
      </c>
      <c r="F5025" s="93">
        <v>3.76</v>
      </c>
      <c r="G5025" s="93">
        <v>4.49</v>
      </c>
      <c r="H5025" s="93">
        <v>0</v>
      </c>
      <c r="N5025" s="88"/>
      <c r="O5025" s="88"/>
      <c r="P5025" s="88"/>
    </row>
    <row r="5026" spans="1:16">
      <c r="A5026" s="94">
        <v>93368</v>
      </c>
      <c r="B5026" s="87" t="s">
        <v>4121</v>
      </c>
      <c r="C5026" s="12" t="s">
        <v>5</v>
      </c>
      <c r="D5026" s="93">
        <v>12.45</v>
      </c>
      <c r="E5026" s="93">
        <v>5.58</v>
      </c>
      <c r="F5026" s="93">
        <v>3.05</v>
      </c>
      <c r="G5026" s="93">
        <v>3.82</v>
      </c>
      <c r="H5026" s="93">
        <v>0</v>
      </c>
      <c r="N5026" s="88"/>
      <c r="O5026" s="88"/>
      <c r="P5026" s="88"/>
    </row>
    <row r="5027" spans="1:16">
      <c r="A5027" s="94">
        <v>93369</v>
      </c>
      <c r="B5027" s="87" t="s">
        <v>4122</v>
      </c>
      <c r="C5027" s="12" t="s">
        <v>5</v>
      </c>
      <c r="D5027" s="93">
        <v>8.3800000000000008</v>
      </c>
      <c r="E5027" s="93">
        <v>3.19</v>
      </c>
      <c r="F5027" s="93">
        <v>2.1800000000000002</v>
      </c>
      <c r="G5027" s="93">
        <v>3.01</v>
      </c>
      <c r="H5027" s="93">
        <v>0</v>
      </c>
      <c r="N5027" s="88"/>
      <c r="O5027" s="88"/>
      <c r="P5027" s="88"/>
    </row>
    <row r="5028" spans="1:16">
      <c r="A5028" s="94">
        <v>93370</v>
      </c>
      <c r="B5028" s="87" t="s">
        <v>4123</v>
      </c>
      <c r="C5028" s="12" t="s">
        <v>5</v>
      </c>
      <c r="D5028" s="93">
        <v>9.2899999999999991</v>
      </c>
      <c r="E5028" s="93">
        <v>3.69</v>
      </c>
      <c r="F5028" s="93">
        <v>2.4</v>
      </c>
      <c r="G5028" s="93">
        <v>3.2</v>
      </c>
      <c r="H5028" s="93">
        <v>0</v>
      </c>
      <c r="N5028" s="88"/>
      <c r="O5028" s="88"/>
      <c r="P5028" s="88"/>
    </row>
    <row r="5029" spans="1:16">
      <c r="A5029" s="94">
        <v>93371</v>
      </c>
      <c r="B5029" s="87" t="s">
        <v>4124</v>
      </c>
      <c r="C5029" s="12" t="s">
        <v>5</v>
      </c>
      <c r="D5029" s="93">
        <v>6.91</v>
      </c>
      <c r="E5029" s="93">
        <v>2.4500000000000002</v>
      </c>
      <c r="F5029" s="93">
        <v>1.86</v>
      </c>
      <c r="G5029" s="93">
        <v>2.6</v>
      </c>
      <c r="H5029" s="93">
        <v>0</v>
      </c>
      <c r="N5029" s="88"/>
      <c r="O5029" s="88"/>
      <c r="P5029" s="88"/>
    </row>
    <row r="5030" spans="1:16">
      <c r="A5030" s="94">
        <v>93372</v>
      </c>
      <c r="B5030" s="87" t="s">
        <v>4125</v>
      </c>
      <c r="C5030" s="12" t="s">
        <v>5</v>
      </c>
      <c r="D5030" s="93">
        <v>7.96</v>
      </c>
      <c r="E5030" s="93">
        <v>2.96</v>
      </c>
      <c r="F5030" s="93">
        <v>2.1</v>
      </c>
      <c r="G5030" s="93">
        <v>2.9</v>
      </c>
      <c r="H5030" s="93">
        <v>0</v>
      </c>
      <c r="N5030" s="88"/>
      <c r="O5030" s="88"/>
      <c r="P5030" s="88"/>
    </row>
    <row r="5031" spans="1:16">
      <c r="A5031" s="94">
        <v>93373</v>
      </c>
      <c r="B5031" s="87" t="s">
        <v>4126</v>
      </c>
      <c r="C5031" s="12" t="s">
        <v>5</v>
      </c>
      <c r="D5031" s="93">
        <v>6.21</v>
      </c>
      <c r="E5031" s="93">
        <v>2.1</v>
      </c>
      <c r="F5031" s="93">
        <v>1.73</v>
      </c>
      <c r="G5031" s="93">
        <v>2.38</v>
      </c>
      <c r="H5031" s="93">
        <v>0</v>
      </c>
      <c r="N5031" s="88"/>
      <c r="O5031" s="88"/>
      <c r="P5031" s="88"/>
    </row>
    <row r="5032" spans="1:16">
      <c r="A5032" s="94">
        <v>93374</v>
      </c>
      <c r="B5032" s="87" t="s">
        <v>4127</v>
      </c>
      <c r="C5032" s="12" t="s">
        <v>5</v>
      </c>
      <c r="D5032" s="93">
        <v>21.63</v>
      </c>
      <c r="E5032" s="93">
        <v>12.9</v>
      </c>
      <c r="F5032" s="93">
        <v>5.24</v>
      </c>
      <c r="G5032" s="93">
        <v>3.49</v>
      </c>
      <c r="H5032" s="93">
        <v>0</v>
      </c>
      <c r="N5032" s="88"/>
      <c r="O5032" s="88"/>
      <c r="P5032" s="88"/>
    </row>
    <row r="5033" spans="1:16">
      <c r="A5033" s="94">
        <v>93375</v>
      </c>
      <c r="B5033" s="87" t="s">
        <v>4128</v>
      </c>
      <c r="C5033" s="12" t="s">
        <v>5</v>
      </c>
      <c r="D5033" s="93">
        <v>16.63</v>
      </c>
      <c r="E5033" s="93">
        <v>9.89</v>
      </c>
      <c r="F5033" s="93">
        <v>4.0599999999999996</v>
      </c>
      <c r="G5033" s="93">
        <v>2.68</v>
      </c>
      <c r="H5033" s="93">
        <v>0</v>
      </c>
      <c r="N5033" s="88"/>
      <c r="O5033" s="88"/>
      <c r="P5033" s="88"/>
    </row>
    <row r="5034" spans="1:16">
      <c r="A5034" s="94">
        <v>93376</v>
      </c>
      <c r="B5034" s="87" t="s">
        <v>4129</v>
      </c>
      <c r="C5034" s="12" t="s">
        <v>5</v>
      </c>
      <c r="D5034" s="93">
        <v>13.46</v>
      </c>
      <c r="E5034" s="93">
        <v>7.86</v>
      </c>
      <c r="F5034" s="93">
        <v>3.39</v>
      </c>
      <c r="G5034" s="93">
        <v>2.21</v>
      </c>
      <c r="H5034" s="93">
        <v>0</v>
      </c>
      <c r="N5034" s="88"/>
      <c r="O5034" s="88"/>
      <c r="P5034" s="88"/>
    </row>
    <row r="5035" spans="1:16">
      <c r="A5035" s="94">
        <v>93377</v>
      </c>
      <c r="B5035" s="87" t="s">
        <v>4130</v>
      </c>
      <c r="C5035" s="12" t="s">
        <v>5</v>
      </c>
      <c r="D5035" s="93">
        <v>8.67</v>
      </c>
      <c r="E5035" s="93">
        <v>4.6900000000000004</v>
      </c>
      <c r="F5035" s="93">
        <v>2.3199999999999998</v>
      </c>
      <c r="G5035" s="93">
        <v>1.66</v>
      </c>
      <c r="H5035" s="93">
        <v>0</v>
      </c>
      <c r="N5035" s="88"/>
      <c r="O5035" s="88"/>
      <c r="P5035" s="88"/>
    </row>
    <row r="5036" spans="1:16">
      <c r="A5036" s="94">
        <v>93378</v>
      </c>
      <c r="B5036" s="87" t="s">
        <v>4131</v>
      </c>
      <c r="C5036" s="12" t="s">
        <v>5</v>
      </c>
      <c r="D5036" s="93">
        <v>20.420000000000002</v>
      </c>
      <c r="E5036" s="93">
        <v>12.4</v>
      </c>
      <c r="F5036" s="93">
        <v>4.91</v>
      </c>
      <c r="G5036" s="93">
        <v>3.11</v>
      </c>
      <c r="H5036" s="93">
        <v>0</v>
      </c>
      <c r="N5036" s="88"/>
      <c r="O5036" s="88"/>
      <c r="P5036" s="88"/>
    </row>
    <row r="5037" spans="1:16">
      <c r="A5037" s="94">
        <v>93379</v>
      </c>
      <c r="B5037" s="87" t="s">
        <v>4132</v>
      </c>
      <c r="C5037" s="12" t="s">
        <v>5</v>
      </c>
      <c r="D5037" s="93">
        <v>15.71</v>
      </c>
      <c r="E5037" s="93">
        <v>9.49</v>
      </c>
      <c r="F5037" s="93">
        <v>3.85</v>
      </c>
      <c r="G5037" s="93">
        <v>2.37</v>
      </c>
      <c r="H5037" s="93">
        <v>0</v>
      </c>
      <c r="N5037" s="88"/>
      <c r="O5037" s="88"/>
      <c r="P5037" s="88"/>
    </row>
    <row r="5038" spans="1:16">
      <c r="A5038" s="94">
        <v>93380</v>
      </c>
      <c r="B5038" s="87" t="s">
        <v>4133</v>
      </c>
      <c r="C5038" s="12" t="s">
        <v>5</v>
      </c>
      <c r="D5038" s="93">
        <v>12.74</v>
      </c>
      <c r="E5038" s="93">
        <v>7.54</v>
      </c>
      <c r="F5038" s="93">
        <v>3.2</v>
      </c>
      <c r="G5038" s="93">
        <v>2</v>
      </c>
      <c r="H5038" s="93">
        <v>0</v>
      </c>
      <c r="N5038" s="88"/>
      <c r="O5038" s="88"/>
      <c r="P5038" s="88"/>
    </row>
    <row r="5039" spans="1:16">
      <c r="A5039" s="94">
        <v>93381</v>
      </c>
      <c r="B5039" s="87" t="s">
        <v>4134</v>
      </c>
      <c r="C5039" s="12" t="s">
        <v>5</v>
      </c>
      <c r="D5039" s="93">
        <v>8.16</v>
      </c>
      <c r="E5039" s="93">
        <v>4.45</v>
      </c>
      <c r="F5039" s="93">
        <v>2.21</v>
      </c>
      <c r="G5039" s="93">
        <v>1.5</v>
      </c>
      <c r="H5039" s="93">
        <v>0</v>
      </c>
      <c r="N5039" s="88"/>
      <c r="O5039" s="88"/>
      <c r="P5039" s="88"/>
    </row>
    <row r="5040" spans="1:16">
      <c r="A5040" s="94">
        <v>93382</v>
      </c>
      <c r="B5040" s="87" t="s">
        <v>402</v>
      </c>
      <c r="C5040" s="12" t="s">
        <v>5</v>
      </c>
      <c r="D5040" s="93">
        <v>26.83</v>
      </c>
      <c r="E5040" s="93">
        <v>19.079999999999998</v>
      </c>
      <c r="F5040" s="93">
        <v>6.85</v>
      </c>
      <c r="G5040" s="93">
        <v>0.9</v>
      </c>
      <c r="H5040" s="93">
        <v>0</v>
      </c>
      <c r="N5040" s="88"/>
      <c r="O5040" s="88"/>
      <c r="P5040" s="88"/>
    </row>
    <row r="5041" spans="1:16">
      <c r="A5041" s="94">
        <v>96995</v>
      </c>
      <c r="B5041" s="87" t="s">
        <v>4135</v>
      </c>
      <c r="C5041" s="12" t="s">
        <v>5</v>
      </c>
      <c r="D5041" s="93">
        <v>36.24</v>
      </c>
      <c r="E5041" s="93">
        <v>25.54</v>
      </c>
      <c r="F5041" s="93">
        <v>10.7</v>
      </c>
      <c r="G5041" s="93">
        <v>0</v>
      </c>
      <c r="H5041" s="93">
        <v>0</v>
      </c>
      <c r="N5041" s="88"/>
      <c r="O5041" s="88"/>
      <c r="P5041" s="88"/>
    </row>
    <row r="5042" spans="1:16">
      <c r="A5042" s="94">
        <v>97916</v>
      </c>
      <c r="B5042" s="87" t="s">
        <v>4136</v>
      </c>
      <c r="C5042" s="12" t="s">
        <v>403</v>
      </c>
      <c r="D5042" s="93">
        <v>1.52</v>
      </c>
      <c r="E5042" s="93">
        <v>0.39</v>
      </c>
      <c r="F5042" s="93">
        <v>0.62</v>
      </c>
      <c r="G5042" s="93">
        <v>0.51</v>
      </c>
      <c r="H5042" s="93">
        <v>0</v>
      </c>
      <c r="N5042" s="88"/>
      <c r="O5042" s="88"/>
      <c r="P5042" s="88"/>
    </row>
    <row r="5043" spans="1:16">
      <c r="A5043" s="94">
        <v>97917</v>
      </c>
      <c r="B5043" s="87" t="s">
        <v>4137</v>
      </c>
      <c r="C5043" s="12" t="s">
        <v>403</v>
      </c>
      <c r="D5043" s="93">
        <v>1.31</v>
      </c>
      <c r="E5043" s="93">
        <v>0.33</v>
      </c>
      <c r="F5043" s="93">
        <v>0.55000000000000004</v>
      </c>
      <c r="G5043" s="93">
        <v>0.43</v>
      </c>
      <c r="H5043" s="93">
        <v>0</v>
      </c>
      <c r="N5043" s="88"/>
      <c r="O5043" s="88"/>
      <c r="P5043" s="88"/>
    </row>
    <row r="5044" spans="1:16">
      <c r="A5044" s="94">
        <v>97918</v>
      </c>
      <c r="B5044" s="87" t="s">
        <v>4138</v>
      </c>
      <c r="C5044" s="12" t="s">
        <v>403</v>
      </c>
      <c r="D5044" s="93">
        <v>1.21</v>
      </c>
      <c r="E5044" s="93">
        <v>0.3</v>
      </c>
      <c r="F5044" s="93">
        <v>0.51</v>
      </c>
      <c r="G5044" s="93">
        <v>0.4</v>
      </c>
      <c r="H5044" s="93">
        <v>0</v>
      </c>
      <c r="N5044" s="88"/>
      <c r="O5044" s="88"/>
      <c r="P5044" s="88"/>
    </row>
    <row r="5045" spans="1:16">
      <c r="A5045" s="94">
        <v>97919</v>
      </c>
      <c r="B5045" s="87" t="s">
        <v>4139</v>
      </c>
      <c r="C5045" s="12" t="s">
        <v>403</v>
      </c>
      <c r="D5045" s="93">
        <v>0.47</v>
      </c>
      <c r="E5045" s="93">
        <v>0.12</v>
      </c>
      <c r="F5045" s="93">
        <v>0.21</v>
      </c>
      <c r="G5045" s="93">
        <v>0.14000000000000001</v>
      </c>
      <c r="H5045" s="93">
        <v>0</v>
      </c>
      <c r="N5045" s="88"/>
      <c r="O5045" s="88"/>
      <c r="P5045" s="88"/>
    </row>
    <row r="5046" spans="1:16">
      <c r="A5046" s="94">
        <v>101616</v>
      </c>
      <c r="B5046" s="87" t="s">
        <v>6213</v>
      </c>
      <c r="C5046" s="12" t="s">
        <v>9</v>
      </c>
      <c r="D5046" s="93">
        <v>4.72</v>
      </c>
      <c r="E5046" s="93">
        <v>3.6</v>
      </c>
      <c r="F5046" s="93">
        <v>1.1200000000000001</v>
      </c>
      <c r="G5046" s="93">
        <v>0</v>
      </c>
      <c r="H5046" s="93">
        <v>0</v>
      </c>
      <c r="N5046" s="88"/>
      <c r="O5046" s="88"/>
      <c r="P5046" s="88"/>
    </row>
    <row r="5047" spans="1:16">
      <c r="A5047" s="94">
        <v>101617</v>
      </c>
      <c r="B5047" s="87" t="s">
        <v>6214</v>
      </c>
      <c r="C5047" s="12" t="s">
        <v>9</v>
      </c>
      <c r="D5047" s="93">
        <v>2.33</v>
      </c>
      <c r="E5047" s="93">
        <v>1.79</v>
      </c>
      <c r="F5047" s="93">
        <v>0.54</v>
      </c>
      <c r="G5047" s="93">
        <v>0</v>
      </c>
      <c r="H5047" s="93">
        <v>0</v>
      </c>
      <c r="N5047" s="88"/>
      <c r="O5047" s="88"/>
      <c r="P5047" s="88"/>
    </row>
    <row r="5048" spans="1:16">
      <c r="A5048" s="94">
        <v>101618</v>
      </c>
      <c r="B5048" s="87" t="s">
        <v>6215</v>
      </c>
      <c r="C5048" s="12" t="s">
        <v>5</v>
      </c>
      <c r="D5048" s="93">
        <v>223.03</v>
      </c>
      <c r="E5048" s="93">
        <v>69.95</v>
      </c>
      <c r="F5048" s="93">
        <v>152.93</v>
      </c>
      <c r="G5048" s="93">
        <v>0.15</v>
      </c>
      <c r="H5048" s="93">
        <v>0</v>
      </c>
      <c r="N5048" s="88"/>
      <c r="O5048" s="88"/>
      <c r="P5048" s="88"/>
    </row>
    <row r="5049" spans="1:16">
      <c r="A5049" s="94">
        <v>101619</v>
      </c>
      <c r="B5049" s="87" t="s">
        <v>6216</v>
      </c>
      <c r="C5049" s="12" t="s">
        <v>5</v>
      </c>
      <c r="D5049" s="93">
        <v>228.15</v>
      </c>
      <c r="E5049" s="93">
        <v>85.59</v>
      </c>
      <c r="F5049" s="93">
        <v>142.41</v>
      </c>
      <c r="G5049" s="93">
        <v>0.15</v>
      </c>
      <c r="H5049" s="93">
        <v>0</v>
      </c>
      <c r="N5049" s="88"/>
      <c r="O5049" s="88"/>
      <c r="P5049" s="88"/>
    </row>
    <row r="5050" spans="1:16">
      <c r="A5050" s="94">
        <v>101620</v>
      </c>
      <c r="B5050" s="87" t="s">
        <v>6217</v>
      </c>
      <c r="C5050" s="12" t="s">
        <v>5</v>
      </c>
      <c r="D5050" s="93">
        <v>203.73</v>
      </c>
      <c r="E5050" s="93">
        <v>55.55</v>
      </c>
      <c r="F5050" s="93">
        <v>148.12</v>
      </c>
      <c r="G5050" s="93">
        <v>0.06</v>
      </c>
      <c r="H5050" s="93">
        <v>0</v>
      </c>
      <c r="N5050" s="88"/>
      <c r="O5050" s="88"/>
      <c r="P5050" s="88"/>
    </row>
    <row r="5051" spans="1:16">
      <c r="A5051" s="94">
        <v>101621</v>
      </c>
      <c r="B5051" s="87" t="s">
        <v>6218</v>
      </c>
      <c r="C5051" s="12" t="s">
        <v>5</v>
      </c>
      <c r="D5051" s="93">
        <v>208.84</v>
      </c>
      <c r="E5051" s="93">
        <v>71.17</v>
      </c>
      <c r="F5051" s="93">
        <v>137.61000000000001</v>
      </c>
      <c r="G5051" s="93">
        <v>0.06</v>
      </c>
      <c r="H5051" s="93">
        <v>0</v>
      </c>
      <c r="N5051" s="88"/>
      <c r="O5051" s="88"/>
      <c r="P5051" s="88"/>
    </row>
    <row r="5052" spans="1:16">
      <c r="A5052" s="94">
        <v>101622</v>
      </c>
      <c r="B5052" s="87" t="s">
        <v>6219</v>
      </c>
      <c r="C5052" s="12" t="s">
        <v>5</v>
      </c>
      <c r="D5052" s="93">
        <v>202.32</v>
      </c>
      <c r="E5052" s="93">
        <v>45.63</v>
      </c>
      <c r="F5052" s="93">
        <v>144.1</v>
      </c>
      <c r="G5052" s="93">
        <v>12.59</v>
      </c>
      <c r="H5052" s="93">
        <v>0</v>
      </c>
      <c r="N5052" s="88"/>
      <c r="O5052" s="88"/>
      <c r="P5052" s="88"/>
    </row>
    <row r="5053" spans="1:16">
      <c r="A5053" s="94">
        <v>101623</v>
      </c>
      <c r="B5053" s="87" t="s">
        <v>6220</v>
      </c>
      <c r="C5053" s="12" t="s">
        <v>5</v>
      </c>
      <c r="D5053" s="93">
        <v>202.64</v>
      </c>
      <c r="E5053" s="93">
        <v>55.58</v>
      </c>
      <c r="F5053" s="93">
        <v>131.55000000000001</v>
      </c>
      <c r="G5053" s="93">
        <v>15.51</v>
      </c>
      <c r="H5053" s="93">
        <v>0</v>
      </c>
      <c r="N5053" s="88"/>
      <c r="O5053" s="88"/>
      <c r="P5053" s="88"/>
    </row>
    <row r="5054" spans="1:16">
      <c r="A5054" s="94">
        <v>101624</v>
      </c>
      <c r="B5054" s="87" t="s">
        <v>6221</v>
      </c>
      <c r="C5054" s="12" t="s">
        <v>5</v>
      </c>
      <c r="D5054" s="93">
        <v>168.11</v>
      </c>
      <c r="E5054" s="93">
        <v>33.96</v>
      </c>
      <c r="F5054" s="93">
        <v>124.56</v>
      </c>
      <c r="G5054" s="93">
        <v>9.59</v>
      </c>
      <c r="H5054" s="93">
        <v>0</v>
      </c>
      <c r="N5054" s="88"/>
      <c r="O5054" s="88"/>
      <c r="P5054" s="88"/>
    </row>
    <row r="5055" spans="1:16">
      <c r="A5055" s="94">
        <v>101625</v>
      </c>
      <c r="B5055" s="87" t="s">
        <v>6222</v>
      </c>
      <c r="C5055" s="12" t="s">
        <v>5</v>
      </c>
      <c r="D5055" s="93">
        <v>172.11</v>
      </c>
      <c r="E5055" s="93">
        <v>26.68</v>
      </c>
      <c r="F5055" s="93">
        <v>137.97999999999999</v>
      </c>
      <c r="G5055" s="93">
        <v>7.45</v>
      </c>
      <c r="H5055" s="93">
        <v>0</v>
      </c>
      <c r="N5055" s="88"/>
      <c r="O5055" s="88"/>
      <c r="P5055" s="88"/>
    </row>
    <row r="5056" spans="1:16">
      <c r="A5056" s="94">
        <v>95606</v>
      </c>
      <c r="B5056" s="87" t="s">
        <v>4140</v>
      </c>
      <c r="C5056" s="12" t="s">
        <v>5</v>
      </c>
      <c r="D5056" s="93">
        <v>1.35</v>
      </c>
      <c r="E5056" s="93">
        <v>0.32</v>
      </c>
      <c r="F5056" s="93">
        <v>0.76</v>
      </c>
      <c r="G5056" s="93">
        <v>0.27</v>
      </c>
      <c r="H5056" s="93">
        <v>0</v>
      </c>
      <c r="N5056" s="88"/>
      <c r="O5056" s="88"/>
      <c r="P5056" s="88"/>
    </row>
    <row r="5057" spans="1:16">
      <c r="A5057" s="94">
        <v>87471</v>
      </c>
      <c r="B5057" s="87" t="s">
        <v>4141</v>
      </c>
      <c r="C5057" s="12" t="s">
        <v>9</v>
      </c>
      <c r="D5057" s="93">
        <v>46.33</v>
      </c>
      <c r="E5057" s="93">
        <v>14.21</v>
      </c>
      <c r="F5057" s="93">
        <v>32.11</v>
      </c>
      <c r="G5057" s="93">
        <v>0</v>
      </c>
      <c r="H5057" s="93">
        <v>0</v>
      </c>
      <c r="N5057" s="88"/>
      <c r="O5057" s="88"/>
      <c r="P5057" s="88"/>
    </row>
    <row r="5058" spans="1:16">
      <c r="A5058" s="94">
        <v>87472</v>
      </c>
      <c r="B5058" s="87" t="s">
        <v>4142</v>
      </c>
      <c r="C5058" s="12" t="s">
        <v>9</v>
      </c>
      <c r="D5058" s="93">
        <v>46.85</v>
      </c>
      <c r="E5058" s="93">
        <v>14.47</v>
      </c>
      <c r="F5058" s="93">
        <v>32.380000000000003</v>
      </c>
      <c r="G5058" s="93">
        <v>0</v>
      </c>
      <c r="H5058" s="93">
        <v>0</v>
      </c>
      <c r="N5058" s="88"/>
      <c r="O5058" s="88"/>
      <c r="P5058" s="88"/>
    </row>
    <row r="5059" spans="1:16">
      <c r="A5059" s="94">
        <v>87473</v>
      </c>
      <c r="B5059" s="87" t="s">
        <v>4143</v>
      </c>
      <c r="C5059" s="12" t="s">
        <v>9</v>
      </c>
      <c r="D5059" s="93">
        <v>62.02</v>
      </c>
      <c r="E5059" s="93">
        <v>20.399999999999999</v>
      </c>
      <c r="F5059" s="93">
        <v>41.61</v>
      </c>
      <c r="G5059" s="93">
        <v>0</v>
      </c>
      <c r="H5059" s="93">
        <v>0</v>
      </c>
      <c r="N5059" s="88"/>
      <c r="O5059" s="88"/>
      <c r="P5059" s="88"/>
    </row>
    <row r="5060" spans="1:16">
      <c r="A5060" s="94">
        <v>87474</v>
      </c>
      <c r="B5060" s="87" t="s">
        <v>4144</v>
      </c>
      <c r="C5060" s="12" t="s">
        <v>9</v>
      </c>
      <c r="D5060" s="93">
        <v>62.61</v>
      </c>
      <c r="E5060" s="93">
        <v>20.69</v>
      </c>
      <c r="F5060" s="93">
        <v>41.92</v>
      </c>
      <c r="G5060" s="93">
        <v>0</v>
      </c>
      <c r="H5060" s="93">
        <v>0</v>
      </c>
      <c r="N5060" s="88"/>
      <c r="O5060" s="88"/>
      <c r="P5060" s="88"/>
    </row>
    <row r="5061" spans="1:16">
      <c r="A5061" s="94">
        <v>87475</v>
      </c>
      <c r="B5061" s="87" t="s">
        <v>4145</v>
      </c>
      <c r="C5061" s="12" t="s">
        <v>9</v>
      </c>
      <c r="D5061" s="93">
        <v>75.040000000000006</v>
      </c>
      <c r="E5061" s="93">
        <v>23.49</v>
      </c>
      <c r="F5061" s="93">
        <v>51.53</v>
      </c>
      <c r="G5061" s="93">
        <v>0.01</v>
      </c>
      <c r="H5061" s="93">
        <v>0</v>
      </c>
      <c r="N5061" s="88"/>
      <c r="O5061" s="88"/>
      <c r="P5061" s="88"/>
    </row>
    <row r="5062" spans="1:16">
      <c r="A5062" s="94">
        <v>87476</v>
      </c>
      <c r="B5062" s="87" t="s">
        <v>4146</v>
      </c>
      <c r="C5062" s="12" t="s">
        <v>9</v>
      </c>
      <c r="D5062" s="93">
        <v>75.73</v>
      </c>
      <c r="E5062" s="93">
        <v>23.85</v>
      </c>
      <c r="F5062" s="93">
        <v>51.88</v>
      </c>
      <c r="G5062" s="93">
        <v>0</v>
      </c>
      <c r="H5062" s="93">
        <v>0</v>
      </c>
      <c r="N5062" s="88"/>
      <c r="O5062" s="88"/>
      <c r="P5062" s="88"/>
    </row>
    <row r="5063" spans="1:16">
      <c r="A5063" s="94">
        <v>87477</v>
      </c>
      <c r="B5063" s="87" t="s">
        <v>4147</v>
      </c>
      <c r="C5063" s="12" t="s">
        <v>9</v>
      </c>
      <c r="D5063" s="93">
        <v>42.34</v>
      </c>
      <c r="E5063" s="93">
        <v>11.74</v>
      </c>
      <c r="F5063" s="93">
        <v>30.59</v>
      </c>
      <c r="G5063" s="93">
        <v>0</v>
      </c>
      <c r="H5063" s="93">
        <v>0</v>
      </c>
      <c r="N5063" s="88"/>
      <c r="O5063" s="88"/>
      <c r="P5063" s="88"/>
    </row>
    <row r="5064" spans="1:16">
      <c r="A5064" s="94">
        <v>87478</v>
      </c>
      <c r="B5064" s="87" t="s">
        <v>4148</v>
      </c>
      <c r="C5064" s="12" t="s">
        <v>9</v>
      </c>
      <c r="D5064" s="93">
        <v>42.86</v>
      </c>
      <c r="E5064" s="93">
        <v>12</v>
      </c>
      <c r="F5064" s="93">
        <v>30.86</v>
      </c>
      <c r="G5064" s="93">
        <v>0</v>
      </c>
      <c r="H5064" s="93">
        <v>0</v>
      </c>
      <c r="N5064" s="88"/>
      <c r="O5064" s="88"/>
      <c r="P5064" s="88"/>
    </row>
    <row r="5065" spans="1:16">
      <c r="A5065" s="94">
        <v>87479</v>
      </c>
      <c r="B5065" s="87" t="s">
        <v>4149</v>
      </c>
      <c r="C5065" s="12" t="s">
        <v>9</v>
      </c>
      <c r="D5065" s="93">
        <v>57.51</v>
      </c>
      <c r="E5065" s="93">
        <v>17.93</v>
      </c>
      <c r="F5065" s="93">
        <v>39.57</v>
      </c>
      <c r="G5065" s="93">
        <v>0</v>
      </c>
      <c r="H5065" s="93">
        <v>0</v>
      </c>
      <c r="N5065" s="88"/>
      <c r="O5065" s="88"/>
      <c r="P5065" s="88"/>
    </row>
    <row r="5066" spans="1:16">
      <c r="A5066" s="94">
        <v>87480</v>
      </c>
      <c r="B5066" s="87" t="s">
        <v>4150</v>
      </c>
      <c r="C5066" s="12" t="s">
        <v>9</v>
      </c>
      <c r="D5066" s="93">
        <v>58.1</v>
      </c>
      <c r="E5066" s="93">
        <v>18.22</v>
      </c>
      <c r="F5066" s="93">
        <v>39.880000000000003</v>
      </c>
      <c r="G5066" s="93">
        <v>0</v>
      </c>
      <c r="H5066" s="93">
        <v>0</v>
      </c>
      <c r="N5066" s="88"/>
      <c r="O5066" s="88"/>
      <c r="P5066" s="88"/>
    </row>
    <row r="5067" spans="1:16">
      <c r="A5067" s="94">
        <v>87481</v>
      </c>
      <c r="B5067" s="87" t="s">
        <v>4151</v>
      </c>
      <c r="C5067" s="12" t="s">
        <v>9</v>
      </c>
      <c r="D5067" s="93">
        <v>69.92</v>
      </c>
      <c r="E5067" s="93">
        <v>21.01</v>
      </c>
      <c r="F5067" s="93">
        <v>48.89</v>
      </c>
      <c r="G5067" s="93">
        <v>0.01</v>
      </c>
      <c r="H5067" s="93">
        <v>0</v>
      </c>
      <c r="N5067" s="88"/>
      <c r="O5067" s="88"/>
      <c r="P5067" s="88"/>
    </row>
    <row r="5068" spans="1:16">
      <c r="A5068" s="94">
        <v>87482</v>
      </c>
      <c r="B5068" s="87" t="s">
        <v>4152</v>
      </c>
      <c r="C5068" s="12" t="s">
        <v>9</v>
      </c>
      <c r="D5068" s="93">
        <v>70.61</v>
      </c>
      <c r="E5068" s="93">
        <v>21.38</v>
      </c>
      <c r="F5068" s="93">
        <v>49.23</v>
      </c>
      <c r="G5068" s="93">
        <v>0</v>
      </c>
      <c r="H5068" s="93">
        <v>0</v>
      </c>
      <c r="N5068" s="88"/>
      <c r="O5068" s="88"/>
      <c r="P5068" s="88"/>
    </row>
    <row r="5069" spans="1:16">
      <c r="A5069" s="94">
        <v>87483</v>
      </c>
      <c r="B5069" s="87" t="s">
        <v>4153</v>
      </c>
      <c r="C5069" s="12" t="s">
        <v>9</v>
      </c>
      <c r="D5069" s="93">
        <v>52.6</v>
      </c>
      <c r="E5069" s="93">
        <v>18.71</v>
      </c>
      <c r="F5069" s="93">
        <v>33.880000000000003</v>
      </c>
      <c r="G5069" s="93">
        <v>0</v>
      </c>
      <c r="H5069" s="93">
        <v>0</v>
      </c>
      <c r="N5069" s="88"/>
      <c r="O5069" s="88"/>
      <c r="P5069" s="88"/>
    </row>
    <row r="5070" spans="1:16">
      <c r="A5070" s="94">
        <v>87484</v>
      </c>
      <c r="B5070" s="87" t="s">
        <v>4154</v>
      </c>
      <c r="C5070" s="12" t="s">
        <v>9</v>
      </c>
      <c r="D5070" s="93">
        <v>53.12</v>
      </c>
      <c r="E5070" s="93">
        <v>18.96</v>
      </c>
      <c r="F5070" s="93">
        <v>34.159999999999997</v>
      </c>
      <c r="G5070" s="93">
        <v>0</v>
      </c>
      <c r="H5070" s="93">
        <v>0</v>
      </c>
      <c r="N5070" s="88"/>
      <c r="O5070" s="88"/>
      <c r="P5070" s="88"/>
    </row>
    <row r="5071" spans="1:16">
      <c r="A5071" s="94">
        <v>87485</v>
      </c>
      <c r="B5071" s="87" t="s">
        <v>4155</v>
      </c>
      <c r="C5071" s="12" t="s">
        <v>9</v>
      </c>
      <c r="D5071" s="93">
        <v>68.400000000000006</v>
      </c>
      <c r="E5071" s="93">
        <v>24.89</v>
      </c>
      <c r="F5071" s="93">
        <v>43.5</v>
      </c>
      <c r="G5071" s="93">
        <v>0</v>
      </c>
      <c r="H5071" s="93">
        <v>0</v>
      </c>
      <c r="N5071" s="88"/>
      <c r="O5071" s="88"/>
      <c r="P5071" s="88"/>
    </row>
    <row r="5072" spans="1:16">
      <c r="A5072" s="94">
        <v>87487</v>
      </c>
      <c r="B5072" s="87" t="s">
        <v>4156</v>
      </c>
      <c r="C5072" s="12" t="s">
        <v>9</v>
      </c>
      <c r="D5072" s="93">
        <v>81.27</v>
      </c>
      <c r="E5072" s="93">
        <v>27.75</v>
      </c>
      <c r="F5072" s="93">
        <v>53.5</v>
      </c>
      <c r="G5072" s="93">
        <v>0.01</v>
      </c>
      <c r="H5072" s="93">
        <v>0</v>
      </c>
      <c r="N5072" s="88"/>
      <c r="O5072" s="88"/>
      <c r="P5072" s="88"/>
    </row>
    <row r="5073" spans="1:16">
      <c r="A5073" s="94">
        <v>87488</v>
      </c>
      <c r="B5073" s="87" t="s">
        <v>4157</v>
      </c>
      <c r="C5073" s="12" t="s">
        <v>9</v>
      </c>
      <c r="D5073" s="93">
        <v>81.96</v>
      </c>
      <c r="E5073" s="93">
        <v>28.11</v>
      </c>
      <c r="F5073" s="93">
        <v>53.85</v>
      </c>
      <c r="G5073" s="93">
        <v>0</v>
      </c>
      <c r="H5073" s="93">
        <v>0</v>
      </c>
      <c r="N5073" s="88"/>
      <c r="O5073" s="88"/>
      <c r="P5073" s="88"/>
    </row>
    <row r="5074" spans="1:16">
      <c r="A5074" s="94">
        <v>87489</v>
      </c>
      <c r="B5074" s="87" t="s">
        <v>4158</v>
      </c>
      <c r="C5074" s="12" t="s">
        <v>9</v>
      </c>
      <c r="D5074" s="93">
        <v>45.98</v>
      </c>
      <c r="E5074" s="93">
        <v>14.21</v>
      </c>
      <c r="F5074" s="93">
        <v>31.76</v>
      </c>
      <c r="G5074" s="93">
        <v>0</v>
      </c>
      <c r="H5074" s="93">
        <v>0</v>
      </c>
      <c r="N5074" s="88"/>
      <c r="O5074" s="88"/>
      <c r="P5074" s="88"/>
    </row>
    <row r="5075" spans="1:16">
      <c r="A5075" s="94">
        <v>87490</v>
      </c>
      <c r="B5075" s="87" t="s">
        <v>4159</v>
      </c>
      <c r="C5075" s="12" t="s">
        <v>9</v>
      </c>
      <c r="D5075" s="93">
        <v>46.5</v>
      </c>
      <c r="E5075" s="93">
        <v>14.47</v>
      </c>
      <c r="F5075" s="93">
        <v>32.03</v>
      </c>
      <c r="G5075" s="93">
        <v>0</v>
      </c>
      <c r="H5075" s="93">
        <v>0</v>
      </c>
      <c r="N5075" s="88"/>
      <c r="O5075" s="88"/>
      <c r="P5075" s="88"/>
    </row>
    <row r="5076" spans="1:16">
      <c r="A5076" s="94">
        <v>87491</v>
      </c>
      <c r="B5076" s="87" t="s">
        <v>4160</v>
      </c>
      <c r="C5076" s="12" t="s">
        <v>9</v>
      </c>
      <c r="D5076" s="93">
        <v>61.26</v>
      </c>
      <c r="E5076" s="93">
        <v>20.399999999999999</v>
      </c>
      <c r="F5076" s="93">
        <v>40.85</v>
      </c>
      <c r="G5076" s="93">
        <v>0</v>
      </c>
      <c r="H5076" s="93">
        <v>0</v>
      </c>
      <c r="N5076" s="88"/>
      <c r="O5076" s="88"/>
      <c r="P5076" s="88"/>
    </row>
    <row r="5077" spans="1:16">
      <c r="A5077" s="94">
        <v>87492</v>
      </c>
      <c r="B5077" s="87" t="s">
        <v>4161</v>
      </c>
      <c r="C5077" s="12" t="s">
        <v>9</v>
      </c>
      <c r="D5077" s="93">
        <v>61.85</v>
      </c>
      <c r="E5077" s="93">
        <v>20.69</v>
      </c>
      <c r="F5077" s="93">
        <v>41.16</v>
      </c>
      <c r="G5077" s="93">
        <v>0</v>
      </c>
      <c r="H5077" s="93">
        <v>0</v>
      </c>
      <c r="N5077" s="88"/>
      <c r="O5077" s="88"/>
      <c r="P5077" s="88"/>
    </row>
    <row r="5078" spans="1:16">
      <c r="A5078" s="94">
        <v>87493</v>
      </c>
      <c r="B5078" s="87" t="s">
        <v>4162</v>
      </c>
      <c r="C5078" s="12" t="s">
        <v>9</v>
      </c>
      <c r="D5078" s="93">
        <v>73.81</v>
      </c>
      <c r="E5078" s="93">
        <v>23.49</v>
      </c>
      <c r="F5078" s="93">
        <v>50.3</v>
      </c>
      <c r="G5078" s="93">
        <v>0.01</v>
      </c>
      <c r="H5078" s="93">
        <v>0</v>
      </c>
      <c r="N5078" s="88"/>
      <c r="O5078" s="88"/>
      <c r="P5078" s="88"/>
    </row>
    <row r="5079" spans="1:16">
      <c r="A5079" s="94">
        <v>87494</v>
      </c>
      <c r="B5079" s="87" t="s">
        <v>4163</v>
      </c>
      <c r="C5079" s="12" t="s">
        <v>9</v>
      </c>
      <c r="D5079" s="93">
        <v>74.5</v>
      </c>
      <c r="E5079" s="93">
        <v>23.85</v>
      </c>
      <c r="F5079" s="93">
        <v>50.65</v>
      </c>
      <c r="G5079" s="93">
        <v>0</v>
      </c>
      <c r="H5079" s="93">
        <v>0</v>
      </c>
      <c r="N5079" s="88"/>
      <c r="O5079" s="88"/>
      <c r="P5079" s="88"/>
    </row>
    <row r="5080" spans="1:16">
      <c r="A5080" s="94">
        <v>87495</v>
      </c>
      <c r="B5080" s="87" t="s">
        <v>4164</v>
      </c>
      <c r="C5080" s="12" t="s">
        <v>9</v>
      </c>
      <c r="D5080" s="93">
        <v>73.94</v>
      </c>
      <c r="E5080" s="93">
        <v>38.869999999999997</v>
      </c>
      <c r="F5080" s="93">
        <v>35.06</v>
      </c>
      <c r="G5080" s="93">
        <v>0</v>
      </c>
      <c r="H5080" s="93">
        <v>0</v>
      </c>
      <c r="N5080" s="88"/>
      <c r="O5080" s="88"/>
      <c r="P5080" s="88"/>
    </row>
    <row r="5081" spans="1:16">
      <c r="A5081" s="94">
        <v>87496</v>
      </c>
      <c r="B5081" s="87" t="s">
        <v>4165</v>
      </c>
      <c r="C5081" s="12" t="s">
        <v>9</v>
      </c>
      <c r="D5081" s="93">
        <v>74.430000000000007</v>
      </c>
      <c r="E5081" s="93">
        <v>39.130000000000003</v>
      </c>
      <c r="F5081" s="93">
        <v>35.299999999999997</v>
      </c>
      <c r="G5081" s="93">
        <v>0</v>
      </c>
      <c r="H5081" s="93">
        <v>0</v>
      </c>
      <c r="N5081" s="88"/>
      <c r="O5081" s="88"/>
      <c r="P5081" s="88"/>
    </row>
    <row r="5082" spans="1:16">
      <c r="A5082" s="94">
        <v>87497</v>
      </c>
      <c r="B5082" s="87" t="s">
        <v>4166</v>
      </c>
      <c r="C5082" s="12" t="s">
        <v>9</v>
      </c>
      <c r="D5082" s="93">
        <v>74.22</v>
      </c>
      <c r="E5082" s="93">
        <v>33.020000000000003</v>
      </c>
      <c r="F5082" s="93">
        <v>41.18</v>
      </c>
      <c r="G5082" s="93">
        <v>0.01</v>
      </c>
      <c r="H5082" s="93">
        <v>0</v>
      </c>
      <c r="N5082" s="88"/>
      <c r="O5082" s="88"/>
      <c r="P5082" s="88"/>
    </row>
    <row r="5083" spans="1:16">
      <c r="A5083" s="94">
        <v>87498</v>
      </c>
      <c r="B5083" s="87" t="s">
        <v>4167</v>
      </c>
      <c r="C5083" s="12" t="s">
        <v>9</v>
      </c>
      <c r="D5083" s="93">
        <v>74.849999999999994</v>
      </c>
      <c r="E5083" s="93">
        <v>33.35</v>
      </c>
      <c r="F5083" s="93">
        <v>41.5</v>
      </c>
      <c r="G5083" s="93">
        <v>0</v>
      </c>
      <c r="H5083" s="93">
        <v>0</v>
      </c>
      <c r="N5083" s="88"/>
      <c r="O5083" s="88"/>
      <c r="P5083" s="88"/>
    </row>
    <row r="5084" spans="1:16">
      <c r="A5084" s="94">
        <v>87499</v>
      </c>
      <c r="B5084" s="87" t="s">
        <v>4168</v>
      </c>
      <c r="C5084" s="12" t="s">
        <v>9</v>
      </c>
      <c r="D5084" s="93">
        <v>85.73</v>
      </c>
      <c r="E5084" s="93">
        <v>44.27</v>
      </c>
      <c r="F5084" s="93">
        <v>41.45</v>
      </c>
      <c r="G5084" s="93">
        <v>0</v>
      </c>
      <c r="H5084" s="93">
        <v>0</v>
      </c>
      <c r="N5084" s="88"/>
      <c r="O5084" s="88"/>
      <c r="P5084" s="88"/>
    </row>
    <row r="5085" spans="1:16">
      <c r="A5085" s="94">
        <v>87500</v>
      </c>
      <c r="B5085" s="87" t="s">
        <v>4169</v>
      </c>
      <c r="C5085" s="12" t="s">
        <v>9</v>
      </c>
      <c r="D5085" s="93">
        <v>86.26</v>
      </c>
      <c r="E5085" s="93">
        <v>44.53</v>
      </c>
      <c r="F5085" s="93">
        <v>41.73</v>
      </c>
      <c r="G5085" s="93">
        <v>0</v>
      </c>
      <c r="H5085" s="93">
        <v>0</v>
      </c>
      <c r="N5085" s="88"/>
      <c r="O5085" s="88"/>
      <c r="P5085" s="88"/>
    </row>
    <row r="5086" spans="1:16">
      <c r="A5086" s="94">
        <v>87501</v>
      </c>
      <c r="B5086" s="87" t="s">
        <v>4170</v>
      </c>
      <c r="C5086" s="12" t="s">
        <v>9</v>
      </c>
      <c r="D5086" s="93">
        <v>132.44999999999999</v>
      </c>
      <c r="E5086" s="93">
        <v>68.569999999999993</v>
      </c>
      <c r="F5086" s="93">
        <v>63.86</v>
      </c>
      <c r="G5086" s="93">
        <v>0.01</v>
      </c>
      <c r="H5086" s="93">
        <v>0</v>
      </c>
      <c r="N5086" s="88"/>
      <c r="O5086" s="88"/>
      <c r="P5086" s="88"/>
    </row>
    <row r="5087" spans="1:16">
      <c r="A5087" s="94">
        <v>87502</v>
      </c>
      <c r="B5087" s="87" t="s">
        <v>4171</v>
      </c>
      <c r="C5087" s="12" t="s">
        <v>9</v>
      </c>
      <c r="D5087" s="93">
        <v>133.13</v>
      </c>
      <c r="E5087" s="93">
        <v>68.92</v>
      </c>
      <c r="F5087" s="93">
        <v>64.209999999999994</v>
      </c>
      <c r="G5087" s="93">
        <v>0</v>
      </c>
      <c r="H5087" s="93">
        <v>0</v>
      </c>
      <c r="N5087" s="88"/>
      <c r="O5087" s="88"/>
      <c r="P5087" s="88"/>
    </row>
    <row r="5088" spans="1:16">
      <c r="A5088" s="94">
        <v>87503</v>
      </c>
      <c r="B5088" s="87" t="s">
        <v>4172</v>
      </c>
      <c r="C5088" s="12" t="s">
        <v>9</v>
      </c>
      <c r="D5088" s="93">
        <v>63.81</v>
      </c>
      <c r="E5088" s="93">
        <v>31.67</v>
      </c>
      <c r="F5088" s="93">
        <v>32.130000000000003</v>
      </c>
      <c r="G5088" s="93">
        <v>0</v>
      </c>
      <c r="H5088" s="93">
        <v>0</v>
      </c>
      <c r="N5088" s="88"/>
      <c r="O5088" s="88"/>
      <c r="P5088" s="88"/>
    </row>
    <row r="5089" spans="1:16">
      <c r="A5089" s="94">
        <v>87504</v>
      </c>
      <c r="B5089" s="87" t="s">
        <v>4173</v>
      </c>
      <c r="C5089" s="12" t="s">
        <v>9</v>
      </c>
      <c r="D5089" s="93">
        <v>64.3</v>
      </c>
      <c r="E5089" s="93">
        <v>31.93</v>
      </c>
      <c r="F5089" s="93">
        <v>32.369999999999997</v>
      </c>
      <c r="G5089" s="93">
        <v>0</v>
      </c>
      <c r="H5089" s="93">
        <v>0</v>
      </c>
      <c r="N5089" s="88"/>
      <c r="O5089" s="88"/>
      <c r="P5089" s="88"/>
    </row>
    <row r="5090" spans="1:16">
      <c r="A5090" s="94">
        <v>87505</v>
      </c>
      <c r="B5090" s="87" t="s">
        <v>4174</v>
      </c>
      <c r="C5090" s="12" t="s">
        <v>9</v>
      </c>
      <c r="D5090" s="93">
        <v>64.040000000000006</v>
      </c>
      <c r="E5090" s="93">
        <v>26.07</v>
      </c>
      <c r="F5090" s="93">
        <v>37.950000000000003</v>
      </c>
      <c r="G5090" s="93">
        <v>0.01</v>
      </c>
      <c r="H5090" s="93">
        <v>0</v>
      </c>
      <c r="N5090" s="88"/>
      <c r="O5090" s="88"/>
      <c r="P5090" s="88"/>
    </row>
    <row r="5091" spans="1:16">
      <c r="A5091" s="94">
        <v>87506</v>
      </c>
      <c r="B5091" s="87" t="s">
        <v>4175</v>
      </c>
      <c r="C5091" s="12" t="s">
        <v>9</v>
      </c>
      <c r="D5091" s="93">
        <v>64.67</v>
      </c>
      <c r="E5091" s="93">
        <v>26.4</v>
      </c>
      <c r="F5091" s="93">
        <v>38.270000000000003</v>
      </c>
      <c r="G5091" s="93">
        <v>0</v>
      </c>
      <c r="H5091" s="93">
        <v>0</v>
      </c>
      <c r="N5091" s="88"/>
      <c r="O5091" s="88"/>
      <c r="P5091" s="88"/>
    </row>
    <row r="5092" spans="1:16">
      <c r="A5092" s="94">
        <v>87507</v>
      </c>
      <c r="B5092" s="87" t="s">
        <v>4176</v>
      </c>
      <c r="C5092" s="12" t="s">
        <v>9</v>
      </c>
      <c r="D5092" s="93">
        <v>72.34</v>
      </c>
      <c r="E5092" s="93">
        <v>34.81</v>
      </c>
      <c r="F5092" s="93">
        <v>37.520000000000003</v>
      </c>
      <c r="G5092" s="93">
        <v>0</v>
      </c>
      <c r="H5092" s="93">
        <v>0</v>
      </c>
      <c r="N5092" s="88"/>
      <c r="O5092" s="88"/>
      <c r="P5092" s="88"/>
    </row>
    <row r="5093" spans="1:16">
      <c r="A5093" s="94">
        <v>87508</v>
      </c>
      <c r="B5093" s="87" t="s">
        <v>4177</v>
      </c>
      <c r="C5093" s="12" t="s">
        <v>9</v>
      </c>
      <c r="D5093" s="93">
        <v>72.87</v>
      </c>
      <c r="E5093" s="93">
        <v>35.07</v>
      </c>
      <c r="F5093" s="93">
        <v>37.799999999999997</v>
      </c>
      <c r="G5093" s="93">
        <v>0</v>
      </c>
      <c r="H5093" s="93">
        <v>0</v>
      </c>
      <c r="N5093" s="88"/>
      <c r="O5093" s="88"/>
      <c r="P5093" s="88"/>
    </row>
    <row r="5094" spans="1:16">
      <c r="A5094" s="94">
        <v>87509</v>
      </c>
      <c r="B5094" s="87" t="s">
        <v>4178</v>
      </c>
      <c r="C5094" s="12" t="s">
        <v>9</v>
      </c>
      <c r="D5094" s="93">
        <v>110.82</v>
      </c>
      <c r="E5094" s="93">
        <v>53.84</v>
      </c>
      <c r="F5094" s="93">
        <v>56.96</v>
      </c>
      <c r="G5094" s="93">
        <v>0.01</v>
      </c>
      <c r="H5094" s="93">
        <v>0</v>
      </c>
      <c r="N5094" s="88"/>
      <c r="O5094" s="88"/>
      <c r="P5094" s="88"/>
    </row>
    <row r="5095" spans="1:16">
      <c r="A5095" s="94">
        <v>87510</v>
      </c>
      <c r="B5095" s="87" t="s">
        <v>4179</v>
      </c>
      <c r="C5095" s="12" t="s">
        <v>9</v>
      </c>
      <c r="D5095" s="93">
        <v>111.5</v>
      </c>
      <c r="E5095" s="93">
        <v>54.19</v>
      </c>
      <c r="F5095" s="93">
        <v>57.31</v>
      </c>
      <c r="G5095" s="93">
        <v>0</v>
      </c>
      <c r="H5095" s="93">
        <v>0</v>
      </c>
      <c r="N5095" s="88"/>
      <c r="O5095" s="88"/>
      <c r="P5095" s="88"/>
    </row>
    <row r="5096" spans="1:16">
      <c r="A5096" s="94">
        <v>87511</v>
      </c>
      <c r="B5096" s="87" t="s">
        <v>4180</v>
      </c>
      <c r="C5096" s="12" t="s">
        <v>9</v>
      </c>
      <c r="D5096" s="93">
        <v>82.67</v>
      </c>
      <c r="E5096" s="93">
        <v>45.38</v>
      </c>
      <c r="F5096" s="93">
        <v>37.28</v>
      </c>
      <c r="G5096" s="93">
        <v>0</v>
      </c>
      <c r="H5096" s="93">
        <v>0</v>
      </c>
      <c r="N5096" s="88"/>
      <c r="O5096" s="88"/>
      <c r="P5096" s="88"/>
    </row>
    <row r="5097" spans="1:16">
      <c r="A5097" s="94">
        <v>87512</v>
      </c>
      <c r="B5097" s="87" t="s">
        <v>4181</v>
      </c>
      <c r="C5097" s="12" t="s">
        <v>9</v>
      </c>
      <c r="D5097" s="93">
        <v>83.16</v>
      </c>
      <c r="E5097" s="93">
        <v>45.64</v>
      </c>
      <c r="F5097" s="93">
        <v>37.520000000000003</v>
      </c>
      <c r="G5097" s="93">
        <v>0</v>
      </c>
      <c r="H5097" s="93">
        <v>0</v>
      </c>
      <c r="N5097" s="88"/>
      <c r="O5097" s="88"/>
      <c r="P5097" s="88"/>
    </row>
    <row r="5098" spans="1:16">
      <c r="A5098" s="94">
        <v>87513</v>
      </c>
      <c r="B5098" s="87" t="s">
        <v>4182</v>
      </c>
      <c r="C5098" s="12" t="s">
        <v>9</v>
      </c>
      <c r="D5098" s="93">
        <v>83.33</v>
      </c>
      <c r="E5098" s="93">
        <v>39.770000000000003</v>
      </c>
      <c r="F5098" s="93">
        <v>43.54</v>
      </c>
      <c r="G5098" s="93">
        <v>0.01</v>
      </c>
      <c r="H5098" s="93">
        <v>0</v>
      </c>
      <c r="N5098" s="88"/>
      <c r="O5098" s="88"/>
      <c r="P5098" s="88"/>
    </row>
    <row r="5099" spans="1:16">
      <c r="A5099" s="94">
        <v>87514</v>
      </c>
      <c r="B5099" s="87" t="s">
        <v>4183</v>
      </c>
      <c r="C5099" s="12" t="s">
        <v>9</v>
      </c>
      <c r="D5099" s="93">
        <v>83.96</v>
      </c>
      <c r="E5099" s="93">
        <v>40.1</v>
      </c>
      <c r="F5099" s="93">
        <v>43.86</v>
      </c>
      <c r="G5099" s="93">
        <v>0</v>
      </c>
      <c r="H5099" s="93">
        <v>0</v>
      </c>
      <c r="N5099" s="88"/>
      <c r="O5099" s="88"/>
      <c r="P5099" s="88"/>
    </row>
    <row r="5100" spans="1:16">
      <c r="A5100" s="94">
        <v>87515</v>
      </c>
      <c r="B5100" s="87" t="s">
        <v>4184</v>
      </c>
      <c r="C5100" s="12" t="s">
        <v>9</v>
      </c>
      <c r="D5100" s="93">
        <v>97.92</v>
      </c>
      <c r="E5100" s="93">
        <v>53.4</v>
      </c>
      <c r="F5100" s="93">
        <v>44.51</v>
      </c>
      <c r="G5100" s="93">
        <v>0</v>
      </c>
      <c r="H5100" s="93">
        <v>0</v>
      </c>
      <c r="N5100" s="88"/>
      <c r="O5100" s="88"/>
      <c r="P5100" s="88"/>
    </row>
    <row r="5101" spans="1:16">
      <c r="A5101" s="94">
        <v>87516</v>
      </c>
      <c r="B5101" s="87" t="s">
        <v>4185</v>
      </c>
      <c r="C5101" s="12" t="s">
        <v>9</v>
      </c>
      <c r="D5101" s="93">
        <v>98.45</v>
      </c>
      <c r="E5101" s="93">
        <v>53.66</v>
      </c>
      <c r="F5101" s="93">
        <v>44.79</v>
      </c>
      <c r="G5101" s="93">
        <v>0</v>
      </c>
      <c r="H5101" s="93">
        <v>0</v>
      </c>
      <c r="N5101" s="88"/>
      <c r="O5101" s="88"/>
      <c r="P5101" s="88"/>
    </row>
    <row r="5102" spans="1:16">
      <c r="A5102" s="94">
        <v>87517</v>
      </c>
      <c r="B5102" s="87" t="s">
        <v>4186</v>
      </c>
      <c r="C5102" s="12" t="s">
        <v>9</v>
      </c>
      <c r="D5102" s="93">
        <v>151.43</v>
      </c>
      <c r="E5102" s="93">
        <v>82.78</v>
      </c>
      <c r="F5102" s="93">
        <v>68.63</v>
      </c>
      <c r="G5102" s="93">
        <v>0.01</v>
      </c>
      <c r="H5102" s="93">
        <v>0</v>
      </c>
      <c r="N5102" s="88"/>
      <c r="O5102" s="88"/>
      <c r="P5102" s="88"/>
    </row>
    <row r="5103" spans="1:16">
      <c r="A5103" s="94">
        <v>87518</v>
      </c>
      <c r="B5103" s="87" t="s">
        <v>4187</v>
      </c>
      <c r="C5103" s="12" t="s">
        <v>9</v>
      </c>
      <c r="D5103" s="93">
        <v>152.11000000000001</v>
      </c>
      <c r="E5103" s="93">
        <v>83.13</v>
      </c>
      <c r="F5103" s="93">
        <v>68.98</v>
      </c>
      <c r="G5103" s="93">
        <v>0</v>
      </c>
      <c r="H5103" s="93">
        <v>0</v>
      </c>
      <c r="N5103" s="88"/>
      <c r="O5103" s="88"/>
      <c r="P5103" s="88"/>
    </row>
    <row r="5104" spans="1:16">
      <c r="A5104" s="94">
        <v>87519</v>
      </c>
      <c r="B5104" s="87" t="s">
        <v>4188</v>
      </c>
      <c r="C5104" s="12" t="s">
        <v>9</v>
      </c>
      <c r="D5104" s="93">
        <v>69.33</v>
      </c>
      <c r="E5104" s="93">
        <v>35.72</v>
      </c>
      <c r="F5104" s="93">
        <v>33.6</v>
      </c>
      <c r="G5104" s="93">
        <v>0</v>
      </c>
      <c r="H5104" s="93">
        <v>0</v>
      </c>
      <c r="N5104" s="88"/>
      <c r="O5104" s="88"/>
      <c r="P5104" s="88"/>
    </row>
    <row r="5105" spans="1:16">
      <c r="A5105" s="94">
        <v>87520</v>
      </c>
      <c r="B5105" s="87" t="s">
        <v>4189</v>
      </c>
      <c r="C5105" s="12" t="s">
        <v>9</v>
      </c>
      <c r="D5105" s="93">
        <v>69.819999999999993</v>
      </c>
      <c r="E5105" s="93">
        <v>35.979999999999997</v>
      </c>
      <c r="F5105" s="93">
        <v>33.840000000000003</v>
      </c>
      <c r="G5105" s="93">
        <v>0</v>
      </c>
      <c r="H5105" s="93">
        <v>0</v>
      </c>
      <c r="N5105" s="88"/>
      <c r="O5105" s="88"/>
      <c r="P5105" s="88"/>
    </row>
    <row r="5106" spans="1:16">
      <c r="A5106" s="94">
        <v>87521</v>
      </c>
      <c r="B5106" s="87" t="s">
        <v>4190</v>
      </c>
      <c r="C5106" s="12" t="s">
        <v>9</v>
      </c>
      <c r="D5106" s="93">
        <v>69.64</v>
      </c>
      <c r="E5106" s="93">
        <v>30.13</v>
      </c>
      <c r="F5106" s="93">
        <v>39.49</v>
      </c>
      <c r="G5106" s="93">
        <v>0.01</v>
      </c>
      <c r="H5106" s="93">
        <v>0</v>
      </c>
      <c r="N5106" s="88"/>
      <c r="O5106" s="88"/>
      <c r="P5106" s="88"/>
    </row>
    <row r="5107" spans="1:16">
      <c r="A5107" s="94">
        <v>87522</v>
      </c>
      <c r="B5107" s="87" t="s">
        <v>4191</v>
      </c>
      <c r="C5107" s="12" t="s">
        <v>9</v>
      </c>
      <c r="D5107" s="93">
        <v>70.27</v>
      </c>
      <c r="E5107" s="93">
        <v>30.46</v>
      </c>
      <c r="F5107" s="93">
        <v>39.81</v>
      </c>
      <c r="G5107" s="93">
        <v>0</v>
      </c>
      <c r="H5107" s="93">
        <v>0</v>
      </c>
      <c r="N5107" s="88"/>
      <c r="O5107" s="88"/>
      <c r="P5107" s="88"/>
    </row>
    <row r="5108" spans="1:16">
      <c r="A5108" s="94">
        <v>87523</v>
      </c>
      <c r="B5108" s="87" t="s">
        <v>4192</v>
      </c>
      <c r="C5108" s="12" t="s">
        <v>9</v>
      </c>
      <c r="D5108" s="93">
        <v>79.8</v>
      </c>
      <c r="E5108" s="93">
        <v>40.32</v>
      </c>
      <c r="F5108" s="93">
        <v>39.47</v>
      </c>
      <c r="G5108" s="93">
        <v>0</v>
      </c>
      <c r="H5108" s="93">
        <v>0</v>
      </c>
      <c r="N5108" s="88"/>
      <c r="O5108" s="88"/>
      <c r="P5108" s="88"/>
    </row>
    <row r="5109" spans="1:16">
      <c r="A5109" s="94">
        <v>87524</v>
      </c>
      <c r="B5109" s="87" t="s">
        <v>4193</v>
      </c>
      <c r="C5109" s="12" t="s">
        <v>9</v>
      </c>
      <c r="D5109" s="93">
        <v>80.33</v>
      </c>
      <c r="E5109" s="93">
        <v>40.590000000000003</v>
      </c>
      <c r="F5109" s="93">
        <v>39.74</v>
      </c>
      <c r="G5109" s="93">
        <v>0</v>
      </c>
      <c r="H5109" s="93">
        <v>0</v>
      </c>
      <c r="N5109" s="88"/>
      <c r="O5109" s="88"/>
      <c r="P5109" s="88"/>
    </row>
    <row r="5110" spans="1:16">
      <c r="A5110" s="94">
        <v>87525</v>
      </c>
      <c r="B5110" s="87" t="s">
        <v>4194</v>
      </c>
      <c r="C5110" s="12" t="s">
        <v>9</v>
      </c>
      <c r="D5110" s="93">
        <v>122.38</v>
      </c>
      <c r="E5110" s="93">
        <v>62.39</v>
      </c>
      <c r="F5110" s="93">
        <v>59.97</v>
      </c>
      <c r="G5110" s="93">
        <v>0.01</v>
      </c>
      <c r="H5110" s="93">
        <v>0</v>
      </c>
      <c r="N5110" s="88"/>
      <c r="O5110" s="88"/>
      <c r="P5110" s="88"/>
    </row>
    <row r="5111" spans="1:16">
      <c r="A5111" s="94">
        <v>87526</v>
      </c>
      <c r="B5111" s="87" t="s">
        <v>4195</v>
      </c>
      <c r="C5111" s="12" t="s">
        <v>9</v>
      </c>
      <c r="D5111" s="93">
        <v>123.06</v>
      </c>
      <c r="E5111" s="93">
        <v>62.74</v>
      </c>
      <c r="F5111" s="93">
        <v>60.32</v>
      </c>
      <c r="G5111" s="93">
        <v>0</v>
      </c>
      <c r="H5111" s="93">
        <v>0</v>
      </c>
      <c r="N5111" s="88"/>
      <c r="O5111" s="88"/>
      <c r="P5111" s="88"/>
    </row>
    <row r="5112" spans="1:16">
      <c r="A5112" s="94">
        <v>89043</v>
      </c>
      <c r="B5112" s="87" t="s">
        <v>4196</v>
      </c>
      <c r="C5112" s="12" t="s">
        <v>9</v>
      </c>
      <c r="D5112" s="93">
        <v>70.58</v>
      </c>
      <c r="E5112" s="93">
        <v>36.76</v>
      </c>
      <c r="F5112" s="93">
        <v>33.82</v>
      </c>
      <c r="G5112" s="93">
        <v>0</v>
      </c>
      <c r="H5112" s="93">
        <v>0</v>
      </c>
      <c r="N5112" s="88"/>
      <c r="O5112" s="88"/>
      <c r="P5112" s="88"/>
    </row>
    <row r="5113" spans="1:16">
      <c r="A5113" s="94">
        <v>89168</v>
      </c>
      <c r="B5113" s="87" t="s">
        <v>4197</v>
      </c>
      <c r="C5113" s="12" t="s">
        <v>9</v>
      </c>
      <c r="D5113" s="93">
        <v>72.56</v>
      </c>
      <c r="E5113" s="93">
        <v>38.21</v>
      </c>
      <c r="F5113" s="93">
        <v>34.35</v>
      </c>
      <c r="G5113" s="93">
        <v>0</v>
      </c>
      <c r="H5113" s="93">
        <v>0</v>
      </c>
      <c r="N5113" s="88"/>
      <c r="O5113" s="88"/>
      <c r="P5113" s="88"/>
    </row>
    <row r="5114" spans="1:16">
      <c r="A5114" s="94">
        <v>89977</v>
      </c>
      <c r="B5114" s="87" t="s">
        <v>4198</v>
      </c>
      <c r="C5114" s="12" t="s">
        <v>9</v>
      </c>
      <c r="D5114" s="93">
        <v>129.54</v>
      </c>
      <c r="E5114" s="93">
        <v>67.319999999999993</v>
      </c>
      <c r="F5114" s="93">
        <v>62.22</v>
      </c>
      <c r="G5114" s="93">
        <v>0</v>
      </c>
      <c r="H5114" s="93">
        <v>0</v>
      </c>
      <c r="N5114" s="88"/>
      <c r="O5114" s="88"/>
      <c r="P5114" s="88"/>
    </row>
    <row r="5115" spans="1:16">
      <c r="A5115" s="94">
        <v>90112</v>
      </c>
      <c r="B5115" s="87" t="s">
        <v>4199</v>
      </c>
      <c r="C5115" s="12" t="s">
        <v>9</v>
      </c>
      <c r="D5115" s="93">
        <v>68.989999999999995</v>
      </c>
      <c r="E5115" s="93">
        <v>25.18</v>
      </c>
      <c r="F5115" s="93">
        <v>43.81</v>
      </c>
      <c r="G5115" s="93">
        <v>0</v>
      </c>
      <c r="H5115" s="93">
        <v>0</v>
      </c>
      <c r="N5115" s="88"/>
      <c r="O5115" s="88"/>
      <c r="P5115" s="88"/>
    </row>
    <row r="5116" spans="1:16">
      <c r="A5116" s="94">
        <v>101159</v>
      </c>
      <c r="B5116" s="87" t="s">
        <v>4200</v>
      </c>
      <c r="C5116" s="12" t="s">
        <v>9</v>
      </c>
      <c r="D5116" s="93">
        <v>111.38</v>
      </c>
      <c r="E5116" s="93">
        <v>46.13</v>
      </c>
      <c r="F5116" s="93">
        <v>65.209999999999994</v>
      </c>
      <c r="G5116" s="93">
        <v>0.02</v>
      </c>
      <c r="H5116" s="93">
        <v>0</v>
      </c>
      <c r="N5116" s="88"/>
      <c r="O5116" s="88"/>
      <c r="P5116" s="88"/>
    </row>
    <row r="5117" spans="1:16">
      <c r="A5117" s="94">
        <v>89282</v>
      </c>
      <c r="B5117" s="87" t="s">
        <v>4201</v>
      </c>
      <c r="C5117" s="12" t="s">
        <v>9</v>
      </c>
      <c r="D5117" s="93">
        <v>59.48</v>
      </c>
      <c r="E5117" s="93">
        <v>16.149999999999999</v>
      </c>
      <c r="F5117" s="93">
        <v>43.31</v>
      </c>
      <c r="G5117" s="93">
        <v>0.01</v>
      </c>
      <c r="H5117" s="93">
        <v>0</v>
      </c>
      <c r="N5117" s="88"/>
      <c r="O5117" s="88"/>
      <c r="P5117" s="88"/>
    </row>
    <row r="5118" spans="1:16">
      <c r="A5118" s="94">
        <v>89283</v>
      </c>
      <c r="B5118" s="87" t="s">
        <v>4202</v>
      </c>
      <c r="C5118" s="12" t="s">
        <v>9</v>
      </c>
      <c r="D5118" s="93">
        <v>59.98</v>
      </c>
      <c r="E5118" s="93">
        <v>16.329999999999998</v>
      </c>
      <c r="F5118" s="93">
        <v>43.65</v>
      </c>
      <c r="G5118" s="93">
        <v>0</v>
      </c>
      <c r="H5118" s="93">
        <v>0</v>
      </c>
      <c r="N5118" s="88"/>
      <c r="O5118" s="88"/>
      <c r="P5118" s="88"/>
    </row>
    <row r="5119" spans="1:16">
      <c r="A5119" s="94">
        <v>89284</v>
      </c>
      <c r="B5119" s="87" t="s">
        <v>4203</v>
      </c>
      <c r="C5119" s="12" t="s">
        <v>9</v>
      </c>
      <c r="D5119" s="93">
        <v>54.81</v>
      </c>
      <c r="E5119" s="93">
        <v>13.73</v>
      </c>
      <c r="F5119" s="93">
        <v>41.06</v>
      </c>
      <c r="G5119" s="93">
        <v>0.01</v>
      </c>
      <c r="H5119" s="93">
        <v>0</v>
      </c>
      <c r="N5119" s="88"/>
      <c r="O5119" s="88"/>
      <c r="P5119" s="88"/>
    </row>
    <row r="5120" spans="1:16">
      <c r="A5120" s="94">
        <v>89285</v>
      </c>
      <c r="B5120" s="87" t="s">
        <v>4204</v>
      </c>
      <c r="C5120" s="12" t="s">
        <v>9</v>
      </c>
      <c r="D5120" s="93">
        <v>55.31</v>
      </c>
      <c r="E5120" s="93">
        <v>13.91</v>
      </c>
      <c r="F5120" s="93">
        <v>41.4</v>
      </c>
      <c r="G5120" s="93">
        <v>0</v>
      </c>
      <c r="H5120" s="93">
        <v>0</v>
      </c>
      <c r="N5120" s="88"/>
      <c r="O5120" s="88"/>
      <c r="P5120" s="88"/>
    </row>
    <row r="5121" spans="1:16">
      <c r="A5121" s="94">
        <v>89286</v>
      </c>
      <c r="B5121" s="87" t="s">
        <v>4205</v>
      </c>
      <c r="C5121" s="12" t="s">
        <v>9</v>
      </c>
      <c r="D5121" s="93">
        <v>63.66</v>
      </c>
      <c r="E5121" s="93">
        <v>18.559999999999999</v>
      </c>
      <c r="F5121" s="93">
        <v>45.08</v>
      </c>
      <c r="G5121" s="93">
        <v>0.01</v>
      </c>
      <c r="H5121" s="93">
        <v>0</v>
      </c>
      <c r="N5121" s="88"/>
      <c r="O5121" s="88"/>
      <c r="P5121" s="88"/>
    </row>
    <row r="5122" spans="1:16">
      <c r="A5122" s="94">
        <v>89287</v>
      </c>
      <c r="B5122" s="87" t="s">
        <v>4206</v>
      </c>
      <c r="C5122" s="12" t="s">
        <v>9</v>
      </c>
      <c r="D5122" s="93">
        <v>64.16</v>
      </c>
      <c r="E5122" s="93">
        <v>18.739999999999998</v>
      </c>
      <c r="F5122" s="93">
        <v>45.42</v>
      </c>
      <c r="G5122" s="93">
        <v>0</v>
      </c>
      <c r="H5122" s="93">
        <v>0</v>
      </c>
      <c r="N5122" s="88"/>
      <c r="O5122" s="88"/>
      <c r="P5122" s="88"/>
    </row>
    <row r="5123" spans="1:16">
      <c r="A5123" s="94">
        <v>89288</v>
      </c>
      <c r="B5123" s="87" t="s">
        <v>4207</v>
      </c>
      <c r="C5123" s="12" t="s">
        <v>9</v>
      </c>
      <c r="D5123" s="93">
        <v>57.11</v>
      </c>
      <c r="E5123" s="93">
        <v>14.98</v>
      </c>
      <c r="F5123" s="93">
        <v>42.11</v>
      </c>
      <c r="G5123" s="93">
        <v>0.01</v>
      </c>
      <c r="H5123" s="93">
        <v>0</v>
      </c>
      <c r="N5123" s="88"/>
      <c r="O5123" s="88"/>
      <c r="P5123" s="88"/>
    </row>
    <row r="5124" spans="1:16">
      <c r="A5124" s="94">
        <v>89289</v>
      </c>
      <c r="B5124" s="87" t="s">
        <v>4208</v>
      </c>
      <c r="C5124" s="12" t="s">
        <v>9</v>
      </c>
      <c r="D5124" s="93">
        <v>57.61</v>
      </c>
      <c r="E5124" s="93">
        <v>15.16</v>
      </c>
      <c r="F5124" s="93">
        <v>42.45</v>
      </c>
      <c r="G5124" s="93">
        <v>0</v>
      </c>
      <c r="H5124" s="93">
        <v>0</v>
      </c>
      <c r="N5124" s="88"/>
      <c r="O5124" s="88"/>
      <c r="P5124" s="88"/>
    </row>
    <row r="5125" spans="1:16">
      <c r="A5125" s="94">
        <v>89290</v>
      </c>
      <c r="B5125" s="87" t="s">
        <v>4209</v>
      </c>
      <c r="C5125" s="12" t="s">
        <v>9</v>
      </c>
      <c r="D5125" s="93">
        <v>68.38</v>
      </c>
      <c r="E5125" s="93">
        <v>22.15</v>
      </c>
      <c r="F5125" s="93">
        <v>46.21</v>
      </c>
      <c r="G5125" s="93">
        <v>0.01</v>
      </c>
      <c r="H5125" s="93">
        <v>0</v>
      </c>
      <c r="N5125" s="88"/>
      <c r="O5125" s="88"/>
      <c r="P5125" s="88"/>
    </row>
    <row r="5126" spans="1:16">
      <c r="A5126" s="94">
        <v>89291</v>
      </c>
      <c r="B5126" s="87" t="s">
        <v>4210</v>
      </c>
      <c r="C5126" s="12" t="s">
        <v>9</v>
      </c>
      <c r="D5126" s="93">
        <v>68.930000000000007</v>
      </c>
      <c r="E5126" s="93">
        <v>22.35</v>
      </c>
      <c r="F5126" s="93">
        <v>46.58</v>
      </c>
      <c r="G5126" s="93">
        <v>0</v>
      </c>
      <c r="H5126" s="93">
        <v>0</v>
      </c>
      <c r="N5126" s="88"/>
      <c r="O5126" s="88"/>
      <c r="P5126" s="88"/>
    </row>
    <row r="5127" spans="1:16">
      <c r="A5127" s="94">
        <v>89292</v>
      </c>
      <c r="B5127" s="87" t="s">
        <v>4211</v>
      </c>
      <c r="C5127" s="12" t="s">
        <v>9</v>
      </c>
      <c r="D5127" s="93">
        <v>63.68</v>
      </c>
      <c r="E5127" s="93">
        <v>19.739999999999998</v>
      </c>
      <c r="F5127" s="93">
        <v>43.92</v>
      </c>
      <c r="G5127" s="93">
        <v>0.01</v>
      </c>
      <c r="H5127" s="93">
        <v>0</v>
      </c>
      <c r="N5127" s="88"/>
      <c r="O5127" s="88"/>
      <c r="P5127" s="88"/>
    </row>
    <row r="5128" spans="1:16">
      <c r="A5128" s="94">
        <v>89293</v>
      </c>
      <c r="B5128" s="87" t="s">
        <v>4212</v>
      </c>
      <c r="C5128" s="12" t="s">
        <v>9</v>
      </c>
      <c r="D5128" s="93">
        <v>64.23</v>
      </c>
      <c r="E5128" s="93">
        <v>19.940000000000001</v>
      </c>
      <c r="F5128" s="93">
        <v>44.29</v>
      </c>
      <c r="G5128" s="93">
        <v>0</v>
      </c>
      <c r="H5128" s="93">
        <v>0</v>
      </c>
      <c r="N5128" s="88"/>
      <c r="O5128" s="88"/>
      <c r="P5128" s="88"/>
    </row>
    <row r="5129" spans="1:16">
      <c r="A5129" s="94">
        <v>89294</v>
      </c>
      <c r="B5129" s="87" t="s">
        <v>4213</v>
      </c>
      <c r="C5129" s="12" t="s">
        <v>9</v>
      </c>
      <c r="D5129" s="93">
        <v>74.41</v>
      </c>
      <c r="E5129" s="93">
        <v>25.74</v>
      </c>
      <c r="F5129" s="93">
        <v>48.65</v>
      </c>
      <c r="G5129" s="93">
        <v>0.01</v>
      </c>
      <c r="H5129" s="93">
        <v>0</v>
      </c>
      <c r="N5129" s="88"/>
      <c r="O5129" s="88"/>
      <c r="P5129" s="88"/>
    </row>
    <row r="5130" spans="1:16">
      <c r="A5130" s="94">
        <v>89295</v>
      </c>
      <c r="B5130" s="87" t="s">
        <v>4214</v>
      </c>
      <c r="C5130" s="12" t="s">
        <v>9</v>
      </c>
      <c r="D5130" s="93">
        <v>74.959999999999994</v>
      </c>
      <c r="E5130" s="93">
        <v>25.94</v>
      </c>
      <c r="F5130" s="93">
        <v>49.02</v>
      </c>
      <c r="G5130" s="93">
        <v>0</v>
      </c>
      <c r="H5130" s="93">
        <v>0</v>
      </c>
      <c r="N5130" s="88"/>
      <c r="O5130" s="88"/>
      <c r="P5130" s="88"/>
    </row>
    <row r="5131" spans="1:16">
      <c r="A5131" s="94">
        <v>89296</v>
      </c>
      <c r="B5131" s="87" t="s">
        <v>4215</v>
      </c>
      <c r="C5131" s="12" t="s">
        <v>9</v>
      </c>
      <c r="D5131" s="93">
        <v>66.930000000000007</v>
      </c>
      <c r="E5131" s="93">
        <v>21.71</v>
      </c>
      <c r="F5131" s="93">
        <v>45.2</v>
      </c>
      <c r="G5131" s="93">
        <v>0.01</v>
      </c>
      <c r="H5131" s="93">
        <v>0</v>
      </c>
      <c r="N5131" s="88"/>
      <c r="O5131" s="88"/>
      <c r="P5131" s="88"/>
    </row>
    <row r="5132" spans="1:16">
      <c r="A5132" s="94">
        <v>89297</v>
      </c>
      <c r="B5132" s="87" t="s">
        <v>4216</v>
      </c>
      <c r="C5132" s="12" t="s">
        <v>9</v>
      </c>
      <c r="D5132" s="93">
        <v>67.48</v>
      </c>
      <c r="E5132" s="93">
        <v>21.9</v>
      </c>
      <c r="F5132" s="93">
        <v>45.58</v>
      </c>
      <c r="G5132" s="93">
        <v>0</v>
      </c>
      <c r="H5132" s="93">
        <v>0</v>
      </c>
      <c r="N5132" s="88"/>
      <c r="O5132" s="88"/>
      <c r="P5132" s="88"/>
    </row>
    <row r="5133" spans="1:16">
      <c r="A5133" s="94">
        <v>89298</v>
      </c>
      <c r="B5133" s="87" t="s">
        <v>4217</v>
      </c>
      <c r="C5133" s="12" t="s">
        <v>9</v>
      </c>
      <c r="D5133" s="93">
        <v>70.48</v>
      </c>
      <c r="E5133" s="93">
        <v>23.19</v>
      </c>
      <c r="F5133" s="93">
        <v>47.26</v>
      </c>
      <c r="G5133" s="93">
        <v>0.01</v>
      </c>
      <c r="H5133" s="93">
        <v>0</v>
      </c>
      <c r="N5133" s="88"/>
      <c r="O5133" s="88"/>
      <c r="P5133" s="88"/>
    </row>
    <row r="5134" spans="1:16">
      <c r="A5134" s="94">
        <v>89299</v>
      </c>
      <c r="B5134" s="87" t="s">
        <v>4218</v>
      </c>
      <c r="C5134" s="12" t="s">
        <v>9</v>
      </c>
      <c r="D5134" s="93">
        <v>71.19</v>
      </c>
      <c r="E5134" s="93">
        <v>23.43</v>
      </c>
      <c r="F5134" s="93">
        <v>47.76</v>
      </c>
      <c r="G5134" s="93">
        <v>0</v>
      </c>
      <c r="H5134" s="93">
        <v>0</v>
      </c>
      <c r="N5134" s="88"/>
      <c r="O5134" s="88"/>
      <c r="P5134" s="88"/>
    </row>
    <row r="5135" spans="1:16">
      <c r="A5135" s="94">
        <v>89300</v>
      </c>
      <c r="B5135" s="87" t="s">
        <v>4219</v>
      </c>
      <c r="C5135" s="12" t="s">
        <v>9</v>
      </c>
      <c r="D5135" s="93">
        <v>65.8</v>
      </c>
      <c r="E5135" s="93">
        <v>20.77</v>
      </c>
      <c r="F5135" s="93">
        <v>45</v>
      </c>
      <c r="G5135" s="93">
        <v>0.01</v>
      </c>
      <c r="H5135" s="93">
        <v>0</v>
      </c>
      <c r="N5135" s="88"/>
      <c r="O5135" s="88"/>
      <c r="P5135" s="88"/>
    </row>
    <row r="5136" spans="1:16">
      <c r="A5136" s="94">
        <v>89301</v>
      </c>
      <c r="B5136" s="87" t="s">
        <v>4220</v>
      </c>
      <c r="C5136" s="12" t="s">
        <v>9</v>
      </c>
      <c r="D5136" s="93">
        <v>66.510000000000005</v>
      </c>
      <c r="E5136" s="93">
        <v>21.01</v>
      </c>
      <c r="F5136" s="93">
        <v>45.5</v>
      </c>
      <c r="G5136" s="93">
        <v>0</v>
      </c>
      <c r="H5136" s="93">
        <v>0</v>
      </c>
      <c r="N5136" s="88"/>
      <c r="O5136" s="88"/>
      <c r="P5136" s="88"/>
    </row>
    <row r="5137" spans="1:16">
      <c r="A5137" s="94">
        <v>89302</v>
      </c>
      <c r="B5137" s="87" t="s">
        <v>4221</v>
      </c>
      <c r="C5137" s="12" t="s">
        <v>9</v>
      </c>
      <c r="D5137" s="93">
        <v>77.739999999999995</v>
      </c>
      <c r="E5137" s="93">
        <v>27.96</v>
      </c>
      <c r="F5137" s="93">
        <v>49.75</v>
      </c>
      <c r="G5137" s="93">
        <v>0.01</v>
      </c>
      <c r="H5137" s="93">
        <v>0</v>
      </c>
      <c r="N5137" s="88"/>
      <c r="O5137" s="88"/>
      <c r="P5137" s="88"/>
    </row>
    <row r="5138" spans="1:16">
      <c r="A5138" s="94">
        <v>89303</v>
      </c>
      <c r="B5138" s="87" t="s">
        <v>4222</v>
      </c>
      <c r="C5138" s="12" t="s">
        <v>9</v>
      </c>
      <c r="D5138" s="93">
        <v>78.45</v>
      </c>
      <c r="E5138" s="93">
        <v>28.2</v>
      </c>
      <c r="F5138" s="93">
        <v>50.25</v>
      </c>
      <c r="G5138" s="93">
        <v>0</v>
      </c>
      <c r="H5138" s="93">
        <v>0</v>
      </c>
      <c r="N5138" s="88"/>
      <c r="O5138" s="88"/>
      <c r="P5138" s="88"/>
    </row>
    <row r="5139" spans="1:16">
      <c r="A5139" s="94">
        <v>89304</v>
      </c>
      <c r="B5139" s="87" t="s">
        <v>4223</v>
      </c>
      <c r="C5139" s="12" t="s">
        <v>9</v>
      </c>
      <c r="D5139" s="93">
        <v>70.02</v>
      </c>
      <c r="E5139" s="93">
        <v>23.47</v>
      </c>
      <c r="F5139" s="93">
        <v>46.52</v>
      </c>
      <c r="G5139" s="93">
        <v>0.01</v>
      </c>
      <c r="H5139" s="93">
        <v>0</v>
      </c>
      <c r="N5139" s="88"/>
      <c r="O5139" s="88"/>
      <c r="P5139" s="88"/>
    </row>
    <row r="5140" spans="1:16">
      <c r="A5140" s="94">
        <v>89305</v>
      </c>
      <c r="B5140" s="87" t="s">
        <v>4224</v>
      </c>
      <c r="C5140" s="12" t="s">
        <v>9</v>
      </c>
      <c r="D5140" s="93">
        <v>70.73</v>
      </c>
      <c r="E5140" s="93">
        <v>23.72</v>
      </c>
      <c r="F5140" s="93">
        <v>47.01</v>
      </c>
      <c r="G5140" s="93">
        <v>0</v>
      </c>
      <c r="H5140" s="93">
        <v>0</v>
      </c>
      <c r="N5140" s="88"/>
      <c r="O5140" s="88"/>
      <c r="P5140" s="88"/>
    </row>
    <row r="5141" spans="1:16">
      <c r="A5141" s="94">
        <v>89306</v>
      </c>
      <c r="B5141" s="87" t="s">
        <v>4225</v>
      </c>
      <c r="C5141" s="12" t="s">
        <v>9</v>
      </c>
      <c r="D5141" s="93">
        <v>79.66</v>
      </c>
      <c r="E5141" s="93">
        <v>29.24</v>
      </c>
      <c r="F5141" s="93">
        <v>50.39</v>
      </c>
      <c r="G5141" s="93">
        <v>0.01</v>
      </c>
      <c r="H5141" s="93">
        <v>0</v>
      </c>
      <c r="N5141" s="88"/>
      <c r="O5141" s="88"/>
      <c r="P5141" s="88"/>
    </row>
    <row r="5142" spans="1:16">
      <c r="A5142" s="94">
        <v>89307</v>
      </c>
      <c r="B5142" s="87" t="s">
        <v>4226</v>
      </c>
      <c r="C5142" s="12" t="s">
        <v>9</v>
      </c>
      <c r="D5142" s="93">
        <v>80.44</v>
      </c>
      <c r="E5142" s="93">
        <v>29.49</v>
      </c>
      <c r="F5142" s="93">
        <v>50.95</v>
      </c>
      <c r="G5142" s="93">
        <v>0</v>
      </c>
      <c r="H5142" s="93">
        <v>0</v>
      </c>
      <c r="N5142" s="88"/>
      <c r="O5142" s="88"/>
      <c r="P5142" s="88"/>
    </row>
    <row r="5143" spans="1:16">
      <c r="A5143" s="94">
        <v>89308</v>
      </c>
      <c r="B5143" s="87" t="s">
        <v>4227</v>
      </c>
      <c r="C5143" s="12" t="s">
        <v>9</v>
      </c>
      <c r="D5143" s="93">
        <v>74.98</v>
      </c>
      <c r="E5143" s="93">
        <v>26.82</v>
      </c>
      <c r="F5143" s="93">
        <v>48.13</v>
      </c>
      <c r="G5143" s="93">
        <v>0.01</v>
      </c>
      <c r="H5143" s="93">
        <v>0</v>
      </c>
      <c r="N5143" s="88"/>
      <c r="O5143" s="88"/>
      <c r="P5143" s="88"/>
    </row>
    <row r="5144" spans="1:16">
      <c r="A5144" s="94">
        <v>89309</v>
      </c>
      <c r="B5144" s="87" t="s">
        <v>4228</v>
      </c>
      <c r="C5144" s="12" t="s">
        <v>9</v>
      </c>
      <c r="D5144" s="93">
        <v>75.760000000000005</v>
      </c>
      <c r="E5144" s="93">
        <v>27.07</v>
      </c>
      <c r="F5144" s="93">
        <v>48.69</v>
      </c>
      <c r="G5144" s="93">
        <v>0</v>
      </c>
      <c r="H5144" s="93">
        <v>0</v>
      </c>
      <c r="N5144" s="88"/>
      <c r="O5144" s="88"/>
      <c r="P5144" s="88"/>
    </row>
    <row r="5145" spans="1:16">
      <c r="A5145" s="94">
        <v>89310</v>
      </c>
      <c r="B5145" s="87" t="s">
        <v>4229</v>
      </c>
      <c r="C5145" s="12" t="s">
        <v>9</v>
      </c>
      <c r="D5145" s="93">
        <v>90.23</v>
      </c>
      <c r="E5145" s="93">
        <v>35.19</v>
      </c>
      <c r="F5145" s="93">
        <v>55.01</v>
      </c>
      <c r="G5145" s="93">
        <v>0.01</v>
      </c>
      <c r="H5145" s="93">
        <v>0</v>
      </c>
      <c r="N5145" s="88"/>
      <c r="O5145" s="88"/>
      <c r="P5145" s="88"/>
    </row>
    <row r="5146" spans="1:16">
      <c r="A5146" s="94">
        <v>89311</v>
      </c>
      <c r="B5146" s="87" t="s">
        <v>4230</v>
      </c>
      <c r="C5146" s="12" t="s">
        <v>9</v>
      </c>
      <c r="D5146" s="93">
        <v>91.01</v>
      </c>
      <c r="E5146" s="93">
        <v>35.44</v>
      </c>
      <c r="F5146" s="93">
        <v>55.57</v>
      </c>
      <c r="G5146" s="93">
        <v>0</v>
      </c>
      <c r="H5146" s="93">
        <v>0</v>
      </c>
      <c r="N5146" s="88"/>
      <c r="O5146" s="88"/>
      <c r="P5146" s="88"/>
    </row>
    <row r="5147" spans="1:16">
      <c r="A5147" s="94">
        <v>89312</v>
      </c>
      <c r="B5147" s="87" t="s">
        <v>4231</v>
      </c>
      <c r="C5147" s="12" t="s">
        <v>9</v>
      </c>
      <c r="D5147" s="93">
        <v>80.12</v>
      </c>
      <c r="E5147" s="93">
        <v>30.25</v>
      </c>
      <c r="F5147" s="93">
        <v>49.84</v>
      </c>
      <c r="G5147" s="93">
        <v>0.01</v>
      </c>
      <c r="H5147" s="93">
        <v>0</v>
      </c>
      <c r="N5147" s="88"/>
      <c r="O5147" s="88"/>
      <c r="P5147" s="88"/>
    </row>
    <row r="5148" spans="1:16">
      <c r="A5148" s="94">
        <v>89313</v>
      </c>
      <c r="B5148" s="87" t="s">
        <v>4232</v>
      </c>
      <c r="C5148" s="12" t="s">
        <v>9</v>
      </c>
      <c r="D5148" s="93">
        <v>80.900000000000006</v>
      </c>
      <c r="E5148" s="93">
        <v>30.5</v>
      </c>
      <c r="F5148" s="93">
        <v>50.4</v>
      </c>
      <c r="G5148" s="93">
        <v>0</v>
      </c>
      <c r="H5148" s="93">
        <v>0</v>
      </c>
      <c r="N5148" s="88"/>
      <c r="O5148" s="88"/>
      <c r="P5148" s="88"/>
    </row>
    <row r="5149" spans="1:16">
      <c r="A5149" s="94">
        <v>101162</v>
      </c>
      <c r="B5149" s="87" t="s">
        <v>4233</v>
      </c>
      <c r="C5149" s="12" t="s">
        <v>9</v>
      </c>
      <c r="D5149" s="93">
        <v>122.5</v>
      </c>
      <c r="E5149" s="93">
        <v>51.17</v>
      </c>
      <c r="F5149" s="93">
        <v>71.25</v>
      </c>
      <c r="G5149" s="93">
        <v>0.06</v>
      </c>
      <c r="H5149" s="93">
        <v>0</v>
      </c>
      <c r="N5149" s="88"/>
      <c r="O5149" s="88"/>
      <c r="P5149" s="88"/>
    </row>
    <row r="5150" spans="1:16">
      <c r="A5150" s="94">
        <v>87447</v>
      </c>
      <c r="B5150" s="87" t="s">
        <v>4234</v>
      </c>
      <c r="C5150" s="12" t="s">
        <v>9</v>
      </c>
      <c r="D5150" s="93">
        <v>51.9</v>
      </c>
      <c r="E5150" s="93">
        <v>16.97</v>
      </c>
      <c r="F5150" s="93">
        <v>34.93</v>
      </c>
      <c r="G5150" s="93">
        <v>0</v>
      </c>
      <c r="H5150" s="93">
        <v>0</v>
      </c>
      <c r="N5150" s="88"/>
      <c r="O5150" s="88"/>
      <c r="P5150" s="88"/>
    </row>
    <row r="5151" spans="1:16">
      <c r="A5151" s="94">
        <v>87448</v>
      </c>
      <c r="B5151" s="87" t="s">
        <v>4235</v>
      </c>
      <c r="C5151" s="12" t="s">
        <v>9</v>
      </c>
      <c r="D5151" s="93">
        <v>51.92</v>
      </c>
      <c r="E5151" s="93">
        <v>17.11</v>
      </c>
      <c r="F5151" s="93">
        <v>34.81</v>
      </c>
      <c r="G5151" s="93">
        <v>0</v>
      </c>
      <c r="H5151" s="93">
        <v>0</v>
      </c>
      <c r="N5151" s="88"/>
      <c r="O5151" s="88"/>
      <c r="P5151" s="88"/>
    </row>
    <row r="5152" spans="1:16">
      <c r="A5152" s="94">
        <v>87449</v>
      </c>
      <c r="B5152" s="87" t="s">
        <v>4236</v>
      </c>
      <c r="C5152" s="12" t="s">
        <v>9</v>
      </c>
      <c r="D5152" s="93">
        <v>67.849999999999994</v>
      </c>
      <c r="E5152" s="93">
        <v>23.18</v>
      </c>
      <c r="F5152" s="93">
        <v>44.66</v>
      </c>
      <c r="G5152" s="93">
        <v>0</v>
      </c>
      <c r="H5152" s="93">
        <v>0</v>
      </c>
      <c r="N5152" s="88"/>
      <c r="O5152" s="88"/>
      <c r="P5152" s="88"/>
    </row>
    <row r="5153" spans="1:16">
      <c r="A5153" s="94">
        <v>87450</v>
      </c>
      <c r="B5153" s="87" t="s">
        <v>4237</v>
      </c>
      <c r="C5153" s="12" t="s">
        <v>9</v>
      </c>
      <c r="D5153" s="93">
        <v>68.36</v>
      </c>
      <c r="E5153" s="93">
        <v>23.43</v>
      </c>
      <c r="F5153" s="93">
        <v>44.93</v>
      </c>
      <c r="G5153" s="93">
        <v>0</v>
      </c>
      <c r="H5153" s="93">
        <v>0</v>
      </c>
      <c r="N5153" s="88"/>
      <c r="O5153" s="88"/>
      <c r="P5153" s="88"/>
    </row>
    <row r="5154" spans="1:16">
      <c r="A5154" s="94">
        <v>87451</v>
      </c>
      <c r="B5154" s="87" t="s">
        <v>4238</v>
      </c>
      <c r="C5154" s="12" t="s">
        <v>9</v>
      </c>
      <c r="D5154" s="93">
        <v>81.87</v>
      </c>
      <c r="E5154" s="93">
        <v>26.68</v>
      </c>
      <c r="F5154" s="93">
        <v>55.19</v>
      </c>
      <c r="G5154" s="93">
        <v>0</v>
      </c>
      <c r="H5154" s="93">
        <v>0</v>
      </c>
      <c r="N5154" s="88"/>
      <c r="O5154" s="88"/>
      <c r="P5154" s="88"/>
    </row>
    <row r="5155" spans="1:16">
      <c r="A5155" s="94">
        <v>87452</v>
      </c>
      <c r="B5155" s="87" t="s">
        <v>4239</v>
      </c>
      <c r="C5155" s="12" t="s">
        <v>9</v>
      </c>
      <c r="D5155" s="93">
        <v>82.3</v>
      </c>
      <c r="E5155" s="93">
        <v>26.68</v>
      </c>
      <c r="F5155" s="93">
        <v>55.62</v>
      </c>
      <c r="G5155" s="93">
        <v>0</v>
      </c>
      <c r="H5155" s="93">
        <v>0</v>
      </c>
      <c r="N5155" s="88"/>
      <c r="O5155" s="88"/>
      <c r="P5155" s="88"/>
    </row>
    <row r="5156" spans="1:16">
      <c r="A5156" s="94">
        <v>87453</v>
      </c>
      <c r="B5156" s="87" t="s">
        <v>4240</v>
      </c>
      <c r="C5156" s="12" t="s">
        <v>9</v>
      </c>
      <c r="D5156" s="93">
        <v>48.21</v>
      </c>
      <c r="E5156" s="93">
        <v>14.73</v>
      </c>
      <c r="F5156" s="93">
        <v>33.479999999999997</v>
      </c>
      <c r="G5156" s="93">
        <v>0</v>
      </c>
      <c r="H5156" s="93">
        <v>0</v>
      </c>
      <c r="N5156" s="88"/>
      <c r="O5156" s="88"/>
      <c r="P5156" s="88"/>
    </row>
    <row r="5157" spans="1:16">
      <c r="A5157" s="94">
        <v>87454</v>
      </c>
      <c r="B5157" s="87" t="s">
        <v>4241</v>
      </c>
      <c r="C5157" s="12" t="s">
        <v>9</v>
      </c>
      <c r="D5157" s="93">
        <v>48.65</v>
      </c>
      <c r="E5157" s="93">
        <v>14.95</v>
      </c>
      <c r="F5157" s="93">
        <v>33.700000000000003</v>
      </c>
      <c r="G5157" s="93">
        <v>0</v>
      </c>
      <c r="H5157" s="93">
        <v>0</v>
      </c>
      <c r="N5157" s="88"/>
      <c r="O5157" s="88"/>
      <c r="P5157" s="88"/>
    </row>
    <row r="5158" spans="1:16">
      <c r="A5158" s="94">
        <v>87455</v>
      </c>
      <c r="B5158" s="87" t="s">
        <v>4242</v>
      </c>
      <c r="C5158" s="12" t="s">
        <v>9</v>
      </c>
      <c r="D5158" s="93">
        <v>63.29</v>
      </c>
      <c r="E5158" s="93">
        <v>20.93</v>
      </c>
      <c r="F5158" s="93">
        <v>42.35</v>
      </c>
      <c r="G5158" s="93">
        <v>0</v>
      </c>
      <c r="H5158" s="93">
        <v>0</v>
      </c>
      <c r="N5158" s="88"/>
      <c r="O5158" s="88"/>
      <c r="P5158" s="88"/>
    </row>
    <row r="5159" spans="1:16">
      <c r="A5159" s="94">
        <v>87456</v>
      </c>
      <c r="B5159" s="87" t="s">
        <v>4243</v>
      </c>
      <c r="C5159" s="12" t="s">
        <v>9</v>
      </c>
      <c r="D5159" s="93">
        <v>64.150000000000006</v>
      </c>
      <c r="E5159" s="93">
        <v>21.19</v>
      </c>
      <c r="F5159" s="93">
        <v>42.96</v>
      </c>
      <c r="G5159" s="93">
        <v>0</v>
      </c>
      <c r="H5159" s="93">
        <v>0</v>
      </c>
      <c r="N5159" s="88"/>
      <c r="O5159" s="88"/>
      <c r="P5159" s="88"/>
    </row>
    <row r="5160" spans="1:16">
      <c r="A5160" s="94">
        <v>87457</v>
      </c>
      <c r="B5160" s="87" t="s">
        <v>4244</v>
      </c>
      <c r="C5160" s="12" t="s">
        <v>9</v>
      </c>
      <c r="D5160" s="93">
        <v>76.39</v>
      </c>
      <c r="E5160" s="93">
        <v>24.08</v>
      </c>
      <c r="F5160" s="93">
        <v>52.29</v>
      </c>
      <c r="G5160" s="93">
        <v>0.01</v>
      </c>
      <c r="H5160" s="93">
        <v>0</v>
      </c>
      <c r="N5160" s="88"/>
      <c r="O5160" s="88"/>
      <c r="P5160" s="88"/>
    </row>
    <row r="5161" spans="1:16">
      <c r="A5161" s="94">
        <v>87458</v>
      </c>
      <c r="B5161" s="87" t="s">
        <v>4245</v>
      </c>
      <c r="C5161" s="12" t="s">
        <v>9</v>
      </c>
      <c r="D5161" s="93">
        <v>77.040000000000006</v>
      </c>
      <c r="E5161" s="93">
        <v>24.42</v>
      </c>
      <c r="F5161" s="93">
        <v>52.62</v>
      </c>
      <c r="G5161" s="93">
        <v>0</v>
      </c>
      <c r="H5161" s="93">
        <v>0</v>
      </c>
      <c r="N5161" s="88"/>
      <c r="O5161" s="88"/>
      <c r="P5161" s="88"/>
    </row>
    <row r="5162" spans="1:16">
      <c r="A5162" s="94">
        <v>87459</v>
      </c>
      <c r="B5162" s="87" t="s">
        <v>4246</v>
      </c>
      <c r="C5162" s="12" t="s">
        <v>9</v>
      </c>
      <c r="D5162" s="93">
        <v>57.95</v>
      </c>
      <c r="E5162" s="93">
        <v>21.47</v>
      </c>
      <c r="F5162" s="93">
        <v>36.479999999999997</v>
      </c>
      <c r="G5162" s="93">
        <v>0</v>
      </c>
      <c r="H5162" s="93">
        <v>0</v>
      </c>
      <c r="N5162" s="88"/>
      <c r="O5162" s="88"/>
      <c r="P5162" s="88"/>
    </row>
    <row r="5163" spans="1:16">
      <c r="A5163" s="94">
        <v>87460</v>
      </c>
      <c r="B5163" s="87" t="s">
        <v>4247</v>
      </c>
      <c r="C5163" s="12" t="s">
        <v>9</v>
      </c>
      <c r="D5163" s="93">
        <v>58.39</v>
      </c>
      <c r="E5163" s="93">
        <v>21.7</v>
      </c>
      <c r="F5163" s="93">
        <v>36.69</v>
      </c>
      <c r="G5163" s="93">
        <v>0</v>
      </c>
      <c r="H5163" s="93">
        <v>0</v>
      </c>
      <c r="N5163" s="88"/>
      <c r="O5163" s="88"/>
      <c r="P5163" s="88"/>
    </row>
    <row r="5164" spans="1:16">
      <c r="A5164" s="94">
        <v>87461</v>
      </c>
      <c r="B5164" s="87" t="s">
        <v>4248</v>
      </c>
      <c r="C5164" s="12" t="s">
        <v>9</v>
      </c>
      <c r="D5164" s="93">
        <v>73.94</v>
      </c>
      <c r="E5164" s="93">
        <v>27.67</v>
      </c>
      <c r="F5164" s="93">
        <v>46.26</v>
      </c>
      <c r="G5164" s="93">
        <v>0</v>
      </c>
      <c r="H5164" s="93">
        <v>0</v>
      </c>
      <c r="N5164" s="88"/>
      <c r="O5164" s="88"/>
      <c r="P5164" s="88"/>
    </row>
    <row r="5165" spans="1:16">
      <c r="A5165" s="94">
        <v>87462</v>
      </c>
      <c r="B5165" s="87" t="s">
        <v>4249</v>
      </c>
      <c r="C5165" s="12" t="s">
        <v>9</v>
      </c>
      <c r="D5165" s="93">
        <v>74.45</v>
      </c>
      <c r="E5165" s="93">
        <v>27.92</v>
      </c>
      <c r="F5165" s="93">
        <v>46.53</v>
      </c>
      <c r="G5165" s="93">
        <v>0</v>
      </c>
      <c r="H5165" s="93">
        <v>0</v>
      </c>
      <c r="N5165" s="88"/>
      <c r="O5165" s="88"/>
      <c r="P5165" s="88"/>
    </row>
    <row r="5166" spans="1:16">
      <c r="A5166" s="94">
        <v>87463</v>
      </c>
      <c r="B5166" s="87" t="s">
        <v>4250</v>
      </c>
      <c r="C5166" s="12" t="s">
        <v>9</v>
      </c>
      <c r="D5166" s="93">
        <v>87.78</v>
      </c>
      <c r="E5166" s="93">
        <v>30.82</v>
      </c>
      <c r="F5166" s="93">
        <v>56.94</v>
      </c>
      <c r="G5166" s="93">
        <v>0.01</v>
      </c>
      <c r="H5166" s="93">
        <v>0</v>
      </c>
      <c r="N5166" s="88"/>
      <c r="O5166" s="88"/>
      <c r="P5166" s="88"/>
    </row>
    <row r="5167" spans="1:16">
      <c r="A5167" s="94">
        <v>87464</v>
      </c>
      <c r="B5167" s="87" t="s">
        <v>4251</v>
      </c>
      <c r="C5167" s="12" t="s">
        <v>9</v>
      </c>
      <c r="D5167" s="93">
        <v>88.43</v>
      </c>
      <c r="E5167" s="93">
        <v>31.16</v>
      </c>
      <c r="F5167" s="93">
        <v>57.27</v>
      </c>
      <c r="G5167" s="93">
        <v>0</v>
      </c>
      <c r="H5167" s="93">
        <v>0</v>
      </c>
      <c r="N5167" s="88"/>
      <c r="O5167" s="88"/>
      <c r="P5167" s="88"/>
    </row>
    <row r="5168" spans="1:16">
      <c r="A5168" s="94">
        <v>87465</v>
      </c>
      <c r="B5168" s="87" t="s">
        <v>4252</v>
      </c>
      <c r="C5168" s="12" t="s">
        <v>9</v>
      </c>
      <c r="D5168" s="93">
        <v>51.62</v>
      </c>
      <c r="E5168" s="93">
        <v>17.2</v>
      </c>
      <c r="F5168" s="93">
        <v>34.42</v>
      </c>
      <c r="G5168" s="93">
        <v>0</v>
      </c>
      <c r="H5168" s="93">
        <v>0</v>
      </c>
      <c r="N5168" s="88"/>
      <c r="O5168" s="88"/>
      <c r="P5168" s="88"/>
    </row>
    <row r="5169" spans="1:16">
      <c r="A5169" s="94">
        <v>87466</v>
      </c>
      <c r="B5169" s="87" t="s">
        <v>4253</v>
      </c>
      <c r="C5169" s="12" t="s">
        <v>9</v>
      </c>
      <c r="D5169" s="93">
        <v>52.06</v>
      </c>
      <c r="E5169" s="93">
        <v>17.420000000000002</v>
      </c>
      <c r="F5169" s="93">
        <v>34.64</v>
      </c>
      <c r="G5169" s="93">
        <v>0</v>
      </c>
      <c r="H5169" s="93">
        <v>0</v>
      </c>
      <c r="N5169" s="88"/>
      <c r="O5169" s="88"/>
      <c r="P5169" s="88"/>
    </row>
    <row r="5170" spans="1:16">
      <c r="A5170" s="94">
        <v>87467</v>
      </c>
      <c r="B5170" s="87" t="s">
        <v>4254</v>
      </c>
      <c r="C5170" s="12" t="s">
        <v>9</v>
      </c>
      <c r="D5170" s="93">
        <v>67.09</v>
      </c>
      <c r="E5170" s="93">
        <v>23.4</v>
      </c>
      <c r="F5170" s="93">
        <v>43.68</v>
      </c>
      <c r="G5170" s="93">
        <v>0</v>
      </c>
      <c r="H5170" s="93">
        <v>0</v>
      </c>
      <c r="N5170" s="88"/>
      <c r="O5170" s="88"/>
      <c r="P5170" s="88"/>
    </row>
    <row r="5171" spans="1:16">
      <c r="A5171" s="94">
        <v>87468</v>
      </c>
      <c r="B5171" s="87" t="s">
        <v>4255</v>
      </c>
      <c r="C5171" s="12" t="s">
        <v>9</v>
      </c>
      <c r="D5171" s="93">
        <v>67.599999999999994</v>
      </c>
      <c r="E5171" s="93">
        <v>23.65</v>
      </c>
      <c r="F5171" s="93">
        <v>43.95</v>
      </c>
      <c r="G5171" s="93">
        <v>0</v>
      </c>
      <c r="H5171" s="93">
        <v>0</v>
      </c>
      <c r="N5171" s="88"/>
      <c r="O5171" s="88"/>
      <c r="P5171" s="88"/>
    </row>
    <row r="5172" spans="1:16">
      <c r="A5172" s="94">
        <v>87469</v>
      </c>
      <c r="B5172" s="87" t="s">
        <v>4256</v>
      </c>
      <c r="C5172" s="12" t="s">
        <v>9</v>
      </c>
      <c r="D5172" s="93">
        <v>80.319999999999993</v>
      </c>
      <c r="E5172" s="93">
        <v>26.55</v>
      </c>
      <c r="F5172" s="93">
        <v>53.75</v>
      </c>
      <c r="G5172" s="93">
        <v>0.01</v>
      </c>
      <c r="H5172" s="93">
        <v>0</v>
      </c>
      <c r="N5172" s="88"/>
      <c r="O5172" s="88"/>
      <c r="P5172" s="88"/>
    </row>
    <row r="5173" spans="1:16">
      <c r="A5173" s="94">
        <v>87470</v>
      </c>
      <c r="B5173" s="87" t="s">
        <v>4257</v>
      </c>
      <c r="C5173" s="12" t="s">
        <v>9</v>
      </c>
      <c r="D5173" s="93">
        <v>80.97</v>
      </c>
      <c r="E5173" s="93">
        <v>26.89</v>
      </c>
      <c r="F5173" s="93">
        <v>54.08</v>
      </c>
      <c r="G5173" s="93">
        <v>0</v>
      </c>
      <c r="H5173" s="93">
        <v>0</v>
      </c>
      <c r="N5173" s="88"/>
      <c r="O5173" s="88"/>
      <c r="P5173" s="88"/>
    </row>
    <row r="5174" spans="1:16">
      <c r="A5174" s="94">
        <v>89044</v>
      </c>
      <c r="B5174" s="87" t="s">
        <v>4258</v>
      </c>
      <c r="C5174" s="12" t="s">
        <v>9</v>
      </c>
      <c r="D5174" s="93">
        <v>51.73</v>
      </c>
      <c r="E5174" s="93">
        <v>17.260000000000002</v>
      </c>
      <c r="F5174" s="93">
        <v>34.47</v>
      </c>
      <c r="G5174" s="93">
        <v>0</v>
      </c>
      <c r="H5174" s="93">
        <v>0</v>
      </c>
      <c r="N5174" s="88"/>
      <c r="O5174" s="88"/>
      <c r="P5174" s="88"/>
    </row>
    <row r="5175" spans="1:16">
      <c r="A5175" s="94">
        <v>89169</v>
      </c>
      <c r="B5175" s="87" t="s">
        <v>4259</v>
      </c>
      <c r="C5175" s="12" t="s">
        <v>9</v>
      </c>
      <c r="D5175" s="93">
        <v>52.54</v>
      </c>
      <c r="E5175" s="93">
        <v>17.77</v>
      </c>
      <c r="F5175" s="93">
        <v>34.770000000000003</v>
      </c>
      <c r="G5175" s="93">
        <v>0</v>
      </c>
      <c r="H5175" s="93">
        <v>0</v>
      </c>
      <c r="N5175" s="88"/>
      <c r="O5175" s="88"/>
      <c r="P5175" s="88"/>
    </row>
    <row r="5176" spans="1:16">
      <c r="A5176" s="94">
        <v>89978</v>
      </c>
      <c r="B5176" s="87" t="s">
        <v>4260</v>
      </c>
      <c r="C5176" s="12" t="s">
        <v>9</v>
      </c>
      <c r="D5176" s="93">
        <v>68.17</v>
      </c>
      <c r="E5176" s="93">
        <v>24</v>
      </c>
      <c r="F5176" s="93">
        <v>44.17</v>
      </c>
      <c r="G5176" s="93">
        <v>0</v>
      </c>
      <c r="H5176" s="93">
        <v>0</v>
      </c>
      <c r="N5176" s="88"/>
      <c r="O5176" s="88"/>
      <c r="P5176" s="88"/>
    </row>
    <row r="5177" spans="1:16">
      <c r="A5177" s="94">
        <v>89453</v>
      </c>
      <c r="B5177" s="87" t="s">
        <v>4261</v>
      </c>
      <c r="C5177" s="12" t="s">
        <v>9</v>
      </c>
      <c r="D5177" s="93">
        <v>58.82</v>
      </c>
      <c r="E5177" s="93">
        <v>13.23</v>
      </c>
      <c r="F5177" s="93">
        <v>45.58</v>
      </c>
      <c r="G5177" s="93">
        <v>0</v>
      </c>
      <c r="H5177" s="93">
        <v>0</v>
      </c>
      <c r="N5177" s="88"/>
      <c r="O5177" s="88"/>
      <c r="P5177" s="88"/>
    </row>
    <row r="5178" spans="1:16">
      <c r="A5178" s="94">
        <v>89454</v>
      </c>
      <c r="B5178" s="87" t="s">
        <v>4262</v>
      </c>
      <c r="C5178" s="12" t="s">
        <v>9</v>
      </c>
      <c r="D5178" s="93">
        <v>56.35</v>
      </c>
      <c r="E5178" s="93">
        <v>12.51</v>
      </c>
      <c r="F5178" s="93">
        <v>43.83</v>
      </c>
      <c r="G5178" s="93">
        <v>0</v>
      </c>
      <c r="H5178" s="93">
        <v>0</v>
      </c>
      <c r="N5178" s="88"/>
      <c r="O5178" s="88"/>
      <c r="P5178" s="88"/>
    </row>
    <row r="5179" spans="1:16">
      <c r="A5179" s="94">
        <v>89455</v>
      </c>
      <c r="B5179" s="87" t="s">
        <v>4263</v>
      </c>
      <c r="C5179" s="12" t="s">
        <v>9</v>
      </c>
      <c r="D5179" s="93">
        <v>72.5</v>
      </c>
      <c r="E5179" s="93">
        <v>15.89</v>
      </c>
      <c r="F5179" s="93">
        <v>56.61</v>
      </c>
      <c r="G5179" s="93">
        <v>0</v>
      </c>
      <c r="H5179" s="93">
        <v>0</v>
      </c>
      <c r="N5179" s="88"/>
      <c r="O5179" s="88"/>
      <c r="P5179" s="88"/>
    </row>
    <row r="5180" spans="1:16">
      <c r="A5180" s="94">
        <v>89456</v>
      </c>
      <c r="B5180" s="87" t="s">
        <v>4264</v>
      </c>
      <c r="C5180" s="12" t="s">
        <v>9</v>
      </c>
      <c r="D5180" s="93">
        <v>69.61</v>
      </c>
      <c r="E5180" s="93">
        <v>14.88</v>
      </c>
      <c r="F5180" s="93">
        <v>54.73</v>
      </c>
      <c r="G5180" s="93">
        <v>0</v>
      </c>
      <c r="H5180" s="93">
        <v>0</v>
      </c>
      <c r="N5180" s="88"/>
      <c r="O5180" s="88"/>
      <c r="P5180" s="88"/>
    </row>
    <row r="5181" spans="1:16">
      <c r="A5181" s="94">
        <v>89457</v>
      </c>
      <c r="B5181" s="87" t="s">
        <v>4265</v>
      </c>
      <c r="C5181" s="12" t="s">
        <v>9</v>
      </c>
      <c r="D5181" s="93">
        <v>62.45</v>
      </c>
      <c r="E5181" s="93">
        <v>15.24</v>
      </c>
      <c r="F5181" s="93">
        <v>47.2</v>
      </c>
      <c r="G5181" s="93">
        <v>0</v>
      </c>
      <c r="H5181" s="93">
        <v>0</v>
      </c>
      <c r="N5181" s="88"/>
      <c r="O5181" s="88"/>
      <c r="P5181" s="88"/>
    </row>
    <row r="5182" spans="1:16">
      <c r="A5182" s="94">
        <v>89458</v>
      </c>
      <c r="B5182" s="87" t="s">
        <v>4266</v>
      </c>
      <c r="C5182" s="12" t="s">
        <v>9</v>
      </c>
      <c r="D5182" s="93">
        <v>58.45</v>
      </c>
      <c r="E5182" s="93">
        <v>13.67</v>
      </c>
      <c r="F5182" s="93">
        <v>44.77</v>
      </c>
      <c r="G5182" s="93">
        <v>0</v>
      </c>
      <c r="H5182" s="93">
        <v>0</v>
      </c>
      <c r="N5182" s="88"/>
      <c r="O5182" s="88"/>
      <c r="P5182" s="88"/>
    </row>
    <row r="5183" spans="1:16">
      <c r="A5183" s="94">
        <v>89459</v>
      </c>
      <c r="B5183" s="87" t="s">
        <v>4267</v>
      </c>
      <c r="C5183" s="12" t="s">
        <v>9</v>
      </c>
      <c r="D5183" s="93">
        <v>76.48</v>
      </c>
      <c r="E5183" s="93">
        <v>18.170000000000002</v>
      </c>
      <c r="F5183" s="93">
        <v>58.31</v>
      </c>
      <c r="G5183" s="93">
        <v>0</v>
      </c>
      <c r="H5183" s="93">
        <v>0</v>
      </c>
      <c r="N5183" s="88"/>
      <c r="O5183" s="88"/>
      <c r="P5183" s="88"/>
    </row>
    <row r="5184" spans="1:16">
      <c r="A5184" s="94">
        <v>89460</v>
      </c>
      <c r="B5184" s="87" t="s">
        <v>4268</v>
      </c>
      <c r="C5184" s="12" t="s">
        <v>9</v>
      </c>
      <c r="D5184" s="93">
        <v>72.040000000000006</v>
      </c>
      <c r="E5184" s="93">
        <v>16.329999999999998</v>
      </c>
      <c r="F5184" s="93">
        <v>55.71</v>
      </c>
      <c r="G5184" s="93">
        <v>0</v>
      </c>
      <c r="H5184" s="93">
        <v>0</v>
      </c>
      <c r="N5184" s="88"/>
      <c r="O5184" s="88"/>
      <c r="P5184" s="88"/>
    </row>
    <row r="5185" spans="1:16">
      <c r="A5185" s="94">
        <v>89462</v>
      </c>
      <c r="B5185" s="87" t="s">
        <v>4269</v>
      </c>
      <c r="C5185" s="12" t="s">
        <v>9</v>
      </c>
      <c r="D5185" s="93">
        <v>70.56</v>
      </c>
      <c r="E5185" s="93">
        <v>16.07</v>
      </c>
      <c r="F5185" s="93">
        <v>54.48</v>
      </c>
      <c r="G5185" s="93">
        <v>0</v>
      </c>
      <c r="H5185" s="93">
        <v>0</v>
      </c>
      <c r="N5185" s="88"/>
      <c r="O5185" s="88"/>
      <c r="P5185" s="88"/>
    </row>
    <row r="5186" spans="1:16">
      <c r="A5186" s="94">
        <v>89463</v>
      </c>
      <c r="B5186" s="87" t="s">
        <v>4270</v>
      </c>
      <c r="C5186" s="12" t="s">
        <v>9</v>
      </c>
      <c r="D5186" s="93">
        <v>68.040000000000006</v>
      </c>
      <c r="E5186" s="93">
        <v>15.34</v>
      </c>
      <c r="F5186" s="93">
        <v>52.69</v>
      </c>
      <c r="G5186" s="93">
        <v>0</v>
      </c>
      <c r="H5186" s="93">
        <v>0</v>
      </c>
      <c r="N5186" s="88"/>
      <c r="O5186" s="88"/>
      <c r="P5186" s="88"/>
    </row>
    <row r="5187" spans="1:16">
      <c r="A5187" s="94">
        <v>89464</v>
      </c>
      <c r="B5187" s="87" t="s">
        <v>4271</v>
      </c>
      <c r="C5187" s="12" t="s">
        <v>9</v>
      </c>
      <c r="D5187" s="93">
        <v>84.22</v>
      </c>
      <c r="E5187" s="93">
        <v>18.690000000000001</v>
      </c>
      <c r="F5187" s="93">
        <v>65.52</v>
      </c>
      <c r="G5187" s="93">
        <v>0</v>
      </c>
      <c r="H5187" s="93">
        <v>0</v>
      </c>
      <c r="N5187" s="88"/>
      <c r="O5187" s="88"/>
      <c r="P5187" s="88"/>
    </row>
    <row r="5188" spans="1:16">
      <c r="A5188" s="94">
        <v>89465</v>
      </c>
      <c r="B5188" s="87" t="s">
        <v>4272</v>
      </c>
      <c r="C5188" s="12" t="s">
        <v>9</v>
      </c>
      <c r="D5188" s="93">
        <v>81.430000000000007</v>
      </c>
      <c r="E5188" s="93">
        <v>17.8</v>
      </c>
      <c r="F5188" s="93">
        <v>63.62</v>
      </c>
      <c r="G5188" s="93">
        <v>0</v>
      </c>
      <c r="H5188" s="93">
        <v>0</v>
      </c>
      <c r="N5188" s="88"/>
      <c r="O5188" s="88"/>
      <c r="P5188" s="88"/>
    </row>
    <row r="5189" spans="1:16">
      <c r="A5189" s="94">
        <v>89466</v>
      </c>
      <c r="B5189" s="87" t="s">
        <v>4273</v>
      </c>
      <c r="C5189" s="12" t="s">
        <v>9</v>
      </c>
      <c r="D5189" s="93">
        <v>75.58</v>
      </c>
      <c r="E5189" s="93">
        <v>18.62</v>
      </c>
      <c r="F5189" s="93">
        <v>56.95</v>
      </c>
      <c r="G5189" s="93">
        <v>0</v>
      </c>
      <c r="H5189" s="93">
        <v>0</v>
      </c>
      <c r="N5189" s="88"/>
      <c r="O5189" s="88"/>
      <c r="P5189" s="88"/>
    </row>
    <row r="5190" spans="1:16">
      <c r="A5190" s="94">
        <v>89467</v>
      </c>
      <c r="B5190" s="87" t="s">
        <v>4274</v>
      </c>
      <c r="C5190" s="12" t="s">
        <v>9</v>
      </c>
      <c r="D5190" s="93">
        <v>70.989999999999995</v>
      </c>
      <c r="E5190" s="93">
        <v>16.8</v>
      </c>
      <c r="F5190" s="93">
        <v>54.18</v>
      </c>
      <c r="G5190" s="93">
        <v>0</v>
      </c>
      <c r="H5190" s="93">
        <v>0</v>
      </c>
      <c r="N5190" s="88"/>
      <c r="O5190" s="88"/>
      <c r="P5190" s="88"/>
    </row>
    <row r="5191" spans="1:16">
      <c r="A5191" s="94">
        <v>89468</v>
      </c>
      <c r="B5191" s="87" t="s">
        <v>4275</v>
      </c>
      <c r="C5191" s="12" t="s">
        <v>9</v>
      </c>
      <c r="D5191" s="93">
        <v>89.52</v>
      </c>
      <c r="E5191" s="93">
        <v>21.55</v>
      </c>
      <c r="F5191" s="93">
        <v>67.959999999999994</v>
      </c>
      <c r="G5191" s="93">
        <v>0</v>
      </c>
      <c r="H5191" s="93">
        <v>0</v>
      </c>
      <c r="N5191" s="88"/>
      <c r="O5191" s="88"/>
      <c r="P5191" s="88"/>
    </row>
    <row r="5192" spans="1:16">
      <c r="A5192" s="94">
        <v>89469</v>
      </c>
      <c r="B5192" s="87" t="s">
        <v>4276</v>
      </c>
      <c r="C5192" s="12" t="s">
        <v>9</v>
      </c>
      <c r="D5192" s="93">
        <v>84.65</v>
      </c>
      <c r="E5192" s="93">
        <v>19.55</v>
      </c>
      <c r="F5192" s="93">
        <v>65.09</v>
      </c>
      <c r="G5192" s="93">
        <v>0</v>
      </c>
      <c r="H5192" s="93">
        <v>0</v>
      </c>
      <c r="N5192" s="88"/>
      <c r="O5192" s="88"/>
      <c r="P5192" s="88"/>
    </row>
    <row r="5193" spans="1:16">
      <c r="A5193" s="94">
        <v>89470</v>
      </c>
      <c r="B5193" s="87" t="s">
        <v>4277</v>
      </c>
      <c r="C5193" s="12" t="s">
        <v>9</v>
      </c>
      <c r="D5193" s="93">
        <v>71.41</v>
      </c>
      <c r="E5193" s="93">
        <v>21.23</v>
      </c>
      <c r="F5193" s="93">
        <v>50.16</v>
      </c>
      <c r="G5193" s="93">
        <v>0.01</v>
      </c>
      <c r="H5193" s="93">
        <v>0</v>
      </c>
      <c r="N5193" s="88"/>
      <c r="O5193" s="88"/>
      <c r="P5193" s="88"/>
    </row>
    <row r="5194" spans="1:16">
      <c r="A5194" s="94">
        <v>89471</v>
      </c>
      <c r="B5194" s="87" t="s">
        <v>4278</v>
      </c>
      <c r="C5194" s="12" t="s">
        <v>9</v>
      </c>
      <c r="D5194" s="93">
        <v>68.95</v>
      </c>
      <c r="E5194" s="93">
        <v>20.51</v>
      </c>
      <c r="F5194" s="93">
        <v>48.42</v>
      </c>
      <c r="G5194" s="93">
        <v>0.01</v>
      </c>
      <c r="H5194" s="93">
        <v>0</v>
      </c>
      <c r="N5194" s="88"/>
      <c r="O5194" s="88"/>
      <c r="P5194" s="88"/>
    </row>
    <row r="5195" spans="1:16">
      <c r="A5195" s="94">
        <v>89472</v>
      </c>
      <c r="B5195" s="87" t="s">
        <v>4279</v>
      </c>
      <c r="C5195" s="12" t="s">
        <v>9</v>
      </c>
      <c r="D5195" s="93">
        <v>84.85</v>
      </c>
      <c r="E5195" s="93">
        <v>23.67</v>
      </c>
      <c r="F5195" s="93">
        <v>61.16</v>
      </c>
      <c r="G5195" s="93">
        <v>0.01</v>
      </c>
      <c r="H5195" s="93">
        <v>0</v>
      </c>
      <c r="N5195" s="88"/>
      <c r="O5195" s="88"/>
      <c r="P5195" s="88"/>
    </row>
    <row r="5196" spans="1:16">
      <c r="A5196" s="94">
        <v>89473</v>
      </c>
      <c r="B5196" s="87" t="s">
        <v>4280</v>
      </c>
      <c r="C5196" s="12" t="s">
        <v>9</v>
      </c>
      <c r="D5196" s="93">
        <v>82.18</v>
      </c>
      <c r="E5196" s="93">
        <v>22.83</v>
      </c>
      <c r="F5196" s="93">
        <v>59.33</v>
      </c>
      <c r="G5196" s="93">
        <v>0.01</v>
      </c>
      <c r="H5196" s="93">
        <v>0</v>
      </c>
      <c r="N5196" s="88"/>
      <c r="O5196" s="88"/>
      <c r="P5196" s="88"/>
    </row>
    <row r="5197" spans="1:16">
      <c r="A5197" s="94">
        <v>89474</v>
      </c>
      <c r="B5197" s="87" t="s">
        <v>4281</v>
      </c>
      <c r="C5197" s="12" t="s">
        <v>9</v>
      </c>
      <c r="D5197" s="93">
        <v>78.430000000000007</v>
      </c>
      <c r="E5197" s="93">
        <v>25.81</v>
      </c>
      <c r="F5197" s="93">
        <v>52.6</v>
      </c>
      <c r="G5197" s="93">
        <v>0.01</v>
      </c>
      <c r="H5197" s="93">
        <v>0</v>
      </c>
      <c r="N5197" s="88"/>
      <c r="O5197" s="88"/>
      <c r="P5197" s="88"/>
    </row>
    <row r="5198" spans="1:16">
      <c r="A5198" s="94">
        <v>89475</v>
      </c>
      <c r="B5198" s="87" t="s">
        <v>4282</v>
      </c>
      <c r="C5198" s="12" t="s">
        <v>9</v>
      </c>
      <c r="D5198" s="93">
        <v>72.89</v>
      </c>
      <c r="E5198" s="93">
        <v>23.08</v>
      </c>
      <c r="F5198" s="93">
        <v>49.79</v>
      </c>
      <c r="G5198" s="93">
        <v>0.01</v>
      </c>
      <c r="H5198" s="93">
        <v>0</v>
      </c>
      <c r="N5198" s="88"/>
      <c r="O5198" s="88"/>
      <c r="P5198" s="88"/>
    </row>
    <row r="5199" spans="1:16">
      <c r="A5199" s="94">
        <v>89476</v>
      </c>
      <c r="B5199" s="87" t="s">
        <v>4283</v>
      </c>
      <c r="C5199" s="12" t="s">
        <v>9</v>
      </c>
      <c r="D5199" s="93">
        <v>92.43</v>
      </c>
      <c r="E5199" s="93">
        <v>28.7</v>
      </c>
      <c r="F5199" s="93">
        <v>63.71</v>
      </c>
      <c r="G5199" s="93">
        <v>0.01</v>
      </c>
      <c r="H5199" s="93">
        <v>0</v>
      </c>
      <c r="N5199" s="88"/>
      <c r="O5199" s="88"/>
      <c r="P5199" s="88"/>
    </row>
    <row r="5200" spans="1:16">
      <c r="A5200" s="94">
        <v>89477</v>
      </c>
      <c r="B5200" s="87" t="s">
        <v>4284</v>
      </c>
      <c r="C5200" s="12" t="s">
        <v>9</v>
      </c>
      <c r="D5200" s="93">
        <v>86.66</v>
      </c>
      <c r="E5200" s="93">
        <v>25.85</v>
      </c>
      <c r="F5200" s="93">
        <v>60.79</v>
      </c>
      <c r="G5200" s="93">
        <v>0.01</v>
      </c>
      <c r="H5200" s="93">
        <v>0</v>
      </c>
      <c r="N5200" s="88"/>
      <c r="O5200" s="88"/>
      <c r="P5200" s="88"/>
    </row>
    <row r="5201" spans="1:16">
      <c r="A5201" s="94">
        <v>89478</v>
      </c>
      <c r="B5201" s="87" t="s">
        <v>4285</v>
      </c>
      <c r="C5201" s="12" t="s">
        <v>9</v>
      </c>
      <c r="D5201" s="93">
        <v>83.44</v>
      </c>
      <c r="E5201" s="93">
        <v>24.13</v>
      </c>
      <c r="F5201" s="93">
        <v>59.29</v>
      </c>
      <c r="G5201" s="93">
        <v>0.01</v>
      </c>
      <c r="H5201" s="93">
        <v>0</v>
      </c>
      <c r="N5201" s="88"/>
      <c r="O5201" s="88"/>
      <c r="P5201" s="88"/>
    </row>
    <row r="5202" spans="1:16">
      <c r="A5202" s="94">
        <v>89479</v>
      </c>
      <c r="B5202" s="87" t="s">
        <v>4286</v>
      </c>
      <c r="C5202" s="12" t="s">
        <v>9</v>
      </c>
      <c r="D5202" s="93">
        <v>80.92</v>
      </c>
      <c r="E5202" s="93">
        <v>23.39</v>
      </c>
      <c r="F5202" s="93">
        <v>57.51</v>
      </c>
      <c r="G5202" s="93">
        <v>0.01</v>
      </c>
      <c r="H5202" s="93">
        <v>0</v>
      </c>
      <c r="N5202" s="88"/>
      <c r="O5202" s="88"/>
      <c r="P5202" s="88"/>
    </row>
    <row r="5203" spans="1:16">
      <c r="A5203" s="94">
        <v>89480</v>
      </c>
      <c r="B5203" s="87" t="s">
        <v>4287</v>
      </c>
      <c r="C5203" s="12" t="s">
        <v>9</v>
      </c>
      <c r="D5203" s="93">
        <v>96.85</v>
      </c>
      <c r="E5203" s="93">
        <v>26.55</v>
      </c>
      <c r="F5203" s="93">
        <v>70.28</v>
      </c>
      <c r="G5203" s="93">
        <v>0.01</v>
      </c>
      <c r="H5203" s="93">
        <v>0</v>
      </c>
      <c r="N5203" s="88"/>
      <c r="O5203" s="88"/>
      <c r="P5203" s="88"/>
    </row>
    <row r="5204" spans="1:16">
      <c r="A5204" s="94">
        <v>89483</v>
      </c>
      <c r="B5204" s="87" t="s">
        <v>4288</v>
      </c>
      <c r="C5204" s="12" t="s">
        <v>9</v>
      </c>
      <c r="D5204" s="93">
        <v>94.27</v>
      </c>
      <c r="E5204" s="93">
        <v>25.82</v>
      </c>
      <c r="F5204" s="93">
        <v>68.430000000000007</v>
      </c>
      <c r="G5204" s="93">
        <v>0.01</v>
      </c>
      <c r="H5204" s="93">
        <v>0</v>
      </c>
      <c r="N5204" s="88"/>
      <c r="O5204" s="88"/>
      <c r="P5204" s="88"/>
    </row>
    <row r="5205" spans="1:16">
      <c r="A5205" s="94">
        <v>89484</v>
      </c>
      <c r="B5205" s="87" t="s">
        <v>4289</v>
      </c>
      <c r="C5205" s="12" t="s">
        <v>9</v>
      </c>
      <c r="D5205" s="93">
        <v>91.84</v>
      </c>
      <c r="E5205" s="93">
        <v>29.26</v>
      </c>
      <c r="F5205" s="93">
        <v>62.56</v>
      </c>
      <c r="G5205" s="93">
        <v>0.01</v>
      </c>
      <c r="H5205" s="93">
        <v>0</v>
      </c>
      <c r="N5205" s="88"/>
      <c r="O5205" s="88"/>
      <c r="P5205" s="88"/>
    </row>
    <row r="5206" spans="1:16">
      <c r="A5206" s="94">
        <v>89486</v>
      </c>
      <c r="B5206" s="87" t="s">
        <v>4290</v>
      </c>
      <c r="C5206" s="12" t="s">
        <v>9</v>
      </c>
      <c r="D5206" s="93">
        <v>85.92</v>
      </c>
      <c r="E5206" s="93">
        <v>26.42</v>
      </c>
      <c r="F5206" s="93">
        <v>59.48</v>
      </c>
      <c r="G5206" s="93">
        <v>0.01</v>
      </c>
      <c r="H5206" s="93">
        <v>0</v>
      </c>
      <c r="N5206" s="88"/>
      <c r="O5206" s="88"/>
      <c r="P5206" s="88"/>
    </row>
    <row r="5207" spans="1:16">
      <c r="A5207" s="94">
        <v>89487</v>
      </c>
      <c r="B5207" s="87" t="s">
        <v>4291</v>
      </c>
      <c r="C5207" s="12" t="s">
        <v>9</v>
      </c>
      <c r="D5207" s="93">
        <v>105.74</v>
      </c>
      <c r="E5207" s="93">
        <v>32.130000000000003</v>
      </c>
      <c r="F5207" s="93">
        <v>73.59</v>
      </c>
      <c r="G5207" s="93">
        <v>0.01</v>
      </c>
      <c r="H5207" s="93">
        <v>0</v>
      </c>
      <c r="N5207" s="88"/>
      <c r="O5207" s="88"/>
      <c r="P5207" s="88"/>
    </row>
    <row r="5208" spans="1:16">
      <c r="A5208" s="94">
        <v>89488</v>
      </c>
      <c r="B5208" s="87" t="s">
        <v>4292</v>
      </c>
      <c r="C5208" s="12" t="s">
        <v>9</v>
      </c>
      <c r="D5208" s="93">
        <v>99.55</v>
      </c>
      <c r="E5208" s="93">
        <v>29.11</v>
      </c>
      <c r="F5208" s="93">
        <v>70.42</v>
      </c>
      <c r="G5208" s="93">
        <v>0.01</v>
      </c>
      <c r="H5208" s="93">
        <v>0</v>
      </c>
      <c r="N5208" s="88"/>
      <c r="O5208" s="88"/>
      <c r="P5208" s="88"/>
    </row>
    <row r="5209" spans="1:16">
      <c r="A5209" s="94">
        <v>91815</v>
      </c>
      <c r="B5209" s="87" t="s">
        <v>4293</v>
      </c>
      <c r="C5209" s="12" t="s">
        <v>9</v>
      </c>
      <c r="D5209" s="93">
        <v>58.88</v>
      </c>
      <c r="E5209" s="93">
        <v>13.61</v>
      </c>
      <c r="F5209" s="93">
        <v>45.27</v>
      </c>
      <c r="G5209" s="93">
        <v>0</v>
      </c>
      <c r="H5209" s="93">
        <v>0</v>
      </c>
      <c r="N5209" s="88"/>
      <c r="O5209" s="88"/>
      <c r="P5209" s="88"/>
    </row>
    <row r="5210" spans="1:16">
      <c r="A5210" s="94">
        <v>91816</v>
      </c>
      <c r="B5210" s="87" t="s">
        <v>4294</v>
      </c>
      <c r="C5210" s="12" t="s">
        <v>9</v>
      </c>
      <c r="D5210" s="93">
        <v>71.09</v>
      </c>
      <c r="E5210" s="93">
        <v>16.62</v>
      </c>
      <c r="F5210" s="93">
        <v>54.47</v>
      </c>
      <c r="G5210" s="93">
        <v>0</v>
      </c>
      <c r="H5210" s="93">
        <v>0</v>
      </c>
      <c r="N5210" s="88"/>
      <c r="O5210" s="88"/>
      <c r="P5210" s="88"/>
    </row>
    <row r="5211" spans="1:16">
      <c r="A5211" s="94">
        <v>101161</v>
      </c>
      <c r="B5211" s="87" t="s">
        <v>4295</v>
      </c>
      <c r="C5211" s="12" t="s">
        <v>9</v>
      </c>
      <c r="D5211" s="93">
        <v>150.19999999999999</v>
      </c>
      <c r="E5211" s="93">
        <v>46.7</v>
      </c>
      <c r="F5211" s="93">
        <v>103.48</v>
      </c>
      <c r="G5211" s="93">
        <v>0.01</v>
      </c>
      <c r="H5211" s="93">
        <v>0</v>
      </c>
      <c r="N5211" s="88"/>
      <c r="O5211" s="88"/>
      <c r="P5211" s="88"/>
    </row>
    <row r="5212" spans="1:16">
      <c r="A5212" s="94">
        <v>101163</v>
      </c>
      <c r="B5212" s="87" t="s">
        <v>4296</v>
      </c>
      <c r="C5212" s="12" t="s">
        <v>9</v>
      </c>
      <c r="D5212" s="93">
        <v>895.78</v>
      </c>
      <c r="E5212" s="93">
        <v>95.12</v>
      </c>
      <c r="F5212" s="93">
        <v>800.65</v>
      </c>
      <c r="G5212" s="93">
        <v>0</v>
      </c>
      <c r="H5212" s="93">
        <v>0</v>
      </c>
      <c r="N5212" s="88"/>
      <c r="O5212" s="88"/>
      <c r="P5212" s="88"/>
    </row>
    <row r="5213" spans="1:16">
      <c r="A5213" s="94">
        <v>101164</v>
      </c>
      <c r="B5213" s="87" t="s">
        <v>4297</v>
      </c>
      <c r="C5213" s="12" t="s">
        <v>9</v>
      </c>
      <c r="D5213" s="93">
        <v>647.75</v>
      </c>
      <c r="E5213" s="93">
        <v>95.77</v>
      </c>
      <c r="F5213" s="93">
        <v>551.96</v>
      </c>
      <c r="G5213" s="93">
        <v>0.01</v>
      </c>
      <c r="H5213" s="93">
        <v>0</v>
      </c>
      <c r="N5213" s="88"/>
      <c r="O5213" s="88"/>
      <c r="P5213" s="88"/>
    </row>
    <row r="5214" spans="1:16">
      <c r="A5214" s="94">
        <v>72178</v>
      </c>
      <c r="B5214" s="87" t="s">
        <v>6873</v>
      </c>
      <c r="C5214" s="12" t="s">
        <v>9</v>
      </c>
      <c r="D5214" s="93">
        <v>32.590000000000003</v>
      </c>
      <c r="E5214" s="93">
        <v>27.23</v>
      </c>
      <c r="F5214" s="93">
        <v>5.36</v>
      </c>
      <c r="G5214" s="93">
        <v>0</v>
      </c>
      <c r="H5214" s="93">
        <v>0</v>
      </c>
      <c r="N5214" s="88"/>
      <c r="O5214" s="88"/>
      <c r="P5214" s="88"/>
    </row>
    <row r="5215" spans="1:16">
      <c r="A5215" s="94">
        <v>72179</v>
      </c>
      <c r="B5215" s="87" t="s">
        <v>6874</v>
      </c>
      <c r="C5215" s="12" t="s">
        <v>9</v>
      </c>
      <c r="D5215" s="93">
        <v>54.25</v>
      </c>
      <c r="E5215" s="93">
        <v>42.81</v>
      </c>
      <c r="F5215" s="93">
        <v>11.44</v>
      </c>
      <c r="G5215" s="93">
        <v>0</v>
      </c>
      <c r="H5215" s="93">
        <v>0</v>
      </c>
      <c r="N5215" s="88"/>
      <c r="O5215" s="88"/>
      <c r="P5215" s="88"/>
    </row>
    <row r="5216" spans="1:16">
      <c r="A5216" s="94">
        <v>72180</v>
      </c>
      <c r="B5216" s="87" t="s">
        <v>6875</v>
      </c>
      <c r="C5216" s="12" t="s">
        <v>9</v>
      </c>
      <c r="D5216" s="93">
        <v>17.96</v>
      </c>
      <c r="E5216" s="93">
        <v>13.36</v>
      </c>
      <c r="F5216" s="93">
        <v>4.5999999999999996</v>
      </c>
      <c r="G5216" s="93">
        <v>0</v>
      </c>
      <c r="H5216" s="93">
        <v>0</v>
      </c>
      <c r="N5216" s="88"/>
      <c r="O5216" s="88"/>
      <c r="P5216" s="88"/>
    </row>
    <row r="5217" spans="1:16">
      <c r="A5217" s="94">
        <v>72181</v>
      </c>
      <c r="B5217" s="87" t="s">
        <v>6876</v>
      </c>
      <c r="C5217" s="12" t="s">
        <v>9</v>
      </c>
      <c r="D5217" s="93">
        <v>36.450000000000003</v>
      </c>
      <c r="E5217" s="93">
        <v>26.69</v>
      </c>
      <c r="F5217" s="93">
        <v>9.76</v>
      </c>
      <c r="G5217" s="93">
        <v>0</v>
      </c>
      <c r="H5217" s="93">
        <v>0</v>
      </c>
      <c r="N5217" s="88"/>
      <c r="O5217" s="88"/>
      <c r="P5217" s="88"/>
    </row>
    <row r="5218" spans="1:16">
      <c r="A5218" s="95" t="s">
        <v>6877</v>
      </c>
      <c r="B5218" s="87" t="s">
        <v>6878</v>
      </c>
      <c r="C5218" s="12" t="s">
        <v>9</v>
      </c>
      <c r="D5218" s="93">
        <v>296.14999999999998</v>
      </c>
      <c r="E5218" s="93">
        <v>171.28</v>
      </c>
      <c r="F5218" s="93">
        <v>124.87</v>
      </c>
      <c r="G5218" s="93">
        <v>0</v>
      </c>
      <c r="H5218" s="93">
        <v>0</v>
      </c>
      <c r="N5218" s="88"/>
      <c r="O5218" s="88"/>
      <c r="P5218" s="88"/>
    </row>
    <row r="5219" spans="1:16">
      <c r="A5219" s="95" t="s">
        <v>6879</v>
      </c>
      <c r="B5219" s="87" t="s">
        <v>6880</v>
      </c>
      <c r="C5219" s="12" t="s">
        <v>9</v>
      </c>
      <c r="D5219" s="93">
        <v>242.69</v>
      </c>
      <c r="E5219" s="93">
        <v>144.36000000000001</v>
      </c>
      <c r="F5219" s="93">
        <v>98.33</v>
      </c>
      <c r="G5219" s="93">
        <v>0</v>
      </c>
      <c r="H5219" s="93">
        <v>0</v>
      </c>
      <c r="N5219" s="88"/>
      <c r="O5219" s="88"/>
      <c r="P5219" s="88"/>
    </row>
    <row r="5220" spans="1:16">
      <c r="A5220" s="95" t="s">
        <v>6881</v>
      </c>
      <c r="B5220" s="87" t="s">
        <v>6882</v>
      </c>
      <c r="C5220" s="12" t="s">
        <v>9</v>
      </c>
      <c r="D5220" s="93">
        <v>586.16</v>
      </c>
      <c r="E5220" s="93">
        <v>104.8</v>
      </c>
      <c r="F5220" s="93">
        <v>481.36</v>
      </c>
      <c r="G5220" s="93">
        <v>0</v>
      </c>
      <c r="H5220" s="93">
        <v>0</v>
      </c>
      <c r="N5220" s="88"/>
      <c r="O5220" s="88"/>
      <c r="P5220" s="88"/>
    </row>
    <row r="5221" spans="1:16">
      <c r="A5221" s="94">
        <v>79627</v>
      </c>
      <c r="B5221" s="87" t="s">
        <v>6883</v>
      </c>
      <c r="C5221" s="12" t="s">
        <v>9</v>
      </c>
      <c r="D5221" s="93">
        <v>642.19000000000005</v>
      </c>
      <c r="E5221" s="93">
        <v>104.8</v>
      </c>
      <c r="F5221" s="93">
        <v>537.39</v>
      </c>
      <c r="G5221" s="93">
        <v>0</v>
      </c>
      <c r="H5221" s="93">
        <v>0</v>
      </c>
      <c r="N5221" s="88"/>
      <c r="O5221" s="88"/>
      <c r="P5221" s="88"/>
    </row>
    <row r="5222" spans="1:16">
      <c r="A5222" s="94">
        <v>96358</v>
      </c>
      <c r="B5222" s="87" t="s">
        <v>4298</v>
      </c>
      <c r="C5222" s="12" t="s">
        <v>9</v>
      </c>
      <c r="D5222" s="93">
        <v>65.3</v>
      </c>
      <c r="E5222" s="93">
        <v>13.82</v>
      </c>
      <c r="F5222" s="93">
        <v>51.48</v>
      </c>
      <c r="G5222" s="93">
        <v>0</v>
      </c>
      <c r="H5222" s="93">
        <v>0</v>
      </c>
      <c r="N5222" s="88"/>
      <c r="O5222" s="88"/>
      <c r="P5222" s="88"/>
    </row>
    <row r="5223" spans="1:16">
      <c r="A5223" s="94">
        <v>96359</v>
      </c>
      <c r="B5223" s="87" t="s">
        <v>4299</v>
      </c>
      <c r="C5223" s="12" t="s">
        <v>9</v>
      </c>
      <c r="D5223" s="93">
        <v>73.349999999999994</v>
      </c>
      <c r="E5223" s="93">
        <v>15.93</v>
      </c>
      <c r="F5223" s="93">
        <v>57.42</v>
      </c>
      <c r="G5223" s="93">
        <v>0</v>
      </c>
      <c r="H5223" s="93">
        <v>0</v>
      </c>
      <c r="N5223" s="88"/>
      <c r="O5223" s="88"/>
      <c r="P5223" s="88"/>
    </row>
    <row r="5224" spans="1:16">
      <c r="A5224" s="94">
        <v>96360</v>
      </c>
      <c r="B5224" s="87" t="s">
        <v>4300</v>
      </c>
      <c r="C5224" s="12" t="s">
        <v>9</v>
      </c>
      <c r="D5224" s="93">
        <v>85.57</v>
      </c>
      <c r="E5224" s="93">
        <v>17.5</v>
      </c>
      <c r="F5224" s="93">
        <v>68.069999999999993</v>
      </c>
      <c r="G5224" s="93">
        <v>0</v>
      </c>
      <c r="H5224" s="93">
        <v>0</v>
      </c>
      <c r="N5224" s="88"/>
      <c r="O5224" s="88"/>
      <c r="P5224" s="88"/>
    </row>
    <row r="5225" spans="1:16">
      <c r="A5225" s="94">
        <v>96361</v>
      </c>
      <c r="B5225" s="87" t="s">
        <v>4301</v>
      </c>
      <c r="C5225" s="12" t="s">
        <v>9</v>
      </c>
      <c r="D5225" s="93">
        <v>101.01</v>
      </c>
      <c r="E5225" s="93">
        <v>21.21</v>
      </c>
      <c r="F5225" s="93">
        <v>79.8</v>
      </c>
      <c r="G5225" s="93">
        <v>0</v>
      </c>
      <c r="H5225" s="93">
        <v>0</v>
      </c>
      <c r="N5225" s="88"/>
      <c r="O5225" s="88"/>
      <c r="P5225" s="88"/>
    </row>
    <row r="5226" spans="1:16">
      <c r="A5226" s="94">
        <v>96362</v>
      </c>
      <c r="B5226" s="87" t="s">
        <v>4302</v>
      </c>
      <c r="C5226" s="12" t="s">
        <v>9</v>
      </c>
      <c r="D5226" s="93">
        <v>83.78</v>
      </c>
      <c r="E5226" s="93">
        <v>16.260000000000002</v>
      </c>
      <c r="F5226" s="93">
        <v>67.52</v>
      </c>
      <c r="G5226" s="93">
        <v>0</v>
      </c>
      <c r="H5226" s="93">
        <v>0</v>
      </c>
      <c r="N5226" s="88"/>
      <c r="O5226" s="88"/>
      <c r="P5226" s="88"/>
    </row>
    <row r="5227" spans="1:16">
      <c r="A5227" s="94">
        <v>96363</v>
      </c>
      <c r="B5227" s="87" t="s">
        <v>4303</v>
      </c>
      <c r="C5227" s="12" t="s">
        <v>9</v>
      </c>
      <c r="D5227" s="93">
        <v>92.25</v>
      </c>
      <c r="E5227" s="93">
        <v>18.71</v>
      </c>
      <c r="F5227" s="93">
        <v>73.540000000000006</v>
      </c>
      <c r="G5227" s="93">
        <v>0</v>
      </c>
      <c r="H5227" s="93">
        <v>0</v>
      </c>
      <c r="N5227" s="88"/>
      <c r="O5227" s="88"/>
      <c r="P5227" s="88"/>
    </row>
    <row r="5228" spans="1:16">
      <c r="A5228" s="94">
        <v>96364</v>
      </c>
      <c r="B5228" s="87" t="s">
        <v>4304</v>
      </c>
      <c r="C5228" s="12" t="s">
        <v>9</v>
      </c>
      <c r="D5228" s="93">
        <v>104.04</v>
      </c>
      <c r="E5228" s="93">
        <v>19.940000000000001</v>
      </c>
      <c r="F5228" s="93">
        <v>84.1</v>
      </c>
      <c r="G5228" s="93">
        <v>0</v>
      </c>
      <c r="H5228" s="93">
        <v>0</v>
      </c>
      <c r="N5228" s="88"/>
      <c r="O5228" s="88"/>
      <c r="P5228" s="88"/>
    </row>
    <row r="5229" spans="1:16">
      <c r="A5229" s="94">
        <v>96365</v>
      </c>
      <c r="B5229" s="87" t="s">
        <v>4305</v>
      </c>
      <c r="C5229" s="12" t="s">
        <v>9</v>
      </c>
      <c r="D5229" s="93">
        <v>119.91</v>
      </c>
      <c r="E5229" s="93">
        <v>23.98</v>
      </c>
      <c r="F5229" s="93">
        <v>95.93</v>
      </c>
      <c r="G5229" s="93">
        <v>0</v>
      </c>
      <c r="H5229" s="93">
        <v>0</v>
      </c>
      <c r="N5229" s="88"/>
      <c r="O5229" s="88"/>
      <c r="P5229" s="88"/>
    </row>
    <row r="5230" spans="1:16">
      <c r="A5230" s="94">
        <v>96366</v>
      </c>
      <c r="B5230" s="87" t="s">
        <v>4306</v>
      </c>
      <c r="C5230" s="12" t="s">
        <v>9</v>
      </c>
      <c r="D5230" s="93">
        <v>102.24</v>
      </c>
      <c r="E5230" s="93">
        <v>18.690000000000001</v>
      </c>
      <c r="F5230" s="93">
        <v>83.55</v>
      </c>
      <c r="G5230" s="93">
        <v>0</v>
      </c>
      <c r="H5230" s="93">
        <v>0</v>
      </c>
      <c r="N5230" s="88"/>
      <c r="O5230" s="88"/>
      <c r="P5230" s="88"/>
    </row>
    <row r="5231" spans="1:16">
      <c r="A5231" s="94">
        <v>96367</v>
      </c>
      <c r="B5231" s="87" t="s">
        <v>4307</v>
      </c>
      <c r="C5231" s="12" t="s">
        <v>9</v>
      </c>
      <c r="D5231" s="93">
        <v>111.12</v>
      </c>
      <c r="E5231" s="93">
        <v>21.5</v>
      </c>
      <c r="F5231" s="93">
        <v>89.62</v>
      </c>
      <c r="G5231" s="93">
        <v>0</v>
      </c>
      <c r="H5231" s="93">
        <v>0</v>
      </c>
      <c r="N5231" s="88"/>
      <c r="O5231" s="88"/>
      <c r="P5231" s="88"/>
    </row>
    <row r="5232" spans="1:16">
      <c r="A5232" s="94">
        <v>96368</v>
      </c>
      <c r="B5232" s="87" t="s">
        <v>4308</v>
      </c>
      <c r="C5232" s="12" t="s">
        <v>9</v>
      </c>
      <c r="D5232" s="93">
        <v>122.52</v>
      </c>
      <c r="E5232" s="93">
        <v>22.38</v>
      </c>
      <c r="F5232" s="93">
        <v>100.14</v>
      </c>
      <c r="G5232" s="93">
        <v>0</v>
      </c>
      <c r="H5232" s="93">
        <v>0</v>
      </c>
      <c r="N5232" s="88"/>
      <c r="O5232" s="88"/>
      <c r="P5232" s="88"/>
    </row>
    <row r="5233" spans="1:16">
      <c r="A5233" s="94">
        <v>96369</v>
      </c>
      <c r="B5233" s="87" t="s">
        <v>4309</v>
      </c>
      <c r="C5233" s="12" t="s">
        <v>9</v>
      </c>
      <c r="D5233" s="93">
        <v>138.78</v>
      </c>
      <c r="E5233" s="93">
        <v>26.75</v>
      </c>
      <c r="F5233" s="93">
        <v>112.03</v>
      </c>
      <c r="G5233" s="93">
        <v>0</v>
      </c>
      <c r="H5233" s="93">
        <v>0</v>
      </c>
      <c r="N5233" s="88"/>
      <c r="O5233" s="88"/>
      <c r="P5233" s="88"/>
    </row>
    <row r="5234" spans="1:16">
      <c r="A5234" s="94">
        <v>96370</v>
      </c>
      <c r="B5234" s="87" t="s">
        <v>4310</v>
      </c>
      <c r="C5234" s="12" t="s">
        <v>9</v>
      </c>
      <c r="D5234" s="93">
        <v>43.37</v>
      </c>
      <c r="E5234" s="93">
        <v>9.2200000000000006</v>
      </c>
      <c r="F5234" s="93">
        <v>34.15</v>
      </c>
      <c r="G5234" s="93">
        <v>0</v>
      </c>
      <c r="H5234" s="93">
        <v>0</v>
      </c>
      <c r="N5234" s="88"/>
      <c r="O5234" s="88"/>
      <c r="P5234" s="88"/>
    </row>
    <row r="5235" spans="1:16">
      <c r="A5235" s="94">
        <v>96371</v>
      </c>
      <c r="B5235" s="87" t="s">
        <v>4311</v>
      </c>
      <c r="C5235" s="12" t="s">
        <v>9</v>
      </c>
      <c r="D5235" s="93">
        <v>51.18</v>
      </c>
      <c r="E5235" s="93">
        <v>11.13</v>
      </c>
      <c r="F5235" s="93">
        <v>40.049999999999997</v>
      </c>
      <c r="G5235" s="93">
        <v>0</v>
      </c>
      <c r="H5235" s="93">
        <v>0</v>
      </c>
      <c r="N5235" s="88"/>
      <c r="O5235" s="88"/>
      <c r="P5235" s="88"/>
    </row>
    <row r="5236" spans="1:16">
      <c r="A5236" s="94">
        <v>96372</v>
      </c>
      <c r="B5236" s="87" t="s">
        <v>4312</v>
      </c>
      <c r="C5236" s="12" t="s">
        <v>9</v>
      </c>
      <c r="D5236" s="93">
        <v>23.23</v>
      </c>
      <c r="E5236" s="93">
        <v>1.71</v>
      </c>
      <c r="F5236" s="93">
        <v>21.52</v>
      </c>
      <c r="G5236" s="93">
        <v>0</v>
      </c>
      <c r="H5236" s="93">
        <v>0</v>
      </c>
      <c r="N5236" s="88"/>
      <c r="O5236" s="88"/>
      <c r="P5236" s="88"/>
    </row>
    <row r="5237" spans="1:16">
      <c r="A5237" s="94">
        <v>96373</v>
      </c>
      <c r="B5237" s="87" t="s">
        <v>4313</v>
      </c>
      <c r="C5237" s="12" t="s">
        <v>6</v>
      </c>
      <c r="D5237" s="93">
        <v>7.39</v>
      </c>
      <c r="E5237" s="93">
        <v>1.59</v>
      </c>
      <c r="F5237" s="93">
        <v>5.8</v>
      </c>
      <c r="G5237" s="93">
        <v>0</v>
      </c>
      <c r="H5237" s="93">
        <v>0</v>
      </c>
      <c r="N5237" s="88"/>
      <c r="O5237" s="88"/>
      <c r="P5237" s="88"/>
    </row>
    <row r="5238" spans="1:16">
      <c r="A5238" s="94">
        <v>96374</v>
      </c>
      <c r="B5238" s="87" t="s">
        <v>4314</v>
      </c>
      <c r="C5238" s="12" t="s">
        <v>6</v>
      </c>
      <c r="D5238" s="93">
        <v>23.25</v>
      </c>
      <c r="E5238" s="93">
        <v>2.14</v>
      </c>
      <c r="F5238" s="93">
        <v>21.11</v>
      </c>
      <c r="G5238" s="93">
        <v>0</v>
      </c>
      <c r="H5238" s="93">
        <v>0</v>
      </c>
      <c r="N5238" s="88"/>
      <c r="O5238" s="88"/>
      <c r="P5238" s="88"/>
    </row>
    <row r="5239" spans="1:16">
      <c r="A5239" s="94">
        <v>101154</v>
      </c>
      <c r="B5239" s="87" t="s">
        <v>4315</v>
      </c>
      <c r="C5239" s="12" t="s">
        <v>9</v>
      </c>
      <c r="D5239" s="93">
        <v>86.53</v>
      </c>
      <c r="E5239" s="93">
        <v>19.5</v>
      </c>
      <c r="F5239" s="93">
        <v>67.010000000000005</v>
      </c>
      <c r="G5239" s="93">
        <v>0.01</v>
      </c>
      <c r="H5239" s="93">
        <v>0</v>
      </c>
      <c r="N5239" s="88"/>
      <c r="O5239" s="88"/>
      <c r="P5239" s="88"/>
    </row>
    <row r="5240" spans="1:16">
      <c r="A5240" s="94">
        <v>101155</v>
      </c>
      <c r="B5240" s="87" t="s">
        <v>4316</v>
      </c>
      <c r="C5240" s="12" t="s">
        <v>9</v>
      </c>
      <c r="D5240" s="93">
        <v>120.5</v>
      </c>
      <c r="E5240" s="93">
        <v>25.59</v>
      </c>
      <c r="F5240" s="93">
        <v>94.89</v>
      </c>
      <c r="G5240" s="93">
        <v>0.01</v>
      </c>
      <c r="H5240" s="93">
        <v>0</v>
      </c>
      <c r="N5240" s="88"/>
      <c r="O5240" s="88"/>
      <c r="P5240" s="88"/>
    </row>
    <row r="5241" spans="1:16">
      <c r="A5241" s="94">
        <v>101156</v>
      </c>
      <c r="B5241" s="87" t="s">
        <v>4317</v>
      </c>
      <c r="C5241" s="12" t="s">
        <v>9</v>
      </c>
      <c r="D5241" s="93">
        <v>175.87</v>
      </c>
      <c r="E5241" s="93">
        <v>35.04</v>
      </c>
      <c r="F5241" s="93">
        <v>140.81</v>
      </c>
      <c r="G5241" s="93">
        <v>0.01</v>
      </c>
      <c r="H5241" s="93">
        <v>0</v>
      </c>
      <c r="N5241" s="88"/>
      <c r="O5241" s="88"/>
      <c r="P5241" s="88"/>
    </row>
    <row r="5242" spans="1:16">
      <c r="A5242" s="95" t="s">
        <v>6884</v>
      </c>
      <c r="B5242" s="87" t="s">
        <v>6885</v>
      </c>
      <c r="C5242" s="12" t="s">
        <v>9</v>
      </c>
      <c r="D5242" s="93">
        <v>53.37</v>
      </c>
      <c r="E5242" s="93">
        <v>20.27</v>
      </c>
      <c r="F5242" s="93">
        <v>33.1</v>
      </c>
      <c r="G5242" s="93">
        <v>0</v>
      </c>
      <c r="H5242" s="93">
        <v>0</v>
      </c>
      <c r="N5242" s="88"/>
      <c r="O5242" s="88"/>
      <c r="P5242" s="88"/>
    </row>
    <row r="5243" spans="1:16">
      <c r="A5243" s="95" t="s">
        <v>6886</v>
      </c>
      <c r="B5243" s="87" t="s">
        <v>6887</v>
      </c>
      <c r="C5243" s="12" t="s">
        <v>9</v>
      </c>
      <c r="D5243" s="93">
        <v>44.7</v>
      </c>
      <c r="E5243" s="93">
        <v>21.89</v>
      </c>
      <c r="F5243" s="93">
        <v>22.79</v>
      </c>
      <c r="G5243" s="93">
        <v>0.01</v>
      </c>
      <c r="H5243" s="93">
        <v>0</v>
      </c>
      <c r="N5243" s="88"/>
      <c r="O5243" s="88"/>
      <c r="P5243" s="88"/>
    </row>
    <row r="5244" spans="1:16">
      <c r="A5244" s="94">
        <v>83694</v>
      </c>
      <c r="B5244" s="87" t="s">
        <v>6888</v>
      </c>
      <c r="C5244" s="12" t="s">
        <v>9</v>
      </c>
      <c r="D5244" s="93">
        <v>20.58</v>
      </c>
      <c r="E5244" s="93">
        <v>6.3</v>
      </c>
      <c r="F5244" s="93">
        <v>14.28</v>
      </c>
      <c r="G5244" s="93">
        <v>0</v>
      </c>
      <c r="H5244" s="93">
        <v>0</v>
      </c>
      <c r="N5244" s="88"/>
      <c r="O5244" s="88"/>
      <c r="P5244" s="88"/>
    </row>
    <row r="5245" spans="1:16">
      <c r="A5245" s="95" t="s">
        <v>6889</v>
      </c>
      <c r="B5245" s="87" t="s">
        <v>6890</v>
      </c>
      <c r="C5245" s="12" t="s">
        <v>9</v>
      </c>
      <c r="D5245" s="93">
        <v>25.32</v>
      </c>
      <c r="E5245" s="93">
        <v>5.31</v>
      </c>
      <c r="F5245" s="93">
        <v>20.010000000000002</v>
      </c>
      <c r="G5245" s="93">
        <v>0</v>
      </c>
      <c r="H5245" s="93">
        <v>0</v>
      </c>
      <c r="N5245" s="88"/>
      <c r="O5245" s="88"/>
      <c r="P5245" s="88"/>
    </row>
    <row r="5246" spans="1:16">
      <c r="A5246" s="94">
        <v>83771</v>
      </c>
      <c r="B5246" s="87" t="s">
        <v>6891</v>
      </c>
      <c r="C5246" s="12" t="s">
        <v>5</v>
      </c>
      <c r="D5246" s="93">
        <v>7.34</v>
      </c>
      <c r="E5246" s="93">
        <v>2.37</v>
      </c>
      <c r="F5246" s="93">
        <v>2.59</v>
      </c>
      <c r="G5246" s="93">
        <v>2.38</v>
      </c>
      <c r="H5246" s="93">
        <v>0</v>
      </c>
      <c r="N5246" s="88"/>
      <c r="O5246" s="88"/>
      <c r="P5246" s="88"/>
    </row>
    <row r="5247" spans="1:16">
      <c r="A5247" s="94">
        <v>100576</v>
      </c>
      <c r="B5247" s="87" t="s">
        <v>4318</v>
      </c>
      <c r="C5247" s="12" t="s">
        <v>9</v>
      </c>
      <c r="D5247" s="93">
        <v>1.68</v>
      </c>
      <c r="E5247" s="93">
        <v>0.88</v>
      </c>
      <c r="F5247" s="93">
        <v>0.22</v>
      </c>
      <c r="G5247" s="93">
        <v>0.57999999999999996</v>
      </c>
      <c r="H5247" s="93">
        <v>0</v>
      </c>
      <c r="N5247" s="88"/>
      <c r="O5247" s="88"/>
      <c r="P5247" s="88"/>
    </row>
    <row r="5248" spans="1:16">
      <c r="A5248" s="94">
        <v>100577</v>
      </c>
      <c r="B5248" s="87" t="s">
        <v>4319</v>
      </c>
      <c r="C5248" s="12" t="s">
        <v>9</v>
      </c>
      <c r="D5248" s="93">
        <v>0.73</v>
      </c>
      <c r="E5248" s="93">
        <v>0.3</v>
      </c>
      <c r="F5248" s="93">
        <v>0.16</v>
      </c>
      <c r="G5248" s="93">
        <v>0.27</v>
      </c>
      <c r="H5248" s="93">
        <v>0</v>
      </c>
      <c r="N5248" s="88"/>
      <c r="O5248" s="88"/>
      <c r="P5248" s="88"/>
    </row>
    <row r="5249" spans="1:16">
      <c r="A5249" s="94">
        <v>96388</v>
      </c>
      <c r="B5249" s="87" t="s">
        <v>4320</v>
      </c>
      <c r="C5249" s="12" t="s">
        <v>5</v>
      </c>
      <c r="D5249" s="93">
        <v>7.57</v>
      </c>
      <c r="E5249" s="93">
        <v>2.97</v>
      </c>
      <c r="F5249" s="93">
        <v>1.5</v>
      </c>
      <c r="G5249" s="93">
        <v>3.1</v>
      </c>
      <c r="H5249" s="93">
        <v>0</v>
      </c>
      <c r="N5249" s="88"/>
      <c r="O5249" s="88"/>
      <c r="P5249" s="88"/>
    </row>
    <row r="5250" spans="1:16">
      <c r="A5250" s="94">
        <v>96389</v>
      </c>
      <c r="B5250" s="87" t="s">
        <v>4321</v>
      </c>
      <c r="C5250" s="12" t="s">
        <v>5</v>
      </c>
      <c r="D5250" s="93">
        <v>34.49</v>
      </c>
      <c r="E5250" s="93">
        <v>4.09</v>
      </c>
      <c r="F5250" s="93">
        <v>26.83</v>
      </c>
      <c r="G5250" s="93">
        <v>3.57</v>
      </c>
      <c r="H5250" s="93">
        <v>0</v>
      </c>
      <c r="N5250" s="88"/>
      <c r="O5250" s="88"/>
      <c r="P5250" s="88"/>
    </row>
    <row r="5251" spans="1:16">
      <c r="A5251" s="94">
        <v>96390</v>
      </c>
      <c r="B5251" s="87" t="s">
        <v>4322</v>
      </c>
      <c r="C5251" s="12" t="s">
        <v>5</v>
      </c>
      <c r="D5251" s="93">
        <v>55.36</v>
      </c>
      <c r="E5251" s="93">
        <v>3.95</v>
      </c>
      <c r="F5251" s="93">
        <v>48.2</v>
      </c>
      <c r="G5251" s="93">
        <v>3.21</v>
      </c>
      <c r="H5251" s="93">
        <v>0</v>
      </c>
      <c r="N5251" s="88"/>
      <c r="O5251" s="88"/>
      <c r="P5251" s="88"/>
    </row>
    <row r="5252" spans="1:16">
      <c r="A5252" s="94">
        <v>96391</v>
      </c>
      <c r="B5252" s="87" t="s">
        <v>4323</v>
      </c>
      <c r="C5252" s="12" t="s">
        <v>5</v>
      </c>
      <c r="D5252" s="93">
        <v>77.39</v>
      </c>
      <c r="E5252" s="93">
        <v>4.32</v>
      </c>
      <c r="F5252" s="93">
        <v>69.72</v>
      </c>
      <c r="G5252" s="93">
        <v>3.35</v>
      </c>
      <c r="H5252" s="93">
        <v>0</v>
      </c>
      <c r="N5252" s="88"/>
      <c r="O5252" s="88"/>
      <c r="P5252" s="88"/>
    </row>
    <row r="5253" spans="1:16">
      <c r="A5253" s="94">
        <v>96392</v>
      </c>
      <c r="B5253" s="87" t="s">
        <v>4324</v>
      </c>
      <c r="C5253" s="12" t="s">
        <v>5</v>
      </c>
      <c r="D5253" s="93">
        <v>98.49</v>
      </c>
      <c r="E5253" s="93">
        <v>4.3099999999999996</v>
      </c>
      <c r="F5253" s="93">
        <v>90.83</v>
      </c>
      <c r="G5253" s="93">
        <v>3.35</v>
      </c>
      <c r="H5253" s="93">
        <v>0</v>
      </c>
      <c r="N5253" s="88"/>
      <c r="O5253" s="88"/>
      <c r="P5253" s="88"/>
    </row>
    <row r="5254" spans="1:16">
      <c r="A5254" s="94">
        <v>96396</v>
      </c>
      <c r="B5254" s="87" t="s">
        <v>4325</v>
      </c>
      <c r="C5254" s="12" t="s">
        <v>5</v>
      </c>
      <c r="D5254" s="93">
        <v>141.24</v>
      </c>
      <c r="E5254" s="93">
        <v>4.57</v>
      </c>
      <c r="F5254" s="93">
        <v>131.62</v>
      </c>
      <c r="G5254" s="93">
        <v>4.7300000000000004</v>
      </c>
      <c r="H5254" s="93">
        <v>0</v>
      </c>
      <c r="N5254" s="88"/>
      <c r="O5254" s="88"/>
      <c r="P5254" s="88"/>
    </row>
    <row r="5255" spans="1:16">
      <c r="A5255" s="94">
        <v>96397</v>
      </c>
      <c r="B5255" s="87" t="s">
        <v>4326</v>
      </c>
      <c r="C5255" s="12" t="s">
        <v>5</v>
      </c>
      <c r="D5255" s="93">
        <v>180.33</v>
      </c>
      <c r="E5255" s="93">
        <v>5.13</v>
      </c>
      <c r="F5255" s="93">
        <v>169.68</v>
      </c>
      <c r="G5255" s="93">
        <v>5.2</v>
      </c>
      <c r="H5255" s="93">
        <v>0</v>
      </c>
      <c r="N5255" s="88"/>
      <c r="O5255" s="88"/>
      <c r="P5255" s="88"/>
    </row>
    <row r="5256" spans="1:16">
      <c r="A5256" s="94">
        <v>96398</v>
      </c>
      <c r="B5256" s="87" t="s">
        <v>4327</v>
      </c>
      <c r="C5256" s="12" t="s">
        <v>5</v>
      </c>
      <c r="D5256" s="93">
        <v>233.23</v>
      </c>
      <c r="E5256" s="93">
        <v>5.4</v>
      </c>
      <c r="F5256" s="93">
        <v>222.43</v>
      </c>
      <c r="G5256" s="93">
        <v>5.17</v>
      </c>
      <c r="H5256" s="93">
        <v>0</v>
      </c>
      <c r="N5256" s="88"/>
      <c r="O5256" s="88"/>
      <c r="P5256" s="88"/>
    </row>
    <row r="5257" spans="1:16">
      <c r="A5257" s="94">
        <v>96399</v>
      </c>
      <c r="B5257" s="87" t="s">
        <v>4328</v>
      </c>
      <c r="C5257" s="12" t="s">
        <v>5</v>
      </c>
      <c r="D5257" s="93">
        <v>102.99</v>
      </c>
      <c r="E5257" s="93">
        <v>4.38</v>
      </c>
      <c r="F5257" s="93">
        <v>94.61</v>
      </c>
      <c r="G5257" s="93">
        <v>4</v>
      </c>
      <c r="H5257" s="93">
        <v>0</v>
      </c>
      <c r="N5257" s="88"/>
      <c r="O5257" s="88"/>
      <c r="P5257" s="88"/>
    </row>
    <row r="5258" spans="1:16">
      <c r="A5258" s="94">
        <v>96400</v>
      </c>
      <c r="B5258" s="87" t="s">
        <v>4329</v>
      </c>
      <c r="C5258" s="12" t="s">
        <v>5</v>
      </c>
      <c r="D5258" s="93">
        <v>130.69999999999999</v>
      </c>
      <c r="E5258" s="93">
        <v>5.98</v>
      </c>
      <c r="F5258" s="93">
        <v>118.61</v>
      </c>
      <c r="G5258" s="93">
        <v>6.11</v>
      </c>
      <c r="H5258" s="93">
        <v>0</v>
      </c>
      <c r="N5258" s="88"/>
      <c r="O5258" s="88"/>
      <c r="P5258" s="88"/>
    </row>
    <row r="5259" spans="1:16">
      <c r="A5259" s="94">
        <v>96401</v>
      </c>
      <c r="B5259" s="87" t="s">
        <v>4330</v>
      </c>
      <c r="C5259" s="12" t="s">
        <v>9</v>
      </c>
      <c r="D5259" s="93">
        <v>6.48</v>
      </c>
      <c r="E5259" s="93">
        <v>0.31</v>
      </c>
      <c r="F5259" s="93">
        <v>6.06</v>
      </c>
      <c r="G5259" s="93">
        <v>0.11</v>
      </c>
      <c r="H5259" s="93">
        <v>0</v>
      </c>
      <c r="N5259" s="88"/>
      <c r="O5259" s="88"/>
      <c r="P5259" s="88"/>
    </row>
    <row r="5260" spans="1:16">
      <c r="A5260" s="94">
        <v>96402</v>
      </c>
      <c r="B5260" s="87" t="s">
        <v>4331</v>
      </c>
      <c r="C5260" s="12" t="s">
        <v>9</v>
      </c>
      <c r="D5260" s="93">
        <v>1.8</v>
      </c>
      <c r="E5260" s="93">
        <v>0.28999999999999998</v>
      </c>
      <c r="F5260" s="93">
        <v>1.39</v>
      </c>
      <c r="G5260" s="93">
        <v>0.12</v>
      </c>
      <c r="H5260" s="93">
        <v>0</v>
      </c>
      <c r="N5260" s="88"/>
      <c r="O5260" s="88"/>
      <c r="P5260" s="88"/>
    </row>
    <row r="5261" spans="1:16">
      <c r="A5261" s="94">
        <v>100564</v>
      </c>
      <c r="B5261" s="87" t="s">
        <v>4332</v>
      </c>
      <c r="C5261" s="12" t="s">
        <v>5</v>
      </c>
      <c r="D5261" s="93">
        <v>81.77</v>
      </c>
      <c r="E5261" s="93">
        <v>6.59</v>
      </c>
      <c r="F5261" s="93">
        <v>70.22</v>
      </c>
      <c r="G5261" s="93">
        <v>4.96</v>
      </c>
      <c r="H5261" s="93">
        <v>0</v>
      </c>
      <c r="N5261" s="88"/>
      <c r="O5261" s="88"/>
      <c r="P5261" s="88"/>
    </row>
    <row r="5262" spans="1:16">
      <c r="A5262" s="94">
        <v>100565</v>
      </c>
      <c r="B5262" s="87" t="s">
        <v>4333</v>
      </c>
      <c r="C5262" s="12" t="s">
        <v>5</v>
      </c>
      <c r="D5262" s="93">
        <v>70.709999999999994</v>
      </c>
      <c r="E5262" s="93">
        <v>6.6</v>
      </c>
      <c r="F5262" s="93">
        <v>59.14</v>
      </c>
      <c r="G5262" s="93">
        <v>4.97</v>
      </c>
      <c r="H5262" s="93">
        <v>0</v>
      </c>
      <c r="N5262" s="88"/>
      <c r="O5262" s="88"/>
      <c r="P5262" s="88"/>
    </row>
    <row r="5263" spans="1:16">
      <c r="A5263" s="94">
        <v>100566</v>
      </c>
      <c r="B5263" s="87" t="s">
        <v>4334</v>
      </c>
      <c r="C5263" s="12" t="s">
        <v>5</v>
      </c>
      <c r="D5263" s="93">
        <v>124.69</v>
      </c>
      <c r="E5263" s="93">
        <v>6.58</v>
      </c>
      <c r="F5263" s="93">
        <v>113.16</v>
      </c>
      <c r="G5263" s="93">
        <v>4.95</v>
      </c>
      <c r="H5263" s="93">
        <v>0</v>
      </c>
      <c r="N5263" s="88"/>
      <c r="O5263" s="88"/>
      <c r="P5263" s="88"/>
    </row>
    <row r="5264" spans="1:16">
      <c r="A5264" s="94">
        <v>100567</v>
      </c>
      <c r="B5264" s="87" t="s">
        <v>4335</v>
      </c>
      <c r="C5264" s="12" t="s">
        <v>5</v>
      </c>
      <c r="D5264" s="93">
        <v>144.77000000000001</v>
      </c>
      <c r="E5264" s="93">
        <v>6.58</v>
      </c>
      <c r="F5264" s="93">
        <v>133.24</v>
      </c>
      <c r="G5264" s="93">
        <v>4.95</v>
      </c>
      <c r="H5264" s="93">
        <v>0</v>
      </c>
      <c r="N5264" s="88"/>
      <c r="O5264" s="88"/>
      <c r="P5264" s="88"/>
    </row>
    <row r="5265" spans="1:16">
      <c r="A5265" s="94">
        <v>100568</v>
      </c>
      <c r="B5265" s="87" t="s">
        <v>4336</v>
      </c>
      <c r="C5265" s="12" t="s">
        <v>5</v>
      </c>
      <c r="D5265" s="93">
        <v>164.5</v>
      </c>
      <c r="E5265" s="93">
        <v>6.57</v>
      </c>
      <c r="F5265" s="93">
        <v>152.97999999999999</v>
      </c>
      <c r="G5265" s="93">
        <v>4.95</v>
      </c>
      <c r="H5265" s="93">
        <v>0</v>
      </c>
      <c r="N5265" s="88"/>
      <c r="O5265" s="88"/>
      <c r="P5265" s="88"/>
    </row>
    <row r="5266" spans="1:16">
      <c r="A5266" s="94">
        <v>100569</v>
      </c>
      <c r="B5266" s="87" t="s">
        <v>4337</v>
      </c>
      <c r="C5266" s="12" t="s">
        <v>5</v>
      </c>
      <c r="D5266" s="93">
        <v>114.03</v>
      </c>
      <c r="E5266" s="93">
        <v>6.58</v>
      </c>
      <c r="F5266" s="93">
        <v>102.49</v>
      </c>
      <c r="G5266" s="93">
        <v>4.96</v>
      </c>
      <c r="H5266" s="93">
        <v>0</v>
      </c>
      <c r="N5266" s="88"/>
      <c r="O5266" s="88"/>
      <c r="P5266" s="88"/>
    </row>
    <row r="5267" spans="1:16">
      <c r="A5267" s="94">
        <v>100570</v>
      </c>
      <c r="B5267" s="87" t="s">
        <v>4338</v>
      </c>
      <c r="C5267" s="12" t="s">
        <v>5</v>
      </c>
      <c r="D5267" s="93">
        <v>135.68</v>
      </c>
      <c r="E5267" s="93">
        <v>6.83</v>
      </c>
      <c r="F5267" s="93">
        <v>123.36</v>
      </c>
      <c r="G5267" s="93">
        <v>5.49</v>
      </c>
      <c r="H5267" s="93">
        <v>0</v>
      </c>
      <c r="N5267" s="88"/>
      <c r="O5267" s="88"/>
      <c r="P5267" s="88"/>
    </row>
    <row r="5268" spans="1:16">
      <c r="A5268" s="94">
        <v>100571</v>
      </c>
      <c r="B5268" s="87" t="s">
        <v>4339</v>
      </c>
      <c r="C5268" s="12" t="s">
        <v>5</v>
      </c>
      <c r="D5268" s="93">
        <v>154.33000000000001</v>
      </c>
      <c r="E5268" s="93">
        <v>6.58</v>
      </c>
      <c r="F5268" s="93">
        <v>142.80000000000001</v>
      </c>
      <c r="G5268" s="93">
        <v>4.95</v>
      </c>
      <c r="H5268" s="93">
        <v>0</v>
      </c>
      <c r="N5268" s="88"/>
      <c r="O5268" s="88"/>
      <c r="P5268" s="88"/>
    </row>
    <row r="5269" spans="1:16">
      <c r="A5269" s="94">
        <v>100572</v>
      </c>
      <c r="B5269" s="87" t="s">
        <v>4340</v>
      </c>
      <c r="C5269" s="12" t="s">
        <v>5</v>
      </c>
      <c r="D5269" s="93">
        <v>85.79</v>
      </c>
      <c r="E5269" s="93">
        <v>8.93</v>
      </c>
      <c r="F5269" s="93">
        <v>70.77</v>
      </c>
      <c r="G5269" s="93">
        <v>6.09</v>
      </c>
      <c r="H5269" s="93">
        <v>0</v>
      </c>
      <c r="N5269" s="88"/>
      <c r="O5269" s="88"/>
      <c r="P5269" s="88"/>
    </row>
    <row r="5270" spans="1:16">
      <c r="A5270" s="94">
        <v>100573</v>
      </c>
      <c r="B5270" s="87" t="s">
        <v>4341</v>
      </c>
      <c r="C5270" s="12" t="s">
        <v>5</v>
      </c>
      <c r="D5270" s="93">
        <v>74.73</v>
      </c>
      <c r="E5270" s="93">
        <v>8.93</v>
      </c>
      <c r="F5270" s="93">
        <v>59.7</v>
      </c>
      <c r="G5270" s="93">
        <v>6.1</v>
      </c>
      <c r="H5270" s="93">
        <v>0</v>
      </c>
      <c r="N5270" s="88"/>
      <c r="O5270" s="88"/>
      <c r="P5270" s="88"/>
    </row>
    <row r="5271" spans="1:16">
      <c r="A5271" s="94">
        <v>100574</v>
      </c>
      <c r="B5271" s="87" t="s">
        <v>4342</v>
      </c>
      <c r="C5271" s="12" t="s">
        <v>5</v>
      </c>
      <c r="D5271" s="93">
        <v>0.94</v>
      </c>
      <c r="E5271" s="93">
        <v>0.31</v>
      </c>
      <c r="F5271" s="93">
        <v>0.19</v>
      </c>
      <c r="G5271" s="93">
        <v>0.44</v>
      </c>
      <c r="H5271" s="93">
        <v>0</v>
      </c>
      <c r="N5271" s="88"/>
      <c r="O5271" s="88"/>
      <c r="P5271" s="88"/>
    </row>
    <row r="5272" spans="1:16">
      <c r="A5272" s="94">
        <v>100575</v>
      </c>
      <c r="B5272" s="87" t="s">
        <v>4343</v>
      </c>
      <c r="C5272" s="12" t="s">
        <v>9</v>
      </c>
      <c r="D5272" s="93">
        <v>0.08</v>
      </c>
      <c r="E5272" s="93">
        <v>0.06</v>
      </c>
      <c r="F5272" s="93">
        <v>0</v>
      </c>
      <c r="G5272" s="93">
        <v>0.02</v>
      </c>
      <c r="H5272" s="93">
        <v>0</v>
      </c>
      <c r="N5272" s="88"/>
      <c r="O5272" s="88"/>
      <c r="P5272" s="88"/>
    </row>
    <row r="5273" spans="1:16">
      <c r="A5273" s="94">
        <v>101767</v>
      </c>
      <c r="B5273" s="87" t="s">
        <v>6223</v>
      </c>
      <c r="C5273" s="12" t="s">
        <v>5</v>
      </c>
      <c r="D5273" s="93">
        <v>19.14</v>
      </c>
      <c r="E5273" s="93">
        <v>9.11</v>
      </c>
      <c r="F5273" s="93">
        <v>3.84</v>
      </c>
      <c r="G5273" s="93">
        <v>6.19</v>
      </c>
      <c r="H5273" s="93">
        <v>0</v>
      </c>
      <c r="N5273" s="88"/>
      <c r="O5273" s="88"/>
      <c r="P5273" s="88"/>
    </row>
    <row r="5274" spans="1:16">
      <c r="A5274" s="94">
        <v>101768</v>
      </c>
      <c r="B5274" s="87" t="s">
        <v>6224</v>
      </c>
      <c r="C5274" s="12" t="s">
        <v>5</v>
      </c>
      <c r="D5274" s="93">
        <v>28.21</v>
      </c>
      <c r="E5274" s="93">
        <v>9.6199999999999992</v>
      </c>
      <c r="F5274" s="93">
        <v>9.92</v>
      </c>
      <c r="G5274" s="93">
        <v>8.67</v>
      </c>
      <c r="H5274" s="93">
        <v>0</v>
      </c>
      <c r="N5274" s="88"/>
      <c r="O5274" s="88"/>
      <c r="P5274" s="88"/>
    </row>
    <row r="5275" spans="1:16">
      <c r="A5275" s="94">
        <v>92391</v>
      </c>
      <c r="B5275" s="87" t="s">
        <v>406</v>
      </c>
      <c r="C5275" s="12" t="s">
        <v>9</v>
      </c>
      <c r="D5275" s="93">
        <v>48.42</v>
      </c>
      <c r="E5275" s="93">
        <v>2.57</v>
      </c>
      <c r="F5275" s="93">
        <v>45.81</v>
      </c>
      <c r="G5275" s="93">
        <v>0.04</v>
      </c>
      <c r="H5275" s="93">
        <v>0</v>
      </c>
      <c r="N5275" s="88"/>
      <c r="O5275" s="88"/>
      <c r="P5275" s="88"/>
    </row>
    <row r="5276" spans="1:16">
      <c r="A5276" s="94">
        <v>92392</v>
      </c>
      <c r="B5276" s="87" t="s">
        <v>407</v>
      </c>
      <c r="C5276" s="12" t="s">
        <v>9</v>
      </c>
      <c r="D5276" s="93">
        <v>96.29</v>
      </c>
      <c r="E5276" s="93">
        <v>2.87</v>
      </c>
      <c r="F5276" s="93">
        <v>93.37</v>
      </c>
      <c r="G5276" s="93">
        <v>0.05</v>
      </c>
      <c r="H5276" s="93">
        <v>0</v>
      </c>
      <c r="N5276" s="88"/>
      <c r="O5276" s="88"/>
      <c r="P5276" s="88"/>
    </row>
    <row r="5277" spans="1:16">
      <c r="A5277" s="94">
        <v>92393</v>
      </c>
      <c r="B5277" s="87" t="s">
        <v>408</v>
      </c>
      <c r="C5277" s="12" t="s">
        <v>9</v>
      </c>
      <c r="D5277" s="93">
        <v>48.47</v>
      </c>
      <c r="E5277" s="93">
        <v>3.34</v>
      </c>
      <c r="F5277" s="93">
        <v>45.07</v>
      </c>
      <c r="G5277" s="93">
        <v>0.06</v>
      </c>
      <c r="H5277" s="93">
        <v>0</v>
      </c>
      <c r="N5277" s="88"/>
      <c r="O5277" s="88"/>
      <c r="P5277" s="88"/>
    </row>
    <row r="5278" spans="1:16">
      <c r="A5278" s="94">
        <v>92394</v>
      </c>
      <c r="B5278" s="87" t="s">
        <v>409</v>
      </c>
      <c r="C5278" s="12" t="s">
        <v>9</v>
      </c>
      <c r="D5278" s="93">
        <v>60.1</v>
      </c>
      <c r="E5278" s="93">
        <v>4.93</v>
      </c>
      <c r="F5278" s="93">
        <v>55.07</v>
      </c>
      <c r="G5278" s="93">
        <v>0.1</v>
      </c>
      <c r="H5278" s="93">
        <v>0</v>
      </c>
      <c r="N5278" s="88"/>
      <c r="O5278" s="88"/>
      <c r="P5278" s="88"/>
    </row>
    <row r="5279" spans="1:16">
      <c r="A5279" s="94">
        <v>92395</v>
      </c>
      <c r="B5279" s="87" t="s">
        <v>410</v>
      </c>
      <c r="C5279" s="12" t="s">
        <v>9</v>
      </c>
      <c r="D5279" s="93">
        <v>72.739999999999995</v>
      </c>
      <c r="E5279" s="93">
        <v>7.44</v>
      </c>
      <c r="F5279" s="93">
        <v>65.150000000000006</v>
      </c>
      <c r="G5279" s="93">
        <v>0.15</v>
      </c>
      <c r="H5279" s="93">
        <v>0</v>
      </c>
      <c r="N5279" s="88"/>
      <c r="O5279" s="88"/>
      <c r="P5279" s="88"/>
    </row>
    <row r="5280" spans="1:16">
      <c r="A5280" s="94">
        <v>92396</v>
      </c>
      <c r="B5280" s="87" t="s">
        <v>4344</v>
      </c>
      <c r="C5280" s="12" t="s">
        <v>9</v>
      </c>
      <c r="D5280" s="93">
        <v>59.82</v>
      </c>
      <c r="E5280" s="93">
        <v>10.61</v>
      </c>
      <c r="F5280" s="93">
        <v>48.95</v>
      </c>
      <c r="G5280" s="93">
        <v>0.26</v>
      </c>
      <c r="H5280" s="93">
        <v>0</v>
      </c>
      <c r="N5280" s="88"/>
      <c r="O5280" s="88"/>
      <c r="P5280" s="88"/>
    </row>
    <row r="5281" spans="1:16">
      <c r="A5281" s="94">
        <v>92397</v>
      </c>
      <c r="B5281" s="87" t="s">
        <v>4345</v>
      </c>
      <c r="C5281" s="12" t="s">
        <v>9</v>
      </c>
      <c r="D5281" s="93">
        <v>48.78</v>
      </c>
      <c r="E5281" s="93">
        <v>4.25</v>
      </c>
      <c r="F5281" s="93">
        <v>44.46</v>
      </c>
      <c r="G5281" s="93">
        <v>7.0000000000000007E-2</v>
      </c>
      <c r="H5281" s="93">
        <v>0</v>
      </c>
      <c r="N5281" s="88"/>
      <c r="O5281" s="88"/>
      <c r="P5281" s="88"/>
    </row>
    <row r="5282" spans="1:16">
      <c r="A5282" s="94">
        <v>92398</v>
      </c>
      <c r="B5282" s="87" t="s">
        <v>4346</v>
      </c>
      <c r="C5282" s="12" t="s">
        <v>9</v>
      </c>
      <c r="D5282" s="93">
        <v>61.76</v>
      </c>
      <c r="E5282" s="93">
        <v>6.75</v>
      </c>
      <c r="F5282" s="93">
        <v>54.89</v>
      </c>
      <c r="G5282" s="93">
        <v>0.12</v>
      </c>
      <c r="H5282" s="93">
        <v>0</v>
      </c>
      <c r="N5282" s="88"/>
      <c r="O5282" s="88"/>
      <c r="P5282" s="88"/>
    </row>
    <row r="5283" spans="1:16">
      <c r="A5283" s="94">
        <v>92399</v>
      </c>
      <c r="B5283" s="87" t="s">
        <v>411</v>
      </c>
      <c r="C5283" s="12" t="s">
        <v>9</v>
      </c>
      <c r="D5283" s="93">
        <v>63.01</v>
      </c>
      <c r="E5283" s="93">
        <v>7.22</v>
      </c>
      <c r="F5283" s="93">
        <v>55.65</v>
      </c>
      <c r="G5283" s="93">
        <v>0.14000000000000001</v>
      </c>
      <c r="H5283" s="93">
        <v>0</v>
      </c>
      <c r="N5283" s="88"/>
      <c r="O5283" s="88"/>
      <c r="P5283" s="88"/>
    </row>
    <row r="5284" spans="1:16">
      <c r="A5284" s="94">
        <v>92400</v>
      </c>
      <c r="B5284" s="87" t="s">
        <v>4347</v>
      </c>
      <c r="C5284" s="12" t="s">
        <v>9</v>
      </c>
      <c r="D5284" s="93">
        <v>73.42</v>
      </c>
      <c r="E5284" s="93">
        <v>9.25</v>
      </c>
      <c r="F5284" s="93">
        <v>63.99</v>
      </c>
      <c r="G5284" s="93">
        <v>0.18</v>
      </c>
      <c r="H5284" s="93">
        <v>0</v>
      </c>
      <c r="N5284" s="88"/>
      <c r="O5284" s="88"/>
      <c r="P5284" s="88"/>
    </row>
    <row r="5285" spans="1:16">
      <c r="A5285" s="94">
        <v>92401</v>
      </c>
      <c r="B5285" s="87" t="s">
        <v>412</v>
      </c>
      <c r="C5285" s="12" t="s">
        <v>9</v>
      </c>
      <c r="D5285" s="93">
        <v>74.739999999999995</v>
      </c>
      <c r="E5285" s="93">
        <v>9.7100000000000009</v>
      </c>
      <c r="F5285" s="93">
        <v>64.819999999999993</v>
      </c>
      <c r="G5285" s="93">
        <v>0.21</v>
      </c>
      <c r="H5285" s="93">
        <v>0</v>
      </c>
      <c r="N5285" s="88"/>
      <c r="O5285" s="88"/>
      <c r="P5285" s="88"/>
    </row>
    <row r="5286" spans="1:16">
      <c r="A5286" s="94">
        <v>92402</v>
      </c>
      <c r="B5286" s="87" t="s">
        <v>4348</v>
      </c>
      <c r="C5286" s="12" t="s">
        <v>9</v>
      </c>
      <c r="D5286" s="93">
        <v>61.34</v>
      </c>
      <c r="E5286" s="93">
        <v>11.63</v>
      </c>
      <c r="F5286" s="93">
        <v>49.43</v>
      </c>
      <c r="G5286" s="93">
        <v>0.28000000000000003</v>
      </c>
      <c r="H5286" s="93">
        <v>0</v>
      </c>
      <c r="N5286" s="88"/>
      <c r="O5286" s="88"/>
      <c r="P5286" s="88"/>
    </row>
    <row r="5287" spans="1:16">
      <c r="A5287" s="94">
        <v>92403</v>
      </c>
      <c r="B5287" s="87" t="s">
        <v>4349</v>
      </c>
      <c r="C5287" s="12" t="s">
        <v>9</v>
      </c>
      <c r="D5287" s="93">
        <v>50.2</v>
      </c>
      <c r="E5287" s="93">
        <v>5.25</v>
      </c>
      <c r="F5287" s="93">
        <v>44.85</v>
      </c>
      <c r="G5287" s="93">
        <v>0.1</v>
      </c>
      <c r="H5287" s="93">
        <v>0</v>
      </c>
      <c r="N5287" s="88"/>
      <c r="O5287" s="88"/>
      <c r="P5287" s="88"/>
    </row>
    <row r="5288" spans="1:16">
      <c r="A5288" s="94">
        <v>92404</v>
      </c>
      <c r="B5288" s="87" t="s">
        <v>4350</v>
      </c>
      <c r="C5288" s="12" t="s">
        <v>9</v>
      </c>
      <c r="D5288" s="93">
        <v>63.2</v>
      </c>
      <c r="E5288" s="93">
        <v>7.76</v>
      </c>
      <c r="F5288" s="93">
        <v>55.29</v>
      </c>
      <c r="G5288" s="93">
        <v>0.15</v>
      </c>
      <c r="H5288" s="93">
        <v>0</v>
      </c>
      <c r="N5288" s="88"/>
      <c r="O5288" s="88"/>
      <c r="P5288" s="88"/>
    </row>
    <row r="5289" spans="1:16">
      <c r="A5289" s="94">
        <v>92405</v>
      </c>
      <c r="B5289" s="87" t="s">
        <v>4351</v>
      </c>
      <c r="C5289" s="12" t="s">
        <v>9</v>
      </c>
      <c r="D5289" s="93">
        <v>64.42</v>
      </c>
      <c r="E5289" s="93">
        <v>8.23</v>
      </c>
      <c r="F5289" s="93">
        <v>56.03</v>
      </c>
      <c r="G5289" s="93">
        <v>0.16</v>
      </c>
      <c r="H5289" s="93">
        <v>0</v>
      </c>
      <c r="N5289" s="88"/>
      <c r="O5289" s="88"/>
      <c r="P5289" s="88"/>
    </row>
    <row r="5290" spans="1:16">
      <c r="A5290" s="94">
        <v>92406</v>
      </c>
      <c r="B5290" s="87" t="s">
        <v>4352</v>
      </c>
      <c r="C5290" s="12" t="s">
        <v>9</v>
      </c>
      <c r="D5290" s="93">
        <v>74.86</v>
      </c>
      <c r="E5290" s="93">
        <v>10.26</v>
      </c>
      <c r="F5290" s="93">
        <v>64.38</v>
      </c>
      <c r="G5290" s="93">
        <v>0.22</v>
      </c>
      <c r="H5290" s="93">
        <v>0</v>
      </c>
      <c r="N5290" s="88"/>
      <c r="O5290" s="88"/>
      <c r="P5290" s="88"/>
    </row>
    <row r="5291" spans="1:16">
      <c r="A5291" s="94">
        <v>92407</v>
      </c>
      <c r="B5291" s="87" t="s">
        <v>4353</v>
      </c>
      <c r="C5291" s="12" t="s">
        <v>9</v>
      </c>
      <c r="D5291" s="93">
        <v>76.150000000000006</v>
      </c>
      <c r="E5291" s="93">
        <v>10.72</v>
      </c>
      <c r="F5291" s="93">
        <v>65.2</v>
      </c>
      <c r="G5291" s="93">
        <v>0.23</v>
      </c>
      <c r="H5291" s="93">
        <v>0</v>
      </c>
      <c r="N5291" s="88"/>
      <c r="O5291" s="88"/>
      <c r="P5291" s="88"/>
    </row>
    <row r="5292" spans="1:16">
      <c r="A5292" s="94">
        <v>93679</v>
      </c>
      <c r="B5292" s="87" t="s">
        <v>4354</v>
      </c>
      <c r="C5292" s="12" t="s">
        <v>9</v>
      </c>
      <c r="D5292" s="93">
        <v>65.73</v>
      </c>
      <c r="E5292" s="93">
        <v>10.61</v>
      </c>
      <c r="F5292" s="93">
        <v>54.86</v>
      </c>
      <c r="G5292" s="93">
        <v>0.26</v>
      </c>
      <c r="H5292" s="93">
        <v>0</v>
      </c>
      <c r="N5292" s="88"/>
      <c r="O5292" s="88"/>
      <c r="P5292" s="88"/>
    </row>
    <row r="5293" spans="1:16">
      <c r="A5293" s="94">
        <v>93680</v>
      </c>
      <c r="B5293" s="87" t="s">
        <v>4355</v>
      </c>
      <c r="C5293" s="12" t="s">
        <v>9</v>
      </c>
      <c r="D5293" s="93">
        <v>54.43</v>
      </c>
      <c r="E5293" s="93">
        <v>4.25</v>
      </c>
      <c r="F5293" s="93">
        <v>50.11</v>
      </c>
      <c r="G5293" s="93">
        <v>7.0000000000000007E-2</v>
      </c>
      <c r="H5293" s="93">
        <v>0</v>
      </c>
      <c r="N5293" s="88"/>
      <c r="O5293" s="88"/>
      <c r="P5293" s="88"/>
    </row>
    <row r="5294" spans="1:16">
      <c r="A5294" s="94">
        <v>93681</v>
      </c>
      <c r="B5294" s="87" t="s">
        <v>4356</v>
      </c>
      <c r="C5294" s="12" t="s">
        <v>9</v>
      </c>
      <c r="D5294" s="93">
        <v>66.3</v>
      </c>
      <c r="E5294" s="93">
        <v>6.75</v>
      </c>
      <c r="F5294" s="93">
        <v>59.43</v>
      </c>
      <c r="G5294" s="93">
        <v>0.12</v>
      </c>
      <c r="H5294" s="93">
        <v>0</v>
      </c>
      <c r="N5294" s="88"/>
      <c r="O5294" s="88"/>
      <c r="P5294" s="88"/>
    </row>
    <row r="5295" spans="1:16">
      <c r="A5295" s="94">
        <v>93682</v>
      </c>
      <c r="B5295" s="87" t="s">
        <v>413</v>
      </c>
      <c r="C5295" s="12" t="s">
        <v>9</v>
      </c>
      <c r="D5295" s="93">
        <v>67.59</v>
      </c>
      <c r="E5295" s="93">
        <v>7.22</v>
      </c>
      <c r="F5295" s="93">
        <v>60.23</v>
      </c>
      <c r="G5295" s="93">
        <v>0.14000000000000001</v>
      </c>
      <c r="H5295" s="93">
        <v>0</v>
      </c>
      <c r="N5295" s="88"/>
      <c r="O5295" s="88"/>
      <c r="P5295" s="88"/>
    </row>
    <row r="5296" spans="1:16">
      <c r="A5296" s="94">
        <v>97104</v>
      </c>
      <c r="B5296" s="87" t="s">
        <v>6225</v>
      </c>
      <c r="C5296" s="12" t="s">
        <v>9</v>
      </c>
      <c r="D5296" s="93">
        <v>83.35</v>
      </c>
      <c r="E5296" s="93">
        <v>8.3000000000000007</v>
      </c>
      <c r="F5296" s="93">
        <v>75.05</v>
      </c>
      <c r="G5296" s="93">
        <v>0</v>
      </c>
      <c r="H5296" s="93">
        <v>0</v>
      </c>
      <c r="N5296" s="88"/>
      <c r="O5296" s="88"/>
      <c r="P5296" s="88"/>
    </row>
    <row r="5297" spans="1:16">
      <c r="A5297" s="94">
        <v>97105</v>
      </c>
      <c r="B5297" s="87" t="s">
        <v>6226</v>
      </c>
      <c r="C5297" s="12" t="s">
        <v>9</v>
      </c>
      <c r="D5297" s="93">
        <v>97.34</v>
      </c>
      <c r="E5297" s="93">
        <v>8.68</v>
      </c>
      <c r="F5297" s="93">
        <v>88.66</v>
      </c>
      <c r="G5297" s="93">
        <v>0</v>
      </c>
      <c r="H5297" s="93">
        <v>0</v>
      </c>
      <c r="N5297" s="88"/>
      <c r="O5297" s="88"/>
      <c r="P5297" s="88"/>
    </row>
    <row r="5298" spans="1:16">
      <c r="A5298" s="94">
        <v>97106</v>
      </c>
      <c r="B5298" s="87" t="s">
        <v>6227</v>
      </c>
      <c r="C5298" s="12" t="s">
        <v>9</v>
      </c>
      <c r="D5298" s="93">
        <v>106.79</v>
      </c>
      <c r="E5298" s="93">
        <v>8.8699999999999992</v>
      </c>
      <c r="F5298" s="93">
        <v>97.92</v>
      </c>
      <c r="G5298" s="93">
        <v>0</v>
      </c>
      <c r="H5298" s="93">
        <v>0</v>
      </c>
      <c r="N5298" s="88"/>
      <c r="O5298" s="88"/>
      <c r="P5298" s="88"/>
    </row>
    <row r="5299" spans="1:16">
      <c r="A5299" s="94">
        <v>97107</v>
      </c>
      <c r="B5299" s="87" t="s">
        <v>6228</v>
      </c>
      <c r="C5299" s="12" t="s">
        <v>9</v>
      </c>
      <c r="D5299" s="93">
        <v>116.19</v>
      </c>
      <c r="E5299" s="93">
        <v>9.0500000000000007</v>
      </c>
      <c r="F5299" s="93">
        <v>107.13</v>
      </c>
      <c r="G5299" s="93">
        <v>0.01</v>
      </c>
      <c r="H5299" s="93">
        <v>0</v>
      </c>
      <c r="N5299" s="88"/>
      <c r="O5299" s="88"/>
      <c r="P5299" s="88"/>
    </row>
    <row r="5300" spans="1:16">
      <c r="A5300" s="94">
        <v>97108</v>
      </c>
      <c r="B5300" s="87" t="s">
        <v>6229</v>
      </c>
      <c r="C5300" s="12" t="s">
        <v>9</v>
      </c>
      <c r="D5300" s="93">
        <v>134.63999999999999</v>
      </c>
      <c r="E5300" s="93">
        <v>9.4</v>
      </c>
      <c r="F5300" s="93">
        <v>125.23</v>
      </c>
      <c r="G5300" s="93">
        <v>0.01</v>
      </c>
      <c r="H5300" s="93">
        <v>0</v>
      </c>
      <c r="N5300" s="88"/>
      <c r="O5300" s="88"/>
      <c r="P5300" s="88"/>
    </row>
    <row r="5301" spans="1:16">
      <c r="A5301" s="94">
        <v>97109</v>
      </c>
      <c r="B5301" s="87" t="s">
        <v>6230</v>
      </c>
      <c r="C5301" s="12" t="s">
        <v>9</v>
      </c>
      <c r="D5301" s="93">
        <v>143.99</v>
      </c>
      <c r="E5301" s="93">
        <v>9.5399999999999991</v>
      </c>
      <c r="F5301" s="93">
        <v>134.44</v>
      </c>
      <c r="G5301" s="93">
        <v>0.01</v>
      </c>
      <c r="H5301" s="93">
        <v>0</v>
      </c>
      <c r="N5301" s="88"/>
      <c r="O5301" s="88"/>
      <c r="P5301" s="88"/>
    </row>
    <row r="5302" spans="1:16">
      <c r="A5302" s="94">
        <v>97110</v>
      </c>
      <c r="B5302" s="87" t="s">
        <v>6231</v>
      </c>
      <c r="C5302" s="12" t="s">
        <v>9</v>
      </c>
      <c r="D5302" s="93">
        <v>104.59</v>
      </c>
      <c r="E5302" s="93">
        <v>9.26</v>
      </c>
      <c r="F5302" s="93">
        <v>95.33</v>
      </c>
      <c r="G5302" s="93">
        <v>0</v>
      </c>
      <c r="H5302" s="93">
        <v>0</v>
      </c>
      <c r="N5302" s="88"/>
      <c r="O5302" s="88"/>
      <c r="P5302" s="88"/>
    </row>
    <row r="5303" spans="1:16">
      <c r="A5303" s="94">
        <v>97111</v>
      </c>
      <c r="B5303" s="87" t="s">
        <v>6232</v>
      </c>
      <c r="C5303" s="12" t="s">
        <v>9</v>
      </c>
      <c r="D5303" s="93">
        <v>120.02</v>
      </c>
      <c r="E5303" s="93">
        <v>9.6300000000000008</v>
      </c>
      <c r="F5303" s="93">
        <v>110.39</v>
      </c>
      <c r="G5303" s="93">
        <v>0</v>
      </c>
      <c r="H5303" s="93">
        <v>0</v>
      </c>
      <c r="N5303" s="88"/>
      <c r="O5303" s="88"/>
      <c r="P5303" s="88"/>
    </row>
    <row r="5304" spans="1:16">
      <c r="A5304" s="94">
        <v>97112</v>
      </c>
      <c r="B5304" s="87" t="s">
        <v>6233</v>
      </c>
      <c r="C5304" s="12" t="s">
        <v>9</v>
      </c>
      <c r="D5304" s="93">
        <v>130.88999999999999</v>
      </c>
      <c r="E5304" s="93">
        <v>9.93</v>
      </c>
      <c r="F5304" s="93">
        <v>120.96</v>
      </c>
      <c r="G5304" s="93">
        <v>0</v>
      </c>
      <c r="H5304" s="93">
        <v>0</v>
      </c>
      <c r="N5304" s="88"/>
      <c r="O5304" s="88"/>
      <c r="P5304" s="88"/>
    </row>
    <row r="5305" spans="1:16">
      <c r="A5305" s="94">
        <v>97113</v>
      </c>
      <c r="B5305" s="87" t="s">
        <v>6234</v>
      </c>
      <c r="C5305" s="12" t="s">
        <v>9</v>
      </c>
      <c r="D5305" s="93">
        <v>1.62</v>
      </c>
      <c r="E5305" s="93">
        <v>0.12</v>
      </c>
      <c r="F5305" s="93">
        <v>1.5</v>
      </c>
      <c r="G5305" s="93">
        <v>0</v>
      </c>
      <c r="H5305" s="93">
        <v>0</v>
      </c>
      <c r="N5305" s="88"/>
      <c r="O5305" s="88"/>
      <c r="P5305" s="88"/>
    </row>
    <row r="5306" spans="1:16">
      <c r="A5306" s="94">
        <v>97114</v>
      </c>
      <c r="B5306" s="87" t="s">
        <v>4357</v>
      </c>
      <c r="C5306" s="12" t="s">
        <v>6</v>
      </c>
      <c r="D5306" s="93">
        <v>0.37</v>
      </c>
      <c r="E5306" s="93">
        <v>0.25</v>
      </c>
      <c r="F5306" s="93">
        <v>0.12</v>
      </c>
      <c r="G5306" s="93">
        <v>0</v>
      </c>
      <c r="H5306" s="93">
        <v>0</v>
      </c>
      <c r="N5306" s="88"/>
      <c r="O5306" s="88"/>
      <c r="P5306" s="88"/>
    </row>
    <row r="5307" spans="1:16">
      <c r="A5307" s="94">
        <v>97115</v>
      </c>
      <c r="B5307" s="87" t="s">
        <v>4358</v>
      </c>
      <c r="C5307" s="12" t="s">
        <v>11</v>
      </c>
      <c r="D5307" s="93">
        <v>33.229999999999997</v>
      </c>
      <c r="E5307" s="93">
        <v>6.33</v>
      </c>
      <c r="F5307" s="93">
        <v>26.9</v>
      </c>
      <c r="G5307" s="93">
        <v>0</v>
      </c>
      <c r="H5307" s="93">
        <v>0</v>
      </c>
      <c r="N5307" s="88"/>
      <c r="O5307" s="88"/>
      <c r="P5307" s="88"/>
    </row>
    <row r="5308" spans="1:16">
      <c r="A5308" s="94">
        <v>97116</v>
      </c>
      <c r="B5308" s="87" t="s">
        <v>6235</v>
      </c>
      <c r="C5308" s="12" t="s">
        <v>11</v>
      </c>
      <c r="D5308" s="93">
        <v>14.07</v>
      </c>
      <c r="E5308" s="93">
        <v>4.51</v>
      </c>
      <c r="F5308" s="93">
        <v>9.56</v>
      </c>
      <c r="G5308" s="93">
        <v>0</v>
      </c>
      <c r="H5308" s="93">
        <v>0</v>
      </c>
      <c r="N5308" s="88"/>
      <c r="O5308" s="88"/>
      <c r="P5308" s="88"/>
    </row>
    <row r="5309" spans="1:16">
      <c r="A5309" s="94">
        <v>97117</v>
      </c>
      <c r="B5309" s="87" t="s">
        <v>6236</v>
      </c>
      <c r="C5309" s="12" t="s">
        <v>11</v>
      </c>
      <c r="D5309" s="93">
        <v>13.43</v>
      </c>
      <c r="E5309" s="93">
        <v>2.96</v>
      </c>
      <c r="F5309" s="93">
        <v>10.47</v>
      </c>
      <c r="G5309" s="93">
        <v>0</v>
      </c>
      <c r="H5309" s="93">
        <v>0</v>
      </c>
      <c r="N5309" s="88"/>
      <c r="O5309" s="88"/>
      <c r="P5309" s="88"/>
    </row>
    <row r="5310" spans="1:16">
      <c r="A5310" s="94">
        <v>97118</v>
      </c>
      <c r="B5310" s="87" t="s">
        <v>6237</v>
      </c>
      <c r="C5310" s="12" t="s">
        <v>11</v>
      </c>
      <c r="D5310" s="93">
        <v>11.73</v>
      </c>
      <c r="E5310" s="93">
        <v>1.94</v>
      </c>
      <c r="F5310" s="93">
        <v>9.7899999999999991</v>
      </c>
      <c r="G5310" s="93">
        <v>0</v>
      </c>
      <c r="H5310" s="93">
        <v>0</v>
      </c>
      <c r="N5310" s="88"/>
      <c r="O5310" s="88"/>
      <c r="P5310" s="88"/>
    </row>
    <row r="5311" spans="1:16">
      <c r="A5311" s="94">
        <v>97119</v>
      </c>
      <c r="B5311" s="87" t="s">
        <v>6238</v>
      </c>
      <c r="C5311" s="12" t="s">
        <v>11</v>
      </c>
      <c r="D5311" s="93">
        <v>11.13</v>
      </c>
      <c r="E5311" s="93">
        <v>1.22</v>
      </c>
      <c r="F5311" s="93">
        <v>9.91</v>
      </c>
      <c r="G5311" s="93">
        <v>0</v>
      </c>
      <c r="H5311" s="93">
        <v>0</v>
      </c>
      <c r="N5311" s="88"/>
      <c r="O5311" s="88"/>
      <c r="P5311" s="88"/>
    </row>
    <row r="5312" spans="1:16">
      <c r="A5312" s="94">
        <v>97120</v>
      </c>
      <c r="B5312" s="87" t="s">
        <v>4359</v>
      </c>
      <c r="C5312" s="12" t="s">
        <v>11</v>
      </c>
      <c r="D5312" s="93">
        <v>8.4600000000000009</v>
      </c>
      <c r="E5312" s="93">
        <v>1.23</v>
      </c>
      <c r="F5312" s="93">
        <v>7.23</v>
      </c>
      <c r="G5312" s="93">
        <v>0</v>
      </c>
      <c r="H5312" s="93">
        <v>0</v>
      </c>
      <c r="N5312" s="88"/>
      <c r="O5312" s="88"/>
      <c r="P5312" s="88"/>
    </row>
    <row r="5313" spans="1:16">
      <c r="A5313" s="94">
        <v>97802</v>
      </c>
      <c r="B5313" s="87" t="s">
        <v>4360</v>
      </c>
      <c r="C5313" s="12" t="s">
        <v>9</v>
      </c>
      <c r="D5313" s="93">
        <v>4.6900000000000004</v>
      </c>
      <c r="E5313" s="93">
        <v>0.17</v>
      </c>
      <c r="F5313" s="93">
        <v>4.5</v>
      </c>
      <c r="G5313" s="93">
        <v>0.02</v>
      </c>
      <c r="H5313" s="93">
        <v>0</v>
      </c>
      <c r="N5313" s="88"/>
      <c r="O5313" s="88"/>
      <c r="P5313" s="88"/>
    </row>
    <row r="5314" spans="1:16">
      <c r="A5314" s="94">
        <v>97803</v>
      </c>
      <c r="B5314" s="87" t="s">
        <v>4361</v>
      </c>
      <c r="C5314" s="12" t="s">
        <v>9</v>
      </c>
      <c r="D5314" s="93">
        <v>6.99</v>
      </c>
      <c r="E5314" s="93">
        <v>0.39</v>
      </c>
      <c r="F5314" s="93">
        <v>6.51</v>
      </c>
      <c r="G5314" s="93">
        <v>0.09</v>
      </c>
      <c r="H5314" s="93">
        <v>0</v>
      </c>
      <c r="N5314" s="88"/>
      <c r="O5314" s="88"/>
      <c r="P5314" s="88"/>
    </row>
    <row r="5315" spans="1:16">
      <c r="A5315" s="94">
        <v>97805</v>
      </c>
      <c r="B5315" s="87" t="s">
        <v>4362</v>
      </c>
      <c r="C5315" s="12" t="s">
        <v>9</v>
      </c>
      <c r="D5315" s="93">
        <v>11.76</v>
      </c>
      <c r="E5315" s="93">
        <v>0.4</v>
      </c>
      <c r="F5315" s="93">
        <v>11.24</v>
      </c>
      <c r="G5315" s="93">
        <v>0.12</v>
      </c>
      <c r="H5315" s="93">
        <v>0</v>
      </c>
      <c r="N5315" s="88"/>
      <c r="O5315" s="88"/>
      <c r="P5315" s="88"/>
    </row>
    <row r="5316" spans="1:16">
      <c r="A5316" s="94">
        <v>97806</v>
      </c>
      <c r="B5316" s="87" t="s">
        <v>4363</v>
      </c>
      <c r="C5316" s="12" t="s">
        <v>9</v>
      </c>
      <c r="D5316" s="93">
        <v>14.04</v>
      </c>
      <c r="E5316" s="93">
        <v>0.6</v>
      </c>
      <c r="F5316" s="93">
        <v>13.21</v>
      </c>
      <c r="G5316" s="93">
        <v>0.23</v>
      </c>
      <c r="H5316" s="93">
        <v>0</v>
      </c>
      <c r="N5316" s="88"/>
      <c r="O5316" s="88"/>
      <c r="P5316" s="88"/>
    </row>
    <row r="5317" spans="1:16">
      <c r="A5317" s="94">
        <v>97807</v>
      </c>
      <c r="B5317" s="87" t="s">
        <v>4364</v>
      </c>
      <c r="C5317" s="12" t="s">
        <v>9</v>
      </c>
      <c r="D5317" s="93">
        <v>16.260000000000002</v>
      </c>
      <c r="E5317" s="93">
        <v>0.59</v>
      </c>
      <c r="F5317" s="93">
        <v>15.44</v>
      </c>
      <c r="G5317" s="93">
        <v>0.23</v>
      </c>
      <c r="H5317" s="93">
        <v>0</v>
      </c>
      <c r="N5317" s="88"/>
      <c r="O5317" s="88"/>
      <c r="P5317" s="88"/>
    </row>
    <row r="5318" spans="1:16">
      <c r="A5318" s="94">
        <v>97809</v>
      </c>
      <c r="B5318" s="87" t="s">
        <v>4365</v>
      </c>
      <c r="C5318" s="12" t="s">
        <v>9</v>
      </c>
      <c r="D5318" s="93">
        <v>13.19</v>
      </c>
      <c r="E5318" s="93">
        <v>0.7</v>
      </c>
      <c r="F5318" s="93">
        <v>12.22</v>
      </c>
      <c r="G5318" s="93">
        <v>0.27</v>
      </c>
      <c r="H5318" s="93">
        <v>0</v>
      </c>
      <c r="N5318" s="88"/>
      <c r="O5318" s="88"/>
      <c r="P5318" s="88"/>
    </row>
    <row r="5319" spans="1:16">
      <c r="A5319" s="94">
        <v>97810</v>
      </c>
      <c r="B5319" s="87" t="s">
        <v>4366</v>
      </c>
      <c r="C5319" s="12" t="s">
        <v>9</v>
      </c>
      <c r="D5319" s="93">
        <v>14.25</v>
      </c>
      <c r="E5319" s="93">
        <v>0.81</v>
      </c>
      <c r="F5319" s="93">
        <v>13.13</v>
      </c>
      <c r="G5319" s="93">
        <v>0.31</v>
      </c>
      <c r="H5319" s="93">
        <v>0</v>
      </c>
      <c r="N5319" s="88"/>
      <c r="O5319" s="88"/>
      <c r="P5319" s="88"/>
    </row>
    <row r="5320" spans="1:16">
      <c r="A5320" s="94">
        <v>97811</v>
      </c>
      <c r="B5320" s="87" t="s">
        <v>4367</v>
      </c>
      <c r="C5320" s="12" t="s">
        <v>9</v>
      </c>
      <c r="D5320" s="93">
        <v>16.54</v>
      </c>
      <c r="E5320" s="93">
        <v>0.81</v>
      </c>
      <c r="F5320" s="93">
        <v>15.38</v>
      </c>
      <c r="G5320" s="93">
        <v>0.35</v>
      </c>
      <c r="H5320" s="93">
        <v>0</v>
      </c>
      <c r="N5320" s="88"/>
      <c r="O5320" s="88"/>
      <c r="P5320" s="88"/>
    </row>
    <row r="5321" spans="1:16">
      <c r="A5321" s="94">
        <v>101167</v>
      </c>
      <c r="B5321" s="87" t="s">
        <v>4368</v>
      </c>
      <c r="C5321" s="12" t="s">
        <v>9</v>
      </c>
      <c r="D5321" s="93">
        <v>81.59</v>
      </c>
      <c r="E5321" s="93">
        <v>11.24</v>
      </c>
      <c r="F5321" s="93">
        <v>68.27</v>
      </c>
      <c r="G5321" s="93">
        <v>2.08</v>
      </c>
      <c r="H5321" s="93">
        <v>0</v>
      </c>
      <c r="N5321" s="88"/>
      <c r="O5321" s="88"/>
      <c r="P5321" s="88"/>
    </row>
    <row r="5322" spans="1:16">
      <c r="A5322" s="94">
        <v>101168</v>
      </c>
      <c r="B5322" s="87" t="s">
        <v>4369</v>
      </c>
      <c r="C5322" s="12" t="s">
        <v>9</v>
      </c>
      <c r="D5322" s="93">
        <v>111.04</v>
      </c>
      <c r="E5322" s="93">
        <v>12.7</v>
      </c>
      <c r="F5322" s="93">
        <v>94.68</v>
      </c>
      <c r="G5322" s="93">
        <v>3.66</v>
      </c>
      <c r="H5322" s="93">
        <v>0</v>
      </c>
      <c r="N5322" s="88"/>
      <c r="O5322" s="88"/>
      <c r="P5322" s="88"/>
    </row>
    <row r="5323" spans="1:16">
      <c r="A5323" s="94">
        <v>101169</v>
      </c>
      <c r="B5323" s="87" t="s">
        <v>4370</v>
      </c>
      <c r="C5323" s="12" t="s">
        <v>9</v>
      </c>
      <c r="D5323" s="93">
        <v>92.76</v>
      </c>
      <c r="E5323" s="93">
        <v>15.11</v>
      </c>
      <c r="F5323" s="93">
        <v>75.11</v>
      </c>
      <c r="G5323" s="93">
        <v>2.5299999999999998</v>
      </c>
      <c r="H5323" s="93">
        <v>0</v>
      </c>
      <c r="N5323" s="88"/>
      <c r="O5323" s="88"/>
      <c r="P5323" s="88"/>
    </row>
    <row r="5324" spans="1:16">
      <c r="A5324" s="94">
        <v>101170</v>
      </c>
      <c r="B5324" s="87" t="s">
        <v>4371</v>
      </c>
      <c r="C5324" s="12" t="s">
        <v>9</v>
      </c>
      <c r="D5324" s="93">
        <v>41.02</v>
      </c>
      <c r="E5324" s="93">
        <v>8.89</v>
      </c>
      <c r="F5324" s="93">
        <v>30.49</v>
      </c>
      <c r="G5324" s="93">
        <v>1.64</v>
      </c>
      <c r="H5324" s="93">
        <v>0</v>
      </c>
      <c r="N5324" s="88"/>
      <c r="O5324" s="88"/>
      <c r="P5324" s="88"/>
    </row>
    <row r="5325" spans="1:16">
      <c r="A5325" s="94">
        <v>101171</v>
      </c>
      <c r="B5325" s="87" t="s">
        <v>4372</v>
      </c>
      <c r="C5325" s="12" t="s">
        <v>9</v>
      </c>
      <c r="D5325" s="93">
        <v>79.069999999999993</v>
      </c>
      <c r="E5325" s="93">
        <v>10.34</v>
      </c>
      <c r="F5325" s="93">
        <v>65.75</v>
      </c>
      <c r="G5325" s="93">
        <v>2.98</v>
      </c>
      <c r="H5325" s="93">
        <v>0</v>
      </c>
      <c r="N5325" s="88"/>
      <c r="O5325" s="88"/>
      <c r="P5325" s="88"/>
    </row>
    <row r="5326" spans="1:16">
      <c r="A5326" s="94">
        <v>101172</v>
      </c>
      <c r="B5326" s="87" t="s">
        <v>4373</v>
      </c>
      <c r="C5326" s="12" t="s">
        <v>9</v>
      </c>
      <c r="D5326" s="93">
        <v>60.91</v>
      </c>
      <c r="E5326" s="93">
        <v>14.41</v>
      </c>
      <c r="F5326" s="93">
        <v>44.36</v>
      </c>
      <c r="G5326" s="93">
        <v>2.11</v>
      </c>
      <c r="H5326" s="93">
        <v>0</v>
      </c>
      <c r="N5326" s="88"/>
      <c r="O5326" s="88"/>
      <c r="P5326" s="88"/>
    </row>
    <row r="5327" spans="1:16">
      <c r="A5327" s="94">
        <v>72947</v>
      </c>
      <c r="B5327" s="87" t="s">
        <v>4374</v>
      </c>
      <c r="C5327" s="12" t="s">
        <v>9</v>
      </c>
      <c r="D5327" s="93">
        <v>16.2</v>
      </c>
      <c r="E5327" s="93">
        <v>0.49</v>
      </c>
      <c r="F5327" s="93">
        <v>15.46</v>
      </c>
      <c r="G5327" s="93">
        <v>0.25</v>
      </c>
      <c r="H5327" s="93">
        <v>0</v>
      </c>
      <c r="N5327" s="88"/>
      <c r="O5327" s="88"/>
      <c r="P5327" s="88"/>
    </row>
    <row r="5328" spans="1:16">
      <c r="A5328" s="94">
        <v>83693</v>
      </c>
      <c r="B5328" s="87" t="s">
        <v>414</v>
      </c>
      <c r="C5328" s="12" t="s">
        <v>9</v>
      </c>
      <c r="D5328" s="93">
        <v>3.9</v>
      </c>
      <c r="E5328" s="93">
        <v>2.67</v>
      </c>
      <c r="F5328" s="93">
        <v>1.23</v>
      </c>
      <c r="G5328" s="93">
        <v>0</v>
      </c>
      <c r="H5328" s="93">
        <v>0</v>
      </c>
      <c r="N5328" s="88"/>
      <c r="O5328" s="88"/>
      <c r="P5328" s="88"/>
    </row>
    <row r="5329" spans="1:16">
      <c r="A5329" s="94">
        <v>95995</v>
      </c>
      <c r="B5329" s="87" t="s">
        <v>4375</v>
      </c>
      <c r="C5329" s="12" t="s">
        <v>5</v>
      </c>
      <c r="D5329" s="93">
        <v>924.76</v>
      </c>
      <c r="E5329" s="93">
        <v>35.229999999999997</v>
      </c>
      <c r="F5329" s="93">
        <v>857.88</v>
      </c>
      <c r="G5329" s="93">
        <v>31.65</v>
      </c>
      <c r="H5329" s="93">
        <v>0</v>
      </c>
      <c r="N5329" s="88"/>
      <c r="O5329" s="88"/>
      <c r="P5329" s="88"/>
    </row>
    <row r="5330" spans="1:16">
      <c r="A5330" s="94">
        <v>95996</v>
      </c>
      <c r="B5330" s="87" t="s">
        <v>4376</v>
      </c>
      <c r="C5330" s="12" t="s">
        <v>5</v>
      </c>
      <c r="D5330" s="93">
        <v>874.27</v>
      </c>
      <c r="E5330" s="93">
        <v>25.15</v>
      </c>
      <c r="F5330" s="93">
        <v>826.43</v>
      </c>
      <c r="G5330" s="93">
        <v>22.69</v>
      </c>
      <c r="H5330" s="93">
        <v>0</v>
      </c>
      <c r="N5330" s="88"/>
      <c r="O5330" s="88"/>
      <c r="P5330" s="88"/>
    </row>
    <row r="5331" spans="1:16">
      <c r="A5331" s="94">
        <v>96001</v>
      </c>
      <c r="B5331" s="87" t="s">
        <v>4377</v>
      </c>
      <c r="C5331" s="12" t="s">
        <v>9</v>
      </c>
      <c r="D5331" s="93">
        <v>5.24</v>
      </c>
      <c r="E5331" s="93">
        <v>0.81</v>
      </c>
      <c r="F5331" s="93">
        <v>0.78</v>
      </c>
      <c r="G5331" s="93">
        <v>3.65</v>
      </c>
      <c r="H5331" s="93">
        <v>0</v>
      </c>
      <c r="N5331" s="88"/>
      <c r="O5331" s="88"/>
      <c r="P5331" s="88"/>
    </row>
    <row r="5332" spans="1:16">
      <c r="A5332" s="94">
        <v>96393</v>
      </c>
      <c r="B5332" s="87" t="s">
        <v>4378</v>
      </c>
      <c r="C5332" s="12" t="s">
        <v>5</v>
      </c>
      <c r="D5332" s="93">
        <v>132.80000000000001</v>
      </c>
      <c r="E5332" s="93">
        <v>1.3</v>
      </c>
      <c r="F5332" s="93">
        <v>129.85</v>
      </c>
      <c r="G5332" s="93">
        <v>1.33</v>
      </c>
      <c r="H5332" s="93">
        <v>0</v>
      </c>
      <c r="N5332" s="88"/>
      <c r="O5332" s="88"/>
      <c r="P5332" s="88"/>
    </row>
    <row r="5333" spans="1:16">
      <c r="A5333" s="94">
        <v>96394</v>
      </c>
      <c r="B5333" s="87" t="s">
        <v>4379</v>
      </c>
      <c r="C5333" s="12" t="s">
        <v>5</v>
      </c>
      <c r="D5333" s="93">
        <v>170.72</v>
      </c>
      <c r="E5333" s="93">
        <v>1.3</v>
      </c>
      <c r="F5333" s="93">
        <v>167.79</v>
      </c>
      <c r="G5333" s="93">
        <v>1.31</v>
      </c>
      <c r="H5333" s="93">
        <v>0</v>
      </c>
      <c r="N5333" s="88"/>
      <c r="O5333" s="88"/>
      <c r="P5333" s="88"/>
    </row>
    <row r="5334" spans="1:16">
      <c r="A5334" s="94">
        <v>96395</v>
      </c>
      <c r="B5334" s="87" t="s">
        <v>4380</v>
      </c>
      <c r="C5334" s="12" t="s">
        <v>5</v>
      </c>
      <c r="D5334" s="93">
        <v>224.79</v>
      </c>
      <c r="E5334" s="93">
        <v>2.13</v>
      </c>
      <c r="F5334" s="93">
        <v>220.66</v>
      </c>
      <c r="G5334" s="93">
        <v>1.77</v>
      </c>
      <c r="H5334" s="93">
        <v>0</v>
      </c>
      <c r="N5334" s="88"/>
      <c r="O5334" s="88"/>
      <c r="P5334" s="88"/>
    </row>
    <row r="5335" spans="1:16">
      <c r="A5335" s="94">
        <v>100624</v>
      </c>
      <c r="B5335" s="87" t="s">
        <v>4381</v>
      </c>
      <c r="C5335" s="12" t="s">
        <v>5</v>
      </c>
      <c r="D5335" s="93">
        <v>863.15</v>
      </c>
      <c r="E5335" s="93">
        <v>31.88</v>
      </c>
      <c r="F5335" s="93">
        <v>807.5</v>
      </c>
      <c r="G5335" s="93">
        <v>23.77</v>
      </c>
      <c r="H5335" s="93">
        <v>0</v>
      </c>
      <c r="N5335" s="88"/>
      <c r="O5335" s="88"/>
      <c r="P5335" s="88"/>
    </row>
    <row r="5336" spans="1:16">
      <c r="A5336" s="94">
        <v>100625</v>
      </c>
      <c r="B5336" s="87" t="s">
        <v>4382</v>
      </c>
      <c r="C5336" s="12" t="s">
        <v>5</v>
      </c>
      <c r="D5336" s="93">
        <v>765.43</v>
      </c>
      <c r="E5336" s="93">
        <v>25.74</v>
      </c>
      <c r="F5336" s="93">
        <v>721.37</v>
      </c>
      <c r="G5336" s="93">
        <v>18.32</v>
      </c>
      <c r="H5336" s="93">
        <v>0</v>
      </c>
      <c r="N5336" s="88"/>
      <c r="O5336" s="88"/>
      <c r="P5336" s="88"/>
    </row>
    <row r="5337" spans="1:16">
      <c r="A5337" s="94">
        <v>101020</v>
      </c>
      <c r="B5337" s="87" t="s">
        <v>4383</v>
      </c>
      <c r="C5337" s="12" t="s">
        <v>404</v>
      </c>
      <c r="D5337" s="93">
        <v>333.07</v>
      </c>
      <c r="E5337" s="93">
        <v>3.23</v>
      </c>
      <c r="F5337" s="93">
        <v>324.74</v>
      </c>
      <c r="G5337" s="93">
        <v>5.0999999999999996</v>
      </c>
      <c r="H5337" s="93">
        <v>0</v>
      </c>
      <c r="N5337" s="88"/>
      <c r="O5337" s="88"/>
      <c r="P5337" s="88"/>
    </row>
    <row r="5338" spans="1:16">
      <c r="A5338" s="94">
        <v>101021</v>
      </c>
      <c r="B5338" s="87" t="s">
        <v>4384</v>
      </c>
      <c r="C5338" s="12" t="s">
        <v>404</v>
      </c>
      <c r="D5338" s="93">
        <v>342.56</v>
      </c>
      <c r="E5338" s="93">
        <v>3.22</v>
      </c>
      <c r="F5338" s="93">
        <v>334.25</v>
      </c>
      <c r="G5338" s="93">
        <v>5.09</v>
      </c>
      <c r="H5338" s="93">
        <v>0</v>
      </c>
      <c r="N5338" s="88"/>
      <c r="O5338" s="88"/>
      <c r="P5338" s="88"/>
    </row>
    <row r="5339" spans="1:16">
      <c r="A5339" s="94">
        <v>101022</v>
      </c>
      <c r="B5339" s="87" t="s">
        <v>4385</v>
      </c>
      <c r="C5339" s="12" t="s">
        <v>404</v>
      </c>
      <c r="D5339" s="93">
        <v>297.38</v>
      </c>
      <c r="E5339" s="93">
        <v>1.29</v>
      </c>
      <c r="F5339" s="93">
        <v>290.67</v>
      </c>
      <c r="G5339" s="93">
        <v>3.45</v>
      </c>
      <c r="H5339" s="93">
        <v>0</v>
      </c>
      <c r="N5339" s="88"/>
      <c r="O5339" s="88"/>
      <c r="P5339" s="88"/>
    </row>
    <row r="5340" spans="1:16">
      <c r="A5340" s="94">
        <v>101023</v>
      </c>
      <c r="B5340" s="87" t="s">
        <v>4386</v>
      </c>
      <c r="C5340" s="12" t="s">
        <v>404</v>
      </c>
      <c r="D5340" s="93">
        <v>308.17</v>
      </c>
      <c r="E5340" s="93">
        <v>1.28</v>
      </c>
      <c r="F5340" s="93">
        <v>301.48</v>
      </c>
      <c r="G5340" s="93">
        <v>3.44</v>
      </c>
      <c r="H5340" s="93">
        <v>0</v>
      </c>
      <c r="N5340" s="88"/>
      <c r="O5340" s="88"/>
      <c r="P5340" s="88"/>
    </row>
    <row r="5341" spans="1:16">
      <c r="A5341" s="94">
        <v>101024</v>
      </c>
      <c r="B5341" s="87" t="s">
        <v>4387</v>
      </c>
      <c r="C5341" s="12" t="s">
        <v>404</v>
      </c>
      <c r="D5341" s="93">
        <v>301.47000000000003</v>
      </c>
      <c r="E5341" s="93">
        <v>1.21</v>
      </c>
      <c r="F5341" s="93">
        <v>290.35000000000002</v>
      </c>
      <c r="G5341" s="93">
        <v>7.27</v>
      </c>
      <c r="H5341" s="93">
        <v>0</v>
      </c>
      <c r="N5341" s="88"/>
      <c r="O5341" s="88"/>
      <c r="P5341" s="88"/>
    </row>
    <row r="5342" spans="1:16">
      <c r="A5342" s="94">
        <v>101025</v>
      </c>
      <c r="B5342" s="87" t="s">
        <v>4388</v>
      </c>
      <c r="C5342" s="12" t="s">
        <v>404</v>
      </c>
      <c r="D5342" s="93">
        <v>310.95</v>
      </c>
      <c r="E5342" s="93">
        <v>1.2</v>
      </c>
      <c r="F5342" s="93">
        <v>299.85000000000002</v>
      </c>
      <c r="G5342" s="93">
        <v>7.26</v>
      </c>
      <c r="H5342" s="93">
        <v>0</v>
      </c>
      <c r="N5342" s="88"/>
      <c r="O5342" s="88"/>
      <c r="P5342" s="88"/>
    </row>
    <row r="5343" spans="1:16">
      <c r="A5343" s="94">
        <v>101026</v>
      </c>
      <c r="B5343" s="87" t="s">
        <v>4389</v>
      </c>
      <c r="C5343" s="12" t="s">
        <v>404</v>
      </c>
      <c r="D5343" s="93">
        <v>296.52999999999997</v>
      </c>
      <c r="E5343" s="93">
        <v>4.3</v>
      </c>
      <c r="F5343" s="93">
        <v>290.35000000000002</v>
      </c>
      <c r="G5343" s="93">
        <v>1.88</v>
      </c>
      <c r="H5343" s="93">
        <v>0</v>
      </c>
      <c r="N5343" s="88"/>
      <c r="O5343" s="88"/>
      <c r="P5343" s="88"/>
    </row>
    <row r="5344" spans="1:16">
      <c r="A5344" s="94">
        <v>101027</v>
      </c>
      <c r="B5344" s="87" t="s">
        <v>4390</v>
      </c>
      <c r="C5344" s="12" t="s">
        <v>404</v>
      </c>
      <c r="D5344" s="93">
        <v>330.39</v>
      </c>
      <c r="E5344" s="93">
        <v>4.29</v>
      </c>
      <c r="F5344" s="93">
        <v>324.23</v>
      </c>
      <c r="G5344" s="93">
        <v>1.87</v>
      </c>
      <c r="H5344" s="93">
        <v>0</v>
      </c>
      <c r="N5344" s="88"/>
      <c r="O5344" s="88"/>
      <c r="P5344" s="88"/>
    </row>
    <row r="5345" spans="1:16">
      <c r="A5345" s="94">
        <v>88411</v>
      </c>
      <c r="B5345" s="87" t="s">
        <v>4391</v>
      </c>
      <c r="C5345" s="12" t="s">
        <v>9</v>
      </c>
      <c r="D5345" s="93">
        <v>2.39</v>
      </c>
      <c r="E5345" s="93">
        <v>0.94</v>
      </c>
      <c r="F5345" s="93">
        <v>1.45</v>
      </c>
      <c r="G5345" s="93">
        <v>0</v>
      </c>
      <c r="H5345" s="93">
        <v>0</v>
      </c>
      <c r="N5345" s="88"/>
      <c r="O5345" s="88"/>
      <c r="P5345" s="88"/>
    </row>
    <row r="5346" spans="1:16">
      <c r="A5346" s="94">
        <v>88412</v>
      </c>
      <c r="B5346" s="87" t="s">
        <v>4392</v>
      </c>
      <c r="C5346" s="12" t="s">
        <v>9</v>
      </c>
      <c r="D5346" s="93">
        <v>1.8</v>
      </c>
      <c r="E5346" s="93">
        <v>0.49</v>
      </c>
      <c r="F5346" s="93">
        <v>1.31</v>
      </c>
      <c r="G5346" s="93">
        <v>0</v>
      </c>
      <c r="H5346" s="93">
        <v>0</v>
      </c>
      <c r="N5346" s="88"/>
      <c r="O5346" s="88"/>
      <c r="P5346" s="88"/>
    </row>
    <row r="5347" spans="1:16">
      <c r="A5347" s="94">
        <v>88413</v>
      </c>
      <c r="B5347" s="87" t="s">
        <v>415</v>
      </c>
      <c r="C5347" s="12" t="s">
        <v>9</v>
      </c>
      <c r="D5347" s="93">
        <v>3.57</v>
      </c>
      <c r="E5347" s="93">
        <v>1.84</v>
      </c>
      <c r="F5347" s="93">
        <v>1.73</v>
      </c>
      <c r="G5347" s="93">
        <v>0</v>
      </c>
      <c r="H5347" s="93">
        <v>0</v>
      </c>
      <c r="N5347" s="88"/>
      <c r="O5347" s="88"/>
      <c r="P5347" s="88"/>
    </row>
    <row r="5348" spans="1:16">
      <c r="A5348" s="94">
        <v>88414</v>
      </c>
      <c r="B5348" s="87" t="s">
        <v>416</v>
      </c>
      <c r="C5348" s="12" t="s">
        <v>9</v>
      </c>
      <c r="D5348" s="93">
        <v>3.95</v>
      </c>
      <c r="E5348" s="93">
        <v>2.11</v>
      </c>
      <c r="F5348" s="93">
        <v>1.84</v>
      </c>
      <c r="G5348" s="93">
        <v>0</v>
      </c>
      <c r="H5348" s="93">
        <v>0</v>
      </c>
      <c r="N5348" s="88"/>
      <c r="O5348" s="88"/>
      <c r="P5348" s="88"/>
    </row>
    <row r="5349" spans="1:16">
      <c r="A5349" s="94">
        <v>88415</v>
      </c>
      <c r="B5349" s="87" t="s">
        <v>4393</v>
      </c>
      <c r="C5349" s="12" t="s">
        <v>9</v>
      </c>
      <c r="D5349" s="93">
        <v>2.58</v>
      </c>
      <c r="E5349" s="93">
        <v>1.07</v>
      </c>
      <c r="F5349" s="93">
        <v>1.51</v>
      </c>
      <c r="G5349" s="93">
        <v>0</v>
      </c>
      <c r="H5349" s="93">
        <v>0</v>
      </c>
      <c r="N5349" s="88"/>
      <c r="O5349" s="88"/>
      <c r="P5349" s="88"/>
    </row>
    <row r="5350" spans="1:16">
      <c r="A5350" s="94">
        <v>88416</v>
      </c>
      <c r="B5350" s="87" t="s">
        <v>4394</v>
      </c>
      <c r="C5350" s="12" t="s">
        <v>9</v>
      </c>
      <c r="D5350" s="93">
        <v>17.03</v>
      </c>
      <c r="E5350" s="93">
        <v>2.96</v>
      </c>
      <c r="F5350" s="93">
        <v>14.07</v>
      </c>
      <c r="G5350" s="93">
        <v>0</v>
      </c>
      <c r="H5350" s="93">
        <v>0</v>
      </c>
      <c r="N5350" s="88"/>
      <c r="O5350" s="88"/>
      <c r="P5350" s="88"/>
    </row>
    <row r="5351" spans="1:16">
      <c r="A5351" s="94">
        <v>88417</v>
      </c>
      <c r="B5351" s="87" t="s">
        <v>4395</v>
      </c>
      <c r="C5351" s="12" t="s">
        <v>9</v>
      </c>
      <c r="D5351" s="93">
        <v>14.94</v>
      </c>
      <c r="E5351" s="93">
        <v>1.4</v>
      </c>
      <c r="F5351" s="93">
        <v>13.54</v>
      </c>
      <c r="G5351" s="93">
        <v>0</v>
      </c>
      <c r="H5351" s="93">
        <v>0</v>
      </c>
      <c r="N5351" s="88"/>
      <c r="O5351" s="88"/>
      <c r="P5351" s="88"/>
    </row>
    <row r="5352" spans="1:16">
      <c r="A5352" s="94">
        <v>88420</v>
      </c>
      <c r="B5352" s="87" t="s">
        <v>4396</v>
      </c>
      <c r="C5352" s="12" t="s">
        <v>9</v>
      </c>
      <c r="D5352" s="93">
        <v>21.26</v>
      </c>
      <c r="E5352" s="93">
        <v>6.12</v>
      </c>
      <c r="F5352" s="93">
        <v>15.14</v>
      </c>
      <c r="G5352" s="93">
        <v>0</v>
      </c>
      <c r="H5352" s="93">
        <v>0</v>
      </c>
      <c r="N5352" s="88"/>
      <c r="O5352" s="88"/>
      <c r="P5352" s="88"/>
    </row>
    <row r="5353" spans="1:16">
      <c r="A5353" s="94">
        <v>88421</v>
      </c>
      <c r="B5353" s="87" t="s">
        <v>4397</v>
      </c>
      <c r="C5353" s="12" t="s">
        <v>9</v>
      </c>
      <c r="D5353" s="93">
        <v>22.6</v>
      </c>
      <c r="E5353" s="93">
        <v>7.13</v>
      </c>
      <c r="F5353" s="93">
        <v>15.47</v>
      </c>
      <c r="G5353" s="93">
        <v>0</v>
      </c>
      <c r="H5353" s="93">
        <v>0</v>
      </c>
      <c r="N5353" s="88"/>
      <c r="O5353" s="88"/>
      <c r="P5353" s="88"/>
    </row>
    <row r="5354" spans="1:16">
      <c r="A5354" s="94">
        <v>88423</v>
      </c>
      <c r="B5354" s="87" t="s">
        <v>417</v>
      </c>
      <c r="C5354" s="12" t="s">
        <v>9</v>
      </c>
      <c r="D5354" s="93">
        <v>17.690000000000001</v>
      </c>
      <c r="E5354" s="93">
        <v>3.45</v>
      </c>
      <c r="F5354" s="93">
        <v>14.24</v>
      </c>
      <c r="G5354" s="93">
        <v>0</v>
      </c>
      <c r="H5354" s="93">
        <v>0</v>
      </c>
      <c r="N5354" s="88"/>
      <c r="O5354" s="88"/>
      <c r="P5354" s="88"/>
    </row>
    <row r="5355" spans="1:16">
      <c r="A5355" s="94">
        <v>88424</v>
      </c>
      <c r="B5355" s="87" t="s">
        <v>4398</v>
      </c>
      <c r="C5355" s="12" t="s">
        <v>9</v>
      </c>
      <c r="D5355" s="93">
        <v>19.91</v>
      </c>
      <c r="E5355" s="93">
        <v>5.1100000000000003</v>
      </c>
      <c r="F5355" s="93">
        <v>14.8</v>
      </c>
      <c r="G5355" s="93">
        <v>0</v>
      </c>
      <c r="H5355" s="93">
        <v>0</v>
      </c>
      <c r="N5355" s="88"/>
      <c r="O5355" s="88"/>
      <c r="P5355" s="88"/>
    </row>
    <row r="5356" spans="1:16">
      <c r="A5356" s="94">
        <v>88426</v>
      </c>
      <c r="B5356" s="87" t="s">
        <v>4399</v>
      </c>
      <c r="C5356" s="12" t="s">
        <v>9</v>
      </c>
      <c r="D5356" s="93">
        <v>16.29</v>
      </c>
      <c r="E5356" s="93">
        <v>2.41</v>
      </c>
      <c r="F5356" s="93">
        <v>13.88</v>
      </c>
      <c r="G5356" s="93">
        <v>0</v>
      </c>
      <c r="H5356" s="93">
        <v>0</v>
      </c>
      <c r="N5356" s="88"/>
      <c r="O5356" s="88"/>
      <c r="P5356" s="88"/>
    </row>
    <row r="5357" spans="1:16">
      <c r="A5357" s="94">
        <v>88428</v>
      </c>
      <c r="B5357" s="87" t="s">
        <v>4400</v>
      </c>
      <c r="C5357" s="12" t="s">
        <v>9</v>
      </c>
      <c r="D5357" s="93">
        <v>27.19</v>
      </c>
      <c r="E5357" s="93">
        <v>10.55</v>
      </c>
      <c r="F5357" s="93">
        <v>16.64</v>
      </c>
      <c r="G5357" s="93">
        <v>0</v>
      </c>
      <c r="H5357" s="93">
        <v>0</v>
      </c>
      <c r="N5357" s="88"/>
      <c r="O5357" s="88"/>
      <c r="P5357" s="88"/>
    </row>
    <row r="5358" spans="1:16">
      <c r="A5358" s="94">
        <v>88429</v>
      </c>
      <c r="B5358" s="87" t="s">
        <v>4401</v>
      </c>
      <c r="C5358" s="12" t="s">
        <v>9</v>
      </c>
      <c r="D5358" s="93">
        <v>29.52</v>
      </c>
      <c r="E5358" s="93">
        <v>12.28</v>
      </c>
      <c r="F5358" s="93">
        <v>17.239999999999998</v>
      </c>
      <c r="G5358" s="93">
        <v>0</v>
      </c>
      <c r="H5358" s="93">
        <v>0</v>
      </c>
      <c r="N5358" s="88"/>
      <c r="O5358" s="88"/>
      <c r="P5358" s="88"/>
    </row>
    <row r="5359" spans="1:16">
      <c r="A5359" s="94">
        <v>88431</v>
      </c>
      <c r="B5359" s="87" t="s">
        <v>418</v>
      </c>
      <c r="C5359" s="12" t="s">
        <v>9</v>
      </c>
      <c r="D5359" s="93">
        <v>21.05</v>
      </c>
      <c r="E5359" s="93">
        <v>5.97</v>
      </c>
      <c r="F5359" s="93">
        <v>15.08</v>
      </c>
      <c r="G5359" s="93">
        <v>0</v>
      </c>
      <c r="H5359" s="93">
        <v>0</v>
      </c>
      <c r="N5359" s="88"/>
      <c r="O5359" s="88"/>
      <c r="P5359" s="88"/>
    </row>
    <row r="5360" spans="1:16">
      <c r="A5360" s="94">
        <v>88432</v>
      </c>
      <c r="B5360" s="87" t="s">
        <v>419</v>
      </c>
      <c r="C5360" s="12" t="s">
        <v>9</v>
      </c>
      <c r="D5360" s="93">
        <v>15.14</v>
      </c>
      <c r="E5360" s="93">
        <v>7.37</v>
      </c>
      <c r="F5360" s="93">
        <v>7.77</v>
      </c>
      <c r="G5360" s="93">
        <v>0</v>
      </c>
      <c r="H5360" s="93">
        <v>0</v>
      </c>
      <c r="N5360" s="88"/>
      <c r="O5360" s="88"/>
      <c r="P5360" s="88"/>
    </row>
    <row r="5361" spans="1:16">
      <c r="A5361" s="94">
        <v>88482</v>
      </c>
      <c r="B5361" s="87" t="s">
        <v>420</v>
      </c>
      <c r="C5361" s="12" t="s">
        <v>9</v>
      </c>
      <c r="D5361" s="93">
        <v>3.18</v>
      </c>
      <c r="E5361" s="93">
        <v>0.74</v>
      </c>
      <c r="F5361" s="93">
        <v>2.44</v>
      </c>
      <c r="G5361" s="93">
        <v>0</v>
      </c>
      <c r="H5361" s="93">
        <v>0</v>
      </c>
      <c r="N5361" s="88"/>
      <c r="O5361" s="88"/>
      <c r="P5361" s="88"/>
    </row>
    <row r="5362" spans="1:16">
      <c r="A5362" s="94">
        <v>88483</v>
      </c>
      <c r="B5362" s="87" t="s">
        <v>421</v>
      </c>
      <c r="C5362" s="12" t="s">
        <v>9</v>
      </c>
      <c r="D5362" s="93">
        <v>2.94</v>
      </c>
      <c r="E5362" s="93">
        <v>0.56000000000000005</v>
      </c>
      <c r="F5362" s="93">
        <v>2.38</v>
      </c>
      <c r="G5362" s="93">
        <v>0</v>
      </c>
      <c r="H5362" s="93">
        <v>0</v>
      </c>
      <c r="N5362" s="88"/>
      <c r="O5362" s="88"/>
      <c r="P5362" s="88"/>
    </row>
    <row r="5363" spans="1:16">
      <c r="A5363" s="94">
        <v>88484</v>
      </c>
      <c r="B5363" s="87" t="s">
        <v>422</v>
      </c>
      <c r="C5363" s="12" t="s">
        <v>9</v>
      </c>
      <c r="D5363" s="93">
        <v>2.58</v>
      </c>
      <c r="E5363" s="93">
        <v>1.07</v>
      </c>
      <c r="F5363" s="93">
        <v>1.51</v>
      </c>
      <c r="G5363" s="93">
        <v>0</v>
      </c>
      <c r="H5363" s="93">
        <v>0</v>
      </c>
      <c r="N5363" s="88"/>
      <c r="O5363" s="88"/>
      <c r="P5363" s="88"/>
    </row>
    <row r="5364" spans="1:16">
      <c r="A5364" s="94">
        <v>88485</v>
      </c>
      <c r="B5364" s="87" t="s">
        <v>423</v>
      </c>
      <c r="C5364" s="12" t="s">
        <v>9</v>
      </c>
      <c r="D5364" s="93">
        <v>2.2400000000000002</v>
      </c>
      <c r="E5364" s="93">
        <v>0.81</v>
      </c>
      <c r="F5364" s="93">
        <v>1.43</v>
      </c>
      <c r="G5364" s="93">
        <v>0</v>
      </c>
      <c r="H5364" s="93">
        <v>0</v>
      </c>
      <c r="N5364" s="88"/>
      <c r="O5364" s="88"/>
      <c r="P5364" s="88"/>
    </row>
    <row r="5365" spans="1:16">
      <c r="A5365" s="94">
        <v>88486</v>
      </c>
      <c r="B5365" s="87" t="s">
        <v>424</v>
      </c>
      <c r="C5365" s="12" t="s">
        <v>9</v>
      </c>
      <c r="D5365" s="93">
        <v>11.01</v>
      </c>
      <c r="E5365" s="93">
        <v>3.54</v>
      </c>
      <c r="F5365" s="93">
        <v>7.47</v>
      </c>
      <c r="G5365" s="93">
        <v>0</v>
      </c>
      <c r="H5365" s="93">
        <v>0</v>
      </c>
      <c r="N5365" s="88"/>
      <c r="O5365" s="88"/>
      <c r="P5365" s="88"/>
    </row>
    <row r="5366" spans="1:16">
      <c r="A5366" s="94">
        <v>88487</v>
      </c>
      <c r="B5366" s="87" t="s">
        <v>4402</v>
      </c>
      <c r="C5366" s="12" t="s">
        <v>9</v>
      </c>
      <c r="D5366" s="93">
        <v>9.89</v>
      </c>
      <c r="E5366" s="93">
        <v>2.72</v>
      </c>
      <c r="F5366" s="93">
        <v>7.17</v>
      </c>
      <c r="G5366" s="93">
        <v>0</v>
      </c>
      <c r="H5366" s="93">
        <v>0</v>
      </c>
      <c r="N5366" s="88"/>
      <c r="O5366" s="88"/>
      <c r="P5366" s="88"/>
    </row>
    <row r="5367" spans="1:16">
      <c r="A5367" s="94">
        <v>88488</v>
      </c>
      <c r="B5367" s="87" t="s">
        <v>4403</v>
      </c>
      <c r="C5367" s="12" t="s">
        <v>9</v>
      </c>
      <c r="D5367" s="93">
        <v>14.08</v>
      </c>
      <c r="E5367" s="93">
        <v>5.1100000000000003</v>
      </c>
      <c r="F5367" s="93">
        <v>8.9700000000000006</v>
      </c>
      <c r="G5367" s="93">
        <v>0</v>
      </c>
      <c r="H5367" s="93">
        <v>0</v>
      </c>
      <c r="N5367" s="88"/>
      <c r="O5367" s="88"/>
      <c r="P5367" s="88"/>
    </row>
    <row r="5368" spans="1:16">
      <c r="A5368" s="94">
        <v>88489</v>
      </c>
      <c r="B5368" s="87" t="s">
        <v>425</v>
      </c>
      <c r="C5368" s="12" t="s">
        <v>9</v>
      </c>
      <c r="D5368" s="93">
        <v>12.49</v>
      </c>
      <c r="E5368" s="93">
        <v>3.93</v>
      </c>
      <c r="F5368" s="93">
        <v>8.56</v>
      </c>
      <c r="G5368" s="93">
        <v>0</v>
      </c>
      <c r="H5368" s="93">
        <v>0</v>
      </c>
      <c r="N5368" s="88"/>
      <c r="O5368" s="88"/>
      <c r="P5368" s="88"/>
    </row>
    <row r="5369" spans="1:16">
      <c r="A5369" s="94">
        <v>88490</v>
      </c>
      <c r="B5369" s="87" t="s">
        <v>4404</v>
      </c>
      <c r="C5369" s="12" t="s">
        <v>9</v>
      </c>
      <c r="D5369" s="93">
        <v>8.14</v>
      </c>
      <c r="E5369" s="93">
        <v>0.84</v>
      </c>
      <c r="F5369" s="93">
        <v>7.3</v>
      </c>
      <c r="G5369" s="93">
        <v>0</v>
      </c>
      <c r="H5369" s="93">
        <v>0</v>
      </c>
      <c r="N5369" s="88"/>
      <c r="O5369" s="88"/>
      <c r="P5369" s="88"/>
    </row>
    <row r="5370" spans="1:16">
      <c r="A5370" s="94">
        <v>88491</v>
      </c>
      <c r="B5370" s="87" t="s">
        <v>4405</v>
      </c>
      <c r="C5370" s="12" t="s">
        <v>9</v>
      </c>
      <c r="D5370" s="93">
        <v>7.89</v>
      </c>
      <c r="E5370" s="93">
        <v>0.64</v>
      </c>
      <c r="F5370" s="93">
        <v>7.25</v>
      </c>
      <c r="G5370" s="93">
        <v>0</v>
      </c>
      <c r="H5370" s="93">
        <v>0</v>
      </c>
      <c r="N5370" s="88"/>
      <c r="O5370" s="88"/>
      <c r="P5370" s="88"/>
    </row>
    <row r="5371" spans="1:16">
      <c r="A5371" s="94">
        <v>88492</v>
      </c>
      <c r="B5371" s="87" t="s">
        <v>4406</v>
      </c>
      <c r="C5371" s="12" t="s">
        <v>9</v>
      </c>
      <c r="D5371" s="93">
        <v>9.76</v>
      </c>
      <c r="E5371" s="93">
        <v>1.22</v>
      </c>
      <c r="F5371" s="93">
        <v>8.5299999999999994</v>
      </c>
      <c r="G5371" s="93">
        <v>0.01</v>
      </c>
      <c r="H5371" s="93">
        <v>0</v>
      </c>
      <c r="N5371" s="88"/>
      <c r="O5371" s="88"/>
      <c r="P5371" s="88"/>
    </row>
    <row r="5372" spans="1:16">
      <c r="A5372" s="94">
        <v>88493</v>
      </c>
      <c r="B5372" s="87" t="s">
        <v>4407</v>
      </c>
      <c r="C5372" s="12" t="s">
        <v>9</v>
      </c>
      <c r="D5372" s="93">
        <v>9.36</v>
      </c>
      <c r="E5372" s="93">
        <v>0.93</v>
      </c>
      <c r="F5372" s="93">
        <v>8.43</v>
      </c>
      <c r="G5372" s="93">
        <v>0</v>
      </c>
      <c r="H5372" s="93">
        <v>0</v>
      </c>
      <c r="N5372" s="88"/>
      <c r="O5372" s="88"/>
      <c r="P5372" s="88"/>
    </row>
    <row r="5373" spans="1:16">
      <c r="A5373" s="94">
        <v>88494</v>
      </c>
      <c r="B5373" s="87" t="s">
        <v>426</v>
      </c>
      <c r="C5373" s="12" t="s">
        <v>9</v>
      </c>
      <c r="D5373" s="93">
        <v>15.91</v>
      </c>
      <c r="E5373" s="93">
        <v>10.58</v>
      </c>
      <c r="F5373" s="93">
        <v>5.33</v>
      </c>
      <c r="G5373" s="93">
        <v>0</v>
      </c>
      <c r="H5373" s="93">
        <v>0</v>
      </c>
      <c r="N5373" s="88"/>
      <c r="O5373" s="88"/>
      <c r="P5373" s="88"/>
    </row>
    <row r="5374" spans="1:16">
      <c r="A5374" s="94">
        <v>88495</v>
      </c>
      <c r="B5374" s="87" t="s">
        <v>427</v>
      </c>
      <c r="C5374" s="12" t="s">
        <v>9</v>
      </c>
      <c r="D5374" s="93">
        <v>8.2799999999999994</v>
      </c>
      <c r="E5374" s="93">
        <v>4.93</v>
      </c>
      <c r="F5374" s="93">
        <v>3.35</v>
      </c>
      <c r="G5374" s="93">
        <v>0</v>
      </c>
      <c r="H5374" s="93">
        <v>0</v>
      </c>
      <c r="N5374" s="88"/>
      <c r="O5374" s="88"/>
      <c r="P5374" s="88"/>
    </row>
    <row r="5375" spans="1:16">
      <c r="A5375" s="94">
        <v>88496</v>
      </c>
      <c r="B5375" s="87" t="s">
        <v>428</v>
      </c>
      <c r="C5375" s="12" t="s">
        <v>9</v>
      </c>
      <c r="D5375" s="93">
        <v>21.5</v>
      </c>
      <c r="E5375" s="93">
        <v>14.1</v>
      </c>
      <c r="F5375" s="93">
        <v>7.4</v>
      </c>
      <c r="G5375" s="93">
        <v>0</v>
      </c>
      <c r="H5375" s="93">
        <v>0</v>
      </c>
      <c r="N5375" s="88"/>
      <c r="O5375" s="88"/>
      <c r="P5375" s="88"/>
    </row>
    <row r="5376" spans="1:16">
      <c r="A5376" s="94">
        <v>88497</v>
      </c>
      <c r="B5376" s="87" t="s">
        <v>4408</v>
      </c>
      <c r="C5376" s="12" t="s">
        <v>9</v>
      </c>
      <c r="D5376" s="93">
        <v>11.32</v>
      </c>
      <c r="E5376" s="93">
        <v>6.56</v>
      </c>
      <c r="F5376" s="93">
        <v>4.76</v>
      </c>
      <c r="G5376" s="93">
        <v>0</v>
      </c>
      <c r="H5376" s="93">
        <v>0</v>
      </c>
      <c r="N5376" s="88"/>
      <c r="O5376" s="88"/>
      <c r="P5376" s="88"/>
    </row>
    <row r="5377" spans="1:16">
      <c r="A5377" s="94">
        <v>95305</v>
      </c>
      <c r="B5377" s="87" t="s">
        <v>429</v>
      </c>
      <c r="C5377" s="12" t="s">
        <v>9</v>
      </c>
      <c r="D5377" s="93">
        <v>12.97</v>
      </c>
      <c r="E5377" s="93">
        <v>3.94</v>
      </c>
      <c r="F5377" s="93">
        <v>9.0299999999999994</v>
      </c>
      <c r="G5377" s="93">
        <v>0</v>
      </c>
      <c r="H5377" s="93">
        <v>0</v>
      </c>
      <c r="N5377" s="88"/>
      <c r="O5377" s="88"/>
      <c r="P5377" s="88"/>
    </row>
    <row r="5378" spans="1:16">
      <c r="A5378" s="94">
        <v>95306</v>
      </c>
      <c r="B5378" s="87" t="s">
        <v>430</v>
      </c>
      <c r="C5378" s="12" t="s">
        <v>9</v>
      </c>
      <c r="D5378" s="93">
        <v>14.99</v>
      </c>
      <c r="E5378" s="93">
        <v>5.44</v>
      </c>
      <c r="F5378" s="93">
        <v>9.5500000000000007</v>
      </c>
      <c r="G5378" s="93">
        <v>0</v>
      </c>
      <c r="H5378" s="93">
        <v>0</v>
      </c>
      <c r="N5378" s="88"/>
      <c r="O5378" s="88"/>
      <c r="P5378" s="88"/>
    </row>
    <row r="5379" spans="1:16">
      <c r="A5379" s="94">
        <v>95622</v>
      </c>
      <c r="B5379" s="87" t="s">
        <v>431</v>
      </c>
      <c r="C5379" s="12" t="s">
        <v>9</v>
      </c>
      <c r="D5379" s="93">
        <v>12.54</v>
      </c>
      <c r="E5379" s="93">
        <v>6.09</v>
      </c>
      <c r="F5379" s="93">
        <v>6.45</v>
      </c>
      <c r="G5379" s="93">
        <v>0</v>
      </c>
      <c r="H5379" s="93">
        <v>0</v>
      </c>
      <c r="N5379" s="88"/>
      <c r="O5379" s="88"/>
      <c r="P5379" s="88"/>
    </row>
    <row r="5380" spans="1:16">
      <c r="A5380" s="94">
        <v>95623</v>
      </c>
      <c r="B5380" s="87" t="s">
        <v>432</v>
      </c>
      <c r="C5380" s="12" t="s">
        <v>9</v>
      </c>
      <c r="D5380" s="93">
        <v>9.68</v>
      </c>
      <c r="E5380" s="93">
        <v>3.96</v>
      </c>
      <c r="F5380" s="93">
        <v>5.72</v>
      </c>
      <c r="G5380" s="93">
        <v>0</v>
      </c>
      <c r="H5380" s="93">
        <v>0</v>
      </c>
      <c r="N5380" s="88"/>
      <c r="O5380" s="88"/>
      <c r="P5380" s="88"/>
    </row>
    <row r="5381" spans="1:16">
      <c r="A5381" s="94">
        <v>95624</v>
      </c>
      <c r="B5381" s="87" t="s">
        <v>4409</v>
      </c>
      <c r="C5381" s="12" t="s">
        <v>9</v>
      </c>
      <c r="D5381" s="93">
        <v>18.36</v>
      </c>
      <c r="E5381" s="93">
        <v>10.43</v>
      </c>
      <c r="F5381" s="93">
        <v>7.93</v>
      </c>
      <c r="G5381" s="93">
        <v>0</v>
      </c>
      <c r="H5381" s="93">
        <v>0</v>
      </c>
      <c r="N5381" s="88"/>
      <c r="O5381" s="88"/>
      <c r="P5381" s="88"/>
    </row>
    <row r="5382" spans="1:16">
      <c r="A5382" s="94">
        <v>95625</v>
      </c>
      <c r="B5382" s="87" t="s">
        <v>4410</v>
      </c>
      <c r="C5382" s="12" t="s">
        <v>9</v>
      </c>
      <c r="D5382" s="93">
        <v>20.190000000000001</v>
      </c>
      <c r="E5382" s="93">
        <v>11.81</v>
      </c>
      <c r="F5382" s="93">
        <v>8.3800000000000008</v>
      </c>
      <c r="G5382" s="93">
        <v>0</v>
      </c>
      <c r="H5382" s="93">
        <v>0</v>
      </c>
      <c r="N5382" s="88"/>
      <c r="O5382" s="88"/>
      <c r="P5382" s="88"/>
    </row>
    <row r="5383" spans="1:16">
      <c r="A5383" s="94">
        <v>95626</v>
      </c>
      <c r="B5383" s="87" t="s">
        <v>433</v>
      </c>
      <c r="C5383" s="12" t="s">
        <v>9</v>
      </c>
      <c r="D5383" s="93">
        <v>13.46</v>
      </c>
      <c r="E5383" s="93">
        <v>6.8</v>
      </c>
      <c r="F5383" s="93">
        <v>6.66</v>
      </c>
      <c r="G5383" s="93">
        <v>0</v>
      </c>
      <c r="H5383" s="93">
        <v>0</v>
      </c>
      <c r="N5383" s="88"/>
      <c r="O5383" s="88"/>
      <c r="P5383" s="88"/>
    </row>
    <row r="5384" spans="1:16">
      <c r="A5384" s="94">
        <v>96126</v>
      </c>
      <c r="B5384" s="87" t="s">
        <v>4411</v>
      </c>
      <c r="C5384" s="12" t="s">
        <v>9</v>
      </c>
      <c r="D5384" s="93">
        <v>13.58</v>
      </c>
      <c r="E5384" s="93">
        <v>7.63</v>
      </c>
      <c r="F5384" s="93">
        <v>5.95</v>
      </c>
      <c r="G5384" s="93">
        <v>0</v>
      </c>
      <c r="H5384" s="93">
        <v>0</v>
      </c>
      <c r="N5384" s="88"/>
      <c r="O5384" s="88"/>
      <c r="P5384" s="88"/>
    </row>
    <row r="5385" spans="1:16">
      <c r="A5385" s="94">
        <v>96127</v>
      </c>
      <c r="B5385" s="87" t="s">
        <v>4412</v>
      </c>
      <c r="C5385" s="12" t="s">
        <v>9</v>
      </c>
      <c r="D5385" s="93">
        <v>10.01</v>
      </c>
      <c r="E5385" s="93">
        <v>4.96</v>
      </c>
      <c r="F5385" s="93">
        <v>5.05</v>
      </c>
      <c r="G5385" s="93">
        <v>0</v>
      </c>
      <c r="H5385" s="93">
        <v>0</v>
      </c>
      <c r="N5385" s="88"/>
      <c r="O5385" s="88"/>
      <c r="P5385" s="88"/>
    </row>
    <row r="5386" spans="1:16">
      <c r="A5386" s="94">
        <v>96128</v>
      </c>
      <c r="B5386" s="87" t="s">
        <v>4413</v>
      </c>
      <c r="C5386" s="12" t="s">
        <v>9</v>
      </c>
      <c r="D5386" s="93">
        <v>20.83</v>
      </c>
      <c r="E5386" s="93">
        <v>13.05</v>
      </c>
      <c r="F5386" s="93">
        <v>7.78</v>
      </c>
      <c r="G5386" s="93">
        <v>0</v>
      </c>
      <c r="H5386" s="93">
        <v>0</v>
      </c>
      <c r="N5386" s="88"/>
      <c r="O5386" s="88"/>
      <c r="P5386" s="88"/>
    </row>
    <row r="5387" spans="1:16">
      <c r="A5387" s="94">
        <v>96129</v>
      </c>
      <c r="B5387" s="87" t="s">
        <v>4414</v>
      </c>
      <c r="C5387" s="12" t="s">
        <v>9</v>
      </c>
      <c r="D5387" s="93">
        <v>23.13</v>
      </c>
      <c r="E5387" s="93">
        <v>14.74</v>
      </c>
      <c r="F5387" s="93">
        <v>8.39</v>
      </c>
      <c r="G5387" s="93">
        <v>0</v>
      </c>
      <c r="H5387" s="93">
        <v>0</v>
      </c>
      <c r="N5387" s="88"/>
      <c r="O5387" s="88"/>
      <c r="P5387" s="88"/>
    </row>
    <row r="5388" spans="1:16">
      <c r="A5388" s="94">
        <v>96130</v>
      </c>
      <c r="B5388" s="87" t="s">
        <v>4415</v>
      </c>
      <c r="C5388" s="12" t="s">
        <v>9</v>
      </c>
      <c r="D5388" s="93">
        <v>14.71</v>
      </c>
      <c r="E5388" s="93">
        <v>8.48</v>
      </c>
      <c r="F5388" s="93">
        <v>6.23</v>
      </c>
      <c r="G5388" s="93">
        <v>0</v>
      </c>
      <c r="H5388" s="93">
        <v>0</v>
      </c>
      <c r="N5388" s="88"/>
      <c r="O5388" s="88"/>
      <c r="P5388" s="88"/>
    </row>
    <row r="5389" spans="1:16">
      <c r="A5389" s="94">
        <v>96131</v>
      </c>
      <c r="B5389" s="87" t="s">
        <v>4416</v>
      </c>
      <c r="C5389" s="12" t="s">
        <v>9</v>
      </c>
      <c r="D5389" s="93">
        <v>18.61</v>
      </c>
      <c r="E5389" s="93">
        <v>10.14</v>
      </c>
      <c r="F5389" s="93">
        <v>8.4700000000000006</v>
      </c>
      <c r="G5389" s="93">
        <v>0</v>
      </c>
      <c r="H5389" s="93">
        <v>0</v>
      </c>
      <c r="N5389" s="88"/>
      <c r="O5389" s="88"/>
      <c r="P5389" s="88"/>
    </row>
    <row r="5390" spans="1:16">
      <c r="A5390" s="94">
        <v>96132</v>
      </c>
      <c r="B5390" s="87" t="s">
        <v>4417</v>
      </c>
      <c r="C5390" s="12" t="s">
        <v>9</v>
      </c>
      <c r="D5390" s="93">
        <v>13.84</v>
      </c>
      <c r="E5390" s="93">
        <v>6.58</v>
      </c>
      <c r="F5390" s="93">
        <v>7.26</v>
      </c>
      <c r="G5390" s="93">
        <v>0</v>
      </c>
      <c r="H5390" s="93">
        <v>0</v>
      </c>
      <c r="N5390" s="88"/>
      <c r="O5390" s="88"/>
      <c r="P5390" s="88"/>
    </row>
    <row r="5391" spans="1:16">
      <c r="A5391" s="94">
        <v>96133</v>
      </c>
      <c r="B5391" s="87" t="s">
        <v>4418</v>
      </c>
      <c r="C5391" s="12" t="s">
        <v>9</v>
      </c>
      <c r="D5391" s="93">
        <v>28.24</v>
      </c>
      <c r="E5391" s="93">
        <v>17.32</v>
      </c>
      <c r="F5391" s="93">
        <v>10.92</v>
      </c>
      <c r="G5391" s="93">
        <v>0</v>
      </c>
      <c r="H5391" s="93">
        <v>0</v>
      </c>
      <c r="N5391" s="88"/>
      <c r="O5391" s="88"/>
      <c r="P5391" s="88"/>
    </row>
    <row r="5392" spans="1:16">
      <c r="A5392" s="94">
        <v>96134</v>
      </c>
      <c r="B5392" s="87" t="s">
        <v>4419</v>
      </c>
      <c r="C5392" s="12" t="s">
        <v>9</v>
      </c>
      <c r="D5392" s="93">
        <v>31.31</v>
      </c>
      <c r="E5392" s="93">
        <v>19.59</v>
      </c>
      <c r="F5392" s="93">
        <v>11.72</v>
      </c>
      <c r="G5392" s="93">
        <v>0</v>
      </c>
      <c r="H5392" s="93">
        <v>0</v>
      </c>
      <c r="N5392" s="88"/>
      <c r="O5392" s="88"/>
      <c r="P5392" s="88"/>
    </row>
    <row r="5393" spans="1:16">
      <c r="A5393" s="94">
        <v>96135</v>
      </c>
      <c r="B5393" s="87" t="s">
        <v>4420</v>
      </c>
      <c r="C5393" s="12" t="s">
        <v>9</v>
      </c>
      <c r="D5393" s="93">
        <v>20.13</v>
      </c>
      <c r="E5393" s="93">
        <v>11.29</v>
      </c>
      <c r="F5393" s="93">
        <v>8.84</v>
      </c>
      <c r="G5393" s="93">
        <v>0</v>
      </c>
      <c r="H5393" s="93">
        <v>0</v>
      </c>
      <c r="N5393" s="88"/>
      <c r="O5393" s="88"/>
      <c r="P5393" s="88"/>
    </row>
    <row r="5394" spans="1:16">
      <c r="A5394" s="94">
        <v>6082</v>
      </c>
      <c r="B5394" s="87" t="s">
        <v>6892</v>
      </c>
      <c r="C5394" s="12" t="s">
        <v>9</v>
      </c>
      <c r="D5394" s="93">
        <v>16.55</v>
      </c>
      <c r="E5394" s="93">
        <v>10.029999999999999</v>
      </c>
      <c r="F5394" s="93">
        <v>6.52</v>
      </c>
      <c r="G5394" s="93">
        <v>0</v>
      </c>
      <c r="H5394" s="93">
        <v>0</v>
      </c>
      <c r="N5394" s="88"/>
      <c r="O5394" s="88"/>
      <c r="P5394" s="88"/>
    </row>
    <row r="5395" spans="1:16">
      <c r="A5395" s="94">
        <v>40905</v>
      </c>
      <c r="B5395" s="87" t="s">
        <v>6893</v>
      </c>
      <c r="C5395" s="12" t="s">
        <v>9</v>
      </c>
      <c r="D5395" s="93">
        <v>20.96</v>
      </c>
      <c r="E5395" s="93">
        <v>10.01</v>
      </c>
      <c r="F5395" s="93">
        <v>10.95</v>
      </c>
      <c r="G5395" s="93">
        <v>0</v>
      </c>
      <c r="H5395" s="93">
        <v>0</v>
      </c>
      <c r="N5395" s="88"/>
      <c r="O5395" s="88"/>
      <c r="P5395" s="88"/>
    </row>
    <row r="5396" spans="1:16">
      <c r="A5396" s="95" t="s">
        <v>6894</v>
      </c>
      <c r="B5396" s="87" t="s">
        <v>6895</v>
      </c>
      <c r="C5396" s="12" t="s">
        <v>9</v>
      </c>
      <c r="D5396" s="93">
        <v>16.239999999999998</v>
      </c>
      <c r="E5396" s="93">
        <v>8.9600000000000009</v>
      </c>
      <c r="F5396" s="93">
        <v>7.28</v>
      </c>
      <c r="G5396" s="93">
        <v>0</v>
      </c>
      <c r="H5396" s="93">
        <v>0</v>
      </c>
      <c r="N5396" s="88"/>
      <c r="O5396" s="88"/>
      <c r="P5396" s="88"/>
    </row>
    <row r="5397" spans="1:16">
      <c r="A5397" s="95" t="s">
        <v>6896</v>
      </c>
      <c r="B5397" s="87" t="s">
        <v>6897</v>
      </c>
      <c r="C5397" s="12" t="s">
        <v>9</v>
      </c>
      <c r="D5397" s="93">
        <v>21.26</v>
      </c>
      <c r="E5397" s="93">
        <v>10.54</v>
      </c>
      <c r="F5397" s="93">
        <v>10.72</v>
      </c>
      <c r="G5397" s="93">
        <v>0</v>
      </c>
      <c r="H5397" s="93">
        <v>0</v>
      </c>
      <c r="N5397" s="88"/>
      <c r="O5397" s="88"/>
      <c r="P5397" s="88"/>
    </row>
    <row r="5398" spans="1:16">
      <c r="A5398" s="95" t="s">
        <v>6898</v>
      </c>
      <c r="B5398" s="87" t="s">
        <v>6899</v>
      </c>
      <c r="C5398" s="12" t="s">
        <v>9</v>
      </c>
      <c r="D5398" s="93">
        <v>21.32</v>
      </c>
      <c r="E5398" s="93">
        <v>10.54</v>
      </c>
      <c r="F5398" s="93">
        <v>10.78</v>
      </c>
      <c r="G5398" s="93">
        <v>0</v>
      </c>
      <c r="H5398" s="93">
        <v>0</v>
      </c>
      <c r="N5398" s="88"/>
      <c r="O5398" s="88"/>
      <c r="P5398" s="88"/>
    </row>
    <row r="5399" spans="1:16">
      <c r="A5399" s="95" t="s">
        <v>6900</v>
      </c>
      <c r="B5399" s="87" t="s">
        <v>6901</v>
      </c>
      <c r="C5399" s="12" t="s">
        <v>9</v>
      </c>
      <c r="D5399" s="93">
        <v>21.21</v>
      </c>
      <c r="E5399" s="93">
        <v>10.54</v>
      </c>
      <c r="F5399" s="93">
        <v>10.67</v>
      </c>
      <c r="G5399" s="93">
        <v>0</v>
      </c>
      <c r="H5399" s="93">
        <v>0</v>
      </c>
      <c r="N5399" s="88"/>
      <c r="O5399" s="88"/>
      <c r="P5399" s="88"/>
    </row>
    <row r="5400" spans="1:16">
      <c r="A5400" s="94">
        <v>79463</v>
      </c>
      <c r="B5400" s="87" t="s">
        <v>6902</v>
      </c>
      <c r="C5400" s="12" t="s">
        <v>9</v>
      </c>
      <c r="D5400" s="93">
        <v>13.36</v>
      </c>
      <c r="E5400" s="93">
        <v>8.34</v>
      </c>
      <c r="F5400" s="93">
        <v>5.0199999999999996</v>
      </c>
      <c r="G5400" s="93">
        <v>0</v>
      </c>
      <c r="H5400" s="93">
        <v>0</v>
      </c>
      <c r="N5400" s="88"/>
      <c r="O5400" s="88"/>
      <c r="P5400" s="88"/>
    </row>
    <row r="5401" spans="1:16">
      <c r="A5401" s="94">
        <v>79464</v>
      </c>
      <c r="B5401" s="87" t="s">
        <v>6903</v>
      </c>
      <c r="C5401" s="12" t="s">
        <v>9</v>
      </c>
      <c r="D5401" s="93">
        <v>17.61</v>
      </c>
      <c r="E5401" s="93">
        <v>10.56</v>
      </c>
      <c r="F5401" s="93">
        <v>7.05</v>
      </c>
      <c r="G5401" s="93">
        <v>0</v>
      </c>
      <c r="H5401" s="93">
        <v>0</v>
      </c>
      <c r="N5401" s="88"/>
      <c r="O5401" s="88"/>
      <c r="P5401" s="88"/>
    </row>
    <row r="5402" spans="1:16">
      <c r="A5402" s="94">
        <v>79466</v>
      </c>
      <c r="B5402" s="87" t="s">
        <v>6904</v>
      </c>
      <c r="C5402" s="12" t="s">
        <v>9</v>
      </c>
      <c r="D5402" s="93">
        <v>18.16</v>
      </c>
      <c r="E5402" s="93">
        <v>8.6300000000000008</v>
      </c>
      <c r="F5402" s="93">
        <v>9.5299999999999994</v>
      </c>
      <c r="G5402" s="93">
        <v>0</v>
      </c>
      <c r="H5402" s="93">
        <v>0</v>
      </c>
      <c r="N5402" s="88"/>
      <c r="O5402" s="88"/>
      <c r="P5402" s="88"/>
    </row>
    <row r="5403" spans="1:16">
      <c r="A5403" s="95" t="s">
        <v>6905</v>
      </c>
      <c r="B5403" s="87" t="s">
        <v>6906</v>
      </c>
      <c r="C5403" s="12" t="s">
        <v>9</v>
      </c>
      <c r="D5403" s="93">
        <v>21.71</v>
      </c>
      <c r="E5403" s="93">
        <v>12.79</v>
      </c>
      <c r="F5403" s="93">
        <v>8.92</v>
      </c>
      <c r="G5403" s="93">
        <v>0</v>
      </c>
      <c r="H5403" s="93">
        <v>0</v>
      </c>
      <c r="N5403" s="88"/>
      <c r="O5403" s="88"/>
      <c r="P5403" s="88"/>
    </row>
    <row r="5404" spans="1:16">
      <c r="A5404" s="94">
        <v>84645</v>
      </c>
      <c r="B5404" s="87" t="s">
        <v>6907</v>
      </c>
      <c r="C5404" s="12" t="s">
        <v>9</v>
      </c>
      <c r="D5404" s="93">
        <v>17.920000000000002</v>
      </c>
      <c r="E5404" s="93">
        <v>8.6300000000000008</v>
      </c>
      <c r="F5404" s="93">
        <v>9.2899999999999991</v>
      </c>
      <c r="G5404" s="93">
        <v>0</v>
      </c>
      <c r="H5404" s="93">
        <v>0</v>
      </c>
      <c r="N5404" s="88"/>
      <c r="O5404" s="88"/>
      <c r="P5404" s="88"/>
    </row>
    <row r="5405" spans="1:16">
      <c r="A5405" s="94">
        <v>84657</v>
      </c>
      <c r="B5405" s="87" t="s">
        <v>6908</v>
      </c>
      <c r="C5405" s="12" t="s">
        <v>9</v>
      </c>
      <c r="D5405" s="93">
        <v>8.09</v>
      </c>
      <c r="E5405" s="93">
        <v>3.51</v>
      </c>
      <c r="F5405" s="93">
        <v>4.58</v>
      </c>
      <c r="G5405" s="93">
        <v>0</v>
      </c>
      <c r="H5405" s="93">
        <v>0</v>
      </c>
      <c r="N5405" s="88"/>
      <c r="O5405" s="88"/>
      <c r="P5405" s="88"/>
    </row>
    <row r="5406" spans="1:16">
      <c r="A5406" s="94">
        <v>84659</v>
      </c>
      <c r="B5406" s="87" t="s">
        <v>6909</v>
      </c>
      <c r="C5406" s="12" t="s">
        <v>9</v>
      </c>
      <c r="D5406" s="93">
        <v>14.49</v>
      </c>
      <c r="E5406" s="93">
        <v>7.8</v>
      </c>
      <c r="F5406" s="93">
        <v>6.69</v>
      </c>
      <c r="G5406" s="93">
        <v>0</v>
      </c>
      <c r="H5406" s="93">
        <v>0</v>
      </c>
      <c r="N5406" s="88"/>
      <c r="O5406" s="88"/>
      <c r="P5406" s="88"/>
    </row>
    <row r="5407" spans="1:16">
      <c r="A5407" s="94">
        <v>84679</v>
      </c>
      <c r="B5407" s="87" t="s">
        <v>6910</v>
      </c>
      <c r="C5407" s="12" t="s">
        <v>9</v>
      </c>
      <c r="D5407" s="93">
        <v>18.37</v>
      </c>
      <c r="E5407" s="93">
        <v>10.56</v>
      </c>
      <c r="F5407" s="93">
        <v>7.81</v>
      </c>
      <c r="G5407" s="93">
        <v>0</v>
      </c>
      <c r="H5407" s="93">
        <v>0</v>
      </c>
      <c r="N5407" s="88"/>
      <c r="O5407" s="88"/>
      <c r="P5407" s="88"/>
    </row>
    <row r="5408" spans="1:16">
      <c r="A5408" s="94">
        <v>95464</v>
      </c>
      <c r="B5408" s="87" t="s">
        <v>6911</v>
      </c>
      <c r="C5408" s="12" t="s">
        <v>9</v>
      </c>
      <c r="D5408" s="93">
        <v>21.03</v>
      </c>
      <c r="E5408" s="93">
        <v>10.01</v>
      </c>
      <c r="F5408" s="93">
        <v>11.02</v>
      </c>
      <c r="G5408" s="93">
        <v>0</v>
      </c>
      <c r="H5408" s="93">
        <v>0</v>
      </c>
      <c r="N5408" s="88"/>
      <c r="O5408" s="88"/>
      <c r="P5408" s="88"/>
    </row>
    <row r="5409" spans="1:16">
      <c r="A5409" s="94">
        <v>100716</v>
      </c>
      <c r="B5409" s="87" t="s">
        <v>4421</v>
      </c>
      <c r="C5409" s="12" t="s">
        <v>9</v>
      </c>
      <c r="D5409" s="93">
        <v>22.92</v>
      </c>
      <c r="E5409" s="93">
        <v>3.33</v>
      </c>
      <c r="F5409" s="93">
        <v>19.23</v>
      </c>
      <c r="G5409" s="93">
        <v>0.36</v>
      </c>
      <c r="H5409" s="93">
        <v>0</v>
      </c>
      <c r="N5409" s="88"/>
      <c r="O5409" s="88"/>
      <c r="P5409" s="88"/>
    </row>
    <row r="5410" spans="1:16">
      <c r="A5410" s="94">
        <v>100717</v>
      </c>
      <c r="B5410" s="87" t="s">
        <v>4422</v>
      </c>
      <c r="C5410" s="12" t="s">
        <v>9</v>
      </c>
      <c r="D5410" s="93">
        <v>7.33</v>
      </c>
      <c r="E5410" s="93">
        <v>5.1100000000000003</v>
      </c>
      <c r="F5410" s="93">
        <v>2.2200000000000002</v>
      </c>
      <c r="G5410" s="93">
        <v>0</v>
      </c>
      <c r="H5410" s="93">
        <v>0</v>
      </c>
      <c r="N5410" s="88"/>
      <c r="O5410" s="88"/>
      <c r="P5410" s="88"/>
    </row>
    <row r="5411" spans="1:16">
      <c r="A5411" s="94">
        <v>100718</v>
      </c>
      <c r="B5411" s="87" t="s">
        <v>4423</v>
      </c>
      <c r="C5411" s="12" t="s">
        <v>6</v>
      </c>
      <c r="D5411" s="93">
        <v>1.06</v>
      </c>
      <c r="E5411" s="93">
        <v>0.72</v>
      </c>
      <c r="F5411" s="93">
        <v>0.34</v>
      </c>
      <c r="G5411" s="93">
        <v>0</v>
      </c>
      <c r="H5411" s="93">
        <v>0</v>
      </c>
      <c r="N5411" s="88"/>
      <c r="O5411" s="88"/>
      <c r="P5411" s="88"/>
    </row>
    <row r="5412" spans="1:16">
      <c r="A5412" s="94">
        <v>100719</v>
      </c>
      <c r="B5412" s="87" t="s">
        <v>4424</v>
      </c>
      <c r="C5412" s="12" t="s">
        <v>9</v>
      </c>
      <c r="D5412" s="93">
        <v>7.24</v>
      </c>
      <c r="E5412" s="93">
        <v>1.08</v>
      </c>
      <c r="F5412" s="93">
        <v>6.15</v>
      </c>
      <c r="G5412" s="93">
        <v>0</v>
      </c>
      <c r="H5412" s="93">
        <v>0</v>
      </c>
      <c r="N5412" s="88"/>
      <c r="O5412" s="88"/>
      <c r="P5412" s="88"/>
    </row>
    <row r="5413" spans="1:16">
      <c r="A5413" s="94">
        <v>100720</v>
      </c>
      <c r="B5413" s="87" t="s">
        <v>4425</v>
      </c>
      <c r="C5413" s="12" t="s">
        <v>9</v>
      </c>
      <c r="D5413" s="93">
        <v>7.83</v>
      </c>
      <c r="E5413" s="93">
        <v>3.66</v>
      </c>
      <c r="F5413" s="93">
        <v>4.17</v>
      </c>
      <c r="G5413" s="93">
        <v>0</v>
      </c>
      <c r="H5413" s="93">
        <v>0</v>
      </c>
      <c r="N5413" s="88"/>
      <c r="O5413" s="88"/>
      <c r="P5413" s="88"/>
    </row>
    <row r="5414" spans="1:16">
      <c r="A5414" s="94">
        <v>100721</v>
      </c>
      <c r="B5414" s="87" t="s">
        <v>4426</v>
      </c>
      <c r="C5414" s="12" t="s">
        <v>9</v>
      </c>
      <c r="D5414" s="93">
        <v>18.46</v>
      </c>
      <c r="E5414" s="93">
        <v>8.98</v>
      </c>
      <c r="F5414" s="93">
        <v>9.26</v>
      </c>
      <c r="G5414" s="93">
        <v>7.0000000000000007E-2</v>
      </c>
      <c r="H5414" s="93">
        <v>0</v>
      </c>
      <c r="N5414" s="88"/>
      <c r="O5414" s="88"/>
      <c r="P5414" s="88"/>
    </row>
    <row r="5415" spans="1:16">
      <c r="A5415" s="94">
        <v>100722</v>
      </c>
      <c r="B5415" s="87" t="s">
        <v>4427</v>
      </c>
      <c r="C5415" s="12" t="s">
        <v>9</v>
      </c>
      <c r="D5415" s="93">
        <v>18.440000000000001</v>
      </c>
      <c r="E5415" s="93">
        <v>11.56</v>
      </c>
      <c r="F5415" s="93">
        <v>6.88</v>
      </c>
      <c r="G5415" s="93">
        <v>0</v>
      </c>
      <c r="H5415" s="93">
        <v>0</v>
      </c>
      <c r="N5415" s="88"/>
      <c r="O5415" s="88"/>
      <c r="P5415" s="88"/>
    </row>
    <row r="5416" spans="1:16">
      <c r="A5416" s="94">
        <v>100723</v>
      </c>
      <c r="B5416" s="87" t="s">
        <v>4428</v>
      </c>
      <c r="C5416" s="12" t="s">
        <v>9</v>
      </c>
      <c r="D5416" s="93">
        <v>6.97</v>
      </c>
      <c r="E5416" s="93">
        <v>1.08</v>
      </c>
      <c r="F5416" s="93">
        <v>5.88</v>
      </c>
      <c r="G5416" s="93">
        <v>0</v>
      </c>
      <c r="H5416" s="93">
        <v>0</v>
      </c>
      <c r="N5416" s="88"/>
      <c r="O5416" s="88"/>
      <c r="P5416" s="88"/>
    </row>
    <row r="5417" spans="1:16">
      <c r="A5417" s="94">
        <v>100724</v>
      </c>
      <c r="B5417" s="87" t="s">
        <v>4429</v>
      </c>
      <c r="C5417" s="12" t="s">
        <v>9</v>
      </c>
      <c r="D5417" s="93">
        <v>9.23</v>
      </c>
      <c r="E5417" s="93">
        <v>3.66</v>
      </c>
      <c r="F5417" s="93">
        <v>5.57</v>
      </c>
      <c r="G5417" s="93">
        <v>0</v>
      </c>
      <c r="H5417" s="93">
        <v>0</v>
      </c>
      <c r="N5417" s="88"/>
      <c r="O5417" s="88"/>
      <c r="P5417" s="88"/>
    </row>
    <row r="5418" spans="1:16">
      <c r="A5418" s="94">
        <v>100725</v>
      </c>
      <c r="B5418" s="87" t="s">
        <v>4430</v>
      </c>
      <c r="C5418" s="12" t="s">
        <v>9</v>
      </c>
      <c r="D5418" s="93">
        <v>17.82</v>
      </c>
      <c r="E5418" s="93">
        <v>9</v>
      </c>
      <c r="F5418" s="93">
        <v>8.6</v>
      </c>
      <c r="G5418" s="93">
        <v>7.0000000000000007E-2</v>
      </c>
      <c r="H5418" s="93">
        <v>0</v>
      </c>
      <c r="N5418" s="88"/>
      <c r="O5418" s="88"/>
      <c r="P5418" s="88"/>
    </row>
    <row r="5419" spans="1:16">
      <c r="A5419" s="94">
        <v>100726</v>
      </c>
      <c r="B5419" s="87" t="s">
        <v>4431</v>
      </c>
      <c r="C5419" s="12" t="s">
        <v>9</v>
      </c>
      <c r="D5419" s="93">
        <v>19.77</v>
      </c>
      <c r="E5419" s="93">
        <v>11.56</v>
      </c>
      <c r="F5419" s="93">
        <v>8.2100000000000009</v>
      </c>
      <c r="G5419" s="93">
        <v>0</v>
      </c>
      <c r="H5419" s="93">
        <v>0</v>
      </c>
      <c r="N5419" s="88"/>
      <c r="O5419" s="88"/>
      <c r="P5419" s="88"/>
    </row>
    <row r="5420" spans="1:16">
      <c r="A5420" s="94">
        <v>100727</v>
      </c>
      <c r="B5420" s="87" t="s">
        <v>4432</v>
      </c>
      <c r="C5420" s="12" t="s">
        <v>9</v>
      </c>
      <c r="D5420" s="93">
        <v>11.87</v>
      </c>
      <c r="E5420" s="93">
        <v>1.1599999999999999</v>
      </c>
      <c r="F5420" s="93">
        <v>10.7</v>
      </c>
      <c r="G5420" s="93">
        <v>0</v>
      </c>
      <c r="H5420" s="93">
        <v>0</v>
      </c>
      <c r="N5420" s="88"/>
      <c r="O5420" s="88"/>
      <c r="P5420" s="88"/>
    </row>
    <row r="5421" spans="1:16">
      <c r="A5421" s="94">
        <v>100728</v>
      </c>
      <c r="B5421" s="87" t="s">
        <v>4433</v>
      </c>
      <c r="C5421" s="12" t="s">
        <v>9</v>
      </c>
      <c r="D5421" s="93">
        <v>12.54</v>
      </c>
      <c r="E5421" s="93">
        <v>3.94</v>
      </c>
      <c r="F5421" s="93">
        <v>8.6</v>
      </c>
      <c r="G5421" s="93">
        <v>0</v>
      </c>
      <c r="H5421" s="93">
        <v>0</v>
      </c>
      <c r="N5421" s="88"/>
      <c r="O5421" s="88"/>
      <c r="P5421" s="88"/>
    </row>
    <row r="5422" spans="1:16">
      <c r="A5422" s="94">
        <v>100729</v>
      </c>
      <c r="B5422" s="87" t="s">
        <v>4434</v>
      </c>
      <c r="C5422" s="12" t="s">
        <v>9</v>
      </c>
      <c r="D5422" s="93">
        <v>12.12</v>
      </c>
      <c r="E5422" s="93">
        <v>1.1599999999999999</v>
      </c>
      <c r="F5422" s="93">
        <v>10.95</v>
      </c>
      <c r="G5422" s="93">
        <v>0</v>
      </c>
      <c r="H5422" s="93">
        <v>0</v>
      </c>
      <c r="N5422" s="88"/>
      <c r="O5422" s="88"/>
      <c r="P5422" s="88"/>
    </row>
    <row r="5423" spans="1:16">
      <c r="A5423" s="94">
        <v>100730</v>
      </c>
      <c r="B5423" s="87" t="s">
        <v>4435</v>
      </c>
      <c r="C5423" s="12" t="s">
        <v>9</v>
      </c>
      <c r="D5423" s="93">
        <v>15.09</v>
      </c>
      <c r="E5423" s="93">
        <v>3.94</v>
      </c>
      <c r="F5423" s="93">
        <v>11.15</v>
      </c>
      <c r="G5423" s="93">
        <v>0</v>
      </c>
      <c r="H5423" s="93">
        <v>0</v>
      </c>
      <c r="N5423" s="88"/>
      <c r="O5423" s="88"/>
      <c r="P5423" s="88"/>
    </row>
    <row r="5424" spans="1:16">
      <c r="A5424" s="94">
        <v>100733</v>
      </c>
      <c r="B5424" s="87" t="s">
        <v>4436</v>
      </c>
      <c r="C5424" s="12" t="s">
        <v>9</v>
      </c>
      <c r="D5424" s="93">
        <v>9.52</v>
      </c>
      <c r="E5424" s="93">
        <v>5.19</v>
      </c>
      <c r="F5424" s="93">
        <v>4.2</v>
      </c>
      <c r="G5424" s="93">
        <v>0.04</v>
      </c>
      <c r="H5424" s="93">
        <v>0</v>
      </c>
      <c r="N5424" s="88"/>
      <c r="O5424" s="88"/>
      <c r="P5424" s="88"/>
    </row>
    <row r="5425" spans="1:16">
      <c r="A5425" s="94">
        <v>100734</v>
      </c>
      <c r="B5425" s="87" t="s">
        <v>4437</v>
      </c>
      <c r="C5425" s="12" t="s">
        <v>9</v>
      </c>
      <c r="D5425" s="93">
        <v>12.18</v>
      </c>
      <c r="E5425" s="93">
        <v>7.76</v>
      </c>
      <c r="F5425" s="93">
        <v>4.42</v>
      </c>
      <c r="G5425" s="93">
        <v>0</v>
      </c>
      <c r="H5425" s="93">
        <v>0</v>
      </c>
      <c r="N5425" s="88"/>
      <c r="O5425" s="88"/>
      <c r="P5425" s="88"/>
    </row>
    <row r="5426" spans="1:16">
      <c r="A5426" s="94">
        <v>100735</v>
      </c>
      <c r="B5426" s="87" t="s">
        <v>4438</v>
      </c>
      <c r="C5426" s="12" t="s">
        <v>9</v>
      </c>
      <c r="D5426" s="93">
        <v>8.27</v>
      </c>
      <c r="E5426" s="93">
        <v>5.2</v>
      </c>
      <c r="F5426" s="93">
        <v>2.94</v>
      </c>
      <c r="G5426" s="93">
        <v>0.04</v>
      </c>
      <c r="H5426" s="93">
        <v>0</v>
      </c>
      <c r="N5426" s="88"/>
      <c r="O5426" s="88"/>
      <c r="P5426" s="88"/>
    </row>
    <row r="5427" spans="1:16">
      <c r="A5427" s="94">
        <v>100736</v>
      </c>
      <c r="B5427" s="87" t="s">
        <v>4439</v>
      </c>
      <c r="C5427" s="12" t="s">
        <v>9</v>
      </c>
      <c r="D5427" s="93">
        <v>11.17</v>
      </c>
      <c r="E5427" s="93">
        <v>7.77</v>
      </c>
      <c r="F5427" s="93">
        <v>3.4</v>
      </c>
      <c r="G5427" s="93">
        <v>0</v>
      </c>
      <c r="H5427" s="93">
        <v>0</v>
      </c>
      <c r="N5427" s="88"/>
      <c r="O5427" s="88"/>
      <c r="P5427" s="88"/>
    </row>
    <row r="5428" spans="1:16">
      <c r="A5428" s="94">
        <v>100739</v>
      </c>
      <c r="B5428" s="87" t="s">
        <v>4440</v>
      </c>
      <c r="C5428" s="12" t="s">
        <v>9</v>
      </c>
      <c r="D5428" s="93">
        <v>6.43</v>
      </c>
      <c r="E5428" s="93">
        <v>1.08</v>
      </c>
      <c r="F5428" s="93">
        <v>5.34</v>
      </c>
      <c r="G5428" s="93">
        <v>0</v>
      </c>
      <c r="H5428" s="93">
        <v>0</v>
      </c>
      <c r="N5428" s="88"/>
      <c r="O5428" s="88"/>
      <c r="P5428" s="88"/>
    </row>
    <row r="5429" spans="1:16">
      <c r="A5429" s="94">
        <v>100740</v>
      </c>
      <c r="B5429" s="87" t="s">
        <v>4441</v>
      </c>
      <c r="C5429" s="12" t="s">
        <v>9</v>
      </c>
      <c r="D5429" s="93">
        <v>7.74</v>
      </c>
      <c r="E5429" s="93">
        <v>3.66</v>
      </c>
      <c r="F5429" s="93">
        <v>4.08</v>
      </c>
      <c r="G5429" s="93">
        <v>0</v>
      </c>
      <c r="H5429" s="93">
        <v>0</v>
      </c>
      <c r="N5429" s="88"/>
      <c r="O5429" s="88"/>
      <c r="P5429" s="88"/>
    </row>
    <row r="5430" spans="1:16">
      <c r="A5430" s="94">
        <v>100741</v>
      </c>
      <c r="B5430" s="87" t="s">
        <v>4442</v>
      </c>
      <c r="C5430" s="12" t="s">
        <v>9</v>
      </c>
      <c r="D5430" s="93">
        <v>17.47</v>
      </c>
      <c r="E5430" s="93">
        <v>9</v>
      </c>
      <c r="F5430" s="93">
        <v>8.25</v>
      </c>
      <c r="G5430" s="93">
        <v>7.0000000000000007E-2</v>
      </c>
      <c r="H5430" s="93">
        <v>0</v>
      </c>
      <c r="N5430" s="88"/>
      <c r="O5430" s="88"/>
      <c r="P5430" s="88"/>
    </row>
    <row r="5431" spans="1:16">
      <c r="A5431" s="94">
        <v>100742</v>
      </c>
      <c r="B5431" s="87" t="s">
        <v>4443</v>
      </c>
      <c r="C5431" s="12" t="s">
        <v>9</v>
      </c>
      <c r="D5431" s="93">
        <v>18.329999999999998</v>
      </c>
      <c r="E5431" s="93">
        <v>11.56</v>
      </c>
      <c r="F5431" s="93">
        <v>6.77</v>
      </c>
      <c r="G5431" s="93">
        <v>0</v>
      </c>
      <c r="H5431" s="93">
        <v>0</v>
      </c>
      <c r="N5431" s="88"/>
      <c r="O5431" s="88"/>
      <c r="P5431" s="88"/>
    </row>
    <row r="5432" spans="1:16">
      <c r="A5432" s="94">
        <v>100743</v>
      </c>
      <c r="B5432" s="87" t="s">
        <v>4444</v>
      </c>
      <c r="C5432" s="12" t="s">
        <v>9</v>
      </c>
      <c r="D5432" s="93">
        <v>6.3</v>
      </c>
      <c r="E5432" s="93">
        <v>1.08</v>
      </c>
      <c r="F5432" s="93">
        <v>5.21</v>
      </c>
      <c r="G5432" s="93">
        <v>0</v>
      </c>
      <c r="H5432" s="93">
        <v>0</v>
      </c>
      <c r="N5432" s="88"/>
      <c r="O5432" s="88"/>
      <c r="P5432" s="88"/>
    </row>
    <row r="5433" spans="1:16">
      <c r="A5433" s="94">
        <v>100744</v>
      </c>
      <c r="B5433" s="87" t="s">
        <v>4445</v>
      </c>
      <c r="C5433" s="12" t="s">
        <v>9</v>
      </c>
      <c r="D5433" s="93">
        <v>7.65</v>
      </c>
      <c r="E5433" s="93">
        <v>3.66</v>
      </c>
      <c r="F5433" s="93">
        <v>3.99</v>
      </c>
      <c r="G5433" s="93">
        <v>0</v>
      </c>
      <c r="H5433" s="93">
        <v>0</v>
      </c>
      <c r="N5433" s="88"/>
      <c r="O5433" s="88"/>
      <c r="P5433" s="88"/>
    </row>
    <row r="5434" spans="1:16">
      <c r="A5434" s="94">
        <v>100745</v>
      </c>
      <c r="B5434" s="87" t="s">
        <v>4446</v>
      </c>
      <c r="C5434" s="12" t="s">
        <v>9</v>
      </c>
      <c r="D5434" s="93">
        <v>17.329999999999998</v>
      </c>
      <c r="E5434" s="93">
        <v>9</v>
      </c>
      <c r="F5434" s="93">
        <v>8.11</v>
      </c>
      <c r="G5434" s="93">
        <v>7.0000000000000007E-2</v>
      </c>
      <c r="H5434" s="93">
        <v>0</v>
      </c>
      <c r="N5434" s="88"/>
      <c r="O5434" s="88"/>
      <c r="P5434" s="88"/>
    </row>
    <row r="5435" spans="1:16">
      <c r="A5435" s="94">
        <v>100746</v>
      </c>
      <c r="B5435" s="87" t="s">
        <v>4447</v>
      </c>
      <c r="C5435" s="12" t="s">
        <v>9</v>
      </c>
      <c r="D5435" s="93">
        <v>18.239999999999998</v>
      </c>
      <c r="E5435" s="93">
        <v>11.56</v>
      </c>
      <c r="F5435" s="93">
        <v>6.68</v>
      </c>
      <c r="G5435" s="93">
        <v>0</v>
      </c>
      <c r="H5435" s="93">
        <v>0</v>
      </c>
      <c r="N5435" s="88"/>
      <c r="O5435" s="88"/>
      <c r="P5435" s="88"/>
    </row>
    <row r="5436" spans="1:16">
      <c r="A5436" s="94">
        <v>100747</v>
      </c>
      <c r="B5436" s="87" t="s">
        <v>4448</v>
      </c>
      <c r="C5436" s="12" t="s">
        <v>9</v>
      </c>
      <c r="D5436" s="93">
        <v>6.35</v>
      </c>
      <c r="E5436" s="93">
        <v>1.08</v>
      </c>
      <c r="F5436" s="93">
        <v>5.26</v>
      </c>
      <c r="G5436" s="93">
        <v>0</v>
      </c>
      <c r="H5436" s="93">
        <v>0</v>
      </c>
      <c r="N5436" s="88"/>
      <c r="O5436" s="88"/>
      <c r="P5436" s="88"/>
    </row>
    <row r="5437" spans="1:16">
      <c r="A5437" s="94">
        <v>100748</v>
      </c>
      <c r="B5437" s="87" t="s">
        <v>4449</v>
      </c>
      <c r="C5437" s="12" t="s">
        <v>9</v>
      </c>
      <c r="D5437" s="93">
        <v>7.69</v>
      </c>
      <c r="E5437" s="93">
        <v>3.66</v>
      </c>
      <c r="F5437" s="93">
        <v>4.03</v>
      </c>
      <c r="G5437" s="93">
        <v>0</v>
      </c>
      <c r="H5437" s="93">
        <v>0</v>
      </c>
      <c r="N5437" s="88"/>
      <c r="O5437" s="88"/>
      <c r="P5437" s="88"/>
    </row>
    <row r="5438" spans="1:16">
      <c r="A5438" s="94">
        <v>100749</v>
      </c>
      <c r="B5438" s="87" t="s">
        <v>4450</v>
      </c>
      <c r="C5438" s="12" t="s">
        <v>9</v>
      </c>
      <c r="D5438" s="93">
        <v>17.39</v>
      </c>
      <c r="E5438" s="93">
        <v>9</v>
      </c>
      <c r="F5438" s="93">
        <v>8.17</v>
      </c>
      <c r="G5438" s="93">
        <v>7.0000000000000007E-2</v>
      </c>
      <c r="H5438" s="93">
        <v>0</v>
      </c>
      <c r="N5438" s="88"/>
      <c r="O5438" s="88"/>
      <c r="P5438" s="88"/>
    </row>
    <row r="5439" spans="1:16">
      <c r="A5439" s="94">
        <v>100750</v>
      </c>
      <c r="B5439" s="87" t="s">
        <v>4451</v>
      </c>
      <c r="C5439" s="12" t="s">
        <v>9</v>
      </c>
      <c r="D5439" s="93">
        <v>18.27</v>
      </c>
      <c r="E5439" s="93">
        <v>11.56</v>
      </c>
      <c r="F5439" s="93">
        <v>6.71</v>
      </c>
      <c r="G5439" s="93">
        <v>0</v>
      </c>
      <c r="H5439" s="93">
        <v>0</v>
      </c>
      <c r="N5439" s="88"/>
      <c r="O5439" s="88"/>
      <c r="P5439" s="88"/>
    </row>
    <row r="5440" spans="1:16">
      <c r="A5440" s="94">
        <v>100751</v>
      </c>
      <c r="B5440" s="87" t="s">
        <v>4452</v>
      </c>
      <c r="C5440" s="12" t="s">
        <v>9</v>
      </c>
      <c r="D5440" s="93">
        <v>24.25</v>
      </c>
      <c r="E5440" s="93">
        <v>2.3199999999999998</v>
      </c>
      <c r="F5440" s="93">
        <v>21.89</v>
      </c>
      <c r="G5440" s="93">
        <v>0.01</v>
      </c>
      <c r="H5440" s="93">
        <v>0</v>
      </c>
      <c r="N5440" s="88"/>
      <c r="O5440" s="88"/>
      <c r="P5440" s="88"/>
    </row>
    <row r="5441" spans="1:16">
      <c r="A5441" s="94">
        <v>100752</v>
      </c>
      <c r="B5441" s="87" t="s">
        <v>4453</v>
      </c>
      <c r="C5441" s="12" t="s">
        <v>9</v>
      </c>
      <c r="D5441" s="93">
        <v>30.17</v>
      </c>
      <c r="E5441" s="93">
        <v>7.87</v>
      </c>
      <c r="F5441" s="93">
        <v>22.3</v>
      </c>
      <c r="G5441" s="93">
        <v>0</v>
      </c>
      <c r="H5441" s="93">
        <v>0</v>
      </c>
      <c r="N5441" s="88"/>
      <c r="O5441" s="88"/>
      <c r="P5441" s="88"/>
    </row>
    <row r="5442" spans="1:16">
      <c r="A5442" s="94">
        <v>100753</v>
      </c>
      <c r="B5442" s="87" t="s">
        <v>4454</v>
      </c>
      <c r="C5442" s="12" t="s">
        <v>9</v>
      </c>
      <c r="D5442" s="93">
        <v>16.57</v>
      </c>
      <c r="E5442" s="93">
        <v>10.37</v>
      </c>
      <c r="F5442" s="93">
        <v>5.92</v>
      </c>
      <c r="G5442" s="93">
        <v>0.1</v>
      </c>
      <c r="H5442" s="93">
        <v>0</v>
      </c>
      <c r="N5442" s="88"/>
      <c r="O5442" s="88"/>
      <c r="P5442" s="88"/>
    </row>
    <row r="5443" spans="1:16">
      <c r="A5443" s="94">
        <v>100754</v>
      </c>
      <c r="B5443" s="87" t="s">
        <v>4455</v>
      </c>
      <c r="C5443" s="12" t="s">
        <v>9</v>
      </c>
      <c r="D5443" s="93">
        <v>22.37</v>
      </c>
      <c r="E5443" s="93">
        <v>15.52</v>
      </c>
      <c r="F5443" s="93">
        <v>6.85</v>
      </c>
      <c r="G5443" s="93">
        <v>0</v>
      </c>
      <c r="H5443" s="93">
        <v>0</v>
      </c>
      <c r="N5443" s="88"/>
      <c r="O5443" s="88"/>
      <c r="P5443" s="88"/>
    </row>
    <row r="5444" spans="1:16">
      <c r="A5444" s="94">
        <v>100757</v>
      </c>
      <c r="B5444" s="87" t="s">
        <v>4456</v>
      </c>
      <c r="C5444" s="12" t="s">
        <v>9</v>
      </c>
      <c r="D5444" s="93">
        <v>34.97</v>
      </c>
      <c r="E5444" s="93">
        <v>17.97</v>
      </c>
      <c r="F5444" s="93">
        <v>16.52</v>
      </c>
      <c r="G5444" s="93">
        <v>0.17</v>
      </c>
      <c r="H5444" s="93">
        <v>0</v>
      </c>
      <c r="N5444" s="88"/>
      <c r="O5444" s="88"/>
      <c r="P5444" s="88"/>
    </row>
    <row r="5445" spans="1:16">
      <c r="A5445" s="94">
        <v>100758</v>
      </c>
      <c r="B5445" s="87" t="s">
        <v>4457</v>
      </c>
      <c r="C5445" s="12" t="s">
        <v>9</v>
      </c>
      <c r="D5445" s="93">
        <v>36.659999999999997</v>
      </c>
      <c r="E5445" s="93">
        <v>23.12</v>
      </c>
      <c r="F5445" s="93">
        <v>13.54</v>
      </c>
      <c r="G5445" s="93">
        <v>0</v>
      </c>
      <c r="H5445" s="93">
        <v>0</v>
      </c>
      <c r="N5445" s="88"/>
      <c r="O5445" s="88"/>
      <c r="P5445" s="88"/>
    </row>
    <row r="5446" spans="1:16">
      <c r="A5446" s="94">
        <v>100759</v>
      </c>
      <c r="B5446" s="87" t="s">
        <v>4458</v>
      </c>
      <c r="C5446" s="12" t="s">
        <v>9</v>
      </c>
      <c r="D5446" s="93">
        <v>34.68</v>
      </c>
      <c r="E5446" s="93">
        <v>17.97</v>
      </c>
      <c r="F5446" s="93">
        <v>16.23</v>
      </c>
      <c r="G5446" s="93">
        <v>0.17</v>
      </c>
      <c r="H5446" s="93">
        <v>0</v>
      </c>
      <c r="N5446" s="88"/>
      <c r="O5446" s="88"/>
      <c r="P5446" s="88"/>
    </row>
    <row r="5447" spans="1:16">
      <c r="A5447" s="94">
        <v>100760</v>
      </c>
      <c r="B5447" s="87" t="s">
        <v>4459</v>
      </c>
      <c r="C5447" s="12" t="s">
        <v>9</v>
      </c>
      <c r="D5447" s="93">
        <v>36.479999999999997</v>
      </c>
      <c r="E5447" s="93">
        <v>23.12</v>
      </c>
      <c r="F5447" s="93">
        <v>13.36</v>
      </c>
      <c r="G5447" s="93">
        <v>0</v>
      </c>
      <c r="H5447" s="93">
        <v>0</v>
      </c>
      <c r="N5447" s="88"/>
      <c r="O5447" s="88"/>
      <c r="P5447" s="88"/>
    </row>
    <row r="5448" spans="1:16">
      <c r="A5448" s="94">
        <v>100761</v>
      </c>
      <c r="B5448" s="87" t="s">
        <v>4460</v>
      </c>
      <c r="C5448" s="12" t="s">
        <v>9</v>
      </c>
      <c r="D5448" s="93">
        <v>34.799999999999997</v>
      </c>
      <c r="E5448" s="93">
        <v>17.97</v>
      </c>
      <c r="F5448" s="93">
        <v>16.350000000000001</v>
      </c>
      <c r="G5448" s="93">
        <v>0.17</v>
      </c>
      <c r="H5448" s="93">
        <v>0</v>
      </c>
      <c r="N5448" s="88"/>
      <c r="O5448" s="88"/>
      <c r="P5448" s="88"/>
    </row>
    <row r="5449" spans="1:16">
      <c r="A5449" s="94">
        <v>100762</v>
      </c>
      <c r="B5449" s="87" t="s">
        <v>4461</v>
      </c>
      <c r="C5449" s="12" t="s">
        <v>9</v>
      </c>
      <c r="D5449" s="93">
        <v>36.56</v>
      </c>
      <c r="E5449" s="93">
        <v>23.12</v>
      </c>
      <c r="F5449" s="93">
        <v>13.44</v>
      </c>
      <c r="G5449" s="93">
        <v>0</v>
      </c>
      <c r="H5449" s="93">
        <v>0</v>
      </c>
      <c r="N5449" s="88"/>
      <c r="O5449" s="88"/>
      <c r="P5449" s="88"/>
    </row>
    <row r="5450" spans="1:16">
      <c r="A5450" s="94">
        <v>41595</v>
      </c>
      <c r="B5450" s="87" t="s">
        <v>434</v>
      </c>
      <c r="C5450" s="12" t="s">
        <v>6</v>
      </c>
      <c r="D5450" s="93">
        <v>10.37</v>
      </c>
      <c r="E5450" s="93">
        <v>7.04</v>
      </c>
      <c r="F5450" s="93">
        <v>3.33</v>
      </c>
      <c r="G5450" s="93">
        <v>0</v>
      </c>
      <c r="H5450" s="93">
        <v>0</v>
      </c>
      <c r="N5450" s="88"/>
      <c r="O5450" s="88"/>
      <c r="P5450" s="88"/>
    </row>
    <row r="5451" spans="1:16">
      <c r="A5451" s="95" t="s">
        <v>6912</v>
      </c>
      <c r="B5451" s="87" t="s">
        <v>6913</v>
      </c>
      <c r="C5451" s="12" t="s">
        <v>9</v>
      </c>
      <c r="D5451" s="93">
        <v>17.12</v>
      </c>
      <c r="E5451" s="93">
        <v>8.32</v>
      </c>
      <c r="F5451" s="93">
        <v>8.8000000000000007</v>
      </c>
      <c r="G5451" s="93">
        <v>0</v>
      </c>
      <c r="H5451" s="93">
        <v>0</v>
      </c>
      <c r="N5451" s="88"/>
      <c r="O5451" s="88"/>
      <c r="P5451" s="88"/>
    </row>
    <row r="5452" spans="1:16">
      <c r="A5452" s="95" t="s">
        <v>4462</v>
      </c>
      <c r="B5452" s="87" t="s">
        <v>435</v>
      </c>
      <c r="C5452" s="12" t="s">
        <v>9</v>
      </c>
      <c r="D5452" s="93">
        <v>14.19</v>
      </c>
      <c r="E5452" s="93">
        <v>8.65</v>
      </c>
      <c r="F5452" s="93">
        <v>5.54</v>
      </c>
      <c r="G5452" s="93">
        <v>0</v>
      </c>
      <c r="H5452" s="93">
        <v>0</v>
      </c>
      <c r="N5452" s="88"/>
      <c r="O5452" s="88"/>
      <c r="P5452" s="88"/>
    </row>
    <row r="5453" spans="1:16">
      <c r="A5453" s="94">
        <v>79467</v>
      </c>
      <c r="B5453" s="87" t="s">
        <v>4463</v>
      </c>
      <c r="C5453" s="12" t="s">
        <v>436</v>
      </c>
      <c r="D5453" s="93">
        <v>12.39</v>
      </c>
      <c r="E5453" s="93">
        <v>7.03</v>
      </c>
      <c r="F5453" s="93">
        <v>5.36</v>
      </c>
      <c r="G5453" s="93">
        <v>0</v>
      </c>
      <c r="H5453" s="93">
        <v>0</v>
      </c>
      <c r="N5453" s="88"/>
      <c r="O5453" s="88"/>
      <c r="P5453" s="88"/>
    </row>
    <row r="5454" spans="1:16">
      <c r="A5454" s="95" t="s">
        <v>4464</v>
      </c>
      <c r="B5454" s="87" t="s">
        <v>437</v>
      </c>
      <c r="C5454" s="12" t="s">
        <v>9</v>
      </c>
      <c r="D5454" s="93">
        <v>19.940000000000001</v>
      </c>
      <c r="E5454" s="93">
        <v>11.73</v>
      </c>
      <c r="F5454" s="93">
        <v>8.2100000000000009</v>
      </c>
      <c r="G5454" s="93">
        <v>0</v>
      </c>
      <c r="H5454" s="93">
        <v>0</v>
      </c>
      <c r="N5454" s="88"/>
      <c r="O5454" s="88"/>
      <c r="P5454" s="88"/>
    </row>
    <row r="5455" spans="1:16">
      <c r="A5455" s="94">
        <v>84663</v>
      </c>
      <c r="B5455" s="87" t="s">
        <v>6914</v>
      </c>
      <c r="C5455" s="12" t="s">
        <v>9</v>
      </c>
      <c r="D5455" s="93">
        <v>22.03</v>
      </c>
      <c r="E5455" s="93">
        <v>11.3</v>
      </c>
      <c r="F5455" s="93">
        <v>10.73</v>
      </c>
      <c r="G5455" s="93">
        <v>0</v>
      </c>
      <c r="H5455" s="93">
        <v>0</v>
      </c>
      <c r="N5455" s="88"/>
      <c r="O5455" s="88"/>
      <c r="P5455" s="88"/>
    </row>
    <row r="5456" spans="1:16">
      <c r="A5456" s="94">
        <v>84665</v>
      </c>
      <c r="B5456" s="87" t="s">
        <v>438</v>
      </c>
      <c r="C5456" s="12" t="s">
        <v>9</v>
      </c>
      <c r="D5456" s="93">
        <v>20.92</v>
      </c>
      <c r="E5456" s="93">
        <v>12.04</v>
      </c>
      <c r="F5456" s="93">
        <v>8.8800000000000008</v>
      </c>
      <c r="G5456" s="93">
        <v>0</v>
      </c>
      <c r="H5456" s="93">
        <v>0</v>
      </c>
      <c r="N5456" s="88"/>
      <c r="O5456" s="88"/>
      <c r="P5456" s="88"/>
    </row>
    <row r="5457" spans="1:16">
      <c r="A5457" s="94">
        <v>84666</v>
      </c>
      <c r="B5457" s="87" t="s">
        <v>6915</v>
      </c>
      <c r="C5457" s="12" t="s">
        <v>9</v>
      </c>
      <c r="D5457" s="93">
        <v>20.29</v>
      </c>
      <c r="E5457" s="93">
        <v>14.25</v>
      </c>
      <c r="F5457" s="93">
        <v>5.2</v>
      </c>
      <c r="G5457" s="93">
        <v>0.22</v>
      </c>
      <c r="H5457" s="93">
        <v>0</v>
      </c>
      <c r="N5457" s="88"/>
      <c r="O5457" s="88"/>
      <c r="P5457" s="88"/>
    </row>
    <row r="5458" spans="1:16">
      <c r="A5458" s="94">
        <v>101749</v>
      </c>
      <c r="B5458" s="87" t="s">
        <v>6239</v>
      </c>
      <c r="C5458" s="12" t="s">
        <v>9</v>
      </c>
      <c r="D5458" s="93">
        <v>42.51</v>
      </c>
      <c r="E5458" s="93">
        <v>14.2</v>
      </c>
      <c r="F5458" s="93">
        <v>28.2</v>
      </c>
      <c r="G5458" s="93">
        <v>0.06</v>
      </c>
      <c r="H5458" s="93">
        <v>0</v>
      </c>
      <c r="N5458" s="88"/>
      <c r="O5458" s="88"/>
      <c r="P5458" s="88"/>
    </row>
    <row r="5459" spans="1:16">
      <c r="A5459" s="94">
        <v>101750</v>
      </c>
      <c r="B5459" s="87" t="s">
        <v>6240</v>
      </c>
      <c r="C5459" s="12" t="s">
        <v>9</v>
      </c>
      <c r="D5459" s="93">
        <v>40.630000000000003</v>
      </c>
      <c r="E5459" s="93">
        <v>12.93</v>
      </c>
      <c r="F5459" s="93">
        <v>27.59</v>
      </c>
      <c r="G5459" s="93">
        <v>0.06</v>
      </c>
      <c r="H5459" s="93">
        <v>0</v>
      </c>
      <c r="N5459" s="88"/>
      <c r="O5459" s="88"/>
      <c r="P5459" s="88"/>
    </row>
    <row r="5460" spans="1:16">
      <c r="A5460" s="94">
        <v>101729</v>
      </c>
      <c r="B5460" s="87" t="s">
        <v>6241</v>
      </c>
      <c r="C5460" s="12" t="s">
        <v>9</v>
      </c>
      <c r="D5460" s="93">
        <v>158.38</v>
      </c>
      <c r="E5460" s="93">
        <v>10.01</v>
      </c>
      <c r="F5460" s="93">
        <v>148.37</v>
      </c>
      <c r="G5460" s="93">
        <v>0</v>
      </c>
      <c r="H5460" s="93">
        <v>0</v>
      </c>
      <c r="N5460" s="88"/>
      <c r="O5460" s="88"/>
      <c r="P5460" s="88"/>
    </row>
    <row r="5461" spans="1:16">
      <c r="A5461" s="94">
        <v>101746</v>
      </c>
      <c r="B5461" s="87" t="s">
        <v>6242</v>
      </c>
      <c r="C5461" s="12" t="s">
        <v>9</v>
      </c>
      <c r="D5461" s="93">
        <v>247.39</v>
      </c>
      <c r="E5461" s="93">
        <v>11.67</v>
      </c>
      <c r="F5461" s="93">
        <v>235.72</v>
      </c>
      <c r="G5461" s="93">
        <v>0</v>
      </c>
      <c r="H5461" s="93">
        <v>0</v>
      </c>
      <c r="N5461" s="88"/>
      <c r="O5461" s="88"/>
      <c r="P5461" s="88"/>
    </row>
    <row r="5462" spans="1:16">
      <c r="A5462" s="94">
        <v>101751</v>
      </c>
      <c r="B5462" s="87" t="s">
        <v>6243</v>
      </c>
      <c r="C5462" s="12" t="s">
        <v>9</v>
      </c>
      <c r="D5462" s="93">
        <v>164.04</v>
      </c>
      <c r="E5462" s="93">
        <v>14.54</v>
      </c>
      <c r="F5462" s="93">
        <v>149.5</v>
      </c>
      <c r="G5462" s="93">
        <v>0</v>
      </c>
      <c r="H5462" s="93">
        <v>0</v>
      </c>
      <c r="N5462" s="88"/>
      <c r="O5462" s="88"/>
      <c r="P5462" s="88"/>
    </row>
    <row r="5463" spans="1:16">
      <c r="A5463" s="94">
        <v>87246</v>
      </c>
      <c r="B5463" s="87" t="s">
        <v>4465</v>
      </c>
      <c r="C5463" s="12" t="s">
        <v>9</v>
      </c>
      <c r="D5463" s="93">
        <v>39.76</v>
      </c>
      <c r="E5463" s="93">
        <v>13.66</v>
      </c>
      <c r="F5463" s="93">
        <v>26.1</v>
      </c>
      <c r="G5463" s="93">
        <v>0</v>
      </c>
      <c r="H5463" s="93">
        <v>0</v>
      </c>
      <c r="N5463" s="88"/>
      <c r="O5463" s="88"/>
      <c r="P5463" s="88"/>
    </row>
    <row r="5464" spans="1:16">
      <c r="A5464" s="94">
        <v>87247</v>
      </c>
      <c r="B5464" s="87" t="s">
        <v>4466</v>
      </c>
      <c r="C5464" s="12" t="s">
        <v>9</v>
      </c>
      <c r="D5464" s="93">
        <v>33.97</v>
      </c>
      <c r="E5464" s="93">
        <v>9.4499999999999993</v>
      </c>
      <c r="F5464" s="93">
        <v>24.52</v>
      </c>
      <c r="G5464" s="93">
        <v>0</v>
      </c>
      <c r="H5464" s="93">
        <v>0</v>
      </c>
      <c r="N5464" s="88"/>
      <c r="O5464" s="88"/>
      <c r="P5464" s="88"/>
    </row>
    <row r="5465" spans="1:16">
      <c r="A5465" s="94">
        <v>87248</v>
      </c>
      <c r="B5465" s="87" t="s">
        <v>4467</v>
      </c>
      <c r="C5465" s="12" t="s">
        <v>9</v>
      </c>
      <c r="D5465" s="93">
        <v>29.1</v>
      </c>
      <c r="E5465" s="93">
        <v>5.68</v>
      </c>
      <c r="F5465" s="93">
        <v>23.42</v>
      </c>
      <c r="G5465" s="93">
        <v>0</v>
      </c>
      <c r="H5465" s="93">
        <v>0</v>
      </c>
      <c r="N5465" s="88"/>
      <c r="O5465" s="88"/>
      <c r="P5465" s="88"/>
    </row>
    <row r="5466" spans="1:16">
      <c r="A5466" s="94">
        <v>87249</v>
      </c>
      <c r="B5466" s="87" t="s">
        <v>4468</v>
      </c>
      <c r="C5466" s="12" t="s">
        <v>9</v>
      </c>
      <c r="D5466" s="93">
        <v>45.25</v>
      </c>
      <c r="E5466" s="93">
        <v>17.27</v>
      </c>
      <c r="F5466" s="93">
        <v>27.98</v>
      </c>
      <c r="G5466" s="93">
        <v>0</v>
      </c>
      <c r="H5466" s="93">
        <v>0</v>
      </c>
      <c r="N5466" s="88"/>
      <c r="O5466" s="88"/>
      <c r="P5466" s="88"/>
    </row>
    <row r="5467" spans="1:16">
      <c r="A5467" s="94">
        <v>87250</v>
      </c>
      <c r="B5467" s="87" t="s">
        <v>4469</v>
      </c>
      <c r="C5467" s="12" t="s">
        <v>9</v>
      </c>
      <c r="D5467" s="93">
        <v>36.090000000000003</v>
      </c>
      <c r="E5467" s="93">
        <v>10.58</v>
      </c>
      <c r="F5467" s="93">
        <v>25.51</v>
      </c>
      <c r="G5467" s="93">
        <v>0</v>
      </c>
      <c r="H5467" s="93">
        <v>0</v>
      </c>
      <c r="N5467" s="88"/>
      <c r="O5467" s="88"/>
      <c r="P5467" s="88"/>
    </row>
    <row r="5468" spans="1:16">
      <c r="A5468" s="94">
        <v>87251</v>
      </c>
      <c r="B5468" s="87" t="s">
        <v>4470</v>
      </c>
      <c r="C5468" s="12" t="s">
        <v>9</v>
      </c>
      <c r="D5468" s="93">
        <v>30.03</v>
      </c>
      <c r="E5468" s="93">
        <v>6.02</v>
      </c>
      <c r="F5468" s="93">
        <v>24.01</v>
      </c>
      <c r="G5468" s="93">
        <v>0</v>
      </c>
      <c r="H5468" s="93">
        <v>0</v>
      </c>
      <c r="N5468" s="88"/>
      <c r="O5468" s="88"/>
      <c r="P5468" s="88"/>
    </row>
    <row r="5469" spans="1:16">
      <c r="A5469" s="94">
        <v>87255</v>
      </c>
      <c r="B5469" s="87" t="s">
        <v>4471</v>
      </c>
      <c r="C5469" s="12" t="s">
        <v>9</v>
      </c>
      <c r="D5469" s="93">
        <v>69.87</v>
      </c>
      <c r="E5469" s="93">
        <v>19.45</v>
      </c>
      <c r="F5469" s="93">
        <v>50.42</v>
      </c>
      <c r="G5469" s="93">
        <v>0</v>
      </c>
      <c r="H5469" s="93">
        <v>0</v>
      </c>
      <c r="N5469" s="88"/>
      <c r="O5469" s="88"/>
      <c r="P5469" s="88"/>
    </row>
    <row r="5470" spans="1:16">
      <c r="A5470" s="94">
        <v>87256</v>
      </c>
      <c r="B5470" s="87" t="s">
        <v>4472</v>
      </c>
      <c r="C5470" s="12" t="s">
        <v>9</v>
      </c>
      <c r="D5470" s="93">
        <v>59.16</v>
      </c>
      <c r="E5470" s="93">
        <v>12.25</v>
      </c>
      <c r="F5470" s="93">
        <v>46.91</v>
      </c>
      <c r="G5470" s="93">
        <v>0</v>
      </c>
      <c r="H5470" s="93">
        <v>0</v>
      </c>
      <c r="N5470" s="88"/>
      <c r="O5470" s="88"/>
      <c r="P5470" s="88"/>
    </row>
    <row r="5471" spans="1:16">
      <c r="A5471" s="94">
        <v>87257</v>
      </c>
      <c r="B5471" s="87" t="s">
        <v>4473</v>
      </c>
      <c r="C5471" s="12" t="s">
        <v>9</v>
      </c>
      <c r="D5471" s="93">
        <v>52.12</v>
      </c>
      <c r="E5471" s="93">
        <v>7.07</v>
      </c>
      <c r="F5471" s="93">
        <v>45.05</v>
      </c>
      <c r="G5471" s="93">
        <v>0</v>
      </c>
      <c r="H5471" s="93">
        <v>0</v>
      </c>
      <c r="N5471" s="88"/>
      <c r="O5471" s="88"/>
      <c r="P5471" s="88"/>
    </row>
    <row r="5472" spans="1:16">
      <c r="A5472" s="94">
        <v>87258</v>
      </c>
      <c r="B5472" s="87" t="s">
        <v>4474</v>
      </c>
      <c r="C5472" s="12" t="s">
        <v>9</v>
      </c>
      <c r="D5472" s="93">
        <v>91.81</v>
      </c>
      <c r="E5472" s="93">
        <v>19.8</v>
      </c>
      <c r="F5472" s="93">
        <v>72.010000000000005</v>
      </c>
      <c r="G5472" s="93">
        <v>0</v>
      </c>
      <c r="H5472" s="93">
        <v>0</v>
      </c>
      <c r="N5472" s="88"/>
      <c r="O5472" s="88"/>
      <c r="P5472" s="88"/>
    </row>
    <row r="5473" spans="1:16">
      <c r="A5473" s="94">
        <v>87259</v>
      </c>
      <c r="B5473" s="87" t="s">
        <v>4475</v>
      </c>
      <c r="C5473" s="12" t="s">
        <v>9</v>
      </c>
      <c r="D5473" s="93">
        <v>81.67</v>
      </c>
      <c r="E5473" s="93">
        <v>13.04</v>
      </c>
      <c r="F5473" s="93">
        <v>68.63</v>
      </c>
      <c r="G5473" s="93">
        <v>0</v>
      </c>
      <c r="H5473" s="93">
        <v>0</v>
      </c>
      <c r="N5473" s="88"/>
      <c r="O5473" s="88"/>
      <c r="P5473" s="88"/>
    </row>
    <row r="5474" spans="1:16">
      <c r="A5474" s="94">
        <v>87260</v>
      </c>
      <c r="B5474" s="87" t="s">
        <v>4476</v>
      </c>
      <c r="C5474" s="12" t="s">
        <v>9</v>
      </c>
      <c r="D5474" s="93">
        <v>75.55</v>
      </c>
      <c r="E5474" s="93">
        <v>8.64</v>
      </c>
      <c r="F5474" s="93">
        <v>66.91</v>
      </c>
      <c r="G5474" s="93">
        <v>0</v>
      </c>
      <c r="H5474" s="93">
        <v>0</v>
      </c>
      <c r="N5474" s="88"/>
      <c r="O5474" s="88"/>
      <c r="P5474" s="88"/>
    </row>
    <row r="5475" spans="1:16">
      <c r="A5475" s="94">
        <v>87261</v>
      </c>
      <c r="B5475" s="87" t="s">
        <v>4477</v>
      </c>
      <c r="C5475" s="12" t="s">
        <v>9</v>
      </c>
      <c r="D5475" s="93">
        <v>104.94</v>
      </c>
      <c r="E5475" s="93">
        <v>22</v>
      </c>
      <c r="F5475" s="93">
        <v>82.94</v>
      </c>
      <c r="G5475" s="93">
        <v>0</v>
      </c>
      <c r="H5475" s="93">
        <v>0</v>
      </c>
      <c r="N5475" s="88"/>
      <c r="O5475" s="88"/>
      <c r="P5475" s="88"/>
    </row>
    <row r="5476" spans="1:16">
      <c r="A5476" s="94">
        <v>87262</v>
      </c>
      <c r="B5476" s="87" t="s">
        <v>4478</v>
      </c>
      <c r="C5476" s="12" t="s">
        <v>9</v>
      </c>
      <c r="D5476" s="93">
        <v>93.39</v>
      </c>
      <c r="E5476" s="93">
        <v>14.78</v>
      </c>
      <c r="F5476" s="93">
        <v>78.61</v>
      </c>
      <c r="G5476" s="93">
        <v>0</v>
      </c>
      <c r="H5476" s="93">
        <v>0</v>
      </c>
      <c r="N5476" s="88"/>
      <c r="O5476" s="88"/>
      <c r="P5476" s="88"/>
    </row>
    <row r="5477" spans="1:16">
      <c r="A5477" s="94">
        <v>87263</v>
      </c>
      <c r="B5477" s="87" t="s">
        <v>4479</v>
      </c>
      <c r="C5477" s="12" t="s">
        <v>9</v>
      </c>
      <c r="D5477" s="93">
        <v>86.16</v>
      </c>
      <c r="E5477" s="93">
        <v>9.61</v>
      </c>
      <c r="F5477" s="93">
        <v>76.55</v>
      </c>
      <c r="G5477" s="93">
        <v>0</v>
      </c>
      <c r="H5477" s="93">
        <v>0</v>
      </c>
      <c r="N5477" s="88"/>
      <c r="O5477" s="88"/>
      <c r="P5477" s="88"/>
    </row>
    <row r="5478" spans="1:16">
      <c r="A5478" s="94">
        <v>89046</v>
      </c>
      <c r="B5478" s="87" t="s">
        <v>6244</v>
      </c>
      <c r="C5478" s="12" t="s">
        <v>9</v>
      </c>
      <c r="D5478" s="93">
        <v>33.659999999999997</v>
      </c>
      <c r="E5478" s="93">
        <v>9.18</v>
      </c>
      <c r="F5478" s="93">
        <v>24.48</v>
      </c>
      <c r="G5478" s="93">
        <v>0</v>
      </c>
      <c r="H5478" s="93">
        <v>0</v>
      </c>
      <c r="N5478" s="88"/>
      <c r="O5478" s="88"/>
      <c r="P5478" s="88"/>
    </row>
    <row r="5479" spans="1:16">
      <c r="A5479" s="94">
        <v>89171</v>
      </c>
      <c r="B5479" s="87" t="s">
        <v>6245</v>
      </c>
      <c r="C5479" s="12" t="s">
        <v>9</v>
      </c>
      <c r="D5479" s="93">
        <v>31.31</v>
      </c>
      <c r="E5479" s="93">
        <v>7.4</v>
      </c>
      <c r="F5479" s="93">
        <v>23.91</v>
      </c>
      <c r="G5479" s="93">
        <v>0</v>
      </c>
      <c r="H5479" s="93">
        <v>0</v>
      </c>
      <c r="N5479" s="88"/>
      <c r="O5479" s="88"/>
      <c r="P5479" s="88"/>
    </row>
    <row r="5480" spans="1:16">
      <c r="A5480" s="94">
        <v>93389</v>
      </c>
      <c r="B5480" s="87" t="s">
        <v>4480</v>
      </c>
      <c r="C5480" s="12" t="s">
        <v>9</v>
      </c>
      <c r="D5480" s="93">
        <v>36.54</v>
      </c>
      <c r="E5480" s="93">
        <v>13.66</v>
      </c>
      <c r="F5480" s="93">
        <v>22.88</v>
      </c>
      <c r="G5480" s="93">
        <v>0</v>
      </c>
      <c r="H5480" s="93">
        <v>0</v>
      </c>
      <c r="N5480" s="88"/>
      <c r="O5480" s="88"/>
      <c r="P5480" s="88"/>
    </row>
    <row r="5481" spans="1:16">
      <c r="A5481" s="94">
        <v>93390</v>
      </c>
      <c r="B5481" s="87" t="s">
        <v>4481</v>
      </c>
      <c r="C5481" s="12" t="s">
        <v>9</v>
      </c>
      <c r="D5481" s="93">
        <v>30.81</v>
      </c>
      <c r="E5481" s="93">
        <v>9.4499999999999993</v>
      </c>
      <c r="F5481" s="93">
        <v>21.36</v>
      </c>
      <c r="G5481" s="93">
        <v>0</v>
      </c>
      <c r="H5481" s="93">
        <v>0</v>
      </c>
      <c r="N5481" s="88"/>
      <c r="O5481" s="88"/>
      <c r="P5481" s="88"/>
    </row>
    <row r="5482" spans="1:16">
      <c r="A5482" s="94">
        <v>93391</v>
      </c>
      <c r="B5482" s="87" t="s">
        <v>4482</v>
      </c>
      <c r="C5482" s="12" t="s">
        <v>9</v>
      </c>
      <c r="D5482" s="93">
        <v>25.94</v>
      </c>
      <c r="E5482" s="93">
        <v>5.68</v>
      </c>
      <c r="F5482" s="93">
        <v>20.260000000000002</v>
      </c>
      <c r="G5482" s="93">
        <v>0</v>
      </c>
      <c r="H5482" s="93">
        <v>0</v>
      </c>
      <c r="N5482" s="88"/>
      <c r="O5482" s="88"/>
      <c r="P5482" s="88"/>
    </row>
    <row r="5483" spans="1:16">
      <c r="A5483" s="94">
        <v>98670</v>
      </c>
      <c r="B5483" s="87" t="s">
        <v>4483</v>
      </c>
      <c r="C5483" s="12" t="s">
        <v>9</v>
      </c>
      <c r="D5483" s="93">
        <v>134.33000000000001</v>
      </c>
      <c r="E5483" s="93">
        <v>49.17</v>
      </c>
      <c r="F5483" s="93">
        <v>85.16</v>
      </c>
      <c r="G5483" s="93">
        <v>0</v>
      </c>
      <c r="H5483" s="93">
        <v>0</v>
      </c>
      <c r="N5483" s="88"/>
      <c r="O5483" s="88"/>
      <c r="P5483" s="88"/>
    </row>
    <row r="5484" spans="1:16">
      <c r="A5484" s="94">
        <v>98671</v>
      </c>
      <c r="B5484" s="87" t="s">
        <v>6246</v>
      </c>
      <c r="C5484" s="12" t="s">
        <v>9</v>
      </c>
      <c r="D5484" s="93">
        <v>310.44</v>
      </c>
      <c r="E5484" s="93">
        <v>26.12</v>
      </c>
      <c r="F5484" s="93">
        <v>284.32</v>
      </c>
      <c r="G5484" s="93">
        <v>0</v>
      </c>
      <c r="H5484" s="93">
        <v>0</v>
      </c>
      <c r="N5484" s="88"/>
      <c r="O5484" s="88"/>
      <c r="P5484" s="88"/>
    </row>
    <row r="5485" spans="1:16">
      <c r="A5485" s="94">
        <v>98672</v>
      </c>
      <c r="B5485" s="87" t="s">
        <v>6247</v>
      </c>
      <c r="C5485" s="12" t="s">
        <v>9</v>
      </c>
      <c r="D5485" s="93">
        <v>387.11</v>
      </c>
      <c r="E5485" s="93">
        <v>26.12</v>
      </c>
      <c r="F5485" s="93">
        <v>360.99</v>
      </c>
      <c r="G5485" s="93">
        <v>0</v>
      </c>
      <c r="H5485" s="93">
        <v>0</v>
      </c>
      <c r="N5485" s="88"/>
      <c r="O5485" s="88"/>
      <c r="P5485" s="88"/>
    </row>
    <row r="5486" spans="1:16">
      <c r="A5486" s="94">
        <v>98673</v>
      </c>
      <c r="B5486" s="87" t="s">
        <v>4484</v>
      </c>
      <c r="C5486" s="12" t="s">
        <v>9</v>
      </c>
      <c r="D5486" s="93">
        <v>157.24</v>
      </c>
      <c r="E5486" s="93">
        <v>5.83</v>
      </c>
      <c r="F5486" s="93">
        <v>151.26</v>
      </c>
      <c r="G5486" s="93">
        <v>0.1</v>
      </c>
      <c r="H5486" s="93">
        <v>0</v>
      </c>
      <c r="N5486" s="88"/>
      <c r="O5486" s="88"/>
      <c r="P5486" s="88"/>
    </row>
    <row r="5487" spans="1:16">
      <c r="A5487" s="94">
        <v>98678</v>
      </c>
      <c r="B5487" s="87" t="s">
        <v>6248</v>
      </c>
      <c r="C5487" s="12" t="s">
        <v>9</v>
      </c>
      <c r="D5487" s="93">
        <v>306.92</v>
      </c>
      <c r="E5487" s="93">
        <v>9.15</v>
      </c>
      <c r="F5487" s="93">
        <v>297.77</v>
      </c>
      <c r="G5487" s="93">
        <v>0</v>
      </c>
      <c r="H5487" s="93">
        <v>0</v>
      </c>
      <c r="N5487" s="88"/>
      <c r="O5487" s="88"/>
      <c r="P5487" s="88"/>
    </row>
    <row r="5488" spans="1:16">
      <c r="A5488" s="94">
        <v>98679</v>
      </c>
      <c r="B5488" s="87" t="s">
        <v>6249</v>
      </c>
      <c r="C5488" s="12" t="s">
        <v>9</v>
      </c>
      <c r="D5488" s="93">
        <v>28.77</v>
      </c>
      <c r="E5488" s="93">
        <v>10.76</v>
      </c>
      <c r="F5488" s="93">
        <v>17.96</v>
      </c>
      <c r="G5488" s="93">
        <v>0.02</v>
      </c>
      <c r="H5488" s="93">
        <v>0</v>
      </c>
      <c r="N5488" s="88"/>
      <c r="O5488" s="88"/>
      <c r="P5488" s="88"/>
    </row>
    <row r="5489" spans="1:16">
      <c r="A5489" s="94">
        <v>98680</v>
      </c>
      <c r="B5489" s="87" t="s">
        <v>6250</v>
      </c>
      <c r="C5489" s="12" t="s">
        <v>9</v>
      </c>
      <c r="D5489" s="93">
        <v>36.33</v>
      </c>
      <c r="E5489" s="93">
        <v>12.66</v>
      </c>
      <c r="F5489" s="93">
        <v>23.59</v>
      </c>
      <c r="G5489" s="93">
        <v>0.04</v>
      </c>
      <c r="H5489" s="93">
        <v>0</v>
      </c>
      <c r="N5489" s="88"/>
      <c r="O5489" s="88"/>
      <c r="P5489" s="88"/>
    </row>
    <row r="5490" spans="1:16">
      <c r="A5490" s="94">
        <v>98681</v>
      </c>
      <c r="B5490" s="87" t="s">
        <v>6251</v>
      </c>
      <c r="C5490" s="12" t="s">
        <v>9</v>
      </c>
      <c r="D5490" s="93">
        <v>26.89</v>
      </c>
      <c r="E5490" s="93">
        <v>9.5</v>
      </c>
      <c r="F5490" s="93">
        <v>17.34</v>
      </c>
      <c r="G5490" s="93">
        <v>0.02</v>
      </c>
      <c r="H5490" s="93">
        <v>0</v>
      </c>
      <c r="N5490" s="88"/>
      <c r="O5490" s="88"/>
      <c r="P5490" s="88"/>
    </row>
    <row r="5491" spans="1:16">
      <c r="A5491" s="94">
        <v>98682</v>
      </c>
      <c r="B5491" s="87" t="s">
        <v>6252</v>
      </c>
      <c r="C5491" s="12" t="s">
        <v>9</v>
      </c>
      <c r="D5491" s="93">
        <v>34.450000000000003</v>
      </c>
      <c r="E5491" s="93">
        <v>11.4</v>
      </c>
      <c r="F5491" s="93">
        <v>22.97</v>
      </c>
      <c r="G5491" s="93">
        <v>0.04</v>
      </c>
      <c r="H5491" s="93">
        <v>0</v>
      </c>
      <c r="N5491" s="88"/>
      <c r="O5491" s="88"/>
      <c r="P5491" s="88"/>
    </row>
    <row r="5492" spans="1:16">
      <c r="A5492" s="94">
        <v>98685</v>
      </c>
      <c r="B5492" s="87" t="s">
        <v>6253</v>
      </c>
      <c r="C5492" s="12" t="s">
        <v>6</v>
      </c>
      <c r="D5492" s="93">
        <v>56.7</v>
      </c>
      <c r="E5492" s="93">
        <v>6.57</v>
      </c>
      <c r="F5492" s="93">
        <v>50.13</v>
      </c>
      <c r="G5492" s="93">
        <v>0</v>
      </c>
      <c r="H5492" s="93">
        <v>0</v>
      </c>
      <c r="N5492" s="88"/>
      <c r="O5492" s="88"/>
      <c r="P5492" s="88"/>
    </row>
    <row r="5493" spans="1:16">
      <c r="A5493" s="94">
        <v>98686</v>
      </c>
      <c r="B5493" s="87" t="s">
        <v>6254</v>
      </c>
      <c r="C5493" s="12" t="s">
        <v>6</v>
      </c>
      <c r="D5493" s="93">
        <v>31.67</v>
      </c>
      <c r="E5493" s="93">
        <v>18.39</v>
      </c>
      <c r="F5493" s="93">
        <v>13.28</v>
      </c>
      <c r="G5493" s="93">
        <v>0</v>
      </c>
      <c r="H5493" s="93">
        <v>0</v>
      </c>
      <c r="N5493" s="88"/>
      <c r="O5493" s="88"/>
      <c r="P5493" s="88"/>
    </row>
    <row r="5494" spans="1:16">
      <c r="A5494" s="94">
        <v>98688</v>
      </c>
      <c r="B5494" s="87" t="s">
        <v>6255</v>
      </c>
      <c r="C5494" s="12" t="s">
        <v>6</v>
      </c>
      <c r="D5494" s="93">
        <v>41.29</v>
      </c>
      <c r="E5494" s="93">
        <v>2.29</v>
      </c>
      <c r="F5494" s="93">
        <v>39</v>
      </c>
      <c r="G5494" s="93">
        <v>0</v>
      </c>
      <c r="H5494" s="93">
        <v>0</v>
      </c>
      <c r="N5494" s="88"/>
      <c r="O5494" s="88"/>
      <c r="P5494" s="88"/>
    </row>
    <row r="5495" spans="1:16">
      <c r="A5495" s="94">
        <v>98689</v>
      </c>
      <c r="B5495" s="87" t="s">
        <v>6256</v>
      </c>
      <c r="C5495" s="12" t="s">
        <v>6</v>
      </c>
      <c r="D5495" s="93">
        <v>80.91</v>
      </c>
      <c r="E5495" s="93">
        <v>12.02</v>
      </c>
      <c r="F5495" s="93">
        <v>68.89</v>
      </c>
      <c r="G5495" s="93">
        <v>0</v>
      </c>
      <c r="H5495" s="93">
        <v>0</v>
      </c>
      <c r="N5495" s="88"/>
      <c r="O5495" s="88"/>
      <c r="P5495" s="88"/>
    </row>
    <row r="5496" spans="1:16">
      <c r="A5496" s="94">
        <v>101090</v>
      </c>
      <c r="B5496" s="87" t="s">
        <v>4485</v>
      </c>
      <c r="C5496" s="12" t="s">
        <v>9</v>
      </c>
      <c r="D5496" s="93">
        <v>162.18</v>
      </c>
      <c r="E5496" s="93">
        <v>17.989999999999998</v>
      </c>
      <c r="F5496" s="93">
        <v>144.19</v>
      </c>
      <c r="G5496" s="93">
        <v>0</v>
      </c>
      <c r="H5496" s="93">
        <v>0</v>
      </c>
      <c r="N5496" s="88"/>
      <c r="O5496" s="88"/>
      <c r="P5496" s="88"/>
    </row>
    <row r="5497" spans="1:16">
      <c r="A5497" s="94">
        <v>101091</v>
      </c>
      <c r="B5497" s="87" t="s">
        <v>4486</v>
      </c>
      <c r="C5497" s="12" t="s">
        <v>9</v>
      </c>
      <c r="D5497" s="93">
        <v>102.6</v>
      </c>
      <c r="E5497" s="93">
        <v>27.64</v>
      </c>
      <c r="F5497" s="93">
        <v>74.959999999999994</v>
      </c>
      <c r="G5497" s="93">
        <v>0</v>
      </c>
      <c r="H5497" s="93">
        <v>0</v>
      </c>
      <c r="N5497" s="88"/>
      <c r="O5497" s="88"/>
      <c r="P5497" s="88"/>
    </row>
    <row r="5498" spans="1:16">
      <c r="A5498" s="94">
        <v>101725</v>
      </c>
      <c r="B5498" s="87" t="s">
        <v>6257</v>
      </c>
      <c r="C5498" s="12" t="s">
        <v>9</v>
      </c>
      <c r="D5498" s="93">
        <v>204.19</v>
      </c>
      <c r="E5498" s="93">
        <v>102.75</v>
      </c>
      <c r="F5498" s="93">
        <v>101.44</v>
      </c>
      <c r="G5498" s="93">
        <v>0</v>
      </c>
      <c r="H5498" s="93">
        <v>0</v>
      </c>
      <c r="N5498" s="88"/>
      <c r="O5498" s="88"/>
      <c r="P5498" s="88"/>
    </row>
    <row r="5499" spans="1:16">
      <c r="A5499" s="94">
        <v>101726</v>
      </c>
      <c r="B5499" s="87" t="s">
        <v>6258</v>
      </c>
      <c r="C5499" s="12" t="s">
        <v>9</v>
      </c>
      <c r="D5499" s="93">
        <v>134.33000000000001</v>
      </c>
      <c r="E5499" s="93">
        <v>49.17</v>
      </c>
      <c r="F5499" s="93">
        <v>85.16</v>
      </c>
      <c r="G5499" s="93">
        <v>0</v>
      </c>
      <c r="H5499" s="93">
        <v>0</v>
      </c>
      <c r="N5499" s="88"/>
      <c r="O5499" s="88"/>
      <c r="P5499" s="88"/>
    </row>
    <row r="5500" spans="1:16">
      <c r="A5500" s="94">
        <v>101731</v>
      </c>
      <c r="B5500" s="87" t="s">
        <v>6259</v>
      </c>
      <c r="C5500" s="12" t="s">
        <v>9</v>
      </c>
      <c r="D5500" s="93">
        <v>237.86</v>
      </c>
      <c r="E5500" s="93">
        <v>30.53</v>
      </c>
      <c r="F5500" s="93">
        <v>207.28</v>
      </c>
      <c r="G5500" s="93">
        <v>0.02</v>
      </c>
      <c r="H5500" s="93">
        <v>0</v>
      </c>
      <c r="N5500" s="88"/>
      <c r="O5500" s="88"/>
      <c r="P5500" s="88"/>
    </row>
    <row r="5501" spans="1:16">
      <c r="A5501" s="94">
        <v>101732</v>
      </c>
      <c r="B5501" s="87" t="s">
        <v>6260</v>
      </c>
      <c r="C5501" s="12" t="s">
        <v>9</v>
      </c>
      <c r="D5501" s="93">
        <v>73.75</v>
      </c>
      <c r="E5501" s="93">
        <v>21.11</v>
      </c>
      <c r="F5501" s="93">
        <v>52.59</v>
      </c>
      <c r="G5501" s="93">
        <v>0.02</v>
      </c>
      <c r="H5501" s="93">
        <v>0</v>
      </c>
      <c r="N5501" s="88"/>
      <c r="O5501" s="88"/>
      <c r="P5501" s="88"/>
    </row>
    <row r="5502" spans="1:16">
      <c r="A5502" s="94">
        <v>101752</v>
      </c>
      <c r="B5502" s="87" t="s">
        <v>6261</v>
      </c>
      <c r="C5502" s="12" t="s">
        <v>9</v>
      </c>
      <c r="D5502" s="93">
        <v>36.549999999999997</v>
      </c>
      <c r="E5502" s="93">
        <v>13.88</v>
      </c>
      <c r="F5502" s="93">
        <v>22.15</v>
      </c>
      <c r="G5502" s="93">
        <v>0.26</v>
      </c>
      <c r="H5502" s="93">
        <v>0</v>
      </c>
      <c r="N5502" s="88"/>
      <c r="O5502" s="88"/>
      <c r="P5502" s="88"/>
    </row>
    <row r="5503" spans="1:16">
      <c r="A5503" s="94">
        <v>101094</v>
      </c>
      <c r="B5503" s="87" t="s">
        <v>4487</v>
      </c>
      <c r="C5503" s="12" t="s">
        <v>6</v>
      </c>
      <c r="D5503" s="93">
        <v>131.5</v>
      </c>
      <c r="E5503" s="93">
        <v>9.7799999999999994</v>
      </c>
      <c r="F5503" s="93">
        <v>121.72</v>
      </c>
      <c r="G5503" s="93">
        <v>0</v>
      </c>
      <c r="H5503" s="93">
        <v>0</v>
      </c>
      <c r="N5503" s="88"/>
      <c r="O5503" s="88"/>
      <c r="P5503" s="88"/>
    </row>
    <row r="5504" spans="1:16">
      <c r="A5504" s="94">
        <v>101727</v>
      </c>
      <c r="B5504" s="87" t="s">
        <v>6262</v>
      </c>
      <c r="C5504" s="12" t="s">
        <v>9</v>
      </c>
      <c r="D5504" s="93">
        <v>154.44</v>
      </c>
      <c r="E5504" s="93">
        <v>3.82</v>
      </c>
      <c r="F5504" s="93">
        <v>150.62</v>
      </c>
      <c r="G5504" s="93">
        <v>0</v>
      </c>
      <c r="H5504" s="93">
        <v>0</v>
      </c>
      <c r="N5504" s="88"/>
      <c r="O5504" s="88"/>
      <c r="P5504" s="88"/>
    </row>
    <row r="5505" spans="1:16">
      <c r="A5505" s="94">
        <v>101733</v>
      </c>
      <c r="B5505" s="87" t="s">
        <v>6263</v>
      </c>
      <c r="C5505" s="12" t="s">
        <v>9</v>
      </c>
      <c r="D5505" s="93">
        <v>208.88</v>
      </c>
      <c r="E5505" s="93">
        <v>16.22</v>
      </c>
      <c r="F5505" s="93">
        <v>192.66</v>
      </c>
      <c r="G5505" s="93">
        <v>0</v>
      </c>
      <c r="H5505" s="93">
        <v>0</v>
      </c>
      <c r="N5505" s="88"/>
      <c r="O5505" s="88"/>
      <c r="P5505" s="88"/>
    </row>
    <row r="5506" spans="1:16">
      <c r="A5506" s="94">
        <v>101734</v>
      </c>
      <c r="B5506" s="87" t="s">
        <v>6264</v>
      </c>
      <c r="C5506" s="12" t="s">
        <v>9</v>
      </c>
      <c r="D5506" s="93">
        <v>318.54000000000002</v>
      </c>
      <c r="E5506" s="93">
        <v>16.22</v>
      </c>
      <c r="F5506" s="93">
        <v>302.32</v>
      </c>
      <c r="G5506" s="93">
        <v>0</v>
      </c>
      <c r="H5506" s="93">
        <v>0</v>
      </c>
      <c r="N5506" s="88"/>
      <c r="O5506" s="88"/>
      <c r="P5506" s="88"/>
    </row>
    <row r="5507" spans="1:16">
      <c r="A5507" s="94">
        <v>101735</v>
      </c>
      <c r="B5507" s="87" t="s">
        <v>6265</v>
      </c>
      <c r="C5507" s="12" t="s">
        <v>9</v>
      </c>
      <c r="D5507" s="93">
        <v>326.49</v>
      </c>
      <c r="E5507" s="93">
        <v>16.22</v>
      </c>
      <c r="F5507" s="93">
        <v>310.27</v>
      </c>
      <c r="G5507" s="93">
        <v>0</v>
      </c>
      <c r="H5507" s="93">
        <v>0</v>
      </c>
      <c r="N5507" s="88"/>
      <c r="O5507" s="88"/>
      <c r="P5507" s="88"/>
    </row>
    <row r="5508" spans="1:16">
      <c r="A5508" s="94">
        <v>101736</v>
      </c>
      <c r="B5508" s="87" t="s">
        <v>6266</v>
      </c>
      <c r="C5508" s="12" t="s">
        <v>9</v>
      </c>
      <c r="D5508" s="93">
        <v>76.62</v>
      </c>
      <c r="E5508" s="93">
        <v>10.41</v>
      </c>
      <c r="F5508" s="93">
        <v>66.209999999999994</v>
      </c>
      <c r="G5508" s="93">
        <v>0</v>
      </c>
      <c r="H5508" s="93">
        <v>0</v>
      </c>
      <c r="N5508" s="88"/>
      <c r="O5508" s="88"/>
      <c r="P5508" s="88"/>
    </row>
    <row r="5509" spans="1:16">
      <c r="A5509" s="94">
        <v>101737</v>
      </c>
      <c r="B5509" s="87" t="s">
        <v>6267</v>
      </c>
      <c r="C5509" s="12" t="s">
        <v>9</v>
      </c>
      <c r="D5509" s="93">
        <v>92.36</v>
      </c>
      <c r="E5509" s="93">
        <v>10.41</v>
      </c>
      <c r="F5509" s="93">
        <v>81.95</v>
      </c>
      <c r="G5509" s="93">
        <v>0</v>
      </c>
      <c r="H5509" s="93">
        <v>0</v>
      </c>
      <c r="N5509" s="88"/>
      <c r="O5509" s="88"/>
      <c r="P5509" s="88"/>
    </row>
    <row r="5510" spans="1:16">
      <c r="A5510" s="94">
        <v>101748</v>
      </c>
      <c r="B5510" s="87" t="s">
        <v>6268</v>
      </c>
      <c r="C5510" s="12" t="s">
        <v>9</v>
      </c>
      <c r="D5510" s="93">
        <v>2.75</v>
      </c>
      <c r="E5510" s="93">
        <v>2.08</v>
      </c>
      <c r="F5510" s="93">
        <v>0.56000000000000005</v>
      </c>
      <c r="G5510" s="93">
        <v>0.03</v>
      </c>
      <c r="H5510" s="93">
        <v>0</v>
      </c>
      <c r="N5510" s="88"/>
      <c r="O5510" s="88"/>
      <c r="P5510" s="88"/>
    </row>
    <row r="5511" spans="1:16">
      <c r="A5511" s="94">
        <v>72815</v>
      </c>
      <c r="B5511" s="87" t="s">
        <v>439</v>
      </c>
      <c r="C5511" s="12" t="s">
        <v>9</v>
      </c>
      <c r="D5511" s="93">
        <v>41.48</v>
      </c>
      <c r="E5511" s="93">
        <v>13.87</v>
      </c>
      <c r="F5511" s="93">
        <v>27.61</v>
      </c>
      <c r="G5511" s="93">
        <v>0</v>
      </c>
      <c r="H5511" s="93">
        <v>0</v>
      </c>
      <c r="N5511" s="88"/>
      <c r="O5511" s="88"/>
      <c r="P5511" s="88"/>
    </row>
    <row r="5512" spans="1:16">
      <c r="A5512" s="94">
        <v>101092</v>
      </c>
      <c r="B5512" s="87" t="s">
        <v>4488</v>
      </c>
      <c r="C5512" s="12" t="s">
        <v>9</v>
      </c>
      <c r="D5512" s="93">
        <v>318.72000000000003</v>
      </c>
      <c r="E5512" s="93">
        <v>32.450000000000003</v>
      </c>
      <c r="F5512" s="93">
        <v>286.27</v>
      </c>
      <c r="G5512" s="93">
        <v>0</v>
      </c>
      <c r="H5512" s="93">
        <v>0</v>
      </c>
      <c r="N5512" s="88"/>
      <c r="O5512" s="88"/>
      <c r="P5512" s="88"/>
    </row>
    <row r="5513" spans="1:16">
      <c r="A5513" s="94">
        <v>101093</v>
      </c>
      <c r="B5513" s="87" t="s">
        <v>4489</v>
      </c>
      <c r="C5513" s="12" t="s">
        <v>9</v>
      </c>
      <c r="D5513" s="93">
        <v>395.39</v>
      </c>
      <c r="E5513" s="93">
        <v>32.450000000000003</v>
      </c>
      <c r="F5513" s="93">
        <v>362.94</v>
      </c>
      <c r="G5513" s="93">
        <v>0</v>
      </c>
      <c r="H5513" s="93">
        <v>0</v>
      </c>
      <c r="N5513" s="88"/>
      <c r="O5513" s="88"/>
      <c r="P5513" s="88"/>
    </row>
    <row r="5514" spans="1:16">
      <c r="A5514" s="94">
        <v>98695</v>
      </c>
      <c r="B5514" s="87" t="s">
        <v>6269</v>
      </c>
      <c r="C5514" s="12" t="s">
        <v>6</v>
      </c>
      <c r="D5514" s="93">
        <v>69.680000000000007</v>
      </c>
      <c r="E5514" s="93">
        <v>12.02</v>
      </c>
      <c r="F5514" s="93">
        <v>57.66</v>
      </c>
      <c r="G5514" s="93">
        <v>0</v>
      </c>
      <c r="H5514" s="93">
        <v>0</v>
      </c>
      <c r="N5514" s="88"/>
      <c r="O5514" s="88"/>
      <c r="P5514" s="88"/>
    </row>
    <row r="5515" spans="1:16">
      <c r="A5515" s="94">
        <v>98697</v>
      </c>
      <c r="B5515" s="87" t="s">
        <v>6270</v>
      </c>
      <c r="C5515" s="12" t="s">
        <v>6</v>
      </c>
      <c r="D5515" s="93">
        <v>45.98</v>
      </c>
      <c r="E5515" s="93">
        <v>6.57</v>
      </c>
      <c r="F5515" s="93">
        <v>39.409999999999997</v>
      </c>
      <c r="G5515" s="93">
        <v>0</v>
      </c>
      <c r="H5515" s="93">
        <v>0</v>
      </c>
      <c r="N5515" s="88"/>
      <c r="O5515" s="88"/>
      <c r="P5515" s="88"/>
    </row>
    <row r="5516" spans="1:16">
      <c r="A5516" s="94">
        <v>101738</v>
      </c>
      <c r="B5516" s="87" t="s">
        <v>6271</v>
      </c>
      <c r="C5516" s="12" t="s">
        <v>6</v>
      </c>
      <c r="D5516" s="93">
        <v>25.01</v>
      </c>
      <c r="E5516" s="93">
        <v>9.19</v>
      </c>
      <c r="F5516" s="93">
        <v>15.82</v>
      </c>
      <c r="G5516" s="93">
        <v>0</v>
      </c>
      <c r="H5516" s="93">
        <v>0</v>
      </c>
      <c r="N5516" s="88"/>
      <c r="O5516" s="88"/>
      <c r="P5516" s="88"/>
    </row>
    <row r="5517" spans="1:16">
      <c r="A5517" s="94">
        <v>101739</v>
      </c>
      <c r="B5517" s="87" t="s">
        <v>6272</v>
      </c>
      <c r="C5517" s="12" t="s">
        <v>6</v>
      </c>
      <c r="D5517" s="93">
        <v>27.47</v>
      </c>
      <c r="E5517" s="93">
        <v>10.71</v>
      </c>
      <c r="F5517" s="93">
        <v>16.760000000000002</v>
      </c>
      <c r="G5517" s="93">
        <v>0</v>
      </c>
      <c r="H5517" s="93">
        <v>0</v>
      </c>
      <c r="N5517" s="88"/>
      <c r="O5517" s="88"/>
      <c r="P5517" s="88"/>
    </row>
    <row r="5518" spans="1:16">
      <c r="A5518" s="94">
        <v>88648</v>
      </c>
      <c r="B5518" s="87" t="s">
        <v>4490</v>
      </c>
      <c r="C5518" s="12" t="s">
        <v>6</v>
      </c>
      <c r="D5518" s="93">
        <v>4.66</v>
      </c>
      <c r="E5518" s="93">
        <v>1.52</v>
      </c>
      <c r="F5518" s="93">
        <v>3.14</v>
      </c>
      <c r="G5518" s="93">
        <v>0</v>
      </c>
      <c r="H5518" s="93">
        <v>0</v>
      </c>
      <c r="N5518" s="88"/>
      <c r="O5518" s="88"/>
      <c r="P5518" s="88"/>
    </row>
    <row r="5519" spans="1:16">
      <c r="A5519" s="94">
        <v>88649</v>
      </c>
      <c r="B5519" s="87" t="s">
        <v>4491</v>
      </c>
      <c r="C5519" s="12" t="s">
        <v>6</v>
      </c>
      <c r="D5519" s="93">
        <v>5.21</v>
      </c>
      <c r="E5519" s="93">
        <v>1.58</v>
      </c>
      <c r="F5519" s="93">
        <v>3.63</v>
      </c>
      <c r="G5519" s="93">
        <v>0</v>
      </c>
      <c r="H5519" s="93">
        <v>0</v>
      </c>
      <c r="N5519" s="88"/>
      <c r="O5519" s="88"/>
      <c r="P5519" s="88"/>
    </row>
    <row r="5520" spans="1:16">
      <c r="A5520" s="94">
        <v>88650</v>
      </c>
      <c r="B5520" s="87" t="s">
        <v>4492</v>
      </c>
      <c r="C5520" s="12" t="s">
        <v>6</v>
      </c>
      <c r="D5520" s="93">
        <v>9.5299999999999994</v>
      </c>
      <c r="E5520" s="93">
        <v>1.77</v>
      </c>
      <c r="F5520" s="93">
        <v>7.76</v>
      </c>
      <c r="G5520" s="93">
        <v>0</v>
      </c>
      <c r="H5520" s="93">
        <v>0</v>
      </c>
      <c r="N5520" s="88"/>
      <c r="O5520" s="88"/>
      <c r="P5520" s="88"/>
    </row>
    <row r="5521" spans="1:16">
      <c r="A5521" s="94">
        <v>96467</v>
      </c>
      <c r="B5521" s="87" t="s">
        <v>4493</v>
      </c>
      <c r="C5521" s="12" t="s">
        <v>6</v>
      </c>
      <c r="D5521" s="93">
        <v>4.29</v>
      </c>
      <c r="E5521" s="93">
        <v>1.52</v>
      </c>
      <c r="F5521" s="93">
        <v>2.77</v>
      </c>
      <c r="G5521" s="93">
        <v>0</v>
      </c>
      <c r="H5521" s="93">
        <v>0</v>
      </c>
      <c r="N5521" s="88"/>
      <c r="O5521" s="88"/>
      <c r="P5521" s="88"/>
    </row>
    <row r="5522" spans="1:16">
      <c r="A5522" s="94">
        <v>101740</v>
      </c>
      <c r="B5522" s="87" t="s">
        <v>6273</v>
      </c>
      <c r="C5522" s="12" t="s">
        <v>6</v>
      </c>
      <c r="D5522" s="93">
        <v>37.03</v>
      </c>
      <c r="E5522" s="93">
        <v>18.41</v>
      </c>
      <c r="F5522" s="93">
        <v>18.62</v>
      </c>
      <c r="G5522" s="93">
        <v>0</v>
      </c>
      <c r="H5522" s="93">
        <v>0</v>
      </c>
      <c r="N5522" s="88"/>
      <c r="O5522" s="88"/>
      <c r="P5522" s="88"/>
    </row>
    <row r="5523" spans="1:16">
      <c r="A5523" s="94">
        <v>101741</v>
      </c>
      <c r="B5523" s="87" t="s">
        <v>6274</v>
      </c>
      <c r="C5523" s="12" t="s">
        <v>6</v>
      </c>
      <c r="D5523" s="93">
        <v>18.18</v>
      </c>
      <c r="E5523" s="93">
        <v>12.78</v>
      </c>
      <c r="F5523" s="93">
        <v>5.4</v>
      </c>
      <c r="G5523" s="93">
        <v>0</v>
      </c>
      <c r="H5523" s="93">
        <v>0</v>
      </c>
      <c r="N5523" s="88"/>
      <c r="O5523" s="88"/>
      <c r="P5523" s="88"/>
    </row>
    <row r="5524" spans="1:16">
      <c r="A5524" s="94">
        <v>94990</v>
      </c>
      <c r="B5524" s="87" t="s">
        <v>4494</v>
      </c>
      <c r="C5524" s="12" t="s">
        <v>5</v>
      </c>
      <c r="D5524" s="93">
        <v>629.9</v>
      </c>
      <c r="E5524" s="93">
        <v>189.84</v>
      </c>
      <c r="F5524" s="93">
        <v>438.38</v>
      </c>
      <c r="G5524" s="93">
        <v>0.67</v>
      </c>
      <c r="H5524" s="93">
        <v>0</v>
      </c>
      <c r="N5524" s="88"/>
      <c r="O5524" s="88"/>
      <c r="P5524" s="88"/>
    </row>
    <row r="5525" spans="1:16">
      <c r="A5525" s="94">
        <v>94991</v>
      </c>
      <c r="B5525" s="87" t="s">
        <v>440</v>
      </c>
      <c r="C5525" s="12" t="s">
        <v>5</v>
      </c>
      <c r="D5525" s="93">
        <v>479.41</v>
      </c>
      <c r="E5525" s="93">
        <v>69.55</v>
      </c>
      <c r="F5525" s="93">
        <v>409.86</v>
      </c>
      <c r="G5525" s="93">
        <v>0</v>
      </c>
      <c r="H5525" s="93">
        <v>0</v>
      </c>
      <c r="N5525" s="88"/>
      <c r="O5525" s="88"/>
      <c r="P5525" s="88"/>
    </row>
    <row r="5526" spans="1:16">
      <c r="A5526" s="94">
        <v>94992</v>
      </c>
      <c r="B5526" s="87" t="s">
        <v>4495</v>
      </c>
      <c r="C5526" s="12" t="s">
        <v>9</v>
      </c>
      <c r="D5526" s="93">
        <v>63</v>
      </c>
      <c r="E5526" s="93">
        <v>14.23</v>
      </c>
      <c r="F5526" s="93">
        <v>48.68</v>
      </c>
      <c r="G5526" s="93">
        <v>0.03</v>
      </c>
      <c r="H5526" s="93">
        <v>0</v>
      </c>
      <c r="N5526" s="88"/>
      <c r="O5526" s="88"/>
      <c r="P5526" s="88"/>
    </row>
    <row r="5527" spans="1:16">
      <c r="A5527" s="94">
        <v>94993</v>
      </c>
      <c r="B5527" s="87" t="s">
        <v>4496</v>
      </c>
      <c r="C5527" s="12" t="s">
        <v>9</v>
      </c>
      <c r="D5527" s="93">
        <v>53.97</v>
      </c>
      <c r="E5527" s="93">
        <v>7</v>
      </c>
      <c r="F5527" s="93">
        <v>46.97</v>
      </c>
      <c r="G5527" s="93">
        <v>0</v>
      </c>
      <c r="H5527" s="93">
        <v>0</v>
      </c>
      <c r="N5527" s="88"/>
      <c r="O5527" s="88"/>
      <c r="P5527" s="88"/>
    </row>
    <row r="5528" spans="1:16">
      <c r="A5528" s="94">
        <v>94994</v>
      </c>
      <c r="B5528" s="87" t="s">
        <v>4497</v>
      </c>
      <c r="C5528" s="12" t="s">
        <v>9</v>
      </c>
      <c r="D5528" s="93">
        <v>77.150000000000006</v>
      </c>
      <c r="E5528" s="93">
        <v>18.45</v>
      </c>
      <c r="F5528" s="93">
        <v>58.59</v>
      </c>
      <c r="G5528" s="93">
        <v>0.03</v>
      </c>
      <c r="H5528" s="93">
        <v>0</v>
      </c>
      <c r="N5528" s="88"/>
      <c r="O5528" s="88"/>
      <c r="P5528" s="88"/>
    </row>
    <row r="5529" spans="1:16">
      <c r="A5529" s="94">
        <v>94995</v>
      </c>
      <c r="B5529" s="87" t="s">
        <v>4498</v>
      </c>
      <c r="C5529" s="12" t="s">
        <v>9</v>
      </c>
      <c r="D5529" s="93">
        <v>65.11</v>
      </c>
      <c r="E5529" s="93">
        <v>8.82</v>
      </c>
      <c r="F5529" s="93">
        <v>56.29</v>
      </c>
      <c r="G5529" s="93">
        <v>0</v>
      </c>
      <c r="H5529" s="93">
        <v>0</v>
      </c>
      <c r="N5529" s="88"/>
      <c r="O5529" s="88"/>
      <c r="P5529" s="88"/>
    </row>
    <row r="5530" spans="1:16">
      <c r="A5530" s="94">
        <v>94996</v>
      </c>
      <c r="B5530" s="87" t="s">
        <v>4499</v>
      </c>
      <c r="C5530" s="12" t="s">
        <v>9</v>
      </c>
      <c r="D5530" s="93">
        <v>89.89</v>
      </c>
      <c r="E5530" s="93">
        <v>22.68</v>
      </c>
      <c r="F5530" s="93">
        <v>67.05</v>
      </c>
      <c r="G5530" s="93">
        <v>0.06</v>
      </c>
      <c r="H5530" s="93">
        <v>0</v>
      </c>
      <c r="N5530" s="88"/>
      <c r="O5530" s="88"/>
      <c r="P5530" s="88"/>
    </row>
    <row r="5531" spans="1:16">
      <c r="A5531" s="94">
        <v>94997</v>
      </c>
      <c r="B5531" s="87" t="s">
        <v>4500</v>
      </c>
      <c r="C5531" s="12" t="s">
        <v>9</v>
      </c>
      <c r="D5531" s="93">
        <v>74.83</v>
      </c>
      <c r="E5531" s="93">
        <v>10.62</v>
      </c>
      <c r="F5531" s="93">
        <v>64.209999999999994</v>
      </c>
      <c r="G5531" s="93">
        <v>0</v>
      </c>
      <c r="H5531" s="93">
        <v>0</v>
      </c>
      <c r="N5531" s="88"/>
      <c r="O5531" s="88"/>
      <c r="P5531" s="88"/>
    </row>
    <row r="5532" spans="1:16">
      <c r="A5532" s="94">
        <v>94998</v>
      </c>
      <c r="B5532" s="87" t="s">
        <v>4501</v>
      </c>
      <c r="C5532" s="12" t="s">
        <v>9</v>
      </c>
      <c r="D5532" s="93">
        <v>102.27</v>
      </c>
      <c r="E5532" s="93">
        <v>26.91</v>
      </c>
      <c r="F5532" s="93">
        <v>75.180000000000007</v>
      </c>
      <c r="G5532" s="93">
        <v>0.06</v>
      </c>
      <c r="H5532" s="93">
        <v>0</v>
      </c>
      <c r="N5532" s="88"/>
      <c r="O5532" s="88"/>
      <c r="P5532" s="88"/>
    </row>
    <row r="5533" spans="1:16">
      <c r="A5533" s="94">
        <v>94999</v>
      </c>
      <c r="B5533" s="87" t="s">
        <v>4502</v>
      </c>
      <c r="C5533" s="12" t="s">
        <v>9</v>
      </c>
      <c r="D5533" s="93">
        <v>84.21</v>
      </c>
      <c r="E5533" s="93">
        <v>12.45</v>
      </c>
      <c r="F5533" s="93">
        <v>71.760000000000005</v>
      </c>
      <c r="G5533" s="93">
        <v>0</v>
      </c>
      <c r="H5533" s="93">
        <v>0</v>
      </c>
      <c r="N5533" s="88"/>
      <c r="O5533" s="88"/>
      <c r="P5533" s="88"/>
    </row>
    <row r="5534" spans="1:16">
      <c r="A5534" s="94">
        <v>101747</v>
      </c>
      <c r="B5534" s="87" t="s">
        <v>6275</v>
      </c>
      <c r="C5534" s="12" t="s">
        <v>9</v>
      </c>
      <c r="D5534" s="93">
        <v>53.03</v>
      </c>
      <c r="E5534" s="93">
        <v>2.38</v>
      </c>
      <c r="F5534" s="93">
        <v>50.65</v>
      </c>
      <c r="G5534" s="93">
        <v>0</v>
      </c>
      <c r="H5534" s="93">
        <v>0</v>
      </c>
      <c r="N5534" s="88"/>
      <c r="O5534" s="88"/>
      <c r="P5534" s="88"/>
    </row>
    <row r="5535" spans="1:16">
      <c r="A5535" s="94">
        <v>101743</v>
      </c>
      <c r="B5535" s="87" t="s">
        <v>6276</v>
      </c>
      <c r="C5535" s="12" t="s">
        <v>9</v>
      </c>
      <c r="D5535" s="93">
        <v>145.81</v>
      </c>
      <c r="E5535" s="93">
        <v>0</v>
      </c>
      <c r="F5535" s="93">
        <v>145.81</v>
      </c>
      <c r="G5535" s="93">
        <v>0</v>
      </c>
      <c r="H5535" s="93">
        <v>0</v>
      </c>
      <c r="N5535" s="88"/>
      <c r="O5535" s="88"/>
      <c r="P5535" s="88"/>
    </row>
    <row r="5536" spans="1:16">
      <c r="A5536" s="94">
        <v>101744</v>
      </c>
      <c r="B5536" s="87" t="s">
        <v>6277</v>
      </c>
      <c r="C5536" s="12" t="s">
        <v>9</v>
      </c>
      <c r="D5536" s="93">
        <v>116.23</v>
      </c>
      <c r="E5536" s="93">
        <v>0</v>
      </c>
      <c r="F5536" s="93">
        <v>116.23</v>
      </c>
      <c r="G5536" s="93">
        <v>0</v>
      </c>
      <c r="H5536" s="93">
        <v>0</v>
      </c>
      <c r="N5536" s="88"/>
      <c r="O5536" s="88"/>
      <c r="P5536" s="88"/>
    </row>
    <row r="5537" spans="1:16">
      <c r="A5537" s="94">
        <v>101745</v>
      </c>
      <c r="B5537" s="87" t="s">
        <v>6278</v>
      </c>
      <c r="C5537" s="12" t="s">
        <v>9</v>
      </c>
      <c r="D5537" s="93">
        <v>142.79</v>
      </c>
      <c r="E5537" s="93">
        <v>0</v>
      </c>
      <c r="F5537" s="93">
        <v>142.79</v>
      </c>
      <c r="G5537" s="93">
        <v>0</v>
      </c>
      <c r="H5537" s="93">
        <v>0</v>
      </c>
      <c r="N5537" s="88"/>
      <c r="O5537" s="88"/>
      <c r="P5537" s="88"/>
    </row>
    <row r="5538" spans="1:16">
      <c r="A5538" s="94">
        <v>87620</v>
      </c>
      <c r="B5538" s="87" t="s">
        <v>4503</v>
      </c>
      <c r="C5538" s="12" t="s">
        <v>9</v>
      </c>
      <c r="D5538" s="93">
        <v>28.28</v>
      </c>
      <c r="E5538" s="93">
        <v>9.6199999999999992</v>
      </c>
      <c r="F5538" s="93">
        <v>18.61</v>
      </c>
      <c r="G5538" s="93">
        <v>0.02</v>
      </c>
      <c r="H5538" s="93">
        <v>0</v>
      </c>
      <c r="N5538" s="88"/>
      <c r="O5538" s="88"/>
      <c r="P5538" s="88"/>
    </row>
    <row r="5539" spans="1:16">
      <c r="A5539" s="94">
        <v>87622</v>
      </c>
      <c r="B5539" s="87" t="s">
        <v>4504</v>
      </c>
      <c r="C5539" s="12" t="s">
        <v>9</v>
      </c>
      <c r="D5539" s="93">
        <v>29.61</v>
      </c>
      <c r="E5539" s="93">
        <v>10.18</v>
      </c>
      <c r="F5539" s="93">
        <v>19.43</v>
      </c>
      <c r="G5539" s="93">
        <v>0</v>
      </c>
      <c r="H5539" s="93">
        <v>0</v>
      </c>
      <c r="N5539" s="88"/>
      <c r="O5539" s="88"/>
      <c r="P5539" s="88"/>
    </row>
    <row r="5540" spans="1:16">
      <c r="A5540" s="94">
        <v>87623</v>
      </c>
      <c r="B5540" s="87" t="s">
        <v>4505</v>
      </c>
      <c r="C5540" s="12" t="s">
        <v>9</v>
      </c>
      <c r="D5540" s="93">
        <v>51.81</v>
      </c>
      <c r="E5540" s="93">
        <v>9.06</v>
      </c>
      <c r="F5540" s="93">
        <v>42.59</v>
      </c>
      <c r="G5540" s="93">
        <v>0.09</v>
      </c>
      <c r="H5540" s="93">
        <v>0</v>
      </c>
      <c r="N5540" s="88"/>
      <c r="O5540" s="88"/>
      <c r="P5540" s="88"/>
    </row>
    <row r="5541" spans="1:16">
      <c r="A5541" s="94">
        <v>87624</v>
      </c>
      <c r="B5541" s="87" t="s">
        <v>4506</v>
      </c>
      <c r="C5541" s="12" t="s">
        <v>9</v>
      </c>
      <c r="D5541" s="93">
        <v>55.48</v>
      </c>
      <c r="E5541" s="93">
        <v>10.97</v>
      </c>
      <c r="F5541" s="93">
        <v>44.51</v>
      </c>
      <c r="G5541" s="93">
        <v>0</v>
      </c>
      <c r="H5541" s="93">
        <v>0</v>
      </c>
      <c r="N5541" s="88"/>
      <c r="O5541" s="88"/>
      <c r="P5541" s="88"/>
    </row>
    <row r="5542" spans="1:16">
      <c r="A5542" s="94">
        <v>87630</v>
      </c>
      <c r="B5542" s="87" t="s">
        <v>4507</v>
      </c>
      <c r="C5542" s="12" t="s">
        <v>9</v>
      </c>
      <c r="D5542" s="93">
        <v>35.56</v>
      </c>
      <c r="E5542" s="93">
        <v>11.7</v>
      </c>
      <c r="F5542" s="93">
        <v>23.77</v>
      </c>
      <c r="G5542" s="93">
        <v>0.05</v>
      </c>
      <c r="H5542" s="93">
        <v>0</v>
      </c>
      <c r="N5542" s="88"/>
      <c r="O5542" s="88"/>
      <c r="P5542" s="88"/>
    </row>
    <row r="5543" spans="1:16">
      <c r="A5543" s="94">
        <v>87632</v>
      </c>
      <c r="B5543" s="87" t="s">
        <v>4508</v>
      </c>
      <c r="C5543" s="12" t="s">
        <v>9</v>
      </c>
      <c r="D5543" s="93">
        <v>37.409999999999997</v>
      </c>
      <c r="E5543" s="93">
        <v>12.48</v>
      </c>
      <c r="F5543" s="93">
        <v>24.93</v>
      </c>
      <c r="G5543" s="93">
        <v>0</v>
      </c>
      <c r="H5543" s="93">
        <v>0</v>
      </c>
      <c r="N5543" s="88"/>
      <c r="O5543" s="88"/>
      <c r="P5543" s="88"/>
    </row>
    <row r="5544" spans="1:16">
      <c r="A5544" s="94">
        <v>87633</v>
      </c>
      <c r="B5544" s="87" t="s">
        <v>4509</v>
      </c>
      <c r="C5544" s="12" t="s">
        <v>9</v>
      </c>
      <c r="D5544" s="93">
        <v>68.27</v>
      </c>
      <c r="E5544" s="93">
        <v>10.95</v>
      </c>
      <c r="F5544" s="93">
        <v>57.09</v>
      </c>
      <c r="G5544" s="93">
        <v>0.13</v>
      </c>
      <c r="H5544" s="93">
        <v>0</v>
      </c>
      <c r="N5544" s="88"/>
      <c r="O5544" s="88"/>
      <c r="P5544" s="88"/>
    </row>
    <row r="5545" spans="1:16">
      <c r="A5545" s="94">
        <v>87634</v>
      </c>
      <c r="B5545" s="87" t="s">
        <v>4510</v>
      </c>
      <c r="C5545" s="12" t="s">
        <v>9</v>
      </c>
      <c r="D5545" s="93">
        <v>73.38</v>
      </c>
      <c r="E5545" s="93">
        <v>13.6</v>
      </c>
      <c r="F5545" s="93">
        <v>59.78</v>
      </c>
      <c r="G5545" s="93">
        <v>0</v>
      </c>
      <c r="H5545" s="93">
        <v>0</v>
      </c>
      <c r="N5545" s="88"/>
      <c r="O5545" s="88"/>
      <c r="P5545" s="88"/>
    </row>
    <row r="5546" spans="1:16">
      <c r="A5546" s="94">
        <v>87640</v>
      </c>
      <c r="B5546" s="87" t="s">
        <v>4511</v>
      </c>
      <c r="C5546" s="12" t="s">
        <v>9</v>
      </c>
      <c r="D5546" s="93">
        <v>41.43</v>
      </c>
      <c r="E5546" s="93">
        <v>13.35</v>
      </c>
      <c r="F5546" s="93">
        <v>27.96</v>
      </c>
      <c r="G5546" s="93">
        <v>0.06</v>
      </c>
      <c r="H5546" s="93">
        <v>0</v>
      </c>
      <c r="N5546" s="88"/>
      <c r="O5546" s="88"/>
      <c r="P5546" s="88"/>
    </row>
    <row r="5547" spans="1:16">
      <c r="A5547" s="94">
        <v>87642</v>
      </c>
      <c r="B5547" s="87" t="s">
        <v>4512</v>
      </c>
      <c r="C5547" s="12" t="s">
        <v>9</v>
      </c>
      <c r="D5547" s="93">
        <v>43.7</v>
      </c>
      <c r="E5547" s="93">
        <v>14.29</v>
      </c>
      <c r="F5547" s="93">
        <v>29.41</v>
      </c>
      <c r="G5547" s="93">
        <v>0</v>
      </c>
      <c r="H5547" s="93">
        <v>0</v>
      </c>
      <c r="N5547" s="88"/>
      <c r="O5547" s="88"/>
      <c r="P5547" s="88"/>
    </row>
    <row r="5548" spans="1:16">
      <c r="A5548" s="94">
        <v>87643</v>
      </c>
      <c r="B5548" s="87" t="s">
        <v>4513</v>
      </c>
      <c r="C5548" s="12" t="s">
        <v>9</v>
      </c>
      <c r="D5548" s="93">
        <v>81.650000000000006</v>
      </c>
      <c r="E5548" s="93">
        <v>12.42</v>
      </c>
      <c r="F5548" s="93">
        <v>68.94</v>
      </c>
      <c r="G5548" s="93">
        <v>0.17</v>
      </c>
      <c r="H5548" s="93">
        <v>0</v>
      </c>
      <c r="N5548" s="88"/>
      <c r="O5548" s="88"/>
      <c r="P5548" s="88"/>
    </row>
    <row r="5549" spans="1:16">
      <c r="A5549" s="94">
        <v>87644</v>
      </c>
      <c r="B5549" s="87" t="s">
        <v>4514</v>
      </c>
      <c r="C5549" s="12" t="s">
        <v>9</v>
      </c>
      <c r="D5549" s="93">
        <v>87.94</v>
      </c>
      <c r="E5549" s="93">
        <v>15.69</v>
      </c>
      <c r="F5549" s="93">
        <v>72.25</v>
      </c>
      <c r="G5549" s="93">
        <v>0</v>
      </c>
      <c r="H5549" s="93">
        <v>0</v>
      </c>
      <c r="N5549" s="88"/>
      <c r="O5549" s="88"/>
      <c r="P5549" s="88"/>
    </row>
    <row r="5550" spans="1:16">
      <c r="A5550" s="94">
        <v>87680</v>
      </c>
      <c r="B5550" s="87" t="s">
        <v>441</v>
      </c>
      <c r="C5550" s="12" t="s">
        <v>9</v>
      </c>
      <c r="D5550" s="93">
        <v>35.24</v>
      </c>
      <c r="E5550" s="93">
        <v>11.81</v>
      </c>
      <c r="F5550" s="93">
        <v>23.31</v>
      </c>
      <c r="G5550" s="93">
        <v>0.06</v>
      </c>
      <c r="H5550" s="93">
        <v>0</v>
      </c>
      <c r="N5550" s="88"/>
      <c r="O5550" s="88"/>
      <c r="P5550" s="88"/>
    </row>
    <row r="5551" spans="1:16">
      <c r="A5551" s="94">
        <v>87682</v>
      </c>
      <c r="B5551" s="87" t="s">
        <v>4515</v>
      </c>
      <c r="C5551" s="12" t="s">
        <v>9</v>
      </c>
      <c r="D5551" s="93">
        <v>37.51</v>
      </c>
      <c r="E5551" s="93">
        <v>12.75</v>
      </c>
      <c r="F5551" s="93">
        <v>24.76</v>
      </c>
      <c r="G5551" s="93">
        <v>0</v>
      </c>
      <c r="H5551" s="93">
        <v>0</v>
      </c>
      <c r="N5551" s="88"/>
      <c r="O5551" s="88"/>
      <c r="P5551" s="88"/>
    </row>
    <row r="5552" spans="1:16">
      <c r="A5552" s="94">
        <v>87683</v>
      </c>
      <c r="B5552" s="87" t="s">
        <v>4516</v>
      </c>
      <c r="C5552" s="12" t="s">
        <v>9</v>
      </c>
      <c r="D5552" s="93">
        <v>75.459999999999994</v>
      </c>
      <c r="E5552" s="93">
        <v>10.87</v>
      </c>
      <c r="F5552" s="93">
        <v>64.3</v>
      </c>
      <c r="G5552" s="93">
        <v>0.17</v>
      </c>
      <c r="H5552" s="93">
        <v>0</v>
      </c>
      <c r="N5552" s="88"/>
      <c r="O5552" s="88"/>
      <c r="P5552" s="88"/>
    </row>
    <row r="5553" spans="1:16">
      <c r="A5553" s="94">
        <v>87684</v>
      </c>
      <c r="B5553" s="87" t="s">
        <v>4517</v>
      </c>
      <c r="C5553" s="12" t="s">
        <v>9</v>
      </c>
      <c r="D5553" s="93">
        <v>81.75</v>
      </c>
      <c r="E5553" s="93">
        <v>14.14</v>
      </c>
      <c r="F5553" s="93">
        <v>67.61</v>
      </c>
      <c r="G5553" s="93">
        <v>0</v>
      </c>
      <c r="H5553" s="93">
        <v>0</v>
      </c>
      <c r="N5553" s="88"/>
      <c r="O5553" s="88"/>
      <c r="P5553" s="88"/>
    </row>
    <row r="5554" spans="1:16">
      <c r="A5554" s="94">
        <v>87690</v>
      </c>
      <c r="B5554" s="87" t="s">
        <v>442</v>
      </c>
      <c r="C5554" s="12" t="s">
        <v>9</v>
      </c>
      <c r="D5554" s="93">
        <v>40.880000000000003</v>
      </c>
      <c r="E5554" s="93">
        <v>13.89</v>
      </c>
      <c r="F5554" s="93">
        <v>26.86</v>
      </c>
      <c r="G5554" s="93">
        <v>7.0000000000000007E-2</v>
      </c>
      <c r="H5554" s="93">
        <v>0</v>
      </c>
      <c r="N5554" s="88"/>
      <c r="O5554" s="88"/>
      <c r="P5554" s="88"/>
    </row>
    <row r="5555" spans="1:16">
      <c r="A5555" s="94">
        <v>87692</v>
      </c>
      <c r="B5555" s="87" t="s">
        <v>4518</v>
      </c>
      <c r="C5555" s="12" t="s">
        <v>9</v>
      </c>
      <c r="D5555" s="93">
        <v>43.48</v>
      </c>
      <c r="E5555" s="93">
        <v>14.97</v>
      </c>
      <c r="F5555" s="93">
        <v>28.51</v>
      </c>
      <c r="G5555" s="93">
        <v>0</v>
      </c>
      <c r="H5555" s="93">
        <v>0</v>
      </c>
      <c r="N5555" s="88"/>
      <c r="O5555" s="88"/>
      <c r="P5555" s="88"/>
    </row>
    <row r="5556" spans="1:16">
      <c r="A5556" s="94">
        <v>87693</v>
      </c>
      <c r="B5556" s="87" t="s">
        <v>4519</v>
      </c>
      <c r="C5556" s="12" t="s">
        <v>9</v>
      </c>
      <c r="D5556" s="93">
        <v>86.94</v>
      </c>
      <c r="E5556" s="93">
        <v>12.83</v>
      </c>
      <c r="F5556" s="93">
        <v>73.78</v>
      </c>
      <c r="G5556" s="93">
        <v>0.19</v>
      </c>
      <c r="H5556" s="93">
        <v>0</v>
      </c>
      <c r="N5556" s="88"/>
      <c r="O5556" s="88"/>
      <c r="P5556" s="88"/>
    </row>
    <row r="5557" spans="1:16">
      <c r="A5557" s="94">
        <v>87694</v>
      </c>
      <c r="B5557" s="87" t="s">
        <v>4520</v>
      </c>
      <c r="C5557" s="12" t="s">
        <v>9</v>
      </c>
      <c r="D5557" s="93">
        <v>94.14</v>
      </c>
      <c r="E5557" s="93">
        <v>16.57</v>
      </c>
      <c r="F5557" s="93">
        <v>77.569999999999993</v>
      </c>
      <c r="G5557" s="93">
        <v>0</v>
      </c>
      <c r="H5557" s="93">
        <v>0</v>
      </c>
      <c r="N5557" s="88"/>
      <c r="O5557" s="88"/>
      <c r="P5557" s="88"/>
    </row>
    <row r="5558" spans="1:16">
      <c r="A5558" s="94">
        <v>87700</v>
      </c>
      <c r="B5558" s="87" t="s">
        <v>443</v>
      </c>
      <c r="C5558" s="12" t="s">
        <v>9</v>
      </c>
      <c r="D5558" s="93">
        <v>44.19</v>
      </c>
      <c r="E5558" s="93">
        <v>14.89</v>
      </c>
      <c r="F5558" s="93">
        <v>29.16</v>
      </c>
      <c r="G5558" s="93">
        <v>7.0000000000000007E-2</v>
      </c>
      <c r="H5558" s="93">
        <v>0</v>
      </c>
      <c r="N5558" s="88"/>
      <c r="O5558" s="88"/>
      <c r="P5558" s="88"/>
    </row>
    <row r="5559" spans="1:16">
      <c r="A5559" s="94">
        <v>87702</v>
      </c>
      <c r="B5559" s="87" t="s">
        <v>4521</v>
      </c>
      <c r="C5559" s="12" t="s">
        <v>9</v>
      </c>
      <c r="D5559" s="93">
        <v>47.02</v>
      </c>
      <c r="E5559" s="93">
        <v>16.059999999999999</v>
      </c>
      <c r="F5559" s="93">
        <v>30.96</v>
      </c>
      <c r="G5559" s="93">
        <v>0</v>
      </c>
      <c r="H5559" s="93">
        <v>0</v>
      </c>
      <c r="N5559" s="88"/>
      <c r="O5559" s="88"/>
      <c r="P5559" s="88"/>
    </row>
    <row r="5560" spans="1:16">
      <c r="A5560" s="94">
        <v>87703</v>
      </c>
      <c r="B5560" s="87" t="s">
        <v>4522</v>
      </c>
      <c r="C5560" s="12" t="s">
        <v>9</v>
      </c>
      <c r="D5560" s="93">
        <v>94.35</v>
      </c>
      <c r="E5560" s="93">
        <v>13.74</v>
      </c>
      <c r="F5560" s="93">
        <v>80.260000000000005</v>
      </c>
      <c r="G5560" s="93">
        <v>0.2</v>
      </c>
      <c r="H5560" s="93">
        <v>0</v>
      </c>
      <c r="N5560" s="88"/>
      <c r="O5560" s="88"/>
      <c r="P5560" s="88"/>
    </row>
    <row r="5561" spans="1:16">
      <c r="A5561" s="94">
        <v>87704</v>
      </c>
      <c r="B5561" s="87" t="s">
        <v>4523</v>
      </c>
      <c r="C5561" s="12" t="s">
        <v>9</v>
      </c>
      <c r="D5561" s="93">
        <v>102.19</v>
      </c>
      <c r="E5561" s="93">
        <v>17.809999999999999</v>
      </c>
      <c r="F5561" s="93">
        <v>84.38</v>
      </c>
      <c r="G5561" s="93">
        <v>0</v>
      </c>
      <c r="H5561" s="93">
        <v>0</v>
      </c>
      <c r="N5561" s="88"/>
      <c r="O5561" s="88"/>
      <c r="P5561" s="88"/>
    </row>
    <row r="5562" spans="1:16">
      <c r="A5562" s="94">
        <v>87735</v>
      </c>
      <c r="B5562" s="87" t="s">
        <v>4524</v>
      </c>
      <c r="C5562" s="12" t="s">
        <v>9</v>
      </c>
      <c r="D5562" s="93">
        <v>37.049999999999997</v>
      </c>
      <c r="E5562" s="93">
        <v>16.34</v>
      </c>
      <c r="F5562" s="93">
        <v>20.66</v>
      </c>
      <c r="G5562" s="93">
        <v>0.02</v>
      </c>
      <c r="H5562" s="93">
        <v>0</v>
      </c>
      <c r="N5562" s="88"/>
      <c r="O5562" s="88"/>
      <c r="P5562" s="88"/>
    </row>
    <row r="5563" spans="1:16">
      <c r="A5563" s="94">
        <v>87737</v>
      </c>
      <c r="B5563" s="87" t="s">
        <v>4525</v>
      </c>
      <c r="C5563" s="12" t="s">
        <v>9</v>
      </c>
      <c r="D5563" s="93">
        <v>38.380000000000003</v>
      </c>
      <c r="E5563" s="93">
        <v>16.89</v>
      </c>
      <c r="F5563" s="93">
        <v>21.49</v>
      </c>
      <c r="G5563" s="93">
        <v>0</v>
      </c>
      <c r="H5563" s="93">
        <v>0</v>
      </c>
      <c r="N5563" s="88"/>
      <c r="O5563" s="88"/>
      <c r="P5563" s="88"/>
    </row>
    <row r="5564" spans="1:16">
      <c r="A5564" s="94">
        <v>87738</v>
      </c>
      <c r="B5564" s="87" t="s">
        <v>4526</v>
      </c>
      <c r="C5564" s="12" t="s">
        <v>9</v>
      </c>
      <c r="D5564" s="93">
        <v>60.58</v>
      </c>
      <c r="E5564" s="93">
        <v>15.79</v>
      </c>
      <c r="F5564" s="93">
        <v>44.63</v>
      </c>
      <c r="G5564" s="93">
        <v>0.09</v>
      </c>
      <c r="H5564" s="93">
        <v>0</v>
      </c>
      <c r="N5564" s="88"/>
      <c r="O5564" s="88"/>
      <c r="P5564" s="88"/>
    </row>
    <row r="5565" spans="1:16">
      <c r="A5565" s="94">
        <v>87739</v>
      </c>
      <c r="B5565" s="87" t="s">
        <v>4527</v>
      </c>
      <c r="C5565" s="12" t="s">
        <v>9</v>
      </c>
      <c r="D5565" s="93">
        <v>64.25</v>
      </c>
      <c r="E5565" s="93">
        <v>17.690000000000001</v>
      </c>
      <c r="F5565" s="93">
        <v>46.56</v>
      </c>
      <c r="G5565" s="93">
        <v>0</v>
      </c>
      <c r="H5565" s="93">
        <v>0</v>
      </c>
      <c r="N5565" s="88"/>
      <c r="O5565" s="88"/>
      <c r="P5565" s="88"/>
    </row>
    <row r="5566" spans="1:16">
      <c r="A5566" s="94">
        <v>87745</v>
      </c>
      <c r="B5566" s="87" t="s">
        <v>4528</v>
      </c>
      <c r="C5566" s="12" t="s">
        <v>9</v>
      </c>
      <c r="D5566" s="93">
        <v>44.33</v>
      </c>
      <c r="E5566" s="93">
        <v>18.440000000000001</v>
      </c>
      <c r="F5566" s="93">
        <v>25.8</v>
      </c>
      <c r="G5566" s="93">
        <v>0.05</v>
      </c>
      <c r="H5566" s="93">
        <v>0</v>
      </c>
      <c r="N5566" s="88"/>
      <c r="O5566" s="88"/>
      <c r="P5566" s="88"/>
    </row>
    <row r="5567" spans="1:16">
      <c r="A5567" s="94">
        <v>87747</v>
      </c>
      <c r="B5567" s="87" t="s">
        <v>4529</v>
      </c>
      <c r="C5567" s="12" t="s">
        <v>9</v>
      </c>
      <c r="D5567" s="93">
        <v>46.18</v>
      </c>
      <c r="E5567" s="93">
        <v>19.21</v>
      </c>
      <c r="F5567" s="93">
        <v>26.97</v>
      </c>
      <c r="G5567" s="93">
        <v>0</v>
      </c>
      <c r="H5567" s="93">
        <v>0</v>
      </c>
      <c r="N5567" s="88"/>
      <c r="O5567" s="88"/>
      <c r="P5567" s="88"/>
    </row>
    <row r="5568" spans="1:16">
      <c r="A5568" s="94">
        <v>87748</v>
      </c>
      <c r="B5568" s="87" t="s">
        <v>4530</v>
      </c>
      <c r="C5568" s="12" t="s">
        <v>9</v>
      </c>
      <c r="D5568" s="93">
        <v>77.040000000000006</v>
      </c>
      <c r="E5568" s="93">
        <v>17.68</v>
      </c>
      <c r="F5568" s="93">
        <v>59.13</v>
      </c>
      <c r="G5568" s="93">
        <v>0.13</v>
      </c>
      <c r="H5568" s="93">
        <v>0</v>
      </c>
      <c r="N5568" s="88"/>
      <c r="O5568" s="88"/>
      <c r="P5568" s="88"/>
    </row>
    <row r="5569" spans="1:16">
      <c r="A5569" s="94">
        <v>87749</v>
      </c>
      <c r="B5569" s="87" t="s">
        <v>4531</v>
      </c>
      <c r="C5569" s="12" t="s">
        <v>9</v>
      </c>
      <c r="D5569" s="93">
        <v>82.15</v>
      </c>
      <c r="E5569" s="93">
        <v>20.329999999999998</v>
      </c>
      <c r="F5569" s="93">
        <v>61.82</v>
      </c>
      <c r="G5569" s="93">
        <v>0</v>
      </c>
      <c r="H5569" s="93">
        <v>0</v>
      </c>
      <c r="N5569" s="88"/>
      <c r="O5569" s="88"/>
      <c r="P5569" s="88"/>
    </row>
    <row r="5570" spans="1:16">
      <c r="A5570" s="94">
        <v>87755</v>
      </c>
      <c r="B5570" s="87" t="s">
        <v>4532</v>
      </c>
      <c r="C5570" s="12" t="s">
        <v>9</v>
      </c>
      <c r="D5570" s="93">
        <v>41.3</v>
      </c>
      <c r="E5570" s="93">
        <v>19.12</v>
      </c>
      <c r="F5570" s="93">
        <v>22.09</v>
      </c>
      <c r="G5570" s="93">
        <v>0.05</v>
      </c>
      <c r="H5570" s="93">
        <v>0</v>
      </c>
      <c r="N5570" s="88"/>
      <c r="O5570" s="88"/>
      <c r="P5570" s="88"/>
    </row>
    <row r="5571" spans="1:16">
      <c r="A5571" s="94">
        <v>87757</v>
      </c>
      <c r="B5571" s="87" t="s">
        <v>4533</v>
      </c>
      <c r="C5571" s="12" t="s">
        <v>9</v>
      </c>
      <c r="D5571" s="93">
        <v>43.15</v>
      </c>
      <c r="E5571" s="93">
        <v>19.89</v>
      </c>
      <c r="F5571" s="93">
        <v>23.26</v>
      </c>
      <c r="G5571" s="93">
        <v>0</v>
      </c>
      <c r="H5571" s="93">
        <v>0</v>
      </c>
      <c r="N5571" s="88"/>
      <c r="O5571" s="88"/>
      <c r="P5571" s="88"/>
    </row>
    <row r="5572" spans="1:16">
      <c r="A5572" s="94">
        <v>87758</v>
      </c>
      <c r="B5572" s="87" t="s">
        <v>4534</v>
      </c>
      <c r="C5572" s="12" t="s">
        <v>9</v>
      </c>
      <c r="D5572" s="93">
        <v>74.010000000000005</v>
      </c>
      <c r="E5572" s="93">
        <v>18.36</v>
      </c>
      <c r="F5572" s="93">
        <v>55.42</v>
      </c>
      <c r="G5572" s="93">
        <v>0.13</v>
      </c>
      <c r="H5572" s="93">
        <v>0</v>
      </c>
      <c r="N5572" s="88"/>
      <c r="O5572" s="88"/>
      <c r="P5572" s="88"/>
    </row>
    <row r="5573" spans="1:16">
      <c r="A5573" s="94">
        <v>87759</v>
      </c>
      <c r="B5573" s="87" t="s">
        <v>4535</v>
      </c>
      <c r="C5573" s="12" t="s">
        <v>9</v>
      </c>
      <c r="D5573" s="93">
        <v>79.12</v>
      </c>
      <c r="E5573" s="93">
        <v>21.01</v>
      </c>
      <c r="F5573" s="93">
        <v>58.11</v>
      </c>
      <c r="G5573" s="93">
        <v>0</v>
      </c>
      <c r="H5573" s="93">
        <v>0</v>
      </c>
      <c r="N5573" s="88"/>
      <c r="O5573" s="88"/>
      <c r="P5573" s="88"/>
    </row>
    <row r="5574" spans="1:16">
      <c r="A5574" s="94">
        <v>87765</v>
      </c>
      <c r="B5574" s="87" t="s">
        <v>4536</v>
      </c>
      <c r="C5574" s="12" t="s">
        <v>9</v>
      </c>
      <c r="D5574" s="93">
        <v>47.18</v>
      </c>
      <c r="E5574" s="93">
        <v>20.78</v>
      </c>
      <c r="F5574" s="93">
        <v>26.28</v>
      </c>
      <c r="G5574" s="93">
        <v>0.06</v>
      </c>
      <c r="H5574" s="93">
        <v>0</v>
      </c>
      <c r="N5574" s="88"/>
      <c r="O5574" s="88"/>
      <c r="P5574" s="88"/>
    </row>
    <row r="5575" spans="1:16">
      <c r="A5575" s="94">
        <v>87767</v>
      </c>
      <c r="B5575" s="87" t="s">
        <v>4537</v>
      </c>
      <c r="C5575" s="12" t="s">
        <v>9</v>
      </c>
      <c r="D5575" s="93">
        <v>49.45</v>
      </c>
      <c r="E5575" s="93">
        <v>21.72</v>
      </c>
      <c r="F5575" s="93">
        <v>27.73</v>
      </c>
      <c r="G5575" s="93">
        <v>0</v>
      </c>
      <c r="H5575" s="93">
        <v>0</v>
      </c>
      <c r="N5575" s="88"/>
      <c r="O5575" s="88"/>
      <c r="P5575" s="88"/>
    </row>
    <row r="5576" spans="1:16">
      <c r="A5576" s="94">
        <v>87768</v>
      </c>
      <c r="B5576" s="87" t="s">
        <v>4538</v>
      </c>
      <c r="C5576" s="12" t="s">
        <v>9</v>
      </c>
      <c r="D5576" s="93">
        <v>87.4</v>
      </c>
      <c r="E5576" s="93">
        <v>19.84</v>
      </c>
      <c r="F5576" s="93">
        <v>67.27</v>
      </c>
      <c r="G5576" s="93">
        <v>0.17</v>
      </c>
      <c r="H5576" s="93">
        <v>0</v>
      </c>
      <c r="N5576" s="88"/>
      <c r="O5576" s="88"/>
      <c r="P5576" s="88"/>
    </row>
    <row r="5577" spans="1:16">
      <c r="A5577" s="94">
        <v>87769</v>
      </c>
      <c r="B5577" s="87" t="s">
        <v>4539</v>
      </c>
      <c r="C5577" s="12" t="s">
        <v>9</v>
      </c>
      <c r="D5577" s="93">
        <v>93.69</v>
      </c>
      <c r="E5577" s="93">
        <v>23.11</v>
      </c>
      <c r="F5577" s="93">
        <v>70.58</v>
      </c>
      <c r="G5577" s="93">
        <v>0</v>
      </c>
      <c r="H5577" s="93">
        <v>0</v>
      </c>
      <c r="N5577" s="88"/>
      <c r="O5577" s="88"/>
      <c r="P5577" s="88"/>
    </row>
    <row r="5578" spans="1:16">
      <c r="A5578" s="94">
        <v>88470</v>
      </c>
      <c r="B5578" s="87" t="s">
        <v>444</v>
      </c>
      <c r="C5578" s="12" t="s">
        <v>9</v>
      </c>
      <c r="D5578" s="93">
        <v>18.29</v>
      </c>
      <c r="E5578" s="93">
        <v>3.11</v>
      </c>
      <c r="F5578" s="93">
        <v>15.18</v>
      </c>
      <c r="G5578" s="93">
        <v>0</v>
      </c>
      <c r="H5578" s="93">
        <v>0</v>
      </c>
      <c r="N5578" s="88"/>
      <c r="O5578" s="88"/>
      <c r="P5578" s="88"/>
    </row>
    <row r="5579" spans="1:16">
      <c r="A5579" s="94">
        <v>88471</v>
      </c>
      <c r="B5579" s="87" t="s">
        <v>445</v>
      </c>
      <c r="C5579" s="12" t="s">
        <v>9</v>
      </c>
      <c r="D5579" s="93">
        <v>22.63</v>
      </c>
      <c r="E5579" s="93">
        <v>3.95</v>
      </c>
      <c r="F5579" s="93">
        <v>18.68</v>
      </c>
      <c r="G5579" s="93">
        <v>0</v>
      </c>
      <c r="H5579" s="93">
        <v>0</v>
      </c>
      <c r="N5579" s="88"/>
      <c r="O5579" s="88"/>
      <c r="P5579" s="88"/>
    </row>
    <row r="5580" spans="1:16">
      <c r="A5580" s="94">
        <v>88472</v>
      </c>
      <c r="B5580" s="87" t="s">
        <v>446</v>
      </c>
      <c r="C5580" s="12" t="s">
        <v>9</v>
      </c>
      <c r="D5580" s="93">
        <v>26.03</v>
      </c>
      <c r="E5580" s="93">
        <v>4.5999999999999996</v>
      </c>
      <c r="F5580" s="93">
        <v>21.43</v>
      </c>
      <c r="G5580" s="93">
        <v>0</v>
      </c>
      <c r="H5580" s="93">
        <v>0</v>
      </c>
      <c r="N5580" s="88"/>
      <c r="O5580" s="88"/>
      <c r="P5580" s="88"/>
    </row>
    <row r="5581" spans="1:16">
      <c r="A5581" s="94">
        <v>88476</v>
      </c>
      <c r="B5581" s="87" t="s">
        <v>447</v>
      </c>
      <c r="C5581" s="12" t="s">
        <v>9</v>
      </c>
      <c r="D5581" s="93">
        <v>15.03</v>
      </c>
      <c r="E5581" s="93">
        <v>2.2999999999999998</v>
      </c>
      <c r="F5581" s="93">
        <v>12.73</v>
      </c>
      <c r="G5581" s="93">
        <v>0</v>
      </c>
      <c r="H5581" s="93">
        <v>0</v>
      </c>
      <c r="N5581" s="88"/>
      <c r="O5581" s="88"/>
      <c r="P5581" s="88"/>
    </row>
    <row r="5582" spans="1:16">
      <c r="A5582" s="94">
        <v>88477</v>
      </c>
      <c r="B5582" s="87" t="s">
        <v>448</v>
      </c>
      <c r="C5582" s="12" t="s">
        <v>9</v>
      </c>
      <c r="D5582" s="93">
        <v>20.65</v>
      </c>
      <c r="E5582" s="93">
        <v>3.55</v>
      </c>
      <c r="F5582" s="93">
        <v>17.100000000000001</v>
      </c>
      <c r="G5582" s="93">
        <v>0</v>
      </c>
      <c r="H5582" s="93">
        <v>0</v>
      </c>
      <c r="N5582" s="88"/>
      <c r="O5582" s="88"/>
      <c r="P5582" s="88"/>
    </row>
    <row r="5583" spans="1:16">
      <c r="A5583" s="94">
        <v>88478</v>
      </c>
      <c r="B5583" s="87" t="s">
        <v>449</v>
      </c>
      <c r="C5583" s="12" t="s">
        <v>9</v>
      </c>
      <c r="D5583" s="93">
        <v>25.22</v>
      </c>
      <c r="E5583" s="93">
        <v>4.5599999999999996</v>
      </c>
      <c r="F5583" s="93">
        <v>20.66</v>
      </c>
      <c r="G5583" s="93">
        <v>0</v>
      </c>
      <c r="H5583" s="93">
        <v>0</v>
      </c>
      <c r="N5583" s="88"/>
      <c r="O5583" s="88"/>
      <c r="P5583" s="88"/>
    </row>
    <row r="5584" spans="1:16">
      <c r="A5584" s="94">
        <v>90900</v>
      </c>
      <c r="B5584" s="87" t="s">
        <v>450</v>
      </c>
      <c r="C5584" s="12" t="s">
        <v>9</v>
      </c>
      <c r="D5584" s="93">
        <v>67.430000000000007</v>
      </c>
      <c r="E5584" s="93">
        <v>20.11</v>
      </c>
      <c r="F5584" s="93">
        <v>47.19</v>
      </c>
      <c r="G5584" s="93">
        <v>7.0000000000000007E-2</v>
      </c>
      <c r="H5584" s="93">
        <v>0</v>
      </c>
      <c r="N5584" s="88"/>
      <c r="O5584" s="88"/>
      <c r="P5584" s="88"/>
    </row>
    <row r="5585" spans="1:16">
      <c r="A5585" s="94">
        <v>90902</v>
      </c>
      <c r="B5585" s="87" t="s">
        <v>4540</v>
      </c>
      <c r="C5585" s="12" t="s">
        <v>9</v>
      </c>
      <c r="D5585" s="93">
        <v>70.03</v>
      </c>
      <c r="E5585" s="93">
        <v>21.18</v>
      </c>
      <c r="F5585" s="93">
        <v>48.85</v>
      </c>
      <c r="G5585" s="93">
        <v>0</v>
      </c>
      <c r="H5585" s="93">
        <v>0</v>
      </c>
      <c r="N5585" s="88"/>
      <c r="O5585" s="88"/>
      <c r="P5585" s="88"/>
    </row>
    <row r="5586" spans="1:16">
      <c r="A5586" s="94">
        <v>90903</v>
      </c>
      <c r="B5586" s="87" t="s">
        <v>4541</v>
      </c>
      <c r="C5586" s="12" t="s">
        <v>9</v>
      </c>
      <c r="D5586" s="93">
        <v>113.49</v>
      </c>
      <c r="E5586" s="93">
        <v>19.05</v>
      </c>
      <c r="F5586" s="93">
        <v>94.11</v>
      </c>
      <c r="G5586" s="93">
        <v>0.19</v>
      </c>
      <c r="H5586" s="93">
        <v>0</v>
      </c>
      <c r="N5586" s="88"/>
      <c r="O5586" s="88"/>
      <c r="P5586" s="88"/>
    </row>
    <row r="5587" spans="1:16">
      <c r="A5587" s="94">
        <v>90904</v>
      </c>
      <c r="B5587" s="87" t="s">
        <v>4542</v>
      </c>
      <c r="C5587" s="12" t="s">
        <v>9</v>
      </c>
      <c r="D5587" s="93">
        <v>120.69</v>
      </c>
      <c r="E5587" s="93">
        <v>22.79</v>
      </c>
      <c r="F5587" s="93">
        <v>97.9</v>
      </c>
      <c r="G5587" s="93">
        <v>0</v>
      </c>
      <c r="H5587" s="93">
        <v>0</v>
      </c>
      <c r="N5587" s="88"/>
      <c r="O5587" s="88"/>
      <c r="P5587" s="88"/>
    </row>
    <row r="5588" spans="1:16">
      <c r="A5588" s="94">
        <v>90910</v>
      </c>
      <c r="B5588" s="87" t="s">
        <v>451</v>
      </c>
      <c r="C5588" s="12" t="s">
        <v>9</v>
      </c>
      <c r="D5588" s="93">
        <v>71.540000000000006</v>
      </c>
      <c r="E5588" s="93">
        <v>21.7</v>
      </c>
      <c r="F5588" s="93">
        <v>49.7</v>
      </c>
      <c r="G5588" s="93">
        <v>7.0000000000000007E-2</v>
      </c>
      <c r="H5588" s="93">
        <v>0</v>
      </c>
      <c r="N5588" s="88"/>
      <c r="O5588" s="88"/>
      <c r="P5588" s="88"/>
    </row>
    <row r="5589" spans="1:16">
      <c r="A5589" s="94">
        <v>90912</v>
      </c>
      <c r="B5589" s="87" t="s">
        <v>4543</v>
      </c>
      <c r="C5589" s="12" t="s">
        <v>9</v>
      </c>
      <c r="D5589" s="93">
        <v>74.37</v>
      </c>
      <c r="E5589" s="93">
        <v>22.87</v>
      </c>
      <c r="F5589" s="93">
        <v>51.5</v>
      </c>
      <c r="G5589" s="93">
        <v>0</v>
      </c>
      <c r="H5589" s="93">
        <v>0</v>
      </c>
      <c r="N5589" s="88"/>
      <c r="O5589" s="88"/>
      <c r="P5589" s="88"/>
    </row>
    <row r="5590" spans="1:16">
      <c r="A5590" s="94">
        <v>90913</v>
      </c>
      <c r="B5590" s="87" t="s">
        <v>4544</v>
      </c>
      <c r="C5590" s="12" t="s">
        <v>9</v>
      </c>
      <c r="D5590" s="93">
        <v>121.7</v>
      </c>
      <c r="E5590" s="93">
        <v>20.57</v>
      </c>
      <c r="F5590" s="93">
        <v>100.78</v>
      </c>
      <c r="G5590" s="93">
        <v>0.2</v>
      </c>
      <c r="H5590" s="93">
        <v>0</v>
      </c>
      <c r="N5590" s="88"/>
      <c r="O5590" s="88"/>
      <c r="P5590" s="88"/>
    </row>
    <row r="5591" spans="1:16">
      <c r="A5591" s="94">
        <v>90914</v>
      </c>
      <c r="B5591" s="87" t="s">
        <v>4545</v>
      </c>
      <c r="C5591" s="12" t="s">
        <v>9</v>
      </c>
      <c r="D5591" s="93">
        <v>129.54</v>
      </c>
      <c r="E5591" s="93">
        <v>24.63</v>
      </c>
      <c r="F5591" s="93">
        <v>104.91</v>
      </c>
      <c r="G5591" s="93">
        <v>0</v>
      </c>
      <c r="H5591" s="93">
        <v>0</v>
      </c>
      <c r="N5591" s="88"/>
      <c r="O5591" s="88"/>
      <c r="P5591" s="88"/>
    </row>
    <row r="5592" spans="1:16">
      <c r="A5592" s="94">
        <v>90920</v>
      </c>
      <c r="B5592" s="87" t="s">
        <v>452</v>
      </c>
      <c r="C5592" s="12" t="s">
        <v>9</v>
      </c>
      <c r="D5592" s="93">
        <v>79.11</v>
      </c>
      <c r="E5592" s="93">
        <v>24.66</v>
      </c>
      <c r="F5592" s="93">
        <v>54.28</v>
      </c>
      <c r="G5592" s="93">
        <v>0.09</v>
      </c>
      <c r="H5592" s="93">
        <v>0</v>
      </c>
      <c r="N5592" s="88"/>
      <c r="O5592" s="88"/>
      <c r="P5592" s="88"/>
    </row>
    <row r="5593" spans="1:16">
      <c r="A5593" s="94">
        <v>90922</v>
      </c>
      <c r="B5593" s="87" t="s">
        <v>4546</v>
      </c>
      <c r="C5593" s="12" t="s">
        <v>9</v>
      </c>
      <c r="D5593" s="93">
        <v>82.36</v>
      </c>
      <c r="E5593" s="93">
        <v>26.01</v>
      </c>
      <c r="F5593" s="93">
        <v>56.35</v>
      </c>
      <c r="G5593" s="93">
        <v>0</v>
      </c>
      <c r="H5593" s="93">
        <v>0</v>
      </c>
      <c r="N5593" s="88"/>
      <c r="O5593" s="88"/>
      <c r="P5593" s="88"/>
    </row>
    <row r="5594" spans="1:16">
      <c r="A5594" s="94">
        <v>90923</v>
      </c>
      <c r="B5594" s="87" t="s">
        <v>4547</v>
      </c>
      <c r="C5594" s="12" t="s">
        <v>9</v>
      </c>
      <c r="D5594" s="93">
        <v>136.78</v>
      </c>
      <c r="E5594" s="93">
        <v>23.35</v>
      </c>
      <c r="F5594" s="93">
        <v>113.01</v>
      </c>
      <c r="G5594" s="93">
        <v>0.24</v>
      </c>
      <c r="H5594" s="93">
        <v>0</v>
      </c>
      <c r="N5594" s="88"/>
      <c r="O5594" s="88"/>
      <c r="P5594" s="88"/>
    </row>
    <row r="5595" spans="1:16">
      <c r="A5595" s="94">
        <v>90924</v>
      </c>
      <c r="B5595" s="87" t="s">
        <v>4548</v>
      </c>
      <c r="C5595" s="12" t="s">
        <v>9</v>
      </c>
      <c r="D5595" s="93">
        <v>145.80000000000001</v>
      </c>
      <c r="E5595" s="93">
        <v>28.03</v>
      </c>
      <c r="F5595" s="93">
        <v>117.77</v>
      </c>
      <c r="G5595" s="93">
        <v>0</v>
      </c>
      <c r="H5595" s="93">
        <v>0</v>
      </c>
      <c r="N5595" s="88"/>
      <c r="O5595" s="88"/>
      <c r="P5595" s="88"/>
    </row>
    <row r="5596" spans="1:16">
      <c r="A5596" s="94">
        <v>90930</v>
      </c>
      <c r="B5596" s="87" t="s">
        <v>453</v>
      </c>
      <c r="C5596" s="12" t="s">
        <v>9</v>
      </c>
      <c r="D5596" s="93">
        <v>61.86</v>
      </c>
      <c r="E5596" s="93">
        <v>16.22</v>
      </c>
      <c r="F5596" s="93">
        <v>45.51</v>
      </c>
      <c r="G5596" s="93">
        <v>7.0000000000000007E-2</v>
      </c>
      <c r="H5596" s="93">
        <v>0</v>
      </c>
      <c r="N5596" s="88"/>
      <c r="O5596" s="88"/>
      <c r="P5596" s="88"/>
    </row>
    <row r="5597" spans="1:16">
      <c r="A5597" s="94">
        <v>90932</v>
      </c>
      <c r="B5597" s="87" t="s">
        <v>4549</v>
      </c>
      <c r="C5597" s="12" t="s">
        <v>9</v>
      </c>
      <c r="D5597" s="93">
        <v>64.459999999999994</v>
      </c>
      <c r="E5597" s="93">
        <v>17.3</v>
      </c>
      <c r="F5597" s="93">
        <v>47.16</v>
      </c>
      <c r="G5597" s="93">
        <v>0</v>
      </c>
      <c r="H5597" s="93">
        <v>0</v>
      </c>
      <c r="N5597" s="88"/>
      <c r="O5597" s="88"/>
      <c r="P5597" s="88"/>
    </row>
    <row r="5598" spans="1:16">
      <c r="A5598" s="94">
        <v>90933</v>
      </c>
      <c r="B5598" s="87" t="s">
        <v>4550</v>
      </c>
      <c r="C5598" s="12" t="s">
        <v>9</v>
      </c>
      <c r="D5598" s="93">
        <v>107.92</v>
      </c>
      <c r="E5598" s="93">
        <v>15.17</v>
      </c>
      <c r="F5598" s="93">
        <v>92.42</v>
      </c>
      <c r="G5598" s="93">
        <v>0.19</v>
      </c>
      <c r="H5598" s="93">
        <v>0</v>
      </c>
      <c r="N5598" s="88"/>
      <c r="O5598" s="88"/>
      <c r="P5598" s="88"/>
    </row>
    <row r="5599" spans="1:16">
      <c r="A5599" s="94">
        <v>90934</v>
      </c>
      <c r="B5599" s="87" t="s">
        <v>4551</v>
      </c>
      <c r="C5599" s="12" t="s">
        <v>9</v>
      </c>
      <c r="D5599" s="93">
        <v>115.12</v>
      </c>
      <c r="E5599" s="93">
        <v>18.91</v>
      </c>
      <c r="F5599" s="93">
        <v>96.21</v>
      </c>
      <c r="G5599" s="93">
        <v>0</v>
      </c>
      <c r="H5599" s="93">
        <v>0</v>
      </c>
      <c r="N5599" s="88"/>
      <c r="O5599" s="88"/>
      <c r="P5599" s="88"/>
    </row>
    <row r="5600" spans="1:16">
      <c r="A5600" s="94">
        <v>90940</v>
      </c>
      <c r="B5600" s="87" t="s">
        <v>454</v>
      </c>
      <c r="C5600" s="12" t="s">
        <v>9</v>
      </c>
      <c r="D5600" s="93">
        <v>66</v>
      </c>
      <c r="E5600" s="93">
        <v>17.84</v>
      </c>
      <c r="F5600" s="93">
        <v>48.02</v>
      </c>
      <c r="G5600" s="93">
        <v>7.0000000000000007E-2</v>
      </c>
      <c r="H5600" s="93">
        <v>0</v>
      </c>
      <c r="N5600" s="88"/>
      <c r="O5600" s="88"/>
      <c r="P5600" s="88"/>
    </row>
    <row r="5601" spans="1:16">
      <c r="A5601" s="94">
        <v>90942</v>
      </c>
      <c r="B5601" s="87" t="s">
        <v>4552</v>
      </c>
      <c r="C5601" s="12" t="s">
        <v>9</v>
      </c>
      <c r="D5601" s="93">
        <v>68.83</v>
      </c>
      <c r="E5601" s="93">
        <v>19.010000000000002</v>
      </c>
      <c r="F5601" s="93">
        <v>49.82</v>
      </c>
      <c r="G5601" s="93">
        <v>0</v>
      </c>
      <c r="H5601" s="93">
        <v>0</v>
      </c>
      <c r="N5601" s="88"/>
      <c r="O5601" s="88"/>
      <c r="P5601" s="88"/>
    </row>
    <row r="5602" spans="1:16">
      <c r="A5602" s="94">
        <v>90943</v>
      </c>
      <c r="B5602" s="87" t="s">
        <v>4553</v>
      </c>
      <c r="C5602" s="12" t="s">
        <v>9</v>
      </c>
      <c r="D5602" s="93">
        <v>116.16</v>
      </c>
      <c r="E5602" s="93">
        <v>16.7</v>
      </c>
      <c r="F5602" s="93">
        <v>99.11</v>
      </c>
      <c r="G5602" s="93">
        <v>0.2</v>
      </c>
      <c r="H5602" s="93">
        <v>0</v>
      </c>
      <c r="N5602" s="88"/>
      <c r="O5602" s="88"/>
      <c r="P5602" s="88"/>
    </row>
    <row r="5603" spans="1:16">
      <c r="A5603" s="94">
        <v>90944</v>
      </c>
      <c r="B5603" s="87" t="s">
        <v>4554</v>
      </c>
      <c r="C5603" s="12" t="s">
        <v>9</v>
      </c>
      <c r="D5603" s="93">
        <v>124</v>
      </c>
      <c r="E5603" s="93">
        <v>20.76</v>
      </c>
      <c r="F5603" s="93">
        <v>103.24</v>
      </c>
      <c r="G5603" s="93">
        <v>0</v>
      </c>
      <c r="H5603" s="93">
        <v>0</v>
      </c>
      <c r="N5603" s="88"/>
      <c r="O5603" s="88"/>
      <c r="P5603" s="88"/>
    </row>
    <row r="5604" spans="1:16">
      <c r="A5604" s="94">
        <v>90950</v>
      </c>
      <c r="B5604" s="87" t="s">
        <v>455</v>
      </c>
      <c r="C5604" s="12" t="s">
        <v>9</v>
      </c>
      <c r="D5604" s="93">
        <v>73.540000000000006</v>
      </c>
      <c r="E5604" s="93">
        <v>20.76</v>
      </c>
      <c r="F5604" s="93">
        <v>52.61</v>
      </c>
      <c r="G5604" s="93">
        <v>0.09</v>
      </c>
      <c r="H5604" s="93">
        <v>0</v>
      </c>
      <c r="N5604" s="88"/>
      <c r="O5604" s="88"/>
      <c r="P5604" s="88"/>
    </row>
    <row r="5605" spans="1:16">
      <c r="A5605" s="94">
        <v>90952</v>
      </c>
      <c r="B5605" s="87" t="s">
        <v>4555</v>
      </c>
      <c r="C5605" s="12" t="s">
        <v>9</v>
      </c>
      <c r="D5605" s="93">
        <v>76.790000000000006</v>
      </c>
      <c r="E5605" s="93">
        <v>22.12</v>
      </c>
      <c r="F5605" s="93">
        <v>54.67</v>
      </c>
      <c r="G5605" s="93">
        <v>0</v>
      </c>
      <c r="H5605" s="93">
        <v>0</v>
      </c>
      <c r="N5605" s="88"/>
      <c r="O5605" s="88"/>
      <c r="P5605" s="88"/>
    </row>
    <row r="5606" spans="1:16">
      <c r="A5606" s="94">
        <v>90953</v>
      </c>
      <c r="B5606" s="87" t="s">
        <v>4556</v>
      </c>
      <c r="C5606" s="12" t="s">
        <v>9</v>
      </c>
      <c r="D5606" s="93">
        <v>131.21</v>
      </c>
      <c r="E5606" s="93">
        <v>19.46</v>
      </c>
      <c r="F5606" s="93">
        <v>111.33</v>
      </c>
      <c r="G5606" s="93">
        <v>0.24</v>
      </c>
      <c r="H5606" s="93">
        <v>0</v>
      </c>
      <c r="N5606" s="88"/>
      <c r="O5606" s="88"/>
      <c r="P5606" s="88"/>
    </row>
    <row r="5607" spans="1:16">
      <c r="A5607" s="94">
        <v>90954</v>
      </c>
      <c r="B5607" s="87" t="s">
        <v>4557</v>
      </c>
      <c r="C5607" s="12" t="s">
        <v>9</v>
      </c>
      <c r="D5607" s="93">
        <v>140.22999999999999</v>
      </c>
      <c r="E5607" s="93">
        <v>24.13</v>
      </c>
      <c r="F5607" s="93">
        <v>116.1</v>
      </c>
      <c r="G5607" s="93">
        <v>0</v>
      </c>
      <c r="H5607" s="93">
        <v>0</v>
      </c>
      <c r="N5607" s="88"/>
      <c r="O5607" s="88"/>
      <c r="P5607" s="88"/>
    </row>
    <row r="5608" spans="1:16">
      <c r="A5608" s="94">
        <v>94438</v>
      </c>
      <c r="B5608" s="87" t="s">
        <v>4558</v>
      </c>
      <c r="C5608" s="12" t="s">
        <v>9</v>
      </c>
      <c r="D5608" s="93">
        <v>38.229999999999997</v>
      </c>
      <c r="E5608" s="93">
        <v>14.3</v>
      </c>
      <c r="F5608" s="93">
        <v>23.9</v>
      </c>
      <c r="G5608" s="93">
        <v>0.01</v>
      </c>
      <c r="H5608" s="93">
        <v>0</v>
      </c>
      <c r="N5608" s="88"/>
      <c r="O5608" s="88"/>
      <c r="P5608" s="88"/>
    </row>
    <row r="5609" spans="1:16">
      <c r="A5609" s="94">
        <v>94439</v>
      </c>
      <c r="B5609" s="87" t="s">
        <v>4559</v>
      </c>
      <c r="C5609" s="12" t="s">
        <v>9</v>
      </c>
      <c r="D5609" s="93">
        <v>42.92</v>
      </c>
      <c r="E5609" s="93">
        <v>15.61</v>
      </c>
      <c r="F5609" s="93">
        <v>27.26</v>
      </c>
      <c r="G5609" s="93">
        <v>0.02</v>
      </c>
      <c r="H5609" s="93">
        <v>0</v>
      </c>
      <c r="N5609" s="88"/>
      <c r="O5609" s="88"/>
      <c r="P5609" s="88"/>
    </row>
    <row r="5610" spans="1:16">
      <c r="A5610" s="94">
        <v>94779</v>
      </c>
      <c r="B5610" s="87" t="s">
        <v>4560</v>
      </c>
      <c r="C5610" s="12" t="s">
        <v>9</v>
      </c>
      <c r="D5610" s="93">
        <v>37.18</v>
      </c>
      <c r="E5610" s="93">
        <v>13.35</v>
      </c>
      <c r="F5610" s="93">
        <v>23.78</v>
      </c>
      <c r="G5610" s="93">
        <v>0.02</v>
      </c>
      <c r="H5610" s="93">
        <v>0</v>
      </c>
      <c r="N5610" s="88"/>
      <c r="O5610" s="88"/>
      <c r="P5610" s="88"/>
    </row>
    <row r="5611" spans="1:16">
      <c r="A5611" s="94">
        <v>94782</v>
      </c>
      <c r="B5611" s="87" t="s">
        <v>4561</v>
      </c>
      <c r="C5611" s="12" t="s">
        <v>9</v>
      </c>
      <c r="D5611" s="93">
        <v>42.4</v>
      </c>
      <c r="E5611" s="93">
        <v>14.84</v>
      </c>
      <c r="F5611" s="93">
        <v>27.49</v>
      </c>
      <c r="G5611" s="93">
        <v>0.03</v>
      </c>
      <c r="H5611" s="93">
        <v>0</v>
      </c>
      <c r="N5611" s="88"/>
      <c r="O5611" s="88"/>
      <c r="P5611" s="88"/>
    </row>
    <row r="5612" spans="1:16">
      <c r="A5612" s="94">
        <v>101742</v>
      </c>
      <c r="B5612" s="87" t="s">
        <v>6279</v>
      </c>
      <c r="C5612" s="12" t="s">
        <v>6</v>
      </c>
      <c r="D5612" s="93">
        <v>46.33</v>
      </c>
      <c r="E5612" s="93">
        <v>14.88</v>
      </c>
      <c r="F5612" s="93">
        <v>31.45</v>
      </c>
      <c r="G5612" s="93">
        <v>0</v>
      </c>
      <c r="H5612" s="93">
        <v>0</v>
      </c>
      <c r="N5612" s="88"/>
      <c r="O5612" s="88"/>
      <c r="P5612" s="88"/>
    </row>
    <row r="5613" spans="1:16">
      <c r="A5613" s="94">
        <v>87871</v>
      </c>
      <c r="B5613" s="87" t="s">
        <v>4562</v>
      </c>
      <c r="C5613" s="12" t="s">
        <v>9</v>
      </c>
      <c r="D5613" s="93">
        <v>10.53</v>
      </c>
      <c r="E5613" s="93">
        <v>3.08</v>
      </c>
      <c r="F5613" s="93">
        <v>7.45</v>
      </c>
      <c r="G5613" s="93">
        <v>0</v>
      </c>
      <c r="H5613" s="93">
        <v>0</v>
      </c>
      <c r="N5613" s="88"/>
      <c r="O5613" s="88"/>
      <c r="P5613" s="88"/>
    </row>
    <row r="5614" spans="1:16">
      <c r="A5614" s="94">
        <v>87872</v>
      </c>
      <c r="B5614" s="87" t="s">
        <v>4563</v>
      </c>
      <c r="C5614" s="12" t="s">
        <v>9</v>
      </c>
      <c r="D5614" s="93">
        <v>10.11</v>
      </c>
      <c r="E5614" s="93">
        <v>2.87</v>
      </c>
      <c r="F5614" s="93">
        <v>7.24</v>
      </c>
      <c r="G5614" s="93">
        <v>0</v>
      </c>
      <c r="H5614" s="93">
        <v>0</v>
      </c>
      <c r="N5614" s="88"/>
      <c r="O5614" s="88"/>
      <c r="P5614" s="88"/>
    </row>
    <row r="5615" spans="1:16">
      <c r="A5615" s="94">
        <v>87873</v>
      </c>
      <c r="B5615" s="87" t="s">
        <v>456</v>
      </c>
      <c r="C5615" s="12" t="s">
        <v>9</v>
      </c>
      <c r="D5615" s="93">
        <v>4.09</v>
      </c>
      <c r="E5615" s="93">
        <v>0.93</v>
      </c>
      <c r="F5615" s="93">
        <v>3.16</v>
      </c>
      <c r="G5615" s="93">
        <v>0</v>
      </c>
      <c r="H5615" s="93">
        <v>0</v>
      </c>
      <c r="N5615" s="88"/>
      <c r="O5615" s="88"/>
      <c r="P5615" s="88"/>
    </row>
    <row r="5616" spans="1:16">
      <c r="A5616" s="94">
        <v>87874</v>
      </c>
      <c r="B5616" s="87" t="s">
        <v>457</v>
      </c>
      <c r="C5616" s="12" t="s">
        <v>9</v>
      </c>
      <c r="D5616" s="93">
        <v>4.03</v>
      </c>
      <c r="E5616" s="93">
        <v>0.91</v>
      </c>
      <c r="F5616" s="93">
        <v>3.12</v>
      </c>
      <c r="G5616" s="93">
        <v>0</v>
      </c>
      <c r="H5616" s="93">
        <v>0</v>
      </c>
      <c r="N5616" s="88"/>
      <c r="O5616" s="88"/>
      <c r="P5616" s="88"/>
    </row>
    <row r="5617" spans="1:16">
      <c r="A5617" s="94">
        <v>87876</v>
      </c>
      <c r="B5617" s="87" t="s">
        <v>4564</v>
      </c>
      <c r="C5617" s="12" t="s">
        <v>9</v>
      </c>
      <c r="D5617" s="93">
        <v>6.23</v>
      </c>
      <c r="E5617" s="93">
        <v>1</v>
      </c>
      <c r="F5617" s="93">
        <v>5.23</v>
      </c>
      <c r="G5617" s="93">
        <v>0</v>
      </c>
      <c r="H5617" s="93">
        <v>0</v>
      </c>
      <c r="N5617" s="88"/>
      <c r="O5617" s="88"/>
      <c r="P5617" s="88"/>
    </row>
    <row r="5618" spans="1:16">
      <c r="A5618" s="94">
        <v>87877</v>
      </c>
      <c r="B5618" s="87" t="s">
        <v>458</v>
      </c>
      <c r="C5618" s="12" t="s">
        <v>9</v>
      </c>
      <c r="D5618" s="93">
        <v>6.02</v>
      </c>
      <c r="E5618" s="93">
        <v>0.9</v>
      </c>
      <c r="F5618" s="93">
        <v>5.12</v>
      </c>
      <c r="G5618" s="93">
        <v>0</v>
      </c>
      <c r="H5618" s="93">
        <v>0</v>
      </c>
      <c r="N5618" s="88"/>
      <c r="O5618" s="88"/>
      <c r="P5618" s="88"/>
    </row>
    <row r="5619" spans="1:16">
      <c r="A5619" s="94">
        <v>87878</v>
      </c>
      <c r="B5619" s="87" t="s">
        <v>4565</v>
      </c>
      <c r="C5619" s="12" t="s">
        <v>9</v>
      </c>
      <c r="D5619" s="93">
        <v>3.65</v>
      </c>
      <c r="E5619" s="93">
        <v>1.79</v>
      </c>
      <c r="F5619" s="93">
        <v>1.86</v>
      </c>
      <c r="G5619" s="93">
        <v>0</v>
      </c>
      <c r="H5619" s="93">
        <v>0</v>
      </c>
      <c r="N5619" s="88"/>
      <c r="O5619" s="88"/>
      <c r="P5619" s="88"/>
    </row>
    <row r="5620" spans="1:16">
      <c r="A5620" s="94">
        <v>87879</v>
      </c>
      <c r="B5620" s="87" t="s">
        <v>4566</v>
      </c>
      <c r="C5620" s="12" t="s">
        <v>9</v>
      </c>
      <c r="D5620" s="93">
        <v>3.41</v>
      </c>
      <c r="E5620" s="93">
        <v>1.67</v>
      </c>
      <c r="F5620" s="93">
        <v>1.74</v>
      </c>
      <c r="G5620" s="93">
        <v>0</v>
      </c>
      <c r="H5620" s="93">
        <v>0</v>
      </c>
      <c r="N5620" s="88"/>
      <c r="O5620" s="88"/>
      <c r="P5620" s="88"/>
    </row>
    <row r="5621" spans="1:16">
      <c r="A5621" s="94">
        <v>87881</v>
      </c>
      <c r="B5621" s="87" t="s">
        <v>4567</v>
      </c>
      <c r="C5621" s="12" t="s">
        <v>9</v>
      </c>
      <c r="D5621" s="93">
        <v>3.99</v>
      </c>
      <c r="E5621" s="93">
        <v>0.84</v>
      </c>
      <c r="F5621" s="93">
        <v>3.15</v>
      </c>
      <c r="G5621" s="93">
        <v>0</v>
      </c>
      <c r="H5621" s="93">
        <v>0</v>
      </c>
      <c r="N5621" s="88"/>
      <c r="O5621" s="88"/>
      <c r="P5621" s="88"/>
    </row>
    <row r="5622" spans="1:16">
      <c r="A5622" s="94">
        <v>87882</v>
      </c>
      <c r="B5622" s="87" t="s">
        <v>4568</v>
      </c>
      <c r="C5622" s="12" t="s">
        <v>9</v>
      </c>
      <c r="D5622" s="93">
        <v>3.93</v>
      </c>
      <c r="E5622" s="93">
        <v>0.82</v>
      </c>
      <c r="F5622" s="93">
        <v>3.11</v>
      </c>
      <c r="G5622" s="93">
        <v>0</v>
      </c>
      <c r="H5622" s="93">
        <v>0</v>
      </c>
      <c r="N5622" s="88"/>
      <c r="O5622" s="88"/>
      <c r="P5622" s="88"/>
    </row>
    <row r="5623" spans="1:16">
      <c r="A5623" s="94">
        <v>87884</v>
      </c>
      <c r="B5623" s="87" t="s">
        <v>4569</v>
      </c>
      <c r="C5623" s="12" t="s">
        <v>9</v>
      </c>
      <c r="D5623" s="93">
        <v>6.13</v>
      </c>
      <c r="E5623" s="93">
        <v>0.92</v>
      </c>
      <c r="F5623" s="93">
        <v>5.21</v>
      </c>
      <c r="G5623" s="93">
        <v>0</v>
      </c>
      <c r="H5623" s="93">
        <v>0</v>
      </c>
      <c r="N5623" s="88"/>
      <c r="O5623" s="88"/>
      <c r="P5623" s="88"/>
    </row>
    <row r="5624" spans="1:16">
      <c r="A5624" s="94">
        <v>87885</v>
      </c>
      <c r="B5624" s="87" t="s">
        <v>4570</v>
      </c>
      <c r="C5624" s="12" t="s">
        <v>9</v>
      </c>
      <c r="D5624" s="93">
        <v>5.92</v>
      </c>
      <c r="E5624" s="93">
        <v>0.81</v>
      </c>
      <c r="F5624" s="93">
        <v>5.1100000000000003</v>
      </c>
      <c r="G5624" s="93">
        <v>0</v>
      </c>
      <c r="H5624" s="93">
        <v>0</v>
      </c>
      <c r="N5624" s="88"/>
      <c r="O5624" s="88"/>
      <c r="P5624" s="88"/>
    </row>
    <row r="5625" spans="1:16">
      <c r="A5625" s="94">
        <v>87886</v>
      </c>
      <c r="B5625" s="87" t="s">
        <v>4571</v>
      </c>
      <c r="C5625" s="12" t="s">
        <v>9</v>
      </c>
      <c r="D5625" s="93">
        <v>16.18</v>
      </c>
      <c r="E5625" s="93">
        <v>7.52</v>
      </c>
      <c r="F5625" s="93">
        <v>8.66</v>
      </c>
      <c r="G5625" s="93">
        <v>0</v>
      </c>
      <c r="H5625" s="93">
        <v>0</v>
      </c>
      <c r="N5625" s="88"/>
      <c r="O5625" s="88"/>
      <c r="P5625" s="88"/>
    </row>
    <row r="5626" spans="1:16">
      <c r="A5626" s="94">
        <v>87887</v>
      </c>
      <c r="B5626" s="87" t="s">
        <v>4572</v>
      </c>
      <c r="C5626" s="12" t="s">
        <v>9</v>
      </c>
      <c r="D5626" s="93">
        <v>15.76</v>
      </c>
      <c r="E5626" s="93">
        <v>7.31</v>
      </c>
      <c r="F5626" s="93">
        <v>8.4499999999999993</v>
      </c>
      <c r="G5626" s="93">
        <v>0</v>
      </c>
      <c r="H5626" s="93">
        <v>0</v>
      </c>
      <c r="N5626" s="88"/>
      <c r="O5626" s="88"/>
      <c r="P5626" s="88"/>
    </row>
    <row r="5627" spans="1:16">
      <c r="A5627" s="94">
        <v>87888</v>
      </c>
      <c r="B5627" s="87" t="s">
        <v>459</v>
      </c>
      <c r="C5627" s="12" t="s">
        <v>9</v>
      </c>
      <c r="D5627" s="93">
        <v>5.24</v>
      </c>
      <c r="E5627" s="93">
        <v>1.81</v>
      </c>
      <c r="F5627" s="93">
        <v>3.43</v>
      </c>
      <c r="G5627" s="93">
        <v>0</v>
      </c>
      <c r="H5627" s="93">
        <v>0</v>
      </c>
      <c r="N5627" s="88"/>
      <c r="O5627" s="88"/>
      <c r="P5627" s="88"/>
    </row>
    <row r="5628" spans="1:16">
      <c r="A5628" s="94">
        <v>87889</v>
      </c>
      <c r="B5628" s="87" t="s">
        <v>4573</v>
      </c>
      <c r="C5628" s="12" t="s">
        <v>9</v>
      </c>
      <c r="D5628" s="93">
        <v>5.18</v>
      </c>
      <c r="E5628" s="93">
        <v>1.79</v>
      </c>
      <c r="F5628" s="93">
        <v>3.39</v>
      </c>
      <c r="G5628" s="93">
        <v>0</v>
      </c>
      <c r="H5628" s="93">
        <v>0</v>
      </c>
      <c r="N5628" s="88"/>
      <c r="O5628" s="88"/>
      <c r="P5628" s="88"/>
    </row>
    <row r="5629" spans="1:16">
      <c r="A5629" s="94">
        <v>87891</v>
      </c>
      <c r="B5629" s="87" t="s">
        <v>4574</v>
      </c>
      <c r="C5629" s="12" t="s">
        <v>9</v>
      </c>
      <c r="D5629" s="93">
        <v>7.38</v>
      </c>
      <c r="E5629" s="93">
        <v>1.88</v>
      </c>
      <c r="F5629" s="93">
        <v>5.5</v>
      </c>
      <c r="G5629" s="93">
        <v>0</v>
      </c>
      <c r="H5629" s="93">
        <v>0</v>
      </c>
      <c r="N5629" s="88"/>
      <c r="O5629" s="88"/>
      <c r="P5629" s="88"/>
    </row>
    <row r="5630" spans="1:16">
      <c r="A5630" s="94">
        <v>87892</v>
      </c>
      <c r="B5630" s="87" t="s">
        <v>4575</v>
      </c>
      <c r="C5630" s="12" t="s">
        <v>9</v>
      </c>
      <c r="D5630" s="93">
        <v>7.17</v>
      </c>
      <c r="E5630" s="93">
        <v>1.77</v>
      </c>
      <c r="F5630" s="93">
        <v>5.4</v>
      </c>
      <c r="G5630" s="93">
        <v>0</v>
      </c>
      <c r="H5630" s="93">
        <v>0</v>
      </c>
      <c r="N5630" s="88"/>
      <c r="O5630" s="88"/>
      <c r="P5630" s="88"/>
    </row>
    <row r="5631" spans="1:16">
      <c r="A5631" s="94">
        <v>87893</v>
      </c>
      <c r="B5631" s="87" t="s">
        <v>460</v>
      </c>
      <c r="C5631" s="12" t="s">
        <v>9</v>
      </c>
      <c r="D5631" s="93">
        <v>5.66</v>
      </c>
      <c r="E5631" s="93">
        <v>3.32</v>
      </c>
      <c r="F5631" s="93">
        <v>2.34</v>
      </c>
      <c r="G5631" s="93">
        <v>0</v>
      </c>
      <c r="H5631" s="93">
        <v>0</v>
      </c>
      <c r="N5631" s="88"/>
      <c r="O5631" s="88"/>
      <c r="P5631" s="88"/>
    </row>
    <row r="5632" spans="1:16">
      <c r="A5632" s="94">
        <v>87894</v>
      </c>
      <c r="B5632" s="87" t="s">
        <v>461</v>
      </c>
      <c r="C5632" s="12" t="s">
        <v>9</v>
      </c>
      <c r="D5632" s="93">
        <v>5.42</v>
      </c>
      <c r="E5632" s="93">
        <v>3.2</v>
      </c>
      <c r="F5632" s="93">
        <v>2.2200000000000002</v>
      </c>
      <c r="G5632" s="93">
        <v>0</v>
      </c>
      <c r="H5632" s="93">
        <v>0</v>
      </c>
      <c r="N5632" s="88"/>
      <c r="O5632" s="88"/>
      <c r="P5632" s="88"/>
    </row>
    <row r="5633" spans="1:16">
      <c r="A5633" s="94">
        <v>87896</v>
      </c>
      <c r="B5633" s="87" t="s">
        <v>462</v>
      </c>
      <c r="C5633" s="12" t="s">
        <v>9</v>
      </c>
      <c r="D5633" s="93">
        <v>5.13</v>
      </c>
      <c r="E5633" s="93">
        <v>2.57</v>
      </c>
      <c r="F5633" s="93">
        <v>2.12</v>
      </c>
      <c r="G5633" s="93">
        <v>0.44</v>
      </c>
      <c r="H5633" s="93">
        <v>0</v>
      </c>
      <c r="N5633" s="88"/>
      <c r="O5633" s="88"/>
      <c r="P5633" s="88"/>
    </row>
    <row r="5634" spans="1:16">
      <c r="A5634" s="94">
        <v>87897</v>
      </c>
      <c r="B5634" s="87" t="s">
        <v>463</v>
      </c>
      <c r="C5634" s="12" t="s">
        <v>9</v>
      </c>
      <c r="D5634" s="93">
        <v>4.8899999999999997</v>
      </c>
      <c r="E5634" s="93">
        <v>2.4500000000000002</v>
      </c>
      <c r="F5634" s="93">
        <v>2</v>
      </c>
      <c r="G5634" s="93">
        <v>0.44</v>
      </c>
      <c r="H5634" s="93">
        <v>0</v>
      </c>
      <c r="N5634" s="88"/>
      <c r="O5634" s="88"/>
      <c r="P5634" s="88"/>
    </row>
    <row r="5635" spans="1:16">
      <c r="A5635" s="94">
        <v>87899</v>
      </c>
      <c r="B5635" s="87" t="s">
        <v>464</v>
      </c>
      <c r="C5635" s="12" t="s">
        <v>9</v>
      </c>
      <c r="D5635" s="93">
        <v>6.27</v>
      </c>
      <c r="E5635" s="93">
        <v>2.6</v>
      </c>
      <c r="F5635" s="93">
        <v>3.67</v>
      </c>
      <c r="G5635" s="93">
        <v>0</v>
      </c>
      <c r="H5635" s="93">
        <v>0</v>
      </c>
      <c r="N5635" s="88"/>
      <c r="O5635" s="88"/>
      <c r="P5635" s="88"/>
    </row>
    <row r="5636" spans="1:16">
      <c r="A5636" s="94">
        <v>87900</v>
      </c>
      <c r="B5636" s="87" t="s">
        <v>4576</v>
      </c>
      <c r="C5636" s="12" t="s">
        <v>9</v>
      </c>
      <c r="D5636" s="93">
        <v>6.21</v>
      </c>
      <c r="E5636" s="93">
        <v>2.58</v>
      </c>
      <c r="F5636" s="93">
        <v>3.63</v>
      </c>
      <c r="G5636" s="93">
        <v>0</v>
      </c>
      <c r="H5636" s="93">
        <v>0</v>
      </c>
      <c r="N5636" s="88"/>
      <c r="O5636" s="88"/>
      <c r="P5636" s="88"/>
    </row>
    <row r="5637" spans="1:16">
      <c r="A5637" s="94">
        <v>87902</v>
      </c>
      <c r="B5637" s="87" t="s">
        <v>4577</v>
      </c>
      <c r="C5637" s="12" t="s">
        <v>9</v>
      </c>
      <c r="D5637" s="93">
        <v>8.41</v>
      </c>
      <c r="E5637" s="93">
        <v>2.68</v>
      </c>
      <c r="F5637" s="93">
        <v>5.73</v>
      </c>
      <c r="G5637" s="93">
        <v>0</v>
      </c>
      <c r="H5637" s="93">
        <v>0</v>
      </c>
      <c r="N5637" s="88"/>
      <c r="O5637" s="88"/>
      <c r="P5637" s="88"/>
    </row>
    <row r="5638" spans="1:16">
      <c r="A5638" s="94">
        <v>87903</v>
      </c>
      <c r="B5638" s="87" t="s">
        <v>4578</v>
      </c>
      <c r="C5638" s="12" t="s">
        <v>9</v>
      </c>
      <c r="D5638" s="93">
        <v>8.1999999999999993</v>
      </c>
      <c r="E5638" s="93">
        <v>2.57</v>
      </c>
      <c r="F5638" s="93">
        <v>5.63</v>
      </c>
      <c r="G5638" s="93">
        <v>0</v>
      </c>
      <c r="H5638" s="93">
        <v>0</v>
      </c>
      <c r="N5638" s="88"/>
      <c r="O5638" s="88"/>
      <c r="P5638" s="88"/>
    </row>
    <row r="5639" spans="1:16">
      <c r="A5639" s="94">
        <v>87904</v>
      </c>
      <c r="B5639" s="87" t="s">
        <v>465</v>
      </c>
      <c r="C5639" s="12" t="s">
        <v>9</v>
      </c>
      <c r="D5639" s="93">
        <v>7.38</v>
      </c>
      <c r="E5639" s="93">
        <v>4.6399999999999997</v>
      </c>
      <c r="F5639" s="93">
        <v>2.74</v>
      </c>
      <c r="G5639" s="93">
        <v>0</v>
      </c>
      <c r="H5639" s="93">
        <v>0</v>
      </c>
      <c r="N5639" s="88"/>
      <c r="O5639" s="88"/>
      <c r="P5639" s="88"/>
    </row>
    <row r="5640" spans="1:16">
      <c r="A5640" s="94">
        <v>87905</v>
      </c>
      <c r="B5640" s="87" t="s">
        <v>466</v>
      </c>
      <c r="C5640" s="12" t="s">
        <v>9</v>
      </c>
      <c r="D5640" s="93">
        <v>7.14</v>
      </c>
      <c r="E5640" s="93">
        <v>4.5199999999999996</v>
      </c>
      <c r="F5640" s="93">
        <v>2.62</v>
      </c>
      <c r="G5640" s="93">
        <v>0</v>
      </c>
      <c r="H5640" s="93">
        <v>0</v>
      </c>
      <c r="N5640" s="88"/>
      <c r="O5640" s="88"/>
      <c r="P5640" s="88"/>
    </row>
    <row r="5641" spans="1:16">
      <c r="A5641" s="94">
        <v>87907</v>
      </c>
      <c r="B5641" s="87" t="s">
        <v>467</v>
      </c>
      <c r="C5641" s="12" t="s">
        <v>9</v>
      </c>
      <c r="D5641" s="93">
        <v>6.62</v>
      </c>
      <c r="E5641" s="93">
        <v>3.55</v>
      </c>
      <c r="F5641" s="93">
        <v>2.4</v>
      </c>
      <c r="G5641" s="93">
        <v>0.67</v>
      </c>
      <c r="H5641" s="93">
        <v>0</v>
      </c>
      <c r="N5641" s="88"/>
      <c r="O5641" s="88"/>
      <c r="P5641" s="88"/>
    </row>
    <row r="5642" spans="1:16">
      <c r="A5642" s="94">
        <v>87908</v>
      </c>
      <c r="B5642" s="87" t="s">
        <v>468</v>
      </c>
      <c r="C5642" s="12" t="s">
        <v>9</v>
      </c>
      <c r="D5642" s="93">
        <v>6.38</v>
      </c>
      <c r="E5642" s="93">
        <v>3.43</v>
      </c>
      <c r="F5642" s="93">
        <v>2.2799999999999998</v>
      </c>
      <c r="G5642" s="93">
        <v>0.67</v>
      </c>
      <c r="H5642" s="93">
        <v>0</v>
      </c>
      <c r="N5642" s="88"/>
      <c r="O5642" s="88"/>
      <c r="P5642" s="88"/>
    </row>
    <row r="5643" spans="1:16">
      <c r="A5643" s="94">
        <v>87910</v>
      </c>
      <c r="B5643" s="87" t="s">
        <v>4579</v>
      </c>
      <c r="C5643" s="12" t="s">
        <v>9</v>
      </c>
      <c r="D5643" s="93">
        <v>15.8</v>
      </c>
      <c r="E5643" s="93">
        <v>7.1</v>
      </c>
      <c r="F5643" s="93">
        <v>8.6999999999999993</v>
      </c>
      <c r="G5643" s="93">
        <v>0</v>
      </c>
      <c r="H5643" s="93">
        <v>0</v>
      </c>
      <c r="N5643" s="88"/>
      <c r="O5643" s="88"/>
      <c r="P5643" s="88"/>
    </row>
    <row r="5644" spans="1:16">
      <c r="A5644" s="94">
        <v>87911</v>
      </c>
      <c r="B5644" s="87" t="s">
        <v>4580</v>
      </c>
      <c r="C5644" s="12" t="s">
        <v>9</v>
      </c>
      <c r="D5644" s="93">
        <v>15.38</v>
      </c>
      <c r="E5644" s="93">
        <v>6.9</v>
      </c>
      <c r="F5644" s="93">
        <v>8.48</v>
      </c>
      <c r="G5644" s="93">
        <v>0</v>
      </c>
      <c r="H5644" s="93">
        <v>0</v>
      </c>
      <c r="N5644" s="88"/>
      <c r="O5644" s="88"/>
      <c r="P5644" s="88"/>
    </row>
    <row r="5645" spans="1:16">
      <c r="A5645" s="94">
        <v>87411</v>
      </c>
      <c r="B5645" s="87" t="s">
        <v>4581</v>
      </c>
      <c r="C5645" s="12" t="s">
        <v>9</v>
      </c>
      <c r="D5645" s="93">
        <v>10.210000000000001</v>
      </c>
      <c r="E5645" s="93">
        <v>4.83</v>
      </c>
      <c r="F5645" s="93">
        <v>5.38</v>
      </c>
      <c r="G5645" s="93">
        <v>0</v>
      </c>
      <c r="H5645" s="93">
        <v>0</v>
      </c>
      <c r="N5645" s="88"/>
      <c r="O5645" s="88"/>
      <c r="P5645" s="88"/>
    </row>
    <row r="5646" spans="1:16">
      <c r="A5646" s="94">
        <v>87412</v>
      </c>
      <c r="B5646" s="87" t="s">
        <v>4582</v>
      </c>
      <c r="C5646" s="12" t="s">
        <v>9</v>
      </c>
      <c r="D5646" s="93">
        <v>15.24</v>
      </c>
      <c r="E5646" s="93">
        <v>8.58</v>
      </c>
      <c r="F5646" s="93">
        <v>6.66</v>
      </c>
      <c r="G5646" s="93">
        <v>0</v>
      </c>
      <c r="H5646" s="93">
        <v>0</v>
      </c>
      <c r="N5646" s="88"/>
      <c r="O5646" s="88"/>
      <c r="P5646" s="88"/>
    </row>
    <row r="5647" spans="1:16">
      <c r="A5647" s="94">
        <v>87413</v>
      </c>
      <c r="B5647" s="87" t="s">
        <v>4583</v>
      </c>
      <c r="C5647" s="12" t="s">
        <v>9</v>
      </c>
      <c r="D5647" s="93">
        <v>18.09</v>
      </c>
      <c r="E5647" s="93">
        <v>10.73</v>
      </c>
      <c r="F5647" s="93">
        <v>7.36</v>
      </c>
      <c r="G5647" s="93">
        <v>0</v>
      </c>
      <c r="H5647" s="93">
        <v>0</v>
      </c>
      <c r="N5647" s="88"/>
      <c r="O5647" s="88"/>
      <c r="P5647" s="88"/>
    </row>
    <row r="5648" spans="1:16">
      <c r="A5648" s="94">
        <v>87414</v>
      </c>
      <c r="B5648" s="87" t="s">
        <v>4584</v>
      </c>
      <c r="C5648" s="12" t="s">
        <v>9</v>
      </c>
      <c r="D5648" s="93">
        <v>14.73</v>
      </c>
      <c r="E5648" s="93">
        <v>6.02</v>
      </c>
      <c r="F5648" s="93">
        <v>8.7100000000000009</v>
      </c>
      <c r="G5648" s="93">
        <v>0</v>
      </c>
      <c r="H5648" s="93">
        <v>0</v>
      </c>
      <c r="N5648" s="88"/>
      <c r="O5648" s="88"/>
      <c r="P5648" s="88"/>
    </row>
    <row r="5649" spans="1:16">
      <c r="A5649" s="94">
        <v>87415</v>
      </c>
      <c r="B5649" s="87" t="s">
        <v>4585</v>
      </c>
      <c r="C5649" s="12" t="s">
        <v>9</v>
      </c>
      <c r="D5649" s="93">
        <v>19.600000000000001</v>
      </c>
      <c r="E5649" s="93">
        <v>9.65</v>
      </c>
      <c r="F5649" s="93">
        <v>9.9499999999999993</v>
      </c>
      <c r="G5649" s="93">
        <v>0</v>
      </c>
      <c r="H5649" s="93">
        <v>0</v>
      </c>
      <c r="N5649" s="88"/>
      <c r="O5649" s="88"/>
      <c r="P5649" s="88"/>
    </row>
    <row r="5650" spans="1:16">
      <c r="A5650" s="94">
        <v>87416</v>
      </c>
      <c r="B5650" s="87" t="s">
        <v>4586</v>
      </c>
      <c r="C5650" s="12" t="s">
        <v>9</v>
      </c>
      <c r="D5650" s="93">
        <v>22.65</v>
      </c>
      <c r="E5650" s="93">
        <v>11.95</v>
      </c>
      <c r="F5650" s="93">
        <v>10.7</v>
      </c>
      <c r="G5650" s="93">
        <v>0</v>
      </c>
      <c r="H5650" s="93">
        <v>0</v>
      </c>
      <c r="N5650" s="88"/>
      <c r="O5650" s="88"/>
      <c r="P5650" s="88"/>
    </row>
    <row r="5651" spans="1:16">
      <c r="A5651" s="94">
        <v>87417</v>
      </c>
      <c r="B5651" s="87" t="s">
        <v>4587</v>
      </c>
      <c r="C5651" s="12" t="s">
        <v>9</v>
      </c>
      <c r="D5651" s="93">
        <v>10.92</v>
      </c>
      <c r="E5651" s="93">
        <v>5.35</v>
      </c>
      <c r="F5651" s="93">
        <v>5.57</v>
      </c>
      <c r="G5651" s="93">
        <v>0</v>
      </c>
      <c r="H5651" s="93">
        <v>0</v>
      </c>
      <c r="N5651" s="88"/>
      <c r="O5651" s="88"/>
      <c r="P5651" s="88"/>
    </row>
    <row r="5652" spans="1:16">
      <c r="A5652" s="94">
        <v>87418</v>
      </c>
      <c r="B5652" s="87" t="s">
        <v>4588</v>
      </c>
      <c r="C5652" s="12" t="s">
        <v>9</v>
      </c>
      <c r="D5652" s="93">
        <v>11.29</v>
      </c>
      <c r="E5652" s="93">
        <v>5.63</v>
      </c>
      <c r="F5652" s="93">
        <v>5.66</v>
      </c>
      <c r="G5652" s="93">
        <v>0</v>
      </c>
      <c r="H5652" s="93">
        <v>0</v>
      </c>
      <c r="N5652" s="88"/>
      <c r="O5652" s="88"/>
      <c r="P5652" s="88"/>
    </row>
    <row r="5653" spans="1:16">
      <c r="A5653" s="94">
        <v>87419</v>
      </c>
      <c r="B5653" s="87" t="s">
        <v>4589</v>
      </c>
      <c r="C5653" s="12" t="s">
        <v>9</v>
      </c>
      <c r="D5653" s="93">
        <v>12.37</v>
      </c>
      <c r="E5653" s="93">
        <v>6.45</v>
      </c>
      <c r="F5653" s="93">
        <v>5.92</v>
      </c>
      <c r="G5653" s="93">
        <v>0</v>
      </c>
      <c r="H5653" s="93">
        <v>0</v>
      </c>
      <c r="N5653" s="88"/>
      <c r="O5653" s="88"/>
      <c r="P5653" s="88"/>
    </row>
    <row r="5654" spans="1:16">
      <c r="A5654" s="94">
        <v>87420</v>
      </c>
      <c r="B5654" s="87" t="s">
        <v>4590</v>
      </c>
      <c r="C5654" s="12" t="s">
        <v>9</v>
      </c>
      <c r="D5654" s="93">
        <v>15.99</v>
      </c>
      <c r="E5654" s="93">
        <v>6.97</v>
      </c>
      <c r="F5654" s="93">
        <v>9.02</v>
      </c>
      <c r="G5654" s="93">
        <v>0</v>
      </c>
      <c r="H5654" s="93">
        <v>0</v>
      </c>
      <c r="N5654" s="88"/>
      <c r="O5654" s="88"/>
      <c r="P5654" s="88"/>
    </row>
    <row r="5655" spans="1:16">
      <c r="A5655" s="94">
        <v>87421</v>
      </c>
      <c r="B5655" s="87" t="s">
        <v>4591</v>
      </c>
      <c r="C5655" s="12" t="s">
        <v>9</v>
      </c>
      <c r="D5655" s="93">
        <v>16.36</v>
      </c>
      <c r="E5655" s="93">
        <v>7.24</v>
      </c>
      <c r="F5655" s="93">
        <v>9.1199999999999992</v>
      </c>
      <c r="G5655" s="93">
        <v>0</v>
      </c>
      <c r="H5655" s="93">
        <v>0</v>
      </c>
      <c r="N5655" s="88"/>
      <c r="O5655" s="88"/>
      <c r="P5655" s="88"/>
    </row>
    <row r="5656" spans="1:16">
      <c r="A5656" s="94">
        <v>87422</v>
      </c>
      <c r="B5656" s="87" t="s">
        <v>4592</v>
      </c>
      <c r="C5656" s="12" t="s">
        <v>9</v>
      </c>
      <c r="D5656" s="93">
        <v>17.45</v>
      </c>
      <c r="E5656" s="93">
        <v>8.0299999999999994</v>
      </c>
      <c r="F5656" s="93">
        <v>9.42</v>
      </c>
      <c r="G5656" s="93">
        <v>0</v>
      </c>
      <c r="H5656" s="93">
        <v>0</v>
      </c>
      <c r="N5656" s="88"/>
      <c r="O5656" s="88"/>
      <c r="P5656" s="88"/>
    </row>
    <row r="5657" spans="1:16">
      <c r="A5657" s="94">
        <v>87423</v>
      </c>
      <c r="B5657" s="87" t="s">
        <v>4593</v>
      </c>
      <c r="C5657" s="12" t="s">
        <v>9</v>
      </c>
      <c r="D5657" s="93">
        <v>22.09</v>
      </c>
      <c r="E5657" s="93">
        <v>11.51</v>
      </c>
      <c r="F5657" s="93">
        <v>10.58</v>
      </c>
      <c r="G5657" s="93">
        <v>0</v>
      </c>
      <c r="H5657" s="93">
        <v>0</v>
      </c>
      <c r="N5657" s="88"/>
      <c r="O5657" s="88"/>
      <c r="P5657" s="88"/>
    </row>
    <row r="5658" spans="1:16">
      <c r="A5658" s="94">
        <v>87424</v>
      </c>
      <c r="B5658" s="87" t="s">
        <v>4594</v>
      </c>
      <c r="C5658" s="12" t="s">
        <v>9</v>
      </c>
      <c r="D5658" s="93">
        <v>22.65</v>
      </c>
      <c r="E5658" s="93">
        <v>11.95</v>
      </c>
      <c r="F5658" s="93">
        <v>10.7</v>
      </c>
      <c r="G5658" s="93">
        <v>0</v>
      </c>
      <c r="H5658" s="93">
        <v>0</v>
      </c>
      <c r="N5658" s="88"/>
      <c r="O5658" s="88"/>
      <c r="P5658" s="88"/>
    </row>
    <row r="5659" spans="1:16">
      <c r="A5659" s="94">
        <v>87425</v>
      </c>
      <c r="B5659" s="87" t="s">
        <v>4595</v>
      </c>
      <c r="C5659" s="12" t="s">
        <v>9</v>
      </c>
      <c r="D5659" s="93">
        <v>23.54</v>
      </c>
      <c r="E5659" s="93">
        <v>12.61</v>
      </c>
      <c r="F5659" s="93">
        <v>10.93</v>
      </c>
      <c r="G5659" s="93">
        <v>0</v>
      </c>
      <c r="H5659" s="93">
        <v>0</v>
      </c>
      <c r="N5659" s="88"/>
      <c r="O5659" s="88"/>
      <c r="P5659" s="88"/>
    </row>
    <row r="5660" spans="1:16">
      <c r="A5660" s="94">
        <v>87426</v>
      </c>
      <c r="B5660" s="87" t="s">
        <v>4596</v>
      </c>
      <c r="C5660" s="12" t="s">
        <v>9</v>
      </c>
      <c r="D5660" s="93">
        <v>25.6</v>
      </c>
      <c r="E5660" s="93">
        <v>12.59</v>
      </c>
      <c r="F5660" s="93">
        <v>13.01</v>
      </c>
      <c r="G5660" s="93">
        <v>0</v>
      </c>
      <c r="H5660" s="93">
        <v>0</v>
      </c>
      <c r="N5660" s="88"/>
      <c r="O5660" s="88"/>
      <c r="P5660" s="88"/>
    </row>
    <row r="5661" spans="1:16">
      <c r="A5661" s="94">
        <v>87427</v>
      </c>
      <c r="B5661" s="87" t="s">
        <v>4597</v>
      </c>
      <c r="C5661" s="12" t="s">
        <v>9</v>
      </c>
      <c r="D5661" s="93">
        <v>26.15</v>
      </c>
      <c r="E5661" s="93">
        <v>13.01</v>
      </c>
      <c r="F5661" s="93">
        <v>13.14</v>
      </c>
      <c r="G5661" s="93">
        <v>0</v>
      </c>
      <c r="H5661" s="93">
        <v>0</v>
      </c>
      <c r="N5661" s="88"/>
      <c r="O5661" s="88"/>
      <c r="P5661" s="88"/>
    </row>
    <row r="5662" spans="1:16">
      <c r="A5662" s="94">
        <v>87428</v>
      </c>
      <c r="B5662" s="87" t="s">
        <v>4598</v>
      </c>
      <c r="C5662" s="12" t="s">
        <v>9</v>
      </c>
      <c r="D5662" s="93">
        <v>27.05</v>
      </c>
      <c r="E5662" s="93">
        <v>13.69</v>
      </c>
      <c r="F5662" s="93">
        <v>13.36</v>
      </c>
      <c r="G5662" s="93">
        <v>0</v>
      </c>
      <c r="H5662" s="93">
        <v>0</v>
      </c>
      <c r="N5662" s="88"/>
      <c r="O5662" s="88"/>
      <c r="P5662" s="88"/>
    </row>
    <row r="5663" spans="1:16">
      <c r="A5663" s="94">
        <v>87429</v>
      </c>
      <c r="B5663" s="87" t="s">
        <v>4599</v>
      </c>
      <c r="C5663" s="12" t="s">
        <v>9</v>
      </c>
      <c r="D5663" s="93">
        <v>15</v>
      </c>
      <c r="E5663" s="93">
        <v>6.54</v>
      </c>
      <c r="F5663" s="93">
        <v>8.19</v>
      </c>
      <c r="G5663" s="93">
        <v>0.25</v>
      </c>
      <c r="H5663" s="93">
        <v>0</v>
      </c>
      <c r="N5663" s="88"/>
      <c r="O5663" s="88"/>
      <c r="P5663" s="88"/>
    </row>
    <row r="5664" spans="1:16">
      <c r="A5664" s="94">
        <v>87430</v>
      </c>
      <c r="B5664" s="87" t="s">
        <v>4600</v>
      </c>
      <c r="C5664" s="12" t="s">
        <v>9</v>
      </c>
      <c r="D5664" s="93">
        <v>15.37</v>
      </c>
      <c r="E5664" s="93">
        <v>6.82</v>
      </c>
      <c r="F5664" s="93">
        <v>8.2799999999999994</v>
      </c>
      <c r="G5664" s="93">
        <v>0.25</v>
      </c>
      <c r="H5664" s="93">
        <v>0</v>
      </c>
      <c r="N5664" s="88"/>
      <c r="O5664" s="88"/>
      <c r="P5664" s="88"/>
    </row>
    <row r="5665" spans="1:16">
      <c r="A5665" s="94">
        <v>87431</v>
      </c>
      <c r="B5665" s="87" t="s">
        <v>4601</v>
      </c>
      <c r="C5665" s="12" t="s">
        <v>9</v>
      </c>
      <c r="D5665" s="93">
        <v>15.56</v>
      </c>
      <c r="E5665" s="93">
        <v>6.97</v>
      </c>
      <c r="F5665" s="93">
        <v>8.32</v>
      </c>
      <c r="G5665" s="93">
        <v>0.25</v>
      </c>
      <c r="H5665" s="93">
        <v>0</v>
      </c>
      <c r="N5665" s="88"/>
      <c r="O5665" s="88"/>
      <c r="P5665" s="88"/>
    </row>
    <row r="5666" spans="1:16">
      <c r="A5666" s="94">
        <v>87432</v>
      </c>
      <c r="B5666" s="87" t="s">
        <v>4602</v>
      </c>
      <c r="C5666" s="12" t="s">
        <v>9</v>
      </c>
      <c r="D5666" s="93">
        <v>21.96</v>
      </c>
      <c r="E5666" s="93">
        <v>8.1199999999999992</v>
      </c>
      <c r="F5666" s="93">
        <v>13.33</v>
      </c>
      <c r="G5666" s="93">
        <v>0.47</v>
      </c>
      <c r="H5666" s="93">
        <v>0</v>
      </c>
      <c r="N5666" s="88"/>
      <c r="O5666" s="88"/>
      <c r="P5666" s="88"/>
    </row>
    <row r="5667" spans="1:16">
      <c r="A5667" s="94">
        <v>87433</v>
      </c>
      <c r="B5667" s="87" t="s">
        <v>4603</v>
      </c>
      <c r="C5667" s="12" t="s">
        <v>9</v>
      </c>
      <c r="D5667" s="93">
        <v>22.7</v>
      </c>
      <c r="E5667" s="93">
        <v>8.67</v>
      </c>
      <c r="F5667" s="93">
        <v>13.52</v>
      </c>
      <c r="G5667" s="93">
        <v>0.47</v>
      </c>
      <c r="H5667" s="93">
        <v>0</v>
      </c>
      <c r="N5667" s="88"/>
      <c r="O5667" s="88"/>
      <c r="P5667" s="88"/>
    </row>
    <row r="5668" spans="1:16">
      <c r="A5668" s="94">
        <v>87434</v>
      </c>
      <c r="B5668" s="87" t="s">
        <v>4604</v>
      </c>
      <c r="C5668" s="12" t="s">
        <v>9</v>
      </c>
      <c r="D5668" s="93">
        <v>23.22</v>
      </c>
      <c r="E5668" s="93">
        <v>9.07</v>
      </c>
      <c r="F5668" s="93">
        <v>13.64</v>
      </c>
      <c r="G5668" s="93">
        <v>0.47</v>
      </c>
      <c r="H5668" s="93">
        <v>0</v>
      </c>
      <c r="N5668" s="88"/>
      <c r="O5668" s="88"/>
      <c r="P5668" s="88"/>
    </row>
    <row r="5669" spans="1:16">
      <c r="A5669" s="94">
        <v>87435</v>
      </c>
      <c r="B5669" s="87" t="s">
        <v>4605</v>
      </c>
      <c r="C5669" s="12" t="s">
        <v>9</v>
      </c>
      <c r="D5669" s="93">
        <v>24.31</v>
      </c>
      <c r="E5669" s="93">
        <v>9.8699999999999992</v>
      </c>
      <c r="F5669" s="93">
        <v>13.93</v>
      </c>
      <c r="G5669" s="93">
        <v>0.47</v>
      </c>
      <c r="H5669" s="93">
        <v>0</v>
      </c>
      <c r="N5669" s="88"/>
      <c r="O5669" s="88"/>
      <c r="P5669" s="88"/>
    </row>
    <row r="5670" spans="1:16">
      <c r="A5670" s="94">
        <v>87436</v>
      </c>
      <c r="B5670" s="87" t="s">
        <v>4606</v>
      </c>
      <c r="C5670" s="12" t="s">
        <v>9</v>
      </c>
      <c r="D5670" s="93">
        <v>25.57</v>
      </c>
      <c r="E5670" s="93">
        <v>10.81</v>
      </c>
      <c r="F5670" s="93">
        <v>14.25</v>
      </c>
      <c r="G5670" s="93">
        <v>0.47</v>
      </c>
      <c r="H5670" s="93">
        <v>0</v>
      </c>
      <c r="N5670" s="88"/>
      <c r="O5670" s="88"/>
      <c r="P5670" s="88"/>
    </row>
    <row r="5671" spans="1:16">
      <c r="A5671" s="94">
        <v>87437</v>
      </c>
      <c r="B5671" s="87" t="s">
        <v>469</v>
      </c>
      <c r="C5671" s="12" t="s">
        <v>9</v>
      </c>
      <c r="D5671" s="93">
        <v>26.46</v>
      </c>
      <c r="E5671" s="93">
        <v>11.48</v>
      </c>
      <c r="F5671" s="93">
        <v>14.47</v>
      </c>
      <c r="G5671" s="93">
        <v>0.47</v>
      </c>
      <c r="H5671" s="93">
        <v>0</v>
      </c>
      <c r="N5671" s="88"/>
      <c r="O5671" s="88"/>
      <c r="P5671" s="88"/>
    </row>
    <row r="5672" spans="1:16">
      <c r="A5672" s="94">
        <v>87438</v>
      </c>
      <c r="B5672" s="87" t="s">
        <v>4607</v>
      </c>
      <c r="C5672" s="12" t="s">
        <v>9</v>
      </c>
      <c r="D5672" s="93">
        <v>30.13</v>
      </c>
      <c r="E5672" s="93">
        <v>11.61</v>
      </c>
      <c r="F5672" s="93">
        <v>17.850000000000001</v>
      </c>
      <c r="G5672" s="93">
        <v>0.62</v>
      </c>
      <c r="H5672" s="93">
        <v>0</v>
      </c>
      <c r="N5672" s="88"/>
      <c r="O5672" s="88"/>
      <c r="P5672" s="88"/>
    </row>
    <row r="5673" spans="1:16">
      <c r="A5673" s="94">
        <v>87439</v>
      </c>
      <c r="B5673" s="87" t="s">
        <v>4608</v>
      </c>
      <c r="C5673" s="12" t="s">
        <v>9</v>
      </c>
      <c r="D5673" s="93">
        <v>31.72</v>
      </c>
      <c r="E5673" s="93">
        <v>12.8</v>
      </c>
      <c r="F5673" s="93">
        <v>18.25</v>
      </c>
      <c r="G5673" s="93">
        <v>0.62</v>
      </c>
      <c r="H5673" s="93">
        <v>0</v>
      </c>
      <c r="N5673" s="88"/>
      <c r="O5673" s="88"/>
      <c r="P5673" s="88"/>
    </row>
    <row r="5674" spans="1:16">
      <c r="A5674" s="94">
        <v>87440</v>
      </c>
      <c r="B5674" s="87" t="s">
        <v>470</v>
      </c>
      <c r="C5674" s="12" t="s">
        <v>9</v>
      </c>
      <c r="D5674" s="93">
        <v>32.46</v>
      </c>
      <c r="E5674" s="93">
        <v>13.35</v>
      </c>
      <c r="F5674" s="93">
        <v>18.440000000000001</v>
      </c>
      <c r="G5674" s="93">
        <v>0.62</v>
      </c>
      <c r="H5674" s="93">
        <v>0</v>
      </c>
      <c r="N5674" s="88"/>
      <c r="O5674" s="88"/>
      <c r="P5674" s="88"/>
    </row>
    <row r="5675" spans="1:16">
      <c r="A5675" s="94">
        <v>87527</v>
      </c>
      <c r="B5675" s="87" t="s">
        <v>4609</v>
      </c>
      <c r="C5675" s="12" t="s">
        <v>9</v>
      </c>
      <c r="D5675" s="93">
        <v>33.909999999999997</v>
      </c>
      <c r="E5675" s="93">
        <v>15.68</v>
      </c>
      <c r="F5675" s="93">
        <v>18.16</v>
      </c>
      <c r="G5675" s="93">
        <v>0.03</v>
      </c>
      <c r="H5675" s="93">
        <v>0</v>
      </c>
      <c r="N5675" s="88"/>
      <c r="O5675" s="88"/>
      <c r="P5675" s="88"/>
    </row>
    <row r="5676" spans="1:16">
      <c r="A5676" s="94">
        <v>87528</v>
      </c>
      <c r="B5676" s="87" t="s">
        <v>4610</v>
      </c>
      <c r="C5676" s="12" t="s">
        <v>9</v>
      </c>
      <c r="D5676" s="93">
        <v>35.79</v>
      </c>
      <c r="E5676" s="93">
        <v>16.64</v>
      </c>
      <c r="F5676" s="93">
        <v>19.149999999999999</v>
      </c>
      <c r="G5676" s="93">
        <v>0</v>
      </c>
      <c r="H5676" s="93">
        <v>0</v>
      </c>
      <c r="N5676" s="88"/>
      <c r="O5676" s="88"/>
      <c r="P5676" s="88"/>
    </row>
    <row r="5677" spans="1:16">
      <c r="A5677" s="94">
        <v>87529</v>
      </c>
      <c r="B5677" s="87" t="s">
        <v>4611</v>
      </c>
      <c r="C5677" s="12" t="s">
        <v>9</v>
      </c>
      <c r="D5677" s="93">
        <v>30.92</v>
      </c>
      <c r="E5677" s="93">
        <v>13.35</v>
      </c>
      <c r="F5677" s="93">
        <v>17.5</v>
      </c>
      <c r="G5677" s="93">
        <v>0.03</v>
      </c>
      <c r="H5677" s="93">
        <v>0</v>
      </c>
      <c r="N5677" s="88"/>
      <c r="O5677" s="88"/>
      <c r="P5677" s="88"/>
    </row>
    <row r="5678" spans="1:16">
      <c r="A5678" s="94">
        <v>87530</v>
      </c>
      <c r="B5678" s="87" t="s">
        <v>4612</v>
      </c>
      <c r="C5678" s="12" t="s">
        <v>9</v>
      </c>
      <c r="D5678" s="93">
        <v>32.799999999999997</v>
      </c>
      <c r="E5678" s="93">
        <v>14.31</v>
      </c>
      <c r="F5678" s="93">
        <v>18.489999999999998</v>
      </c>
      <c r="G5678" s="93">
        <v>0</v>
      </c>
      <c r="H5678" s="93">
        <v>0</v>
      </c>
      <c r="N5678" s="88"/>
      <c r="O5678" s="88"/>
      <c r="P5678" s="88"/>
    </row>
    <row r="5679" spans="1:16">
      <c r="A5679" s="94">
        <v>87531</v>
      </c>
      <c r="B5679" s="87" t="s">
        <v>4613</v>
      </c>
      <c r="C5679" s="12" t="s">
        <v>9</v>
      </c>
      <c r="D5679" s="93">
        <v>29.86</v>
      </c>
      <c r="E5679" s="93">
        <v>12.55</v>
      </c>
      <c r="F5679" s="93">
        <v>17.239999999999998</v>
      </c>
      <c r="G5679" s="93">
        <v>0.03</v>
      </c>
      <c r="H5679" s="93">
        <v>0</v>
      </c>
      <c r="N5679" s="88"/>
      <c r="O5679" s="88"/>
      <c r="P5679" s="88"/>
    </row>
    <row r="5680" spans="1:16">
      <c r="A5680" s="94">
        <v>87532</v>
      </c>
      <c r="B5680" s="87" t="s">
        <v>4614</v>
      </c>
      <c r="C5680" s="12" t="s">
        <v>9</v>
      </c>
      <c r="D5680" s="93">
        <v>31.74</v>
      </c>
      <c r="E5680" s="93">
        <v>13.51</v>
      </c>
      <c r="F5680" s="93">
        <v>18.23</v>
      </c>
      <c r="G5680" s="93">
        <v>0</v>
      </c>
      <c r="H5680" s="93">
        <v>0</v>
      </c>
      <c r="N5680" s="88"/>
      <c r="O5680" s="88"/>
      <c r="P5680" s="88"/>
    </row>
    <row r="5681" spans="1:16">
      <c r="A5681" s="94">
        <v>87535</v>
      </c>
      <c r="B5681" s="87" t="s">
        <v>4615</v>
      </c>
      <c r="C5681" s="12" t="s">
        <v>9</v>
      </c>
      <c r="D5681" s="93">
        <v>26.87</v>
      </c>
      <c r="E5681" s="93">
        <v>10.23</v>
      </c>
      <c r="F5681" s="93">
        <v>16.57</v>
      </c>
      <c r="G5681" s="93">
        <v>0.03</v>
      </c>
      <c r="H5681" s="93">
        <v>0</v>
      </c>
      <c r="N5681" s="88"/>
      <c r="O5681" s="88"/>
      <c r="P5681" s="88"/>
    </row>
    <row r="5682" spans="1:16">
      <c r="A5682" s="94">
        <v>87536</v>
      </c>
      <c r="B5682" s="87" t="s">
        <v>4616</v>
      </c>
      <c r="C5682" s="12" t="s">
        <v>9</v>
      </c>
      <c r="D5682" s="93">
        <v>28.75</v>
      </c>
      <c r="E5682" s="93">
        <v>11.19</v>
      </c>
      <c r="F5682" s="93">
        <v>17.559999999999999</v>
      </c>
      <c r="G5682" s="93">
        <v>0</v>
      </c>
      <c r="H5682" s="93">
        <v>0</v>
      </c>
      <c r="N5682" s="88"/>
      <c r="O5682" s="88"/>
      <c r="P5682" s="88"/>
    </row>
    <row r="5683" spans="1:16">
      <c r="A5683" s="94">
        <v>87537</v>
      </c>
      <c r="B5683" s="87" t="s">
        <v>4617</v>
      </c>
      <c r="C5683" s="12" t="s">
        <v>9</v>
      </c>
      <c r="D5683" s="93">
        <v>55.18</v>
      </c>
      <c r="E5683" s="93">
        <v>13.22</v>
      </c>
      <c r="F5683" s="93">
        <v>41.09</v>
      </c>
      <c r="G5683" s="93">
        <v>0.78</v>
      </c>
      <c r="H5683" s="93">
        <v>0</v>
      </c>
      <c r="N5683" s="88"/>
      <c r="O5683" s="88"/>
      <c r="P5683" s="88"/>
    </row>
    <row r="5684" spans="1:16">
      <c r="A5684" s="94">
        <v>87538</v>
      </c>
      <c r="B5684" s="87" t="s">
        <v>4618</v>
      </c>
      <c r="C5684" s="12" t="s">
        <v>9</v>
      </c>
      <c r="D5684" s="93">
        <v>52.59</v>
      </c>
      <c r="E5684" s="93">
        <v>11.18</v>
      </c>
      <c r="F5684" s="93">
        <v>40.54</v>
      </c>
      <c r="G5684" s="93">
        <v>0.78</v>
      </c>
      <c r="H5684" s="93">
        <v>0</v>
      </c>
      <c r="N5684" s="88"/>
      <c r="O5684" s="88"/>
      <c r="P5684" s="88"/>
    </row>
    <row r="5685" spans="1:16">
      <c r="A5685" s="94">
        <v>87539</v>
      </c>
      <c r="B5685" s="87" t="s">
        <v>4619</v>
      </c>
      <c r="C5685" s="12" t="s">
        <v>9</v>
      </c>
      <c r="D5685" s="93">
        <v>51.66</v>
      </c>
      <c r="E5685" s="93">
        <v>10.45</v>
      </c>
      <c r="F5685" s="93">
        <v>40.340000000000003</v>
      </c>
      <c r="G5685" s="93">
        <v>0.78</v>
      </c>
      <c r="H5685" s="93">
        <v>0</v>
      </c>
      <c r="N5685" s="88"/>
      <c r="O5685" s="88"/>
      <c r="P5685" s="88"/>
    </row>
    <row r="5686" spans="1:16">
      <c r="A5686" s="94">
        <v>87541</v>
      </c>
      <c r="B5686" s="87" t="s">
        <v>4620</v>
      </c>
      <c r="C5686" s="12" t="s">
        <v>9</v>
      </c>
      <c r="D5686" s="93">
        <v>49.05</v>
      </c>
      <c r="E5686" s="93">
        <v>8.42</v>
      </c>
      <c r="F5686" s="93">
        <v>39.76</v>
      </c>
      <c r="G5686" s="93">
        <v>0.78</v>
      </c>
      <c r="H5686" s="93">
        <v>0</v>
      </c>
      <c r="N5686" s="88"/>
      <c r="O5686" s="88"/>
      <c r="P5686" s="88"/>
    </row>
    <row r="5687" spans="1:16">
      <c r="A5687" s="94">
        <v>87543</v>
      </c>
      <c r="B5687" s="87" t="s">
        <v>4621</v>
      </c>
      <c r="C5687" s="12" t="s">
        <v>9</v>
      </c>
      <c r="D5687" s="93">
        <v>17.47</v>
      </c>
      <c r="E5687" s="93">
        <v>4.67</v>
      </c>
      <c r="F5687" s="93">
        <v>12.57</v>
      </c>
      <c r="G5687" s="93">
        <v>0.21</v>
      </c>
      <c r="H5687" s="93">
        <v>0</v>
      </c>
      <c r="N5687" s="88"/>
      <c r="O5687" s="88"/>
      <c r="P5687" s="88"/>
    </row>
    <row r="5688" spans="1:16">
      <c r="A5688" s="94">
        <v>87545</v>
      </c>
      <c r="B5688" s="87" t="s">
        <v>4622</v>
      </c>
      <c r="C5688" s="12" t="s">
        <v>9</v>
      </c>
      <c r="D5688" s="93">
        <v>22.78</v>
      </c>
      <c r="E5688" s="93">
        <v>11.67</v>
      </c>
      <c r="F5688" s="93">
        <v>11.08</v>
      </c>
      <c r="G5688" s="93">
        <v>0.01</v>
      </c>
      <c r="H5688" s="93">
        <v>0</v>
      </c>
      <c r="N5688" s="88"/>
      <c r="O5688" s="88"/>
      <c r="P5688" s="88"/>
    </row>
    <row r="5689" spans="1:16">
      <c r="A5689" s="94">
        <v>87546</v>
      </c>
      <c r="B5689" s="87" t="s">
        <v>4623</v>
      </c>
      <c r="C5689" s="12" t="s">
        <v>9</v>
      </c>
      <c r="D5689" s="93">
        <v>23.85</v>
      </c>
      <c r="E5689" s="93">
        <v>12.22</v>
      </c>
      <c r="F5689" s="93">
        <v>11.63</v>
      </c>
      <c r="G5689" s="93">
        <v>0</v>
      </c>
      <c r="H5689" s="93">
        <v>0</v>
      </c>
      <c r="N5689" s="88"/>
      <c r="O5689" s="88"/>
      <c r="P5689" s="88"/>
    </row>
    <row r="5690" spans="1:16">
      <c r="A5690" s="94">
        <v>87547</v>
      </c>
      <c r="B5690" s="87" t="s">
        <v>4624</v>
      </c>
      <c r="C5690" s="12" t="s">
        <v>9</v>
      </c>
      <c r="D5690" s="93">
        <v>19.8</v>
      </c>
      <c r="E5690" s="93">
        <v>9.35</v>
      </c>
      <c r="F5690" s="93">
        <v>10.42</v>
      </c>
      <c r="G5690" s="93">
        <v>0.01</v>
      </c>
      <c r="H5690" s="93">
        <v>0</v>
      </c>
      <c r="N5690" s="88"/>
      <c r="O5690" s="88"/>
      <c r="P5690" s="88"/>
    </row>
    <row r="5691" spans="1:16">
      <c r="A5691" s="94">
        <v>87548</v>
      </c>
      <c r="B5691" s="87" t="s">
        <v>4625</v>
      </c>
      <c r="C5691" s="12" t="s">
        <v>9</v>
      </c>
      <c r="D5691" s="93">
        <v>20.87</v>
      </c>
      <c r="E5691" s="93">
        <v>9.89</v>
      </c>
      <c r="F5691" s="93">
        <v>10.98</v>
      </c>
      <c r="G5691" s="93">
        <v>0</v>
      </c>
      <c r="H5691" s="93">
        <v>0</v>
      </c>
      <c r="N5691" s="88"/>
      <c r="O5691" s="88"/>
      <c r="P5691" s="88"/>
    </row>
    <row r="5692" spans="1:16">
      <c r="A5692" s="94">
        <v>87549</v>
      </c>
      <c r="B5692" s="87" t="s">
        <v>4626</v>
      </c>
      <c r="C5692" s="12" t="s">
        <v>9</v>
      </c>
      <c r="D5692" s="93">
        <v>18.72</v>
      </c>
      <c r="E5692" s="93">
        <v>8.51</v>
      </c>
      <c r="F5692" s="93">
        <v>10.18</v>
      </c>
      <c r="G5692" s="93">
        <v>0.01</v>
      </c>
      <c r="H5692" s="93">
        <v>0</v>
      </c>
      <c r="N5692" s="88"/>
      <c r="O5692" s="88"/>
      <c r="P5692" s="88"/>
    </row>
    <row r="5693" spans="1:16">
      <c r="A5693" s="94">
        <v>87550</v>
      </c>
      <c r="B5693" s="87" t="s">
        <v>4627</v>
      </c>
      <c r="C5693" s="12" t="s">
        <v>9</v>
      </c>
      <c r="D5693" s="93">
        <v>19.79</v>
      </c>
      <c r="E5693" s="93">
        <v>9.0500000000000007</v>
      </c>
      <c r="F5693" s="93">
        <v>10.74</v>
      </c>
      <c r="G5693" s="93">
        <v>0</v>
      </c>
      <c r="H5693" s="93">
        <v>0</v>
      </c>
      <c r="N5693" s="88"/>
      <c r="O5693" s="88"/>
      <c r="P5693" s="88"/>
    </row>
    <row r="5694" spans="1:16">
      <c r="A5694" s="94">
        <v>87553</v>
      </c>
      <c r="B5694" s="87" t="s">
        <v>4628</v>
      </c>
      <c r="C5694" s="12" t="s">
        <v>9</v>
      </c>
      <c r="D5694" s="93">
        <v>15.73</v>
      </c>
      <c r="E5694" s="93">
        <v>6.19</v>
      </c>
      <c r="F5694" s="93">
        <v>9.51</v>
      </c>
      <c r="G5694" s="93">
        <v>0.01</v>
      </c>
      <c r="H5694" s="93">
        <v>0</v>
      </c>
      <c r="N5694" s="88"/>
      <c r="O5694" s="88"/>
      <c r="P5694" s="88"/>
    </row>
    <row r="5695" spans="1:16">
      <c r="A5695" s="94">
        <v>87554</v>
      </c>
      <c r="B5695" s="87" t="s">
        <v>4629</v>
      </c>
      <c r="C5695" s="12" t="s">
        <v>9</v>
      </c>
      <c r="D5695" s="93">
        <v>16.8</v>
      </c>
      <c r="E5695" s="93">
        <v>6.74</v>
      </c>
      <c r="F5695" s="93">
        <v>10.06</v>
      </c>
      <c r="G5695" s="93">
        <v>0</v>
      </c>
      <c r="H5695" s="93">
        <v>0</v>
      </c>
      <c r="N5695" s="88"/>
      <c r="O5695" s="88"/>
      <c r="P5695" s="88"/>
    </row>
    <row r="5696" spans="1:16">
      <c r="A5696" s="94">
        <v>87555</v>
      </c>
      <c r="B5696" s="87" t="s">
        <v>4630</v>
      </c>
      <c r="C5696" s="12" t="s">
        <v>9</v>
      </c>
      <c r="D5696" s="93">
        <v>33.94</v>
      </c>
      <c r="E5696" s="93">
        <v>9.59</v>
      </c>
      <c r="F5696" s="93">
        <v>23.87</v>
      </c>
      <c r="G5696" s="93">
        <v>0.43</v>
      </c>
      <c r="H5696" s="93">
        <v>0</v>
      </c>
      <c r="N5696" s="88"/>
      <c r="O5696" s="88"/>
      <c r="P5696" s="88"/>
    </row>
    <row r="5697" spans="1:16">
      <c r="A5697" s="94">
        <v>87556</v>
      </c>
      <c r="B5697" s="87" t="s">
        <v>4631</v>
      </c>
      <c r="C5697" s="12" t="s">
        <v>9</v>
      </c>
      <c r="D5697" s="93">
        <v>31.35</v>
      </c>
      <c r="E5697" s="93">
        <v>7.56</v>
      </c>
      <c r="F5697" s="93">
        <v>23.31</v>
      </c>
      <c r="G5697" s="93">
        <v>0.43</v>
      </c>
      <c r="H5697" s="93">
        <v>0</v>
      </c>
      <c r="N5697" s="88"/>
      <c r="O5697" s="88"/>
      <c r="P5697" s="88"/>
    </row>
    <row r="5698" spans="1:16">
      <c r="A5698" s="94">
        <v>87557</v>
      </c>
      <c r="B5698" s="87" t="s">
        <v>4632</v>
      </c>
      <c r="C5698" s="12" t="s">
        <v>9</v>
      </c>
      <c r="D5698" s="93">
        <v>30.41</v>
      </c>
      <c r="E5698" s="93">
        <v>6.83</v>
      </c>
      <c r="F5698" s="93">
        <v>23.1</v>
      </c>
      <c r="G5698" s="93">
        <v>0.43</v>
      </c>
      <c r="H5698" s="93">
        <v>0</v>
      </c>
      <c r="N5698" s="88"/>
      <c r="O5698" s="88"/>
      <c r="P5698" s="88"/>
    </row>
    <row r="5699" spans="1:16">
      <c r="A5699" s="94">
        <v>87559</v>
      </c>
      <c r="B5699" s="87" t="s">
        <v>4633</v>
      </c>
      <c r="C5699" s="12" t="s">
        <v>9</v>
      </c>
      <c r="D5699" s="93">
        <v>27.82</v>
      </c>
      <c r="E5699" s="93">
        <v>4.79</v>
      </c>
      <c r="F5699" s="93">
        <v>22.55</v>
      </c>
      <c r="G5699" s="93">
        <v>0.43</v>
      </c>
      <c r="H5699" s="93">
        <v>0</v>
      </c>
      <c r="N5699" s="88"/>
      <c r="O5699" s="88"/>
      <c r="P5699" s="88"/>
    </row>
    <row r="5700" spans="1:16">
      <c r="A5700" s="94">
        <v>87561</v>
      </c>
      <c r="B5700" s="87" t="s">
        <v>4634</v>
      </c>
      <c r="C5700" s="12" t="s">
        <v>9</v>
      </c>
      <c r="D5700" s="93">
        <v>30.64</v>
      </c>
      <c r="E5700" s="93">
        <v>7.02</v>
      </c>
      <c r="F5700" s="93">
        <v>23.14</v>
      </c>
      <c r="G5700" s="93">
        <v>0.43</v>
      </c>
      <c r="H5700" s="93">
        <v>0</v>
      </c>
      <c r="N5700" s="88"/>
      <c r="O5700" s="88"/>
      <c r="P5700" s="88"/>
    </row>
    <row r="5701" spans="1:16">
      <c r="A5701" s="94">
        <v>87775</v>
      </c>
      <c r="B5701" s="87" t="s">
        <v>4635</v>
      </c>
      <c r="C5701" s="12" t="s">
        <v>9</v>
      </c>
      <c r="D5701" s="93">
        <v>45.52</v>
      </c>
      <c r="E5701" s="93">
        <v>24.62</v>
      </c>
      <c r="F5701" s="93">
        <v>20.85</v>
      </c>
      <c r="G5701" s="93">
        <v>0.02</v>
      </c>
      <c r="H5701" s="93">
        <v>0</v>
      </c>
      <c r="N5701" s="88"/>
      <c r="O5701" s="88"/>
      <c r="P5701" s="88"/>
    </row>
    <row r="5702" spans="1:16">
      <c r="A5702" s="94">
        <v>87777</v>
      </c>
      <c r="B5702" s="87" t="s">
        <v>4636</v>
      </c>
      <c r="C5702" s="12" t="s">
        <v>9</v>
      </c>
      <c r="D5702" s="93">
        <v>47.09</v>
      </c>
      <c r="E5702" s="93">
        <v>25.41</v>
      </c>
      <c r="F5702" s="93">
        <v>21.68</v>
      </c>
      <c r="G5702" s="93">
        <v>0</v>
      </c>
      <c r="H5702" s="93">
        <v>0</v>
      </c>
      <c r="N5702" s="88"/>
      <c r="O5702" s="88"/>
      <c r="P5702" s="88"/>
    </row>
    <row r="5703" spans="1:16">
      <c r="A5703" s="94">
        <v>87778</v>
      </c>
      <c r="B5703" s="87" t="s">
        <v>4637</v>
      </c>
      <c r="C5703" s="12" t="s">
        <v>9</v>
      </c>
      <c r="D5703" s="93">
        <v>61.04</v>
      </c>
      <c r="E5703" s="93">
        <v>20.79</v>
      </c>
      <c r="F5703" s="93">
        <v>39.53</v>
      </c>
      <c r="G5703" s="93">
        <v>0.64</v>
      </c>
      <c r="H5703" s="93">
        <v>0</v>
      </c>
      <c r="N5703" s="88"/>
      <c r="O5703" s="88"/>
      <c r="P5703" s="88"/>
    </row>
    <row r="5704" spans="1:16">
      <c r="A5704" s="94">
        <v>87779</v>
      </c>
      <c r="B5704" s="87" t="s">
        <v>4638</v>
      </c>
      <c r="C5704" s="12" t="s">
        <v>9</v>
      </c>
      <c r="D5704" s="93">
        <v>53.63</v>
      </c>
      <c r="E5704" s="93">
        <v>27.8</v>
      </c>
      <c r="F5704" s="93">
        <v>25.75</v>
      </c>
      <c r="G5704" s="93">
        <v>0.04</v>
      </c>
      <c r="H5704" s="93">
        <v>0</v>
      </c>
      <c r="N5704" s="88"/>
      <c r="O5704" s="88"/>
      <c r="P5704" s="88"/>
    </row>
    <row r="5705" spans="1:16">
      <c r="A5705" s="94">
        <v>87781</v>
      </c>
      <c r="B5705" s="87" t="s">
        <v>4639</v>
      </c>
      <c r="C5705" s="12" t="s">
        <v>9</v>
      </c>
      <c r="D5705" s="93">
        <v>55.74</v>
      </c>
      <c r="E5705" s="93">
        <v>28.88</v>
      </c>
      <c r="F5705" s="93">
        <v>26.86</v>
      </c>
      <c r="G5705" s="93">
        <v>0</v>
      </c>
      <c r="H5705" s="93">
        <v>0</v>
      </c>
      <c r="N5705" s="88"/>
      <c r="O5705" s="88"/>
      <c r="P5705" s="88"/>
    </row>
    <row r="5706" spans="1:16">
      <c r="A5706" s="94">
        <v>87783</v>
      </c>
      <c r="B5706" s="87" t="s">
        <v>4640</v>
      </c>
      <c r="C5706" s="12" t="s">
        <v>9</v>
      </c>
      <c r="D5706" s="93">
        <v>76.069999999999993</v>
      </c>
      <c r="E5706" s="93">
        <v>23.94</v>
      </c>
      <c r="F5706" s="93">
        <v>51.16</v>
      </c>
      <c r="G5706" s="93">
        <v>0.87</v>
      </c>
      <c r="H5706" s="93">
        <v>0</v>
      </c>
      <c r="N5706" s="88"/>
      <c r="O5706" s="88"/>
      <c r="P5706" s="88"/>
    </row>
    <row r="5707" spans="1:16">
      <c r="A5707" s="94">
        <v>87784</v>
      </c>
      <c r="B5707" s="87" t="s">
        <v>4641</v>
      </c>
      <c r="C5707" s="12" t="s">
        <v>9</v>
      </c>
      <c r="D5707" s="93">
        <v>61.74</v>
      </c>
      <c r="E5707" s="93">
        <v>31.01</v>
      </c>
      <c r="F5707" s="93">
        <v>30.62</v>
      </c>
      <c r="G5707" s="93">
        <v>0.06</v>
      </c>
      <c r="H5707" s="93">
        <v>0</v>
      </c>
      <c r="N5707" s="88"/>
      <c r="O5707" s="88"/>
      <c r="P5707" s="88"/>
    </row>
    <row r="5708" spans="1:16">
      <c r="A5708" s="94">
        <v>87786</v>
      </c>
      <c r="B5708" s="87" t="s">
        <v>4642</v>
      </c>
      <c r="C5708" s="12" t="s">
        <v>9</v>
      </c>
      <c r="D5708" s="93">
        <v>64.38</v>
      </c>
      <c r="E5708" s="93">
        <v>32.36</v>
      </c>
      <c r="F5708" s="93">
        <v>32.020000000000003</v>
      </c>
      <c r="G5708" s="93">
        <v>0</v>
      </c>
      <c r="H5708" s="93">
        <v>0</v>
      </c>
      <c r="N5708" s="88"/>
      <c r="O5708" s="88"/>
      <c r="P5708" s="88"/>
    </row>
    <row r="5709" spans="1:16">
      <c r="A5709" s="94">
        <v>87787</v>
      </c>
      <c r="B5709" s="87" t="s">
        <v>4643</v>
      </c>
      <c r="C5709" s="12" t="s">
        <v>9</v>
      </c>
      <c r="D5709" s="93">
        <v>91.08</v>
      </c>
      <c r="E5709" s="93">
        <v>27.08</v>
      </c>
      <c r="F5709" s="93">
        <v>62.77</v>
      </c>
      <c r="G5709" s="93">
        <v>1.1000000000000001</v>
      </c>
      <c r="H5709" s="93">
        <v>0</v>
      </c>
      <c r="N5709" s="88"/>
      <c r="O5709" s="88"/>
      <c r="P5709" s="88"/>
    </row>
    <row r="5710" spans="1:16">
      <c r="A5710" s="94">
        <v>87788</v>
      </c>
      <c r="B5710" s="87" t="s">
        <v>4644</v>
      </c>
      <c r="C5710" s="12" t="s">
        <v>9</v>
      </c>
      <c r="D5710" s="93">
        <v>78.66</v>
      </c>
      <c r="E5710" s="93">
        <v>42.33</v>
      </c>
      <c r="F5710" s="93">
        <v>36.21</v>
      </c>
      <c r="G5710" s="93">
        <v>0.06</v>
      </c>
      <c r="H5710" s="93">
        <v>0</v>
      </c>
      <c r="N5710" s="88"/>
      <c r="O5710" s="88"/>
      <c r="P5710" s="88"/>
    </row>
    <row r="5711" spans="1:16">
      <c r="A5711" s="94">
        <v>87790</v>
      </c>
      <c r="B5711" s="87" t="s">
        <v>4645</v>
      </c>
      <c r="C5711" s="12" t="s">
        <v>9</v>
      </c>
      <c r="D5711" s="93">
        <v>81.569999999999993</v>
      </c>
      <c r="E5711" s="93">
        <v>43.81</v>
      </c>
      <c r="F5711" s="93">
        <v>37.76</v>
      </c>
      <c r="G5711" s="93">
        <v>0</v>
      </c>
      <c r="H5711" s="93">
        <v>0</v>
      </c>
      <c r="N5711" s="88"/>
      <c r="O5711" s="88"/>
      <c r="P5711" s="88"/>
    </row>
    <row r="5712" spans="1:16">
      <c r="A5712" s="94">
        <v>87791</v>
      </c>
      <c r="B5712" s="87" t="s">
        <v>4646</v>
      </c>
      <c r="C5712" s="12" t="s">
        <v>9</v>
      </c>
      <c r="D5712" s="93">
        <v>108.12</v>
      </c>
      <c r="E5712" s="93">
        <v>35.86</v>
      </c>
      <c r="F5712" s="93">
        <v>70.89</v>
      </c>
      <c r="G5712" s="93">
        <v>1.22</v>
      </c>
      <c r="H5712" s="93">
        <v>0</v>
      </c>
      <c r="N5712" s="88"/>
      <c r="O5712" s="88"/>
      <c r="P5712" s="88"/>
    </row>
    <row r="5713" spans="1:16">
      <c r="A5713" s="94">
        <v>87792</v>
      </c>
      <c r="B5713" s="87" t="s">
        <v>4647</v>
      </c>
      <c r="C5713" s="12" t="s">
        <v>9</v>
      </c>
      <c r="D5713" s="93">
        <v>30.76</v>
      </c>
      <c r="E5713" s="93">
        <v>13.83</v>
      </c>
      <c r="F5713" s="93">
        <v>16.88</v>
      </c>
      <c r="G5713" s="93">
        <v>0.02</v>
      </c>
      <c r="H5713" s="93">
        <v>0</v>
      </c>
      <c r="N5713" s="88"/>
      <c r="O5713" s="88"/>
      <c r="P5713" s="88"/>
    </row>
    <row r="5714" spans="1:16">
      <c r="A5714" s="94">
        <v>87794</v>
      </c>
      <c r="B5714" s="87" t="s">
        <v>4648</v>
      </c>
      <c r="C5714" s="12" t="s">
        <v>9</v>
      </c>
      <c r="D5714" s="93">
        <v>32.229999999999997</v>
      </c>
      <c r="E5714" s="93">
        <v>14.59</v>
      </c>
      <c r="F5714" s="93">
        <v>17.64</v>
      </c>
      <c r="G5714" s="93">
        <v>0</v>
      </c>
      <c r="H5714" s="93">
        <v>0</v>
      </c>
      <c r="N5714" s="88"/>
      <c r="O5714" s="88"/>
      <c r="P5714" s="88"/>
    </row>
    <row r="5715" spans="1:16">
      <c r="A5715" s="94">
        <v>87795</v>
      </c>
      <c r="B5715" s="87" t="s">
        <v>4649</v>
      </c>
      <c r="C5715" s="12" t="s">
        <v>9</v>
      </c>
      <c r="D5715" s="93">
        <v>44.9</v>
      </c>
      <c r="E5715" s="93">
        <v>10.039999999999999</v>
      </c>
      <c r="F5715" s="93">
        <v>34.200000000000003</v>
      </c>
      <c r="G5715" s="93">
        <v>0.59</v>
      </c>
      <c r="H5715" s="93">
        <v>0</v>
      </c>
      <c r="N5715" s="88"/>
      <c r="O5715" s="88"/>
      <c r="P5715" s="88"/>
    </row>
    <row r="5716" spans="1:16">
      <c r="A5716" s="94">
        <v>87797</v>
      </c>
      <c r="B5716" s="87" t="s">
        <v>4650</v>
      </c>
      <c r="C5716" s="12" t="s">
        <v>9</v>
      </c>
      <c r="D5716" s="93">
        <v>38.53</v>
      </c>
      <c r="E5716" s="93">
        <v>16.989999999999998</v>
      </c>
      <c r="F5716" s="93">
        <v>21.47</v>
      </c>
      <c r="G5716" s="93">
        <v>0.03</v>
      </c>
      <c r="H5716" s="93">
        <v>0</v>
      </c>
      <c r="N5716" s="88"/>
      <c r="O5716" s="88"/>
      <c r="P5716" s="88"/>
    </row>
    <row r="5717" spans="1:16">
      <c r="A5717" s="94">
        <v>87799</v>
      </c>
      <c r="B5717" s="87" t="s">
        <v>4651</v>
      </c>
      <c r="C5717" s="12" t="s">
        <v>9</v>
      </c>
      <c r="D5717" s="93">
        <v>40.5</v>
      </c>
      <c r="E5717" s="93">
        <v>18</v>
      </c>
      <c r="F5717" s="93">
        <v>22.5</v>
      </c>
      <c r="G5717" s="93">
        <v>0</v>
      </c>
      <c r="H5717" s="93">
        <v>0</v>
      </c>
      <c r="N5717" s="88"/>
      <c r="O5717" s="88"/>
      <c r="P5717" s="88"/>
    </row>
    <row r="5718" spans="1:16">
      <c r="A5718" s="94">
        <v>87800</v>
      </c>
      <c r="B5718" s="87" t="s">
        <v>4652</v>
      </c>
      <c r="C5718" s="12" t="s">
        <v>9</v>
      </c>
      <c r="D5718" s="93">
        <v>59.15</v>
      </c>
      <c r="E5718" s="93">
        <v>13.12</v>
      </c>
      <c r="F5718" s="93">
        <v>45.11</v>
      </c>
      <c r="G5718" s="93">
        <v>0.82</v>
      </c>
      <c r="H5718" s="93">
        <v>0</v>
      </c>
      <c r="N5718" s="88"/>
      <c r="O5718" s="88"/>
      <c r="P5718" s="88"/>
    </row>
    <row r="5719" spans="1:16">
      <c r="A5719" s="94">
        <v>87801</v>
      </c>
      <c r="B5719" s="87" t="s">
        <v>4653</v>
      </c>
      <c r="C5719" s="12" t="s">
        <v>9</v>
      </c>
      <c r="D5719" s="93">
        <v>46.31</v>
      </c>
      <c r="E5719" s="93">
        <v>20.12</v>
      </c>
      <c r="F5719" s="93">
        <v>26.08</v>
      </c>
      <c r="G5719" s="93">
        <v>0.06</v>
      </c>
      <c r="H5719" s="93">
        <v>0</v>
      </c>
      <c r="N5719" s="88"/>
      <c r="O5719" s="88"/>
      <c r="P5719" s="88"/>
    </row>
    <row r="5720" spans="1:16">
      <c r="A5720" s="94">
        <v>87803</v>
      </c>
      <c r="B5720" s="87" t="s">
        <v>4654</v>
      </c>
      <c r="C5720" s="12" t="s">
        <v>9</v>
      </c>
      <c r="D5720" s="93">
        <v>48.78</v>
      </c>
      <c r="E5720" s="93">
        <v>21.4</v>
      </c>
      <c r="F5720" s="93">
        <v>27.38</v>
      </c>
      <c r="G5720" s="93">
        <v>0</v>
      </c>
      <c r="H5720" s="93">
        <v>0</v>
      </c>
      <c r="N5720" s="88"/>
      <c r="O5720" s="88"/>
      <c r="P5720" s="88"/>
    </row>
    <row r="5721" spans="1:16">
      <c r="A5721" s="94">
        <v>87804</v>
      </c>
      <c r="B5721" s="87" t="s">
        <v>4655</v>
      </c>
      <c r="C5721" s="12" t="s">
        <v>9</v>
      </c>
      <c r="D5721" s="93">
        <v>73.39</v>
      </c>
      <c r="E5721" s="93">
        <v>16.22</v>
      </c>
      <c r="F5721" s="93">
        <v>56.02</v>
      </c>
      <c r="G5721" s="93">
        <v>1.03</v>
      </c>
      <c r="H5721" s="93">
        <v>0</v>
      </c>
      <c r="N5721" s="88"/>
      <c r="O5721" s="88"/>
      <c r="P5721" s="88"/>
    </row>
    <row r="5722" spans="1:16">
      <c r="A5722" s="94">
        <v>87805</v>
      </c>
      <c r="B5722" s="87" t="s">
        <v>4656</v>
      </c>
      <c r="C5722" s="12" t="s">
        <v>9</v>
      </c>
      <c r="D5722" s="93">
        <v>53.13</v>
      </c>
      <c r="E5722" s="93">
        <v>23.9</v>
      </c>
      <c r="F5722" s="93">
        <v>29.12</v>
      </c>
      <c r="G5722" s="93">
        <v>0.06</v>
      </c>
      <c r="H5722" s="93">
        <v>0</v>
      </c>
      <c r="N5722" s="88"/>
      <c r="O5722" s="88"/>
      <c r="P5722" s="88"/>
    </row>
    <row r="5723" spans="1:16">
      <c r="A5723" s="94">
        <v>87807</v>
      </c>
      <c r="B5723" s="87" t="s">
        <v>4657</v>
      </c>
      <c r="C5723" s="12" t="s">
        <v>9</v>
      </c>
      <c r="D5723" s="93">
        <v>55.85</v>
      </c>
      <c r="E5723" s="93">
        <v>25.32</v>
      </c>
      <c r="F5723" s="93">
        <v>30.53</v>
      </c>
      <c r="G5723" s="93">
        <v>0</v>
      </c>
      <c r="H5723" s="93">
        <v>0</v>
      </c>
      <c r="N5723" s="88"/>
      <c r="O5723" s="88"/>
      <c r="P5723" s="88"/>
    </row>
    <row r="5724" spans="1:16">
      <c r="A5724" s="94">
        <v>87808</v>
      </c>
      <c r="B5724" s="87" t="s">
        <v>4658</v>
      </c>
      <c r="C5724" s="12" t="s">
        <v>9</v>
      </c>
      <c r="D5724" s="93">
        <v>80.150000000000006</v>
      </c>
      <c r="E5724" s="93">
        <v>17.48</v>
      </c>
      <c r="F5724" s="93">
        <v>61.4</v>
      </c>
      <c r="G5724" s="93">
        <v>1.1299999999999999</v>
      </c>
      <c r="H5724" s="93">
        <v>0</v>
      </c>
      <c r="N5724" s="88"/>
      <c r="O5724" s="88"/>
      <c r="P5724" s="88"/>
    </row>
    <row r="5725" spans="1:16">
      <c r="A5725" s="94">
        <v>87809</v>
      </c>
      <c r="B5725" s="87" t="s">
        <v>4659</v>
      </c>
      <c r="C5725" s="12" t="s">
        <v>9</v>
      </c>
      <c r="D5725" s="93">
        <v>71.19</v>
      </c>
      <c r="E5725" s="93">
        <v>45.77</v>
      </c>
      <c r="F5725" s="93">
        <v>25.37</v>
      </c>
      <c r="G5725" s="93">
        <v>0.02</v>
      </c>
      <c r="H5725" s="93">
        <v>0</v>
      </c>
      <c r="N5725" s="88"/>
      <c r="O5725" s="88"/>
      <c r="P5725" s="88"/>
    </row>
    <row r="5726" spans="1:16">
      <c r="A5726" s="94">
        <v>87811</v>
      </c>
      <c r="B5726" s="87" t="s">
        <v>4660</v>
      </c>
      <c r="C5726" s="12" t="s">
        <v>9</v>
      </c>
      <c r="D5726" s="93">
        <v>72.66</v>
      </c>
      <c r="E5726" s="93">
        <v>46.53</v>
      </c>
      <c r="F5726" s="93">
        <v>26.13</v>
      </c>
      <c r="G5726" s="93">
        <v>0</v>
      </c>
      <c r="H5726" s="93">
        <v>0</v>
      </c>
      <c r="N5726" s="88"/>
      <c r="O5726" s="88"/>
      <c r="P5726" s="88"/>
    </row>
    <row r="5727" spans="1:16">
      <c r="A5727" s="94">
        <v>87812</v>
      </c>
      <c r="B5727" s="87" t="s">
        <v>4661</v>
      </c>
      <c r="C5727" s="12" t="s">
        <v>9</v>
      </c>
      <c r="D5727" s="93">
        <v>84.97</v>
      </c>
      <c r="E5727" s="93">
        <v>41.73</v>
      </c>
      <c r="F5727" s="93">
        <v>42.58</v>
      </c>
      <c r="G5727" s="93">
        <v>0.59</v>
      </c>
      <c r="H5727" s="93">
        <v>0</v>
      </c>
      <c r="N5727" s="88"/>
      <c r="O5727" s="88"/>
      <c r="P5727" s="88"/>
    </row>
    <row r="5728" spans="1:16">
      <c r="A5728" s="94">
        <v>87813</v>
      </c>
      <c r="B5728" s="87" t="s">
        <v>4662</v>
      </c>
      <c r="C5728" s="12" t="s">
        <v>9</v>
      </c>
      <c r="D5728" s="93">
        <v>78.959999999999994</v>
      </c>
      <c r="E5728" s="93">
        <v>48.94</v>
      </c>
      <c r="F5728" s="93">
        <v>29.95</v>
      </c>
      <c r="G5728" s="93">
        <v>0.03</v>
      </c>
      <c r="H5728" s="93">
        <v>0</v>
      </c>
      <c r="N5728" s="88"/>
      <c r="O5728" s="88"/>
      <c r="P5728" s="88"/>
    </row>
    <row r="5729" spans="1:16">
      <c r="A5729" s="94">
        <v>87815</v>
      </c>
      <c r="B5729" s="87" t="s">
        <v>4663</v>
      </c>
      <c r="C5729" s="12" t="s">
        <v>9</v>
      </c>
      <c r="D5729" s="93">
        <v>80.930000000000007</v>
      </c>
      <c r="E5729" s="93">
        <v>49.95</v>
      </c>
      <c r="F5729" s="93">
        <v>30.98</v>
      </c>
      <c r="G5729" s="93">
        <v>0</v>
      </c>
      <c r="H5729" s="93">
        <v>0</v>
      </c>
      <c r="N5729" s="88"/>
      <c r="O5729" s="88"/>
      <c r="P5729" s="88"/>
    </row>
    <row r="5730" spans="1:16">
      <c r="A5730" s="94">
        <v>87816</v>
      </c>
      <c r="B5730" s="87" t="s">
        <v>4664</v>
      </c>
      <c r="C5730" s="12" t="s">
        <v>9</v>
      </c>
      <c r="D5730" s="93">
        <v>99.22</v>
      </c>
      <c r="E5730" s="93">
        <v>44.81</v>
      </c>
      <c r="F5730" s="93">
        <v>53.49</v>
      </c>
      <c r="G5730" s="93">
        <v>0.82</v>
      </c>
      <c r="H5730" s="93">
        <v>0</v>
      </c>
      <c r="N5730" s="88"/>
      <c r="O5730" s="88"/>
      <c r="P5730" s="88"/>
    </row>
    <row r="5731" spans="1:16">
      <c r="A5731" s="94">
        <v>87817</v>
      </c>
      <c r="B5731" s="87" t="s">
        <v>4665</v>
      </c>
      <c r="C5731" s="12" t="s">
        <v>9</v>
      </c>
      <c r="D5731" s="93">
        <v>86.37</v>
      </c>
      <c r="E5731" s="93">
        <v>51.79</v>
      </c>
      <c r="F5731" s="93">
        <v>34.47</v>
      </c>
      <c r="G5731" s="93">
        <v>0.06</v>
      </c>
      <c r="H5731" s="93">
        <v>0</v>
      </c>
      <c r="N5731" s="88"/>
      <c r="O5731" s="88"/>
      <c r="P5731" s="88"/>
    </row>
    <row r="5732" spans="1:16">
      <c r="A5732" s="94">
        <v>87819</v>
      </c>
      <c r="B5732" s="87" t="s">
        <v>4666</v>
      </c>
      <c r="C5732" s="12" t="s">
        <v>9</v>
      </c>
      <c r="D5732" s="93">
        <v>88.84</v>
      </c>
      <c r="E5732" s="93">
        <v>53.06</v>
      </c>
      <c r="F5732" s="93">
        <v>35.78</v>
      </c>
      <c r="G5732" s="93">
        <v>0</v>
      </c>
      <c r="H5732" s="93">
        <v>0</v>
      </c>
      <c r="N5732" s="88"/>
      <c r="O5732" s="88"/>
      <c r="P5732" s="88"/>
    </row>
    <row r="5733" spans="1:16">
      <c r="A5733" s="94">
        <v>87820</v>
      </c>
      <c r="B5733" s="87" t="s">
        <v>4667</v>
      </c>
      <c r="C5733" s="12" t="s">
        <v>9</v>
      </c>
      <c r="D5733" s="93">
        <v>113.45</v>
      </c>
      <c r="E5733" s="93">
        <v>47.88</v>
      </c>
      <c r="F5733" s="93">
        <v>64.42</v>
      </c>
      <c r="G5733" s="93">
        <v>1.03</v>
      </c>
      <c r="H5733" s="93">
        <v>0</v>
      </c>
      <c r="N5733" s="88"/>
      <c r="O5733" s="88"/>
      <c r="P5733" s="88"/>
    </row>
    <row r="5734" spans="1:16">
      <c r="A5734" s="94">
        <v>87821</v>
      </c>
      <c r="B5734" s="87" t="s">
        <v>4668</v>
      </c>
      <c r="C5734" s="12" t="s">
        <v>9</v>
      </c>
      <c r="D5734" s="93">
        <v>123.01</v>
      </c>
      <c r="E5734" s="93">
        <v>78.069999999999993</v>
      </c>
      <c r="F5734" s="93">
        <v>44.83</v>
      </c>
      <c r="G5734" s="93">
        <v>0.06</v>
      </c>
      <c r="H5734" s="93">
        <v>0</v>
      </c>
      <c r="N5734" s="88"/>
      <c r="O5734" s="88"/>
      <c r="P5734" s="88"/>
    </row>
    <row r="5735" spans="1:16">
      <c r="A5735" s="94">
        <v>87823</v>
      </c>
      <c r="B5735" s="87" t="s">
        <v>4669</v>
      </c>
      <c r="C5735" s="12" t="s">
        <v>9</v>
      </c>
      <c r="D5735" s="93">
        <v>125.73</v>
      </c>
      <c r="E5735" s="93">
        <v>79.48</v>
      </c>
      <c r="F5735" s="93">
        <v>46.25</v>
      </c>
      <c r="G5735" s="93">
        <v>0</v>
      </c>
      <c r="H5735" s="93">
        <v>0</v>
      </c>
      <c r="N5735" s="88"/>
      <c r="O5735" s="88"/>
      <c r="P5735" s="88"/>
    </row>
    <row r="5736" spans="1:16">
      <c r="A5736" s="94">
        <v>87824</v>
      </c>
      <c r="B5736" s="87" t="s">
        <v>4670</v>
      </c>
      <c r="C5736" s="12" t="s">
        <v>9</v>
      </c>
      <c r="D5736" s="93">
        <v>149.66</v>
      </c>
      <c r="E5736" s="93">
        <v>71.37</v>
      </c>
      <c r="F5736" s="93">
        <v>77.02</v>
      </c>
      <c r="G5736" s="93">
        <v>1.1299999999999999</v>
      </c>
      <c r="H5736" s="93">
        <v>0</v>
      </c>
      <c r="N5736" s="88"/>
      <c r="O5736" s="88"/>
      <c r="P5736" s="88"/>
    </row>
    <row r="5737" spans="1:16">
      <c r="A5737" s="94">
        <v>87825</v>
      </c>
      <c r="B5737" s="87" t="s">
        <v>4671</v>
      </c>
      <c r="C5737" s="12" t="s">
        <v>9</v>
      </c>
      <c r="D5737" s="93">
        <v>57.44</v>
      </c>
      <c r="E5737" s="93">
        <v>33.630000000000003</v>
      </c>
      <c r="F5737" s="93">
        <v>23.76</v>
      </c>
      <c r="G5737" s="93">
        <v>0.02</v>
      </c>
      <c r="H5737" s="93">
        <v>0</v>
      </c>
      <c r="N5737" s="88"/>
      <c r="O5737" s="88"/>
      <c r="P5737" s="88"/>
    </row>
    <row r="5738" spans="1:16">
      <c r="A5738" s="94">
        <v>87827</v>
      </c>
      <c r="B5738" s="87" t="s">
        <v>4672</v>
      </c>
      <c r="C5738" s="12" t="s">
        <v>9</v>
      </c>
      <c r="D5738" s="93">
        <v>59.24</v>
      </c>
      <c r="E5738" s="93">
        <v>34.549999999999997</v>
      </c>
      <c r="F5738" s="93">
        <v>24.69</v>
      </c>
      <c r="G5738" s="93">
        <v>0</v>
      </c>
      <c r="H5738" s="93">
        <v>0</v>
      </c>
      <c r="N5738" s="88"/>
      <c r="O5738" s="88"/>
      <c r="P5738" s="88"/>
    </row>
    <row r="5739" spans="1:16">
      <c r="A5739" s="94">
        <v>87828</v>
      </c>
      <c r="B5739" s="87" t="s">
        <v>4673</v>
      </c>
      <c r="C5739" s="12" t="s">
        <v>9</v>
      </c>
      <c r="D5739" s="93">
        <v>75.87</v>
      </c>
      <c r="E5739" s="93">
        <v>29.8</v>
      </c>
      <c r="F5739" s="93">
        <v>45.23</v>
      </c>
      <c r="G5739" s="93">
        <v>0.75</v>
      </c>
      <c r="H5739" s="93">
        <v>0</v>
      </c>
      <c r="N5739" s="88"/>
      <c r="O5739" s="88"/>
      <c r="P5739" s="88"/>
    </row>
    <row r="5740" spans="1:16">
      <c r="A5740" s="94">
        <v>87829</v>
      </c>
      <c r="B5740" s="87" t="s">
        <v>4674</v>
      </c>
      <c r="C5740" s="12" t="s">
        <v>9</v>
      </c>
      <c r="D5740" s="93">
        <v>66.27</v>
      </c>
      <c r="E5740" s="93">
        <v>36.96</v>
      </c>
      <c r="F5740" s="93">
        <v>29.21</v>
      </c>
      <c r="G5740" s="93">
        <v>0.05</v>
      </c>
      <c r="H5740" s="93">
        <v>0</v>
      </c>
      <c r="N5740" s="88"/>
      <c r="O5740" s="88"/>
      <c r="P5740" s="88"/>
    </row>
    <row r="5741" spans="1:16">
      <c r="A5741" s="94">
        <v>87831</v>
      </c>
      <c r="B5741" s="87" t="s">
        <v>4675</v>
      </c>
      <c r="C5741" s="12" t="s">
        <v>9</v>
      </c>
      <c r="D5741" s="93">
        <v>68.680000000000007</v>
      </c>
      <c r="E5741" s="93">
        <v>38.200000000000003</v>
      </c>
      <c r="F5741" s="93">
        <v>30.48</v>
      </c>
      <c r="G5741" s="93">
        <v>0</v>
      </c>
      <c r="H5741" s="93">
        <v>0</v>
      </c>
      <c r="N5741" s="88"/>
      <c r="O5741" s="88"/>
      <c r="P5741" s="88"/>
    </row>
    <row r="5742" spans="1:16">
      <c r="A5742" s="94">
        <v>87832</v>
      </c>
      <c r="B5742" s="87" t="s">
        <v>4676</v>
      </c>
      <c r="C5742" s="12" t="s">
        <v>9</v>
      </c>
      <c r="D5742" s="93">
        <v>92.59</v>
      </c>
      <c r="E5742" s="93">
        <v>33.06</v>
      </c>
      <c r="F5742" s="93">
        <v>58.41</v>
      </c>
      <c r="G5742" s="93">
        <v>1</v>
      </c>
      <c r="H5742" s="93">
        <v>0</v>
      </c>
      <c r="N5742" s="88"/>
      <c r="O5742" s="88"/>
      <c r="P5742" s="88"/>
    </row>
    <row r="5743" spans="1:16">
      <c r="A5743" s="94">
        <v>87834</v>
      </c>
      <c r="B5743" s="87" t="s">
        <v>4677</v>
      </c>
      <c r="C5743" s="12" t="s">
        <v>9</v>
      </c>
      <c r="D5743" s="93">
        <v>128.69</v>
      </c>
      <c r="E5743" s="93">
        <v>14.37</v>
      </c>
      <c r="F5743" s="93">
        <v>114.17</v>
      </c>
      <c r="G5743" s="93">
        <v>0.08</v>
      </c>
      <c r="H5743" s="93">
        <v>0</v>
      </c>
      <c r="N5743" s="88"/>
      <c r="O5743" s="88"/>
      <c r="P5743" s="88"/>
    </row>
    <row r="5744" spans="1:16">
      <c r="A5744" s="94">
        <v>87835</v>
      </c>
      <c r="B5744" s="87" t="s">
        <v>4678</v>
      </c>
      <c r="C5744" s="12" t="s">
        <v>9</v>
      </c>
      <c r="D5744" s="93">
        <v>88.13</v>
      </c>
      <c r="E5744" s="93">
        <v>11.61</v>
      </c>
      <c r="F5744" s="93">
        <v>76.41</v>
      </c>
      <c r="G5744" s="93">
        <v>0.06</v>
      </c>
      <c r="H5744" s="93">
        <v>0</v>
      </c>
      <c r="N5744" s="88"/>
      <c r="O5744" s="88"/>
      <c r="P5744" s="88"/>
    </row>
    <row r="5745" spans="1:16">
      <c r="A5745" s="94">
        <v>87836</v>
      </c>
      <c r="B5745" s="87" t="s">
        <v>4679</v>
      </c>
      <c r="C5745" s="12" t="s">
        <v>9</v>
      </c>
      <c r="D5745" s="93">
        <v>123.62</v>
      </c>
      <c r="E5745" s="93">
        <v>11.04</v>
      </c>
      <c r="F5745" s="93">
        <v>111.5</v>
      </c>
      <c r="G5745" s="93">
        <v>1</v>
      </c>
      <c r="H5745" s="93">
        <v>0</v>
      </c>
      <c r="N5745" s="88"/>
      <c r="O5745" s="88"/>
      <c r="P5745" s="88"/>
    </row>
    <row r="5746" spans="1:16">
      <c r="A5746" s="94">
        <v>87837</v>
      </c>
      <c r="B5746" s="87" t="s">
        <v>4680</v>
      </c>
      <c r="C5746" s="12" t="s">
        <v>9</v>
      </c>
      <c r="D5746" s="93">
        <v>83.41</v>
      </c>
      <c r="E5746" s="93">
        <v>8.36</v>
      </c>
      <c r="F5746" s="93">
        <v>74.3</v>
      </c>
      <c r="G5746" s="93">
        <v>0.69</v>
      </c>
      <c r="H5746" s="93">
        <v>0</v>
      </c>
      <c r="N5746" s="88"/>
      <c r="O5746" s="88"/>
      <c r="P5746" s="88"/>
    </row>
    <row r="5747" spans="1:16">
      <c r="A5747" s="94">
        <v>87838</v>
      </c>
      <c r="B5747" s="87" t="s">
        <v>4681</v>
      </c>
      <c r="C5747" s="12" t="s">
        <v>9</v>
      </c>
      <c r="D5747" s="93">
        <v>135.34</v>
      </c>
      <c r="E5747" s="93">
        <v>17.48</v>
      </c>
      <c r="F5747" s="93">
        <v>117.71</v>
      </c>
      <c r="G5747" s="93">
        <v>0.08</v>
      </c>
      <c r="H5747" s="93">
        <v>0</v>
      </c>
      <c r="N5747" s="88"/>
      <c r="O5747" s="88"/>
      <c r="P5747" s="88"/>
    </row>
    <row r="5748" spans="1:16">
      <c r="A5748" s="94">
        <v>87839</v>
      </c>
      <c r="B5748" s="87" t="s">
        <v>4682</v>
      </c>
      <c r="C5748" s="12" t="s">
        <v>9</v>
      </c>
      <c r="D5748" s="93">
        <v>92.78</v>
      </c>
      <c r="E5748" s="93">
        <v>14.74</v>
      </c>
      <c r="F5748" s="93">
        <v>77.930000000000007</v>
      </c>
      <c r="G5748" s="93">
        <v>0.06</v>
      </c>
      <c r="H5748" s="93">
        <v>0</v>
      </c>
      <c r="N5748" s="88"/>
      <c r="O5748" s="88"/>
      <c r="P5748" s="88"/>
    </row>
    <row r="5749" spans="1:16">
      <c r="A5749" s="94">
        <v>87840</v>
      </c>
      <c r="B5749" s="87" t="s">
        <v>4683</v>
      </c>
      <c r="C5749" s="12" t="s">
        <v>9</v>
      </c>
      <c r="D5749" s="93">
        <v>128.88</v>
      </c>
      <c r="E5749" s="93">
        <v>13.19</v>
      </c>
      <c r="F5749" s="93">
        <v>114.61</v>
      </c>
      <c r="G5749" s="93">
        <v>1</v>
      </c>
      <c r="H5749" s="93">
        <v>0</v>
      </c>
      <c r="N5749" s="88"/>
      <c r="O5749" s="88"/>
      <c r="P5749" s="88"/>
    </row>
    <row r="5750" spans="1:16">
      <c r="A5750" s="94">
        <v>87841</v>
      </c>
      <c r="B5750" s="87" t="s">
        <v>4684</v>
      </c>
      <c r="C5750" s="12" t="s">
        <v>9</v>
      </c>
      <c r="D5750" s="93">
        <v>86.66</v>
      </c>
      <c r="E5750" s="93">
        <v>10.5</v>
      </c>
      <c r="F5750" s="93">
        <v>75.41</v>
      </c>
      <c r="G5750" s="93">
        <v>0.69</v>
      </c>
      <c r="H5750" s="93">
        <v>0</v>
      </c>
      <c r="N5750" s="88"/>
      <c r="O5750" s="88"/>
      <c r="P5750" s="88"/>
    </row>
    <row r="5751" spans="1:16">
      <c r="A5751" s="94">
        <v>87842</v>
      </c>
      <c r="B5751" s="87" t="s">
        <v>4685</v>
      </c>
      <c r="C5751" s="12" t="s">
        <v>9</v>
      </c>
      <c r="D5751" s="93">
        <v>134.43</v>
      </c>
      <c r="E5751" s="93">
        <v>25.58</v>
      </c>
      <c r="F5751" s="93">
        <v>108.7</v>
      </c>
      <c r="G5751" s="93">
        <v>0.08</v>
      </c>
      <c r="H5751" s="93">
        <v>0</v>
      </c>
      <c r="N5751" s="88"/>
      <c r="O5751" s="88"/>
      <c r="P5751" s="88"/>
    </row>
    <row r="5752" spans="1:16">
      <c r="A5752" s="94">
        <v>87843</v>
      </c>
      <c r="B5752" s="87" t="s">
        <v>4686</v>
      </c>
      <c r="C5752" s="12" t="s">
        <v>9</v>
      </c>
      <c r="D5752" s="93">
        <v>100.31</v>
      </c>
      <c r="E5752" s="93">
        <v>22.83</v>
      </c>
      <c r="F5752" s="93">
        <v>77.37</v>
      </c>
      <c r="G5752" s="93">
        <v>0.06</v>
      </c>
      <c r="H5752" s="93">
        <v>0</v>
      </c>
      <c r="N5752" s="88"/>
      <c r="O5752" s="88"/>
      <c r="P5752" s="88"/>
    </row>
    <row r="5753" spans="1:16">
      <c r="A5753" s="94">
        <v>87844</v>
      </c>
      <c r="B5753" s="87" t="s">
        <v>4687</v>
      </c>
      <c r="C5753" s="12" t="s">
        <v>9</v>
      </c>
      <c r="D5753" s="93">
        <v>124.29</v>
      </c>
      <c r="E5753" s="93">
        <v>18.68</v>
      </c>
      <c r="F5753" s="93">
        <v>104.53</v>
      </c>
      <c r="G5753" s="93">
        <v>1</v>
      </c>
      <c r="H5753" s="93">
        <v>0</v>
      </c>
      <c r="N5753" s="88"/>
      <c r="O5753" s="88"/>
      <c r="P5753" s="88"/>
    </row>
    <row r="5754" spans="1:16">
      <c r="A5754" s="94">
        <v>87845</v>
      </c>
      <c r="B5754" s="87" t="s">
        <v>4688</v>
      </c>
      <c r="C5754" s="12" t="s">
        <v>9</v>
      </c>
      <c r="D5754" s="93">
        <v>90.56</v>
      </c>
      <c r="E5754" s="93">
        <v>16.010000000000002</v>
      </c>
      <c r="F5754" s="93">
        <v>73.8</v>
      </c>
      <c r="G5754" s="93">
        <v>0.69</v>
      </c>
      <c r="H5754" s="93">
        <v>0</v>
      </c>
      <c r="N5754" s="88"/>
      <c r="O5754" s="88"/>
      <c r="P5754" s="88"/>
    </row>
    <row r="5755" spans="1:16">
      <c r="A5755" s="94">
        <v>87846</v>
      </c>
      <c r="B5755" s="87" t="s">
        <v>4689</v>
      </c>
      <c r="C5755" s="12" t="s">
        <v>9</v>
      </c>
      <c r="D5755" s="93">
        <v>139.75</v>
      </c>
      <c r="E5755" s="93">
        <v>17.47</v>
      </c>
      <c r="F5755" s="93">
        <v>122.12</v>
      </c>
      <c r="G5755" s="93">
        <v>0.09</v>
      </c>
      <c r="H5755" s="93">
        <v>0</v>
      </c>
      <c r="N5755" s="88"/>
      <c r="O5755" s="88"/>
      <c r="P5755" s="88"/>
    </row>
    <row r="5756" spans="1:16">
      <c r="A5756" s="94">
        <v>87847</v>
      </c>
      <c r="B5756" s="87" t="s">
        <v>4690</v>
      </c>
      <c r="C5756" s="12" t="s">
        <v>9</v>
      </c>
      <c r="D5756" s="93">
        <v>99.19</v>
      </c>
      <c r="E5756" s="93">
        <v>14.73</v>
      </c>
      <c r="F5756" s="93">
        <v>84.35</v>
      </c>
      <c r="G5756" s="93">
        <v>0.06</v>
      </c>
      <c r="H5756" s="93">
        <v>0</v>
      </c>
      <c r="N5756" s="88"/>
      <c r="O5756" s="88"/>
      <c r="P5756" s="88"/>
    </row>
    <row r="5757" spans="1:16">
      <c r="A5757" s="94">
        <v>87848</v>
      </c>
      <c r="B5757" s="87" t="s">
        <v>4691</v>
      </c>
      <c r="C5757" s="12" t="s">
        <v>9</v>
      </c>
      <c r="D5757" s="93">
        <v>133.71</v>
      </c>
      <c r="E5757" s="93">
        <v>13.37</v>
      </c>
      <c r="F5757" s="93">
        <v>119.17</v>
      </c>
      <c r="G5757" s="93">
        <v>1.08</v>
      </c>
      <c r="H5757" s="93">
        <v>0</v>
      </c>
      <c r="N5757" s="88"/>
      <c r="O5757" s="88"/>
      <c r="P5757" s="88"/>
    </row>
    <row r="5758" spans="1:16">
      <c r="A5758" s="94">
        <v>87849</v>
      </c>
      <c r="B5758" s="87" t="s">
        <v>4692</v>
      </c>
      <c r="C5758" s="12" t="s">
        <v>9</v>
      </c>
      <c r="D5758" s="93">
        <v>93.5</v>
      </c>
      <c r="E5758" s="93">
        <v>10.69</v>
      </c>
      <c r="F5758" s="93">
        <v>81.99</v>
      </c>
      <c r="G5758" s="93">
        <v>0.76</v>
      </c>
      <c r="H5758" s="93">
        <v>0</v>
      </c>
      <c r="N5758" s="88"/>
      <c r="O5758" s="88"/>
      <c r="P5758" s="88"/>
    </row>
    <row r="5759" spans="1:16">
      <c r="A5759" s="94">
        <v>87850</v>
      </c>
      <c r="B5759" s="87" t="s">
        <v>4693</v>
      </c>
      <c r="C5759" s="12" t="s">
        <v>9</v>
      </c>
      <c r="D5759" s="93">
        <v>146.41999999999999</v>
      </c>
      <c r="E5759" s="93">
        <v>20.61</v>
      </c>
      <c r="F5759" s="93">
        <v>125.65</v>
      </c>
      <c r="G5759" s="93">
        <v>0.09</v>
      </c>
      <c r="H5759" s="93">
        <v>0</v>
      </c>
      <c r="N5759" s="88"/>
      <c r="O5759" s="88"/>
      <c r="P5759" s="88"/>
    </row>
    <row r="5760" spans="1:16">
      <c r="A5760" s="94">
        <v>87851</v>
      </c>
      <c r="B5760" s="87" t="s">
        <v>4694</v>
      </c>
      <c r="C5760" s="12" t="s">
        <v>9</v>
      </c>
      <c r="D5760" s="93">
        <v>103.86</v>
      </c>
      <c r="E5760" s="93">
        <v>17.88</v>
      </c>
      <c r="F5760" s="93">
        <v>85.87</v>
      </c>
      <c r="G5760" s="93">
        <v>0.06</v>
      </c>
      <c r="H5760" s="93">
        <v>0</v>
      </c>
      <c r="N5760" s="88"/>
      <c r="O5760" s="88"/>
      <c r="P5760" s="88"/>
    </row>
    <row r="5761" spans="1:16">
      <c r="A5761" s="94">
        <v>87852</v>
      </c>
      <c r="B5761" s="87" t="s">
        <v>4695</v>
      </c>
      <c r="C5761" s="12" t="s">
        <v>9</v>
      </c>
      <c r="D5761" s="93">
        <v>138.94999999999999</v>
      </c>
      <c r="E5761" s="93">
        <v>15.5</v>
      </c>
      <c r="F5761" s="93">
        <v>122.28</v>
      </c>
      <c r="G5761" s="93">
        <v>1.08</v>
      </c>
      <c r="H5761" s="93">
        <v>0</v>
      </c>
      <c r="N5761" s="88"/>
      <c r="O5761" s="88"/>
      <c r="P5761" s="88"/>
    </row>
    <row r="5762" spans="1:16">
      <c r="A5762" s="94">
        <v>87853</v>
      </c>
      <c r="B5762" s="87" t="s">
        <v>4696</v>
      </c>
      <c r="C5762" s="12" t="s">
        <v>9</v>
      </c>
      <c r="D5762" s="93">
        <v>96.73</v>
      </c>
      <c r="E5762" s="93">
        <v>12.81</v>
      </c>
      <c r="F5762" s="93">
        <v>83.1</v>
      </c>
      <c r="G5762" s="93">
        <v>0.76</v>
      </c>
      <c r="H5762" s="93">
        <v>0</v>
      </c>
      <c r="N5762" s="88"/>
      <c r="O5762" s="88"/>
      <c r="P5762" s="88"/>
    </row>
    <row r="5763" spans="1:16">
      <c r="A5763" s="94">
        <v>87854</v>
      </c>
      <c r="B5763" s="87" t="s">
        <v>4697</v>
      </c>
      <c r="C5763" s="12" t="s">
        <v>9</v>
      </c>
      <c r="D5763" s="93">
        <v>145.49</v>
      </c>
      <c r="E5763" s="93">
        <v>28.69</v>
      </c>
      <c r="F5763" s="93">
        <v>116.64</v>
      </c>
      <c r="G5763" s="93">
        <v>0.09</v>
      </c>
      <c r="H5763" s="93">
        <v>0</v>
      </c>
      <c r="N5763" s="88"/>
      <c r="O5763" s="88"/>
      <c r="P5763" s="88"/>
    </row>
    <row r="5764" spans="1:16">
      <c r="A5764" s="94">
        <v>87855</v>
      </c>
      <c r="B5764" s="87" t="s">
        <v>4698</v>
      </c>
      <c r="C5764" s="12" t="s">
        <v>9</v>
      </c>
      <c r="D5764" s="93">
        <v>111.4</v>
      </c>
      <c r="E5764" s="93">
        <v>25.96</v>
      </c>
      <c r="F5764" s="93">
        <v>85.33</v>
      </c>
      <c r="G5764" s="93">
        <v>0.06</v>
      </c>
      <c r="H5764" s="93">
        <v>0</v>
      </c>
      <c r="N5764" s="88"/>
      <c r="O5764" s="88"/>
      <c r="P5764" s="88"/>
    </row>
    <row r="5765" spans="1:16">
      <c r="A5765" s="94">
        <v>87856</v>
      </c>
      <c r="B5765" s="87" t="s">
        <v>4699</v>
      </c>
      <c r="C5765" s="12" t="s">
        <v>9</v>
      </c>
      <c r="D5765" s="93">
        <v>134.38</v>
      </c>
      <c r="E5765" s="93">
        <v>21.01</v>
      </c>
      <c r="F5765" s="93">
        <v>112.2</v>
      </c>
      <c r="G5765" s="93">
        <v>1.08</v>
      </c>
      <c r="H5765" s="93">
        <v>0</v>
      </c>
      <c r="N5765" s="88"/>
      <c r="O5765" s="88"/>
      <c r="P5765" s="88"/>
    </row>
    <row r="5766" spans="1:16">
      <c r="A5766" s="94">
        <v>87857</v>
      </c>
      <c r="B5766" s="87" t="s">
        <v>4700</v>
      </c>
      <c r="C5766" s="12" t="s">
        <v>9</v>
      </c>
      <c r="D5766" s="93">
        <v>100.62</v>
      </c>
      <c r="E5766" s="93">
        <v>18.329999999999998</v>
      </c>
      <c r="F5766" s="93">
        <v>81.47</v>
      </c>
      <c r="G5766" s="93">
        <v>0.76</v>
      </c>
      <c r="H5766" s="93">
        <v>0</v>
      </c>
      <c r="N5766" s="88"/>
      <c r="O5766" s="88"/>
      <c r="P5766" s="88"/>
    </row>
    <row r="5767" spans="1:16">
      <c r="A5767" s="94">
        <v>87858</v>
      </c>
      <c r="B5767" s="87" t="s">
        <v>4701</v>
      </c>
      <c r="C5767" s="12" t="s">
        <v>9</v>
      </c>
      <c r="D5767" s="93">
        <v>96.15</v>
      </c>
      <c r="E5767" s="93">
        <v>18.72</v>
      </c>
      <c r="F5767" s="93">
        <v>77.319999999999993</v>
      </c>
      <c r="G5767" s="93">
        <v>0.06</v>
      </c>
      <c r="H5767" s="93">
        <v>0</v>
      </c>
      <c r="N5767" s="88"/>
      <c r="O5767" s="88"/>
      <c r="P5767" s="88"/>
    </row>
    <row r="5768" spans="1:16">
      <c r="A5768" s="94">
        <v>87859</v>
      </c>
      <c r="B5768" s="87" t="s">
        <v>4702</v>
      </c>
      <c r="C5768" s="12" t="s">
        <v>9</v>
      </c>
      <c r="D5768" s="93">
        <v>112.06</v>
      </c>
      <c r="E5768" s="93">
        <v>25.55</v>
      </c>
      <c r="F5768" s="93">
        <v>86.4</v>
      </c>
      <c r="G5768" s="93">
        <v>0.06</v>
      </c>
      <c r="H5768" s="93">
        <v>0</v>
      </c>
      <c r="N5768" s="88"/>
      <c r="O5768" s="88"/>
      <c r="P5768" s="88"/>
    </row>
    <row r="5769" spans="1:16">
      <c r="A5769" s="94">
        <v>89048</v>
      </c>
      <c r="B5769" s="87" t="s">
        <v>4703</v>
      </c>
      <c r="C5769" s="12" t="s">
        <v>9</v>
      </c>
      <c r="D5769" s="93">
        <v>31.56</v>
      </c>
      <c r="E5769" s="93">
        <v>13.96</v>
      </c>
      <c r="F5769" s="93">
        <v>17.559999999999999</v>
      </c>
      <c r="G5769" s="93">
        <v>0.02</v>
      </c>
      <c r="H5769" s="93">
        <v>0</v>
      </c>
      <c r="N5769" s="88"/>
      <c r="O5769" s="88"/>
      <c r="P5769" s="88"/>
    </row>
    <row r="5770" spans="1:16">
      <c r="A5770" s="94">
        <v>89049</v>
      </c>
      <c r="B5770" s="87" t="s">
        <v>4704</v>
      </c>
      <c r="C5770" s="12" t="s">
        <v>9</v>
      </c>
      <c r="D5770" s="93">
        <v>14.81</v>
      </c>
      <c r="E5770" s="93">
        <v>8.35</v>
      </c>
      <c r="F5770" s="93">
        <v>6.46</v>
      </c>
      <c r="G5770" s="93">
        <v>0</v>
      </c>
      <c r="H5770" s="93">
        <v>0</v>
      </c>
      <c r="N5770" s="88"/>
      <c r="O5770" s="88"/>
      <c r="P5770" s="88"/>
    </row>
    <row r="5771" spans="1:16">
      <c r="A5771" s="94">
        <v>89173</v>
      </c>
      <c r="B5771" s="87" t="s">
        <v>4705</v>
      </c>
      <c r="C5771" s="12" t="s">
        <v>9</v>
      </c>
      <c r="D5771" s="93">
        <v>31.08</v>
      </c>
      <c r="E5771" s="93">
        <v>13.57</v>
      </c>
      <c r="F5771" s="93">
        <v>17.47</v>
      </c>
      <c r="G5771" s="93">
        <v>0.02</v>
      </c>
      <c r="H5771" s="93">
        <v>0</v>
      </c>
      <c r="N5771" s="88"/>
      <c r="O5771" s="88"/>
      <c r="P5771" s="88"/>
    </row>
    <row r="5772" spans="1:16">
      <c r="A5772" s="94">
        <v>90406</v>
      </c>
      <c r="B5772" s="87" t="s">
        <v>4706</v>
      </c>
      <c r="C5772" s="12" t="s">
        <v>9</v>
      </c>
      <c r="D5772" s="93">
        <v>39.65</v>
      </c>
      <c r="E5772" s="93">
        <v>20.13</v>
      </c>
      <c r="F5772" s="93">
        <v>19.45</v>
      </c>
      <c r="G5772" s="93">
        <v>0.03</v>
      </c>
      <c r="H5772" s="93">
        <v>0</v>
      </c>
      <c r="N5772" s="88"/>
      <c r="O5772" s="88"/>
      <c r="P5772" s="88"/>
    </row>
    <row r="5773" spans="1:16">
      <c r="A5773" s="94">
        <v>90407</v>
      </c>
      <c r="B5773" s="87" t="s">
        <v>4707</v>
      </c>
      <c r="C5773" s="12" t="s">
        <v>9</v>
      </c>
      <c r="D5773" s="93">
        <v>41.53</v>
      </c>
      <c r="E5773" s="93">
        <v>21.09</v>
      </c>
      <c r="F5773" s="93">
        <v>20.440000000000001</v>
      </c>
      <c r="G5773" s="93">
        <v>0</v>
      </c>
      <c r="H5773" s="93">
        <v>0</v>
      </c>
      <c r="N5773" s="88"/>
      <c r="O5773" s="88"/>
      <c r="P5773" s="88"/>
    </row>
    <row r="5774" spans="1:16">
      <c r="A5774" s="94">
        <v>90408</v>
      </c>
      <c r="B5774" s="87" t="s">
        <v>4708</v>
      </c>
      <c r="C5774" s="12" t="s">
        <v>9</v>
      </c>
      <c r="D5774" s="93">
        <v>28.27</v>
      </c>
      <c r="E5774" s="93">
        <v>15.91</v>
      </c>
      <c r="F5774" s="93">
        <v>12.33</v>
      </c>
      <c r="G5774" s="93">
        <v>0.01</v>
      </c>
      <c r="H5774" s="93">
        <v>0</v>
      </c>
      <c r="N5774" s="88"/>
      <c r="O5774" s="88"/>
      <c r="P5774" s="88"/>
    </row>
    <row r="5775" spans="1:16">
      <c r="A5775" s="94">
        <v>90409</v>
      </c>
      <c r="B5775" s="87" t="s">
        <v>4709</v>
      </c>
      <c r="C5775" s="12" t="s">
        <v>9</v>
      </c>
      <c r="D5775" s="93">
        <v>29.34</v>
      </c>
      <c r="E5775" s="93">
        <v>16.45</v>
      </c>
      <c r="F5775" s="93">
        <v>12.89</v>
      </c>
      <c r="G5775" s="93">
        <v>0</v>
      </c>
      <c r="H5775" s="93">
        <v>0</v>
      </c>
      <c r="N5775" s="88"/>
      <c r="O5775" s="88"/>
      <c r="P5775" s="88"/>
    </row>
    <row r="5776" spans="1:16">
      <c r="A5776" s="94">
        <v>87242</v>
      </c>
      <c r="B5776" s="87" t="s">
        <v>471</v>
      </c>
      <c r="C5776" s="12" t="s">
        <v>9</v>
      </c>
      <c r="D5776" s="93">
        <v>174.06</v>
      </c>
      <c r="E5776" s="93">
        <v>28.88</v>
      </c>
      <c r="F5776" s="93">
        <v>145.18</v>
      </c>
      <c r="G5776" s="93">
        <v>0</v>
      </c>
      <c r="H5776" s="93">
        <v>0</v>
      </c>
      <c r="N5776" s="88"/>
      <c r="O5776" s="88"/>
      <c r="P5776" s="88"/>
    </row>
    <row r="5777" spans="1:16">
      <c r="A5777" s="94">
        <v>87243</v>
      </c>
      <c r="B5777" s="87" t="s">
        <v>472</v>
      </c>
      <c r="C5777" s="12" t="s">
        <v>9</v>
      </c>
      <c r="D5777" s="93">
        <v>158.91</v>
      </c>
      <c r="E5777" s="93">
        <v>22.96</v>
      </c>
      <c r="F5777" s="93">
        <v>135.94999999999999</v>
      </c>
      <c r="G5777" s="93">
        <v>0</v>
      </c>
      <c r="H5777" s="93">
        <v>0</v>
      </c>
      <c r="N5777" s="88"/>
      <c r="O5777" s="88"/>
      <c r="P5777" s="88"/>
    </row>
    <row r="5778" spans="1:16">
      <c r="A5778" s="94">
        <v>87244</v>
      </c>
      <c r="B5778" s="87" t="s">
        <v>4710</v>
      </c>
      <c r="C5778" s="12" t="s">
        <v>9</v>
      </c>
      <c r="D5778" s="93">
        <v>169.2</v>
      </c>
      <c r="E5778" s="93">
        <v>30.85</v>
      </c>
      <c r="F5778" s="93">
        <v>138.35</v>
      </c>
      <c r="G5778" s="93">
        <v>0</v>
      </c>
      <c r="H5778" s="93">
        <v>0</v>
      </c>
      <c r="N5778" s="88"/>
      <c r="O5778" s="88"/>
      <c r="P5778" s="88"/>
    </row>
    <row r="5779" spans="1:16">
      <c r="A5779" s="94">
        <v>87245</v>
      </c>
      <c r="B5779" s="87" t="s">
        <v>4711</v>
      </c>
      <c r="C5779" s="12" t="s">
        <v>9</v>
      </c>
      <c r="D5779" s="93">
        <v>203.95</v>
      </c>
      <c r="E5779" s="93">
        <v>37.99</v>
      </c>
      <c r="F5779" s="93">
        <v>165.96</v>
      </c>
      <c r="G5779" s="93">
        <v>0</v>
      </c>
      <c r="H5779" s="93">
        <v>0</v>
      </c>
      <c r="N5779" s="88"/>
      <c r="O5779" s="88"/>
      <c r="P5779" s="88"/>
    </row>
    <row r="5780" spans="1:16">
      <c r="A5780" s="94">
        <v>87264</v>
      </c>
      <c r="B5780" s="87" t="s">
        <v>4712</v>
      </c>
      <c r="C5780" s="12" t="s">
        <v>9</v>
      </c>
      <c r="D5780" s="93">
        <v>43.93</v>
      </c>
      <c r="E5780" s="93">
        <v>16.309999999999999</v>
      </c>
      <c r="F5780" s="93">
        <v>27.62</v>
      </c>
      <c r="G5780" s="93">
        <v>0</v>
      </c>
      <c r="H5780" s="93">
        <v>0</v>
      </c>
      <c r="N5780" s="88"/>
      <c r="O5780" s="88"/>
      <c r="P5780" s="88"/>
    </row>
    <row r="5781" spans="1:16">
      <c r="A5781" s="94">
        <v>87265</v>
      </c>
      <c r="B5781" s="87" t="s">
        <v>4713</v>
      </c>
      <c r="C5781" s="12" t="s">
        <v>9</v>
      </c>
      <c r="D5781" s="93">
        <v>37.42</v>
      </c>
      <c r="E5781" s="93">
        <v>11.44</v>
      </c>
      <c r="F5781" s="93">
        <v>25.98</v>
      </c>
      <c r="G5781" s="93">
        <v>0</v>
      </c>
      <c r="H5781" s="93">
        <v>0</v>
      </c>
      <c r="N5781" s="88"/>
      <c r="O5781" s="88"/>
      <c r="P5781" s="88"/>
    </row>
    <row r="5782" spans="1:16">
      <c r="A5782" s="94">
        <v>87266</v>
      </c>
      <c r="B5782" s="87" t="s">
        <v>4714</v>
      </c>
      <c r="C5782" s="12" t="s">
        <v>9</v>
      </c>
      <c r="D5782" s="93">
        <v>46.26</v>
      </c>
      <c r="E5782" s="93">
        <v>18.09</v>
      </c>
      <c r="F5782" s="93">
        <v>28.17</v>
      </c>
      <c r="G5782" s="93">
        <v>0</v>
      </c>
      <c r="H5782" s="93">
        <v>0</v>
      </c>
      <c r="N5782" s="88"/>
      <c r="O5782" s="88"/>
      <c r="P5782" s="88"/>
    </row>
    <row r="5783" spans="1:16">
      <c r="A5783" s="94">
        <v>87267</v>
      </c>
      <c r="B5783" s="87" t="s">
        <v>4715</v>
      </c>
      <c r="C5783" s="12" t="s">
        <v>9</v>
      </c>
      <c r="D5783" s="93">
        <v>43.35</v>
      </c>
      <c r="E5783" s="93">
        <v>15.86</v>
      </c>
      <c r="F5783" s="93">
        <v>27.49</v>
      </c>
      <c r="G5783" s="93">
        <v>0</v>
      </c>
      <c r="H5783" s="93">
        <v>0</v>
      </c>
      <c r="N5783" s="88"/>
      <c r="O5783" s="88"/>
      <c r="P5783" s="88"/>
    </row>
    <row r="5784" spans="1:16">
      <c r="A5784" s="94">
        <v>87268</v>
      </c>
      <c r="B5784" s="87" t="s">
        <v>4716</v>
      </c>
      <c r="C5784" s="12" t="s">
        <v>9</v>
      </c>
      <c r="D5784" s="93">
        <v>47.83</v>
      </c>
      <c r="E5784" s="93">
        <v>19.329999999999998</v>
      </c>
      <c r="F5784" s="93">
        <v>28.5</v>
      </c>
      <c r="G5784" s="93">
        <v>0</v>
      </c>
      <c r="H5784" s="93">
        <v>0</v>
      </c>
      <c r="N5784" s="88"/>
      <c r="O5784" s="88"/>
      <c r="P5784" s="88"/>
    </row>
    <row r="5785" spans="1:16">
      <c r="A5785" s="94">
        <v>87269</v>
      </c>
      <c r="B5785" s="87" t="s">
        <v>4717</v>
      </c>
      <c r="C5785" s="12" t="s">
        <v>9</v>
      </c>
      <c r="D5785" s="93">
        <v>40.729999999999997</v>
      </c>
      <c r="E5785" s="93">
        <v>14.02</v>
      </c>
      <c r="F5785" s="93">
        <v>26.71</v>
      </c>
      <c r="G5785" s="93">
        <v>0</v>
      </c>
      <c r="H5785" s="93">
        <v>0</v>
      </c>
      <c r="N5785" s="88"/>
      <c r="O5785" s="88"/>
      <c r="P5785" s="88"/>
    </row>
    <row r="5786" spans="1:16">
      <c r="A5786" s="94">
        <v>87270</v>
      </c>
      <c r="B5786" s="87" t="s">
        <v>4718</v>
      </c>
      <c r="C5786" s="12" t="s">
        <v>9</v>
      </c>
      <c r="D5786" s="93">
        <v>49.8</v>
      </c>
      <c r="E5786" s="93">
        <v>20.85</v>
      </c>
      <c r="F5786" s="93">
        <v>28.95</v>
      </c>
      <c r="G5786" s="93">
        <v>0</v>
      </c>
      <c r="H5786" s="93">
        <v>0</v>
      </c>
      <c r="N5786" s="88"/>
      <c r="O5786" s="88"/>
      <c r="P5786" s="88"/>
    </row>
    <row r="5787" spans="1:16">
      <c r="A5787" s="94">
        <v>87271</v>
      </c>
      <c r="B5787" s="87" t="s">
        <v>4719</v>
      </c>
      <c r="C5787" s="12" t="s">
        <v>9</v>
      </c>
      <c r="D5787" s="93">
        <v>46.48</v>
      </c>
      <c r="E5787" s="93">
        <v>18.440000000000001</v>
      </c>
      <c r="F5787" s="93">
        <v>28.04</v>
      </c>
      <c r="G5787" s="93">
        <v>0</v>
      </c>
      <c r="H5787" s="93">
        <v>0</v>
      </c>
      <c r="N5787" s="88"/>
      <c r="O5787" s="88"/>
      <c r="P5787" s="88"/>
    </row>
    <row r="5788" spans="1:16">
      <c r="A5788" s="94">
        <v>87272</v>
      </c>
      <c r="B5788" s="87" t="s">
        <v>4720</v>
      </c>
      <c r="C5788" s="12" t="s">
        <v>9</v>
      </c>
      <c r="D5788" s="93">
        <v>51.44</v>
      </c>
      <c r="E5788" s="93">
        <v>21.64</v>
      </c>
      <c r="F5788" s="93">
        <v>29.8</v>
      </c>
      <c r="G5788" s="93">
        <v>0</v>
      </c>
      <c r="H5788" s="93">
        <v>0</v>
      </c>
      <c r="N5788" s="88"/>
      <c r="O5788" s="88"/>
      <c r="P5788" s="88"/>
    </row>
    <row r="5789" spans="1:16">
      <c r="A5789" s="94">
        <v>87273</v>
      </c>
      <c r="B5789" s="87" t="s">
        <v>4721</v>
      </c>
      <c r="C5789" s="12" t="s">
        <v>9</v>
      </c>
      <c r="D5789" s="93">
        <v>42.73</v>
      </c>
      <c r="E5789" s="93">
        <v>15.08</v>
      </c>
      <c r="F5789" s="93">
        <v>27.65</v>
      </c>
      <c r="G5789" s="93">
        <v>0</v>
      </c>
      <c r="H5789" s="93">
        <v>0</v>
      </c>
      <c r="N5789" s="88"/>
      <c r="O5789" s="88"/>
      <c r="P5789" s="88"/>
    </row>
    <row r="5790" spans="1:16">
      <c r="A5790" s="94">
        <v>87274</v>
      </c>
      <c r="B5790" s="87" t="s">
        <v>4722</v>
      </c>
      <c r="C5790" s="12" t="s">
        <v>9</v>
      </c>
      <c r="D5790" s="93">
        <v>52.82</v>
      </c>
      <c r="E5790" s="93">
        <v>22.7</v>
      </c>
      <c r="F5790" s="93">
        <v>30.12</v>
      </c>
      <c r="G5790" s="93">
        <v>0</v>
      </c>
      <c r="H5790" s="93">
        <v>0</v>
      </c>
      <c r="N5790" s="88"/>
      <c r="O5790" s="88"/>
      <c r="P5790" s="88"/>
    </row>
    <row r="5791" spans="1:16">
      <c r="A5791" s="94">
        <v>87275</v>
      </c>
      <c r="B5791" s="87" t="s">
        <v>4723</v>
      </c>
      <c r="C5791" s="12" t="s">
        <v>9</v>
      </c>
      <c r="D5791" s="93">
        <v>49.84</v>
      </c>
      <c r="E5791" s="93">
        <v>20.41</v>
      </c>
      <c r="F5791" s="93">
        <v>29.43</v>
      </c>
      <c r="G5791" s="93">
        <v>0</v>
      </c>
      <c r="H5791" s="93">
        <v>0</v>
      </c>
      <c r="N5791" s="88"/>
      <c r="O5791" s="88"/>
      <c r="P5791" s="88"/>
    </row>
    <row r="5792" spans="1:16">
      <c r="A5792" s="94">
        <v>88786</v>
      </c>
      <c r="B5792" s="87" t="s">
        <v>4724</v>
      </c>
      <c r="C5792" s="12" t="s">
        <v>9</v>
      </c>
      <c r="D5792" s="93">
        <v>192.47</v>
      </c>
      <c r="E5792" s="93">
        <v>28.88</v>
      </c>
      <c r="F5792" s="93">
        <v>163.59</v>
      </c>
      <c r="G5792" s="93">
        <v>0</v>
      </c>
      <c r="H5792" s="93">
        <v>0</v>
      </c>
      <c r="N5792" s="88"/>
      <c r="O5792" s="88"/>
      <c r="P5792" s="88"/>
    </row>
    <row r="5793" spans="1:16">
      <c r="A5793" s="94">
        <v>88787</v>
      </c>
      <c r="B5793" s="87" t="s">
        <v>4725</v>
      </c>
      <c r="C5793" s="12" t="s">
        <v>9</v>
      </c>
      <c r="D5793" s="93">
        <v>176.43</v>
      </c>
      <c r="E5793" s="93">
        <v>22.96</v>
      </c>
      <c r="F5793" s="93">
        <v>153.47</v>
      </c>
      <c r="G5793" s="93">
        <v>0</v>
      </c>
      <c r="H5793" s="93">
        <v>0</v>
      </c>
      <c r="N5793" s="88"/>
      <c r="O5793" s="88"/>
      <c r="P5793" s="88"/>
    </row>
    <row r="5794" spans="1:16">
      <c r="A5794" s="94">
        <v>88788</v>
      </c>
      <c r="B5794" s="87" t="s">
        <v>4726</v>
      </c>
      <c r="C5794" s="12" t="s">
        <v>9</v>
      </c>
      <c r="D5794" s="93">
        <v>186.72</v>
      </c>
      <c r="E5794" s="93">
        <v>30.84</v>
      </c>
      <c r="F5794" s="93">
        <v>155.88</v>
      </c>
      <c r="G5794" s="93">
        <v>0</v>
      </c>
      <c r="H5794" s="93">
        <v>0</v>
      </c>
      <c r="N5794" s="88"/>
      <c r="O5794" s="88"/>
      <c r="P5794" s="88"/>
    </row>
    <row r="5795" spans="1:16">
      <c r="A5795" s="94">
        <v>88789</v>
      </c>
      <c r="B5795" s="87" t="s">
        <v>4727</v>
      </c>
      <c r="C5795" s="12" t="s">
        <v>9</v>
      </c>
      <c r="D5795" s="93">
        <v>224.5</v>
      </c>
      <c r="E5795" s="93">
        <v>37.99</v>
      </c>
      <c r="F5795" s="93">
        <v>186.51</v>
      </c>
      <c r="G5795" s="93">
        <v>0</v>
      </c>
      <c r="H5795" s="93">
        <v>0</v>
      </c>
      <c r="N5795" s="88"/>
      <c r="O5795" s="88"/>
      <c r="P5795" s="88"/>
    </row>
    <row r="5796" spans="1:16">
      <c r="A5796" s="94">
        <v>89045</v>
      </c>
      <c r="B5796" s="87" t="s">
        <v>6280</v>
      </c>
      <c r="C5796" s="12" t="s">
        <v>9</v>
      </c>
      <c r="D5796" s="93">
        <v>43.77</v>
      </c>
      <c r="E5796" s="93">
        <v>16.27</v>
      </c>
      <c r="F5796" s="93">
        <v>27.5</v>
      </c>
      <c r="G5796" s="93">
        <v>0</v>
      </c>
      <c r="H5796" s="93">
        <v>0</v>
      </c>
      <c r="N5796" s="88"/>
      <c r="O5796" s="88"/>
      <c r="P5796" s="88"/>
    </row>
    <row r="5797" spans="1:16">
      <c r="A5797" s="94">
        <v>89170</v>
      </c>
      <c r="B5797" s="87" t="s">
        <v>6281</v>
      </c>
      <c r="C5797" s="12" t="s">
        <v>9</v>
      </c>
      <c r="D5797" s="93">
        <v>42.13</v>
      </c>
      <c r="E5797" s="93">
        <v>15.03</v>
      </c>
      <c r="F5797" s="93">
        <v>27.1</v>
      </c>
      <c r="G5797" s="93">
        <v>0</v>
      </c>
      <c r="H5797" s="93">
        <v>0</v>
      </c>
      <c r="N5797" s="88"/>
      <c r="O5797" s="88"/>
      <c r="P5797" s="88"/>
    </row>
    <row r="5798" spans="1:16">
      <c r="A5798" s="94">
        <v>93392</v>
      </c>
      <c r="B5798" s="87" t="s">
        <v>4728</v>
      </c>
      <c r="C5798" s="12" t="s">
        <v>9</v>
      </c>
      <c r="D5798" s="93">
        <v>36.15</v>
      </c>
      <c r="E5798" s="93">
        <v>16.32</v>
      </c>
      <c r="F5798" s="93">
        <v>19.829999999999998</v>
      </c>
      <c r="G5798" s="93">
        <v>0</v>
      </c>
      <c r="H5798" s="93">
        <v>0</v>
      </c>
      <c r="N5798" s="88"/>
      <c r="O5798" s="88"/>
      <c r="P5798" s="88"/>
    </row>
    <row r="5799" spans="1:16">
      <c r="A5799" s="94">
        <v>93393</v>
      </c>
      <c r="B5799" s="87" t="s">
        <v>4729</v>
      </c>
      <c r="C5799" s="12" t="s">
        <v>9</v>
      </c>
      <c r="D5799" s="93">
        <v>29.71</v>
      </c>
      <c r="E5799" s="93">
        <v>11.45</v>
      </c>
      <c r="F5799" s="93">
        <v>18.260000000000002</v>
      </c>
      <c r="G5799" s="93">
        <v>0</v>
      </c>
      <c r="H5799" s="93">
        <v>0</v>
      </c>
      <c r="N5799" s="88"/>
      <c r="O5799" s="88"/>
      <c r="P5799" s="88"/>
    </row>
    <row r="5800" spans="1:16">
      <c r="A5800" s="94">
        <v>93394</v>
      </c>
      <c r="B5800" s="87" t="s">
        <v>4730</v>
      </c>
      <c r="C5800" s="12" t="s">
        <v>9</v>
      </c>
      <c r="D5800" s="93">
        <v>38.479999999999997</v>
      </c>
      <c r="E5800" s="93">
        <v>18.100000000000001</v>
      </c>
      <c r="F5800" s="93">
        <v>20.38</v>
      </c>
      <c r="G5800" s="93">
        <v>0</v>
      </c>
      <c r="H5800" s="93">
        <v>0</v>
      </c>
      <c r="N5800" s="88"/>
      <c r="O5800" s="88"/>
      <c r="P5800" s="88"/>
    </row>
    <row r="5801" spans="1:16">
      <c r="A5801" s="94">
        <v>93395</v>
      </c>
      <c r="B5801" s="87" t="s">
        <v>4731</v>
      </c>
      <c r="C5801" s="12" t="s">
        <v>9</v>
      </c>
      <c r="D5801" s="93">
        <v>35.57</v>
      </c>
      <c r="E5801" s="93">
        <v>15.87</v>
      </c>
      <c r="F5801" s="93">
        <v>19.7</v>
      </c>
      <c r="G5801" s="93">
        <v>0</v>
      </c>
      <c r="H5801" s="93">
        <v>0</v>
      </c>
      <c r="N5801" s="88"/>
      <c r="O5801" s="88"/>
      <c r="P5801" s="88"/>
    </row>
    <row r="5802" spans="1:16">
      <c r="A5802" s="94">
        <v>99194</v>
      </c>
      <c r="B5802" s="87" t="s">
        <v>4732</v>
      </c>
      <c r="C5802" s="12" t="s">
        <v>9</v>
      </c>
      <c r="D5802" s="93">
        <v>41.15</v>
      </c>
      <c r="E5802" s="93">
        <v>16.309999999999999</v>
      </c>
      <c r="F5802" s="93">
        <v>24.84</v>
      </c>
      <c r="G5802" s="93">
        <v>0</v>
      </c>
      <c r="H5802" s="93">
        <v>0</v>
      </c>
      <c r="N5802" s="88"/>
      <c r="O5802" s="88"/>
      <c r="P5802" s="88"/>
    </row>
    <row r="5803" spans="1:16">
      <c r="A5803" s="94">
        <v>99195</v>
      </c>
      <c r="B5803" s="87" t="s">
        <v>4733</v>
      </c>
      <c r="C5803" s="12" t="s">
        <v>9</v>
      </c>
      <c r="D5803" s="93">
        <v>34.71</v>
      </c>
      <c r="E5803" s="93">
        <v>11.44</v>
      </c>
      <c r="F5803" s="93">
        <v>23.27</v>
      </c>
      <c r="G5803" s="93">
        <v>0</v>
      </c>
      <c r="H5803" s="93">
        <v>0</v>
      </c>
      <c r="N5803" s="88"/>
      <c r="O5803" s="88"/>
      <c r="P5803" s="88"/>
    </row>
    <row r="5804" spans="1:16">
      <c r="A5804" s="94">
        <v>99196</v>
      </c>
      <c r="B5804" s="87" t="s">
        <v>4734</v>
      </c>
      <c r="C5804" s="12" t="s">
        <v>9</v>
      </c>
      <c r="D5804" s="93">
        <v>43.48</v>
      </c>
      <c r="E5804" s="93">
        <v>18.100000000000001</v>
      </c>
      <c r="F5804" s="93">
        <v>25.38</v>
      </c>
      <c r="G5804" s="93">
        <v>0</v>
      </c>
      <c r="H5804" s="93">
        <v>0</v>
      </c>
      <c r="N5804" s="88"/>
      <c r="O5804" s="88"/>
      <c r="P5804" s="88"/>
    </row>
    <row r="5805" spans="1:16">
      <c r="A5805" s="94">
        <v>99198</v>
      </c>
      <c r="B5805" s="87" t="s">
        <v>4735</v>
      </c>
      <c r="C5805" s="12" t="s">
        <v>9</v>
      </c>
      <c r="D5805" s="93">
        <v>40.57</v>
      </c>
      <c r="E5805" s="93">
        <v>15.86</v>
      </c>
      <c r="F5805" s="93">
        <v>24.71</v>
      </c>
      <c r="G5805" s="93">
        <v>0</v>
      </c>
      <c r="H5805" s="93">
        <v>0</v>
      </c>
      <c r="N5805" s="88"/>
      <c r="O5805" s="88"/>
      <c r="P5805" s="88"/>
    </row>
    <row r="5806" spans="1:16">
      <c r="A5806" s="94">
        <v>101965</v>
      </c>
      <c r="B5806" s="87" t="s">
        <v>6282</v>
      </c>
      <c r="C5806" s="12" t="s">
        <v>6</v>
      </c>
      <c r="D5806" s="93">
        <v>97.18</v>
      </c>
      <c r="E5806" s="93">
        <v>19.03</v>
      </c>
      <c r="F5806" s="93">
        <v>78.06</v>
      </c>
      <c r="G5806" s="93">
        <v>0.02</v>
      </c>
      <c r="H5806" s="93">
        <v>0</v>
      </c>
      <c r="N5806" s="88"/>
      <c r="O5806" s="88"/>
      <c r="P5806" s="88"/>
    </row>
    <row r="5807" spans="1:16">
      <c r="A5807" s="94">
        <v>101966</v>
      </c>
      <c r="B5807" s="87" t="s">
        <v>6283</v>
      </c>
      <c r="C5807" s="12" t="s">
        <v>6</v>
      </c>
      <c r="D5807" s="93">
        <v>119.62</v>
      </c>
      <c r="E5807" s="93">
        <v>8.82</v>
      </c>
      <c r="F5807" s="93">
        <v>110.75</v>
      </c>
      <c r="G5807" s="93">
        <v>0.01</v>
      </c>
      <c r="H5807" s="93">
        <v>0</v>
      </c>
      <c r="N5807" s="88"/>
      <c r="O5807" s="88"/>
      <c r="P5807" s="88"/>
    </row>
    <row r="5808" spans="1:16">
      <c r="A5808" s="94">
        <v>101979</v>
      </c>
      <c r="B5808" s="87" t="s">
        <v>6284</v>
      </c>
      <c r="C5808" s="12" t="s">
        <v>6</v>
      </c>
      <c r="D5808" s="93">
        <v>36.08</v>
      </c>
      <c r="E5808" s="93">
        <v>4</v>
      </c>
      <c r="F5808" s="93">
        <v>32.08</v>
      </c>
      <c r="G5808" s="93">
        <v>0</v>
      </c>
      <c r="H5808" s="93">
        <v>0</v>
      </c>
      <c r="N5808" s="88"/>
      <c r="O5808" s="88"/>
      <c r="P5808" s="88"/>
    </row>
    <row r="5809" spans="1:16">
      <c r="A5809" s="94">
        <v>96112</v>
      </c>
      <c r="B5809" s="87" t="s">
        <v>4736</v>
      </c>
      <c r="C5809" s="12" t="s">
        <v>9</v>
      </c>
      <c r="D5809" s="93">
        <v>101.09</v>
      </c>
      <c r="E5809" s="93">
        <v>43.55</v>
      </c>
      <c r="F5809" s="93">
        <v>57.54</v>
      </c>
      <c r="G5809" s="93">
        <v>0</v>
      </c>
      <c r="H5809" s="93">
        <v>0</v>
      </c>
      <c r="N5809" s="88"/>
      <c r="O5809" s="88"/>
      <c r="P5809" s="88"/>
    </row>
    <row r="5810" spans="1:16">
      <c r="A5810" s="94">
        <v>96117</v>
      </c>
      <c r="B5810" s="87" t="s">
        <v>4737</v>
      </c>
      <c r="C5810" s="12" t="s">
        <v>9</v>
      </c>
      <c r="D5810" s="93">
        <v>118.7</v>
      </c>
      <c r="E5810" s="93">
        <v>34.46</v>
      </c>
      <c r="F5810" s="93">
        <v>84.24</v>
      </c>
      <c r="G5810" s="93">
        <v>0</v>
      </c>
      <c r="H5810" s="93">
        <v>0</v>
      </c>
      <c r="N5810" s="88"/>
      <c r="O5810" s="88"/>
      <c r="P5810" s="88"/>
    </row>
    <row r="5811" spans="1:16">
      <c r="A5811" s="94">
        <v>96122</v>
      </c>
      <c r="B5811" s="87" t="s">
        <v>4738</v>
      </c>
      <c r="C5811" s="12" t="s">
        <v>6</v>
      </c>
      <c r="D5811" s="93">
        <v>27.75</v>
      </c>
      <c r="E5811" s="93">
        <v>7.54</v>
      </c>
      <c r="F5811" s="93">
        <v>20.21</v>
      </c>
      <c r="G5811" s="93">
        <v>0</v>
      </c>
      <c r="H5811" s="93">
        <v>0</v>
      </c>
      <c r="N5811" s="88"/>
      <c r="O5811" s="88"/>
      <c r="P5811" s="88"/>
    </row>
    <row r="5812" spans="1:16">
      <c r="A5812" s="94">
        <v>96109</v>
      </c>
      <c r="B5812" s="87" t="s">
        <v>4739</v>
      </c>
      <c r="C5812" s="12" t="s">
        <v>9</v>
      </c>
      <c r="D5812" s="93">
        <v>31.41</v>
      </c>
      <c r="E5812" s="93">
        <v>15.37</v>
      </c>
      <c r="F5812" s="93">
        <v>16.04</v>
      </c>
      <c r="G5812" s="93">
        <v>0</v>
      </c>
      <c r="H5812" s="93">
        <v>0</v>
      </c>
      <c r="N5812" s="88"/>
      <c r="O5812" s="88"/>
      <c r="P5812" s="88"/>
    </row>
    <row r="5813" spans="1:16">
      <c r="A5813" s="94">
        <v>96110</v>
      </c>
      <c r="B5813" s="87" t="s">
        <v>4740</v>
      </c>
      <c r="C5813" s="12" t="s">
        <v>9</v>
      </c>
      <c r="D5813" s="93">
        <v>50.2</v>
      </c>
      <c r="E5813" s="93">
        <v>15.23</v>
      </c>
      <c r="F5813" s="93">
        <v>34.97</v>
      </c>
      <c r="G5813" s="93">
        <v>0</v>
      </c>
      <c r="H5813" s="93">
        <v>0</v>
      </c>
      <c r="N5813" s="88"/>
      <c r="O5813" s="88"/>
      <c r="P5813" s="88"/>
    </row>
    <row r="5814" spans="1:16">
      <c r="A5814" s="94">
        <v>96113</v>
      </c>
      <c r="B5814" s="87" t="s">
        <v>4741</v>
      </c>
      <c r="C5814" s="12" t="s">
        <v>9</v>
      </c>
      <c r="D5814" s="93">
        <v>27.47</v>
      </c>
      <c r="E5814" s="93">
        <v>12.17</v>
      </c>
      <c r="F5814" s="93">
        <v>15.3</v>
      </c>
      <c r="G5814" s="93">
        <v>0</v>
      </c>
      <c r="H5814" s="93">
        <v>0</v>
      </c>
      <c r="N5814" s="88"/>
      <c r="O5814" s="88"/>
      <c r="P5814" s="88"/>
    </row>
    <row r="5815" spans="1:16">
      <c r="A5815" s="94">
        <v>96114</v>
      </c>
      <c r="B5815" s="87" t="s">
        <v>4742</v>
      </c>
      <c r="C5815" s="12" t="s">
        <v>9</v>
      </c>
      <c r="D5815" s="93">
        <v>50</v>
      </c>
      <c r="E5815" s="93">
        <v>12.1</v>
      </c>
      <c r="F5815" s="93">
        <v>37.9</v>
      </c>
      <c r="G5815" s="93">
        <v>0</v>
      </c>
      <c r="H5815" s="93">
        <v>0</v>
      </c>
      <c r="N5815" s="88"/>
      <c r="O5815" s="88"/>
      <c r="P5815" s="88"/>
    </row>
    <row r="5816" spans="1:16">
      <c r="A5816" s="94">
        <v>96120</v>
      </c>
      <c r="B5816" s="87" t="s">
        <v>4743</v>
      </c>
      <c r="C5816" s="12" t="s">
        <v>6</v>
      </c>
      <c r="D5816" s="93">
        <v>2.0699999999999998</v>
      </c>
      <c r="E5816" s="93">
        <v>0.86</v>
      </c>
      <c r="F5816" s="93">
        <v>1.21</v>
      </c>
      <c r="G5816" s="93">
        <v>0</v>
      </c>
      <c r="H5816" s="93">
        <v>0</v>
      </c>
      <c r="N5816" s="88"/>
      <c r="O5816" s="88"/>
      <c r="P5816" s="88"/>
    </row>
    <row r="5817" spans="1:16">
      <c r="A5817" s="94">
        <v>96123</v>
      </c>
      <c r="B5817" s="87" t="s">
        <v>4744</v>
      </c>
      <c r="C5817" s="12" t="s">
        <v>6</v>
      </c>
      <c r="D5817" s="93">
        <v>22.56</v>
      </c>
      <c r="E5817" s="93">
        <v>6.93</v>
      </c>
      <c r="F5817" s="93">
        <v>15.63</v>
      </c>
      <c r="G5817" s="93">
        <v>0</v>
      </c>
      <c r="H5817" s="93">
        <v>0</v>
      </c>
      <c r="N5817" s="88"/>
      <c r="O5817" s="88"/>
      <c r="P5817" s="88"/>
    </row>
    <row r="5818" spans="1:16">
      <c r="A5818" s="94">
        <v>99054</v>
      </c>
      <c r="B5818" s="87" t="s">
        <v>4745</v>
      </c>
      <c r="C5818" s="12" t="s">
        <v>9</v>
      </c>
      <c r="D5818" s="93">
        <v>39.090000000000003</v>
      </c>
      <c r="E5818" s="93">
        <v>20.7</v>
      </c>
      <c r="F5818" s="93">
        <v>18.39</v>
      </c>
      <c r="G5818" s="93">
        <v>0</v>
      </c>
      <c r="H5818" s="93">
        <v>0</v>
      </c>
      <c r="N5818" s="88"/>
      <c r="O5818" s="88"/>
      <c r="P5818" s="88"/>
    </row>
    <row r="5819" spans="1:16">
      <c r="A5819" s="94">
        <v>96111</v>
      </c>
      <c r="B5819" s="87" t="s">
        <v>4746</v>
      </c>
      <c r="C5819" s="12" t="s">
        <v>9</v>
      </c>
      <c r="D5819" s="93">
        <v>46.8</v>
      </c>
      <c r="E5819" s="93">
        <v>12.88</v>
      </c>
      <c r="F5819" s="93">
        <v>33.92</v>
      </c>
      <c r="G5819" s="93">
        <v>0</v>
      </c>
      <c r="H5819" s="93">
        <v>0</v>
      </c>
      <c r="N5819" s="88"/>
      <c r="O5819" s="88"/>
      <c r="P5819" s="88"/>
    </row>
    <row r="5820" spans="1:16">
      <c r="A5820" s="94">
        <v>96116</v>
      </c>
      <c r="B5820" s="87" t="s">
        <v>4747</v>
      </c>
      <c r="C5820" s="12" t="s">
        <v>9</v>
      </c>
      <c r="D5820" s="93">
        <v>49.43</v>
      </c>
      <c r="E5820" s="93">
        <v>11.34</v>
      </c>
      <c r="F5820" s="93">
        <v>38.090000000000003</v>
      </c>
      <c r="G5820" s="93">
        <v>0</v>
      </c>
      <c r="H5820" s="93">
        <v>0</v>
      </c>
      <c r="N5820" s="88"/>
      <c r="O5820" s="88"/>
      <c r="P5820" s="88"/>
    </row>
    <row r="5821" spans="1:16">
      <c r="A5821" s="94">
        <v>96121</v>
      </c>
      <c r="B5821" s="87" t="s">
        <v>4748</v>
      </c>
      <c r="C5821" s="12" t="s">
        <v>6</v>
      </c>
      <c r="D5821" s="93">
        <v>9.41</v>
      </c>
      <c r="E5821" s="93">
        <v>3.33</v>
      </c>
      <c r="F5821" s="93">
        <v>6.08</v>
      </c>
      <c r="G5821" s="93">
        <v>0</v>
      </c>
      <c r="H5821" s="93">
        <v>0</v>
      </c>
      <c r="N5821" s="88"/>
      <c r="O5821" s="88"/>
      <c r="P5821" s="88"/>
    </row>
    <row r="5822" spans="1:16">
      <c r="A5822" s="94">
        <v>96485</v>
      </c>
      <c r="B5822" s="87" t="s">
        <v>4749</v>
      </c>
      <c r="C5822" s="12" t="s">
        <v>9</v>
      </c>
      <c r="D5822" s="93">
        <v>54.25</v>
      </c>
      <c r="E5822" s="93">
        <v>12.88</v>
      </c>
      <c r="F5822" s="93">
        <v>41.37</v>
      </c>
      <c r="G5822" s="93">
        <v>0</v>
      </c>
      <c r="H5822" s="93">
        <v>0</v>
      </c>
      <c r="N5822" s="88"/>
      <c r="O5822" s="88"/>
      <c r="P5822" s="88"/>
    </row>
    <row r="5823" spans="1:16">
      <c r="A5823" s="94">
        <v>96486</v>
      </c>
      <c r="B5823" s="87" t="s">
        <v>4750</v>
      </c>
      <c r="C5823" s="12" t="s">
        <v>9</v>
      </c>
      <c r="D5823" s="93">
        <v>57.33</v>
      </c>
      <c r="E5823" s="93">
        <v>11.33</v>
      </c>
      <c r="F5823" s="93">
        <v>46</v>
      </c>
      <c r="G5823" s="93">
        <v>0</v>
      </c>
      <c r="H5823" s="93">
        <v>0</v>
      </c>
      <c r="N5823" s="88"/>
      <c r="O5823" s="88"/>
      <c r="P5823" s="88"/>
    </row>
    <row r="5824" spans="1:16">
      <c r="A5824" s="94">
        <v>91514</v>
      </c>
      <c r="B5824" s="87" t="s">
        <v>4751</v>
      </c>
      <c r="C5824" s="12" t="s">
        <v>9</v>
      </c>
      <c r="D5824" s="93">
        <v>5.57</v>
      </c>
      <c r="E5824" s="93">
        <v>4.32</v>
      </c>
      <c r="F5824" s="93">
        <v>1.25</v>
      </c>
      <c r="G5824" s="93">
        <v>0</v>
      </c>
      <c r="H5824" s="93">
        <v>0</v>
      </c>
      <c r="N5824" s="88"/>
      <c r="O5824" s="88"/>
      <c r="P5824" s="88"/>
    </row>
    <row r="5825" spans="1:16">
      <c r="A5825" s="94">
        <v>91515</v>
      </c>
      <c r="B5825" s="87" t="s">
        <v>4752</v>
      </c>
      <c r="C5825" s="12" t="s">
        <v>9</v>
      </c>
      <c r="D5825" s="93">
        <v>7.37</v>
      </c>
      <c r="E5825" s="93">
        <v>5.72</v>
      </c>
      <c r="F5825" s="93">
        <v>1.65</v>
      </c>
      <c r="G5825" s="93">
        <v>0</v>
      </c>
      <c r="H5825" s="93">
        <v>0</v>
      </c>
      <c r="N5825" s="88"/>
      <c r="O5825" s="88"/>
      <c r="P5825" s="88"/>
    </row>
    <row r="5826" spans="1:16">
      <c r="A5826" s="94">
        <v>91516</v>
      </c>
      <c r="B5826" s="87" t="s">
        <v>4753</v>
      </c>
      <c r="C5826" s="12" t="s">
        <v>9</v>
      </c>
      <c r="D5826" s="93">
        <v>10.77</v>
      </c>
      <c r="E5826" s="93">
        <v>8.36</v>
      </c>
      <c r="F5826" s="93">
        <v>2.41</v>
      </c>
      <c r="G5826" s="93">
        <v>0</v>
      </c>
      <c r="H5826" s="93">
        <v>0</v>
      </c>
      <c r="N5826" s="88"/>
      <c r="O5826" s="88"/>
      <c r="P5826" s="88"/>
    </row>
    <row r="5827" spans="1:16">
      <c r="A5827" s="94">
        <v>91517</v>
      </c>
      <c r="B5827" s="87" t="s">
        <v>4754</v>
      </c>
      <c r="C5827" s="12" t="s">
        <v>9</v>
      </c>
      <c r="D5827" s="93">
        <v>12</v>
      </c>
      <c r="E5827" s="93">
        <v>9.31</v>
      </c>
      <c r="F5827" s="93">
        <v>2.69</v>
      </c>
      <c r="G5827" s="93">
        <v>0</v>
      </c>
      <c r="H5827" s="93">
        <v>0</v>
      </c>
      <c r="N5827" s="88"/>
      <c r="O5827" s="88"/>
      <c r="P5827" s="88"/>
    </row>
    <row r="5828" spans="1:16">
      <c r="A5828" s="94">
        <v>91519</v>
      </c>
      <c r="B5828" s="87" t="s">
        <v>4755</v>
      </c>
      <c r="C5828" s="12" t="s">
        <v>9</v>
      </c>
      <c r="D5828" s="93">
        <v>13.78</v>
      </c>
      <c r="E5828" s="93">
        <v>10.7</v>
      </c>
      <c r="F5828" s="93">
        <v>3.08</v>
      </c>
      <c r="G5828" s="93">
        <v>0</v>
      </c>
      <c r="H5828" s="93">
        <v>0</v>
      </c>
      <c r="N5828" s="88"/>
      <c r="O5828" s="88"/>
      <c r="P5828" s="88"/>
    </row>
    <row r="5829" spans="1:16">
      <c r="A5829" s="94">
        <v>91520</v>
      </c>
      <c r="B5829" s="87" t="s">
        <v>4756</v>
      </c>
      <c r="C5829" s="12" t="s">
        <v>9</v>
      </c>
      <c r="D5829" s="93">
        <v>2</v>
      </c>
      <c r="E5829" s="93">
        <v>1.54</v>
      </c>
      <c r="F5829" s="93">
        <v>0.46</v>
      </c>
      <c r="G5829" s="93">
        <v>0</v>
      </c>
      <c r="H5829" s="93">
        <v>0</v>
      </c>
      <c r="N5829" s="88"/>
      <c r="O5829" s="88"/>
      <c r="P5829" s="88"/>
    </row>
    <row r="5830" spans="1:16">
      <c r="A5830" s="94">
        <v>91522</v>
      </c>
      <c r="B5830" s="87" t="s">
        <v>473</v>
      </c>
      <c r="C5830" s="12" t="s">
        <v>9</v>
      </c>
      <c r="D5830" s="93">
        <v>2.4</v>
      </c>
      <c r="E5830" s="93">
        <v>1.84</v>
      </c>
      <c r="F5830" s="93">
        <v>0.56000000000000005</v>
      </c>
      <c r="G5830" s="93">
        <v>0</v>
      </c>
      <c r="H5830" s="93">
        <v>0</v>
      </c>
      <c r="N5830" s="88"/>
      <c r="O5830" s="88"/>
      <c r="P5830" s="88"/>
    </row>
    <row r="5831" spans="1:16">
      <c r="A5831" s="94">
        <v>91525</v>
      </c>
      <c r="B5831" s="87" t="s">
        <v>4757</v>
      </c>
      <c r="C5831" s="12" t="s">
        <v>9</v>
      </c>
      <c r="D5831" s="93">
        <v>4.34</v>
      </c>
      <c r="E5831" s="93">
        <v>3.06</v>
      </c>
      <c r="F5831" s="93">
        <v>1.28</v>
      </c>
      <c r="G5831" s="93">
        <v>0</v>
      </c>
      <c r="H5831" s="93">
        <v>0</v>
      </c>
      <c r="N5831" s="88"/>
      <c r="O5831" s="88"/>
      <c r="P5831" s="88"/>
    </row>
    <row r="5832" spans="1:16">
      <c r="A5832" s="94">
        <v>87280</v>
      </c>
      <c r="B5832" s="87" t="s">
        <v>4758</v>
      </c>
      <c r="C5832" s="12" t="s">
        <v>5</v>
      </c>
      <c r="D5832" s="93">
        <v>392.65</v>
      </c>
      <c r="E5832" s="93">
        <v>98.76</v>
      </c>
      <c r="F5832" s="93">
        <v>291.27999999999997</v>
      </c>
      <c r="G5832" s="93">
        <v>1.47</v>
      </c>
      <c r="H5832" s="93">
        <v>0</v>
      </c>
      <c r="N5832" s="88"/>
      <c r="O5832" s="88"/>
      <c r="P5832" s="88"/>
    </row>
    <row r="5833" spans="1:16">
      <c r="A5833" s="94">
        <v>87281</v>
      </c>
      <c r="B5833" s="87" t="s">
        <v>4759</v>
      </c>
      <c r="C5833" s="12" t="s">
        <v>5</v>
      </c>
      <c r="D5833" s="93">
        <v>376.2</v>
      </c>
      <c r="E5833" s="93">
        <v>79.7</v>
      </c>
      <c r="F5833" s="93">
        <v>290.37</v>
      </c>
      <c r="G5833" s="93">
        <v>4.47</v>
      </c>
      <c r="H5833" s="93">
        <v>0</v>
      </c>
      <c r="N5833" s="88"/>
      <c r="O5833" s="88"/>
      <c r="P5833" s="88"/>
    </row>
    <row r="5834" spans="1:16">
      <c r="A5834" s="94">
        <v>87283</v>
      </c>
      <c r="B5834" s="87" t="s">
        <v>4760</v>
      </c>
      <c r="C5834" s="12" t="s">
        <v>5</v>
      </c>
      <c r="D5834" s="93">
        <v>397.45</v>
      </c>
      <c r="E5834" s="93">
        <v>88.72</v>
      </c>
      <c r="F5834" s="93">
        <v>303.5</v>
      </c>
      <c r="G5834" s="93">
        <v>1.84</v>
      </c>
      <c r="H5834" s="93">
        <v>0</v>
      </c>
      <c r="N5834" s="88"/>
      <c r="O5834" s="88"/>
      <c r="P5834" s="88"/>
    </row>
    <row r="5835" spans="1:16">
      <c r="A5835" s="94">
        <v>87284</v>
      </c>
      <c r="B5835" s="87" t="s">
        <v>4761</v>
      </c>
      <c r="C5835" s="12" t="s">
        <v>5</v>
      </c>
      <c r="D5835" s="93">
        <v>380.54</v>
      </c>
      <c r="E5835" s="93">
        <v>71.27</v>
      </c>
      <c r="F5835" s="93">
        <v>303.77999999999997</v>
      </c>
      <c r="G5835" s="93">
        <v>4</v>
      </c>
      <c r="H5835" s="93">
        <v>0</v>
      </c>
      <c r="N5835" s="88"/>
      <c r="O5835" s="88"/>
      <c r="P5835" s="88"/>
    </row>
    <row r="5836" spans="1:16">
      <c r="A5836" s="94">
        <v>87286</v>
      </c>
      <c r="B5836" s="87" t="s">
        <v>4762</v>
      </c>
      <c r="C5836" s="12" t="s">
        <v>5</v>
      </c>
      <c r="D5836" s="93">
        <v>488.05</v>
      </c>
      <c r="E5836" s="93">
        <v>105.72</v>
      </c>
      <c r="F5836" s="93">
        <v>379.53</v>
      </c>
      <c r="G5836" s="93">
        <v>1.58</v>
      </c>
      <c r="H5836" s="93">
        <v>0</v>
      </c>
      <c r="N5836" s="88"/>
      <c r="O5836" s="88"/>
      <c r="P5836" s="88"/>
    </row>
    <row r="5837" spans="1:16">
      <c r="A5837" s="94">
        <v>87287</v>
      </c>
      <c r="B5837" s="87" t="s">
        <v>4763</v>
      </c>
      <c r="C5837" s="12" t="s">
        <v>5</v>
      </c>
      <c r="D5837" s="93">
        <v>458.39</v>
      </c>
      <c r="E5837" s="93">
        <v>72.42</v>
      </c>
      <c r="F5837" s="93">
        <v>380.45</v>
      </c>
      <c r="G5837" s="93">
        <v>4.03</v>
      </c>
      <c r="H5837" s="93">
        <v>0</v>
      </c>
      <c r="N5837" s="88"/>
      <c r="O5837" s="88"/>
      <c r="P5837" s="88"/>
    </row>
    <row r="5838" spans="1:16">
      <c r="A5838" s="94">
        <v>87289</v>
      </c>
      <c r="B5838" s="87" t="s">
        <v>4764</v>
      </c>
      <c r="C5838" s="12" t="s">
        <v>5</v>
      </c>
      <c r="D5838" s="93">
        <v>475.59</v>
      </c>
      <c r="E5838" s="93">
        <v>99.79</v>
      </c>
      <c r="F5838" s="93">
        <v>373.16</v>
      </c>
      <c r="G5838" s="93">
        <v>1.49</v>
      </c>
      <c r="H5838" s="93">
        <v>0</v>
      </c>
      <c r="N5838" s="88"/>
      <c r="O5838" s="88"/>
      <c r="P5838" s="88"/>
    </row>
    <row r="5839" spans="1:16">
      <c r="A5839" s="94">
        <v>87290</v>
      </c>
      <c r="B5839" s="87" t="s">
        <v>4765</v>
      </c>
      <c r="C5839" s="12" t="s">
        <v>5</v>
      </c>
      <c r="D5839" s="93">
        <v>456.15</v>
      </c>
      <c r="E5839" s="93">
        <v>78.150000000000006</v>
      </c>
      <c r="F5839" s="93">
        <v>371.96</v>
      </c>
      <c r="G5839" s="93">
        <v>4.4000000000000004</v>
      </c>
      <c r="H5839" s="93">
        <v>0</v>
      </c>
      <c r="N5839" s="88"/>
      <c r="O5839" s="88"/>
      <c r="P5839" s="88"/>
    </row>
    <row r="5840" spans="1:16">
      <c r="A5840" s="94">
        <v>87292</v>
      </c>
      <c r="B5840" s="87" t="s">
        <v>4766</v>
      </c>
      <c r="C5840" s="12" t="s">
        <v>5</v>
      </c>
      <c r="D5840" s="93">
        <v>482.82</v>
      </c>
      <c r="E5840" s="93">
        <v>92.2</v>
      </c>
      <c r="F5840" s="93">
        <v>388.17</v>
      </c>
      <c r="G5840" s="93">
        <v>1.38</v>
      </c>
      <c r="H5840" s="93">
        <v>0</v>
      </c>
      <c r="N5840" s="88"/>
      <c r="O5840" s="88"/>
      <c r="P5840" s="88"/>
    </row>
    <row r="5841" spans="1:16">
      <c r="A5841" s="94">
        <v>87294</v>
      </c>
      <c r="B5841" s="87" t="s">
        <v>4767</v>
      </c>
      <c r="C5841" s="12" t="s">
        <v>5</v>
      </c>
      <c r="D5841" s="93">
        <v>458.01</v>
      </c>
      <c r="E5841" s="93">
        <v>83.18</v>
      </c>
      <c r="F5841" s="93">
        <v>368.4</v>
      </c>
      <c r="G5841" s="93">
        <v>4.6900000000000004</v>
      </c>
      <c r="H5841" s="93">
        <v>0</v>
      </c>
      <c r="N5841" s="88"/>
      <c r="O5841" s="88"/>
      <c r="P5841" s="88"/>
    </row>
    <row r="5842" spans="1:16">
      <c r="A5842" s="94">
        <v>87295</v>
      </c>
      <c r="B5842" s="87" t="s">
        <v>4768</v>
      </c>
      <c r="C5842" s="12" t="s">
        <v>5</v>
      </c>
      <c r="D5842" s="93">
        <v>487.52</v>
      </c>
      <c r="E5842" s="93">
        <v>113.31</v>
      </c>
      <c r="F5842" s="93">
        <v>371.21</v>
      </c>
      <c r="G5842" s="93">
        <v>1.69</v>
      </c>
      <c r="H5842" s="93">
        <v>0</v>
      </c>
      <c r="N5842" s="88"/>
      <c r="O5842" s="88"/>
      <c r="P5842" s="88"/>
    </row>
    <row r="5843" spans="1:16">
      <c r="A5843" s="94">
        <v>87296</v>
      </c>
      <c r="B5843" s="87" t="s">
        <v>4769</v>
      </c>
      <c r="C5843" s="12" t="s">
        <v>5</v>
      </c>
      <c r="D5843" s="93">
        <v>447.43</v>
      </c>
      <c r="E5843" s="93">
        <v>73.040000000000006</v>
      </c>
      <c r="F5843" s="93">
        <v>368.81</v>
      </c>
      <c r="G5843" s="93">
        <v>4.07</v>
      </c>
      <c r="H5843" s="93">
        <v>0</v>
      </c>
      <c r="N5843" s="88"/>
      <c r="O5843" s="88"/>
      <c r="P5843" s="88"/>
    </row>
    <row r="5844" spans="1:16">
      <c r="A5844" s="94">
        <v>87298</v>
      </c>
      <c r="B5844" s="87" t="s">
        <v>4770</v>
      </c>
      <c r="C5844" s="12" t="s">
        <v>5</v>
      </c>
      <c r="D5844" s="93">
        <v>539.57000000000005</v>
      </c>
      <c r="E5844" s="93">
        <v>90.56</v>
      </c>
      <c r="F5844" s="93">
        <v>446.61</v>
      </c>
      <c r="G5844" s="93">
        <v>1.35</v>
      </c>
      <c r="H5844" s="93">
        <v>0</v>
      </c>
      <c r="N5844" s="88"/>
      <c r="O5844" s="88"/>
      <c r="P5844" s="88"/>
    </row>
    <row r="5845" spans="1:16">
      <c r="A5845" s="94">
        <v>87299</v>
      </c>
      <c r="B5845" s="87" t="s">
        <v>4771</v>
      </c>
      <c r="C5845" s="12" t="s">
        <v>5</v>
      </c>
      <c r="D5845" s="93">
        <v>380.76</v>
      </c>
      <c r="E5845" s="93">
        <v>76.02</v>
      </c>
      <c r="F5845" s="93">
        <v>298.93</v>
      </c>
      <c r="G5845" s="93">
        <v>4.24</v>
      </c>
      <c r="H5845" s="93">
        <v>0</v>
      </c>
      <c r="N5845" s="88"/>
      <c r="O5845" s="88"/>
      <c r="P5845" s="88"/>
    </row>
    <row r="5846" spans="1:16">
      <c r="A5846" s="94">
        <v>87301</v>
      </c>
      <c r="B5846" s="87" t="s">
        <v>4772</v>
      </c>
      <c r="C5846" s="12" t="s">
        <v>5</v>
      </c>
      <c r="D5846" s="93">
        <v>505.04</v>
      </c>
      <c r="E5846" s="93">
        <v>99.37</v>
      </c>
      <c r="F5846" s="93">
        <v>403.03</v>
      </c>
      <c r="G5846" s="93">
        <v>1.49</v>
      </c>
      <c r="H5846" s="93">
        <v>0</v>
      </c>
      <c r="N5846" s="88"/>
      <c r="O5846" s="88"/>
      <c r="P5846" s="88"/>
    </row>
    <row r="5847" spans="1:16">
      <c r="A5847" s="94">
        <v>87302</v>
      </c>
      <c r="B5847" s="87" t="s">
        <v>4773</v>
      </c>
      <c r="C5847" s="12" t="s">
        <v>5</v>
      </c>
      <c r="D5847" s="93">
        <v>485.62</v>
      </c>
      <c r="E5847" s="93">
        <v>77.03</v>
      </c>
      <c r="F5847" s="93">
        <v>402.69</v>
      </c>
      <c r="G5847" s="93">
        <v>4.3099999999999996</v>
      </c>
      <c r="H5847" s="93">
        <v>0</v>
      </c>
      <c r="N5847" s="88"/>
      <c r="O5847" s="88"/>
      <c r="P5847" s="88"/>
    </row>
    <row r="5848" spans="1:16">
      <c r="A5848" s="94">
        <v>87304</v>
      </c>
      <c r="B5848" s="87" t="s">
        <v>4774</v>
      </c>
      <c r="C5848" s="12" t="s">
        <v>5</v>
      </c>
      <c r="D5848" s="93">
        <v>466.54</v>
      </c>
      <c r="E5848" s="93">
        <v>90.15</v>
      </c>
      <c r="F5848" s="93">
        <v>374</v>
      </c>
      <c r="G5848" s="93">
        <v>1.34</v>
      </c>
      <c r="H5848" s="93">
        <v>0</v>
      </c>
      <c r="N5848" s="88"/>
      <c r="O5848" s="88"/>
      <c r="P5848" s="88"/>
    </row>
    <row r="5849" spans="1:16">
      <c r="A5849" s="94">
        <v>87305</v>
      </c>
      <c r="B5849" s="87" t="s">
        <v>4775</v>
      </c>
      <c r="C5849" s="12" t="s">
        <v>5</v>
      </c>
      <c r="D5849" s="93">
        <v>459.86</v>
      </c>
      <c r="E5849" s="93">
        <v>79.709999999999994</v>
      </c>
      <c r="F5849" s="93">
        <v>374.03</v>
      </c>
      <c r="G5849" s="93">
        <v>4.46</v>
      </c>
      <c r="H5849" s="93">
        <v>0</v>
      </c>
      <c r="N5849" s="88"/>
      <c r="O5849" s="88"/>
      <c r="P5849" s="88"/>
    </row>
    <row r="5850" spans="1:16">
      <c r="A5850" s="94">
        <v>87307</v>
      </c>
      <c r="B5850" s="87" t="s">
        <v>4776</v>
      </c>
      <c r="C5850" s="12" t="s">
        <v>5</v>
      </c>
      <c r="D5850" s="93">
        <v>456.69</v>
      </c>
      <c r="E5850" s="93">
        <v>99.38</v>
      </c>
      <c r="F5850" s="93">
        <v>354.67</v>
      </c>
      <c r="G5850" s="93">
        <v>1.49</v>
      </c>
      <c r="H5850" s="93">
        <v>0</v>
      </c>
      <c r="N5850" s="88"/>
      <c r="O5850" s="88"/>
      <c r="P5850" s="88"/>
    </row>
    <row r="5851" spans="1:16">
      <c r="A5851" s="94">
        <v>87308</v>
      </c>
      <c r="B5851" s="87" t="s">
        <v>4777</v>
      </c>
      <c r="C5851" s="12" t="s">
        <v>5</v>
      </c>
      <c r="D5851" s="93">
        <v>437.07</v>
      </c>
      <c r="E5851" s="93">
        <v>79.489999999999995</v>
      </c>
      <c r="F5851" s="93">
        <v>351.46</v>
      </c>
      <c r="G5851" s="93">
        <v>4.46</v>
      </c>
      <c r="H5851" s="93">
        <v>0</v>
      </c>
      <c r="N5851" s="88"/>
      <c r="O5851" s="88"/>
      <c r="P5851" s="88"/>
    </row>
    <row r="5852" spans="1:16">
      <c r="A5852" s="94">
        <v>87310</v>
      </c>
      <c r="B5852" s="87" t="s">
        <v>4778</v>
      </c>
      <c r="C5852" s="12" t="s">
        <v>5</v>
      </c>
      <c r="D5852" s="93">
        <v>376.49</v>
      </c>
      <c r="E5852" s="93">
        <v>88.1</v>
      </c>
      <c r="F5852" s="93">
        <v>286.04000000000002</v>
      </c>
      <c r="G5852" s="93">
        <v>1.33</v>
      </c>
      <c r="H5852" s="93">
        <v>0</v>
      </c>
      <c r="N5852" s="88"/>
      <c r="O5852" s="88"/>
      <c r="P5852" s="88"/>
    </row>
    <row r="5853" spans="1:16">
      <c r="A5853" s="94">
        <v>87311</v>
      </c>
      <c r="B5853" s="87" t="s">
        <v>4779</v>
      </c>
      <c r="C5853" s="12" t="s">
        <v>5</v>
      </c>
      <c r="D5853" s="93">
        <v>358.1</v>
      </c>
      <c r="E5853" s="93">
        <v>69</v>
      </c>
      <c r="F5853" s="93">
        <v>283.77</v>
      </c>
      <c r="G5853" s="93">
        <v>3.88</v>
      </c>
      <c r="H5853" s="93">
        <v>0</v>
      </c>
      <c r="N5853" s="88"/>
      <c r="O5853" s="88"/>
      <c r="P5853" s="88"/>
    </row>
    <row r="5854" spans="1:16">
      <c r="A5854" s="94">
        <v>87313</v>
      </c>
      <c r="B5854" s="87" t="s">
        <v>4780</v>
      </c>
      <c r="C5854" s="12" t="s">
        <v>5</v>
      </c>
      <c r="D5854" s="93">
        <v>429.8</v>
      </c>
      <c r="E5854" s="93">
        <v>88.51</v>
      </c>
      <c r="F5854" s="93">
        <v>338.93</v>
      </c>
      <c r="G5854" s="93">
        <v>1.33</v>
      </c>
      <c r="H5854" s="93">
        <v>0</v>
      </c>
      <c r="N5854" s="88"/>
      <c r="O5854" s="88"/>
      <c r="P5854" s="88"/>
    </row>
    <row r="5855" spans="1:16">
      <c r="A5855" s="94">
        <v>87314</v>
      </c>
      <c r="B5855" s="87" t="s">
        <v>4781</v>
      </c>
      <c r="C5855" s="12" t="s">
        <v>5</v>
      </c>
      <c r="D5855" s="93">
        <v>412.5</v>
      </c>
      <c r="E5855" s="93">
        <v>69.319999999999993</v>
      </c>
      <c r="F5855" s="93">
        <v>337.84</v>
      </c>
      <c r="G5855" s="93">
        <v>3.89</v>
      </c>
      <c r="H5855" s="93">
        <v>0</v>
      </c>
      <c r="N5855" s="88"/>
      <c r="O5855" s="88"/>
      <c r="P5855" s="88"/>
    </row>
    <row r="5856" spans="1:16">
      <c r="A5856" s="94">
        <v>87316</v>
      </c>
      <c r="B5856" s="87" t="s">
        <v>4782</v>
      </c>
      <c r="C5856" s="12" t="s">
        <v>5</v>
      </c>
      <c r="D5856" s="93">
        <v>405.45</v>
      </c>
      <c r="E5856" s="93">
        <v>95.07</v>
      </c>
      <c r="F5856" s="93">
        <v>307.86</v>
      </c>
      <c r="G5856" s="93">
        <v>1.42</v>
      </c>
      <c r="H5856" s="93">
        <v>0</v>
      </c>
      <c r="N5856" s="88"/>
      <c r="O5856" s="88"/>
      <c r="P5856" s="88"/>
    </row>
    <row r="5857" spans="1:16">
      <c r="A5857" s="94">
        <v>87317</v>
      </c>
      <c r="B5857" s="87" t="s">
        <v>4783</v>
      </c>
      <c r="C5857" s="12" t="s">
        <v>5</v>
      </c>
      <c r="D5857" s="93">
        <v>380.28</v>
      </c>
      <c r="E5857" s="93">
        <v>69.209999999999994</v>
      </c>
      <c r="F5857" s="93">
        <v>305.77</v>
      </c>
      <c r="G5857" s="93">
        <v>3.87</v>
      </c>
      <c r="H5857" s="93">
        <v>0</v>
      </c>
      <c r="N5857" s="88"/>
      <c r="O5857" s="88"/>
      <c r="P5857" s="88"/>
    </row>
    <row r="5858" spans="1:16">
      <c r="A5858" s="94">
        <v>87319</v>
      </c>
      <c r="B5858" s="87" t="s">
        <v>4784</v>
      </c>
      <c r="C5858" s="12" t="s">
        <v>5</v>
      </c>
      <c r="D5858" s="93">
        <v>2023.32</v>
      </c>
      <c r="E5858" s="93">
        <v>88.5</v>
      </c>
      <c r="F5858" s="93">
        <v>1932.46</v>
      </c>
      <c r="G5858" s="93">
        <v>1.33</v>
      </c>
      <c r="H5858" s="93">
        <v>0</v>
      </c>
      <c r="N5858" s="88"/>
      <c r="O5858" s="88"/>
      <c r="P5858" s="88"/>
    </row>
    <row r="5859" spans="1:16">
      <c r="A5859" s="94">
        <v>87320</v>
      </c>
      <c r="B5859" s="87" t="s">
        <v>4785</v>
      </c>
      <c r="C5859" s="12" t="s">
        <v>5</v>
      </c>
      <c r="D5859" s="93">
        <v>2014.55</v>
      </c>
      <c r="E5859" s="93">
        <v>70.209999999999994</v>
      </c>
      <c r="F5859" s="93">
        <v>1938.9</v>
      </c>
      <c r="G5859" s="93">
        <v>3.97</v>
      </c>
      <c r="H5859" s="93">
        <v>0</v>
      </c>
      <c r="N5859" s="88"/>
      <c r="O5859" s="88"/>
      <c r="P5859" s="88"/>
    </row>
    <row r="5860" spans="1:16">
      <c r="A5860" s="94">
        <v>87322</v>
      </c>
      <c r="B5860" s="87" t="s">
        <v>4786</v>
      </c>
      <c r="C5860" s="12" t="s">
        <v>5</v>
      </c>
      <c r="D5860" s="93">
        <v>2088.92</v>
      </c>
      <c r="E5860" s="93">
        <v>93.42</v>
      </c>
      <c r="F5860" s="93">
        <v>1993.01</v>
      </c>
      <c r="G5860" s="93">
        <v>1.41</v>
      </c>
      <c r="H5860" s="93">
        <v>0</v>
      </c>
      <c r="N5860" s="88"/>
      <c r="O5860" s="88"/>
      <c r="P5860" s="88"/>
    </row>
    <row r="5861" spans="1:16">
      <c r="A5861" s="94">
        <v>87323</v>
      </c>
      <c r="B5861" s="87" t="s">
        <v>4787</v>
      </c>
      <c r="C5861" s="12" t="s">
        <v>5</v>
      </c>
      <c r="D5861" s="93">
        <v>2071.35</v>
      </c>
      <c r="E5861" s="93">
        <v>67.67</v>
      </c>
      <c r="F5861" s="93">
        <v>1998.49</v>
      </c>
      <c r="G5861" s="93">
        <v>3.78</v>
      </c>
      <c r="H5861" s="93">
        <v>0</v>
      </c>
      <c r="N5861" s="88"/>
      <c r="O5861" s="88"/>
      <c r="P5861" s="88"/>
    </row>
    <row r="5862" spans="1:16">
      <c r="A5862" s="94">
        <v>87325</v>
      </c>
      <c r="B5862" s="87" t="s">
        <v>4788</v>
      </c>
      <c r="C5862" s="12" t="s">
        <v>5</v>
      </c>
      <c r="D5862" s="93">
        <v>2043.72</v>
      </c>
      <c r="E5862" s="93">
        <v>96.09</v>
      </c>
      <c r="F5862" s="93">
        <v>1945.08</v>
      </c>
      <c r="G5862" s="93">
        <v>1.44</v>
      </c>
      <c r="H5862" s="93">
        <v>0</v>
      </c>
      <c r="N5862" s="88"/>
      <c r="O5862" s="88"/>
      <c r="P5862" s="88"/>
    </row>
    <row r="5863" spans="1:16">
      <c r="A5863" s="94">
        <v>87326</v>
      </c>
      <c r="B5863" s="87" t="s">
        <v>4789</v>
      </c>
      <c r="C5863" s="12" t="s">
        <v>5</v>
      </c>
      <c r="D5863" s="93">
        <v>2028.49</v>
      </c>
      <c r="E5863" s="93">
        <v>63.95</v>
      </c>
      <c r="F5863" s="93">
        <v>1959.61</v>
      </c>
      <c r="G5863" s="93">
        <v>3.6</v>
      </c>
      <c r="H5863" s="93">
        <v>0</v>
      </c>
      <c r="N5863" s="88"/>
      <c r="O5863" s="88"/>
      <c r="P5863" s="88"/>
    </row>
    <row r="5864" spans="1:16">
      <c r="A5864" s="94">
        <v>87327</v>
      </c>
      <c r="B5864" s="87" t="s">
        <v>4790</v>
      </c>
      <c r="C5864" s="12" t="s">
        <v>5</v>
      </c>
      <c r="D5864" s="93">
        <v>417.2</v>
      </c>
      <c r="E5864" s="93">
        <v>119.67</v>
      </c>
      <c r="F5864" s="93">
        <v>288.91000000000003</v>
      </c>
      <c r="G5864" s="93">
        <v>5.14</v>
      </c>
      <c r="H5864" s="93">
        <v>0</v>
      </c>
      <c r="N5864" s="88"/>
      <c r="O5864" s="88"/>
      <c r="P5864" s="88"/>
    </row>
    <row r="5865" spans="1:16">
      <c r="A5865" s="94">
        <v>87328</v>
      </c>
      <c r="B5865" s="87" t="s">
        <v>4791</v>
      </c>
      <c r="C5865" s="12" t="s">
        <v>5</v>
      </c>
      <c r="D5865" s="93">
        <v>348.09</v>
      </c>
      <c r="E5865" s="93">
        <v>60.56</v>
      </c>
      <c r="F5865" s="93">
        <v>282.39</v>
      </c>
      <c r="G5865" s="93">
        <v>2.76</v>
      </c>
      <c r="H5865" s="93">
        <v>0</v>
      </c>
      <c r="N5865" s="88"/>
      <c r="O5865" s="88"/>
      <c r="P5865" s="88"/>
    </row>
    <row r="5866" spans="1:16">
      <c r="A5866" s="94">
        <v>87329</v>
      </c>
      <c r="B5866" s="87" t="s">
        <v>4792</v>
      </c>
      <c r="C5866" s="12" t="s">
        <v>5</v>
      </c>
      <c r="D5866" s="93">
        <v>442.39</v>
      </c>
      <c r="E5866" s="93">
        <v>129.49</v>
      </c>
      <c r="F5866" s="93">
        <v>303.58</v>
      </c>
      <c r="G5866" s="93">
        <v>5.56</v>
      </c>
      <c r="H5866" s="93">
        <v>0</v>
      </c>
      <c r="N5866" s="88"/>
      <c r="O5866" s="88"/>
      <c r="P5866" s="88"/>
    </row>
    <row r="5867" spans="1:16">
      <c r="A5867" s="94">
        <v>87330</v>
      </c>
      <c r="B5867" s="87" t="s">
        <v>4793</v>
      </c>
      <c r="C5867" s="12" t="s">
        <v>5</v>
      </c>
      <c r="D5867" s="93">
        <v>364.86</v>
      </c>
      <c r="E5867" s="93">
        <v>63.63</v>
      </c>
      <c r="F5867" s="93">
        <v>295.82</v>
      </c>
      <c r="G5867" s="93">
        <v>2.92</v>
      </c>
      <c r="H5867" s="93">
        <v>0</v>
      </c>
      <c r="N5867" s="88"/>
      <c r="O5867" s="88"/>
      <c r="P5867" s="88"/>
    </row>
    <row r="5868" spans="1:16">
      <c r="A5868" s="94">
        <v>87331</v>
      </c>
      <c r="B5868" s="87" t="s">
        <v>4794</v>
      </c>
      <c r="C5868" s="12" t="s">
        <v>5</v>
      </c>
      <c r="D5868" s="93">
        <v>512.39</v>
      </c>
      <c r="E5868" s="93">
        <v>127.03</v>
      </c>
      <c r="F5868" s="93">
        <v>376.18</v>
      </c>
      <c r="G5868" s="93">
        <v>5.47</v>
      </c>
      <c r="H5868" s="93">
        <v>0</v>
      </c>
      <c r="N5868" s="88"/>
      <c r="O5868" s="88"/>
      <c r="P5868" s="88"/>
    </row>
    <row r="5869" spans="1:16">
      <c r="A5869" s="94">
        <v>87332</v>
      </c>
      <c r="B5869" s="87" t="s">
        <v>4795</v>
      </c>
      <c r="C5869" s="12" t="s">
        <v>5</v>
      </c>
      <c r="D5869" s="93">
        <v>440.02</v>
      </c>
      <c r="E5869" s="93">
        <v>64.260000000000005</v>
      </c>
      <c r="F5869" s="93">
        <v>370.29</v>
      </c>
      <c r="G5869" s="93">
        <v>2.94</v>
      </c>
      <c r="H5869" s="93">
        <v>0</v>
      </c>
      <c r="N5869" s="88"/>
      <c r="O5869" s="88"/>
      <c r="P5869" s="88"/>
    </row>
    <row r="5870" spans="1:16">
      <c r="A5870" s="94">
        <v>87333</v>
      </c>
      <c r="B5870" s="87" t="s">
        <v>4796</v>
      </c>
      <c r="C5870" s="12" t="s">
        <v>5</v>
      </c>
      <c r="D5870" s="93">
        <v>481.81</v>
      </c>
      <c r="E5870" s="93">
        <v>109.83</v>
      </c>
      <c r="F5870" s="93">
        <v>364.08</v>
      </c>
      <c r="G5870" s="93">
        <v>4.7</v>
      </c>
      <c r="H5870" s="93">
        <v>0</v>
      </c>
      <c r="N5870" s="88"/>
      <c r="O5870" s="88"/>
      <c r="P5870" s="88"/>
    </row>
    <row r="5871" spans="1:16">
      <c r="A5871" s="94">
        <v>87334</v>
      </c>
      <c r="B5871" s="87" t="s">
        <v>4797</v>
      </c>
      <c r="C5871" s="12" t="s">
        <v>5</v>
      </c>
      <c r="D5871" s="93">
        <v>435.96</v>
      </c>
      <c r="E5871" s="93">
        <v>69.39</v>
      </c>
      <c r="F5871" s="93">
        <v>360.67</v>
      </c>
      <c r="G5871" s="93">
        <v>3.18</v>
      </c>
      <c r="H5871" s="93">
        <v>0</v>
      </c>
      <c r="N5871" s="88"/>
      <c r="O5871" s="88"/>
      <c r="P5871" s="88"/>
    </row>
    <row r="5872" spans="1:16">
      <c r="A5872" s="94">
        <v>87335</v>
      </c>
      <c r="B5872" s="87" t="s">
        <v>4798</v>
      </c>
      <c r="C5872" s="12" t="s">
        <v>5</v>
      </c>
      <c r="D5872" s="93">
        <v>473.62</v>
      </c>
      <c r="E5872" s="93">
        <v>101.63</v>
      </c>
      <c r="F5872" s="93">
        <v>364.66</v>
      </c>
      <c r="G5872" s="93">
        <v>4.37</v>
      </c>
      <c r="H5872" s="93">
        <v>0</v>
      </c>
      <c r="N5872" s="88"/>
      <c r="O5872" s="88"/>
      <c r="P5872" s="88"/>
    </row>
    <row r="5873" spans="1:16">
      <c r="A5873" s="94">
        <v>87336</v>
      </c>
      <c r="B5873" s="87" t="s">
        <v>4799</v>
      </c>
      <c r="C5873" s="12" t="s">
        <v>5</v>
      </c>
      <c r="D5873" s="93">
        <v>448.34</v>
      </c>
      <c r="E5873" s="93">
        <v>66.430000000000007</v>
      </c>
      <c r="F5873" s="93">
        <v>376.26</v>
      </c>
      <c r="G5873" s="93">
        <v>3.04</v>
      </c>
      <c r="H5873" s="93">
        <v>0</v>
      </c>
      <c r="N5873" s="88"/>
      <c r="O5873" s="88"/>
      <c r="P5873" s="88"/>
    </row>
    <row r="5874" spans="1:16">
      <c r="A5874" s="94">
        <v>87337</v>
      </c>
      <c r="B5874" s="87" t="s">
        <v>4800</v>
      </c>
      <c r="C5874" s="12" t="s">
        <v>5</v>
      </c>
      <c r="D5874" s="93">
        <v>470.21</v>
      </c>
      <c r="E5874" s="93">
        <v>99.99</v>
      </c>
      <c r="F5874" s="93">
        <v>363.02</v>
      </c>
      <c r="G5874" s="93">
        <v>4.29</v>
      </c>
      <c r="H5874" s="93">
        <v>0</v>
      </c>
      <c r="N5874" s="88"/>
      <c r="O5874" s="88"/>
      <c r="P5874" s="88"/>
    </row>
    <row r="5875" spans="1:16">
      <c r="A5875" s="94">
        <v>87338</v>
      </c>
      <c r="B5875" s="87" t="s">
        <v>4801</v>
      </c>
      <c r="C5875" s="12" t="s">
        <v>5</v>
      </c>
      <c r="D5875" s="93">
        <v>449.08</v>
      </c>
      <c r="E5875" s="93">
        <v>82.23</v>
      </c>
      <c r="F5875" s="93">
        <v>359.79</v>
      </c>
      <c r="G5875" s="93">
        <v>3.8</v>
      </c>
      <c r="H5875" s="93">
        <v>0</v>
      </c>
      <c r="N5875" s="88"/>
      <c r="O5875" s="88"/>
      <c r="P5875" s="88"/>
    </row>
    <row r="5876" spans="1:16">
      <c r="A5876" s="94">
        <v>87339</v>
      </c>
      <c r="B5876" s="87" t="s">
        <v>4802</v>
      </c>
      <c r="C5876" s="12" t="s">
        <v>5</v>
      </c>
      <c r="D5876" s="93">
        <v>676.09</v>
      </c>
      <c r="E5876" s="93">
        <v>212.07</v>
      </c>
      <c r="F5876" s="93">
        <v>451.6</v>
      </c>
      <c r="G5876" s="93">
        <v>8.7100000000000009</v>
      </c>
      <c r="H5876" s="93">
        <v>0</v>
      </c>
      <c r="N5876" s="88"/>
      <c r="O5876" s="88"/>
      <c r="P5876" s="88"/>
    </row>
    <row r="5877" spans="1:16">
      <c r="A5877" s="94">
        <v>87340</v>
      </c>
      <c r="B5877" s="87" t="s">
        <v>4803</v>
      </c>
      <c r="C5877" s="12" t="s">
        <v>5</v>
      </c>
      <c r="D5877" s="93">
        <v>541.14</v>
      </c>
      <c r="E5877" s="93">
        <v>97.94</v>
      </c>
      <c r="F5877" s="93">
        <v>436.14</v>
      </c>
      <c r="G5877" s="93">
        <v>4.2</v>
      </c>
      <c r="H5877" s="93">
        <v>0</v>
      </c>
      <c r="N5877" s="88"/>
      <c r="O5877" s="88"/>
      <c r="P5877" s="88"/>
    </row>
    <row r="5878" spans="1:16">
      <c r="A5878" s="94">
        <v>87341</v>
      </c>
      <c r="B5878" s="87" t="s">
        <v>4804</v>
      </c>
      <c r="C5878" s="12" t="s">
        <v>5</v>
      </c>
      <c r="D5878" s="93">
        <v>501.71</v>
      </c>
      <c r="E5878" s="93">
        <v>63.33</v>
      </c>
      <c r="F5878" s="93">
        <v>432.98</v>
      </c>
      <c r="G5878" s="93">
        <v>2.91</v>
      </c>
      <c r="H5878" s="93">
        <v>0</v>
      </c>
      <c r="N5878" s="88"/>
      <c r="O5878" s="88"/>
      <c r="P5878" s="88"/>
    </row>
    <row r="5879" spans="1:16">
      <c r="A5879" s="94">
        <v>87342</v>
      </c>
      <c r="B5879" s="87" t="s">
        <v>4805</v>
      </c>
      <c r="C5879" s="12" t="s">
        <v>5</v>
      </c>
      <c r="D5879" s="93">
        <v>584.86</v>
      </c>
      <c r="E5879" s="93">
        <v>171.09</v>
      </c>
      <c r="F5879" s="93">
        <v>403.73</v>
      </c>
      <c r="G5879" s="93">
        <v>7.04</v>
      </c>
      <c r="H5879" s="93">
        <v>0</v>
      </c>
      <c r="N5879" s="88"/>
      <c r="O5879" s="88"/>
      <c r="P5879" s="88"/>
    </row>
    <row r="5880" spans="1:16">
      <c r="A5880" s="94">
        <v>87343</v>
      </c>
      <c r="B5880" s="87" t="s">
        <v>4806</v>
      </c>
      <c r="C5880" s="12" t="s">
        <v>5</v>
      </c>
      <c r="D5880" s="93">
        <v>508.38</v>
      </c>
      <c r="E5880" s="93">
        <v>106.14</v>
      </c>
      <c r="F5880" s="93">
        <v>394.59</v>
      </c>
      <c r="G5880" s="93">
        <v>4.5599999999999996</v>
      </c>
      <c r="H5880" s="93">
        <v>0</v>
      </c>
      <c r="N5880" s="88"/>
      <c r="O5880" s="88"/>
      <c r="P5880" s="88"/>
    </row>
    <row r="5881" spans="1:16">
      <c r="A5881" s="94">
        <v>87344</v>
      </c>
      <c r="B5881" s="87" t="s">
        <v>4807</v>
      </c>
      <c r="C5881" s="12" t="s">
        <v>5</v>
      </c>
      <c r="D5881" s="93">
        <v>460.29</v>
      </c>
      <c r="E5881" s="93">
        <v>63.02</v>
      </c>
      <c r="F5881" s="93">
        <v>391.89</v>
      </c>
      <c r="G5881" s="93">
        <v>2.89</v>
      </c>
      <c r="H5881" s="93">
        <v>0</v>
      </c>
      <c r="N5881" s="88"/>
      <c r="O5881" s="88"/>
      <c r="P5881" s="88"/>
    </row>
    <row r="5882" spans="1:16">
      <c r="A5882" s="94">
        <v>87345</v>
      </c>
      <c r="B5882" s="87" t="s">
        <v>4808</v>
      </c>
      <c r="C5882" s="12" t="s">
        <v>5</v>
      </c>
      <c r="D5882" s="93">
        <v>533.80999999999995</v>
      </c>
      <c r="E5882" s="93">
        <v>152.44999999999999</v>
      </c>
      <c r="F5882" s="93">
        <v>372.42</v>
      </c>
      <c r="G5882" s="93">
        <v>6.27</v>
      </c>
      <c r="H5882" s="93">
        <v>0</v>
      </c>
      <c r="N5882" s="88"/>
      <c r="O5882" s="88"/>
      <c r="P5882" s="88"/>
    </row>
    <row r="5883" spans="1:16">
      <c r="A5883" s="94">
        <v>87346</v>
      </c>
      <c r="B5883" s="87" t="s">
        <v>4809</v>
      </c>
      <c r="C5883" s="12" t="s">
        <v>5</v>
      </c>
      <c r="D5883" s="93">
        <v>470.5</v>
      </c>
      <c r="E5883" s="93">
        <v>98.15</v>
      </c>
      <c r="F5883" s="93">
        <v>365.28</v>
      </c>
      <c r="G5883" s="93">
        <v>4.21</v>
      </c>
      <c r="H5883" s="93">
        <v>0</v>
      </c>
      <c r="N5883" s="88"/>
      <c r="O5883" s="88"/>
      <c r="P5883" s="88"/>
    </row>
    <row r="5884" spans="1:16">
      <c r="A5884" s="94">
        <v>87347</v>
      </c>
      <c r="B5884" s="87" t="s">
        <v>4810</v>
      </c>
      <c r="C5884" s="12" t="s">
        <v>5</v>
      </c>
      <c r="D5884" s="93">
        <v>431.76</v>
      </c>
      <c r="E5884" s="93">
        <v>63.53</v>
      </c>
      <c r="F5884" s="93">
        <v>362.82</v>
      </c>
      <c r="G5884" s="93">
        <v>2.92</v>
      </c>
      <c r="H5884" s="93">
        <v>0</v>
      </c>
      <c r="N5884" s="88"/>
      <c r="O5884" s="88"/>
      <c r="P5884" s="88"/>
    </row>
    <row r="5885" spans="1:16">
      <c r="A5885" s="94">
        <v>87348</v>
      </c>
      <c r="B5885" s="87" t="s">
        <v>4811</v>
      </c>
      <c r="C5885" s="12" t="s">
        <v>5</v>
      </c>
      <c r="D5885" s="93">
        <v>495.39</v>
      </c>
      <c r="E5885" s="93">
        <v>137.28</v>
      </c>
      <c r="F5885" s="93">
        <v>350.08</v>
      </c>
      <c r="G5885" s="93">
        <v>5.63</v>
      </c>
      <c r="H5885" s="93">
        <v>0</v>
      </c>
      <c r="N5885" s="88"/>
      <c r="O5885" s="88"/>
      <c r="P5885" s="88"/>
    </row>
    <row r="5886" spans="1:16">
      <c r="A5886" s="94">
        <v>87349</v>
      </c>
      <c r="B5886" s="87" t="s">
        <v>4812</v>
      </c>
      <c r="C5886" s="12" t="s">
        <v>5</v>
      </c>
      <c r="D5886" s="93">
        <v>407.1</v>
      </c>
      <c r="E5886" s="93">
        <v>59.44</v>
      </c>
      <c r="F5886" s="93">
        <v>342.62</v>
      </c>
      <c r="G5886" s="93">
        <v>2.7</v>
      </c>
      <c r="H5886" s="93">
        <v>0</v>
      </c>
      <c r="N5886" s="88"/>
      <c r="O5886" s="88"/>
      <c r="P5886" s="88"/>
    </row>
    <row r="5887" spans="1:16">
      <c r="A5887" s="94">
        <v>87350</v>
      </c>
      <c r="B5887" s="87" t="s">
        <v>4813</v>
      </c>
      <c r="C5887" s="12" t="s">
        <v>5</v>
      </c>
      <c r="D5887" s="93">
        <v>426.64</v>
      </c>
      <c r="E5887" s="93">
        <v>131.34</v>
      </c>
      <c r="F5887" s="93">
        <v>285.81</v>
      </c>
      <c r="G5887" s="93">
        <v>5.65</v>
      </c>
      <c r="H5887" s="93">
        <v>0</v>
      </c>
      <c r="N5887" s="88"/>
      <c r="O5887" s="88"/>
      <c r="P5887" s="88"/>
    </row>
    <row r="5888" spans="1:16">
      <c r="A5888" s="94">
        <v>87351</v>
      </c>
      <c r="B5888" s="87" t="s">
        <v>4814</v>
      </c>
      <c r="C5888" s="12" t="s">
        <v>5</v>
      </c>
      <c r="D5888" s="93">
        <v>344.29</v>
      </c>
      <c r="E5888" s="93">
        <v>61.98</v>
      </c>
      <c r="F5888" s="93">
        <v>277.18</v>
      </c>
      <c r="G5888" s="93">
        <v>2.79</v>
      </c>
      <c r="H5888" s="93">
        <v>0</v>
      </c>
      <c r="N5888" s="88"/>
      <c r="O5888" s="88"/>
      <c r="P5888" s="88"/>
    </row>
    <row r="5889" spans="1:16">
      <c r="A5889" s="94">
        <v>87352</v>
      </c>
      <c r="B5889" s="87" t="s">
        <v>4815</v>
      </c>
      <c r="C5889" s="12" t="s">
        <v>5</v>
      </c>
      <c r="D5889" s="93">
        <v>519.53</v>
      </c>
      <c r="E5889" s="93">
        <v>166.58</v>
      </c>
      <c r="F5889" s="93">
        <v>343.18</v>
      </c>
      <c r="G5889" s="93">
        <v>6.85</v>
      </c>
      <c r="H5889" s="93">
        <v>0</v>
      </c>
      <c r="N5889" s="88"/>
      <c r="O5889" s="88"/>
      <c r="P5889" s="88"/>
    </row>
    <row r="5890" spans="1:16">
      <c r="A5890" s="94">
        <v>87353</v>
      </c>
      <c r="B5890" s="87" t="s">
        <v>4816</v>
      </c>
      <c r="C5890" s="12" t="s">
        <v>5</v>
      </c>
      <c r="D5890" s="93">
        <v>436.22</v>
      </c>
      <c r="E5890" s="93">
        <v>97.54</v>
      </c>
      <c r="F5890" s="93">
        <v>331.67</v>
      </c>
      <c r="G5890" s="93">
        <v>4.17</v>
      </c>
      <c r="H5890" s="93">
        <v>0</v>
      </c>
      <c r="N5890" s="88"/>
      <c r="O5890" s="88"/>
      <c r="P5890" s="88"/>
    </row>
    <row r="5891" spans="1:16">
      <c r="A5891" s="94">
        <v>87354</v>
      </c>
      <c r="B5891" s="87" t="s">
        <v>4817</v>
      </c>
      <c r="C5891" s="12" t="s">
        <v>5</v>
      </c>
      <c r="D5891" s="93">
        <v>393.29</v>
      </c>
      <c r="E5891" s="93">
        <v>58.7</v>
      </c>
      <c r="F5891" s="93">
        <v>329.61</v>
      </c>
      <c r="G5891" s="93">
        <v>2.68</v>
      </c>
      <c r="H5891" s="93">
        <v>0</v>
      </c>
      <c r="N5891" s="88"/>
      <c r="O5891" s="88"/>
      <c r="P5891" s="88"/>
    </row>
    <row r="5892" spans="1:16">
      <c r="A5892" s="94">
        <v>87355</v>
      </c>
      <c r="B5892" s="87" t="s">
        <v>4818</v>
      </c>
      <c r="C5892" s="12" t="s">
        <v>5</v>
      </c>
      <c r="D5892" s="93">
        <v>448.36</v>
      </c>
      <c r="E5892" s="93">
        <v>134.21</v>
      </c>
      <c r="F5892" s="93">
        <v>306.29000000000002</v>
      </c>
      <c r="G5892" s="93">
        <v>5.51</v>
      </c>
      <c r="H5892" s="93">
        <v>0</v>
      </c>
      <c r="N5892" s="88"/>
      <c r="O5892" s="88"/>
      <c r="P5892" s="88"/>
    </row>
    <row r="5893" spans="1:16">
      <c r="A5893" s="94">
        <v>87356</v>
      </c>
      <c r="B5893" s="87" t="s">
        <v>4819</v>
      </c>
      <c r="C5893" s="12" t="s">
        <v>5</v>
      </c>
      <c r="D5893" s="93">
        <v>391.82</v>
      </c>
      <c r="E5893" s="93">
        <v>85.65</v>
      </c>
      <c r="F5893" s="93">
        <v>300</v>
      </c>
      <c r="G5893" s="93">
        <v>3.67</v>
      </c>
      <c r="H5893" s="93">
        <v>0</v>
      </c>
      <c r="N5893" s="88"/>
      <c r="O5893" s="88"/>
      <c r="P5893" s="88"/>
    </row>
    <row r="5894" spans="1:16">
      <c r="A5894" s="94">
        <v>87357</v>
      </c>
      <c r="B5894" s="87" t="s">
        <v>4820</v>
      </c>
      <c r="C5894" s="12" t="s">
        <v>5</v>
      </c>
      <c r="D5894" s="93">
        <v>359.55</v>
      </c>
      <c r="E5894" s="93">
        <v>57.26</v>
      </c>
      <c r="F5894" s="93">
        <v>297.41000000000003</v>
      </c>
      <c r="G5894" s="93">
        <v>2.62</v>
      </c>
      <c r="H5894" s="93">
        <v>0</v>
      </c>
      <c r="N5894" s="88"/>
      <c r="O5894" s="88"/>
      <c r="P5894" s="88"/>
    </row>
    <row r="5895" spans="1:16">
      <c r="A5895" s="94">
        <v>87358</v>
      </c>
      <c r="B5895" s="87" t="s">
        <v>4821</v>
      </c>
      <c r="C5895" s="12" t="s">
        <v>5</v>
      </c>
      <c r="D5895" s="93">
        <v>2015.93</v>
      </c>
      <c r="E5895" s="93">
        <v>110.02</v>
      </c>
      <c r="F5895" s="93">
        <v>1898</v>
      </c>
      <c r="G5895" s="93">
        <v>4.71</v>
      </c>
      <c r="H5895" s="93">
        <v>0</v>
      </c>
      <c r="N5895" s="88"/>
      <c r="O5895" s="88"/>
      <c r="P5895" s="88"/>
    </row>
    <row r="5896" spans="1:16">
      <c r="A5896" s="94">
        <v>87359</v>
      </c>
      <c r="B5896" s="87" t="s">
        <v>4822</v>
      </c>
      <c r="C5896" s="12" t="s">
        <v>5</v>
      </c>
      <c r="D5896" s="93">
        <v>1973.43</v>
      </c>
      <c r="E5896" s="93">
        <v>68.03</v>
      </c>
      <c r="F5896" s="93">
        <v>1899.58</v>
      </c>
      <c r="G5896" s="93">
        <v>3.14</v>
      </c>
      <c r="H5896" s="93">
        <v>0</v>
      </c>
      <c r="N5896" s="88"/>
      <c r="O5896" s="88"/>
      <c r="P5896" s="88"/>
    </row>
    <row r="5897" spans="1:16">
      <c r="A5897" s="94">
        <v>87360</v>
      </c>
      <c r="B5897" s="87" t="s">
        <v>4823</v>
      </c>
      <c r="C5897" s="12" t="s">
        <v>5</v>
      </c>
      <c r="D5897" s="93">
        <v>2093.69</v>
      </c>
      <c r="E5897" s="93">
        <v>141.16</v>
      </c>
      <c r="F5897" s="93">
        <v>1944.27</v>
      </c>
      <c r="G5897" s="93">
        <v>5.79</v>
      </c>
      <c r="H5897" s="93">
        <v>0</v>
      </c>
      <c r="N5897" s="88"/>
      <c r="O5897" s="88"/>
      <c r="P5897" s="88"/>
    </row>
    <row r="5898" spans="1:16">
      <c r="A5898" s="94">
        <v>87361</v>
      </c>
      <c r="B5898" s="87" t="s">
        <v>4824</v>
      </c>
      <c r="C5898" s="12" t="s">
        <v>5</v>
      </c>
      <c r="D5898" s="93">
        <v>2036.44</v>
      </c>
      <c r="E5898" s="93">
        <v>84.41</v>
      </c>
      <c r="F5898" s="93">
        <v>1945.96</v>
      </c>
      <c r="G5898" s="93">
        <v>3.62</v>
      </c>
      <c r="H5898" s="93">
        <v>0</v>
      </c>
      <c r="N5898" s="88"/>
      <c r="O5898" s="88"/>
      <c r="P5898" s="88"/>
    </row>
    <row r="5899" spans="1:16">
      <c r="A5899" s="94">
        <v>87362</v>
      </c>
      <c r="B5899" s="87" t="s">
        <v>4825</v>
      </c>
      <c r="C5899" s="12" t="s">
        <v>5</v>
      </c>
      <c r="D5899" s="93">
        <v>2017.82</v>
      </c>
      <c r="E5899" s="93">
        <v>56.84</v>
      </c>
      <c r="F5899" s="93">
        <v>1956.16</v>
      </c>
      <c r="G5899" s="93">
        <v>2.6</v>
      </c>
      <c r="H5899" s="93">
        <v>0</v>
      </c>
      <c r="N5899" s="88"/>
      <c r="O5899" s="88"/>
      <c r="P5899" s="88"/>
    </row>
    <row r="5900" spans="1:16">
      <c r="A5900" s="94">
        <v>87363</v>
      </c>
      <c r="B5900" s="87" t="s">
        <v>4826</v>
      </c>
      <c r="C5900" s="12" t="s">
        <v>5</v>
      </c>
      <c r="D5900" s="93">
        <v>2043.04</v>
      </c>
      <c r="E5900" s="93">
        <v>120.06</v>
      </c>
      <c r="F5900" s="93">
        <v>1914.32</v>
      </c>
      <c r="G5900" s="93">
        <v>5.16</v>
      </c>
      <c r="H5900" s="93">
        <v>0</v>
      </c>
      <c r="N5900" s="88"/>
      <c r="O5900" s="88"/>
      <c r="P5900" s="88"/>
    </row>
    <row r="5901" spans="1:16">
      <c r="A5901" s="94">
        <v>87364</v>
      </c>
      <c r="B5901" s="87" t="s">
        <v>4827</v>
      </c>
      <c r="C5901" s="12" t="s">
        <v>5</v>
      </c>
      <c r="D5901" s="93">
        <v>1990.33</v>
      </c>
      <c r="E5901" s="93">
        <v>59.72</v>
      </c>
      <c r="F5901" s="93">
        <v>1925.54</v>
      </c>
      <c r="G5901" s="93">
        <v>2.73</v>
      </c>
      <c r="H5901" s="93">
        <v>0</v>
      </c>
      <c r="N5901" s="88"/>
      <c r="O5901" s="88"/>
      <c r="P5901" s="88"/>
    </row>
    <row r="5902" spans="1:16">
      <c r="A5902" s="94">
        <v>87365</v>
      </c>
      <c r="B5902" s="87" t="s">
        <v>4828</v>
      </c>
      <c r="C5902" s="12" t="s">
        <v>5</v>
      </c>
      <c r="D5902" s="93">
        <v>434.67</v>
      </c>
      <c r="E5902" s="93">
        <v>114.91</v>
      </c>
      <c r="F5902" s="93">
        <v>319.76</v>
      </c>
      <c r="G5902" s="93">
        <v>0</v>
      </c>
      <c r="H5902" s="93">
        <v>0</v>
      </c>
      <c r="N5902" s="88"/>
      <c r="O5902" s="88"/>
      <c r="P5902" s="88"/>
    </row>
    <row r="5903" spans="1:16">
      <c r="A5903" s="94">
        <v>87366</v>
      </c>
      <c r="B5903" s="87" t="s">
        <v>4829</v>
      </c>
      <c r="C5903" s="12" t="s">
        <v>5</v>
      </c>
      <c r="D5903" s="93">
        <v>453.17</v>
      </c>
      <c r="E5903" s="93">
        <v>118.53</v>
      </c>
      <c r="F5903" s="93">
        <v>334.64</v>
      </c>
      <c r="G5903" s="93">
        <v>0</v>
      </c>
      <c r="H5903" s="93">
        <v>0</v>
      </c>
      <c r="N5903" s="88"/>
      <c r="O5903" s="88"/>
      <c r="P5903" s="88"/>
    </row>
    <row r="5904" spans="1:16">
      <c r="A5904" s="94">
        <v>87367</v>
      </c>
      <c r="B5904" s="87" t="s">
        <v>4830</v>
      </c>
      <c r="C5904" s="12" t="s">
        <v>5</v>
      </c>
      <c r="D5904" s="93">
        <v>527.41999999999996</v>
      </c>
      <c r="E5904" s="93">
        <v>119.48</v>
      </c>
      <c r="F5904" s="93">
        <v>407.94</v>
      </c>
      <c r="G5904" s="93">
        <v>0</v>
      </c>
      <c r="H5904" s="93">
        <v>0</v>
      </c>
      <c r="N5904" s="88"/>
      <c r="O5904" s="88"/>
      <c r="P5904" s="88"/>
    </row>
    <row r="5905" spans="1:16">
      <c r="A5905" s="94">
        <v>87368</v>
      </c>
      <c r="B5905" s="87" t="s">
        <v>4831</v>
      </c>
      <c r="C5905" s="12" t="s">
        <v>5</v>
      </c>
      <c r="D5905" s="93">
        <v>520.19000000000005</v>
      </c>
      <c r="E5905" s="93">
        <v>120.43</v>
      </c>
      <c r="F5905" s="93">
        <v>399.76</v>
      </c>
      <c r="G5905" s="93">
        <v>0</v>
      </c>
      <c r="H5905" s="93">
        <v>0</v>
      </c>
      <c r="N5905" s="88"/>
      <c r="O5905" s="88"/>
      <c r="P5905" s="88"/>
    </row>
    <row r="5906" spans="1:16">
      <c r="A5906" s="94">
        <v>87369</v>
      </c>
      <c r="B5906" s="87" t="s">
        <v>4832</v>
      </c>
      <c r="C5906" s="12" t="s">
        <v>5</v>
      </c>
      <c r="D5906" s="93">
        <v>532.9</v>
      </c>
      <c r="E5906" s="93">
        <v>118.09</v>
      </c>
      <c r="F5906" s="93">
        <v>414.81</v>
      </c>
      <c r="G5906" s="93">
        <v>0</v>
      </c>
      <c r="H5906" s="93">
        <v>0</v>
      </c>
      <c r="N5906" s="88"/>
      <c r="O5906" s="88"/>
      <c r="P5906" s="88"/>
    </row>
    <row r="5907" spans="1:16">
      <c r="A5907" s="94">
        <v>87370</v>
      </c>
      <c r="B5907" s="87" t="s">
        <v>4833</v>
      </c>
      <c r="C5907" s="12" t="s">
        <v>5</v>
      </c>
      <c r="D5907" s="93">
        <v>516.83000000000004</v>
      </c>
      <c r="E5907" s="93">
        <v>118.84</v>
      </c>
      <c r="F5907" s="93">
        <v>397.99</v>
      </c>
      <c r="G5907" s="93">
        <v>0</v>
      </c>
      <c r="H5907" s="93">
        <v>0</v>
      </c>
      <c r="N5907" s="88"/>
      <c r="O5907" s="88"/>
      <c r="P5907" s="88"/>
    </row>
    <row r="5908" spans="1:16">
      <c r="A5908" s="94">
        <v>87371</v>
      </c>
      <c r="B5908" s="87" t="s">
        <v>4834</v>
      </c>
      <c r="C5908" s="12" t="s">
        <v>5</v>
      </c>
      <c r="D5908" s="93">
        <v>511.92</v>
      </c>
      <c r="E5908" s="93">
        <v>115.76</v>
      </c>
      <c r="F5908" s="93">
        <v>396.16</v>
      </c>
      <c r="G5908" s="93">
        <v>0</v>
      </c>
      <c r="H5908" s="93">
        <v>0</v>
      </c>
      <c r="N5908" s="88"/>
      <c r="O5908" s="88"/>
      <c r="P5908" s="88"/>
    </row>
    <row r="5909" spans="1:16">
      <c r="A5909" s="94">
        <v>87372</v>
      </c>
      <c r="B5909" s="87" t="s">
        <v>4835</v>
      </c>
      <c r="C5909" s="12" t="s">
        <v>5</v>
      </c>
      <c r="D5909" s="93">
        <v>599.04999999999995</v>
      </c>
      <c r="E5909" s="93">
        <v>123.95</v>
      </c>
      <c r="F5909" s="93">
        <v>475.1</v>
      </c>
      <c r="G5909" s="93">
        <v>0</v>
      </c>
      <c r="H5909" s="93">
        <v>0</v>
      </c>
      <c r="N5909" s="88"/>
      <c r="O5909" s="88"/>
      <c r="P5909" s="88"/>
    </row>
    <row r="5910" spans="1:16">
      <c r="A5910" s="94">
        <v>87373</v>
      </c>
      <c r="B5910" s="87" t="s">
        <v>4836</v>
      </c>
      <c r="C5910" s="12" t="s">
        <v>5</v>
      </c>
      <c r="D5910" s="93">
        <v>547.87</v>
      </c>
      <c r="E5910" s="93">
        <v>117.24</v>
      </c>
      <c r="F5910" s="93">
        <v>430.63</v>
      </c>
      <c r="G5910" s="93">
        <v>0</v>
      </c>
      <c r="H5910" s="93">
        <v>0</v>
      </c>
      <c r="N5910" s="88"/>
      <c r="O5910" s="88"/>
      <c r="P5910" s="88"/>
    </row>
    <row r="5911" spans="1:16">
      <c r="A5911" s="94">
        <v>87374</v>
      </c>
      <c r="B5911" s="87" t="s">
        <v>4837</v>
      </c>
      <c r="C5911" s="12" t="s">
        <v>5</v>
      </c>
      <c r="D5911" s="93">
        <v>520.03</v>
      </c>
      <c r="E5911" s="93">
        <v>118.09</v>
      </c>
      <c r="F5911" s="93">
        <v>401.94</v>
      </c>
      <c r="G5911" s="93">
        <v>0</v>
      </c>
      <c r="H5911" s="93">
        <v>0</v>
      </c>
      <c r="N5911" s="88"/>
      <c r="O5911" s="88"/>
      <c r="P5911" s="88"/>
    </row>
    <row r="5912" spans="1:16">
      <c r="A5912" s="94">
        <v>87375</v>
      </c>
      <c r="B5912" s="87" t="s">
        <v>4838</v>
      </c>
      <c r="C5912" s="12" t="s">
        <v>5</v>
      </c>
      <c r="D5912" s="93">
        <v>503.05</v>
      </c>
      <c r="E5912" s="93">
        <v>120.33</v>
      </c>
      <c r="F5912" s="93">
        <v>382.72</v>
      </c>
      <c r="G5912" s="93">
        <v>0</v>
      </c>
      <c r="H5912" s="93">
        <v>0</v>
      </c>
      <c r="N5912" s="88"/>
      <c r="O5912" s="88"/>
      <c r="P5912" s="88"/>
    </row>
    <row r="5913" spans="1:16">
      <c r="A5913" s="94">
        <v>87376</v>
      </c>
      <c r="B5913" s="87" t="s">
        <v>4839</v>
      </c>
      <c r="C5913" s="12" t="s">
        <v>5</v>
      </c>
      <c r="D5913" s="93">
        <v>430.01</v>
      </c>
      <c r="E5913" s="93">
        <v>114.91</v>
      </c>
      <c r="F5913" s="93">
        <v>315.10000000000002</v>
      </c>
      <c r="G5913" s="93">
        <v>0</v>
      </c>
      <c r="H5913" s="93">
        <v>0</v>
      </c>
      <c r="N5913" s="88"/>
      <c r="O5913" s="88"/>
      <c r="P5913" s="88"/>
    </row>
    <row r="5914" spans="1:16">
      <c r="A5914" s="94">
        <v>87377</v>
      </c>
      <c r="B5914" s="87" t="s">
        <v>4840</v>
      </c>
      <c r="C5914" s="12" t="s">
        <v>5</v>
      </c>
      <c r="D5914" s="93">
        <v>486.39</v>
      </c>
      <c r="E5914" s="93">
        <v>117.24</v>
      </c>
      <c r="F5914" s="93">
        <v>369.15</v>
      </c>
      <c r="G5914" s="93">
        <v>0</v>
      </c>
      <c r="H5914" s="93">
        <v>0</v>
      </c>
      <c r="N5914" s="88"/>
      <c r="O5914" s="88"/>
      <c r="P5914" s="88"/>
    </row>
    <row r="5915" spans="1:16">
      <c r="A5915" s="94">
        <v>87378</v>
      </c>
      <c r="B5915" s="87" t="s">
        <v>4841</v>
      </c>
      <c r="C5915" s="12" t="s">
        <v>5</v>
      </c>
      <c r="D5915" s="93">
        <v>449.07</v>
      </c>
      <c r="E5915" s="93">
        <v>113.42</v>
      </c>
      <c r="F5915" s="93">
        <v>335.65</v>
      </c>
      <c r="G5915" s="93">
        <v>0</v>
      </c>
      <c r="H5915" s="93">
        <v>0</v>
      </c>
      <c r="N5915" s="88"/>
      <c r="O5915" s="88"/>
      <c r="P5915" s="88"/>
    </row>
    <row r="5916" spans="1:16">
      <c r="A5916" s="94">
        <v>87379</v>
      </c>
      <c r="B5916" s="87" t="s">
        <v>4842</v>
      </c>
      <c r="C5916" s="12" t="s">
        <v>5</v>
      </c>
      <c r="D5916" s="93">
        <v>2065.36</v>
      </c>
      <c r="E5916" s="93">
        <v>113.3</v>
      </c>
      <c r="F5916" s="93">
        <v>1952.06</v>
      </c>
      <c r="G5916" s="93">
        <v>0</v>
      </c>
      <c r="H5916" s="93">
        <v>0</v>
      </c>
      <c r="N5916" s="88"/>
      <c r="O5916" s="88"/>
      <c r="P5916" s="88"/>
    </row>
    <row r="5917" spans="1:16">
      <c r="A5917" s="94">
        <v>87380</v>
      </c>
      <c r="B5917" s="87" t="s">
        <v>4843</v>
      </c>
      <c r="C5917" s="12" t="s">
        <v>5</v>
      </c>
      <c r="D5917" s="93">
        <v>2119.81</v>
      </c>
      <c r="E5917" s="93">
        <v>115.65</v>
      </c>
      <c r="F5917" s="93">
        <v>2004.16</v>
      </c>
      <c r="G5917" s="93">
        <v>0</v>
      </c>
      <c r="H5917" s="93">
        <v>0</v>
      </c>
      <c r="N5917" s="88"/>
      <c r="O5917" s="88"/>
      <c r="P5917" s="88"/>
    </row>
    <row r="5918" spans="1:16">
      <c r="A5918" s="94">
        <v>87381</v>
      </c>
      <c r="B5918" s="87" t="s">
        <v>4844</v>
      </c>
      <c r="C5918" s="12" t="s">
        <v>5</v>
      </c>
      <c r="D5918" s="93">
        <v>2083.37</v>
      </c>
      <c r="E5918" s="93">
        <v>111.81</v>
      </c>
      <c r="F5918" s="93">
        <v>1971.56</v>
      </c>
      <c r="G5918" s="93">
        <v>0</v>
      </c>
      <c r="H5918" s="93">
        <v>0</v>
      </c>
      <c r="N5918" s="88"/>
      <c r="O5918" s="88"/>
      <c r="P5918" s="88"/>
    </row>
    <row r="5919" spans="1:16">
      <c r="A5919" s="94">
        <v>87382</v>
      </c>
      <c r="B5919" s="87" t="s">
        <v>4845</v>
      </c>
      <c r="C5919" s="12" t="s">
        <v>5</v>
      </c>
      <c r="D5919" s="93">
        <v>1106.5999999999999</v>
      </c>
      <c r="E5919" s="93">
        <v>91.38</v>
      </c>
      <c r="F5919" s="93">
        <v>1009.87</v>
      </c>
      <c r="G5919" s="93">
        <v>3.75</v>
      </c>
      <c r="H5919" s="93">
        <v>0</v>
      </c>
      <c r="N5919" s="88"/>
      <c r="O5919" s="88"/>
      <c r="P5919" s="88"/>
    </row>
    <row r="5920" spans="1:16">
      <c r="A5920" s="94">
        <v>87383</v>
      </c>
      <c r="B5920" s="87" t="s">
        <v>4846</v>
      </c>
      <c r="C5920" s="12" t="s">
        <v>5</v>
      </c>
      <c r="D5920" s="93">
        <v>1093.3</v>
      </c>
      <c r="E5920" s="93">
        <v>71.709999999999994</v>
      </c>
      <c r="F5920" s="93">
        <v>1016.44</v>
      </c>
      <c r="G5920" s="93">
        <v>3.06</v>
      </c>
      <c r="H5920" s="93">
        <v>0</v>
      </c>
      <c r="N5920" s="88"/>
      <c r="O5920" s="88"/>
      <c r="P5920" s="88"/>
    </row>
    <row r="5921" spans="1:16">
      <c r="A5921" s="94">
        <v>87384</v>
      </c>
      <c r="B5921" s="87" t="s">
        <v>4847</v>
      </c>
      <c r="C5921" s="12" t="s">
        <v>5</v>
      </c>
      <c r="D5921" s="93">
        <v>1074.24</v>
      </c>
      <c r="E5921" s="93">
        <v>49.36</v>
      </c>
      <c r="F5921" s="93">
        <v>1020.72</v>
      </c>
      <c r="G5921" s="93">
        <v>2.2400000000000002</v>
      </c>
      <c r="H5921" s="93">
        <v>0</v>
      </c>
      <c r="N5921" s="88"/>
      <c r="O5921" s="88"/>
      <c r="P5921" s="88"/>
    </row>
    <row r="5922" spans="1:16">
      <c r="A5922" s="94">
        <v>87385</v>
      </c>
      <c r="B5922" s="87" t="s">
        <v>4848</v>
      </c>
      <c r="C5922" s="12" t="s">
        <v>5</v>
      </c>
      <c r="D5922" s="93">
        <v>1284.1600000000001</v>
      </c>
      <c r="E5922" s="93">
        <v>108.99</v>
      </c>
      <c r="F5922" s="93">
        <v>1168.8</v>
      </c>
      <c r="G5922" s="93">
        <v>4.47</v>
      </c>
      <c r="H5922" s="93">
        <v>0</v>
      </c>
      <c r="N5922" s="88"/>
      <c r="O5922" s="88"/>
      <c r="P5922" s="88"/>
    </row>
    <row r="5923" spans="1:16">
      <c r="A5923" s="94">
        <v>87386</v>
      </c>
      <c r="B5923" s="87" t="s">
        <v>4849</v>
      </c>
      <c r="C5923" s="12" t="s">
        <v>5</v>
      </c>
      <c r="D5923" s="93">
        <v>1263.9100000000001</v>
      </c>
      <c r="E5923" s="93">
        <v>82.36</v>
      </c>
      <c r="F5923" s="93">
        <v>1175.6099999999999</v>
      </c>
      <c r="G5923" s="93">
        <v>3.54</v>
      </c>
      <c r="H5923" s="93">
        <v>0</v>
      </c>
      <c r="N5923" s="88"/>
      <c r="O5923" s="88"/>
      <c r="P5923" s="88"/>
    </row>
    <row r="5924" spans="1:16">
      <c r="A5924" s="94">
        <v>87387</v>
      </c>
      <c r="B5924" s="87" t="s">
        <v>4850</v>
      </c>
      <c r="C5924" s="12" t="s">
        <v>5</v>
      </c>
      <c r="D5924" s="93">
        <v>1244.43</v>
      </c>
      <c r="E5924" s="93">
        <v>57.7</v>
      </c>
      <c r="F5924" s="93">
        <v>1181.92</v>
      </c>
      <c r="G5924" s="93">
        <v>2.59</v>
      </c>
      <c r="H5924" s="93">
        <v>0</v>
      </c>
      <c r="N5924" s="88"/>
      <c r="O5924" s="88"/>
      <c r="P5924" s="88"/>
    </row>
    <row r="5925" spans="1:16">
      <c r="A5925" s="94">
        <v>87388</v>
      </c>
      <c r="B5925" s="87" t="s">
        <v>4851</v>
      </c>
      <c r="C5925" s="12" t="s">
        <v>5</v>
      </c>
      <c r="D5925" s="93">
        <v>2998.11</v>
      </c>
      <c r="E5925" s="93">
        <v>91.99</v>
      </c>
      <c r="F5925" s="93">
        <v>2900.73</v>
      </c>
      <c r="G5925" s="93">
        <v>3.78</v>
      </c>
      <c r="H5925" s="93">
        <v>0</v>
      </c>
      <c r="N5925" s="88"/>
      <c r="O5925" s="88"/>
      <c r="P5925" s="88"/>
    </row>
    <row r="5926" spans="1:16">
      <c r="A5926" s="94">
        <v>87389</v>
      </c>
      <c r="B5926" s="87" t="s">
        <v>4852</v>
      </c>
      <c r="C5926" s="12" t="s">
        <v>5</v>
      </c>
      <c r="D5926" s="93">
        <v>2997.55</v>
      </c>
      <c r="E5926" s="93">
        <v>71.09</v>
      </c>
      <c r="F5926" s="93">
        <v>2921.35</v>
      </c>
      <c r="G5926" s="93">
        <v>3.04</v>
      </c>
      <c r="H5926" s="93">
        <v>0</v>
      </c>
      <c r="N5926" s="88"/>
      <c r="O5926" s="88"/>
      <c r="P5926" s="88"/>
    </row>
    <row r="5927" spans="1:16">
      <c r="A5927" s="94">
        <v>87390</v>
      </c>
      <c r="B5927" s="87" t="s">
        <v>4853</v>
      </c>
      <c r="C5927" s="12" t="s">
        <v>5</v>
      </c>
      <c r="D5927" s="93">
        <v>2998.38</v>
      </c>
      <c r="E5927" s="93">
        <v>49.36</v>
      </c>
      <c r="F5927" s="93">
        <v>2944.86</v>
      </c>
      <c r="G5927" s="93">
        <v>2.2400000000000002</v>
      </c>
      <c r="H5927" s="93">
        <v>0</v>
      </c>
      <c r="N5927" s="88"/>
      <c r="O5927" s="88"/>
      <c r="P5927" s="88"/>
    </row>
    <row r="5928" spans="1:16">
      <c r="A5928" s="94">
        <v>87391</v>
      </c>
      <c r="B5928" s="87" t="s">
        <v>4854</v>
      </c>
      <c r="C5928" s="12" t="s">
        <v>5</v>
      </c>
      <c r="D5928" s="93">
        <v>3353.87</v>
      </c>
      <c r="E5928" s="93">
        <v>119.24</v>
      </c>
      <c r="F5928" s="93">
        <v>3227.64</v>
      </c>
      <c r="G5928" s="93">
        <v>4.9000000000000004</v>
      </c>
      <c r="H5928" s="93">
        <v>0</v>
      </c>
      <c r="N5928" s="88"/>
      <c r="O5928" s="88"/>
      <c r="P5928" s="88"/>
    </row>
    <row r="5929" spans="1:16">
      <c r="A5929" s="94">
        <v>87393</v>
      </c>
      <c r="B5929" s="87" t="s">
        <v>4855</v>
      </c>
      <c r="C5929" s="12" t="s">
        <v>5</v>
      </c>
      <c r="D5929" s="93">
        <v>3370.31</v>
      </c>
      <c r="E5929" s="93">
        <v>96.7</v>
      </c>
      <c r="F5929" s="93">
        <v>3266.65</v>
      </c>
      <c r="G5929" s="93">
        <v>4.1500000000000004</v>
      </c>
      <c r="H5929" s="93">
        <v>0</v>
      </c>
      <c r="N5929" s="88"/>
      <c r="O5929" s="88"/>
      <c r="P5929" s="88"/>
    </row>
    <row r="5930" spans="1:16">
      <c r="A5930" s="94">
        <v>87394</v>
      </c>
      <c r="B5930" s="87" t="s">
        <v>4856</v>
      </c>
      <c r="C5930" s="12" t="s">
        <v>5</v>
      </c>
      <c r="D5930" s="93">
        <v>3381.44</v>
      </c>
      <c r="E5930" s="93">
        <v>70.39</v>
      </c>
      <c r="F5930" s="93">
        <v>3305.26</v>
      </c>
      <c r="G5930" s="93">
        <v>3.11</v>
      </c>
      <c r="H5930" s="93">
        <v>0</v>
      </c>
      <c r="N5930" s="88"/>
      <c r="O5930" s="88"/>
      <c r="P5930" s="88"/>
    </row>
    <row r="5931" spans="1:16">
      <c r="A5931" s="94">
        <v>87395</v>
      </c>
      <c r="B5931" s="87" t="s">
        <v>4857</v>
      </c>
      <c r="C5931" s="12" t="s">
        <v>5</v>
      </c>
      <c r="D5931" s="93">
        <v>2141.7800000000002</v>
      </c>
      <c r="E5931" s="93">
        <v>119.24</v>
      </c>
      <c r="F5931" s="93">
        <v>2015.55</v>
      </c>
      <c r="G5931" s="93">
        <v>4.9000000000000004</v>
      </c>
      <c r="H5931" s="93">
        <v>0</v>
      </c>
      <c r="N5931" s="88"/>
      <c r="O5931" s="88"/>
      <c r="P5931" s="88"/>
    </row>
    <row r="5932" spans="1:16">
      <c r="A5932" s="94">
        <v>87396</v>
      </c>
      <c r="B5932" s="87" t="s">
        <v>4858</v>
      </c>
      <c r="C5932" s="12" t="s">
        <v>5</v>
      </c>
      <c r="D5932" s="93">
        <v>2141.9499999999998</v>
      </c>
      <c r="E5932" s="93">
        <v>96.7</v>
      </c>
      <c r="F5932" s="93">
        <v>2038.29</v>
      </c>
      <c r="G5932" s="93">
        <v>4.1500000000000004</v>
      </c>
      <c r="H5932" s="93">
        <v>0</v>
      </c>
      <c r="N5932" s="88"/>
      <c r="O5932" s="88"/>
      <c r="P5932" s="88"/>
    </row>
    <row r="5933" spans="1:16">
      <c r="A5933" s="94">
        <v>87397</v>
      </c>
      <c r="B5933" s="87" t="s">
        <v>4859</v>
      </c>
      <c r="C5933" s="12" t="s">
        <v>5</v>
      </c>
      <c r="D5933" s="93">
        <v>2137.5300000000002</v>
      </c>
      <c r="E5933" s="93">
        <v>70.39</v>
      </c>
      <c r="F5933" s="93">
        <v>2061.35</v>
      </c>
      <c r="G5933" s="93">
        <v>3.11</v>
      </c>
      <c r="H5933" s="93">
        <v>0</v>
      </c>
      <c r="N5933" s="88"/>
      <c r="O5933" s="88"/>
      <c r="P5933" s="88"/>
    </row>
    <row r="5934" spans="1:16">
      <c r="A5934" s="94">
        <v>87398</v>
      </c>
      <c r="B5934" s="87" t="s">
        <v>4860</v>
      </c>
      <c r="C5934" s="12" t="s">
        <v>5</v>
      </c>
      <c r="D5934" s="93">
        <v>1210.83</v>
      </c>
      <c r="E5934" s="93">
        <v>133.94</v>
      </c>
      <c r="F5934" s="93">
        <v>1076.8900000000001</v>
      </c>
      <c r="G5934" s="93">
        <v>0</v>
      </c>
      <c r="H5934" s="93">
        <v>0</v>
      </c>
      <c r="N5934" s="88"/>
      <c r="O5934" s="88"/>
      <c r="P5934" s="88"/>
    </row>
    <row r="5935" spans="1:16">
      <c r="A5935" s="94">
        <v>87399</v>
      </c>
      <c r="B5935" s="87" t="s">
        <v>4861</v>
      </c>
      <c r="C5935" s="12" t="s">
        <v>5</v>
      </c>
      <c r="D5935" s="93">
        <v>1382.53</v>
      </c>
      <c r="E5935" s="93">
        <v>143.94</v>
      </c>
      <c r="F5935" s="93">
        <v>1238.5899999999999</v>
      </c>
      <c r="G5935" s="93">
        <v>0</v>
      </c>
      <c r="H5935" s="93">
        <v>0</v>
      </c>
      <c r="N5935" s="88"/>
      <c r="O5935" s="88"/>
      <c r="P5935" s="88"/>
    </row>
    <row r="5936" spans="1:16">
      <c r="A5936" s="94">
        <v>87401</v>
      </c>
      <c r="B5936" s="87" t="s">
        <v>4862</v>
      </c>
      <c r="C5936" s="12" t="s">
        <v>5</v>
      </c>
      <c r="D5936" s="93">
        <v>3510.23</v>
      </c>
      <c r="E5936" s="93">
        <v>167.89</v>
      </c>
      <c r="F5936" s="93">
        <v>3342.34</v>
      </c>
      <c r="G5936" s="93">
        <v>0</v>
      </c>
      <c r="H5936" s="93">
        <v>0</v>
      </c>
      <c r="N5936" s="88"/>
      <c r="O5936" s="88"/>
      <c r="P5936" s="88"/>
    </row>
    <row r="5937" spans="1:16">
      <c r="A5937" s="94">
        <v>87402</v>
      </c>
      <c r="B5937" s="87" t="s">
        <v>4863</v>
      </c>
      <c r="C5937" s="12" t="s">
        <v>5</v>
      </c>
      <c r="D5937" s="93">
        <v>2273.33</v>
      </c>
      <c r="E5937" s="93">
        <v>167.89</v>
      </c>
      <c r="F5937" s="93">
        <v>2105.44</v>
      </c>
      <c r="G5937" s="93">
        <v>0</v>
      </c>
      <c r="H5937" s="93">
        <v>0</v>
      </c>
      <c r="N5937" s="88"/>
      <c r="O5937" s="88"/>
      <c r="P5937" s="88"/>
    </row>
    <row r="5938" spans="1:16">
      <c r="A5938" s="94">
        <v>87404</v>
      </c>
      <c r="B5938" s="87" t="s">
        <v>4864</v>
      </c>
      <c r="C5938" s="12" t="s">
        <v>5</v>
      </c>
      <c r="D5938" s="93">
        <v>3139.49</v>
      </c>
      <c r="E5938" s="93">
        <v>128.66999999999999</v>
      </c>
      <c r="F5938" s="93">
        <v>2977.93</v>
      </c>
      <c r="G5938" s="93">
        <v>30.28</v>
      </c>
      <c r="H5938" s="93">
        <v>0</v>
      </c>
      <c r="N5938" s="88"/>
      <c r="O5938" s="88"/>
      <c r="P5938" s="88"/>
    </row>
    <row r="5939" spans="1:16">
      <c r="A5939" s="94">
        <v>87405</v>
      </c>
      <c r="B5939" s="87" t="s">
        <v>474</v>
      </c>
      <c r="C5939" s="12" t="s">
        <v>5</v>
      </c>
      <c r="D5939" s="93">
        <v>3127.75</v>
      </c>
      <c r="E5939" s="93">
        <v>96.5</v>
      </c>
      <c r="F5939" s="93">
        <v>2999.22</v>
      </c>
      <c r="G5939" s="93">
        <v>30.08</v>
      </c>
      <c r="H5939" s="93">
        <v>0</v>
      </c>
      <c r="N5939" s="88"/>
      <c r="O5939" s="88"/>
      <c r="P5939" s="88"/>
    </row>
    <row r="5940" spans="1:16">
      <c r="A5940" s="94">
        <v>87407</v>
      </c>
      <c r="B5940" s="87" t="s">
        <v>4865</v>
      </c>
      <c r="C5940" s="12" t="s">
        <v>5</v>
      </c>
      <c r="D5940" s="93">
        <v>1129.33</v>
      </c>
      <c r="E5940" s="93">
        <v>86.86</v>
      </c>
      <c r="F5940" s="93">
        <v>1018.5</v>
      </c>
      <c r="G5940" s="93">
        <v>21.36</v>
      </c>
      <c r="H5940" s="93">
        <v>0</v>
      </c>
      <c r="N5940" s="88"/>
      <c r="O5940" s="88"/>
      <c r="P5940" s="88"/>
    </row>
    <row r="5941" spans="1:16">
      <c r="A5941" s="94">
        <v>87408</v>
      </c>
      <c r="B5941" s="87" t="s">
        <v>475</v>
      </c>
      <c r="C5941" s="12" t="s">
        <v>5</v>
      </c>
      <c r="D5941" s="93">
        <v>1109.18</v>
      </c>
      <c r="E5941" s="93">
        <v>65.150000000000006</v>
      </c>
      <c r="F5941" s="93">
        <v>1020.85</v>
      </c>
      <c r="G5941" s="93">
        <v>21.23</v>
      </c>
      <c r="H5941" s="93">
        <v>0</v>
      </c>
      <c r="N5941" s="88"/>
      <c r="O5941" s="88"/>
      <c r="P5941" s="88"/>
    </row>
    <row r="5942" spans="1:16">
      <c r="A5942" s="94">
        <v>87410</v>
      </c>
      <c r="B5942" s="87" t="s">
        <v>4866</v>
      </c>
      <c r="C5942" s="12" t="s">
        <v>5</v>
      </c>
      <c r="D5942" s="93">
        <v>809.02</v>
      </c>
      <c r="E5942" s="93">
        <v>121.08</v>
      </c>
      <c r="F5942" s="93">
        <v>656.67</v>
      </c>
      <c r="G5942" s="93">
        <v>28.66</v>
      </c>
      <c r="H5942" s="93">
        <v>0</v>
      </c>
      <c r="N5942" s="88"/>
      <c r="O5942" s="88"/>
      <c r="P5942" s="88"/>
    </row>
    <row r="5943" spans="1:16">
      <c r="A5943" s="94">
        <v>88626</v>
      </c>
      <c r="B5943" s="87" t="s">
        <v>4867</v>
      </c>
      <c r="C5943" s="12" t="s">
        <v>5</v>
      </c>
      <c r="D5943" s="93">
        <v>455.47</v>
      </c>
      <c r="E5943" s="93">
        <v>79.5</v>
      </c>
      <c r="F5943" s="93">
        <v>373.89</v>
      </c>
      <c r="G5943" s="93">
        <v>1.17</v>
      </c>
      <c r="H5943" s="93">
        <v>0</v>
      </c>
      <c r="N5943" s="88"/>
      <c r="O5943" s="88"/>
      <c r="P5943" s="88"/>
    </row>
    <row r="5944" spans="1:16">
      <c r="A5944" s="94">
        <v>88627</v>
      </c>
      <c r="B5944" s="87" t="s">
        <v>4868</v>
      </c>
      <c r="C5944" s="12" t="s">
        <v>5</v>
      </c>
      <c r="D5944" s="93">
        <v>492.21</v>
      </c>
      <c r="E5944" s="93">
        <v>93.41</v>
      </c>
      <c r="F5944" s="93">
        <v>398.8</v>
      </c>
      <c r="G5944" s="93">
        <v>0</v>
      </c>
      <c r="H5944" s="93">
        <v>0</v>
      </c>
      <c r="N5944" s="88"/>
      <c r="O5944" s="88"/>
      <c r="P5944" s="88"/>
    </row>
    <row r="5945" spans="1:16">
      <c r="A5945" s="94">
        <v>88628</v>
      </c>
      <c r="B5945" s="87" t="s">
        <v>4869</v>
      </c>
      <c r="C5945" s="12" t="s">
        <v>5</v>
      </c>
      <c r="D5945" s="93">
        <v>447.3</v>
      </c>
      <c r="E5945" s="93">
        <v>70.069999999999993</v>
      </c>
      <c r="F5945" s="93">
        <v>375.38</v>
      </c>
      <c r="G5945" s="93">
        <v>1.04</v>
      </c>
      <c r="H5945" s="93">
        <v>0</v>
      </c>
      <c r="N5945" s="88"/>
      <c r="O5945" s="88"/>
      <c r="P5945" s="88"/>
    </row>
    <row r="5946" spans="1:16">
      <c r="A5946" s="94">
        <v>88629</v>
      </c>
      <c r="B5946" s="87" t="s">
        <v>4870</v>
      </c>
      <c r="C5946" s="12" t="s">
        <v>5</v>
      </c>
      <c r="D5946" s="93">
        <v>491.86</v>
      </c>
      <c r="E5946" s="93">
        <v>91.17</v>
      </c>
      <c r="F5946" s="93">
        <v>400.69</v>
      </c>
      <c r="G5946" s="93">
        <v>0</v>
      </c>
      <c r="H5946" s="93">
        <v>0</v>
      </c>
      <c r="N5946" s="88"/>
      <c r="O5946" s="88"/>
      <c r="P5946" s="88"/>
    </row>
    <row r="5947" spans="1:16">
      <c r="A5947" s="94">
        <v>88630</v>
      </c>
      <c r="B5947" s="87" t="s">
        <v>4871</v>
      </c>
      <c r="C5947" s="12" t="s">
        <v>5</v>
      </c>
      <c r="D5947" s="93">
        <v>401.56</v>
      </c>
      <c r="E5947" s="93">
        <v>68.849999999999994</v>
      </c>
      <c r="F5947" s="93">
        <v>330.9</v>
      </c>
      <c r="G5947" s="93">
        <v>1.02</v>
      </c>
      <c r="H5947" s="93">
        <v>0</v>
      </c>
      <c r="N5947" s="88"/>
      <c r="O5947" s="88"/>
      <c r="P5947" s="88"/>
    </row>
    <row r="5948" spans="1:16">
      <c r="A5948" s="94">
        <v>88631</v>
      </c>
      <c r="B5948" s="87" t="s">
        <v>4872</v>
      </c>
      <c r="C5948" s="12" t="s">
        <v>5</v>
      </c>
      <c r="D5948" s="93">
        <v>451.25</v>
      </c>
      <c r="E5948" s="93">
        <v>88.2</v>
      </c>
      <c r="F5948" s="93">
        <v>363.05</v>
      </c>
      <c r="G5948" s="93">
        <v>0</v>
      </c>
      <c r="H5948" s="93">
        <v>0</v>
      </c>
      <c r="N5948" s="88"/>
      <c r="O5948" s="88"/>
      <c r="P5948" s="88"/>
    </row>
    <row r="5949" spans="1:16">
      <c r="A5949" s="94">
        <v>88715</v>
      </c>
      <c r="B5949" s="87" t="s">
        <v>4873</v>
      </c>
      <c r="C5949" s="12" t="s">
        <v>5</v>
      </c>
      <c r="D5949" s="93">
        <v>459.93</v>
      </c>
      <c r="E5949" s="93">
        <v>87.29</v>
      </c>
      <c r="F5949" s="93">
        <v>370.35</v>
      </c>
      <c r="G5949" s="93">
        <v>1.29</v>
      </c>
      <c r="H5949" s="93">
        <v>0</v>
      </c>
      <c r="N5949" s="88"/>
      <c r="O5949" s="88"/>
      <c r="P5949" s="88"/>
    </row>
    <row r="5950" spans="1:16">
      <c r="A5950" s="94">
        <v>95563</v>
      </c>
      <c r="B5950" s="87" t="s">
        <v>4874</v>
      </c>
      <c r="C5950" s="12" t="s">
        <v>5</v>
      </c>
      <c r="D5950" s="93">
        <v>616.17999999999995</v>
      </c>
      <c r="E5950" s="93">
        <v>117.01</v>
      </c>
      <c r="F5950" s="93">
        <v>482.37</v>
      </c>
      <c r="G5950" s="93">
        <v>12.96</v>
      </c>
      <c r="H5950" s="93">
        <v>0</v>
      </c>
      <c r="N5950" s="88"/>
      <c r="O5950" s="88"/>
      <c r="P5950" s="88"/>
    </row>
    <row r="5951" spans="1:16">
      <c r="A5951" s="94">
        <v>100464</v>
      </c>
      <c r="B5951" s="87" t="s">
        <v>4875</v>
      </c>
      <c r="C5951" s="12" t="s">
        <v>5</v>
      </c>
      <c r="D5951" s="93">
        <v>485.19</v>
      </c>
      <c r="E5951" s="93">
        <v>109</v>
      </c>
      <c r="F5951" s="93">
        <v>369.82</v>
      </c>
      <c r="G5951" s="93">
        <v>4.47</v>
      </c>
      <c r="H5951" s="93">
        <v>0</v>
      </c>
      <c r="N5951" s="88"/>
      <c r="O5951" s="88"/>
      <c r="P5951" s="88"/>
    </row>
    <row r="5952" spans="1:16">
      <c r="A5952" s="94">
        <v>100465</v>
      </c>
      <c r="B5952" s="87" t="s">
        <v>4876</v>
      </c>
      <c r="C5952" s="12" t="s">
        <v>5</v>
      </c>
      <c r="D5952" s="93">
        <v>442.97</v>
      </c>
      <c r="E5952" s="93">
        <v>71.92</v>
      </c>
      <c r="F5952" s="93">
        <v>365.89</v>
      </c>
      <c r="G5952" s="93">
        <v>3.07</v>
      </c>
      <c r="H5952" s="93">
        <v>0</v>
      </c>
      <c r="N5952" s="88"/>
      <c r="O5952" s="88"/>
      <c r="P5952" s="88"/>
    </row>
    <row r="5953" spans="1:16">
      <c r="A5953" s="94">
        <v>100466</v>
      </c>
      <c r="B5953" s="87" t="s">
        <v>4877</v>
      </c>
      <c r="C5953" s="12" t="s">
        <v>5</v>
      </c>
      <c r="D5953" s="93">
        <v>417.2</v>
      </c>
      <c r="E5953" s="93">
        <v>47.95</v>
      </c>
      <c r="F5953" s="93">
        <v>365.28</v>
      </c>
      <c r="G5953" s="93">
        <v>2.13</v>
      </c>
      <c r="H5953" s="93">
        <v>0</v>
      </c>
      <c r="N5953" s="88"/>
      <c r="O5953" s="88"/>
      <c r="P5953" s="88"/>
    </row>
    <row r="5954" spans="1:16">
      <c r="A5954" s="94">
        <v>100468</v>
      </c>
      <c r="B5954" s="87" t="s">
        <v>4878</v>
      </c>
      <c r="C5954" s="12" t="s">
        <v>5</v>
      </c>
      <c r="D5954" s="93">
        <v>555.95000000000005</v>
      </c>
      <c r="E5954" s="93">
        <v>139.13</v>
      </c>
      <c r="F5954" s="93">
        <v>377.26</v>
      </c>
      <c r="G5954" s="93">
        <v>37.130000000000003</v>
      </c>
      <c r="H5954" s="93">
        <v>0</v>
      </c>
      <c r="N5954" s="88"/>
      <c r="O5954" s="88"/>
      <c r="P5954" s="88"/>
    </row>
    <row r="5955" spans="1:16">
      <c r="A5955" s="94">
        <v>100469</v>
      </c>
      <c r="B5955" s="87" t="s">
        <v>4879</v>
      </c>
      <c r="C5955" s="12" t="s">
        <v>5</v>
      </c>
      <c r="D5955" s="93">
        <v>438.77</v>
      </c>
      <c r="E5955" s="93">
        <v>66.59</v>
      </c>
      <c r="F5955" s="93">
        <v>367.39</v>
      </c>
      <c r="G5955" s="93">
        <v>2.85</v>
      </c>
      <c r="H5955" s="93">
        <v>0</v>
      </c>
      <c r="N5955" s="88"/>
      <c r="O5955" s="88"/>
      <c r="P5955" s="88"/>
    </row>
    <row r="5956" spans="1:16">
      <c r="A5956" s="94">
        <v>100470</v>
      </c>
      <c r="B5956" s="87" t="s">
        <v>4880</v>
      </c>
      <c r="C5956" s="12" t="s">
        <v>5</v>
      </c>
      <c r="D5956" s="93">
        <v>406.1</v>
      </c>
      <c r="E5956" s="93">
        <v>66.59</v>
      </c>
      <c r="F5956" s="93">
        <v>337.76</v>
      </c>
      <c r="G5956" s="93">
        <v>0.98</v>
      </c>
      <c r="H5956" s="93">
        <v>0</v>
      </c>
      <c r="N5956" s="88"/>
      <c r="O5956" s="88"/>
      <c r="P5956" s="88"/>
    </row>
    <row r="5957" spans="1:16">
      <c r="A5957" s="94">
        <v>100472</v>
      </c>
      <c r="B5957" s="87" t="s">
        <v>4881</v>
      </c>
      <c r="C5957" s="12" t="s">
        <v>5</v>
      </c>
      <c r="D5957" s="93">
        <v>462.98</v>
      </c>
      <c r="E5957" s="93">
        <v>117.61</v>
      </c>
      <c r="F5957" s="93">
        <v>338.48</v>
      </c>
      <c r="G5957" s="93">
        <v>4.83</v>
      </c>
      <c r="H5957" s="93">
        <v>0</v>
      </c>
      <c r="N5957" s="88"/>
      <c r="O5957" s="88"/>
      <c r="P5957" s="88"/>
    </row>
    <row r="5958" spans="1:16">
      <c r="A5958" s="94">
        <v>100473</v>
      </c>
      <c r="B5958" s="87" t="s">
        <v>4882</v>
      </c>
      <c r="C5958" s="12" t="s">
        <v>5</v>
      </c>
      <c r="D5958" s="93">
        <v>409.92</v>
      </c>
      <c r="E5958" s="93">
        <v>72.33</v>
      </c>
      <c r="F5958" s="93">
        <v>332.42</v>
      </c>
      <c r="G5958" s="93">
        <v>3.08</v>
      </c>
      <c r="H5958" s="93">
        <v>0</v>
      </c>
      <c r="N5958" s="88"/>
      <c r="O5958" s="88"/>
      <c r="P5958" s="88"/>
    </row>
    <row r="5959" spans="1:16">
      <c r="A5959" s="94">
        <v>100474</v>
      </c>
      <c r="B5959" s="87" t="s">
        <v>4883</v>
      </c>
      <c r="C5959" s="12" t="s">
        <v>5</v>
      </c>
      <c r="D5959" s="93">
        <v>381.32</v>
      </c>
      <c r="E5959" s="93">
        <v>45.6</v>
      </c>
      <c r="F5959" s="93">
        <v>332</v>
      </c>
      <c r="G5959" s="93">
        <v>2</v>
      </c>
      <c r="H5959" s="93">
        <v>0</v>
      </c>
      <c r="N5959" s="88"/>
      <c r="O5959" s="88"/>
      <c r="P5959" s="88"/>
    </row>
    <row r="5960" spans="1:16">
      <c r="A5960" s="94">
        <v>100475</v>
      </c>
      <c r="B5960" s="87" t="s">
        <v>4884</v>
      </c>
      <c r="C5960" s="12" t="s">
        <v>5</v>
      </c>
      <c r="D5960" s="93">
        <v>557.86</v>
      </c>
      <c r="E5960" s="93">
        <v>76.83</v>
      </c>
      <c r="F5960" s="93">
        <v>479.01</v>
      </c>
      <c r="G5960" s="93">
        <v>1.1399999999999999</v>
      </c>
      <c r="H5960" s="93">
        <v>0</v>
      </c>
      <c r="N5960" s="88"/>
      <c r="O5960" s="88"/>
      <c r="P5960" s="88"/>
    </row>
    <row r="5961" spans="1:16">
      <c r="A5961" s="94">
        <v>100477</v>
      </c>
      <c r="B5961" s="87" t="s">
        <v>4885</v>
      </c>
      <c r="C5961" s="12" t="s">
        <v>5</v>
      </c>
      <c r="D5961" s="93">
        <v>629.9</v>
      </c>
      <c r="E5961" s="93">
        <v>145.88999999999999</v>
      </c>
      <c r="F5961" s="93">
        <v>475.47</v>
      </c>
      <c r="G5961" s="93">
        <v>5.99</v>
      </c>
      <c r="H5961" s="93">
        <v>0</v>
      </c>
      <c r="N5961" s="88"/>
      <c r="O5961" s="88"/>
      <c r="P5961" s="88"/>
    </row>
    <row r="5962" spans="1:16">
      <c r="A5962" s="94">
        <v>100478</v>
      </c>
      <c r="B5962" s="87" t="s">
        <v>4886</v>
      </c>
      <c r="C5962" s="12" t="s">
        <v>5</v>
      </c>
      <c r="D5962" s="93">
        <v>546.86</v>
      </c>
      <c r="E5962" s="93">
        <v>73.34</v>
      </c>
      <c r="F5962" s="93">
        <v>468.26</v>
      </c>
      <c r="G5962" s="93">
        <v>3.14</v>
      </c>
      <c r="H5962" s="93">
        <v>0</v>
      </c>
      <c r="N5962" s="88"/>
      <c r="O5962" s="88"/>
      <c r="P5962" s="88"/>
    </row>
    <row r="5963" spans="1:16">
      <c r="A5963" s="94">
        <v>100479</v>
      </c>
      <c r="B5963" s="87" t="s">
        <v>4887</v>
      </c>
      <c r="C5963" s="12" t="s">
        <v>5</v>
      </c>
      <c r="D5963" s="93">
        <v>522.95000000000005</v>
      </c>
      <c r="E5963" s="93">
        <v>50.85</v>
      </c>
      <c r="F5963" s="93">
        <v>467.94</v>
      </c>
      <c r="G5963" s="93">
        <v>2.2400000000000002</v>
      </c>
      <c r="H5963" s="93">
        <v>0</v>
      </c>
      <c r="N5963" s="88"/>
      <c r="O5963" s="88"/>
      <c r="P5963" s="88"/>
    </row>
    <row r="5964" spans="1:16">
      <c r="A5964" s="94">
        <v>100480</v>
      </c>
      <c r="B5964" s="87" t="s">
        <v>4888</v>
      </c>
      <c r="C5964" s="12" t="s">
        <v>5</v>
      </c>
      <c r="D5964" s="93">
        <v>598.70000000000005</v>
      </c>
      <c r="E5964" s="93">
        <v>94.69</v>
      </c>
      <c r="F5964" s="93">
        <v>504.01</v>
      </c>
      <c r="G5964" s="93">
        <v>0</v>
      </c>
      <c r="H5964" s="93">
        <v>0</v>
      </c>
      <c r="N5964" s="88"/>
      <c r="O5964" s="88"/>
      <c r="P5964" s="88"/>
    </row>
    <row r="5965" spans="1:16">
      <c r="A5965" s="94">
        <v>100481</v>
      </c>
      <c r="B5965" s="87" t="s">
        <v>4889</v>
      </c>
      <c r="C5965" s="12" t="s">
        <v>5</v>
      </c>
      <c r="D5965" s="93">
        <v>494.87</v>
      </c>
      <c r="E5965" s="93">
        <v>71.91</v>
      </c>
      <c r="F5965" s="93">
        <v>421.06</v>
      </c>
      <c r="G5965" s="93">
        <v>1.07</v>
      </c>
      <c r="H5965" s="93">
        <v>0</v>
      </c>
      <c r="N5965" s="88"/>
      <c r="O5965" s="88"/>
      <c r="P5965" s="88"/>
    </row>
    <row r="5966" spans="1:16">
      <c r="A5966" s="94">
        <v>100483</v>
      </c>
      <c r="B5966" s="87" t="s">
        <v>4890</v>
      </c>
      <c r="C5966" s="12" t="s">
        <v>5</v>
      </c>
      <c r="D5966" s="93">
        <v>548.13</v>
      </c>
      <c r="E5966" s="93">
        <v>123.14</v>
      </c>
      <c r="F5966" s="93">
        <v>417.78</v>
      </c>
      <c r="G5966" s="93">
        <v>5.0599999999999996</v>
      </c>
      <c r="H5966" s="93">
        <v>0</v>
      </c>
      <c r="N5966" s="88"/>
      <c r="O5966" s="88"/>
      <c r="P5966" s="88"/>
    </row>
    <row r="5967" spans="1:16">
      <c r="A5967" s="94">
        <v>100484</v>
      </c>
      <c r="B5967" s="87" t="s">
        <v>4891</v>
      </c>
      <c r="C5967" s="12" t="s">
        <v>5</v>
      </c>
      <c r="D5967" s="93">
        <v>495.81</v>
      </c>
      <c r="E5967" s="93">
        <v>77.849999999999994</v>
      </c>
      <c r="F5967" s="93">
        <v>412.34</v>
      </c>
      <c r="G5967" s="93">
        <v>3.35</v>
      </c>
      <c r="H5967" s="93">
        <v>0</v>
      </c>
      <c r="N5967" s="88"/>
      <c r="O5967" s="88"/>
      <c r="P5967" s="88"/>
    </row>
    <row r="5968" spans="1:16">
      <c r="A5968" s="94">
        <v>100485</v>
      </c>
      <c r="B5968" s="87" t="s">
        <v>4892</v>
      </c>
      <c r="C5968" s="12" t="s">
        <v>5</v>
      </c>
      <c r="D5968" s="93">
        <v>467.94</v>
      </c>
      <c r="E5968" s="93">
        <v>50.55</v>
      </c>
      <c r="F5968" s="93">
        <v>413.26</v>
      </c>
      <c r="G5968" s="93">
        <v>2.21</v>
      </c>
      <c r="H5968" s="93">
        <v>0</v>
      </c>
      <c r="N5968" s="88"/>
      <c r="O5968" s="88"/>
      <c r="P5968" s="88"/>
    </row>
    <row r="5969" spans="1:16">
      <c r="A5969" s="94">
        <v>100486</v>
      </c>
      <c r="B5969" s="87" t="s">
        <v>4893</v>
      </c>
      <c r="C5969" s="12" t="s">
        <v>5</v>
      </c>
      <c r="D5969" s="93">
        <v>541.39</v>
      </c>
      <c r="E5969" s="93">
        <v>90.96</v>
      </c>
      <c r="F5969" s="93">
        <v>450.43</v>
      </c>
      <c r="G5969" s="93">
        <v>0</v>
      </c>
      <c r="H5969" s="93">
        <v>0</v>
      </c>
      <c r="N5969" s="88"/>
      <c r="O5969" s="88"/>
      <c r="P5969" s="88"/>
    </row>
    <row r="5970" spans="1:16">
      <c r="A5970" s="94">
        <v>100487</v>
      </c>
      <c r="B5970" s="87" t="s">
        <v>4894</v>
      </c>
      <c r="C5970" s="12" t="s">
        <v>5</v>
      </c>
      <c r="D5970" s="93">
        <v>428.39</v>
      </c>
      <c r="E5970" s="93">
        <v>63.76</v>
      </c>
      <c r="F5970" s="93">
        <v>359.23</v>
      </c>
      <c r="G5970" s="93">
        <v>2.91</v>
      </c>
      <c r="H5970" s="93">
        <v>0</v>
      </c>
      <c r="N5970" s="88"/>
      <c r="O5970" s="88"/>
      <c r="P5970" s="88"/>
    </row>
    <row r="5971" spans="1:16">
      <c r="A5971" s="94">
        <v>100488</v>
      </c>
      <c r="B5971" s="87" t="s">
        <v>4895</v>
      </c>
      <c r="C5971" s="12" t="s">
        <v>5</v>
      </c>
      <c r="D5971" s="93">
        <v>437.57</v>
      </c>
      <c r="E5971" s="93">
        <v>59.1</v>
      </c>
      <c r="F5971" s="93">
        <v>374.11</v>
      </c>
      <c r="G5971" s="93">
        <v>3.18</v>
      </c>
      <c r="H5971" s="93">
        <v>0</v>
      </c>
      <c r="N5971" s="88"/>
      <c r="O5971" s="88"/>
      <c r="P5971" s="88"/>
    </row>
    <row r="5972" spans="1:16">
      <c r="A5972" s="94">
        <v>100489</v>
      </c>
      <c r="B5972" s="87" t="s">
        <v>4896</v>
      </c>
      <c r="C5972" s="12" t="s">
        <v>5</v>
      </c>
      <c r="D5972" s="93">
        <v>437.37</v>
      </c>
      <c r="E5972" s="93">
        <v>57.97</v>
      </c>
      <c r="F5972" s="93">
        <v>375.11</v>
      </c>
      <c r="G5972" s="93">
        <v>3.13</v>
      </c>
      <c r="H5972" s="93">
        <v>0</v>
      </c>
      <c r="N5972" s="88"/>
      <c r="O5972" s="88"/>
      <c r="P5972" s="88"/>
    </row>
    <row r="5973" spans="1:16">
      <c r="A5973" s="94">
        <v>100490</v>
      </c>
      <c r="B5973" s="87" t="s">
        <v>4897</v>
      </c>
      <c r="C5973" s="12" t="s">
        <v>5</v>
      </c>
      <c r="D5973" s="93">
        <v>397.88</v>
      </c>
      <c r="E5973" s="93">
        <v>54.67</v>
      </c>
      <c r="F5973" s="93">
        <v>339.16</v>
      </c>
      <c r="G5973" s="93">
        <v>2.95</v>
      </c>
      <c r="H5973" s="93">
        <v>0</v>
      </c>
      <c r="N5973" s="88"/>
      <c r="O5973" s="88"/>
      <c r="P5973" s="88"/>
    </row>
    <row r="5974" spans="1:16">
      <c r="A5974" s="94">
        <v>100491</v>
      </c>
      <c r="B5974" s="87" t="s">
        <v>4898</v>
      </c>
      <c r="C5974" s="12" t="s">
        <v>5</v>
      </c>
      <c r="D5974" s="93">
        <v>547.96</v>
      </c>
      <c r="E5974" s="93">
        <v>64.27</v>
      </c>
      <c r="F5974" s="93">
        <v>478.99</v>
      </c>
      <c r="G5974" s="93">
        <v>3.43</v>
      </c>
      <c r="H5974" s="93">
        <v>0</v>
      </c>
      <c r="N5974" s="88"/>
      <c r="O5974" s="88"/>
      <c r="P5974" s="88"/>
    </row>
    <row r="5975" spans="1:16">
      <c r="A5975" s="94">
        <v>100492</v>
      </c>
      <c r="B5975" s="87" t="s">
        <v>4899</v>
      </c>
      <c r="C5975" s="12" t="s">
        <v>5</v>
      </c>
      <c r="D5975" s="93">
        <v>485.71</v>
      </c>
      <c r="E5975" s="93">
        <v>59.63</v>
      </c>
      <c r="F5975" s="93">
        <v>421.7</v>
      </c>
      <c r="G5975" s="93">
        <v>3.2</v>
      </c>
      <c r="H5975" s="93">
        <v>0</v>
      </c>
      <c r="N5975" s="88"/>
      <c r="O5975" s="88"/>
      <c r="P5975" s="88"/>
    </row>
    <row r="5976" spans="1:16">
      <c r="A5976" s="94">
        <v>92121</v>
      </c>
      <c r="B5976" s="87" t="s">
        <v>476</v>
      </c>
      <c r="C5976" s="12" t="s">
        <v>5</v>
      </c>
      <c r="D5976" s="93">
        <v>21.63</v>
      </c>
      <c r="E5976" s="93">
        <v>14.07</v>
      </c>
      <c r="F5976" s="93">
        <v>5.88</v>
      </c>
      <c r="G5976" s="93">
        <v>1.24</v>
      </c>
      <c r="H5976" s="93">
        <v>0</v>
      </c>
      <c r="N5976" s="88"/>
      <c r="O5976" s="88"/>
      <c r="P5976" s="88"/>
    </row>
    <row r="5977" spans="1:16">
      <c r="A5977" s="94">
        <v>92122</v>
      </c>
      <c r="B5977" s="87" t="s">
        <v>477</v>
      </c>
      <c r="C5977" s="12" t="s">
        <v>5</v>
      </c>
      <c r="D5977" s="93">
        <v>36.229999999999997</v>
      </c>
      <c r="E5977" s="93">
        <v>25.53</v>
      </c>
      <c r="F5977" s="93">
        <v>10.7</v>
      </c>
      <c r="G5977" s="93">
        <v>0</v>
      </c>
      <c r="H5977" s="93">
        <v>0</v>
      </c>
      <c r="N5977" s="88"/>
      <c r="O5977" s="88"/>
      <c r="P5977" s="88"/>
    </row>
    <row r="5978" spans="1:16">
      <c r="A5978" s="94">
        <v>92123</v>
      </c>
      <c r="B5978" s="87" t="s">
        <v>478</v>
      </c>
      <c r="C5978" s="12" t="s">
        <v>5</v>
      </c>
      <c r="D5978" s="93">
        <v>32.03</v>
      </c>
      <c r="E5978" s="93">
        <v>16.420000000000002</v>
      </c>
      <c r="F5978" s="93">
        <v>15.47</v>
      </c>
      <c r="G5978" s="93">
        <v>0.14000000000000001</v>
      </c>
      <c r="H5978" s="93">
        <v>0</v>
      </c>
      <c r="N5978" s="88"/>
      <c r="O5978" s="88"/>
      <c r="P5978" s="88"/>
    </row>
    <row r="5979" spans="1:16">
      <c r="A5979" s="94">
        <v>100195</v>
      </c>
      <c r="B5979" s="87" t="s">
        <v>4900</v>
      </c>
      <c r="C5979" s="12" t="s">
        <v>4901</v>
      </c>
      <c r="D5979" s="93">
        <v>0.55000000000000004</v>
      </c>
      <c r="E5979" s="93">
        <v>0.41</v>
      </c>
      <c r="F5979" s="93">
        <v>0.14000000000000001</v>
      </c>
      <c r="G5979" s="93">
        <v>0</v>
      </c>
      <c r="H5979" s="93">
        <v>0</v>
      </c>
      <c r="N5979" s="88"/>
      <c r="O5979" s="88"/>
      <c r="P5979" s="88"/>
    </row>
    <row r="5980" spans="1:16">
      <c r="A5980" s="94">
        <v>100196</v>
      </c>
      <c r="B5980" s="87" t="s">
        <v>4902</v>
      </c>
      <c r="C5980" s="12" t="s">
        <v>4901</v>
      </c>
      <c r="D5980" s="93">
        <v>0.92</v>
      </c>
      <c r="E5980" s="93">
        <v>0.67</v>
      </c>
      <c r="F5980" s="93">
        <v>0.25</v>
      </c>
      <c r="G5980" s="93">
        <v>0</v>
      </c>
      <c r="H5980" s="93">
        <v>0</v>
      </c>
      <c r="N5980" s="88"/>
      <c r="O5980" s="88"/>
      <c r="P5980" s="88"/>
    </row>
    <row r="5981" spans="1:16">
      <c r="A5981" s="94">
        <v>100197</v>
      </c>
      <c r="B5981" s="87" t="s">
        <v>4903</v>
      </c>
      <c r="C5981" s="12" t="s">
        <v>4901</v>
      </c>
      <c r="D5981" s="93">
        <v>1.38</v>
      </c>
      <c r="E5981" s="93">
        <v>1</v>
      </c>
      <c r="F5981" s="93">
        <v>0.38</v>
      </c>
      <c r="G5981" s="93">
        <v>0</v>
      </c>
      <c r="H5981" s="93">
        <v>0</v>
      </c>
      <c r="N5981" s="88"/>
      <c r="O5981" s="88"/>
      <c r="P5981" s="88"/>
    </row>
    <row r="5982" spans="1:16">
      <c r="A5982" s="94">
        <v>100198</v>
      </c>
      <c r="B5982" s="87" t="s">
        <v>4904</v>
      </c>
      <c r="C5982" s="12" t="s">
        <v>4901</v>
      </c>
      <c r="D5982" s="93">
        <v>0.19</v>
      </c>
      <c r="E5982" s="93">
        <v>0.15</v>
      </c>
      <c r="F5982" s="93">
        <v>0.04</v>
      </c>
      <c r="G5982" s="93">
        <v>0</v>
      </c>
      <c r="H5982" s="93">
        <v>0</v>
      </c>
      <c r="N5982" s="88"/>
      <c r="O5982" s="88"/>
      <c r="P5982" s="88"/>
    </row>
    <row r="5983" spans="1:16">
      <c r="A5983" s="94">
        <v>100199</v>
      </c>
      <c r="B5983" s="87" t="s">
        <v>4905</v>
      </c>
      <c r="C5983" s="12" t="s">
        <v>4901</v>
      </c>
      <c r="D5983" s="93">
        <v>0.23</v>
      </c>
      <c r="E5983" s="93">
        <v>0.19</v>
      </c>
      <c r="F5983" s="93">
        <v>0.04</v>
      </c>
      <c r="G5983" s="93">
        <v>0</v>
      </c>
      <c r="H5983" s="93">
        <v>0</v>
      </c>
      <c r="N5983" s="88"/>
      <c r="O5983" s="88"/>
      <c r="P5983" s="88"/>
    </row>
    <row r="5984" spans="1:16">
      <c r="A5984" s="94">
        <v>100200</v>
      </c>
      <c r="B5984" s="87" t="s">
        <v>4906</v>
      </c>
      <c r="C5984" s="12" t="s">
        <v>4901</v>
      </c>
      <c r="D5984" s="93">
        <v>0.28000000000000003</v>
      </c>
      <c r="E5984" s="93">
        <v>0.22</v>
      </c>
      <c r="F5984" s="93">
        <v>0.06</v>
      </c>
      <c r="G5984" s="93">
        <v>0</v>
      </c>
      <c r="H5984" s="93">
        <v>0</v>
      </c>
      <c r="N5984" s="88"/>
      <c r="O5984" s="88"/>
      <c r="P5984" s="88"/>
    </row>
    <row r="5985" spans="1:16">
      <c r="A5985" s="94">
        <v>100201</v>
      </c>
      <c r="B5985" s="87" t="s">
        <v>4907</v>
      </c>
      <c r="C5985" s="12" t="s">
        <v>4901</v>
      </c>
      <c r="D5985" s="93">
        <v>0.56000000000000005</v>
      </c>
      <c r="E5985" s="93">
        <v>0.41</v>
      </c>
      <c r="F5985" s="93">
        <v>0.15</v>
      </c>
      <c r="G5985" s="93">
        <v>0</v>
      </c>
      <c r="H5985" s="93">
        <v>0</v>
      </c>
      <c r="N5985" s="88"/>
      <c r="O5985" s="88"/>
      <c r="P5985" s="88"/>
    </row>
    <row r="5986" spans="1:16">
      <c r="A5986" s="94">
        <v>100202</v>
      </c>
      <c r="B5986" s="87" t="s">
        <v>4908</v>
      </c>
      <c r="C5986" s="12" t="s">
        <v>4901</v>
      </c>
      <c r="D5986" s="93">
        <v>0.65</v>
      </c>
      <c r="E5986" s="93">
        <v>0.48</v>
      </c>
      <c r="F5986" s="93">
        <v>0.17</v>
      </c>
      <c r="G5986" s="93">
        <v>0</v>
      </c>
      <c r="H5986" s="93">
        <v>0</v>
      </c>
      <c r="N5986" s="88"/>
      <c r="O5986" s="88"/>
      <c r="P5986" s="88"/>
    </row>
    <row r="5987" spans="1:16">
      <c r="A5987" s="94">
        <v>100203</v>
      </c>
      <c r="B5987" s="87" t="s">
        <v>4909</v>
      </c>
      <c r="C5987" s="12" t="s">
        <v>4901</v>
      </c>
      <c r="D5987" s="93">
        <v>0.77</v>
      </c>
      <c r="E5987" s="93">
        <v>0.56000000000000005</v>
      </c>
      <c r="F5987" s="93">
        <v>0.21</v>
      </c>
      <c r="G5987" s="93">
        <v>0</v>
      </c>
      <c r="H5987" s="93">
        <v>0</v>
      </c>
      <c r="N5987" s="88"/>
      <c r="O5987" s="88"/>
      <c r="P5987" s="88"/>
    </row>
    <row r="5988" spans="1:16">
      <c r="A5988" s="94">
        <v>100204</v>
      </c>
      <c r="B5988" s="87" t="s">
        <v>4910</v>
      </c>
      <c r="C5988" s="12" t="s">
        <v>4901</v>
      </c>
      <c r="D5988" s="93">
        <v>0.08</v>
      </c>
      <c r="E5988" s="93">
        <v>0.02</v>
      </c>
      <c r="F5988" s="93">
        <v>0.02</v>
      </c>
      <c r="G5988" s="93">
        <v>0.04</v>
      </c>
      <c r="H5988" s="93">
        <v>0</v>
      </c>
      <c r="N5988" s="88"/>
      <c r="O5988" s="88"/>
      <c r="P5988" s="88"/>
    </row>
    <row r="5989" spans="1:16">
      <c r="A5989" s="94">
        <v>100205</v>
      </c>
      <c r="B5989" s="87" t="s">
        <v>4911</v>
      </c>
      <c r="C5989" s="12" t="s">
        <v>405</v>
      </c>
      <c r="D5989" s="93">
        <v>1032.1099999999999</v>
      </c>
      <c r="E5989" s="93">
        <v>726.81</v>
      </c>
      <c r="F5989" s="93">
        <v>305.3</v>
      </c>
      <c r="G5989" s="93">
        <v>0</v>
      </c>
      <c r="H5989" s="93">
        <v>0</v>
      </c>
      <c r="N5989" s="88"/>
      <c r="O5989" s="88"/>
      <c r="P5989" s="88"/>
    </row>
    <row r="5990" spans="1:16">
      <c r="A5990" s="94">
        <v>100206</v>
      </c>
      <c r="B5990" s="87" t="s">
        <v>4912</v>
      </c>
      <c r="C5990" s="12" t="s">
        <v>405</v>
      </c>
      <c r="D5990" s="93">
        <v>746.04</v>
      </c>
      <c r="E5990" s="93">
        <v>525.36</v>
      </c>
      <c r="F5990" s="93">
        <v>220.68</v>
      </c>
      <c r="G5990" s="93">
        <v>0</v>
      </c>
      <c r="H5990" s="93">
        <v>0</v>
      </c>
      <c r="N5990" s="88"/>
      <c r="O5990" s="88"/>
      <c r="P5990" s="88"/>
    </row>
    <row r="5991" spans="1:16">
      <c r="A5991" s="94">
        <v>100207</v>
      </c>
      <c r="B5991" s="87" t="s">
        <v>4913</v>
      </c>
      <c r="C5991" s="12" t="s">
        <v>405</v>
      </c>
      <c r="D5991" s="93">
        <v>342.9</v>
      </c>
      <c r="E5991" s="93">
        <v>144.63999999999999</v>
      </c>
      <c r="F5991" s="93">
        <v>84.57</v>
      </c>
      <c r="G5991" s="93">
        <v>113.69</v>
      </c>
      <c r="H5991" s="93">
        <v>0</v>
      </c>
      <c r="N5991" s="88"/>
      <c r="O5991" s="88"/>
      <c r="P5991" s="88"/>
    </row>
    <row r="5992" spans="1:16">
      <c r="A5992" s="94">
        <v>100208</v>
      </c>
      <c r="B5992" s="87" t="s">
        <v>4914</v>
      </c>
      <c r="C5992" s="12" t="s">
        <v>4915</v>
      </c>
      <c r="D5992" s="93">
        <v>13.65</v>
      </c>
      <c r="E5992" s="93">
        <v>9.6300000000000008</v>
      </c>
      <c r="F5992" s="93">
        <v>4.0199999999999996</v>
      </c>
      <c r="G5992" s="93">
        <v>0</v>
      </c>
      <c r="H5992" s="93">
        <v>0</v>
      </c>
      <c r="N5992" s="88"/>
      <c r="O5992" s="88"/>
      <c r="P5992" s="88"/>
    </row>
    <row r="5993" spans="1:16">
      <c r="A5993" s="94">
        <v>100209</v>
      </c>
      <c r="B5993" s="87" t="s">
        <v>4916</v>
      </c>
      <c r="C5993" s="12" t="s">
        <v>4915</v>
      </c>
      <c r="D5993" s="93">
        <v>6.82</v>
      </c>
      <c r="E5993" s="93">
        <v>4.83</v>
      </c>
      <c r="F5993" s="93">
        <v>1.99</v>
      </c>
      <c r="G5993" s="93">
        <v>0</v>
      </c>
      <c r="H5993" s="93">
        <v>0</v>
      </c>
      <c r="N5993" s="88"/>
      <c r="O5993" s="88"/>
      <c r="P5993" s="88"/>
    </row>
    <row r="5994" spans="1:16">
      <c r="A5994" s="94">
        <v>100210</v>
      </c>
      <c r="B5994" s="87" t="s">
        <v>4917</v>
      </c>
      <c r="C5994" s="12" t="s">
        <v>4915</v>
      </c>
      <c r="D5994" s="93">
        <v>12.58</v>
      </c>
      <c r="E5994" s="93">
        <v>8.8800000000000008</v>
      </c>
      <c r="F5994" s="93">
        <v>3.7</v>
      </c>
      <c r="G5994" s="93">
        <v>0</v>
      </c>
      <c r="H5994" s="93">
        <v>0</v>
      </c>
      <c r="N5994" s="88"/>
      <c r="O5994" s="88"/>
      <c r="P5994" s="88"/>
    </row>
    <row r="5995" spans="1:16">
      <c r="A5995" s="94">
        <v>100211</v>
      </c>
      <c r="B5995" s="87" t="s">
        <v>4918</v>
      </c>
      <c r="C5995" s="12" t="s">
        <v>4915</v>
      </c>
      <c r="D5995" s="93">
        <v>4.8499999999999996</v>
      </c>
      <c r="E5995" s="93">
        <v>3.44</v>
      </c>
      <c r="F5995" s="93">
        <v>1.41</v>
      </c>
      <c r="G5995" s="93">
        <v>0</v>
      </c>
      <c r="H5995" s="93">
        <v>0</v>
      </c>
      <c r="N5995" s="88"/>
      <c r="O5995" s="88"/>
      <c r="P5995" s="88"/>
    </row>
    <row r="5996" spans="1:16">
      <c r="A5996" s="94">
        <v>100212</v>
      </c>
      <c r="B5996" s="87" t="s">
        <v>4919</v>
      </c>
      <c r="C5996" s="12" t="s">
        <v>4915</v>
      </c>
      <c r="D5996" s="93">
        <v>5.36</v>
      </c>
      <c r="E5996" s="93">
        <v>3.8</v>
      </c>
      <c r="F5996" s="93">
        <v>1.56</v>
      </c>
      <c r="G5996" s="93">
        <v>0</v>
      </c>
      <c r="H5996" s="93">
        <v>0</v>
      </c>
      <c r="N5996" s="88"/>
      <c r="O5996" s="88"/>
      <c r="P5996" s="88"/>
    </row>
    <row r="5997" spans="1:16">
      <c r="A5997" s="94">
        <v>100213</v>
      </c>
      <c r="B5997" s="87" t="s">
        <v>4920</v>
      </c>
      <c r="C5997" s="12" t="s">
        <v>4915</v>
      </c>
      <c r="D5997" s="93">
        <v>1.92</v>
      </c>
      <c r="E5997" s="93">
        <v>1.37</v>
      </c>
      <c r="F5997" s="93">
        <v>0.55000000000000004</v>
      </c>
      <c r="G5997" s="93">
        <v>0</v>
      </c>
      <c r="H5997" s="93">
        <v>0</v>
      </c>
      <c r="N5997" s="88"/>
      <c r="O5997" s="88"/>
      <c r="P5997" s="88"/>
    </row>
    <row r="5998" spans="1:16">
      <c r="A5998" s="94">
        <v>100214</v>
      </c>
      <c r="B5998" s="87" t="s">
        <v>4921</v>
      </c>
      <c r="C5998" s="12" t="s">
        <v>4915</v>
      </c>
      <c r="D5998" s="93">
        <v>2.95</v>
      </c>
      <c r="E5998" s="93">
        <v>2.1</v>
      </c>
      <c r="F5998" s="93">
        <v>0.85</v>
      </c>
      <c r="G5998" s="93">
        <v>0</v>
      </c>
      <c r="H5998" s="93">
        <v>0</v>
      </c>
      <c r="N5998" s="88"/>
      <c r="O5998" s="88"/>
      <c r="P5998" s="88"/>
    </row>
    <row r="5999" spans="1:16">
      <c r="A5999" s="94">
        <v>100215</v>
      </c>
      <c r="B5999" s="87" t="s">
        <v>4922</v>
      </c>
      <c r="C5999" s="12" t="s">
        <v>4915</v>
      </c>
      <c r="D5999" s="93">
        <v>2.5299999999999998</v>
      </c>
      <c r="E5999" s="93">
        <v>1.8</v>
      </c>
      <c r="F5999" s="93">
        <v>0.73</v>
      </c>
      <c r="G5999" s="93">
        <v>0</v>
      </c>
      <c r="H5999" s="93">
        <v>0</v>
      </c>
      <c r="N5999" s="88"/>
      <c r="O5999" s="88"/>
      <c r="P5999" s="88"/>
    </row>
    <row r="6000" spans="1:16">
      <c r="A6000" s="94">
        <v>100216</v>
      </c>
      <c r="B6000" s="87" t="s">
        <v>4923</v>
      </c>
      <c r="C6000" s="12" t="s">
        <v>4915</v>
      </c>
      <c r="D6000" s="93">
        <v>0.68</v>
      </c>
      <c r="E6000" s="93">
        <v>0.5</v>
      </c>
      <c r="F6000" s="93">
        <v>0.18</v>
      </c>
      <c r="G6000" s="93">
        <v>0</v>
      </c>
      <c r="H6000" s="93">
        <v>0</v>
      </c>
      <c r="N6000" s="88"/>
      <c r="O6000" s="88"/>
      <c r="P6000" s="88"/>
    </row>
    <row r="6001" spans="1:16">
      <c r="A6001" s="94">
        <v>100217</v>
      </c>
      <c r="B6001" s="87" t="s">
        <v>4924</v>
      </c>
      <c r="C6001" s="12" t="s">
        <v>4915</v>
      </c>
      <c r="D6001" s="93">
        <v>2.29</v>
      </c>
      <c r="E6001" s="93">
        <v>0.79</v>
      </c>
      <c r="F6001" s="93">
        <v>0.42</v>
      </c>
      <c r="G6001" s="93">
        <v>1.08</v>
      </c>
      <c r="H6001" s="93">
        <v>0</v>
      </c>
      <c r="N6001" s="88"/>
      <c r="O6001" s="88"/>
      <c r="P6001" s="88"/>
    </row>
    <row r="6002" spans="1:16">
      <c r="A6002" s="94">
        <v>100218</v>
      </c>
      <c r="B6002" s="87" t="s">
        <v>4925</v>
      </c>
      <c r="C6002" s="12" t="s">
        <v>4915</v>
      </c>
      <c r="D6002" s="93">
        <v>1.57</v>
      </c>
      <c r="E6002" s="93">
        <v>0.55000000000000004</v>
      </c>
      <c r="F6002" s="93">
        <v>0.28000000000000003</v>
      </c>
      <c r="G6002" s="93">
        <v>0.74</v>
      </c>
      <c r="H6002" s="93">
        <v>0</v>
      </c>
      <c r="N6002" s="88"/>
      <c r="O6002" s="88"/>
      <c r="P6002" s="88"/>
    </row>
    <row r="6003" spans="1:16">
      <c r="A6003" s="94">
        <v>100219</v>
      </c>
      <c r="B6003" s="87" t="s">
        <v>4926</v>
      </c>
      <c r="C6003" s="12" t="s">
        <v>4915</v>
      </c>
      <c r="D6003" s="93">
        <v>0.34</v>
      </c>
      <c r="E6003" s="93">
        <v>0.12</v>
      </c>
      <c r="F6003" s="93">
        <v>0.05</v>
      </c>
      <c r="G6003" s="93">
        <v>0.17</v>
      </c>
      <c r="H6003" s="93">
        <v>0</v>
      </c>
      <c r="N6003" s="88"/>
      <c r="O6003" s="88"/>
      <c r="P6003" s="88"/>
    </row>
    <row r="6004" spans="1:16">
      <c r="A6004" s="94">
        <v>100220</v>
      </c>
      <c r="B6004" s="87" t="s">
        <v>4927</v>
      </c>
      <c r="C6004" s="12" t="s">
        <v>4928</v>
      </c>
      <c r="D6004" s="93">
        <v>19.61</v>
      </c>
      <c r="E6004" s="93">
        <v>13.83</v>
      </c>
      <c r="F6004" s="93">
        <v>5.78</v>
      </c>
      <c r="G6004" s="93">
        <v>0</v>
      </c>
      <c r="H6004" s="93">
        <v>0</v>
      </c>
      <c r="N6004" s="88"/>
      <c r="O6004" s="88"/>
      <c r="P6004" s="88"/>
    </row>
    <row r="6005" spans="1:16">
      <c r="A6005" s="94">
        <v>100221</v>
      </c>
      <c r="B6005" s="87" t="s">
        <v>4929</v>
      </c>
      <c r="C6005" s="12" t="s">
        <v>4928</v>
      </c>
      <c r="D6005" s="93">
        <v>22.23</v>
      </c>
      <c r="E6005" s="93">
        <v>15.68</v>
      </c>
      <c r="F6005" s="93">
        <v>6.55</v>
      </c>
      <c r="G6005" s="93">
        <v>0</v>
      </c>
      <c r="H6005" s="93">
        <v>0</v>
      </c>
      <c r="N6005" s="88"/>
      <c r="O6005" s="88"/>
      <c r="P6005" s="88"/>
    </row>
    <row r="6006" spans="1:16">
      <c r="A6006" s="94">
        <v>100222</v>
      </c>
      <c r="B6006" s="87" t="s">
        <v>4930</v>
      </c>
      <c r="C6006" s="12" t="s">
        <v>4928</v>
      </c>
      <c r="D6006" s="93">
        <v>8.42</v>
      </c>
      <c r="E6006" s="93">
        <v>5.95</v>
      </c>
      <c r="F6006" s="93">
        <v>2.4700000000000002</v>
      </c>
      <c r="G6006" s="93">
        <v>0</v>
      </c>
      <c r="H6006" s="93">
        <v>0</v>
      </c>
      <c r="N6006" s="88"/>
      <c r="O6006" s="88"/>
      <c r="P6006" s="88"/>
    </row>
    <row r="6007" spans="1:16">
      <c r="A6007" s="94">
        <v>100223</v>
      </c>
      <c r="B6007" s="87" t="s">
        <v>4931</v>
      </c>
      <c r="C6007" s="12" t="s">
        <v>4928</v>
      </c>
      <c r="D6007" s="93">
        <v>3.94</v>
      </c>
      <c r="E6007" s="93">
        <v>2.79</v>
      </c>
      <c r="F6007" s="93">
        <v>1.1499999999999999</v>
      </c>
      <c r="G6007" s="93">
        <v>0</v>
      </c>
      <c r="H6007" s="93">
        <v>0</v>
      </c>
      <c r="N6007" s="88"/>
      <c r="O6007" s="88"/>
      <c r="P6007" s="88"/>
    </row>
    <row r="6008" spans="1:16">
      <c r="A6008" s="94">
        <v>100224</v>
      </c>
      <c r="B6008" s="87" t="s">
        <v>4932</v>
      </c>
      <c r="C6008" s="12" t="s">
        <v>4928</v>
      </c>
      <c r="D6008" s="93">
        <v>2.29</v>
      </c>
      <c r="E6008" s="93">
        <v>0.79</v>
      </c>
      <c r="F6008" s="93">
        <v>0.42</v>
      </c>
      <c r="G6008" s="93">
        <v>1.08</v>
      </c>
      <c r="H6008" s="93">
        <v>0</v>
      </c>
      <c r="N6008" s="88"/>
      <c r="O6008" s="88"/>
      <c r="P6008" s="88"/>
    </row>
    <row r="6009" spans="1:16">
      <c r="A6009" s="94">
        <v>100225</v>
      </c>
      <c r="B6009" s="87" t="s">
        <v>4933</v>
      </c>
      <c r="C6009" s="12" t="s">
        <v>4934</v>
      </c>
      <c r="D6009" s="93">
        <v>1.54</v>
      </c>
      <c r="E6009" s="93">
        <v>1.1000000000000001</v>
      </c>
      <c r="F6009" s="93">
        <v>0.44</v>
      </c>
      <c r="G6009" s="93">
        <v>0</v>
      </c>
      <c r="H6009" s="93">
        <v>0</v>
      </c>
      <c r="N6009" s="88"/>
      <c r="O6009" s="88"/>
      <c r="P6009" s="88"/>
    </row>
    <row r="6010" spans="1:16">
      <c r="A6010" s="94">
        <v>100226</v>
      </c>
      <c r="B6010" s="87" t="s">
        <v>4935</v>
      </c>
      <c r="C6010" s="12" t="s">
        <v>4934</v>
      </c>
      <c r="D6010" s="93">
        <v>0.48</v>
      </c>
      <c r="E6010" s="93">
        <v>0.36</v>
      </c>
      <c r="F6010" s="93">
        <v>0.12</v>
      </c>
      <c r="G6010" s="93">
        <v>0</v>
      </c>
      <c r="H6010" s="93">
        <v>0</v>
      </c>
      <c r="N6010" s="88"/>
      <c r="O6010" s="88"/>
      <c r="P6010" s="88"/>
    </row>
    <row r="6011" spans="1:16">
      <c r="A6011" s="94">
        <v>100227</v>
      </c>
      <c r="B6011" s="87" t="s">
        <v>4936</v>
      </c>
      <c r="C6011" s="12" t="s">
        <v>4934</v>
      </c>
      <c r="D6011" s="93">
        <v>0.71</v>
      </c>
      <c r="E6011" s="93">
        <v>0.53</v>
      </c>
      <c r="F6011" s="93">
        <v>0.18</v>
      </c>
      <c r="G6011" s="93">
        <v>0</v>
      </c>
      <c r="H6011" s="93">
        <v>0</v>
      </c>
      <c r="N6011" s="88"/>
      <c r="O6011" s="88"/>
      <c r="P6011" s="88"/>
    </row>
    <row r="6012" spans="1:16">
      <c r="A6012" s="94">
        <v>100228</v>
      </c>
      <c r="B6012" s="87" t="s">
        <v>4937</v>
      </c>
      <c r="C6012" s="12" t="s">
        <v>4934</v>
      </c>
      <c r="D6012" s="93">
        <v>0.22</v>
      </c>
      <c r="E6012" s="93">
        <v>0.08</v>
      </c>
      <c r="F6012" s="93">
        <v>0.03</v>
      </c>
      <c r="G6012" s="93">
        <v>0.11</v>
      </c>
      <c r="H6012" s="93">
        <v>0</v>
      </c>
      <c r="N6012" s="88"/>
      <c r="O6012" s="88"/>
      <c r="P6012" s="88"/>
    </row>
    <row r="6013" spans="1:16">
      <c r="A6013" s="94">
        <v>100229</v>
      </c>
      <c r="B6013" s="87" t="s">
        <v>4938</v>
      </c>
      <c r="C6013" s="12" t="s">
        <v>11</v>
      </c>
      <c r="D6013" s="93">
        <v>0.01</v>
      </c>
      <c r="E6013" s="93">
        <v>0</v>
      </c>
      <c r="F6013" s="93">
        <v>0</v>
      </c>
      <c r="G6013" s="93">
        <v>0</v>
      </c>
      <c r="H6013" s="93">
        <v>0</v>
      </c>
      <c r="N6013" s="88"/>
      <c r="O6013" s="88"/>
      <c r="P6013" s="88"/>
    </row>
    <row r="6014" spans="1:16">
      <c r="A6014" s="94">
        <v>100230</v>
      </c>
      <c r="B6014" s="87" t="s">
        <v>4939</v>
      </c>
      <c r="C6014" s="12" t="s">
        <v>11</v>
      </c>
      <c r="D6014" s="93">
        <v>0.01</v>
      </c>
      <c r="E6014" s="93">
        <v>0.01</v>
      </c>
      <c r="F6014" s="93">
        <v>0</v>
      </c>
      <c r="G6014" s="93">
        <v>0</v>
      </c>
      <c r="H6014" s="93">
        <v>0</v>
      </c>
      <c r="N6014" s="88"/>
      <c r="O6014" s="88"/>
      <c r="P6014" s="88"/>
    </row>
    <row r="6015" spans="1:16">
      <c r="A6015" s="94">
        <v>100231</v>
      </c>
      <c r="B6015" s="87" t="s">
        <v>4940</v>
      </c>
      <c r="C6015" s="12" t="s">
        <v>11</v>
      </c>
      <c r="D6015" s="93">
        <v>0.02</v>
      </c>
      <c r="E6015" s="93">
        <v>0.02</v>
      </c>
      <c r="F6015" s="93">
        <v>0</v>
      </c>
      <c r="G6015" s="93">
        <v>0</v>
      </c>
      <c r="H6015" s="93">
        <v>0</v>
      </c>
      <c r="N6015" s="88"/>
      <c r="O6015" s="88"/>
      <c r="P6015" s="88"/>
    </row>
    <row r="6016" spans="1:16">
      <c r="A6016" s="94">
        <v>100232</v>
      </c>
      <c r="B6016" s="87" t="s">
        <v>4941</v>
      </c>
      <c r="C6016" s="12" t="s">
        <v>4</v>
      </c>
      <c r="D6016" s="93">
        <v>0.25</v>
      </c>
      <c r="E6016" s="93">
        <v>0.21</v>
      </c>
      <c r="F6016" s="93">
        <v>0.04</v>
      </c>
      <c r="G6016" s="93">
        <v>0</v>
      </c>
      <c r="H6016" s="93">
        <v>0</v>
      </c>
      <c r="N6016" s="88"/>
      <c r="O6016" s="88"/>
      <c r="P6016" s="88"/>
    </row>
    <row r="6017" spans="1:16">
      <c r="A6017" s="94">
        <v>100233</v>
      </c>
      <c r="B6017" s="87" t="s">
        <v>4942</v>
      </c>
      <c r="C6017" s="12" t="s">
        <v>4</v>
      </c>
      <c r="D6017" s="93">
        <v>0.12</v>
      </c>
      <c r="E6017" s="93">
        <v>0.11</v>
      </c>
      <c r="F6017" s="93">
        <v>0.01</v>
      </c>
      <c r="G6017" s="93">
        <v>0</v>
      </c>
      <c r="H6017" s="93">
        <v>0</v>
      </c>
      <c r="N6017" s="88"/>
      <c r="O6017" s="88"/>
      <c r="P6017" s="88"/>
    </row>
    <row r="6018" spans="1:16">
      <c r="A6018" s="94">
        <v>100234</v>
      </c>
      <c r="B6018" s="87" t="s">
        <v>4943</v>
      </c>
      <c r="C6018" s="12" t="s">
        <v>9</v>
      </c>
      <c r="D6018" s="93">
        <v>0.38</v>
      </c>
      <c r="E6018" s="93">
        <v>0.28000000000000003</v>
      </c>
      <c r="F6018" s="93">
        <v>0.1</v>
      </c>
      <c r="G6018" s="93">
        <v>0</v>
      </c>
      <c r="H6018" s="93">
        <v>0</v>
      </c>
      <c r="N6018" s="88"/>
      <c r="O6018" s="88"/>
      <c r="P6018" s="88"/>
    </row>
    <row r="6019" spans="1:16">
      <c r="A6019" s="94">
        <v>100235</v>
      </c>
      <c r="B6019" s="87" t="s">
        <v>4944</v>
      </c>
      <c r="C6019" s="12" t="s">
        <v>8</v>
      </c>
      <c r="D6019" s="93">
        <v>0.03</v>
      </c>
      <c r="E6019" s="93">
        <v>0.03</v>
      </c>
      <c r="F6019" s="93">
        <v>0</v>
      </c>
      <c r="G6019" s="93">
        <v>0</v>
      </c>
      <c r="H6019" s="93">
        <v>0</v>
      </c>
      <c r="N6019" s="88"/>
      <c r="O6019" s="88"/>
      <c r="P6019" s="88"/>
    </row>
    <row r="6020" spans="1:16">
      <c r="A6020" s="94">
        <v>100236</v>
      </c>
      <c r="B6020" s="87" t="s">
        <v>4945</v>
      </c>
      <c r="C6020" s="12" t="s">
        <v>4946</v>
      </c>
      <c r="D6020" s="93">
        <v>1.95</v>
      </c>
      <c r="E6020" s="93">
        <v>1.39</v>
      </c>
      <c r="F6020" s="93">
        <v>0.56000000000000005</v>
      </c>
      <c r="G6020" s="93">
        <v>0</v>
      </c>
      <c r="H6020" s="93">
        <v>0</v>
      </c>
      <c r="N6020" s="88"/>
      <c r="O6020" s="88"/>
      <c r="P6020" s="88"/>
    </row>
    <row r="6021" spans="1:16">
      <c r="A6021" s="94">
        <v>100237</v>
      </c>
      <c r="B6021" s="87" t="s">
        <v>4947</v>
      </c>
      <c r="C6021" s="12" t="s">
        <v>4946</v>
      </c>
      <c r="D6021" s="93">
        <v>2.34</v>
      </c>
      <c r="E6021" s="93">
        <v>1.67</v>
      </c>
      <c r="F6021" s="93">
        <v>0.67</v>
      </c>
      <c r="G6021" s="93">
        <v>0</v>
      </c>
      <c r="H6021" s="93">
        <v>0</v>
      </c>
      <c r="N6021" s="88"/>
      <c r="O6021" s="88"/>
      <c r="P6021" s="88"/>
    </row>
    <row r="6022" spans="1:16">
      <c r="A6022" s="94">
        <v>100238</v>
      </c>
      <c r="B6022" s="87" t="s">
        <v>4948</v>
      </c>
      <c r="C6022" s="12" t="s">
        <v>4946</v>
      </c>
      <c r="D6022" s="93">
        <v>3.75</v>
      </c>
      <c r="E6022" s="93">
        <v>2.66</v>
      </c>
      <c r="F6022" s="93">
        <v>1.0900000000000001</v>
      </c>
      <c r="G6022" s="93">
        <v>0</v>
      </c>
      <c r="H6022" s="93">
        <v>0</v>
      </c>
      <c r="N6022" s="88"/>
      <c r="O6022" s="88"/>
      <c r="P6022" s="88"/>
    </row>
    <row r="6023" spans="1:16">
      <c r="A6023" s="94">
        <v>100239</v>
      </c>
      <c r="B6023" s="87" t="s">
        <v>4949</v>
      </c>
      <c r="C6023" s="12" t="s">
        <v>4946</v>
      </c>
      <c r="D6023" s="93">
        <v>4.6900000000000004</v>
      </c>
      <c r="E6023" s="93">
        <v>3.32</v>
      </c>
      <c r="F6023" s="93">
        <v>1.37</v>
      </c>
      <c r="G6023" s="93">
        <v>0</v>
      </c>
      <c r="H6023" s="93">
        <v>0</v>
      </c>
      <c r="N6023" s="88"/>
      <c r="O6023" s="88"/>
      <c r="P6023" s="88"/>
    </row>
    <row r="6024" spans="1:16">
      <c r="A6024" s="94">
        <v>100240</v>
      </c>
      <c r="B6024" s="87" t="s">
        <v>4950</v>
      </c>
      <c r="C6024" s="12" t="s">
        <v>4946</v>
      </c>
      <c r="D6024" s="93">
        <v>2.81</v>
      </c>
      <c r="E6024" s="93">
        <v>2</v>
      </c>
      <c r="F6024" s="93">
        <v>0.81</v>
      </c>
      <c r="G6024" s="93">
        <v>0</v>
      </c>
      <c r="H6024" s="93">
        <v>0</v>
      </c>
      <c r="N6024" s="88"/>
      <c r="O6024" s="88"/>
      <c r="P6024" s="88"/>
    </row>
    <row r="6025" spans="1:16">
      <c r="A6025" s="94">
        <v>100241</v>
      </c>
      <c r="B6025" s="87" t="s">
        <v>4951</v>
      </c>
      <c r="C6025" s="12" t="s">
        <v>4946</v>
      </c>
      <c r="D6025" s="93">
        <v>4.6900000000000004</v>
      </c>
      <c r="E6025" s="93">
        <v>3.32</v>
      </c>
      <c r="F6025" s="93">
        <v>1.37</v>
      </c>
      <c r="G6025" s="93">
        <v>0</v>
      </c>
      <c r="H6025" s="93">
        <v>0</v>
      </c>
      <c r="N6025" s="88"/>
      <c r="O6025" s="88"/>
      <c r="P6025" s="88"/>
    </row>
    <row r="6026" spans="1:16">
      <c r="A6026" s="94">
        <v>100242</v>
      </c>
      <c r="B6026" s="87" t="s">
        <v>4952</v>
      </c>
      <c r="C6026" s="12" t="s">
        <v>4946</v>
      </c>
      <c r="D6026" s="93">
        <v>13.86</v>
      </c>
      <c r="E6026" s="93">
        <v>9.7799999999999994</v>
      </c>
      <c r="F6026" s="93">
        <v>4.08</v>
      </c>
      <c r="G6026" s="93">
        <v>0</v>
      </c>
      <c r="H6026" s="93">
        <v>0</v>
      </c>
      <c r="N6026" s="88"/>
      <c r="O6026" s="88"/>
      <c r="P6026" s="88"/>
    </row>
    <row r="6027" spans="1:16">
      <c r="A6027" s="94">
        <v>100243</v>
      </c>
      <c r="B6027" s="87" t="s">
        <v>4953</v>
      </c>
      <c r="C6027" s="12" t="s">
        <v>4946</v>
      </c>
      <c r="D6027" s="93">
        <v>2.25</v>
      </c>
      <c r="E6027" s="93">
        <v>1.6</v>
      </c>
      <c r="F6027" s="93">
        <v>0.65</v>
      </c>
      <c r="G6027" s="93">
        <v>0</v>
      </c>
      <c r="H6027" s="93">
        <v>0</v>
      </c>
      <c r="N6027" s="88"/>
      <c r="O6027" s="88"/>
      <c r="P6027" s="88"/>
    </row>
    <row r="6028" spans="1:16">
      <c r="A6028" s="94">
        <v>100244</v>
      </c>
      <c r="B6028" s="87" t="s">
        <v>4954</v>
      </c>
      <c r="C6028" s="12" t="s">
        <v>4946</v>
      </c>
      <c r="D6028" s="93">
        <v>2.81</v>
      </c>
      <c r="E6028" s="93">
        <v>2</v>
      </c>
      <c r="F6028" s="93">
        <v>0.81</v>
      </c>
      <c r="G6028" s="93">
        <v>0</v>
      </c>
      <c r="H6028" s="93">
        <v>0</v>
      </c>
      <c r="N6028" s="88"/>
      <c r="O6028" s="88"/>
      <c r="P6028" s="88"/>
    </row>
    <row r="6029" spans="1:16">
      <c r="A6029" s="94">
        <v>100245</v>
      </c>
      <c r="B6029" s="87" t="s">
        <v>4955</v>
      </c>
      <c r="C6029" s="12" t="s">
        <v>4946</v>
      </c>
      <c r="D6029" s="93">
        <v>5.63</v>
      </c>
      <c r="E6029" s="93">
        <v>3.98</v>
      </c>
      <c r="F6029" s="93">
        <v>1.65</v>
      </c>
      <c r="G6029" s="93">
        <v>0</v>
      </c>
      <c r="H6029" s="93">
        <v>0</v>
      </c>
      <c r="N6029" s="88"/>
      <c r="O6029" s="88"/>
      <c r="P6029" s="88"/>
    </row>
    <row r="6030" spans="1:16">
      <c r="A6030" s="94">
        <v>100246</v>
      </c>
      <c r="B6030" s="87" t="s">
        <v>4956</v>
      </c>
      <c r="C6030" s="12" t="s">
        <v>4946</v>
      </c>
      <c r="D6030" s="93">
        <v>1.87</v>
      </c>
      <c r="E6030" s="93">
        <v>1.34</v>
      </c>
      <c r="F6030" s="93">
        <v>0.53</v>
      </c>
      <c r="G6030" s="93">
        <v>0</v>
      </c>
      <c r="H6030" s="93">
        <v>0</v>
      </c>
      <c r="N6030" s="88"/>
      <c r="O6030" s="88"/>
      <c r="P6030" s="88"/>
    </row>
    <row r="6031" spans="1:16">
      <c r="A6031" s="94">
        <v>100247</v>
      </c>
      <c r="B6031" s="87" t="s">
        <v>4957</v>
      </c>
      <c r="C6031" s="12" t="s">
        <v>4946</v>
      </c>
      <c r="D6031" s="93">
        <v>2.34</v>
      </c>
      <c r="E6031" s="93">
        <v>1.67</v>
      </c>
      <c r="F6031" s="93">
        <v>0.67</v>
      </c>
      <c r="G6031" s="93">
        <v>0</v>
      </c>
      <c r="H6031" s="93">
        <v>0</v>
      </c>
      <c r="N6031" s="88"/>
      <c r="O6031" s="88"/>
      <c r="P6031" s="88"/>
    </row>
    <row r="6032" spans="1:16">
      <c r="A6032" s="94">
        <v>100248</v>
      </c>
      <c r="B6032" s="87" t="s">
        <v>4958</v>
      </c>
      <c r="C6032" s="12" t="s">
        <v>4946</v>
      </c>
      <c r="D6032" s="93">
        <v>9.24</v>
      </c>
      <c r="E6032" s="93">
        <v>6.53</v>
      </c>
      <c r="F6032" s="93">
        <v>2.71</v>
      </c>
      <c r="G6032" s="93">
        <v>0</v>
      </c>
      <c r="H6032" s="93">
        <v>0</v>
      </c>
      <c r="N6032" s="88"/>
      <c r="O6032" s="88"/>
      <c r="P6032" s="88"/>
    </row>
    <row r="6033" spans="1:16">
      <c r="A6033" s="94">
        <v>100249</v>
      </c>
      <c r="B6033" s="87" t="s">
        <v>4959</v>
      </c>
      <c r="C6033" s="12" t="s">
        <v>4946</v>
      </c>
      <c r="D6033" s="93">
        <v>1.87</v>
      </c>
      <c r="E6033" s="93">
        <v>1.34</v>
      </c>
      <c r="F6033" s="93">
        <v>0.53</v>
      </c>
      <c r="G6033" s="93">
        <v>0</v>
      </c>
      <c r="H6033" s="93">
        <v>0</v>
      </c>
      <c r="N6033" s="88"/>
      <c r="O6033" s="88"/>
      <c r="P6033" s="88"/>
    </row>
    <row r="6034" spans="1:16">
      <c r="A6034" s="94">
        <v>100250</v>
      </c>
      <c r="B6034" s="87" t="s">
        <v>4960</v>
      </c>
      <c r="C6034" s="12" t="s">
        <v>4946</v>
      </c>
      <c r="D6034" s="93">
        <v>3.12</v>
      </c>
      <c r="E6034" s="93">
        <v>2.23</v>
      </c>
      <c r="F6034" s="93">
        <v>0.89</v>
      </c>
      <c r="G6034" s="93">
        <v>0</v>
      </c>
      <c r="H6034" s="93">
        <v>0</v>
      </c>
      <c r="N6034" s="88"/>
      <c r="O6034" s="88"/>
      <c r="P6034" s="88"/>
    </row>
    <row r="6035" spans="1:16">
      <c r="A6035" s="94">
        <v>100251</v>
      </c>
      <c r="B6035" s="87" t="s">
        <v>4961</v>
      </c>
      <c r="C6035" s="12" t="s">
        <v>4946</v>
      </c>
      <c r="D6035" s="93">
        <v>9.24</v>
      </c>
      <c r="E6035" s="93">
        <v>6.53</v>
      </c>
      <c r="F6035" s="93">
        <v>2.71</v>
      </c>
      <c r="G6035" s="93">
        <v>0</v>
      </c>
      <c r="H6035" s="93">
        <v>0</v>
      </c>
      <c r="N6035" s="88"/>
      <c r="O6035" s="88"/>
      <c r="P6035" s="88"/>
    </row>
    <row r="6036" spans="1:16">
      <c r="A6036" s="94">
        <v>100252</v>
      </c>
      <c r="B6036" s="87" t="s">
        <v>4962</v>
      </c>
      <c r="C6036" s="12" t="s">
        <v>4946</v>
      </c>
      <c r="D6036" s="93">
        <v>13.86</v>
      </c>
      <c r="E6036" s="93">
        <v>9.7799999999999994</v>
      </c>
      <c r="F6036" s="93">
        <v>4.08</v>
      </c>
      <c r="G6036" s="93">
        <v>0</v>
      </c>
      <c r="H6036" s="93">
        <v>0</v>
      </c>
      <c r="N6036" s="88"/>
      <c r="O6036" s="88"/>
      <c r="P6036" s="88"/>
    </row>
    <row r="6037" spans="1:16">
      <c r="A6037" s="94">
        <v>100253</v>
      </c>
      <c r="B6037" s="87" t="s">
        <v>4963</v>
      </c>
      <c r="C6037" s="12" t="s">
        <v>4946</v>
      </c>
      <c r="D6037" s="93">
        <v>18.48</v>
      </c>
      <c r="E6037" s="93">
        <v>13.03</v>
      </c>
      <c r="F6037" s="93">
        <v>5.45</v>
      </c>
      <c r="G6037" s="93">
        <v>0</v>
      </c>
      <c r="H6037" s="93">
        <v>0</v>
      </c>
      <c r="N6037" s="88"/>
      <c r="O6037" s="88"/>
      <c r="P6037" s="88"/>
    </row>
    <row r="6038" spans="1:16">
      <c r="A6038" s="94">
        <v>100254</v>
      </c>
      <c r="B6038" s="87" t="s">
        <v>4964</v>
      </c>
      <c r="C6038" s="12" t="s">
        <v>4946</v>
      </c>
      <c r="D6038" s="93">
        <v>27.73</v>
      </c>
      <c r="E6038" s="93">
        <v>19.55</v>
      </c>
      <c r="F6038" s="93">
        <v>8.18</v>
      </c>
      <c r="G6038" s="93">
        <v>0</v>
      </c>
      <c r="H6038" s="93">
        <v>0</v>
      </c>
      <c r="N6038" s="88"/>
      <c r="O6038" s="88"/>
      <c r="P6038" s="88"/>
    </row>
    <row r="6039" spans="1:16">
      <c r="A6039" s="94">
        <v>100255</v>
      </c>
      <c r="B6039" s="87" t="s">
        <v>4965</v>
      </c>
      <c r="C6039" s="12" t="s">
        <v>4946</v>
      </c>
      <c r="D6039" s="93">
        <v>9.3800000000000008</v>
      </c>
      <c r="E6039" s="93">
        <v>6.63</v>
      </c>
      <c r="F6039" s="93">
        <v>2.75</v>
      </c>
      <c r="G6039" s="93">
        <v>0</v>
      </c>
      <c r="H6039" s="93">
        <v>0</v>
      </c>
      <c r="N6039" s="88"/>
      <c r="O6039" s="88"/>
      <c r="P6039" s="88"/>
    </row>
    <row r="6040" spans="1:16">
      <c r="A6040" s="94">
        <v>100256</v>
      </c>
      <c r="B6040" s="87" t="s">
        <v>4966</v>
      </c>
      <c r="C6040" s="12" t="s">
        <v>4946</v>
      </c>
      <c r="D6040" s="93">
        <v>6.25</v>
      </c>
      <c r="E6040" s="93">
        <v>4.43</v>
      </c>
      <c r="F6040" s="93">
        <v>1.82</v>
      </c>
      <c r="G6040" s="93">
        <v>0</v>
      </c>
      <c r="H6040" s="93">
        <v>0</v>
      </c>
      <c r="N6040" s="88"/>
      <c r="O6040" s="88"/>
      <c r="P6040" s="88"/>
    </row>
    <row r="6041" spans="1:16">
      <c r="A6041" s="94">
        <v>100257</v>
      </c>
      <c r="B6041" s="87" t="s">
        <v>4967</v>
      </c>
      <c r="C6041" s="12" t="s">
        <v>4946</v>
      </c>
      <c r="D6041" s="93">
        <v>3.75</v>
      </c>
      <c r="E6041" s="93">
        <v>2.66</v>
      </c>
      <c r="F6041" s="93">
        <v>1.0900000000000001</v>
      </c>
      <c r="G6041" s="93">
        <v>0</v>
      </c>
      <c r="H6041" s="93">
        <v>0</v>
      </c>
      <c r="N6041" s="88"/>
      <c r="O6041" s="88"/>
      <c r="P6041" s="88"/>
    </row>
    <row r="6042" spans="1:16">
      <c r="A6042" s="94">
        <v>100258</v>
      </c>
      <c r="B6042" s="87" t="s">
        <v>4968</v>
      </c>
      <c r="C6042" s="12" t="s">
        <v>4946</v>
      </c>
      <c r="D6042" s="93">
        <v>9.3800000000000008</v>
      </c>
      <c r="E6042" s="93">
        <v>6.63</v>
      </c>
      <c r="F6042" s="93">
        <v>2.75</v>
      </c>
      <c r="G6042" s="93">
        <v>0</v>
      </c>
      <c r="H6042" s="93">
        <v>0</v>
      </c>
      <c r="N6042" s="88"/>
      <c r="O6042" s="88"/>
      <c r="P6042" s="88"/>
    </row>
    <row r="6043" spans="1:16">
      <c r="A6043" s="94">
        <v>100259</v>
      </c>
      <c r="B6043" s="87" t="s">
        <v>4969</v>
      </c>
      <c r="C6043" s="12" t="s">
        <v>4946</v>
      </c>
      <c r="D6043" s="93">
        <v>18.48</v>
      </c>
      <c r="E6043" s="93">
        <v>13.03</v>
      </c>
      <c r="F6043" s="93">
        <v>5.45</v>
      </c>
      <c r="G6043" s="93">
        <v>0</v>
      </c>
      <c r="H6043" s="93">
        <v>0</v>
      </c>
      <c r="N6043" s="88"/>
      <c r="O6043" s="88"/>
      <c r="P6043" s="88"/>
    </row>
    <row r="6044" spans="1:16">
      <c r="A6044" s="94">
        <v>100260</v>
      </c>
      <c r="B6044" s="87" t="s">
        <v>4970</v>
      </c>
      <c r="C6044" s="12" t="s">
        <v>4901</v>
      </c>
      <c r="D6044" s="93">
        <v>6.09</v>
      </c>
      <c r="E6044" s="93">
        <v>4.3099999999999996</v>
      </c>
      <c r="F6044" s="93">
        <v>1.78</v>
      </c>
      <c r="G6044" s="93">
        <v>0</v>
      </c>
      <c r="H6044" s="93">
        <v>0</v>
      </c>
      <c r="N6044" s="88"/>
      <c r="O6044" s="88"/>
      <c r="P6044" s="88"/>
    </row>
    <row r="6045" spans="1:16">
      <c r="A6045" s="94">
        <v>100261</v>
      </c>
      <c r="B6045" s="87" t="s">
        <v>4971</v>
      </c>
      <c r="C6045" s="12" t="s">
        <v>4901</v>
      </c>
      <c r="D6045" s="93">
        <v>3.83</v>
      </c>
      <c r="E6045" s="93">
        <v>2.72</v>
      </c>
      <c r="F6045" s="93">
        <v>1.1100000000000001</v>
      </c>
      <c r="G6045" s="93">
        <v>0</v>
      </c>
      <c r="H6045" s="93">
        <v>0</v>
      </c>
      <c r="N6045" s="88"/>
      <c r="O6045" s="88"/>
      <c r="P6045" s="88"/>
    </row>
    <row r="6046" spans="1:16">
      <c r="A6046" s="94">
        <v>100262</v>
      </c>
      <c r="B6046" s="87" t="s">
        <v>4972</v>
      </c>
      <c r="C6046" s="12" t="s">
        <v>4901</v>
      </c>
      <c r="D6046" s="93">
        <v>2.37</v>
      </c>
      <c r="E6046" s="93">
        <v>1.7</v>
      </c>
      <c r="F6046" s="93">
        <v>0.67</v>
      </c>
      <c r="G6046" s="93">
        <v>0</v>
      </c>
      <c r="H6046" s="93">
        <v>0</v>
      </c>
      <c r="N6046" s="88"/>
      <c r="O6046" s="88"/>
      <c r="P6046" s="88"/>
    </row>
    <row r="6047" spans="1:16">
      <c r="A6047" s="94">
        <v>100263</v>
      </c>
      <c r="B6047" s="87" t="s">
        <v>4973</v>
      </c>
      <c r="C6047" s="12" t="s">
        <v>4901</v>
      </c>
      <c r="D6047" s="93">
        <v>1.52</v>
      </c>
      <c r="E6047" s="93">
        <v>1.0900000000000001</v>
      </c>
      <c r="F6047" s="93">
        <v>0.43</v>
      </c>
      <c r="G6047" s="93">
        <v>0</v>
      </c>
      <c r="H6047" s="93">
        <v>0</v>
      </c>
      <c r="N6047" s="88"/>
      <c r="O6047" s="88"/>
      <c r="P6047" s="88"/>
    </row>
    <row r="6048" spans="1:16">
      <c r="A6048" s="94">
        <v>100264</v>
      </c>
      <c r="B6048" s="87" t="s">
        <v>4974</v>
      </c>
      <c r="C6048" s="12" t="s">
        <v>4928</v>
      </c>
      <c r="D6048" s="93">
        <v>27.69</v>
      </c>
      <c r="E6048" s="93">
        <v>19.52</v>
      </c>
      <c r="F6048" s="93">
        <v>8.17</v>
      </c>
      <c r="G6048" s="93">
        <v>0</v>
      </c>
      <c r="H6048" s="93">
        <v>0</v>
      </c>
      <c r="N6048" s="88"/>
      <c r="O6048" s="88"/>
      <c r="P6048" s="88"/>
    </row>
    <row r="6049" spans="1:16">
      <c r="A6049" s="94">
        <v>100265</v>
      </c>
      <c r="B6049" s="87" t="s">
        <v>4975</v>
      </c>
      <c r="C6049" s="12" t="s">
        <v>9</v>
      </c>
      <c r="D6049" s="93">
        <v>0.57999999999999996</v>
      </c>
      <c r="E6049" s="93">
        <v>0.43</v>
      </c>
      <c r="F6049" s="93">
        <v>0.15</v>
      </c>
      <c r="G6049" s="93">
        <v>0</v>
      </c>
      <c r="H6049" s="93">
        <v>0</v>
      </c>
      <c r="N6049" s="88"/>
      <c r="O6049" s="88"/>
      <c r="P6049" s="88"/>
    </row>
    <row r="6050" spans="1:16">
      <c r="A6050" s="94">
        <v>100266</v>
      </c>
      <c r="B6050" s="87" t="s">
        <v>4976</v>
      </c>
      <c r="C6050" s="12" t="s">
        <v>4915</v>
      </c>
      <c r="D6050" s="93">
        <v>58.84</v>
      </c>
      <c r="E6050" s="93">
        <v>41.46</v>
      </c>
      <c r="F6050" s="93">
        <v>17.38</v>
      </c>
      <c r="G6050" s="93">
        <v>0</v>
      </c>
      <c r="H6050" s="93">
        <v>0</v>
      </c>
      <c r="N6050" s="88"/>
      <c r="O6050" s="88"/>
      <c r="P6050" s="88"/>
    </row>
    <row r="6051" spans="1:16">
      <c r="A6051" s="94">
        <v>100267</v>
      </c>
      <c r="B6051" s="87" t="s">
        <v>4977</v>
      </c>
      <c r="C6051" s="12" t="s">
        <v>4</v>
      </c>
      <c r="D6051" s="93">
        <v>1.1599999999999999</v>
      </c>
      <c r="E6051" s="93">
        <v>0.84</v>
      </c>
      <c r="F6051" s="93">
        <v>0.32</v>
      </c>
      <c r="G6051" s="93">
        <v>0</v>
      </c>
      <c r="H6051" s="93">
        <v>0</v>
      </c>
      <c r="N6051" s="88"/>
      <c r="O6051" s="88"/>
      <c r="P6051" s="88"/>
    </row>
    <row r="6052" spans="1:16">
      <c r="A6052" s="94">
        <v>100268</v>
      </c>
      <c r="B6052" s="87" t="s">
        <v>4978</v>
      </c>
      <c r="C6052" s="12" t="s">
        <v>4915</v>
      </c>
      <c r="D6052" s="93">
        <v>58.84</v>
      </c>
      <c r="E6052" s="93">
        <v>41.46</v>
      </c>
      <c r="F6052" s="93">
        <v>17.38</v>
      </c>
      <c r="G6052" s="93">
        <v>0</v>
      </c>
      <c r="H6052" s="93">
        <v>0</v>
      </c>
      <c r="N6052" s="88"/>
      <c r="O6052" s="88"/>
      <c r="P6052" s="88"/>
    </row>
    <row r="6053" spans="1:16">
      <c r="A6053" s="94">
        <v>100269</v>
      </c>
      <c r="B6053" s="87" t="s">
        <v>4979</v>
      </c>
      <c r="C6053" s="12" t="s">
        <v>4</v>
      </c>
      <c r="D6053" s="93">
        <v>1.1599999999999999</v>
      </c>
      <c r="E6053" s="93">
        <v>0.84</v>
      </c>
      <c r="F6053" s="93">
        <v>0.32</v>
      </c>
      <c r="G6053" s="93">
        <v>0</v>
      </c>
      <c r="H6053" s="93">
        <v>0</v>
      </c>
      <c r="N6053" s="88"/>
      <c r="O6053" s="88"/>
      <c r="P6053" s="88"/>
    </row>
    <row r="6054" spans="1:16">
      <c r="A6054" s="94">
        <v>100270</v>
      </c>
      <c r="B6054" s="87" t="s">
        <v>4980</v>
      </c>
      <c r="C6054" s="12" t="s">
        <v>4915</v>
      </c>
      <c r="D6054" s="93">
        <v>44.11</v>
      </c>
      <c r="E6054" s="93">
        <v>31.09</v>
      </c>
      <c r="F6054" s="93">
        <v>13.02</v>
      </c>
      <c r="G6054" s="93">
        <v>0</v>
      </c>
      <c r="H6054" s="93">
        <v>0</v>
      </c>
      <c r="N6054" s="88"/>
      <c r="O6054" s="88"/>
      <c r="P6054" s="88"/>
    </row>
    <row r="6055" spans="1:16">
      <c r="A6055" s="94">
        <v>100271</v>
      </c>
      <c r="B6055" s="87" t="s">
        <v>4981</v>
      </c>
      <c r="C6055" s="12" t="s">
        <v>4928</v>
      </c>
      <c r="D6055" s="93">
        <v>44.13</v>
      </c>
      <c r="E6055" s="93">
        <v>31.1</v>
      </c>
      <c r="F6055" s="93">
        <v>13.03</v>
      </c>
      <c r="G6055" s="93">
        <v>0</v>
      </c>
      <c r="H6055" s="93">
        <v>0</v>
      </c>
      <c r="N6055" s="88"/>
      <c r="O6055" s="88"/>
      <c r="P6055" s="88"/>
    </row>
    <row r="6056" spans="1:16">
      <c r="A6056" s="94">
        <v>100272</v>
      </c>
      <c r="B6056" s="87" t="s">
        <v>4982</v>
      </c>
      <c r="C6056" s="12" t="s">
        <v>9</v>
      </c>
      <c r="D6056" s="93">
        <v>0.87</v>
      </c>
      <c r="E6056" s="93">
        <v>0.63</v>
      </c>
      <c r="F6056" s="93">
        <v>0.24</v>
      </c>
      <c r="G6056" s="93">
        <v>0</v>
      </c>
      <c r="H6056" s="93">
        <v>0</v>
      </c>
      <c r="N6056" s="88"/>
      <c r="O6056" s="88"/>
      <c r="P6056" s="88"/>
    </row>
    <row r="6057" spans="1:16">
      <c r="A6057" s="94">
        <v>100273</v>
      </c>
      <c r="B6057" s="87" t="s">
        <v>4983</v>
      </c>
      <c r="C6057" s="12" t="s">
        <v>4901</v>
      </c>
      <c r="D6057" s="93">
        <v>2.2999999999999998</v>
      </c>
      <c r="E6057" s="93">
        <v>1.64</v>
      </c>
      <c r="F6057" s="93">
        <v>0.66</v>
      </c>
      <c r="G6057" s="93">
        <v>0</v>
      </c>
      <c r="H6057" s="93">
        <v>0</v>
      </c>
      <c r="N6057" s="88"/>
      <c r="O6057" s="88"/>
      <c r="P6057" s="88"/>
    </row>
    <row r="6058" spans="1:16">
      <c r="A6058" s="94">
        <v>100274</v>
      </c>
      <c r="B6058" s="87" t="s">
        <v>4984</v>
      </c>
      <c r="C6058" s="12" t="s">
        <v>4928</v>
      </c>
      <c r="D6058" s="93">
        <v>19.62</v>
      </c>
      <c r="E6058" s="93">
        <v>13.84</v>
      </c>
      <c r="F6058" s="93">
        <v>5.78</v>
      </c>
      <c r="G6058" s="93">
        <v>0</v>
      </c>
      <c r="H6058" s="93">
        <v>0</v>
      </c>
      <c r="N6058" s="88"/>
      <c r="O6058" s="88"/>
      <c r="P6058" s="88"/>
    </row>
    <row r="6059" spans="1:16">
      <c r="A6059" s="94">
        <v>100275</v>
      </c>
      <c r="B6059" s="87" t="s">
        <v>4985</v>
      </c>
      <c r="C6059" s="12" t="s">
        <v>4928</v>
      </c>
      <c r="D6059" s="93">
        <v>12.68</v>
      </c>
      <c r="E6059" s="93">
        <v>8.9499999999999993</v>
      </c>
      <c r="F6059" s="93">
        <v>3.73</v>
      </c>
      <c r="G6059" s="93">
        <v>0</v>
      </c>
      <c r="H6059" s="93">
        <v>0</v>
      </c>
      <c r="N6059" s="88"/>
      <c r="O6059" s="88"/>
      <c r="P6059" s="88"/>
    </row>
    <row r="6060" spans="1:16">
      <c r="A6060" s="94">
        <v>100276</v>
      </c>
      <c r="B6060" s="87" t="s">
        <v>4986</v>
      </c>
      <c r="C6060" s="12" t="s">
        <v>4928</v>
      </c>
      <c r="D6060" s="93">
        <v>23.15</v>
      </c>
      <c r="E6060" s="93">
        <v>16.32</v>
      </c>
      <c r="F6060" s="93">
        <v>6.83</v>
      </c>
      <c r="G6060" s="93">
        <v>0</v>
      </c>
      <c r="H6060" s="93">
        <v>0</v>
      </c>
      <c r="N6060" s="88"/>
      <c r="O6060" s="88"/>
      <c r="P6060" s="88"/>
    </row>
    <row r="6061" spans="1:16">
      <c r="A6061" s="94">
        <v>100277</v>
      </c>
      <c r="B6061" s="87" t="s">
        <v>4987</v>
      </c>
      <c r="C6061" s="12" t="s">
        <v>4928</v>
      </c>
      <c r="D6061" s="93">
        <v>1.46</v>
      </c>
      <c r="E6061" s="93">
        <v>0.5</v>
      </c>
      <c r="F6061" s="93">
        <v>0.27</v>
      </c>
      <c r="G6061" s="93">
        <v>0.69</v>
      </c>
      <c r="H6061" s="93">
        <v>0</v>
      </c>
      <c r="N6061" s="88"/>
      <c r="O6061" s="88"/>
      <c r="P6061" s="88"/>
    </row>
    <row r="6062" spans="1:16">
      <c r="A6062" s="94">
        <v>100278</v>
      </c>
      <c r="B6062" s="87" t="s">
        <v>4988</v>
      </c>
      <c r="C6062" s="12" t="s">
        <v>4915</v>
      </c>
      <c r="D6062" s="93">
        <v>28.15</v>
      </c>
      <c r="E6062" s="93">
        <v>19.84</v>
      </c>
      <c r="F6062" s="93">
        <v>8.31</v>
      </c>
      <c r="G6062" s="93">
        <v>0</v>
      </c>
      <c r="H6062" s="93">
        <v>0</v>
      </c>
      <c r="N6062" s="88"/>
      <c r="O6062" s="88"/>
      <c r="P6062" s="88"/>
    </row>
    <row r="6063" spans="1:16">
      <c r="A6063" s="94">
        <v>100279</v>
      </c>
      <c r="B6063" s="87" t="s">
        <v>4989</v>
      </c>
      <c r="C6063" s="12" t="s">
        <v>4</v>
      </c>
      <c r="D6063" s="93">
        <v>0.54</v>
      </c>
      <c r="E6063" s="93">
        <v>0.41</v>
      </c>
      <c r="F6063" s="93">
        <v>0.13</v>
      </c>
      <c r="G6063" s="93">
        <v>0</v>
      </c>
      <c r="H6063" s="93">
        <v>0</v>
      </c>
      <c r="N6063" s="88"/>
      <c r="O6063" s="88"/>
      <c r="P6063" s="88"/>
    </row>
    <row r="6064" spans="1:16">
      <c r="A6064" s="94">
        <v>100280</v>
      </c>
      <c r="B6064" s="87" t="s">
        <v>4990</v>
      </c>
      <c r="C6064" s="12" t="s">
        <v>4915</v>
      </c>
      <c r="D6064" s="93">
        <v>12.92</v>
      </c>
      <c r="E6064" s="93">
        <v>9.11</v>
      </c>
      <c r="F6064" s="93">
        <v>3.81</v>
      </c>
      <c r="G6064" s="93">
        <v>0</v>
      </c>
      <c r="H6064" s="93">
        <v>0</v>
      </c>
      <c r="N6064" s="88"/>
      <c r="O6064" s="88"/>
      <c r="P6064" s="88"/>
    </row>
    <row r="6065" spans="1:16">
      <c r="A6065" s="94">
        <v>100281</v>
      </c>
      <c r="B6065" s="87" t="s">
        <v>4991</v>
      </c>
      <c r="C6065" s="12" t="s">
        <v>4915</v>
      </c>
      <c r="D6065" s="93">
        <v>2.81</v>
      </c>
      <c r="E6065" s="93">
        <v>0.97</v>
      </c>
      <c r="F6065" s="93">
        <v>0.51</v>
      </c>
      <c r="G6065" s="93">
        <v>1.33</v>
      </c>
      <c r="H6065" s="93">
        <v>0</v>
      </c>
      <c r="N6065" s="88"/>
      <c r="O6065" s="88"/>
      <c r="P6065" s="88"/>
    </row>
    <row r="6066" spans="1:16">
      <c r="A6066" s="94">
        <v>100282</v>
      </c>
      <c r="B6066" s="87" t="s">
        <v>4992</v>
      </c>
      <c r="C6066" s="12" t="s">
        <v>4928</v>
      </c>
      <c r="D6066" s="93">
        <v>110.25</v>
      </c>
      <c r="E6066" s="93">
        <v>77.66</v>
      </c>
      <c r="F6066" s="93">
        <v>32.590000000000003</v>
      </c>
      <c r="G6066" s="93">
        <v>0</v>
      </c>
      <c r="H6066" s="93">
        <v>0</v>
      </c>
      <c r="N6066" s="88"/>
      <c r="O6066" s="88"/>
      <c r="P6066" s="88"/>
    </row>
    <row r="6067" spans="1:16">
      <c r="A6067" s="94">
        <v>100283</v>
      </c>
      <c r="B6067" s="87" t="s">
        <v>4993</v>
      </c>
      <c r="C6067" s="12" t="s">
        <v>4928</v>
      </c>
      <c r="D6067" s="93">
        <v>17.809999999999999</v>
      </c>
      <c r="E6067" s="93">
        <v>12.56</v>
      </c>
      <c r="F6067" s="93">
        <v>5.25</v>
      </c>
      <c r="G6067" s="93">
        <v>0</v>
      </c>
      <c r="H6067" s="93">
        <v>0</v>
      </c>
      <c r="N6067" s="88"/>
      <c r="O6067" s="88"/>
      <c r="P6067" s="88"/>
    </row>
    <row r="6068" spans="1:16">
      <c r="A6068" s="94">
        <v>100284</v>
      </c>
      <c r="B6068" s="87" t="s">
        <v>4994</v>
      </c>
      <c r="C6068" s="12" t="s">
        <v>4928</v>
      </c>
      <c r="D6068" s="93">
        <v>8.2100000000000009</v>
      </c>
      <c r="E6068" s="93">
        <v>2.79</v>
      </c>
      <c r="F6068" s="93">
        <v>1.64</v>
      </c>
      <c r="G6068" s="93">
        <v>3.78</v>
      </c>
      <c r="H6068" s="93">
        <v>0</v>
      </c>
      <c r="N6068" s="88"/>
      <c r="O6068" s="88"/>
      <c r="P6068" s="88"/>
    </row>
    <row r="6069" spans="1:16">
      <c r="A6069" s="94">
        <v>100285</v>
      </c>
      <c r="B6069" s="87" t="s">
        <v>4995</v>
      </c>
      <c r="C6069" s="12" t="s">
        <v>4946</v>
      </c>
      <c r="D6069" s="93">
        <v>29.62</v>
      </c>
      <c r="E6069" s="93">
        <v>20.88</v>
      </c>
      <c r="F6069" s="93">
        <v>8.74</v>
      </c>
      <c r="G6069" s="93">
        <v>0</v>
      </c>
      <c r="H6069" s="93">
        <v>0</v>
      </c>
      <c r="N6069" s="88"/>
      <c r="O6069" s="88"/>
      <c r="P6069" s="88"/>
    </row>
    <row r="6070" spans="1:16">
      <c r="A6070" s="94">
        <v>100286</v>
      </c>
      <c r="B6070" s="87" t="s">
        <v>4996</v>
      </c>
      <c r="C6070" s="12" t="s">
        <v>4946</v>
      </c>
      <c r="D6070" s="93">
        <v>9.65</v>
      </c>
      <c r="E6070" s="93">
        <v>6.82</v>
      </c>
      <c r="F6070" s="93">
        <v>2.83</v>
      </c>
      <c r="G6070" s="93">
        <v>0</v>
      </c>
      <c r="H6070" s="93">
        <v>0</v>
      </c>
      <c r="N6070" s="88"/>
      <c r="O6070" s="88"/>
      <c r="P6070" s="88"/>
    </row>
    <row r="6071" spans="1:16">
      <c r="A6071" s="94">
        <v>100287</v>
      </c>
      <c r="B6071" s="87" t="s">
        <v>4997</v>
      </c>
      <c r="C6071" s="12" t="s">
        <v>4946</v>
      </c>
      <c r="D6071" s="93">
        <v>9.24</v>
      </c>
      <c r="E6071" s="93">
        <v>6.53</v>
      </c>
      <c r="F6071" s="93">
        <v>2.71</v>
      </c>
      <c r="G6071" s="93">
        <v>0</v>
      </c>
      <c r="H6071" s="93">
        <v>0</v>
      </c>
      <c r="N6071" s="88"/>
      <c r="O6071" s="88"/>
      <c r="P6071" s="88"/>
    </row>
    <row r="6072" spans="1:16">
      <c r="A6072" s="94">
        <v>99802</v>
      </c>
      <c r="B6072" s="87" t="s">
        <v>4998</v>
      </c>
      <c r="C6072" s="12" t="s">
        <v>9</v>
      </c>
      <c r="D6072" s="93">
        <v>0.37</v>
      </c>
      <c r="E6072" s="93">
        <v>0.27</v>
      </c>
      <c r="F6072" s="93">
        <v>0.1</v>
      </c>
      <c r="G6072" s="93">
        <v>0</v>
      </c>
      <c r="H6072" s="93">
        <v>0</v>
      </c>
      <c r="N6072" s="88"/>
      <c r="O6072" s="88"/>
      <c r="P6072" s="88"/>
    </row>
    <row r="6073" spans="1:16">
      <c r="A6073" s="94">
        <v>99803</v>
      </c>
      <c r="B6073" s="87" t="s">
        <v>4999</v>
      </c>
      <c r="C6073" s="12" t="s">
        <v>9</v>
      </c>
      <c r="D6073" s="93">
        <v>1.46</v>
      </c>
      <c r="E6073" s="93">
        <v>1.06</v>
      </c>
      <c r="F6073" s="93">
        <v>0.4</v>
      </c>
      <c r="G6073" s="93">
        <v>0</v>
      </c>
      <c r="H6073" s="93">
        <v>0</v>
      </c>
      <c r="N6073" s="88"/>
      <c r="O6073" s="88"/>
      <c r="P6073" s="88"/>
    </row>
    <row r="6074" spans="1:16">
      <c r="A6074" s="94">
        <v>99805</v>
      </c>
      <c r="B6074" s="87" t="s">
        <v>5000</v>
      </c>
      <c r="C6074" s="12" t="s">
        <v>9</v>
      </c>
      <c r="D6074" s="93">
        <v>7.65</v>
      </c>
      <c r="E6074" s="93">
        <v>5.27</v>
      </c>
      <c r="F6074" s="93">
        <v>2.38</v>
      </c>
      <c r="G6074" s="93">
        <v>0</v>
      </c>
      <c r="H6074" s="93">
        <v>0</v>
      </c>
      <c r="N6074" s="88"/>
      <c r="O6074" s="88"/>
      <c r="P6074" s="88"/>
    </row>
    <row r="6075" spans="1:16">
      <c r="A6075" s="94">
        <v>99806</v>
      </c>
      <c r="B6075" s="87" t="s">
        <v>5001</v>
      </c>
      <c r="C6075" s="12" t="s">
        <v>9</v>
      </c>
      <c r="D6075" s="93">
        <v>0.6</v>
      </c>
      <c r="E6075" s="93">
        <v>0.44</v>
      </c>
      <c r="F6075" s="93">
        <v>0.16</v>
      </c>
      <c r="G6075" s="93">
        <v>0</v>
      </c>
      <c r="H6075" s="93">
        <v>0</v>
      </c>
      <c r="N6075" s="88"/>
      <c r="O6075" s="88"/>
      <c r="P6075" s="88"/>
    </row>
    <row r="6076" spans="1:16">
      <c r="A6076" s="94">
        <v>99808</v>
      </c>
      <c r="B6076" s="87" t="s">
        <v>5002</v>
      </c>
      <c r="C6076" s="12" t="s">
        <v>9</v>
      </c>
      <c r="D6076" s="93">
        <v>2.52</v>
      </c>
      <c r="E6076" s="93">
        <v>1.65</v>
      </c>
      <c r="F6076" s="93">
        <v>0.87</v>
      </c>
      <c r="G6076" s="93">
        <v>0</v>
      </c>
      <c r="H6076" s="93">
        <v>0</v>
      </c>
      <c r="N6076" s="88"/>
      <c r="O6076" s="88"/>
      <c r="P6076" s="88"/>
    </row>
    <row r="6077" spans="1:16">
      <c r="A6077" s="94">
        <v>99809</v>
      </c>
      <c r="B6077" s="87" t="s">
        <v>5003</v>
      </c>
      <c r="C6077" s="12" t="s">
        <v>9</v>
      </c>
      <c r="D6077" s="93">
        <v>4.17</v>
      </c>
      <c r="E6077" s="93">
        <v>2.96</v>
      </c>
      <c r="F6077" s="93">
        <v>1.21</v>
      </c>
      <c r="G6077" s="93">
        <v>0</v>
      </c>
      <c r="H6077" s="93">
        <v>0</v>
      </c>
      <c r="N6077" s="88"/>
      <c r="O6077" s="88"/>
      <c r="P6077" s="88"/>
    </row>
    <row r="6078" spans="1:16">
      <c r="A6078" s="94">
        <v>99811</v>
      </c>
      <c r="B6078" s="87" t="s">
        <v>5004</v>
      </c>
      <c r="C6078" s="12" t="s">
        <v>9</v>
      </c>
      <c r="D6078" s="93">
        <v>2.4900000000000002</v>
      </c>
      <c r="E6078" s="93">
        <v>1.78</v>
      </c>
      <c r="F6078" s="93">
        <v>0.71</v>
      </c>
      <c r="G6078" s="93">
        <v>0</v>
      </c>
      <c r="H6078" s="93">
        <v>0</v>
      </c>
      <c r="N6078" s="88"/>
      <c r="O6078" s="88"/>
      <c r="P6078" s="88"/>
    </row>
    <row r="6079" spans="1:16">
      <c r="A6079" s="94">
        <v>99812</v>
      </c>
      <c r="B6079" s="87" t="s">
        <v>5005</v>
      </c>
      <c r="C6079" s="12" t="s">
        <v>9</v>
      </c>
      <c r="D6079" s="93">
        <v>0.8</v>
      </c>
      <c r="E6079" s="93">
        <v>0.57999999999999996</v>
      </c>
      <c r="F6079" s="93">
        <v>0.22</v>
      </c>
      <c r="G6079" s="93">
        <v>0</v>
      </c>
      <c r="H6079" s="93">
        <v>0</v>
      </c>
      <c r="N6079" s="88"/>
      <c r="O6079" s="88"/>
      <c r="P6079" s="88"/>
    </row>
    <row r="6080" spans="1:16">
      <c r="A6080" s="94">
        <v>99814</v>
      </c>
      <c r="B6080" s="87" t="s">
        <v>5006</v>
      </c>
      <c r="C6080" s="12" t="s">
        <v>9</v>
      </c>
      <c r="D6080" s="93">
        <v>1.35</v>
      </c>
      <c r="E6080" s="93">
        <v>0.97</v>
      </c>
      <c r="F6080" s="93">
        <v>0.37</v>
      </c>
      <c r="G6080" s="93">
        <v>0</v>
      </c>
      <c r="H6080" s="93">
        <v>0</v>
      </c>
      <c r="N6080" s="88"/>
      <c r="O6080" s="88"/>
      <c r="P6080" s="88"/>
    </row>
    <row r="6081" spans="1:16">
      <c r="A6081" s="94">
        <v>99822</v>
      </c>
      <c r="B6081" s="87" t="s">
        <v>5007</v>
      </c>
      <c r="C6081" s="12" t="s">
        <v>9</v>
      </c>
      <c r="D6081" s="93">
        <v>0.71</v>
      </c>
      <c r="E6081" s="93">
        <v>0.53</v>
      </c>
      <c r="F6081" s="93">
        <v>0.18</v>
      </c>
      <c r="G6081" s="93">
        <v>0</v>
      </c>
      <c r="H6081" s="93">
        <v>0</v>
      </c>
      <c r="N6081" s="88"/>
      <c r="O6081" s="88"/>
      <c r="P6081" s="88"/>
    </row>
    <row r="6082" spans="1:16">
      <c r="A6082" s="94">
        <v>99826</v>
      </c>
      <c r="B6082" s="87" t="s">
        <v>5008</v>
      </c>
      <c r="C6082" s="12" t="s">
        <v>9</v>
      </c>
      <c r="D6082" s="93">
        <v>1.08</v>
      </c>
      <c r="E6082" s="93">
        <v>0.79</v>
      </c>
      <c r="F6082" s="93">
        <v>0.28999999999999998</v>
      </c>
      <c r="G6082" s="93">
        <v>0</v>
      </c>
      <c r="H6082" s="93">
        <v>0</v>
      </c>
      <c r="N6082" s="88"/>
      <c r="O6082" s="88"/>
      <c r="P6082" s="88"/>
    </row>
    <row r="6083" spans="1:16">
      <c r="A6083" s="94">
        <v>73361</v>
      </c>
      <c r="B6083" s="87" t="s">
        <v>479</v>
      </c>
      <c r="C6083" s="12" t="s">
        <v>5</v>
      </c>
      <c r="D6083" s="93">
        <v>417.63</v>
      </c>
      <c r="E6083" s="93">
        <v>144.30000000000001</v>
      </c>
      <c r="F6083" s="93">
        <v>272.02</v>
      </c>
      <c r="G6083" s="93">
        <v>0.64</v>
      </c>
      <c r="H6083" s="93">
        <v>0</v>
      </c>
      <c r="N6083" s="88"/>
      <c r="O6083" s="88"/>
      <c r="P6083" s="88"/>
    </row>
    <row r="6084" spans="1:16">
      <c r="A6084" s="94">
        <v>73714</v>
      </c>
      <c r="B6084" s="87" t="s">
        <v>6916</v>
      </c>
      <c r="C6084" s="12" t="s">
        <v>4</v>
      </c>
      <c r="D6084" s="93">
        <v>1738.01</v>
      </c>
      <c r="E6084" s="93">
        <v>478.38</v>
      </c>
      <c r="F6084" s="93">
        <v>1258.0899999999999</v>
      </c>
      <c r="G6084" s="93">
        <v>0.65</v>
      </c>
      <c r="H6084" s="93">
        <v>0</v>
      </c>
      <c r="N6084" s="88"/>
      <c r="O6084" s="88"/>
      <c r="P6084" s="88"/>
    </row>
    <row r="6085" spans="1:16">
      <c r="A6085" s="94">
        <v>97010</v>
      </c>
      <c r="B6085" s="87" t="s">
        <v>5009</v>
      </c>
      <c r="C6085" s="12" t="s">
        <v>6</v>
      </c>
      <c r="D6085" s="93">
        <v>43.66</v>
      </c>
      <c r="E6085" s="93">
        <v>10.86</v>
      </c>
      <c r="F6085" s="93">
        <v>32.799999999999997</v>
      </c>
      <c r="G6085" s="93">
        <v>0</v>
      </c>
      <c r="H6085" s="93">
        <v>0</v>
      </c>
      <c r="N6085" s="88"/>
      <c r="O6085" s="88"/>
      <c r="P6085" s="88"/>
    </row>
    <row r="6086" spans="1:16">
      <c r="A6086" s="94">
        <v>97011</v>
      </c>
      <c r="B6086" s="87" t="s">
        <v>5010</v>
      </c>
      <c r="C6086" s="12" t="s">
        <v>6</v>
      </c>
      <c r="D6086" s="93">
        <v>34.340000000000003</v>
      </c>
      <c r="E6086" s="93">
        <v>10.87</v>
      </c>
      <c r="F6086" s="93">
        <v>23.47</v>
      </c>
      <c r="G6086" s="93">
        <v>0</v>
      </c>
      <c r="H6086" s="93">
        <v>0</v>
      </c>
      <c r="N6086" s="88"/>
      <c r="O6086" s="88"/>
      <c r="P6086" s="88"/>
    </row>
    <row r="6087" spans="1:16">
      <c r="A6087" s="94">
        <v>97012</v>
      </c>
      <c r="B6087" s="87" t="s">
        <v>5011</v>
      </c>
      <c r="C6087" s="12" t="s">
        <v>6</v>
      </c>
      <c r="D6087" s="93">
        <v>29.69</v>
      </c>
      <c r="E6087" s="93">
        <v>10.88</v>
      </c>
      <c r="F6087" s="93">
        <v>18.809999999999999</v>
      </c>
      <c r="G6087" s="93">
        <v>0</v>
      </c>
      <c r="H6087" s="93">
        <v>0</v>
      </c>
      <c r="N6087" s="88"/>
      <c r="O6087" s="88"/>
      <c r="P6087" s="88"/>
    </row>
    <row r="6088" spans="1:16">
      <c r="A6088" s="94">
        <v>97013</v>
      </c>
      <c r="B6088" s="87" t="s">
        <v>5012</v>
      </c>
      <c r="C6088" s="12" t="s">
        <v>6</v>
      </c>
      <c r="D6088" s="93">
        <v>54.39</v>
      </c>
      <c r="E6088" s="93">
        <v>11.53</v>
      </c>
      <c r="F6088" s="93">
        <v>42.86</v>
      </c>
      <c r="G6088" s="93">
        <v>0</v>
      </c>
      <c r="H6088" s="93">
        <v>0</v>
      </c>
      <c r="N6088" s="88"/>
      <c r="O6088" s="88"/>
      <c r="P6088" s="88"/>
    </row>
    <row r="6089" spans="1:16">
      <c r="A6089" s="94">
        <v>97014</v>
      </c>
      <c r="B6089" s="87" t="s">
        <v>5013</v>
      </c>
      <c r="C6089" s="12" t="s">
        <v>6</v>
      </c>
      <c r="D6089" s="93">
        <v>41.72</v>
      </c>
      <c r="E6089" s="93">
        <v>11.54</v>
      </c>
      <c r="F6089" s="93">
        <v>30.18</v>
      </c>
      <c r="G6089" s="93">
        <v>0</v>
      </c>
      <c r="H6089" s="93">
        <v>0</v>
      </c>
      <c r="N6089" s="88"/>
      <c r="O6089" s="88"/>
      <c r="P6089" s="88"/>
    </row>
    <row r="6090" spans="1:16">
      <c r="A6090" s="94">
        <v>97015</v>
      </c>
      <c r="B6090" s="87" t="s">
        <v>5014</v>
      </c>
      <c r="C6090" s="12" t="s">
        <v>6</v>
      </c>
      <c r="D6090" s="93">
        <v>35.299999999999997</v>
      </c>
      <c r="E6090" s="93">
        <v>11.54</v>
      </c>
      <c r="F6090" s="93">
        <v>23.76</v>
      </c>
      <c r="G6090" s="93">
        <v>0</v>
      </c>
      <c r="H6090" s="93">
        <v>0</v>
      </c>
      <c r="N6090" s="88"/>
      <c r="O6090" s="88"/>
      <c r="P6090" s="88"/>
    </row>
    <row r="6091" spans="1:16">
      <c r="A6091" s="94">
        <v>97016</v>
      </c>
      <c r="B6091" s="87" t="s">
        <v>5015</v>
      </c>
      <c r="C6091" s="12" t="s">
        <v>6</v>
      </c>
      <c r="D6091" s="93">
        <v>37.75</v>
      </c>
      <c r="E6091" s="93">
        <v>6.79</v>
      </c>
      <c r="F6091" s="93">
        <v>30.96</v>
      </c>
      <c r="G6091" s="93">
        <v>0</v>
      </c>
      <c r="H6091" s="93">
        <v>0</v>
      </c>
      <c r="N6091" s="88"/>
      <c r="O6091" s="88"/>
      <c r="P6091" s="88"/>
    </row>
    <row r="6092" spans="1:16">
      <c r="A6092" s="94">
        <v>97017</v>
      </c>
      <c r="B6092" s="87" t="s">
        <v>5016</v>
      </c>
      <c r="C6092" s="12" t="s">
        <v>6</v>
      </c>
      <c r="D6092" s="93">
        <v>28.91</v>
      </c>
      <c r="E6092" s="93">
        <v>6.8</v>
      </c>
      <c r="F6092" s="93">
        <v>22.11</v>
      </c>
      <c r="G6092" s="93">
        <v>0</v>
      </c>
      <c r="H6092" s="93">
        <v>0</v>
      </c>
      <c r="N6092" s="88"/>
      <c r="O6092" s="88"/>
      <c r="P6092" s="88"/>
    </row>
    <row r="6093" spans="1:16">
      <c r="A6093" s="94">
        <v>97018</v>
      </c>
      <c r="B6093" s="87" t="s">
        <v>5017</v>
      </c>
      <c r="C6093" s="12" t="s">
        <v>6</v>
      </c>
      <c r="D6093" s="93">
        <v>24.31</v>
      </c>
      <c r="E6093" s="93">
        <v>6.8</v>
      </c>
      <c r="F6093" s="93">
        <v>17.510000000000002</v>
      </c>
      <c r="G6093" s="93">
        <v>0</v>
      </c>
      <c r="H6093" s="93">
        <v>0</v>
      </c>
      <c r="N6093" s="88"/>
      <c r="O6093" s="88"/>
      <c r="P6093" s="88"/>
    </row>
    <row r="6094" spans="1:16">
      <c r="A6094" s="94">
        <v>97031</v>
      </c>
      <c r="B6094" s="87" t="s">
        <v>5018</v>
      </c>
      <c r="C6094" s="12" t="s">
        <v>6</v>
      </c>
      <c r="D6094" s="93">
        <v>63.76</v>
      </c>
      <c r="E6094" s="93">
        <v>11.06</v>
      </c>
      <c r="F6094" s="93">
        <v>52.7</v>
      </c>
      <c r="G6094" s="93">
        <v>0</v>
      </c>
      <c r="H6094" s="93">
        <v>0</v>
      </c>
      <c r="N6094" s="88"/>
      <c r="O6094" s="88"/>
      <c r="P6094" s="88"/>
    </row>
    <row r="6095" spans="1:16">
      <c r="A6095" s="94">
        <v>97032</v>
      </c>
      <c r="B6095" s="87" t="s">
        <v>5019</v>
      </c>
      <c r="C6095" s="12" t="s">
        <v>6</v>
      </c>
      <c r="D6095" s="93">
        <v>40.270000000000003</v>
      </c>
      <c r="E6095" s="93">
        <v>11.07</v>
      </c>
      <c r="F6095" s="93">
        <v>29.2</v>
      </c>
      <c r="G6095" s="93">
        <v>0</v>
      </c>
      <c r="H6095" s="93">
        <v>0</v>
      </c>
      <c r="N6095" s="88"/>
      <c r="O6095" s="88"/>
      <c r="P6095" s="88"/>
    </row>
    <row r="6096" spans="1:16">
      <c r="A6096" s="94">
        <v>97033</v>
      </c>
      <c r="B6096" s="87" t="s">
        <v>5020</v>
      </c>
      <c r="C6096" s="12" t="s">
        <v>6</v>
      </c>
      <c r="D6096" s="93">
        <v>66.87</v>
      </c>
      <c r="E6096" s="93">
        <v>10.34</v>
      </c>
      <c r="F6096" s="93">
        <v>41.88</v>
      </c>
      <c r="G6096" s="93">
        <v>14.65</v>
      </c>
      <c r="H6096" s="93">
        <v>0</v>
      </c>
      <c r="N6096" s="88"/>
      <c r="O6096" s="88"/>
      <c r="P6096" s="88"/>
    </row>
    <row r="6097" spans="1:16">
      <c r="A6097" s="94">
        <v>97034</v>
      </c>
      <c r="B6097" s="87" t="s">
        <v>5021</v>
      </c>
      <c r="C6097" s="12" t="s">
        <v>6</v>
      </c>
      <c r="D6097" s="93">
        <v>40.96</v>
      </c>
      <c r="E6097" s="93">
        <v>10.34</v>
      </c>
      <c r="F6097" s="93">
        <v>23.3</v>
      </c>
      <c r="G6097" s="93">
        <v>7.32</v>
      </c>
      <c r="H6097" s="93">
        <v>0</v>
      </c>
      <c r="N6097" s="88"/>
      <c r="O6097" s="88"/>
      <c r="P6097" s="88"/>
    </row>
    <row r="6098" spans="1:16">
      <c r="A6098" s="94">
        <v>97039</v>
      </c>
      <c r="B6098" s="87" t="s">
        <v>5022</v>
      </c>
      <c r="C6098" s="12" t="s">
        <v>9</v>
      </c>
      <c r="D6098" s="93">
        <v>31.3</v>
      </c>
      <c r="E6098" s="93">
        <v>11</v>
      </c>
      <c r="F6098" s="93">
        <v>20.25</v>
      </c>
      <c r="G6098" s="93">
        <v>0</v>
      </c>
      <c r="H6098" s="93">
        <v>0</v>
      </c>
      <c r="N6098" s="88"/>
      <c r="O6098" s="88"/>
      <c r="P6098" s="88"/>
    </row>
    <row r="6099" spans="1:16">
      <c r="A6099" s="94">
        <v>97040</v>
      </c>
      <c r="B6099" s="87" t="s">
        <v>5023</v>
      </c>
      <c r="C6099" s="12" t="s">
        <v>9</v>
      </c>
      <c r="D6099" s="93">
        <v>12.58</v>
      </c>
      <c r="E6099" s="93">
        <v>6.82</v>
      </c>
      <c r="F6099" s="93">
        <v>5.7</v>
      </c>
      <c r="G6099" s="93">
        <v>0</v>
      </c>
      <c r="H6099" s="93">
        <v>0</v>
      </c>
      <c r="N6099" s="88"/>
      <c r="O6099" s="88"/>
      <c r="P6099" s="88"/>
    </row>
    <row r="6100" spans="1:16">
      <c r="A6100" s="94">
        <v>97041</v>
      </c>
      <c r="B6100" s="87" t="s">
        <v>5024</v>
      </c>
      <c r="C6100" s="12" t="s">
        <v>9</v>
      </c>
      <c r="D6100" s="93">
        <v>131.38</v>
      </c>
      <c r="E6100" s="93">
        <v>18.18</v>
      </c>
      <c r="F6100" s="93">
        <v>113.04</v>
      </c>
      <c r="G6100" s="93">
        <v>0</v>
      </c>
      <c r="H6100" s="93">
        <v>0</v>
      </c>
      <c r="N6100" s="88"/>
      <c r="O6100" s="88"/>
      <c r="P6100" s="88"/>
    </row>
    <row r="6101" spans="1:16">
      <c r="A6101" s="94">
        <v>97046</v>
      </c>
      <c r="B6101" s="87" t="s">
        <v>5025</v>
      </c>
      <c r="C6101" s="12" t="s">
        <v>9</v>
      </c>
      <c r="D6101" s="93">
        <v>0.26</v>
      </c>
      <c r="E6101" s="93">
        <v>0.05</v>
      </c>
      <c r="F6101" s="93">
        <v>0.21</v>
      </c>
      <c r="G6101" s="93">
        <v>0</v>
      </c>
      <c r="H6101" s="93">
        <v>0</v>
      </c>
      <c r="N6101" s="88"/>
      <c r="O6101" s="88"/>
      <c r="P6101" s="88"/>
    </row>
    <row r="6102" spans="1:16">
      <c r="A6102" s="94">
        <v>97047</v>
      </c>
      <c r="B6102" s="87" t="s">
        <v>5026</v>
      </c>
      <c r="C6102" s="12" t="s">
        <v>9</v>
      </c>
      <c r="D6102" s="93">
        <v>0.1</v>
      </c>
      <c r="E6102" s="93">
        <v>0.01</v>
      </c>
      <c r="F6102" s="93">
        <v>0.09</v>
      </c>
      <c r="G6102" s="93">
        <v>0</v>
      </c>
      <c r="H6102" s="93">
        <v>0</v>
      </c>
      <c r="N6102" s="88"/>
      <c r="O6102" s="88"/>
      <c r="P6102" s="88"/>
    </row>
    <row r="6103" spans="1:16">
      <c r="A6103" s="94">
        <v>97048</v>
      </c>
      <c r="B6103" s="87" t="s">
        <v>5027</v>
      </c>
      <c r="C6103" s="12" t="s">
        <v>9</v>
      </c>
      <c r="D6103" s="93">
        <v>0.08</v>
      </c>
      <c r="E6103" s="93">
        <v>0.01</v>
      </c>
      <c r="F6103" s="93">
        <v>7.0000000000000007E-2</v>
      </c>
      <c r="G6103" s="93">
        <v>0</v>
      </c>
      <c r="H6103" s="93">
        <v>0</v>
      </c>
      <c r="N6103" s="88"/>
      <c r="O6103" s="88"/>
      <c r="P6103" s="88"/>
    </row>
    <row r="6104" spans="1:16">
      <c r="A6104" s="94">
        <v>97051</v>
      </c>
      <c r="B6104" s="87" t="s">
        <v>5028</v>
      </c>
      <c r="C6104" s="12" t="s">
        <v>6</v>
      </c>
      <c r="D6104" s="93">
        <v>2.81</v>
      </c>
      <c r="E6104" s="93">
        <v>0.32</v>
      </c>
      <c r="F6104" s="93">
        <v>2.4900000000000002</v>
      </c>
      <c r="G6104" s="93">
        <v>0</v>
      </c>
      <c r="H6104" s="93">
        <v>0</v>
      </c>
      <c r="N6104" s="88"/>
      <c r="O6104" s="88"/>
      <c r="P6104" s="88"/>
    </row>
    <row r="6105" spans="1:16">
      <c r="A6105" s="94">
        <v>97053</v>
      </c>
      <c r="B6105" s="87" t="s">
        <v>5029</v>
      </c>
      <c r="C6105" s="12" t="s">
        <v>6</v>
      </c>
      <c r="D6105" s="93">
        <v>8.0399999999999991</v>
      </c>
      <c r="E6105" s="93">
        <v>3.82</v>
      </c>
      <c r="F6105" s="93">
        <v>4.22</v>
      </c>
      <c r="G6105" s="93">
        <v>0</v>
      </c>
      <c r="H6105" s="93">
        <v>0</v>
      </c>
      <c r="N6105" s="88"/>
      <c r="O6105" s="88"/>
      <c r="P6105" s="88"/>
    </row>
    <row r="6106" spans="1:16">
      <c r="A6106" s="94">
        <v>97054</v>
      </c>
      <c r="B6106" s="87" t="s">
        <v>5030</v>
      </c>
      <c r="C6106" s="12" t="s">
        <v>4</v>
      </c>
      <c r="D6106" s="93">
        <v>25.46</v>
      </c>
      <c r="E6106" s="93">
        <v>6.84</v>
      </c>
      <c r="F6106" s="93">
        <v>18.62</v>
      </c>
      <c r="G6106" s="93">
        <v>0</v>
      </c>
      <c r="H6106" s="93">
        <v>0</v>
      </c>
      <c r="N6106" s="88"/>
      <c r="O6106" s="88"/>
      <c r="P6106" s="88"/>
    </row>
    <row r="6107" spans="1:16">
      <c r="A6107" s="94">
        <v>97062</v>
      </c>
      <c r="B6107" s="87" t="s">
        <v>5031</v>
      </c>
      <c r="C6107" s="12" t="s">
        <v>9</v>
      </c>
      <c r="D6107" s="93">
        <v>5.17</v>
      </c>
      <c r="E6107" s="93">
        <v>2.1800000000000002</v>
      </c>
      <c r="F6107" s="93">
        <v>2.99</v>
      </c>
      <c r="G6107" s="93">
        <v>0</v>
      </c>
      <c r="H6107" s="93">
        <v>0</v>
      </c>
      <c r="N6107" s="88"/>
      <c r="O6107" s="88"/>
      <c r="P6107" s="88"/>
    </row>
    <row r="6108" spans="1:16">
      <c r="A6108" s="94">
        <v>97063</v>
      </c>
      <c r="B6108" s="87" t="s">
        <v>5032</v>
      </c>
      <c r="C6108" s="12" t="s">
        <v>9</v>
      </c>
      <c r="D6108" s="93">
        <v>10.220000000000001</v>
      </c>
      <c r="E6108" s="93">
        <v>8.49</v>
      </c>
      <c r="F6108" s="93">
        <v>1.73</v>
      </c>
      <c r="G6108" s="93">
        <v>0</v>
      </c>
      <c r="H6108" s="93">
        <v>0</v>
      </c>
      <c r="N6108" s="88"/>
      <c r="O6108" s="88"/>
      <c r="P6108" s="88"/>
    </row>
    <row r="6109" spans="1:16">
      <c r="A6109" s="94">
        <v>97064</v>
      </c>
      <c r="B6109" s="87" t="s">
        <v>5033</v>
      </c>
      <c r="C6109" s="12" t="s">
        <v>6</v>
      </c>
      <c r="D6109" s="93">
        <v>18.420000000000002</v>
      </c>
      <c r="E6109" s="93">
        <v>15.08</v>
      </c>
      <c r="F6109" s="93">
        <v>3.34</v>
      </c>
      <c r="G6109" s="93">
        <v>0</v>
      </c>
      <c r="H6109" s="93">
        <v>0</v>
      </c>
      <c r="N6109" s="88"/>
      <c r="O6109" s="88"/>
      <c r="P6109" s="88"/>
    </row>
    <row r="6110" spans="1:16">
      <c r="A6110" s="94">
        <v>97065</v>
      </c>
      <c r="B6110" s="87" t="s">
        <v>5034</v>
      </c>
      <c r="C6110" s="12" t="s">
        <v>5</v>
      </c>
      <c r="D6110" s="93">
        <v>6</v>
      </c>
      <c r="E6110" s="93">
        <v>4.8499999999999996</v>
      </c>
      <c r="F6110" s="93">
        <v>1.1499999999999999</v>
      </c>
      <c r="G6110" s="93">
        <v>0</v>
      </c>
      <c r="H6110" s="93">
        <v>0</v>
      </c>
      <c r="N6110" s="88"/>
      <c r="O6110" s="88"/>
      <c r="P6110" s="88"/>
    </row>
    <row r="6111" spans="1:16">
      <c r="A6111" s="94">
        <v>97066</v>
      </c>
      <c r="B6111" s="87" t="s">
        <v>5035</v>
      </c>
      <c r="C6111" s="12" t="s">
        <v>9</v>
      </c>
      <c r="D6111" s="93">
        <v>60.51</v>
      </c>
      <c r="E6111" s="93">
        <v>22.31</v>
      </c>
      <c r="F6111" s="93">
        <v>38.200000000000003</v>
      </c>
      <c r="G6111" s="93">
        <v>0</v>
      </c>
      <c r="H6111" s="93">
        <v>0</v>
      </c>
      <c r="N6111" s="88"/>
      <c r="O6111" s="88"/>
      <c r="P6111" s="88"/>
    </row>
    <row r="6112" spans="1:16">
      <c r="A6112" s="94">
        <v>97067</v>
      </c>
      <c r="B6112" s="87" t="s">
        <v>5036</v>
      </c>
      <c r="C6112" s="12" t="s">
        <v>6</v>
      </c>
      <c r="D6112" s="93">
        <v>532.26</v>
      </c>
      <c r="E6112" s="93">
        <v>173.38</v>
      </c>
      <c r="F6112" s="93">
        <v>358.86</v>
      </c>
      <c r="G6112" s="93">
        <v>0</v>
      </c>
      <c r="H6112" s="93">
        <v>0</v>
      </c>
      <c r="N6112" s="88"/>
      <c r="O6112" s="88"/>
      <c r="P6112" s="88"/>
    </row>
    <row r="6113" spans="1:16">
      <c r="A6113" s="94">
        <v>85421</v>
      </c>
      <c r="B6113" s="87" t="s">
        <v>6917</v>
      </c>
      <c r="C6113" s="12" t="s">
        <v>9</v>
      </c>
      <c r="D6113" s="93">
        <v>13.11</v>
      </c>
      <c r="E6113" s="93">
        <v>9.9499999999999993</v>
      </c>
      <c r="F6113" s="93">
        <v>3.16</v>
      </c>
      <c r="G6113" s="93">
        <v>0</v>
      </c>
      <c r="H6113" s="93">
        <v>0</v>
      </c>
      <c r="N6113" s="88"/>
      <c r="O6113" s="88"/>
      <c r="P6113" s="88"/>
    </row>
    <row r="6114" spans="1:16">
      <c r="A6114" s="94">
        <v>97621</v>
      </c>
      <c r="B6114" s="87" t="s">
        <v>5037</v>
      </c>
      <c r="C6114" s="12" t="s">
        <v>5</v>
      </c>
      <c r="D6114" s="93">
        <v>82.08</v>
      </c>
      <c r="E6114" s="93">
        <v>58.7</v>
      </c>
      <c r="F6114" s="93">
        <v>23.38</v>
      </c>
      <c r="G6114" s="93">
        <v>0</v>
      </c>
      <c r="H6114" s="93">
        <v>0</v>
      </c>
      <c r="N6114" s="88"/>
      <c r="O6114" s="88"/>
      <c r="P6114" s="88"/>
    </row>
    <row r="6115" spans="1:16">
      <c r="A6115" s="94">
        <v>97622</v>
      </c>
      <c r="B6115" s="87" t="s">
        <v>5038</v>
      </c>
      <c r="C6115" s="12" t="s">
        <v>5</v>
      </c>
      <c r="D6115" s="93">
        <v>40</v>
      </c>
      <c r="E6115" s="93">
        <v>28.62</v>
      </c>
      <c r="F6115" s="93">
        <v>11.38</v>
      </c>
      <c r="G6115" s="93">
        <v>0</v>
      </c>
      <c r="H6115" s="93">
        <v>0</v>
      </c>
      <c r="N6115" s="88"/>
      <c r="O6115" s="88"/>
      <c r="P6115" s="88"/>
    </row>
    <row r="6116" spans="1:16">
      <c r="A6116" s="94">
        <v>97623</v>
      </c>
      <c r="B6116" s="87" t="s">
        <v>5039</v>
      </c>
      <c r="C6116" s="12" t="s">
        <v>5</v>
      </c>
      <c r="D6116" s="93">
        <v>122.54</v>
      </c>
      <c r="E6116" s="93">
        <v>87.61</v>
      </c>
      <c r="F6116" s="93">
        <v>34.93</v>
      </c>
      <c r="G6116" s="93">
        <v>0</v>
      </c>
      <c r="H6116" s="93">
        <v>0</v>
      </c>
      <c r="N6116" s="88"/>
      <c r="O6116" s="88"/>
      <c r="P6116" s="88"/>
    </row>
    <row r="6117" spans="1:16">
      <c r="A6117" s="94">
        <v>97624</v>
      </c>
      <c r="B6117" s="87" t="s">
        <v>5040</v>
      </c>
      <c r="C6117" s="12" t="s">
        <v>5</v>
      </c>
      <c r="D6117" s="93">
        <v>75.2</v>
      </c>
      <c r="E6117" s="93">
        <v>53.76</v>
      </c>
      <c r="F6117" s="93">
        <v>21.44</v>
      </c>
      <c r="G6117" s="93">
        <v>0</v>
      </c>
      <c r="H6117" s="93">
        <v>0</v>
      </c>
      <c r="N6117" s="88"/>
      <c r="O6117" s="88"/>
      <c r="P6117" s="88"/>
    </row>
    <row r="6118" spans="1:16">
      <c r="A6118" s="94">
        <v>97625</v>
      </c>
      <c r="B6118" s="87" t="s">
        <v>5041</v>
      </c>
      <c r="C6118" s="12" t="s">
        <v>5</v>
      </c>
      <c r="D6118" s="93">
        <v>37.119999999999997</v>
      </c>
      <c r="E6118" s="93">
        <v>8.66</v>
      </c>
      <c r="F6118" s="93">
        <v>12.69</v>
      </c>
      <c r="G6118" s="93">
        <v>15.77</v>
      </c>
      <c r="H6118" s="93">
        <v>0</v>
      </c>
      <c r="N6118" s="88"/>
      <c r="O6118" s="88"/>
      <c r="P6118" s="88"/>
    </row>
    <row r="6119" spans="1:16">
      <c r="A6119" s="94">
        <v>97626</v>
      </c>
      <c r="B6119" s="87" t="s">
        <v>5042</v>
      </c>
      <c r="C6119" s="12" t="s">
        <v>5</v>
      </c>
      <c r="D6119" s="93">
        <v>425.95</v>
      </c>
      <c r="E6119" s="93">
        <v>294.77999999999997</v>
      </c>
      <c r="F6119" s="93">
        <v>131.16999999999999</v>
      </c>
      <c r="G6119" s="93">
        <v>0</v>
      </c>
      <c r="H6119" s="93">
        <v>0</v>
      </c>
      <c r="N6119" s="88"/>
      <c r="O6119" s="88"/>
      <c r="P6119" s="88"/>
    </row>
    <row r="6120" spans="1:16">
      <c r="A6120" s="94">
        <v>97627</v>
      </c>
      <c r="B6120" s="87" t="s">
        <v>5043</v>
      </c>
      <c r="C6120" s="12" t="s">
        <v>5</v>
      </c>
      <c r="D6120" s="93">
        <v>216.47</v>
      </c>
      <c r="E6120" s="93">
        <v>145.81</v>
      </c>
      <c r="F6120" s="93">
        <v>61.07</v>
      </c>
      <c r="G6120" s="93">
        <v>9.59</v>
      </c>
      <c r="H6120" s="93">
        <v>0</v>
      </c>
      <c r="N6120" s="88"/>
      <c r="O6120" s="88"/>
      <c r="P6120" s="88"/>
    </row>
    <row r="6121" spans="1:16">
      <c r="A6121" s="94">
        <v>97628</v>
      </c>
      <c r="B6121" s="87" t="s">
        <v>5044</v>
      </c>
      <c r="C6121" s="12" t="s">
        <v>5</v>
      </c>
      <c r="D6121" s="93">
        <v>197.7</v>
      </c>
      <c r="E6121" s="93">
        <v>141.29</v>
      </c>
      <c r="F6121" s="93">
        <v>56.41</v>
      </c>
      <c r="G6121" s="93">
        <v>0</v>
      </c>
      <c r="H6121" s="93">
        <v>0</v>
      </c>
      <c r="N6121" s="88"/>
      <c r="O6121" s="88"/>
      <c r="P6121" s="88"/>
    </row>
    <row r="6122" spans="1:16">
      <c r="A6122" s="94">
        <v>97629</v>
      </c>
      <c r="B6122" s="87" t="s">
        <v>5045</v>
      </c>
      <c r="C6122" s="12" t="s">
        <v>5</v>
      </c>
      <c r="D6122" s="93">
        <v>97.3</v>
      </c>
      <c r="E6122" s="93">
        <v>69.95</v>
      </c>
      <c r="F6122" s="93">
        <v>22.77</v>
      </c>
      <c r="G6122" s="93">
        <v>4.58</v>
      </c>
      <c r="H6122" s="93">
        <v>0</v>
      </c>
      <c r="N6122" s="88"/>
      <c r="O6122" s="88"/>
      <c r="P6122" s="88"/>
    </row>
    <row r="6123" spans="1:16">
      <c r="A6123" s="94">
        <v>97631</v>
      </c>
      <c r="B6123" s="87" t="s">
        <v>5046</v>
      </c>
      <c r="C6123" s="12" t="s">
        <v>9</v>
      </c>
      <c r="D6123" s="93">
        <v>2.4</v>
      </c>
      <c r="E6123" s="93">
        <v>1.79</v>
      </c>
      <c r="F6123" s="93">
        <v>0.61</v>
      </c>
      <c r="G6123" s="93">
        <v>0</v>
      </c>
      <c r="H6123" s="93">
        <v>0</v>
      </c>
      <c r="N6123" s="88"/>
      <c r="O6123" s="88"/>
      <c r="P6123" s="88"/>
    </row>
    <row r="6124" spans="1:16">
      <c r="A6124" s="94">
        <v>97632</v>
      </c>
      <c r="B6124" s="87" t="s">
        <v>5047</v>
      </c>
      <c r="C6124" s="12" t="s">
        <v>6</v>
      </c>
      <c r="D6124" s="93">
        <v>1.87</v>
      </c>
      <c r="E6124" s="93">
        <v>1.42</v>
      </c>
      <c r="F6124" s="93">
        <v>0.45</v>
      </c>
      <c r="G6124" s="93">
        <v>0</v>
      </c>
      <c r="H6124" s="93">
        <v>0</v>
      </c>
      <c r="N6124" s="88"/>
      <c r="O6124" s="88"/>
      <c r="P6124" s="88"/>
    </row>
    <row r="6125" spans="1:16">
      <c r="A6125" s="94">
        <v>97633</v>
      </c>
      <c r="B6125" s="87" t="s">
        <v>5048</v>
      </c>
      <c r="C6125" s="12" t="s">
        <v>9</v>
      </c>
      <c r="D6125" s="93">
        <v>16.38</v>
      </c>
      <c r="E6125" s="93">
        <v>12.04</v>
      </c>
      <c r="F6125" s="93">
        <v>4.34</v>
      </c>
      <c r="G6125" s="93">
        <v>0</v>
      </c>
      <c r="H6125" s="93">
        <v>0</v>
      </c>
      <c r="N6125" s="88"/>
      <c r="O6125" s="88"/>
      <c r="P6125" s="88"/>
    </row>
    <row r="6126" spans="1:16">
      <c r="A6126" s="94">
        <v>97634</v>
      </c>
      <c r="B6126" s="87" t="s">
        <v>5049</v>
      </c>
      <c r="C6126" s="12" t="s">
        <v>9</v>
      </c>
      <c r="D6126" s="93">
        <v>9.27</v>
      </c>
      <c r="E6126" s="93">
        <v>6.88</v>
      </c>
      <c r="F6126" s="93">
        <v>2.1800000000000002</v>
      </c>
      <c r="G6126" s="93">
        <v>0.21</v>
      </c>
      <c r="H6126" s="93">
        <v>0</v>
      </c>
      <c r="N6126" s="88"/>
      <c r="O6126" s="88"/>
      <c r="P6126" s="88"/>
    </row>
    <row r="6127" spans="1:16">
      <c r="A6127" s="94">
        <v>97635</v>
      </c>
      <c r="B6127" s="87" t="s">
        <v>5050</v>
      </c>
      <c r="C6127" s="12" t="s">
        <v>9</v>
      </c>
      <c r="D6127" s="93">
        <v>11.87</v>
      </c>
      <c r="E6127" s="93">
        <v>9.1199999999999992</v>
      </c>
      <c r="F6127" s="93">
        <v>2.75</v>
      </c>
      <c r="G6127" s="93">
        <v>0</v>
      </c>
      <c r="H6127" s="93">
        <v>0</v>
      </c>
      <c r="N6127" s="88"/>
      <c r="O6127" s="88"/>
      <c r="P6127" s="88"/>
    </row>
    <row r="6128" spans="1:16">
      <c r="A6128" s="94">
        <v>97636</v>
      </c>
      <c r="B6128" s="87" t="s">
        <v>5051</v>
      </c>
      <c r="C6128" s="12" t="s">
        <v>9</v>
      </c>
      <c r="D6128" s="93">
        <v>14.4</v>
      </c>
      <c r="E6128" s="93">
        <v>6.58</v>
      </c>
      <c r="F6128" s="93">
        <v>2.97</v>
      </c>
      <c r="G6128" s="93">
        <v>4.8499999999999996</v>
      </c>
      <c r="H6128" s="93">
        <v>0</v>
      </c>
      <c r="N6128" s="88"/>
      <c r="O6128" s="88"/>
      <c r="P6128" s="88"/>
    </row>
    <row r="6129" spans="1:16">
      <c r="A6129" s="94">
        <v>97637</v>
      </c>
      <c r="B6129" s="87" t="s">
        <v>5052</v>
      </c>
      <c r="C6129" s="12" t="s">
        <v>9</v>
      </c>
      <c r="D6129" s="93">
        <v>2.2799999999999998</v>
      </c>
      <c r="E6129" s="93">
        <v>1.81</v>
      </c>
      <c r="F6129" s="93">
        <v>0.47</v>
      </c>
      <c r="G6129" s="93">
        <v>0</v>
      </c>
      <c r="H6129" s="93">
        <v>0</v>
      </c>
      <c r="N6129" s="88"/>
      <c r="O6129" s="88"/>
      <c r="P6129" s="88"/>
    </row>
    <row r="6130" spans="1:16">
      <c r="A6130" s="94">
        <v>97638</v>
      </c>
      <c r="B6130" s="87" t="s">
        <v>5053</v>
      </c>
      <c r="C6130" s="12" t="s">
        <v>9</v>
      </c>
      <c r="D6130" s="93">
        <v>6.64</v>
      </c>
      <c r="E6130" s="93">
        <v>5.21</v>
      </c>
      <c r="F6130" s="93">
        <v>1.43</v>
      </c>
      <c r="G6130" s="93">
        <v>0</v>
      </c>
      <c r="H6130" s="93">
        <v>0</v>
      </c>
      <c r="N6130" s="88"/>
      <c r="O6130" s="88"/>
      <c r="P6130" s="88"/>
    </row>
    <row r="6131" spans="1:16">
      <c r="A6131" s="94">
        <v>97639</v>
      </c>
      <c r="B6131" s="87" t="s">
        <v>5054</v>
      </c>
      <c r="C6131" s="12" t="s">
        <v>9</v>
      </c>
      <c r="D6131" s="93">
        <v>14.61</v>
      </c>
      <c r="E6131" s="93">
        <v>10.85</v>
      </c>
      <c r="F6131" s="93">
        <v>3.76</v>
      </c>
      <c r="G6131" s="93">
        <v>0</v>
      </c>
      <c r="H6131" s="93">
        <v>0</v>
      </c>
      <c r="N6131" s="88"/>
      <c r="O6131" s="88"/>
      <c r="P6131" s="88"/>
    </row>
    <row r="6132" spans="1:16">
      <c r="A6132" s="94">
        <v>97640</v>
      </c>
      <c r="B6132" s="87" t="s">
        <v>5055</v>
      </c>
      <c r="C6132" s="12" t="s">
        <v>9</v>
      </c>
      <c r="D6132" s="93">
        <v>1.44</v>
      </c>
      <c r="E6132" s="93">
        <v>1.1499999999999999</v>
      </c>
      <c r="F6132" s="93">
        <v>0.28999999999999998</v>
      </c>
      <c r="G6132" s="93">
        <v>0</v>
      </c>
      <c r="H6132" s="93">
        <v>0</v>
      </c>
      <c r="N6132" s="88"/>
      <c r="O6132" s="88"/>
      <c r="P6132" s="88"/>
    </row>
    <row r="6133" spans="1:16">
      <c r="A6133" s="94">
        <v>97641</v>
      </c>
      <c r="B6133" s="87" t="s">
        <v>5056</v>
      </c>
      <c r="C6133" s="12" t="s">
        <v>9</v>
      </c>
      <c r="D6133" s="93">
        <v>3.43</v>
      </c>
      <c r="E6133" s="93">
        <v>2.5299999999999998</v>
      </c>
      <c r="F6133" s="93">
        <v>0.9</v>
      </c>
      <c r="G6133" s="93">
        <v>0</v>
      </c>
      <c r="H6133" s="93">
        <v>0</v>
      </c>
      <c r="N6133" s="88"/>
      <c r="O6133" s="88"/>
      <c r="P6133" s="88"/>
    </row>
    <row r="6134" spans="1:16">
      <c r="A6134" s="94">
        <v>97642</v>
      </c>
      <c r="B6134" s="87" t="s">
        <v>5057</v>
      </c>
      <c r="C6134" s="12" t="s">
        <v>9</v>
      </c>
      <c r="D6134" s="93">
        <v>2.57</v>
      </c>
      <c r="E6134" s="93">
        <v>2.0499999999999998</v>
      </c>
      <c r="F6134" s="93">
        <v>0.52</v>
      </c>
      <c r="G6134" s="93">
        <v>0</v>
      </c>
      <c r="H6134" s="93">
        <v>0</v>
      </c>
      <c r="N6134" s="88"/>
      <c r="O6134" s="88"/>
      <c r="P6134" s="88"/>
    </row>
    <row r="6135" spans="1:16">
      <c r="A6135" s="94">
        <v>97643</v>
      </c>
      <c r="B6135" s="87" t="s">
        <v>5058</v>
      </c>
      <c r="C6135" s="12" t="s">
        <v>9</v>
      </c>
      <c r="D6135" s="93">
        <v>17.91</v>
      </c>
      <c r="E6135" s="93">
        <v>13.31</v>
      </c>
      <c r="F6135" s="93">
        <v>4.5999999999999996</v>
      </c>
      <c r="G6135" s="93">
        <v>0</v>
      </c>
      <c r="H6135" s="93">
        <v>0</v>
      </c>
      <c r="N6135" s="88"/>
      <c r="O6135" s="88"/>
      <c r="P6135" s="88"/>
    </row>
    <row r="6136" spans="1:16">
      <c r="A6136" s="94">
        <v>97644</v>
      </c>
      <c r="B6136" s="87" t="s">
        <v>5059</v>
      </c>
      <c r="C6136" s="12" t="s">
        <v>9</v>
      </c>
      <c r="D6136" s="93">
        <v>6.75</v>
      </c>
      <c r="E6136" s="93">
        <v>5.03</v>
      </c>
      <c r="F6136" s="93">
        <v>1.72</v>
      </c>
      <c r="G6136" s="93">
        <v>0</v>
      </c>
      <c r="H6136" s="93">
        <v>0</v>
      </c>
      <c r="N6136" s="88"/>
      <c r="O6136" s="88"/>
      <c r="P6136" s="88"/>
    </row>
    <row r="6137" spans="1:16">
      <c r="A6137" s="94">
        <v>97645</v>
      </c>
      <c r="B6137" s="87" t="s">
        <v>5060</v>
      </c>
      <c r="C6137" s="12" t="s">
        <v>9</v>
      </c>
      <c r="D6137" s="93">
        <v>23.37</v>
      </c>
      <c r="E6137" s="93">
        <v>13.87</v>
      </c>
      <c r="F6137" s="93">
        <v>9.5</v>
      </c>
      <c r="G6137" s="93">
        <v>0</v>
      </c>
      <c r="H6137" s="93">
        <v>0</v>
      </c>
      <c r="N6137" s="88"/>
      <c r="O6137" s="88"/>
      <c r="P6137" s="88"/>
    </row>
    <row r="6138" spans="1:16">
      <c r="A6138" s="94">
        <v>97647</v>
      </c>
      <c r="B6138" s="87" t="s">
        <v>5061</v>
      </c>
      <c r="C6138" s="12" t="s">
        <v>9</v>
      </c>
      <c r="D6138" s="93">
        <v>2.59</v>
      </c>
      <c r="E6138" s="93">
        <v>1.99</v>
      </c>
      <c r="F6138" s="93">
        <v>0.6</v>
      </c>
      <c r="G6138" s="93">
        <v>0</v>
      </c>
      <c r="H6138" s="93">
        <v>0</v>
      </c>
      <c r="N6138" s="88"/>
      <c r="O6138" s="88"/>
      <c r="P6138" s="88"/>
    </row>
    <row r="6139" spans="1:16">
      <c r="A6139" s="94">
        <v>97648</v>
      </c>
      <c r="B6139" s="87" t="s">
        <v>5062</v>
      </c>
      <c r="C6139" s="12" t="s">
        <v>9</v>
      </c>
      <c r="D6139" s="93">
        <v>1.49</v>
      </c>
      <c r="E6139" s="93">
        <v>1.1499999999999999</v>
      </c>
      <c r="F6139" s="93">
        <v>0.34</v>
      </c>
      <c r="G6139" s="93">
        <v>0</v>
      </c>
      <c r="H6139" s="93">
        <v>0</v>
      </c>
      <c r="N6139" s="88"/>
      <c r="O6139" s="88"/>
      <c r="P6139" s="88"/>
    </row>
    <row r="6140" spans="1:16">
      <c r="A6140" s="94">
        <v>97649</v>
      </c>
      <c r="B6140" s="87" t="s">
        <v>5063</v>
      </c>
      <c r="C6140" s="12" t="s">
        <v>9</v>
      </c>
      <c r="D6140" s="93">
        <v>3.25</v>
      </c>
      <c r="E6140" s="93">
        <v>2.21</v>
      </c>
      <c r="F6140" s="93">
        <v>0.65</v>
      </c>
      <c r="G6140" s="93">
        <v>0.28999999999999998</v>
      </c>
      <c r="H6140" s="93">
        <v>0</v>
      </c>
      <c r="N6140" s="88"/>
      <c r="O6140" s="88"/>
      <c r="P6140" s="88"/>
    </row>
    <row r="6141" spans="1:16">
      <c r="A6141" s="94">
        <v>97650</v>
      </c>
      <c r="B6141" s="87" t="s">
        <v>5064</v>
      </c>
      <c r="C6141" s="12" t="s">
        <v>9</v>
      </c>
      <c r="D6141" s="93">
        <v>5.59</v>
      </c>
      <c r="E6141" s="93">
        <v>4.22</v>
      </c>
      <c r="F6141" s="93">
        <v>1.37</v>
      </c>
      <c r="G6141" s="93">
        <v>0</v>
      </c>
      <c r="H6141" s="93">
        <v>0</v>
      </c>
      <c r="N6141" s="88"/>
      <c r="O6141" s="88"/>
      <c r="P6141" s="88"/>
    </row>
    <row r="6142" spans="1:16">
      <c r="A6142" s="94">
        <v>97651</v>
      </c>
      <c r="B6142" s="87" t="s">
        <v>5065</v>
      </c>
      <c r="C6142" s="12" t="s">
        <v>4</v>
      </c>
      <c r="D6142" s="93">
        <v>61.92</v>
      </c>
      <c r="E6142" s="93">
        <v>46.39</v>
      </c>
      <c r="F6142" s="93">
        <v>15.53</v>
      </c>
      <c r="G6142" s="93">
        <v>0</v>
      </c>
      <c r="H6142" s="93">
        <v>0</v>
      </c>
      <c r="N6142" s="88"/>
      <c r="O6142" s="88"/>
      <c r="P6142" s="88"/>
    </row>
    <row r="6143" spans="1:16">
      <c r="A6143" s="94">
        <v>97652</v>
      </c>
      <c r="B6143" s="87" t="s">
        <v>5066</v>
      </c>
      <c r="C6143" s="12" t="s">
        <v>4</v>
      </c>
      <c r="D6143" s="93">
        <v>140.38</v>
      </c>
      <c r="E6143" s="93">
        <v>105.12</v>
      </c>
      <c r="F6143" s="93">
        <v>35.26</v>
      </c>
      <c r="G6143" s="93">
        <v>0</v>
      </c>
      <c r="H6143" s="93">
        <v>0</v>
      </c>
      <c r="N6143" s="88"/>
      <c r="O6143" s="88"/>
      <c r="P6143" s="88"/>
    </row>
    <row r="6144" spans="1:16">
      <c r="A6144" s="94">
        <v>97653</v>
      </c>
      <c r="B6144" s="87" t="s">
        <v>5067</v>
      </c>
      <c r="C6144" s="12" t="s">
        <v>4</v>
      </c>
      <c r="D6144" s="93">
        <v>93.04</v>
      </c>
      <c r="E6144" s="93">
        <v>25.88</v>
      </c>
      <c r="F6144" s="93">
        <v>6.23</v>
      </c>
      <c r="G6144" s="93">
        <v>45.25</v>
      </c>
      <c r="H6144" s="93">
        <v>0</v>
      </c>
      <c r="N6144" s="88"/>
      <c r="O6144" s="88"/>
      <c r="P6144" s="88"/>
    </row>
    <row r="6145" spans="1:16">
      <c r="A6145" s="94">
        <v>97654</v>
      </c>
      <c r="B6145" s="87" t="s">
        <v>5068</v>
      </c>
      <c r="C6145" s="12" t="s">
        <v>4</v>
      </c>
      <c r="D6145" s="93">
        <v>114.52</v>
      </c>
      <c r="E6145" s="93">
        <v>41.96</v>
      </c>
      <c r="F6145" s="93">
        <v>11.64</v>
      </c>
      <c r="G6145" s="93">
        <v>45.25</v>
      </c>
      <c r="H6145" s="93">
        <v>0</v>
      </c>
      <c r="N6145" s="88"/>
      <c r="O6145" s="88"/>
      <c r="P6145" s="88"/>
    </row>
    <row r="6146" spans="1:16">
      <c r="A6146" s="94">
        <v>97655</v>
      </c>
      <c r="B6146" s="87" t="s">
        <v>5069</v>
      </c>
      <c r="C6146" s="12" t="s">
        <v>9</v>
      </c>
      <c r="D6146" s="93">
        <v>15.72</v>
      </c>
      <c r="E6146" s="93">
        <v>9.4700000000000006</v>
      </c>
      <c r="F6146" s="93">
        <v>6.1</v>
      </c>
      <c r="G6146" s="93">
        <v>0.15</v>
      </c>
      <c r="H6146" s="93">
        <v>0</v>
      </c>
      <c r="N6146" s="88"/>
      <c r="O6146" s="88"/>
      <c r="P6146" s="88"/>
    </row>
    <row r="6147" spans="1:16">
      <c r="A6147" s="94">
        <v>97656</v>
      </c>
      <c r="B6147" s="87" t="s">
        <v>5070</v>
      </c>
      <c r="C6147" s="12" t="s">
        <v>4</v>
      </c>
      <c r="D6147" s="93">
        <v>158.51</v>
      </c>
      <c r="E6147" s="93">
        <v>100.26</v>
      </c>
      <c r="F6147" s="93">
        <v>56.94</v>
      </c>
      <c r="G6147" s="93">
        <v>1.31</v>
      </c>
      <c r="H6147" s="93">
        <v>0</v>
      </c>
      <c r="N6147" s="88"/>
      <c r="O6147" s="88"/>
      <c r="P6147" s="88"/>
    </row>
    <row r="6148" spans="1:16">
      <c r="A6148" s="94">
        <v>97657</v>
      </c>
      <c r="B6148" s="87" t="s">
        <v>5071</v>
      </c>
      <c r="C6148" s="12" t="s">
        <v>4</v>
      </c>
      <c r="D6148" s="93">
        <v>314.19</v>
      </c>
      <c r="E6148" s="93">
        <v>198.68</v>
      </c>
      <c r="F6148" s="93">
        <v>112.92</v>
      </c>
      <c r="G6148" s="93">
        <v>2.59</v>
      </c>
      <c r="H6148" s="93">
        <v>0</v>
      </c>
      <c r="N6148" s="88"/>
      <c r="O6148" s="88"/>
      <c r="P6148" s="88"/>
    </row>
    <row r="6149" spans="1:16">
      <c r="A6149" s="94">
        <v>97658</v>
      </c>
      <c r="B6149" s="87" t="s">
        <v>5072</v>
      </c>
      <c r="C6149" s="12" t="s">
        <v>4</v>
      </c>
      <c r="D6149" s="93">
        <v>131.47</v>
      </c>
      <c r="E6149" s="93">
        <v>50.07</v>
      </c>
      <c r="F6149" s="93">
        <v>20.22</v>
      </c>
      <c r="G6149" s="93">
        <v>45.51</v>
      </c>
      <c r="H6149" s="93">
        <v>0</v>
      </c>
      <c r="N6149" s="88"/>
      <c r="O6149" s="88"/>
      <c r="P6149" s="88"/>
    </row>
    <row r="6150" spans="1:16">
      <c r="A6150" s="94">
        <v>97659</v>
      </c>
      <c r="B6150" s="87" t="s">
        <v>5073</v>
      </c>
      <c r="C6150" s="12" t="s">
        <v>4</v>
      </c>
      <c r="D6150" s="93">
        <v>176.42</v>
      </c>
      <c r="E6150" s="93">
        <v>79.959999999999994</v>
      </c>
      <c r="F6150" s="93">
        <v>35.020000000000003</v>
      </c>
      <c r="G6150" s="93">
        <v>45.78</v>
      </c>
      <c r="H6150" s="93">
        <v>0</v>
      </c>
      <c r="N6150" s="88"/>
      <c r="O6150" s="88"/>
      <c r="P6150" s="88"/>
    </row>
    <row r="6151" spans="1:16">
      <c r="A6151" s="94">
        <v>97660</v>
      </c>
      <c r="B6151" s="87" t="s">
        <v>5074</v>
      </c>
      <c r="C6151" s="12" t="s">
        <v>4</v>
      </c>
      <c r="D6151" s="93">
        <v>0.48</v>
      </c>
      <c r="E6151" s="93">
        <v>0.41</v>
      </c>
      <c r="F6151" s="93">
        <v>7.0000000000000007E-2</v>
      </c>
      <c r="G6151" s="93">
        <v>0</v>
      </c>
      <c r="H6151" s="93">
        <v>0</v>
      </c>
      <c r="N6151" s="88"/>
      <c r="O6151" s="88"/>
      <c r="P6151" s="88"/>
    </row>
    <row r="6152" spans="1:16">
      <c r="A6152" s="94">
        <v>97661</v>
      </c>
      <c r="B6152" s="87" t="s">
        <v>5075</v>
      </c>
      <c r="C6152" s="12" t="s">
        <v>6</v>
      </c>
      <c r="D6152" s="93">
        <v>0.49</v>
      </c>
      <c r="E6152" s="93">
        <v>0.41</v>
      </c>
      <c r="F6152" s="93">
        <v>0.08</v>
      </c>
      <c r="G6152" s="93">
        <v>0</v>
      </c>
      <c r="H6152" s="93">
        <v>0</v>
      </c>
      <c r="N6152" s="88"/>
      <c r="O6152" s="88"/>
      <c r="P6152" s="88"/>
    </row>
    <row r="6153" spans="1:16">
      <c r="A6153" s="94">
        <v>97662</v>
      </c>
      <c r="B6153" s="87" t="s">
        <v>5076</v>
      </c>
      <c r="C6153" s="12" t="s">
        <v>6</v>
      </c>
      <c r="D6153" s="93">
        <v>0.36</v>
      </c>
      <c r="E6153" s="93">
        <v>0.31</v>
      </c>
      <c r="F6153" s="93">
        <v>0.05</v>
      </c>
      <c r="G6153" s="93">
        <v>0</v>
      </c>
      <c r="H6153" s="93">
        <v>0</v>
      </c>
      <c r="N6153" s="88"/>
      <c r="O6153" s="88"/>
      <c r="P6153" s="88"/>
    </row>
    <row r="6154" spans="1:16">
      <c r="A6154" s="94">
        <v>97663</v>
      </c>
      <c r="B6154" s="87" t="s">
        <v>5077</v>
      </c>
      <c r="C6154" s="12" t="s">
        <v>4</v>
      </c>
      <c r="D6154" s="93">
        <v>8.92</v>
      </c>
      <c r="E6154" s="93">
        <v>6.7</v>
      </c>
      <c r="F6154" s="93">
        <v>2.2200000000000002</v>
      </c>
      <c r="G6154" s="93">
        <v>0</v>
      </c>
      <c r="H6154" s="93">
        <v>0</v>
      </c>
      <c r="N6154" s="88"/>
      <c r="O6154" s="88"/>
      <c r="P6154" s="88"/>
    </row>
    <row r="6155" spans="1:16">
      <c r="A6155" s="94">
        <v>97664</v>
      </c>
      <c r="B6155" s="87" t="s">
        <v>5078</v>
      </c>
      <c r="C6155" s="12" t="s">
        <v>4</v>
      </c>
      <c r="D6155" s="93">
        <v>1.1100000000000001</v>
      </c>
      <c r="E6155" s="93">
        <v>0.88</v>
      </c>
      <c r="F6155" s="93">
        <v>0.23</v>
      </c>
      <c r="G6155" s="93">
        <v>0</v>
      </c>
      <c r="H6155" s="93">
        <v>0</v>
      </c>
      <c r="N6155" s="88"/>
      <c r="O6155" s="88"/>
      <c r="P6155" s="88"/>
    </row>
    <row r="6156" spans="1:16">
      <c r="A6156" s="94">
        <v>97665</v>
      </c>
      <c r="B6156" s="87" t="s">
        <v>5079</v>
      </c>
      <c r="C6156" s="12" t="s">
        <v>4</v>
      </c>
      <c r="D6156" s="93">
        <v>0.94</v>
      </c>
      <c r="E6156" s="93">
        <v>0.75</v>
      </c>
      <c r="F6156" s="93">
        <v>0.19</v>
      </c>
      <c r="G6156" s="93">
        <v>0</v>
      </c>
      <c r="H6156" s="93">
        <v>0</v>
      </c>
      <c r="N6156" s="88"/>
      <c r="O6156" s="88"/>
      <c r="P6156" s="88"/>
    </row>
    <row r="6157" spans="1:16">
      <c r="A6157" s="94">
        <v>97666</v>
      </c>
      <c r="B6157" s="87" t="s">
        <v>5080</v>
      </c>
      <c r="C6157" s="12" t="s">
        <v>4</v>
      </c>
      <c r="D6157" s="93">
        <v>6.5</v>
      </c>
      <c r="E6157" s="93">
        <v>4.9000000000000004</v>
      </c>
      <c r="F6157" s="93">
        <v>1.6</v>
      </c>
      <c r="G6157" s="93">
        <v>0</v>
      </c>
      <c r="H6157" s="93">
        <v>0</v>
      </c>
      <c r="N6157" s="88"/>
      <c r="O6157" s="88"/>
      <c r="P6157" s="88"/>
    </row>
    <row r="6158" spans="1:16">
      <c r="A6158" s="94">
        <v>95967</v>
      </c>
      <c r="B6158" s="87" t="s">
        <v>5081</v>
      </c>
      <c r="C6158" s="12" t="s">
        <v>10</v>
      </c>
      <c r="D6158" s="93">
        <v>137.9</v>
      </c>
      <c r="E6158" s="93">
        <v>135.1</v>
      </c>
      <c r="F6158" s="93">
        <v>2.8</v>
      </c>
      <c r="G6158" s="93">
        <v>0</v>
      </c>
      <c r="H6158" s="93">
        <v>0</v>
      </c>
      <c r="N6158" s="88"/>
      <c r="O6158" s="88"/>
      <c r="P6158" s="88"/>
    </row>
    <row r="6159" spans="1:16">
      <c r="A6159" s="94">
        <v>99058</v>
      </c>
      <c r="B6159" s="87" t="s">
        <v>5082</v>
      </c>
      <c r="C6159" s="12" t="s">
        <v>4</v>
      </c>
      <c r="D6159" s="93">
        <v>6.32</v>
      </c>
      <c r="E6159" s="93">
        <v>5.05</v>
      </c>
      <c r="F6159" s="93">
        <v>0.88</v>
      </c>
      <c r="G6159" s="93">
        <v>0.39</v>
      </c>
      <c r="H6159" s="93">
        <v>0</v>
      </c>
      <c r="N6159" s="88"/>
      <c r="O6159" s="88"/>
      <c r="P6159" s="88"/>
    </row>
    <row r="6160" spans="1:16">
      <c r="A6160" s="94">
        <v>99059</v>
      </c>
      <c r="B6160" s="87" t="s">
        <v>5083</v>
      </c>
      <c r="C6160" s="12" t="s">
        <v>6</v>
      </c>
      <c r="D6160" s="93">
        <v>39.42</v>
      </c>
      <c r="E6160" s="93">
        <v>20.190000000000001</v>
      </c>
      <c r="F6160" s="93">
        <v>19.22</v>
      </c>
      <c r="G6160" s="93">
        <v>0</v>
      </c>
      <c r="H6160" s="93">
        <v>0</v>
      </c>
      <c r="N6160" s="88"/>
      <c r="O6160" s="88"/>
      <c r="P6160" s="88"/>
    </row>
    <row r="6161" spans="1:16">
      <c r="A6161" s="94">
        <v>99060</v>
      </c>
      <c r="B6161" s="87" t="s">
        <v>5084</v>
      </c>
      <c r="C6161" s="12" t="s">
        <v>4</v>
      </c>
      <c r="D6161" s="93">
        <v>101.82</v>
      </c>
      <c r="E6161" s="93">
        <v>55.39</v>
      </c>
      <c r="F6161" s="93">
        <v>46.4</v>
      </c>
      <c r="G6161" s="93">
        <v>0</v>
      </c>
      <c r="H6161" s="93">
        <v>0</v>
      </c>
      <c r="N6161" s="88"/>
      <c r="O6161" s="88"/>
      <c r="P6161" s="88"/>
    </row>
    <row r="6162" spans="1:16">
      <c r="A6162" s="94">
        <v>99061</v>
      </c>
      <c r="B6162" s="87" t="s">
        <v>5085</v>
      </c>
      <c r="C6162" s="12" t="s">
        <v>4</v>
      </c>
      <c r="D6162" s="93">
        <v>68.77</v>
      </c>
      <c r="E6162" s="93">
        <v>40.51</v>
      </c>
      <c r="F6162" s="93">
        <v>28.25</v>
      </c>
      <c r="G6162" s="93">
        <v>0</v>
      </c>
      <c r="H6162" s="93">
        <v>0</v>
      </c>
      <c r="N6162" s="88"/>
      <c r="O6162" s="88"/>
      <c r="P6162" s="88"/>
    </row>
    <row r="6163" spans="1:16">
      <c r="A6163" s="94">
        <v>99062</v>
      </c>
      <c r="B6163" s="87" t="s">
        <v>5086</v>
      </c>
      <c r="C6163" s="12" t="s">
        <v>4</v>
      </c>
      <c r="D6163" s="93">
        <v>1.99</v>
      </c>
      <c r="E6163" s="93">
        <v>1.56</v>
      </c>
      <c r="F6163" s="93">
        <v>0.43</v>
      </c>
      <c r="G6163" s="93">
        <v>0</v>
      </c>
      <c r="H6163" s="93">
        <v>0</v>
      </c>
      <c r="N6163" s="88"/>
      <c r="O6163" s="88"/>
      <c r="P6163" s="88"/>
    </row>
    <row r="6164" spans="1:16">
      <c r="A6164" s="94">
        <v>99063</v>
      </c>
      <c r="B6164" s="87" t="s">
        <v>5087</v>
      </c>
      <c r="C6164" s="12" t="s">
        <v>6</v>
      </c>
      <c r="D6164" s="93">
        <v>3.43</v>
      </c>
      <c r="E6164" s="93">
        <v>2.06</v>
      </c>
      <c r="F6164" s="93">
        <v>1.37</v>
      </c>
      <c r="G6164" s="93">
        <v>0</v>
      </c>
      <c r="H6164" s="93">
        <v>0</v>
      </c>
      <c r="N6164" s="88"/>
      <c r="O6164" s="88"/>
      <c r="P6164" s="88"/>
    </row>
    <row r="6165" spans="1:16">
      <c r="A6165" s="94">
        <v>99064</v>
      </c>
      <c r="B6165" s="87" t="s">
        <v>5088</v>
      </c>
      <c r="C6165" s="12" t="s">
        <v>6</v>
      </c>
      <c r="D6165" s="93">
        <v>0.31</v>
      </c>
      <c r="E6165" s="93">
        <v>0.28000000000000003</v>
      </c>
      <c r="F6165" s="93">
        <v>0.02</v>
      </c>
      <c r="G6165" s="93">
        <v>0.01</v>
      </c>
      <c r="H6165" s="93">
        <v>0</v>
      </c>
      <c r="N6165" s="88"/>
      <c r="O6165" s="88"/>
      <c r="P6165" s="88"/>
    </row>
    <row r="6166" spans="1:16">
      <c r="A6166" s="94">
        <v>93588</v>
      </c>
      <c r="B6166" s="87" t="s">
        <v>5089</v>
      </c>
      <c r="C6166" s="12" t="s">
        <v>405</v>
      </c>
      <c r="D6166" s="93">
        <v>1.83</v>
      </c>
      <c r="E6166" s="93">
        <v>0.34</v>
      </c>
      <c r="F6166" s="93">
        <v>0.94</v>
      </c>
      <c r="G6166" s="93">
        <v>0.55000000000000004</v>
      </c>
      <c r="H6166" s="93">
        <v>0</v>
      </c>
      <c r="N6166" s="88"/>
      <c r="O6166" s="88"/>
      <c r="P6166" s="88"/>
    </row>
    <row r="6167" spans="1:16">
      <c r="A6167" s="94">
        <v>93589</v>
      </c>
      <c r="B6167" s="87" t="s">
        <v>5090</v>
      </c>
      <c r="C6167" s="12" t="s">
        <v>405</v>
      </c>
      <c r="D6167" s="93">
        <v>1.57</v>
      </c>
      <c r="E6167" s="93">
        <v>0.28999999999999998</v>
      </c>
      <c r="F6167" s="93">
        <v>0.83</v>
      </c>
      <c r="G6167" s="93">
        <v>0.45</v>
      </c>
      <c r="H6167" s="93">
        <v>0</v>
      </c>
      <c r="N6167" s="88"/>
      <c r="O6167" s="88"/>
      <c r="P6167" s="88"/>
    </row>
    <row r="6168" spans="1:16">
      <c r="A6168" s="94">
        <v>93590</v>
      </c>
      <c r="B6168" s="87" t="s">
        <v>5091</v>
      </c>
      <c r="C6168" s="12" t="s">
        <v>405</v>
      </c>
      <c r="D6168" s="93">
        <v>0.56999999999999995</v>
      </c>
      <c r="E6168" s="93">
        <v>0.11</v>
      </c>
      <c r="F6168" s="93">
        <v>0.32</v>
      </c>
      <c r="G6168" s="93">
        <v>0.14000000000000001</v>
      </c>
      <c r="H6168" s="93">
        <v>0</v>
      </c>
      <c r="N6168" s="88"/>
      <c r="O6168" s="88"/>
      <c r="P6168" s="88"/>
    </row>
    <row r="6169" spans="1:16">
      <c r="A6169" s="94">
        <v>93591</v>
      </c>
      <c r="B6169" s="87" t="s">
        <v>5092</v>
      </c>
      <c r="C6169" s="12" t="s">
        <v>405</v>
      </c>
      <c r="D6169" s="93">
        <v>1.66</v>
      </c>
      <c r="E6169" s="93">
        <v>0.24</v>
      </c>
      <c r="F6169" s="93">
        <v>0.86</v>
      </c>
      <c r="G6169" s="93">
        <v>0.56000000000000005</v>
      </c>
      <c r="H6169" s="93">
        <v>0</v>
      </c>
      <c r="N6169" s="88"/>
      <c r="O6169" s="88"/>
      <c r="P6169" s="88"/>
    </row>
    <row r="6170" spans="1:16">
      <c r="A6170" s="94">
        <v>93592</v>
      </c>
      <c r="B6170" s="87" t="s">
        <v>5093</v>
      </c>
      <c r="C6170" s="12" t="s">
        <v>405</v>
      </c>
      <c r="D6170" s="93">
        <v>1.44</v>
      </c>
      <c r="E6170" s="93">
        <v>0.21</v>
      </c>
      <c r="F6170" s="93">
        <v>0.75</v>
      </c>
      <c r="G6170" s="93">
        <v>0.48</v>
      </c>
      <c r="H6170" s="93">
        <v>0</v>
      </c>
      <c r="N6170" s="88"/>
      <c r="O6170" s="88"/>
      <c r="P6170" s="88"/>
    </row>
    <row r="6171" spans="1:16">
      <c r="A6171" s="94">
        <v>93593</v>
      </c>
      <c r="B6171" s="87" t="s">
        <v>5094</v>
      </c>
      <c r="C6171" s="12" t="s">
        <v>405</v>
      </c>
      <c r="D6171" s="93">
        <v>0.52</v>
      </c>
      <c r="E6171" s="93">
        <v>0.08</v>
      </c>
      <c r="F6171" s="93">
        <v>0.28000000000000003</v>
      </c>
      <c r="G6171" s="93">
        <v>0.16</v>
      </c>
      <c r="H6171" s="93">
        <v>0</v>
      </c>
      <c r="N6171" s="88"/>
      <c r="O6171" s="88"/>
      <c r="P6171" s="88"/>
    </row>
    <row r="6172" spans="1:16">
      <c r="A6172" s="94">
        <v>93594</v>
      </c>
      <c r="B6172" s="87" t="s">
        <v>5095</v>
      </c>
      <c r="C6172" s="12" t="s">
        <v>403</v>
      </c>
      <c r="D6172" s="93">
        <v>1.22</v>
      </c>
      <c r="E6172" s="93">
        <v>0.23</v>
      </c>
      <c r="F6172" s="93">
        <v>0.65</v>
      </c>
      <c r="G6172" s="93">
        <v>0.34</v>
      </c>
      <c r="H6172" s="93">
        <v>0</v>
      </c>
      <c r="N6172" s="88"/>
      <c r="O6172" s="88"/>
      <c r="P6172" s="88"/>
    </row>
    <row r="6173" spans="1:16">
      <c r="A6173" s="94">
        <v>93595</v>
      </c>
      <c r="B6173" s="87" t="s">
        <v>5096</v>
      </c>
      <c r="C6173" s="12" t="s">
        <v>403</v>
      </c>
      <c r="D6173" s="93">
        <v>1.06</v>
      </c>
      <c r="E6173" s="93">
        <v>0.19</v>
      </c>
      <c r="F6173" s="93">
        <v>0.56999999999999995</v>
      </c>
      <c r="G6173" s="93">
        <v>0.3</v>
      </c>
      <c r="H6173" s="93">
        <v>0</v>
      </c>
      <c r="N6173" s="88"/>
      <c r="O6173" s="88"/>
      <c r="P6173" s="88"/>
    </row>
    <row r="6174" spans="1:16">
      <c r="A6174" s="94">
        <v>93596</v>
      </c>
      <c r="B6174" s="87" t="s">
        <v>5097</v>
      </c>
      <c r="C6174" s="12" t="s">
        <v>403</v>
      </c>
      <c r="D6174" s="93">
        <v>0.38</v>
      </c>
      <c r="E6174" s="93">
        <v>7.0000000000000007E-2</v>
      </c>
      <c r="F6174" s="93">
        <v>0.22</v>
      </c>
      <c r="G6174" s="93">
        <v>0.09</v>
      </c>
      <c r="H6174" s="93">
        <v>0</v>
      </c>
      <c r="N6174" s="88"/>
      <c r="O6174" s="88"/>
      <c r="P6174" s="88"/>
    </row>
    <row r="6175" spans="1:16">
      <c r="A6175" s="94">
        <v>93597</v>
      </c>
      <c r="B6175" s="87" t="s">
        <v>5098</v>
      </c>
      <c r="C6175" s="12" t="s">
        <v>403</v>
      </c>
      <c r="D6175" s="93">
        <v>1.1000000000000001</v>
      </c>
      <c r="E6175" s="93">
        <v>0.16</v>
      </c>
      <c r="F6175" s="93">
        <v>0.56999999999999995</v>
      </c>
      <c r="G6175" s="93">
        <v>0.37</v>
      </c>
      <c r="H6175" s="93">
        <v>0</v>
      </c>
      <c r="N6175" s="88"/>
      <c r="O6175" s="88"/>
      <c r="P6175" s="88"/>
    </row>
    <row r="6176" spans="1:16">
      <c r="A6176" s="94">
        <v>93598</v>
      </c>
      <c r="B6176" s="87" t="s">
        <v>5099</v>
      </c>
      <c r="C6176" s="12" t="s">
        <v>403</v>
      </c>
      <c r="D6176" s="93">
        <v>0.95</v>
      </c>
      <c r="E6176" s="93">
        <v>0.14000000000000001</v>
      </c>
      <c r="F6176" s="93">
        <v>0.49</v>
      </c>
      <c r="G6176" s="93">
        <v>0.32</v>
      </c>
      <c r="H6176" s="93">
        <v>0</v>
      </c>
      <c r="N6176" s="88"/>
      <c r="O6176" s="88"/>
      <c r="P6176" s="88"/>
    </row>
    <row r="6177" spans="1:16">
      <c r="A6177" s="94">
        <v>93599</v>
      </c>
      <c r="B6177" s="87" t="s">
        <v>5100</v>
      </c>
      <c r="C6177" s="12" t="s">
        <v>403</v>
      </c>
      <c r="D6177" s="93">
        <v>0.34</v>
      </c>
      <c r="E6177" s="93">
        <v>0.04</v>
      </c>
      <c r="F6177" s="93">
        <v>0.21</v>
      </c>
      <c r="G6177" s="93">
        <v>0.09</v>
      </c>
      <c r="H6177" s="93">
        <v>0</v>
      </c>
      <c r="N6177" s="88"/>
      <c r="O6177" s="88"/>
      <c r="P6177" s="88"/>
    </row>
    <row r="6178" spans="1:16">
      <c r="A6178" s="94">
        <v>95425</v>
      </c>
      <c r="B6178" s="87" t="s">
        <v>5101</v>
      </c>
      <c r="C6178" s="12" t="s">
        <v>405</v>
      </c>
      <c r="D6178" s="93">
        <v>1.4</v>
      </c>
      <c r="E6178" s="93">
        <v>0.18</v>
      </c>
      <c r="F6178" s="93">
        <v>0.76</v>
      </c>
      <c r="G6178" s="93">
        <v>0.46</v>
      </c>
      <c r="H6178" s="93">
        <v>0</v>
      </c>
      <c r="N6178" s="88"/>
      <c r="O6178" s="88"/>
      <c r="P6178" s="88"/>
    </row>
    <row r="6179" spans="1:16">
      <c r="A6179" s="94">
        <v>95426</v>
      </c>
      <c r="B6179" s="87" t="s">
        <v>5102</v>
      </c>
      <c r="C6179" s="12" t="s">
        <v>405</v>
      </c>
      <c r="D6179" s="93">
        <v>1.21</v>
      </c>
      <c r="E6179" s="93">
        <v>0.16</v>
      </c>
      <c r="F6179" s="93">
        <v>0.66</v>
      </c>
      <c r="G6179" s="93">
        <v>0.39</v>
      </c>
      <c r="H6179" s="93">
        <v>0</v>
      </c>
      <c r="N6179" s="88"/>
      <c r="O6179" s="88"/>
      <c r="P6179" s="88"/>
    </row>
    <row r="6180" spans="1:16">
      <c r="A6180" s="94">
        <v>95427</v>
      </c>
      <c r="B6180" s="87" t="s">
        <v>5103</v>
      </c>
      <c r="C6180" s="12" t="s">
        <v>405</v>
      </c>
      <c r="D6180" s="93">
        <v>0.45</v>
      </c>
      <c r="E6180" s="93">
        <v>0.05</v>
      </c>
      <c r="F6180" s="93">
        <v>0.27</v>
      </c>
      <c r="G6180" s="93">
        <v>0.13</v>
      </c>
      <c r="H6180" s="93">
        <v>0</v>
      </c>
      <c r="N6180" s="88"/>
      <c r="O6180" s="88"/>
      <c r="P6180" s="88"/>
    </row>
    <row r="6181" spans="1:16">
      <c r="A6181" s="94">
        <v>95428</v>
      </c>
      <c r="B6181" s="87" t="s">
        <v>5104</v>
      </c>
      <c r="C6181" s="12" t="s">
        <v>403</v>
      </c>
      <c r="D6181" s="93">
        <v>0.94</v>
      </c>
      <c r="E6181" s="93">
        <v>0.12</v>
      </c>
      <c r="F6181" s="93">
        <v>0.52</v>
      </c>
      <c r="G6181" s="93">
        <v>0.3</v>
      </c>
      <c r="H6181" s="93">
        <v>0</v>
      </c>
      <c r="N6181" s="88"/>
      <c r="O6181" s="88"/>
      <c r="P6181" s="88"/>
    </row>
    <row r="6182" spans="1:16">
      <c r="A6182" s="94">
        <v>95429</v>
      </c>
      <c r="B6182" s="87" t="s">
        <v>5105</v>
      </c>
      <c r="C6182" s="12" t="s">
        <v>403</v>
      </c>
      <c r="D6182" s="93">
        <v>0.81</v>
      </c>
      <c r="E6182" s="93">
        <v>0.1</v>
      </c>
      <c r="F6182" s="93">
        <v>0.45</v>
      </c>
      <c r="G6182" s="93">
        <v>0.26</v>
      </c>
      <c r="H6182" s="93">
        <v>0</v>
      </c>
      <c r="N6182" s="88"/>
      <c r="O6182" s="88"/>
      <c r="P6182" s="88"/>
    </row>
    <row r="6183" spans="1:16">
      <c r="A6183" s="94">
        <v>95430</v>
      </c>
      <c r="B6183" s="87" t="s">
        <v>5106</v>
      </c>
      <c r="C6183" s="12" t="s">
        <v>403</v>
      </c>
      <c r="D6183" s="93">
        <v>0.28000000000000003</v>
      </c>
      <c r="E6183" s="93">
        <v>0.03</v>
      </c>
      <c r="F6183" s="93">
        <v>0.19</v>
      </c>
      <c r="G6183" s="93">
        <v>0.06</v>
      </c>
      <c r="H6183" s="93">
        <v>0</v>
      </c>
      <c r="N6183" s="88"/>
      <c r="O6183" s="88"/>
      <c r="P6183" s="88"/>
    </row>
    <row r="6184" spans="1:16">
      <c r="A6184" s="94">
        <v>95875</v>
      </c>
      <c r="B6184" s="87" t="s">
        <v>5107</v>
      </c>
      <c r="C6184" s="12" t="s">
        <v>405</v>
      </c>
      <c r="D6184" s="93">
        <v>1.45</v>
      </c>
      <c r="E6184" s="93">
        <v>0.27</v>
      </c>
      <c r="F6184" s="93">
        <v>0.77</v>
      </c>
      <c r="G6184" s="93">
        <v>0.41</v>
      </c>
      <c r="H6184" s="93">
        <v>0</v>
      </c>
      <c r="N6184" s="88"/>
      <c r="O6184" s="88"/>
      <c r="P6184" s="88"/>
    </row>
    <row r="6185" spans="1:16">
      <c r="A6185" s="94">
        <v>95876</v>
      </c>
      <c r="B6185" s="87" t="s">
        <v>5108</v>
      </c>
      <c r="C6185" s="12" t="s">
        <v>405</v>
      </c>
      <c r="D6185" s="93">
        <v>1.3</v>
      </c>
      <c r="E6185" s="93">
        <v>0.19</v>
      </c>
      <c r="F6185" s="93">
        <v>0.68</v>
      </c>
      <c r="G6185" s="93">
        <v>0.43</v>
      </c>
      <c r="H6185" s="93">
        <v>0</v>
      </c>
      <c r="N6185" s="88"/>
      <c r="O6185" s="88"/>
      <c r="P6185" s="88"/>
    </row>
    <row r="6186" spans="1:16">
      <c r="A6186" s="94">
        <v>95877</v>
      </c>
      <c r="B6186" s="87" t="s">
        <v>5109</v>
      </c>
      <c r="C6186" s="12" t="s">
        <v>405</v>
      </c>
      <c r="D6186" s="93">
        <v>1.1100000000000001</v>
      </c>
      <c r="E6186" s="93">
        <v>0.15</v>
      </c>
      <c r="F6186" s="93">
        <v>0.6</v>
      </c>
      <c r="G6186" s="93">
        <v>0.36</v>
      </c>
      <c r="H6186" s="93">
        <v>0</v>
      </c>
      <c r="N6186" s="88"/>
      <c r="O6186" s="88"/>
      <c r="P6186" s="88"/>
    </row>
    <row r="6187" spans="1:16">
      <c r="A6187" s="94">
        <v>95878</v>
      </c>
      <c r="B6187" s="87" t="s">
        <v>5110</v>
      </c>
      <c r="C6187" s="12" t="s">
        <v>403</v>
      </c>
      <c r="D6187" s="93">
        <v>0.97</v>
      </c>
      <c r="E6187" s="93">
        <v>0.18</v>
      </c>
      <c r="F6187" s="93">
        <v>0.5</v>
      </c>
      <c r="G6187" s="93">
        <v>0.28999999999999998</v>
      </c>
      <c r="H6187" s="93">
        <v>0</v>
      </c>
      <c r="N6187" s="88"/>
      <c r="O6187" s="88"/>
      <c r="P6187" s="88"/>
    </row>
    <row r="6188" spans="1:16">
      <c r="A6188" s="94">
        <v>95879</v>
      </c>
      <c r="B6188" s="87" t="s">
        <v>5111</v>
      </c>
      <c r="C6188" s="12" t="s">
        <v>403</v>
      </c>
      <c r="D6188" s="93">
        <v>0.88</v>
      </c>
      <c r="E6188" s="93">
        <v>0.12</v>
      </c>
      <c r="F6188" s="93">
        <v>0.46</v>
      </c>
      <c r="G6188" s="93">
        <v>0.3</v>
      </c>
      <c r="H6188" s="93">
        <v>0</v>
      </c>
      <c r="N6188" s="88"/>
      <c r="O6188" s="88"/>
      <c r="P6188" s="88"/>
    </row>
    <row r="6189" spans="1:16">
      <c r="A6189" s="94">
        <v>95880</v>
      </c>
      <c r="B6189" s="87" t="s">
        <v>5112</v>
      </c>
      <c r="C6189" s="12" t="s">
        <v>403</v>
      </c>
      <c r="D6189" s="93">
        <v>0.74</v>
      </c>
      <c r="E6189" s="93">
        <v>0.08</v>
      </c>
      <c r="F6189" s="93">
        <v>0.42</v>
      </c>
      <c r="G6189" s="93">
        <v>0.24</v>
      </c>
      <c r="H6189" s="93">
        <v>0</v>
      </c>
      <c r="N6189" s="88"/>
      <c r="O6189" s="88"/>
      <c r="P6189" s="88"/>
    </row>
    <row r="6190" spans="1:16">
      <c r="A6190" s="94">
        <v>97912</v>
      </c>
      <c r="B6190" s="87" t="s">
        <v>5113</v>
      </c>
      <c r="C6190" s="12" t="s">
        <v>405</v>
      </c>
      <c r="D6190" s="93">
        <v>2.2799999999999998</v>
      </c>
      <c r="E6190" s="93">
        <v>0.56000000000000005</v>
      </c>
      <c r="F6190" s="93">
        <v>0.94</v>
      </c>
      <c r="G6190" s="93">
        <v>0.78</v>
      </c>
      <c r="H6190" s="93">
        <v>0</v>
      </c>
      <c r="N6190" s="88"/>
      <c r="O6190" s="88"/>
      <c r="P6190" s="88"/>
    </row>
    <row r="6191" spans="1:16">
      <c r="A6191" s="94">
        <v>97913</v>
      </c>
      <c r="B6191" s="87" t="s">
        <v>5114</v>
      </c>
      <c r="C6191" s="12" t="s">
        <v>405</v>
      </c>
      <c r="D6191" s="93">
        <v>1.98</v>
      </c>
      <c r="E6191" s="93">
        <v>0.48</v>
      </c>
      <c r="F6191" s="93">
        <v>0.82</v>
      </c>
      <c r="G6191" s="93">
        <v>0.68</v>
      </c>
      <c r="H6191" s="93">
        <v>0</v>
      </c>
      <c r="N6191" s="88"/>
      <c r="O6191" s="88"/>
      <c r="P6191" s="88"/>
    </row>
    <row r="6192" spans="1:16">
      <c r="A6192" s="94">
        <v>97914</v>
      </c>
      <c r="B6192" s="87" t="s">
        <v>5115</v>
      </c>
      <c r="C6192" s="12" t="s">
        <v>405</v>
      </c>
      <c r="D6192" s="93">
        <v>1.81</v>
      </c>
      <c r="E6192" s="93">
        <v>0.45</v>
      </c>
      <c r="F6192" s="93">
        <v>0.74</v>
      </c>
      <c r="G6192" s="93">
        <v>0.62</v>
      </c>
      <c r="H6192" s="93">
        <v>0</v>
      </c>
      <c r="N6192" s="88"/>
      <c r="O6192" s="88"/>
      <c r="P6192" s="88"/>
    </row>
    <row r="6193" spans="1:16">
      <c r="A6193" s="94">
        <v>97915</v>
      </c>
      <c r="B6193" s="87" t="s">
        <v>5116</v>
      </c>
      <c r="C6193" s="12" t="s">
        <v>405</v>
      </c>
      <c r="D6193" s="93">
        <v>0.72</v>
      </c>
      <c r="E6193" s="93">
        <v>0.19</v>
      </c>
      <c r="F6193" s="93">
        <v>0.3</v>
      </c>
      <c r="G6193" s="93">
        <v>0.23</v>
      </c>
      <c r="H6193" s="93">
        <v>0</v>
      </c>
      <c r="N6193" s="88"/>
      <c r="O6193" s="88"/>
      <c r="P6193" s="88"/>
    </row>
    <row r="6194" spans="1:16">
      <c r="A6194" s="94">
        <v>100937</v>
      </c>
      <c r="B6194" s="87" t="s">
        <v>5117</v>
      </c>
      <c r="C6194" s="12" t="s">
        <v>405</v>
      </c>
      <c r="D6194" s="93">
        <v>5.45</v>
      </c>
      <c r="E6194" s="93">
        <v>1.33</v>
      </c>
      <c r="F6194" s="93">
        <v>2.23</v>
      </c>
      <c r="G6194" s="93">
        <v>1.89</v>
      </c>
      <c r="H6194" s="93">
        <v>0</v>
      </c>
      <c r="N6194" s="88"/>
      <c r="O6194" s="88"/>
      <c r="P6194" s="88"/>
    </row>
    <row r="6195" spans="1:16">
      <c r="A6195" s="94">
        <v>100938</v>
      </c>
      <c r="B6195" s="87" t="s">
        <v>5118</v>
      </c>
      <c r="C6195" s="12" t="s">
        <v>405</v>
      </c>
      <c r="D6195" s="93">
        <v>4.37</v>
      </c>
      <c r="E6195" s="93">
        <v>0.8</v>
      </c>
      <c r="F6195" s="93">
        <v>2.2599999999999998</v>
      </c>
      <c r="G6195" s="93">
        <v>1.31</v>
      </c>
      <c r="H6195" s="93">
        <v>0</v>
      </c>
      <c r="N6195" s="88"/>
      <c r="O6195" s="88"/>
      <c r="P6195" s="88"/>
    </row>
    <row r="6196" spans="1:16">
      <c r="A6196" s="94">
        <v>100939</v>
      </c>
      <c r="B6196" s="87" t="s">
        <v>5119</v>
      </c>
      <c r="C6196" s="12" t="s">
        <v>405</v>
      </c>
      <c r="D6196" s="93">
        <v>3.97</v>
      </c>
      <c r="E6196" s="93">
        <v>0.56000000000000005</v>
      </c>
      <c r="F6196" s="93">
        <v>1.98</v>
      </c>
      <c r="G6196" s="93">
        <v>1.43</v>
      </c>
      <c r="H6196" s="93">
        <v>0</v>
      </c>
      <c r="N6196" s="88"/>
      <c r="O6196" s="88"/>
      <c r="P6196" s="88"/>
    </row>
    <row r="6197" spans="1:16">
      <c r="A6197" s="94">
        <v>100940</v>
      </c>
      <c r="B6197" s="87" t="s">
        <v>5120</v>
      </c>
      <c r="C6197" s="12" t="s">
        <v>405</v>
      </c>
      <c r="D6197" s="93">
        <v>3.37</v>
      </c>
      <c r="E6197" s="93">
        <v>0.44</v>
      </c>
      <c r="F6197" s="93">
        <v>1.77</v>
      </c>
      <c r="G6197" s="93">
        <v>1.1599999999999999</v>
      </c>
      <c r="H6197" s="93">
        <v>0</v>
      </c>
      <c r="N6197" s="88"/>
      <c r="O6197" s="88"/>
      <c r="P6197" s="88"/>
    </row>
    <row r="6198" spans="1:16">
      <c r="A6198" s="94">
        <v>100941</v>
      </c>
      <c r="B6198" s="87" t="s">
        <v>5121</v>
      </c>
      <c r="C6198" s="12" t="s">
        <v>403</v>
      </c>
      <c r="D6198" s="93">
        <v>3.63</v>
      </c>
      <c r="E6198" s="93">
        <v>0.89</v>
      </c>
      <c r="F6198" s="93">
        <v>1.48</v>
      </c>
      <c r="G6198" s="93">
        <v>1.26</v>
      </c>
      <c r="H6198" s="93">
        <v>0</v>
      </c>
      <c r="N6198" s="88"/>
      <c r="O6198" s="88"/>
      <c r="P6198" s="88"/>
    </row>
    <row r="6199" spans="1:16">
      <c r="A6199" s="94">
        <v>100942</v>
      </c>
      <c r="B6199" s="87" t="s">
        <v>5122</v>
      </c>
      <c r="C6199" s="12" t="s">
        <v>403</v>
      </c>
      <c r="D6199" s="93">
        <v>2.91</v>
      </c>
      <c r="E6199" s="93">
        <v>0.53</v>
      </c>
      <c r="F6199" s="93">
        <v>1.51</v>
      </c>
      <c r="G6199" s="93">
        <v>0.87</v>
      </c>
      <c r="H6199" s="93">
        <v>0</v>
      </c>
      <c r="N6199" s="88"/>
      <c r="O6199" s="88"/>
      <c r="P6199" s="88"/>
    </row>
    <row r="6200" spans="1:16">
      <c r="A6200" s="94">
        <v>100943</v>
      </c>
      <c r="B6200" s="87" t="s">
        <v>5123</v>
      </c>
      <c r="C6200" s="12" t="s">
        <v>403</v>
      </c>
      <c r="D6200" s="93">
        <v>2.63</v>
      </c>
      <c r="E6200" s="93">
        <v>0.38</v>
      </c>
      <c r="F6200" s="93">
        <v>1.31</v>
      </c>
      <c r="G6200" s="93">
        <v>0.94</v>
      </c>
      <c r="H6200" s="93">
        <v>0</v>
      </c>
      <c r="N6200" s="88"/>
      <c r="O6200" s="88"/>
      <c r="P6200" s="88"/>
    </row>
    <row r="6201" spans="1:16">
      <c r="A6201" s="94">
        <v>100944</v>
      </c>
      <c r="B6201" s="87" t="s">
        <v>5124</v>
      </c>
      <c r="C6201" s="12" t="s">
        <v>403</v>
      </c>
      <c r="D6201" s="93">
        <v>2.25</v>
      </c>
      <c r="E6201" s="93">
        <v>0.28999999999999998</v>
      </c>
      <c r="F6201" s="93">
        <v>1.19</v>
      </c>
      <c r="G6201" s="93">
        <v>0.77</v>
      </c>
      <c r="H6201" s="93">
        <v>0</v>
      </c>
      <c r="N6201" s="88"/>
      <c r="O6201" s="88"/>
      <c r="P6201" s="88"/>
    </row>
    <row r="6202" spans="1:16">
      <c r="A6202" s="94">
        <v>100945</v>
      </c>
      <c r="B6202" s="87" t="s">
        <v>5125</v>
      </c>
      <c r="C6202" s="12" t="s">
        <v>403</v>
      </c>
      <c r="D6202" s="93">
        <v>1.6</v>
      </c>
      <c r="E6202" s="93">
        <v>0.41</v>
      </c>
      <c r="F6202" s="93">
        <v>0.88</v>
      </c>
      <c r="G6202" s="93">
        <v>0.31</v>
      </c>
      <c r="H6202" s="93">
        <v>0</v>
      </c>
      <c r="N6202" s="88"/>
      <c r="O6202" s="88"/>
      <c r="P6202" s="88"/>
    </row>
    <row r="6203" spans="1:16">
      <c r="A6203" s="94">
        <v>100946</v>
      </c>
      <c r="B6203" s="87" t="s">
        <v>5126</v>
      </c>
      <c r="C6203" s="12" t="s">
        <v>403</v>
      </c>
      <c r="D6203" s="93">
        <v>1.38</v>
      </c>
      <c r="E6203" s="93">
        <v>0.35</v>
      </c>
      <c r="F6203" s="93">
        <v>0.76</v>
      </c>
      <c r="G6203" s="93">
        <v>0.27</v>
      </c>
      <c r="H6203" s="93">
        <v>0</v>
      </c>
      <c r="N6203" s="88"/>
      <c r="O6203" s="88"/>
      <c r="P6203" s="88"/>
    </row>
    <row r="6204" spans="1:16">
      <c r="A6204" s="94">
        <v>100947</v>
      </c>
      <c r="B6204" s="87" t="s">
        <v>5127</v>
      </c>
      <c r="C6204" s="12" t="s">
        <v>403</v>
      </c>
      <c r="D6204" s="93">
        <v>1.28</v>
      </c>
      <c r="E6204" s="93">
        <v>0.33</v>
      </c>
      <c r="F6204" s="93">
        <v>0.71</v>
      </c>
      <c r="G6204" s="93">
        <v>0.24</v>
      </c>
      <c r="H6204" s="93">
        <v>0</v>
      </c>
      <c r="N6204" s="88"/>
      <c r="O6204" s="88"/>
      <c r="P6204" s="88"/>
    </row>
    <row r="6205" spans="1:16">
      <c r="A6205" s="94">
        <v>100948</v>
      </c>
      <c r="B6205" s="87" t="s">
        <v>5128</v>
      </c>
      <c r="C6205" s="12" t="s">
        <v>403</v>
      </c>
      <c r="D6205" s="93">
        <v>0.5</v>
      </c>
      <c r="E6205" s="93">
        <v>0.12</v>
      </c>
      <c r="F6205" s="93">
        <v>0.28999999999999998</v>
      </c>
      <c r="G6205" s="93">
        <v>0.09</v>
      </c>
      <c r="H6205" s="93">
        <v>0</v>
      </c>
      <c r="N6205" s="88"/>
      <c r="O6205" s="88"/>
      <c r="P6205" s="88"/>
    </row>
    <row r="6206" spans="1:16">
      <c r="A6206" s="94">
        <v>100949</v>
      </c>
      <c r="B6206" s="87" t="s">
        <v>5129</v>
      </c>
      <c r="C6206" s="12" t="s">
        <v>403</v>
      </c>
      <c r="D6206" s="93">
        <v>3.81</v>
      </c>
      <c r="E6206" s="93">
        <v>0.95</v>
      </c>
      <c r="F6206" s="93">
        <v>2.08</v>
      </c>
      <c r="G6206" s="93">
        <v>0.78</v>
      </c>
      <c r="H6206" s="93">
        <v>0</v>
      </c>
      <c r="N6206" s="88"/>
      <c r="O6206" s="88"/>
      <c r="P6206" s="88"/>
    </row>
    <row r="6207" spans="1:16">
      <c r="A6207" s="94">
        <v>100950</v>
      </c>
      <c r="B6207" s="87" t="s">
        <v>5130</v>
      </c>
      <c r="C6207" s="12" t="s">
        <v>403</v>
      </c>
      <c r="D6207" s="93">
        <v>1.99</v>
      </c>
      <c r="E6207" s="93">
        <v>0.42</v>
      </c>
      <c r="F6207" s="93">
        <v>1.18</v>
      </c>
      <c r="G6207" s="93">
        <v>0.39</v>
      </c>
      <c r="H6207" s="93">
        <v>0</v>
      </c>
      <c r="N6207" s="88"/>
      <c r="O6207" s="88"/>
      <c r="P6207" s="88"/>
    </row>
    <row r="6208" spans="1:16">
      <c r="A6208" s="94">
        <v>100951</v>
      </c>
      <c r="B6208" s="87" t="s">
        <v>5131</v>
      </c>
      <c r="C6208" s="12" t="s">
        <v>403</v>
      </c>
      <c r="D6208" s="93">
        <v>1.71</v>
      </c>
      <c r="E6208" s="93">
        <v>0.36</v>
      </c>
      <c r="F6208" s="93">
        <v>1.02</v>
      </c>
      <c r="G6208" s="93">
        <v>0.33</v>
      </c>
      <c r="H6208" s="93">
        <v>0</v>
      </c>
      <c r="N6208" s="88"/>
      <c r="O6208" s="88"/>
      <c r="P6208" s="88"/>
    </row>
    <row r="6209" spans="1:16">
      <c r="A6209" s="94">
        <v>100952</v>
      </c>
      <c r="B6209" s="87" t="s">
        <v>5132</v>
      </c>
      <c r="C6209" s="12" t="s">
        <v>403</v>
      </c>
      <c r="D6209" s="93">
        <v>1.58</v>
      </c>
      <c r="E6209" s="93">
        <v>0.33</v>
      </c>
      <c r="F6209" s="93">
        <v>0.95</v>
      </c>
      <c r="G6209" s="93">
        <v>0.3</v>
      </c>
      <c r="H6209" s="93">
        <v>0</v>
      </c>
      <c r="N6209" s="88"/>
      <c r="O6209" s="88"/>
      <c r="P6209" s="88"/>
    </row>
    <row r="6210" spans="1:16">
      <c r="A6210" s="94">
        <v>100953</v>
      </c>
      <c r="B6210" s="87" t="s">
        <v>5133</v>
      </c>
      <c r="C6210" s="12" t="s">
        <v>403</v>
      </c>
      <c r="D6210" s="93">
        <v>0.62</v>
      </c>
      <c r="E6210" s="93">
        <v>0.13</v>
      </c>
      <c r="F6210" s="93">
        <v>0.39</v>
      </c>
      <c r="G6210" s="93">
        <v>0.1</v>
      </c>
      <c r="H6210" s="93">
        <v>0</v>
      </c>
      <c r="N6210" s="88"/>
      <c r="O6210" s="88"/>
      <c r="P6210" s="88"/>
    </row>
    <row r="6211" spans="1:16">
      <c r="A6211" s="94">
        <v>100954</v>
      </c>
      <c r="B6211" s="87" t="s">
        <v>5134</v>
      </c>
      <c r="C6211" s="12" t="s">
        <v>403</v>
      </c>
      <c r="D6211" s="93">
        <v>4.75</v>
      </c>
      <c r="E6211" s="93">
        <v>0.99</v>
      </c>
      <c r="F6211" s="93">
        <v>2.77</v>
      </c>
      <c r="G6211" s="93">
        <v>0.99</v>
      </c>
      <c r="H6211" s="93">
        <v>0</v>
      </c>
      <c r="N6211" s="88"/>
      <c r="O6211" s="88"/>
      <c r="P6211" s="88"/>
    </row>
    <row r="6212" spans="1:16">
      <c r="A6212" s="94">
        <v>100955</v>
      </c>
      <c r="B6212" s="87" t="s">
        <v>5135</v>
      </c>
      <c r="C6212" s="12" t="s">
        <v>405</v>
      </c>
      <c r="D6212" s="93">
        <v>2.96</v>
      </c>
      <c r="E6212" s="93">
        <v>0.57999999999999996</v>
      </c>
      <c r="F6212" s="93">
        <v>1.75</v>
      </c>
      <c r="G6212" s="93">
        <v>0.63</v>
      </c>
      <c r="H6212" s="93">
        <v>0</v>
      </c>
      <c r="N6212" s="88"/>
      <c r="O6212" s="88"/>
      <c r="P6212" s="88"/>
    </row>
    <row r="6213" spans="1:16">
      <c r="A6213" s="94">
        <v>100956</v>
      </c>
      <c r="B6213" s="87" t="s">
        <v>5136</v>
      </c>
      <c r="C6213" s="12" t="s">
        <v>405</v>
      </c>
      <c r="D6213" s="93">
        <v>2.57</v>
      </c>
      <c r="E6213" s="93">
        <v>0.52</v>
      </c>
      <c r="F6213" s="93">
        <v>1.52</v>
      </c>
      <c r="G6213" s="93">
        <v>0.53</v>
      </c>
      <c r="H6213" s="93">
        <v>0</v>
      </c>
      <c r="N6213" s="88"/>
      <c r="O6213" s="88"/>
      <c r="P6213" s="88"/>
    </row>
    <row r="6214" spans="1:16">
      <c r="A6214" s="94">
        <v>100957</v>
      </c>
      <c r="B6214" s="87" t="s">
        <v>5137</v>
      </c>
      <c r="C6214" s="12" t="s">
        <v>405</v>
      </c>
      <c r="D6214" s="93">
        <v>2.36</v>
      </c>
      <c r="E6214" s="93">
        <v>0.48</v>
      </c>
      <c r="F6214" s="93">
        <v>1.39</v>
      </c>
      <c r="G6214" s="93">
        <v>0.49</v>
      </c>
      <c r="H6214" s="93">
        <v>0</v>
      </c>
      <c r="N6214" s="88"/>
      <c r="O6214" s="88"/>
      <c r="P6214" s="88"/>
    </row>
    <row r="6215" spans="1:16">
      <c r="A6215" s="94">
        <v>100958</v>
      </c>
      <c r="B6215" s="87" t="s">
        <v>5138</v>
      </c>
      <c r="C6215" s="12" t="s">
        <v>405</v>
      </c>
      <c r="D6215" s="93">
        <v>0.94</v>
      </c>
      <c r="E6215" s="93">
        <v>0.19</v>
      </c>
      <c r="F6215" s="93">
        <v>0.59</v>
      </c>
      <c r="G6215" s="93">
        <v>0.16</v>
      </c>
      <c r="H6215" s="93">
        <v>0</v>
      </c>
      <c r="N6215" s="88"/>
      <c r="O6215" s="88"/>
      <c r="P6215" s="88"/>
    </row>
    <row r="6216" spans="1:16">
      <c r="A6216" s="94">
        <v>100959</v>
      </c>
      <c r="B6216" s="87" t="s">
        <v>5139</v>
      </c>
      <c r="C6216" s="12" t="s">
        <v>405</v>
      </c>
      <c r="D6216" s="93">
        <v>7.08</v>
      </c>
      <c r="E6216" s="93">
        <v>1.4</v>
      </c>
      <c r="F6216" s="93">
        <v>4.1399999999999997</v>
      </c>
      <c r="G6216" s="93">
        <v>1.54</v>
      </c>
      <c r="H6216" s="93">
        <v>0</v>
      </c>
      <c r="N6216" s="88"/>
      <c r="O6216" s="88"/>
      <c r="P6216" s="88"/>
    </row>
    <row r="6217" spans="1:16">
      <c r="A6217" s="94">
        <v>100960</v>
      </c>
      <c r="B6217" s="87" t="s">
        <v>5140</v>
      </c>
      <c r="C6217" s="12" t="s">
        <v>405</v>
      </c>
      <c r="D6217" s="93">
        <v>2.09</v>
      </c>
      <c r="E6217" s="93">
        <v>0.35</v>
      </c>
      <c r="F6217" s="93">
        <v>1.27</v>
      </c>
      <c r="G6217" s="93">
        <v>0.47</v>
      </c>
      <c r="H6217" s="93">
        <v>0</v>
      </c>
      <c r="N6217" s="88"/>
      <c r="O6217" s="88"/>
      <c r="P6217" s="88"/>
    </row>
    <row r="6218" spans="1:16">
      <c r="A6218" s="94">
        <v>100961</v>
      </c>
      <c r="B6218" s="87" t="s">
        <v>5141</v>
      </c>
      <c r="C6218" s="12" t="s">
        <v>405</v>
      </c>
      <c r="D6218" s="93">
        <v>1.82</v>
      </c>
      <c r="E6218" s="93">
        <v>0.31</v>
      </c>
      <c r="F6218" s="93">
        <v>1.1200000000000001</v>
      </c>
      <c r="G6218" s="93">
        <v>0.39</v>
      </c>
      <c r="H6218" s="93">
        <v>0</v>
      </c>
      <c r="N6218" s="88"/>
      <c r="O6218" s="88"/>
      <c r="P6218" s="88"/>
    </row>
    <row r="6219" spans="1:16">
      <c r="A6219" s="94">
        <v>100962</v>
      </c>
      <c r="B6219" s="87" t="s">
        <v>5142</v>
      </c>
      <c r="C6219" s="12" t="s">
        <v>405</v>
      </c>
      <c r="D6219" s="93">
        <v>1.65</v>
      </c>
      <c r="E6219" s="93">
        <v>0.28000000000000003</v>
      </c>
      <c r="F6219" s="93">
        <v>1.02</v>
      </c>
      <c r="G6219" s="93">
        <v>0.35</v>
      </c>
      <c r="H6219" s="93">
        <v>0</v>
      </c>
      <c r="N6219" s="88"/>
      <c r="O6219" s="88"/>
      <c r="P6219" s="88"/>
    </row>
    <row r="6220" spans="1:16">
      <c r="A6220" s="94">
        <v>100963</v>
      </c>
      <c r="B6220" s="87" t="s">
        <v>5143</v>
      </c>
      <c r="C6220" s="12" t="s">
        <v>405</v>
      </c>
      <c r="D6220" s="93">
        <v>0.65</v>
      </c>
      <c r="E6220" s="93">
        <v>0.11</v>
      </c>
      <c r="F6220" s="93">
        <v>0.42</v>
      </c>
      <c r="G6220" s="93">
        <v>0.12</v>
      </c>
      <c r="H6220" s="93">
        <v>0</v>
      </c>
      <c r="N6220" s="88"/>
      <c r="O6220" s="88"/>
      <c r="P6220" s="88"/>
    </row>
    <row r="6221" spans="1:16">
      <c r="A6221" s="94">
        <v>100964</v>
      </c>
      <c r="B6221" s="87" t="s">
        <v>5144</v>
      </c>
      <c r="C6221" s="12" t="s">
        <v>405</v>
      </c>
      <c r="D6221" s="93">
        <v>5.04</v>
      </c>
      <c r="E6221" s="93">
        <v>0.84</v>
      </c>
      <c r="F6221" s="93">
        <v>3.03</v>
      </c>
      <c r="G6221" s="93">
        <v>1.17</v>
      </c>
      <c r="H6221" s="93">
        <v>0</v>
      </c>
      <c r="N6221" s="88"/>
      <c r="O6221" s="88"/>
      <c r="P6221" s="88"/>
    </row>
    <row r="6222" spans="1:16">
      <c r="A6222" s="94">
        <v>100973</v>
      </c>
      <c r="B6222" s="87" t="s">
        <v>5145</v>
      </c>
      <c r="C6222" s="12" t="s">
        <v>5</v>
      </c>
      <c r="D6222" s="93">
        <v>5.65</v>
      </c>
      <c r="E6222" s="93">
        <v>1.59</v>
      </c>
      <c r="F6222" s="93">
        <v>1.91</v>
      </c>
      <c r="G6222" s="93">
        <v>2.15</v>
      </c>
      <c r="H6222" s="93">
        <v>0</v>
      </c>
      <c r="N6222" s="88"/>
      <c r="O6222" s="88"/>
      <c r="P6222" s="88"/>
    </row>
    <row r="6223" spans="1:16">
      <c r="A6223" s="94">
        <v>100974</v>
      </c>
      <c r="B6223" s="87" t="s">
        <v>5146</v>
      </c>
      <c r="C6223" s="12" t="s">
        <v>5</v>
      </c>
      <c r="D6223" s="93">
        <v>5.25</v>
      </c>
      <c r="E6223" s="93">
        <v>1.18</v>
      </c>
      <c r="F6223" s="93">
        <v>2.2400000000000002</v>
      </c>
      <c r="G6223" s="93">
        <v>1.83</v>
      </c>
      <c r="H6223" s="93">
        <v>0</v>
      </c>
      <c r="N6223" s="88"/>
      <c r="O6223" s="88"/>
      <c r="P6223" s="88"/>
    </row>
    <row r="6224" spans="1:16">
      <c r="A6224" s="94">
        <v>100975</v>
      </c>
      <c r="B6224" s="87" t="s">
        <v>5147</v>
      </c>
      <c r="C6224" s="12" t="s">
        <v>5</v>
      </c>
      <c r="D6224" s="93">
        <v>5.4</v>
      </c>
      <c r="E6224" s="93">
        <v>1.01</v>
      </c>
      <c r="F6224" s="93">
        <v>2.31</v>
      </c>
      <c r="G6224" s="93">
        <v>2.08</v>
      </c>
      <c r="H6224" s="93">
        <v>0</v>
      </c>
      <c r="N6224" s="88"/>
      <c r="O6224" s="88"/>
      <c r="P6224" s="88"/>
    </row>
    <row r="6225" spans="1:16">
      <c r="A6225" s="94">
        <v>93176</v>
      </c>
      <c r="B6225" s="87" t="s">
        <v>6918</v>
      </c>
      <c r="C6225" s="12" t="s">
        <v>403</v>
      </c>
      <c r="D6225" s="93">
        <v>0.51</v>
      </c>
      <c r="E6225" s="93">
        <v>0.06</v>
      </c>
      <c r="F6225" s="93">
        <v>0.34</v>
      </c>
      <c r="G6225" s="93">
        <v>0.11</v>
      </c>
      <c r="H6225" s="93">
        <v>0</v>
      </c>
      <c r="N6225" s="88"/>
      <c r="O6225" s="88"/>
      <c r="P6225" s="88"/>
    </row>
    <row r="6226" spans="1:16">
      <c r="A6226" s="94">
        <v>93177</v>
      </c>
      <c r="B6226" s="87" t="s">
        <v>6919</v>
      </c>
      <c r="C6226" s="12" t="s">
        <v>403</v>
      </c>
      <c r="D6226" s="93">
        <v>1.82</v>
      </c>
      <c r="E6226" s="93">
        <v>0.27</v>
      </c>
      <c r="F6226" s="93">
        <v>1.2</v>
      </c>
      <c r="G6226" s="93">
        <v>0.35</v>
      </c>
      <c r="H6226" s="93">
        <v>0</v>
      </c>
      <c r="N6226" s="88"/>
      <c r="O6226" s="88"/>
      <c r="P6226" s="88"/>
    </row>
    <row r="6227" spans="1:16">
      <c r="A6227" s="94">
        <v>93178</v>
      </c>
      <c r="B6227" s="87" t="s">
        <v>6920</v>
      </c>
      <c r="C6227" s="12" t="s">
        <v>403</v>
      </c>
      <c r="D6227" s="93">
        <v>0.59</v>
      </c>
      <c r="E6227" s="93">
        <v>7.0000000000000007E-2</v>
      </c>
      <c r="F6227" s="93">
        <v>0.4</v>
      </c>
      <c r="G6227" s="93">
        <v>0.12</v>
      </c>
      <c r="H6227" s="93">
        <v>0</v>
      </c>
      <c r="N6227" s="88"/>
      <c r="O6227" s="88"/>
      <c r="P6227" s="88"/>
    </row>
    <row r="6228" spans="1:16">
      <c r="A6228" s="94">
        <v>93179</v>
      </c>
      <c r="B6228" s="87" t="s">
        <v>6921</v>
      </c>
      <c r="C6228" s="12" t="s">
        <v>403</v>
      </c>
      <c r="D6228" s="93">
        <v>2.02</v>
      </c>
      <c r="E6228" s="93">
        <v>0.28999999999999998</v>
      </c>
      <c r="F6228" s="93">
        <v>1.32</v>
      </c>
      <c r="G6228" s="93">
        <v>0.41</v>
      </c>
      <c r="H6228" s="93">
        <v>0</v>
      </c>
      <c r="N6228" s="88"/>
      <c r="O6228" s="88"/>
      <c r="P6228" s="88"/>
    </row>
    <row r="6229" spans="1:16">
      <c r="A6229" s="94">
        <v>100965</v>
      </c>
      <c r="B6229" s="87" t="s">
        <v>5148</v>
      </c>
      <c r="C6229" s="12" t="s">
        <v>403</v>
      </c>
      <c r="D6229" s="93">
        <v>1.08</v>
      </c>
      <c r="E6229" s="93">
        <v>0.15</v>
      </c>
      <c r="F6229" s="93">
        <v>0.68</v>
      </c>
      <c r="G6229" s="93">
        <v>0.25</v>
      </c>
      <c r="H6229" s="93">
        <v>0</v>
      </c>
      <c r="N6229" s="88"/>
      <c r="O6229" s="88"/>
      <c r="P6229" s="88"/>
    </row>
    <row r="6230" spans="1:16">
      <c r="A6230" s="94">
        <v>100966</v>
      </c>
      <c r="B6230" s="87" t="s">
        <v>5149</v>
      </c>
      <c r="C6230" s="12" t="s">
        <v>403</v>
      </c>
      <c r="D6230" s="93">
        <v>0.93</v>
      </c>
      <c r="E6230" s="93">
        <v>0.14000000000000001</v>
      </c>
      <c r="F6230" s="93">
        <v>0.57999999999999996</v>
      </c>
      <c r="G6230" s="93">
        <v>0.21</v>
      </c>
      <c r="H6230" s="93">
        <v>0</v>
      </c>
      <c r="N6230" s="88"/>
      <c r="O6230" s="88"/>
      <c r="P6230" s="88"/>
    </row>
    <row r="6231" spans="1:16">
      <c r="A6231" s="94">
        <v>100967</v>
      </c>
      <c r="B6231" s="87" t="s">
        <v>5150</v>
      </c>
      <c r="C6231" s="12" t="s">
        <v>403</v>
      </c>
      <c r="D6231" s="93">
        <v>0.86</v>
      </c>
      <c r="E6231" s="93">
        <v>0.11</v>
      </c>
      <c r="F6231" s="93">
        <v>0.55000000000000004</v>
      </c>
      <c r="G6231" s="93">
        <v>0.2</v>
      </c>
      <c r="H6231" s="93">
        <v>0</v>
      </c>
      <c r="N6231" s="88"/>
      <c r="O6231" s="88"/>
      <c r="P6231" s="88"/>
    </row>
    <row r="6232" spans="1:16">
      <c r="A6232" s="94">
        <v>100968</v>
      </c>
      <c r="B6232" s="87" t="s">
        <v>5151</v>
      </c>
      <c r="C6232" s="12" t="s">
        <v>403</v>
      </c>
      <c r="D6232" s="93">
        <v>0.34</v>
      </c>
      <c r="E6232" s="93">
        <v>0.04</v>
      </c>
      <c r="F6232" s="93">
        <v>0.24</v>
      </c>
      <c r="G6232" s="93">
        <v>0.06</v>
      </c>
      <c r="H6232" s="93">
        <v>0</v>
      </c>
      <c r="N6232" s="88"/>
      <c r="O6232" s="88"/>
      <c r="P6232" s="88"/>
    </row>
    <row r="6233" spans="1:16">
      <c r="A6233" s="94">
        <v>100969</v>
      </c>
      <c r="B6233" s="87" t="s">
        <v>5152</v>
      </c>
      <c r="C6233" s="12" t="s">
        <v>403</v>
      </c>
      <c r="D6233" s="93">
        <v>1.45</v>
      </c>
      <c r="E6233" s="93">
        <v>0.24</v>
      </c>
      <c r="F6233" s="93">
        <v>0.93</v>
      </c>
      <c r="G6233" s="93">
        <v>0.28000000000000003</v>
      </c>
      <c r="H6233" s="93">
        <v>0</v>
      </c>
      <c r="N6233" s="88"/>
      <c r="O6233" s="88"/>
      <c r="P6233" s="88"/>
    </row>
    <row r="6234" spans="1:16">
      <c r="A6234" s="94">
        <v>100970</v>
      </c>
      <c r="B6234" s="87" t="s">
        <v>5153</v>
      </c>
      <c r="C6234" s="12" t="s">
        <v>403</v>
      </c>
      <c r="D6234" s="93">
        <v>1.22</v>
      </c>
      <c r="E6234" s="93">
        <v>0.2</v>
      </c>
      <c r="F6234" s="93">
        <v>0.78</v>
      </c>
      <c r="G6234" s="93">
        <v>0.24</v>
      </c>
      <c r="H6234" s="93">
        <v>0</v>
      </c>
      <c r="N6234" s="88"/>
      <c r="O6234" s="88"/>
      <c r="P6234" s="88"/>
    </row>
    <row r="6235" spans="1:16">
      <c r="A6235" s="94">
        <v>100971</v>
      </c>
      <c r="B6235" s="87" t="s">
        <v>5154</v>
      </c>
      <c r="C6235" s="12" t="s">
        <v>403</v>
      </c>
      <c r="D6235" s="93">
        <v>1.1499999999999999</v>
      </c>
      <c r="E6235" s="93">
        <v>0.19</v>
      </c>
      <c r="F6235" s="93">
        <v>0.74</v>
      </c>
      <c r="G6235" s="93">
        <v>0.22</v>
      </c>
      <c r="H6235" s="93">
        <v>0</v>
      </c>
      <c r="N6235" s="88"/>
      <c r="O6235" s="88"/>
      <c r="P6235" s="88"/>
    </row>
    <row r="6236" spans="1:16">
      <c r="A6236" s="94">
        <v>100972</v>
      </c>
      <c r="B6236" s="87" t="s">
        <v>5155</v>
      </c>
      <c r="C6236" s="12" t="s">
        <v>403</v>
      </c>
      <c r="D6236" s="93">
        <v>0.45</v>
      </c>
      <c r="E6236" s="93">
        <v>7.0000000000000007E-2</v>
      </c>
      <c r="F6236" s="93">
        <v>0.32</v>
      </c>
      <c r="G6236" s="93">
        <v>0.06</v>
      </c>
      <c r="H6236" s="93">
        <v>0</v>
      </c>
      <c r="N6236" s="88"/>
      <c r="O6236" s="88"/>
      <c r="P6236" s="88"/>
    </row>
    <row r="6237" spans="1:16">
      <c r="A6237" s="94">
        <v>101019</v>
      </c>
      <c r="B6237" s="87" t="s">
        <v>5156</v>
      </c>
      <c r="C6237" s="12" t="s">
        <v>404</v>
      </c>
      <c r="D6237" s="93">
        <v>507.04</v>
      </c>
      <c r="E6237" s="93">
        <v>198.24</v>
      </c>
      <c r="F6237" s="93">
        <v>233.29</v>
      </c>
      <c r="G6237" s="93">
        <v>75.510000000000005</v>
      </c>
      <c r="H6237" s="93">
        <v>0</v>
      </c>
      <c r="N6237" s="88"/>
      <c r="O6237" s="88"/>
      <c r="P6237" s="88"/>
    </row>
    <row r="6238" spans="1:16">
      <c r="A6238" s="94">
        <v>101479</v>
      </c>
      <c r="B6238" s="87" t="s">
        <v>5157</v>
      </c>
      <c r="C6238" s="12" t="s">
        <v>404</v>
      </c>
      <c r="D6238" s="93">
        <v>101.21</v>
      </c>
      <c r="E6238" s="93">
        <v>39.6</v>
      </c>
      <c r="F6238" s="93">
        <v>46.56</v>
      </c>
      <c r="G6238" s="93">
        <v>15.05</v>
      </c>
      <c r="H6238" s="93">
        <v>0</v>
      </c>
      <c r="N6238" s="88"/>
      <c r="O6238" s="88"/>
      <c r="P6238" s="88"/>
    </row>
    <row r="6239" spans="1:16">
      <c r="A6239" s="94">
        <v>100976</v>
      </c>
      <c r="B6239" s="87" t="s">
        <v>5158</v>
      </c>
      <c r="C6239" s="12" t="s">
        <v>5</v>
      </c>
      <c r="D6239" s="93">
        <v>5.27</v>
      </c>
      <c r="E6239" s="93">
        <v>0.9</v>
      </c>
      <c r="F6239" s="93">
        <v>2.39</v>
      </c>
      <c r="G6239" s="93">
        <v>1.98</v>
      </c>
      <c r="H6239" s="93">
        <v>0</v>
      </c>
      <c r="N6239" s="88"/>
      <c r="O6239" s="88"/>
      <c r="P6239" s="88"/>
    </row>
    <row r="6240" spans="1:16">
      <c r="A6240" s="94">
        <v>100977</v>
      </c>
      <c r="B6240" s="87" t="s">
        <v>5159</v>
      </c>
      <c r="C6240" s="12" t="s">
        <v>5</v>
      </c>
      <c r="D6240" s="93">
        <v>4.82</v>
      </c>
      <c r="E6240" s="93">
        <v>1.42</v>
      </c>
      <c r="F6240" s="93">
        <v>1.5</v>
      </c>
      <c r="G6240" s="93">
        <v>1.9</v>
      </c>
      <c r="H6240" s="93">
        <v>0</v>
      </c>
      <c r="N6240" s="88"/>
      <c r="O6240" s="88"/>
      <c r="P6240" s="88"/>
    </row>
    <row r="6241" spans="1:16">
      <c r="A6241" s="94">
        <v>100978</v>
      </c>
      <c r="B6241" s="87" t="s">
        <v>5160</v>
      </c>
      <c r="C6241" s="12" t="s">
        <v>5</v>
      </c>
      <c r="D6241" s="93">
        <v>4.1900000000000004</v>
      </c>
      <c r="E6241" s="93">
        <v>0.99</v>
      </c>
      <c r="F6241" s="93">
        <v>1.67</v>
      </c>
      <c r="G6241" s="93">
        <v>1.53</v>
      </c>
      <c r="H6241" s="93">
        <v>0</v>
      </c>
      <c r="N6241" s="88"/>
      <c r="O6241" s="88"/>
      <c r="P6241" s="88"/>
    </row>
    <row r="6242" spans="1:16">
      <c r="A6242" s="94">
        <v>100979</v>
      </c>
      <c r="B6242" s="87" t="s">
        <v>5161</v>
      </c>
      <c r="C6242" s="12" t="s">
        <v>5</v>
      </c>
      <c r="D6242" s="93">
        <v>4.09</v>
      </c>
      <c r="E6242" s="93">
        <v>0.81</v>
      </c>
      <c r="F6242" s="93">
        <v>1.66</v>
      </c>
      <c r="G6242" s="93">
        <v>1.62</v>
      </c>
      <c r="H6242" s="93">
        <v>0</v>
      </c>
      <c r="N6242" s="88"/>
      <c r="O6242" s="88"/>
      <c r="P6242" s="88"/>
    </row>
    <row r="6243" spans="1:16">
      <c r="A6243" s="94">
        <v>100980</v>
      </c>
      <c r="B6243" s="87" t="s">
        <v>5162</v>
      </c>
      <c r="C6243" s="12" t="s">
        <v>5</v>
      </c>
      <c r="D6243" s="93">
        <v>3.86</v>
      </c>
      <c r="E6243" s="93">
        <v>0.69</v>
      </c>
      <c r="F6243" s="93">
        <v>1.66</v>
      </c>
      <c r="G6243" s="93">
        <v>1.51</v>
      </c>
      <c r="H6243" s="93">
        <v>0</v>
      </c>
      <c r="N6243" s="88"/>
      <c r="O6243" s="88"/>
      <c r="P6243" s="88"/>
    </row>
    <row r="6244" spans="1:16">
      <c r="A6244" s="94">
        <v>100981</v>
      </c>
      <c r="B6244" s="87" t="s">
        <v>5163</v>
      </c>
      <c r="C6244" s="12" t="s">
        <v>5</v>
      </c>
      <c r="D6244" s="93">
        <v>5.9</v>
      </c>
      <c r="E6244" s="93">
        <v>1.73</v>
      </c>
      <c r="F6244" s="93">
        <v>1.83</v>
      </c>
      <c r="G6244" s="93">
        <v>2.34</v>
      </c>
      <c r="H6244" s="93">
        <v>0</v>
      </c>
      <c r="N6244" s="88"/>
      <c r="O6244" s="88"/>
      <c r="P6244" s="88"/>
    </row>
    <row r="6245" spans="1:16">
      <c r="A6245" s="94">
        <v>100982</v>
      </c>
      <c r="B6245" s="87" t="s">
        <v>5164</v>
      </c>
      <c r="C6245" s="12" t="s">
        <v>5</v>
      </c>
      <c r="D6245" s="93">
        <v>5.44</v>
      </c>
      <c r="E6245" s="93">
        <v>1.3</v>
      </c>
      <c r="F6245" s="93">
        <v>2.16</v>
      </c>
      <c r="G6245" s="93">
        <v>1.98</v>
      </c>
      <c r="H6245" s="93">
        <v>0</v>
      </c>
      <c r="N6245" s="88"/>
      <c r="O6245" s="88"/>
      <c r="P6245" s="88"/>
    </row>
    <row r="6246" spans="1:16">
      <c r="A6246" s="94">
        <v>100983</v>
      </c>
      <c r="B6246" s="87" t="s">
        <v>5165</v>
      </c>
      <c r="C6246" s="12" t="s">
        <v>5</v>
      </c>
      <c r="D6246" s="93">
        <v>5.56</v>
      </c>
      <c r="E6246" s="93">
        <v>1.1200000000000001</v>
      </c>
      <c r="F6246" s="93">
        <v>2.21</v>
      </c>
      <c r="G6246" s="93">
        <v>2.23</v>
      </c>
      <c r="H6246" s="93">
        <v>0</v>
      </c>
      <c r="N6246" s="88"/>
      <c r="O6246" s="88"/>
      <c r="P6246" s="88"/>
    </row>
    <row r="6247" spans="1:16">
      <c r="A6247" s="94">
        <v>100984</v>
      </c>
      <c r="B6247" s="87" t="s">
        <v>5166</v>
      </c>
      <c r="C6247" s="12" t="s">
        <v>5</v>
      </c>
      <c r="D6247" s="93">
        <v>5.43</v>
      </c>
      <c r="E6247" s="93">
        <v>1.01</v>
      </c>
      <c r="F6247" s="93">
        <v>2.2999999999999998</v>
      </c>
      <c r="G6247" s="93">
        <v>2.12</v>
      </c>
      <c r="H6247" s="93">
        <v>0</v>
      </c>
      <c r="N6247" s="88"/>
      <c r="O6247" s="88"/>
      <c r="P6247" s="88"/>
    </row>
    <row r="6248" spans="1:16">
      <c r="A6248" s="94">
        <v>100985</v>
      </c>
      <c r="B6248" s="87" t="s">
        <v>5167</v>
      </c>
      <c r="C6248" s="12" t="s">
        <v>5</v>
      </c>
      <c r="D6248" s="93">
        <v>4.6100000000000003</v>
      </c>
      <c r="E6248" s="93">
        <v>1.24</v>
      </c>
      <c r="F6248" s="93">
        <v>1.78</v>
      </c>
      <c r="G6248" s="93">
        <v>1.59</v>
      </c>
      <c r="H6248" s="93">
        <v>0</v>
      </c>
      <c r="N6248" s="88"/>
      <c r="O6248" s="88"/>
      <c r="P6248" s="88"/>
    </row>
    <row r="6249" spans="1:16">
      <c r="A6249" s="94">
        <v>100986</v>
      </c>
      <c r="B6249" s="87" t="s">
        <v>5168</v>
      </c>
      <c r="C6249" s="12" t="s">
        <v>5</v>
      </c>
      <c r="D6249" s="93">
        <v>5.3</v>
      </c>
      <c r="E6249" s="93">
        <v>1.05</v>
      </c>
      <c r="F6249" s="93">
        <v>2.61</v>
      </c>
      <c r="G6249" s="93">
        <v>1.64</v>
      </c>
      <c r="H6249" s="93">
        <v>0</v>
      </c>
      <c r="N6249" s="88"/>
      <c r="O6249" s="88"/>
      <c r="P6249" s="88"/>
    </row>
    <row r="6250" spans="1:16">
      <c r="A6250" s="94">
        <v>100987</v>
      </c>
      <c r="B6250" s="87" t="s">
        <v>5169</v>
      </c>
      <c r="C6250" s="12" t="s">
        <v>5</v>
      </c>
      <c r="D6250" s="93">
        <v>6.3</v>
      </c>
      <c r="E6250" s="93">
        <v>0.95</v>
      </c>
      <c r="F6250" s="93">
        <v>3.05</v>
      </c>
      <c r="G6250" s="93">
        <v>2.2999999999999998</v>
      </c>
      <c r="H6250" s="93">
        <v>0</v>
      </c>
      <c r="N6250" s="88"/>
      <c r="O6250" s="88"/>
      <c r="P6250" s="88"/>
    </row>
    <row r="6251" spans="1:16">
      <c r="A6251" s="94">
        <v>100988</v>
      </c>
      <c r="B6251" s="87" t="s">
        <v>5170</v>
      </c>
      <c r="C6251" s="12" t="s">
        <v>5</v>
      </c>
      <c r="D6251" s="93">
        <v>6.64</v>
      </c>
      <c r="E6251" s="93">
        <v>0.9</v>
      </c>
      <c r="F6251" s="93">
        <v>3.39</v>
      </c>
      <c r="G6251" s="93">
        <v>2.35</v>
      </c>
      <c r="H6251" s="93">
        <v>0</v>
      </c>
      <c r="N6251" s="88"/>
      <c r="O6251" s="88"/>
      <c r="P6251" s="88"/>
    </row>
    <row r="6252" spans="1:16">
      <c r="A6252" s="94">
        <v>100989</v>
      </c>
      <c r="B6252" s="87" t="s">
        <v>5171</v>
      </c>
      <c r="C6252" s="12" t="s">
        <v>404</v>
      </c>
      <c r="D6252" s="93">
        <v>3.77</v>
      </c>
      <c r="E6252" s="93">
        <v>1.08</v>
      </c>
      <c r="F6252" s="93">
        <v>1.26</v>
      </c>
      <c r="G6252" s="93">
        <v>1.43</v>
      </c>
      <c r="H6252" s="93">
        <v>0</v>
      </c>
      <c r="N6252" s="88"/>
      <c r="O6252" s="88"/>
      <c r="P6252" s="88"/>
    </row>
    <row r="6253" spans="1:16">
      <c r="A6253" s="94">
        <v>100990</v>
      </c>
      <c r="B6253" s="87" t="s">
        <v>5172</v>
      </c>
      <c r="C6253" s="12" t="s">
        <v>404</v>
      </c>
      <c r="D6253" s="93">
        <v>3.5</v>
      </c>
      <c r="E6253" s="93">
        <v>0.79</v>
      </c>
      <c r="F6253" s="93">
        <v>1.49</v>
      </c>
      <c r="G6253" s="93">
        <v>1.22</v>
      </c>
      <c r="H6253" s="93">
        <v>0</v>
      </c>
      <c r="N6253" s="88"/>
      <c r="O6253" s="88"/>
      <c r="P6253" s="88"/>
    </row>
    <row r="6254" spans="1:16">
      <c r="A6254" s="94">
        <v>100991</v>
      </c>
      <c r="B6254" s="87" t="s">
        <v>5173</v>
      </c>
      <c r="C6254" s="12" t="s">
        <v>404</v>
      </c>
      <c r="D6254" s="93">
        <v>3.63</v>
      </c>
      <c r="E6254" s="93">
        <v>0.67</v>
      </c>
      <c r="F6254" s="93">
        <v>1.55</v>
      </c>
      <c r="G6254" s="93">
        <v>1.41</v>
      </c>
      <c r="H6254" s="93">
        <v>0</v>
      </c>
      <c r="N6254" s="88"/>
      <c r="O6254" s="88"/>
      <c r="P6254" s="88"/>
    </row>
    <row r="6255" spans="1:16">
      <c r="A6255" s="94">
        <v>100992</v>
      </c>
      <c r="B6255" s="87" t="s">
        <v>5174</v>
      </c>
      <c r="C6255" s="12" t="s">
        <v>404</v>
      </c>
      <c r="D6255" s="93">
        <v>3.51</v>
      </c>
      <c r="E6255" s="93">
        <v>0.61</v>
      </c>
      <c r="F6255" s="93">
        <v>1.59</v>
      </c>
      <c r="G6255" s="93">
        <v>1.31</v>
      </c>
      <c r="H6255" s="93">
        <v>0</v>
      </c>
      <c r="N6255" s="88"/>
      <c r="O6255" s="88"/>
      <c r="P6255" s="88"/>
    </row>
    <row r="6256" spans="1:16">
      <c r="A6256" s="94">
        <v>100993</v>
      </c>
      <c r="B6256" s="87" t="s">
        <v>5175</v>
      </c>
      <c r="C6256" s="12" t="s">
        <v>404</v>
      </c>
      <c r="D6256" s="93">
        <v>3.21</v>
      </c>
      <c r="E6256" s="93">
        <v>0.97</v>
      </c>
      <c r="F6256" s="93">
        <v>0.97</v>
      </c>
      <c r="G6256" s="93">
        <v>1.27</v>
      </c>
      <c r="H6256" s="93">
        <v>0</v>
      </c>
      <c r="N6256" s="88"/>
      <c r="O6256" s="88"/>
      <c r="P6256" s="88"/>
    </row>
    <row r="6257" spans="1:16">
      <c r="A6257" s="94">
        <v>100994</v>
      </c>
      <c r="B6257" s="87" t="s">
        <v>5176</v>
      </c>
      <c r="C6257" s="12" t="s">
        <v>404</v>
      </c>
      <c r="D6257" s="93">
        <v>2.78</v>
      </c>
      <c r="E6257" s="93">
        <v>0.66</v>
      </c>
      <c r="F6257" s="93">
        <v>1.1200000000000001</v>
      </c>
      <c r="G6257" s="93">
        <v>1</v>
      </c>
      <c r="H6257" s="93">
        <v>0</v>
      </c>
      <c r="N6257" s="88"/>
      <c r="O6257" s="88"/>
      <c r="P6257" s="88"/>
    </row>
    <row r="6258" spans="1:16">
      <c r="A6258" s="94">
        <v>100995</v>
      </c>
      <c r="B6258" s="87" t="s">
        <v>5177</v>
      </c>
      <c r="C6258" s="12" t="s">
        <v>404</v>
      </c>
      <c r="D6258" s="93">
        <v>2.74</v>
      </c>
      <c r="E6258" s="93">
        <v>0.53</v>
      </c>
      <c r="F6258" s="93">
        <v>1.1399999999999999</v>
      </c>
      <c r="G6258" s="93">
        <v>1.07</v>
      </c>
      <c r="H6258" s="93">
        <v>0</v>
      </c>
      <c r="N6258" s="88"/>
      <c r="O6258" s="88"/>
      <c r="P6258" s="88"/>
    </row>
    <row r="6259" spans="1:16">
      <c r="A6259" s="94">
        <v>100996</v>
      </c>
      <c r="B6259" s="87" t="s">
        <v>5178</v>
      </c>
      <c r="C6259" s="12" t="s">
        <v>404</v>
      </c>
      <c r="D6259" s="93">
        <v>2.57</v>
      </c>
      <c r="E6259" s="93">
        <v>0.47</v>
      </c>
      <c r="F6259" s="93">
        <v>1.1200000000000001</v>
      </c>
      <c r="G6259" s="93">
        <v>0.98</v>
      </c>
      <c r="H6259" s="93">
        <v>0</v>
      </c>
      <c r="N6259" s="88"/>
      <c r="O6259" s="88"/>
      <c r="P6259" s="88"/>
    </row>
    <row r="6260" spans="1:16">
      <c r="A6260" s="94">
        <v>100997</v>
      </c>
      <c r="B6260" s="87" t="s">
        <v>5179</v>
      </c>
      <c r="C6260" s="12" t="s">
        <v>404</v>
      </c>
      <c r="D6260" s="93">
        <v>3.93</v>
      </c>
      <c r="E6260" s="93">
        <v>1.17</v>
      </c>
      <c r="F6260" s="93">
        <v>1.2</v>
      </c>
      <c r="G6260" s="93">
        <v>1.56</v>
      </c>
      <c r="H6260" s="93">
        <v>0</v>
      </c>
      <c r="N6260" s="88"/>
      <c r="O6260" s="88"/>
      <c r="P6260" s="88"/>
    </row>
    <row r="6261" spans="1:16">
      <c r="A6261" s="94">
        <v>100998</v>
      </c>
      <c r="B6261" s="87" t="s">
        <v>5180</v>
      </c>
      <c r="C6261" s="12" t="s">
        <v>404</v>
      </c>
      <c r="D6261" s="93">
        <v>3.62</v>
      </c>
      <c r="E6261" s="93">
        <v>0.87</v>
      </c>
      <c r="F6261" s="93">
        <v>1.44</v>
      </c>
      <c r="G6261" s="93">
        <v>1.31</v>
      </c>
      <c r="H6261" s="93">
        <v>0</v>
      </c>
      <c r="N6261" s="88"/>
      <c r="O6261" s="88"/>
      <c r="P6261" s="88"/>
    </row>
    <row r="6262" spans="1:16">
      <c r="A6262" s="94">
        <v>100999</v>
      </c>
      <c r="B6262" s="87" t="s">
        <v>5181</v>
      </c>
      <c r="C6262" s="12" t="s">
        <v>404</v>
      </c>
      <c r="D6262" s="93">
        <v>3.73</v>
      </c>
      <c r="E6262" s="93">
        <v>0.75</v>
      </c>
      <c r="F6262" s="93">
        <v>1.47</v>
      </c>
      <c r="G6262" s="93">
        <v>1.51</v>
      </c>
      <c r="H6262" s="93">
        <v>0</v>
      </c>
      <c r="N6262" s="88"/>
      <c r="O6262" s="88"/>
      <c r="P6262" s="88"/>
    </row>
    <row r="6263" spans="1:16">
      <c r="A6263" s="94">
        <v>101000</v>
      </c>
      <c r="B6263" s="87" t="s">
        <v>5182</v>
      </c>
      <c r="C6263" s="12" t="s">
        <v>404</v>
      </c>
      <c r="D6263" s="93">
        <v>3.61</v>
      </c>
      <c r="E6263" s="93">
        <v>0.66</v>
      </c>
      <c r="F6263" s="93">
        <v>1.55</v>
      </c>
      <c r="G6263" s="93">
        <v>1.4</v>
      </c>
      <c r="H6263" s="93">
        <v>0</v>
      </c>
      <c r="N6263" s="88"/>
      <c r="O6263" s="88"/>
      <c r="P6263" s="88"/>
    </row>
    <row r="6264" spans="1:16">
      <c r="A6264" s="94">
        <v>101001</v>
      </c>
      <c r="B6264" s="87" t="s">
        <v>5183</v>
      </c>
      <c r="C6264" s="12" t="s">
        <v>404</v>
      </c>
      <c r="D6264" s="93">
        <v>3.08</v>
      </c>
      <c r="E6264" s="93">
        <v>0.83</v>
      </c>
      <c r="F6264" s="93">
        <v>1.18</v>
      </c>
      <c r="G6264" s="93">
        <v>1.07</v>
      </c>
      <c r="H6264" s="93">
        <v>0</v>
      </c>
      <c r="N6264" s="88"/>
      <c r="O6264" s="88"/>
      <c r="P6264" s="88"/>
    </row>
    <row r="6265" spans="1:16">
      <c r="A6265" s="94">
        <v>101002</v>
      </c>
      <c r="B6265" s="87" t="s">
        <v>5184</v>
      </c>
      <c r="C6265" s="12" t="s">
        <v>404</v>
      </c>
      <c r="D6265" s="93">
        <v>3.53</v>
      </c>
      <c r="E6265" s="93">
        <v>0.7</v>
      </c>
      <c r="F6265" s="93">
        <v>1.74</v>
      </c>
      <c r="G6265" s="93">
        <v>1.0900000000000001</v>
      </c>
      <c r="H6265" s="93">
        <v>0</v>
      </c>
      <c r="N6265" s="88"/>
      <c r="O6265" s="88"/>
      <c r="P6265" s="88"/>
    </row>
    <row r="6266" spans="1:16">
      <c r="A6266" s="94">
        <v>101003</v>
      </c>
      <c r="B6266" s="87" t="s">
        <v>5185</v>
      </c>
      <c r="C6266" s="12" t="s">
        <v>404</v>
      </c>
      <c r="D6266" s="93">
        <v>4.1900000000000004</v>
      </c>
      <c r="E6266" s="93">
        <v>0.63</v>
      </c>
      <c r="F6266" s="93">
        <v>2.02</v>
      </c>
      <c r="G6266" s="93">
        <v>1.54</v>
      </c>
      <c r="H6266" s="93">
        <v>0</v>
      </c>
      <c r="N6266" s="88"/>
      <c r="O6266" s="88"/>
      <c r="P6266" s="88"/>
    </row>
    <row r="6267" spans="1:16">
      <c r="A6267" s="94">
        <v>101004</v>
      </c>
      <c r="B6267" s="87" t="s">
        <v>5186</v>
      </c>
      <c r="C6267" s="12" t="s">
        <v>404</v>
      </c>
      <c r="D6267" s="93">
        <v>4.43</v>
      </c>
      <c r="E6267" s="93">
        <v>0.61</v>
      </c>
      <c r="F6267" s="93">
        <v>2.27</v>
      </c>
      <c r="G6267" s="93">
        <v>1.55</v>
      </c>
      <c r="H6267" s="93">
        <v>0</v>
      </c>
      <c r="N6267" s="88"/>
      <c r="O6267" s="88"/>
      <c r="P6267" s="88"/>
    </row>
    <row r="6268" spans="1:16">
      <c r="A6268" s="94">
        <v>101005</v>
      </c>
      <c r="B6268" s="87" t="s">
        <v>5187</v>
      </c>
      <c r="C6268" s="12" t="s">
        <v>5</v>
      </c>
      <c r="D6268" s="93">
        <v>11.28</v>
      </c>
      <c r="E6268" s="93">
        <v>2.23</v>
      </c>
      <c r="F6268" s="93">
        <v>6.6</v>
      </c>
      <c r="G6268" s="93">
        <v>2.4500000000000002</v>
      </c>
      <c r="H6268" s="93">
        <v>0</v>
      </c>
      <c r="N6268" s="88"/>
      <c r="O6268" s="88"/>
      <c r="P6268" s="88"/>
    </row>
    <row r="6269" spans="1:16">
      <c r="A6269" s="94">
        <v>101006</v>
      </c>
      <c r="B6269" s="87" t="s">
        <v>5188</v>
      </c>
      <c r="C6269" s="12" t="s">
        <v>5</v>
      </c>
      <c r="D6269" s="93">
        <v>11.97</v>
      </c>
      <c r="E6269" s="93">
        <v>2</v>
      </c>
      <c r="F6269" s="93">
        <v>7.12</v>
      </c>
      <c r="G6269" s="93">
        <v>2.85</v>
      </c>
      <c r="H6269" s="93">
        <v>0</v>
      </c>
      <c r="N6269" s="88"/>
      <c r="O6269" s="88"/>
      <c r="P6269" s="88"/>
    </row>
    <row r="6270" spans="1:16">
      <c r="A6270" s="94">
        <v>101007</v>
      </c>
      <c r="B6270" s="87" t="s">
        <v>5189</v>
      </c>
      <c r="C6270" s="12" t="s">
        <v>5</v>
      </c>
      <c r="D6270" s="93">
        <v>3.27</v>
      </c>
      <c r="E6270" s="93">
        <v>0.65</v>
      </c>
      <c r="F6270" s="93">
        <v>1.94</v>
      </c>
      <c r="G6270" s="93">
        <v>0.68</v>
      </c>
      <c r="H6270" s="93">
        <v>0</v>
      </c>
      <c r="N6270" s="88"/>
      <c r="O6270" s="88"/>
      <c r="P6270" s="88"/>
    </row>
    <row r="6271" spans="1:16">
      <c r="A6271" s="94">
        <v>101008</v>
      </c>
      <c r="B6271" s="87" t="s">
        <v>5190</v>
      </c>
      <c r="C6271" s="12" t="s">
        <v>5</v>
      </c>
      <c r="D6271" s="93">
        <v>3.16</v>
      </c>
      <c r="E6271" s="93">
        <v>0.52</v>
      </c>
      <c r="F6271" s="93">
        <v>1.91</v>
      </c>
      <c r="G6271" s="93">
        <v>0.73</v>
      </c>
      <c r="H6271" s="93">
        <v>0</v>
      </c>
      <c r="N6271" s="88"/>
      <c r="O6271" s="88"/>
      <c r="P6271" s="88"/>
    </row>
    <row r="6272" spans="1:16">
      <c r="A6272" s="94">
        <v>101009</v>
      </c>
      <c r="B6272" s="87" t="s">
        <v>5191</v>
      </c>
      <c r="C6272" s="12" t="s">
        <v>404</v>
      </c>
      <c r="D6272" s="93">
        <v>24.07</v>
      </c>
      <c r="E6272" s="93">
        <v>4.97</v>
      </c>
      <c r="F6272" s="93">
        <v>13.9</v>
      </c>
      <c r="G6272" s="93">
        <v>5.2</v>
      </c>
      <c r="H6272" s="93">
        <v>0</v>
      </c>
      <c r="N6272" s="88"/>
      <c r="O6272" s="88"/>
      <c r="P6272" s="88"/>
    </row>
    <row r="6273" spans="1:16">
      <c r="A6273" s="94">
        <v>101010</v>
      </c>
      <c r="B6273" s="87" t="s">
        <v>5192</v>
      </c>
      <c r="C6273" s="12" t="s">
        <v>404</v>
      </c>
      <c r="D6273" s="93">
        <v>15.15</v>
      </c>
      <c r="E6273" s="93">
        <v>3.13</v>
      </c>
      <c r="F6273" s="93">
        <v>8.7799999999999994</v>
      </c>
      <c r="G6273" s="93">
        <v>3.24</v>
      </c>
      <c r="H6273" s="93">
        <v>0</v>
      </c>
      <c r="N6273" s="88"/>
      <c r="O6273" s="88"/>
      <c r="P6273" s="88"/>
    </row>
    <row r="6274" spans="1:16">
      <c r="A6274" s="94">
        <v>101013</v>
      </c>
      <c r="B6274" s="87" t="s">
        <v>5193</v>
      </c>
      <c r="C6274" s="12" t="s">
        <v>404</v>
      </c>
      <c r="D6274" s="93">
        <v>26.32</v>
      </c>
      <c r="E6274" s="93">
        <v>8.09</v>
      </c>
      <c r="F6274" s="93">
        <v>13.69</v>
      </c>
      <c r="G6274" s="93">
        <v>4.54</v>
      </c>
      <c r="H6274" s="93">
        <v>0</v>
      </c>
      <c r="N6274" s="88"/>
      <c r="O6274" s="88"/>
      <c r="P6274" s="88"/>
    </row>
    <row r="6275" spans="1:16">
      <c r="A6275" s="94">
        <v>101014</v>
      </c>
      <c r="B6275" s="87" t="s">
        <v>5194</v>
      </c>
      <c r="C6275" s="12" t="s">
        <v>404</v>
      </c>
      <c r="D6275" s="93">
        <v>24.12</v>
      </c>
      <c r="E6275" s="93">
        <v>7.41</v>
      </c>
      <c r="F6275" s="93">
        <v>12.56</v>
      </c>
      <c r="G6275" s="93">
        <v>4.1500000000000004</v>
      </c>
      <c r="H6275" s="93">
        <v>0</v>
      </c>
      <c r="N6275" s="88"/>
      <c r="O6275" s="88"/>
      <c r="P6275" s="88"/>
    </row>
    <row r="6276" spans="1:16">
      <c r="A6276" s="94">
        <v>101015</v>
      </c>
      <c r="B6276" s="87" t="s">
        <v>5195</v>
      </c>
      <c r="C6276" s="12" t="s">
        <v>404</v>
      </c>
      <c r="D6276" s="93">
        <v>19.809999999999999</v>
      </c>
      <c r="E6276" s="93">
        <v>6.09</v>
      </c>
      <c r="F6276" s="93">
        <v>10.3</v>
      </c>
      <c r="G6276" s="93">
        <v>3.42</v>
      </c>
      <c r="H6276" s="93">
        <v>0</v>
      </c>
      <c r="N6276" s="88"/>
      <c r="O6276" s="88"/>
      <c r="P6276" s="88"/>
    </row>
    <row r="6277" spans="1:16">
      <c r="A6277" s="94">
        <v>101016</v>
      </c>
      <c r="B6277" s="87" t="s">
        <v>5196</v>
      </c>
      <c r="C6277" s="12" t="s">
        <v>404</v>
      </c>
      <c r="D6277" s="93">
        <v>22.93</v>
      </c>
      <c r="E6277" s="93">
        <v>7.05</v>
      </c>
      <c r="F6277" s="93">
        <v>11.93</v>
      </c>
      <c r="G6277" s="93">
        <v>3.95</v>
      </c>
      <c r="H6277" s="93">
        <v>0</v>
      </c>
      <c r="N6277" s="88"/>
      <c r="O6277" s="88"/>
      <c r="P6277" s="88"/>
    </row>
    <row r="6278" spans="1:16">
      <c r="A6278" s="94">
        <v>101017</v>
      </c>
      <c r="B6278" s="87" t="s">
        <v>5197</v>
      </c>
      <c r="C6278" s="12" t="s">
        <v>404</v>
      </c>
      <c r="D6278" s="93">
        <v>17.38</v>
      </c>
      <c r="E6278" s="93">
        <v>5.35</v>
      </c>
      <c r="F6278" s="93">
        <v>9.06</v>
      </c>
      <c r="G6278" s="93">
        <v>2.97</v>
      </c>
      <c r="H6278" s="93">
        <v>0</v>
      </c>
      <c r="N6278" s="88"/>
      <c r="O6278" s="88"/>
      <c r="P6278" s="88"/>
    </row>
    <row r="6279" spans="1:16">
      <c r="A6279" s="94">
        <v>101018</v>
      </c>
      <c r="B6279" s="87" t="s">
        <v>5198</v>
      </c>
      <c r="C6279" s="12" t="s">
        <v>404</v>
      </c>
      <c r="D6279" s="93">
        <v>14.29</v>
      </c>
      <c r="E6279" s="93">
        <v>4.3899999999999997</v>
      </c>
      <c r="F6279" s="93">
        <v>7.45</v>
      </c>
      <c r="G6279" s="93">
        <v>2.4500000000000002</v>
      </c>
      <c r="H6279" s="93">
        <v>0</v>
      </c>
      <c r="N6279" s="88"/>
      <c r="O6279" s="88"/>
      <c r="P6279" s="88"/>
    </row>
    <row r="6280" spans="1:16">
      <c r="A6280" s="94">
        <v>101463</v>
      </c>
      <c r="B6280" s="87" t="s">
        <v>5199</v>
      </c>
      <c r="C6280" s="12" t="s">
        <v>404</v>
      </c>
      <c r="D6280" s="93">
        <v>26.41</v>
      </c>
      <c r="E6280" s="93">
        <v>8.11</v>
      </c>
      <c r="F6280" s="93">
        <v>13.74</v>
      </c>
      <c r="G6280" s="93">
        <v>4.5599999999999996</v>
      </c>
      <c r="H6280" s="93">
        <v>0</v>
      </c>
      <c r="N6280" s="88"/>
      <c r="O6280" s="88"/>
      <c r="P6280" s="88"/>
    </row>
    <row r="6281" spans="1:16">
      <c r="A6281" s="94">
        <v>101464</v>
      </c>
      <c r="B6281" s="87" t="s">
        <v>5200</v>
      </c>
      <c r="C6281" s="12" t="s">
        <v>404</v>
      </c>
      <c r="D6281" s="93">
        <v>20.27</v>
      </c>
      <c r="E6281" s="93">
        <v>6.24</v>
      </c>
      <c r="F6281" s="93">
        <v>10.55</v>
      </c>
      <c r="G6281" s="93">
        <v>3.48</v>
      </c>
      <c r="H6281" s="93">
        <v>0</v>
      </c>
      <c r="N6281" s="88"/>
      <c r="O6281" s="88"/>
      <c r="P6281" s="88"/>
    </row>
    <row r="6282" spans="1:16">
      <c r="A6282" s="94">
        <v>101465</v>
      </c>
      <c r="B6282" s="87" t="s">
        <v>5201</v>
      </c>
      <c r="C6282" s="12" t="s">
        <v>404</v>
      </c>
      <c r="D6282" s="93">
        <v>15.5</v>
      </c>
      <c r="E6282" s="93">
        <v>4.79</v>
      </c>
      <c r="F6282" s="93">
        <v>8.07</v>
      </c>
      <c r="G6282" s="93">
        <v>2.64</v>
      </c>
      <c r="H6282" s="93">
        <v>0</v>
      </c>
      <c r="N6282" s="88"/>
      <c r="O6282" s="88"/>
      <c r="P6282" s="88"/>
    </row>
    <row r="6283" spans="1:16">
      <c r="A6283" s="94">
        <v>101466</v>
      </c>
      <c r="B6283" s="87" t="s">
        <v>5202</v>
      </c>
      <c r="C6283" s="12" t="s">
        <v>404</v>
      </c>
      <c r="D6283" s="93">
        <v>12.61</v>
      </c>
      <c r="E6283" s="93">
        <v>3.88</v>
      </c>
      <c r="F6283" s="93">
        <v>6.58</v>
      </c>
      <c r="G6283" s="93">
        <v>2.15</v>
      </c>
      <c r="H6283" s="93">
        <v>0</v>
      </c>
      <c r="N6283" s="88"/>
      <c r="O6283" s="88"/>
      <c r="P6283" s="88"/>
    </row>
    <row r="6284" spans="1:16">
      <c r="A6284" s="94">
        <v>101467</v>
      </c>
      <c r="B6284" s="87" t="s">
        <v>5203</v>
      </c>
      <c r="C6284" s="12" t="s">
        <v>404</v>
      </c>
      <c r="D6284" s="93">
        <v>10.56</v>
      </c>
      <c r="E6284" s="93">
        <v>3.26</v>
      </c>
      <c r="F6284" s="93">
        <v>5.5</v>
      </c>
      <c r="G6284" s="93">
        <v>1.8</v>
      </c>
      <c r="H6284" s="93">
        <v>0</v>
      </c>
      <c r="N6284" s="88"/>
      <c r="O6284" s="88"/>
      <c r="P6284" s="88"/>
    </row>
    <row r="6285" spans="1:16">
      <c r="A6285" s="94">
        <v>101468</v>
      </c>
      <c r="B6285" s="87" t="s">
        <v>5204</v>
      </c>
      <c r="C6285" s="12" t="s">
        <v>404</v>
      </c>
      <c r="D6285" s="93">
        <v>9.64</v>
      </c>
      <c r="E6285" s="93">
        <v>2.98</v>
      </c>
      <c r="F6285" s="93">
        <v>5.03</v>
      </c>
      <c r="G6285" s="93">
        <v>1.63</v>
      </c>
      <c r="H6285" s="93">
        <v>0</v>
      </c>
      <c r="N6285" s="88"/>
      <c r="O6285" s="88"/>
      <c r="P6285" s="88"/>
    </row>
    <row r="6286" spans="1:16">
      <c r="A6286" s="94">
        <v>101469</v>
      </c>
      <c r="B6286" s="87" t="s">
        <v>5205</v>
      </c>
      <c r="C6286" s="12" t="s">
        <v>404</v>
      </c>
      <c r="D6286" s="93">
        <v>21.6</v>
      </c>
      <c r="E6286" s="93">
        <v>6.65</v>
      </c>
      <c r="F6286" s="93">
        <v>11.24</v>
      </c>
      <c r="G6286" s="93">
        <v>3.71</v>
      </c>
      <c r="H6286" s="93">
        <v>0</v>
      </c>
      <c r="N6286" s="88"/>
      <c r="O6286" s="88"/>
      <c r="P6286" s="88"/>
    </row>
    <row r="6287" spans="1:16">
      <c r="A6287" s="94">
        <v>101470</v>
      </c>
      <c r="B6287" s="87" t="s">
        <v>5206</v>
      </c>
      <c r="C6287" s="12" t="s">
        <v>404</v>
      </c>
      <c r="D6287" s="93">
        <v>17.14</v>
      </c>
      <c r="E6287" s="93">
        <v>5.27</v>
      </c>
      <c r="F6287" s="93">
        <v>8.94</v>
      </c>
      <c r="G6287" s="93">
        <v>2.93</v>
      </c>
      <c r="H6287" s="93">
        <v>0</v>
      </c>
      <c r="N6287" s="88"/>
      <c r="O6287" s="88"/>
      <c r="P6287" s="88"/>
    </row>
    <row r="6288" spans="1:16">
      <c r="A6288" s="94">
        <v>101471</v>
      </c>
      <c r="B6288" s="87" t="s">
        <v>5207</v>
      </c>
      <c r="C6288" s="12" t="s">
        <v>404</v>
      </c>
      <c r="D6288" s="93">
        <v>14.7</v>
      </c>
      <c r="E6288" s="93">
        <v>4.53</v>
      </c>
      <c r="F6288" s="93">
        <v>7.67</v>
      </c>
      <c r="G6288" s="93">
        <v>2.5</v>
      </c>
      <c r="H6288" s="93">
        <v>0</v>
      </c>
      <c r="N6288" s="88"/>
      <c r="O6288" s="88"/>
      <c r="P6288" s="88"/>
    </row>
    <row r="6289" spans="1:16">
      <c r="A6289" s="94">
        <v>101472</v>
      </c>
      <c r="B6289" s="87" t="s">
        <v>5208</v>
      </c>
      <c r="C6289" s="12" t="s">
        <v>404</v>
      </c>
      <c r="D6289" s="93">
        <v>11.45</v>
      </c>
      <c r="E6289" s="93">
        <v>3.53</v>
      </c>
      <c r="F6289" s="93">
        <v>5.97</v>
      </c>
      <c r="G6289" s="93">
        <v>1.95</v>
      </c>
      <c r="H6289" s="93">
        <v>0</v>
      </c>
      <c r="N6289" s="88"/>
      <c r="O6289" s="88"/>
      <c r="P6289" s="88"/>
    </row>
    <row r="6290" spans="1:16">
      <c r="A6290" s="94">
        <v>101473</v>
      </c>
      <c r="B6290" s="87" t="s">
        <v>5209</v>
      </c>
      <c r="C6290" s="12" t="s">
        <v>404</v>
      </c>
      <c r="D6290" s="93">
        <v>16.489999999999998</v>
      </c>
      <c r="E6290" s="93">
        <v>5.07</v>
      </c>
      <c r="F6290" s="93">
        <v>8.61</v>
      </c>
      <c r="G6290" s="93">
        <v>2.81</v>
      </c>
      <c r="H6290" s="93">
        <v>0</v>
      </c>
      <c r="N6290" s="88"/>
      <c r="O6290" s="88"/>
      <c r="P6290" s="88"/>
    </row>
    <row r="6291" spans="1:16">
      <c r="A6291" s="94">
        <v>101474</v>
      </c>
      <c r="B6291" s="87" t="s">
        <v>5210</v>
      </c>
      <c r="C6291" s="12" t="s">
        <v>404</v>
      </c>
      <c r="D6291" s="93">
        <v>11.79</v>
      </c>
      <c r="E6291" s="93">
        <v>3.63</v>
      </c>
      <c r="F6291" s="93">
        <v>6.14</v>
      </c>
      <c r="G6291" s="93">
        <v>2.02</v>
      </c>
      <c r="H6291" s="93">
        <v>0</v>
      </c>
      <c r="N6291" s="88"/>
      <c r="O6291" s="88"/>
      <c r="P6291" s="88"/>
    </row>
    <row r="6292" spans="1:16">
      <c r="A6292" s="94">
        <v>101475</v>
      </c>
      <c r="B6292" s="87" t="s">
        <v>5211</v>
      </c>
      <c r="C6292" s="12" t="s">
        <v>404</v>
      </c>
      <c r="D6292" s="93">
        <v>10.46</v>
      </c>
      <c r="E6292" s="93">
        <v>3.23</v>
      </c>
      <c r="F6292" s="93">
        <v>5.45</v>
      </c>
      <c r="G6292" s="93">
        <v>1.78</v>
      </c>
      <c r="H6292" s="93">
        <v>0</v>
      </c>
      <c r="N6292" s="88"/>
      <c r="O6292" s="88"/>
      <c r="P6292" s="88"/>
    </row>
    <row r="6293" spans="1:16">
      <c r="A6293" s="94">
        <v>101476</v>
      </c>
      <c r="B6293" s="87" t="s">
        <v>5212</v>
      </c>
      <c r="C6293" s="12" t="s">
        <v>404</v>
      </c>
      <c r="D6293" s="93">
        <v>9.33</v>
      </c>
      <c r="E6293" s="93">
        <v>2.87</v>
      </c>
      <c r="F6293" s="93">
        <v>4.8899999999999997</v>
      </c>
      <c r="G6293" s="93">
        <v>1.57</v>
      </c>
      <c r="H6293" s="93">
        <v>0</v>
      </c>
      <c r="N6293" s="88"/>
      <c r="O6293" s="88"/>
      <c r="P6293" s="88"/>
    </row>
    <row r="6294" spans="1:16">
      <c r="A6294" s="94">
        <v>101477</v>
      </c>
      <c r="B6294" s="87" t="s">
        <v>5213</v>
      </c>
      <c r="C6294" s="12" t="s">
        <v>404</v>
      </c>
      <c r="D6294" s="93">
        <v>7.64</v>
      </c>
      <c r="E6294" s="93">
        <v>2.37</v>
      </c>
      <c r="F6294" s="93">
        <v>3.99</v>
      </c>
      <c r="G6294" s="93">
        <v>1.28</v>
      </c>
      <c r="H6294" s="93">
        <v>0</v>
      </c>
      <c r="N6294" s="88"/>
      <c r="O6294" s="88"/>
      <c r="P6294" s="88"/>
    </row>
    <row r="6295" spans="1:16">
      <c r="A6295" s="94">
        <v>101478</v>
      </c>
      <c r="B6295" s="87" t="s">
        <v>5214</v>
      </c>
      <c r="C6295" s="12" t="s">
        <v>404</v>
      </c>
      <c r="D6295" s="93">
        <v>6.5</v>
      </c>
      <c r="E6295" s="93">
        <v>2.02</v>
      </c>
      <c r="F6295" s="93">
        <v>3.41</v>
      </c>
      <c r="G6295" s="93">
        <v>1.07</v>
      </c>
      <c r="H6295" s="93">
        <v>0</v>
      </c>
      <c r="N6295" s="88"/>
      <c r="O6295" s="88"/>
      <c r="P6295" s="88"/>
    </row>
    <row r="6296" spans="1:16">
      <c r="A6296" s="94">
        <v>101480</v>
      </c>
      <c r="B6296" s="87" t="s">
        <v>5215</v>
      </c>
      <c r="C6296" s="12" t="s">
        <v>404</v>
      </c>
      <c r="D6296" s="93">
        <v>38.65</v>
      </c>
      <c r="E6296" s="93">
        <v>11.87</v>
      </c>
      <c r="F6296" s="93">
        <v>20.11</v>
      </c>
      <c r="G6296" s="93">
        <v>6.67</v>
      </c>
      <c r="H6296" s="93">
        <v>0</v>
      </c>
      <c r="N6296" s="88"/>
      <c r="O6296" s="88"/>
      <c r="P6296" s="88"/>
    </row>
    <row r="6297" spans="1:16">
      <c r="A6297" s="94">
        <v>101481</v>
      </c>
      <c r="B6297" s="87" t="s">
        <v>5216</v>
      </c>
      <c r="C6297" s="12" t="s">
        <v>404</v>
      </c>
      <c r="D6297" s="93">
        <v>27.9</v>
      </c>
      <c r="E6297" s="93">
        <v>8.56</v>
      </c>
      <c r="F6297" s="93">
        <v>14.52</v>
      </c>
      <c r="G6297" s="93">
        <v>4.82</v>
      </c>
      <c r="H6297" s="93">
        <v>0</v>
      </c>
      <c r="N6297" s="88"/>
      <c r="O6297" s="88"/>
      <c r="P6297" s="88"/>
    </row>
    <row r="6298" spans="1:16">
      <c r="A6298" s="94">
        <v>101482</v>
      </c>
      <c r="B6298" s="87" t="s">
        <v>5217</v>
      </c>
      <c r="C6298" s="12" t="s">
        <v>404</v>
      </c>
      <c r="D6298" s="93">
        <v>20.86</v>
      </c>
      <c r="E6298" s="93">
        <v>6.42</v>
      </c>
      <c r="F6298" s="93">
        <v>10.86</v>
      </c>
      <c r="G6298" s="93">
        <v>3.58</v>
      </c>
      <c r="H6298" s="93">
        <v>0</v>
      </c>
      <c r="N6298" s="88"/>
      <c r="O6298" s="88"/>
      <c r="P6298" s="88"/>
    </row>
    <row r="6299" spans="1:16">
      <c r="A6299" s="94">
        <v>101483</v>
      </c>
      <c r="B6299" s="87" t="s">
        <v>5218</v>
      </c>
      <c r="C6299" s="12" t="s">
        <v>404</v>
      </c>
      <c r="D6299" s="93">
        <v>21.64</v>
      </c>
      <c r="E6299" s="93">
        <v>6.65</v>
      </c>
      <c r="F6299" s="93">
        <v>11.27</v>
      </c>
      <c r="G6299" s="93">
        <v>3.72</v>
      </c>
      <c r="H6299" s="93">
        <v>0</v>
      </c>
      <c r="N6299" s="88"/>
      <c r="O6299" s="88"/>
      <c r="P6299" s="88"/>
    </row>
    <row r="6300" spans="1:16">
      <c r="A6300" s="94">
        <v>101484</v>
      </c>
      <c r="B6300" s="87" t="s">
        <v>5219</v>
      </c>
      <c r="C6300" s="12" t="s">
        <v>404</v>
      </c>
      <c r="D6300" s="93">
        <v>112.23</v>
      </c>
      <c r="E6300" s="93">
        <v>34.42</v>
      </c>
      <c r="F6300" s="93">
        <v>58.33</v>
      </c>
      <c r="G6300" s="93">
        <v>19.48</v>
      </c>
      <c r="H6300" s="93">
        <v>0</v>
      </c>
      <c r="N6300" s="88"/>
      <c r="O6300" s="88"/>
      <c r="P6300" s="88"/>
    </row>
    <row r="6301" spans="1:16">
      <c r="A6301" s="94">
        <v>101485</v>
      </c>
      <c r="B6301" s="87" t="s">
        <v>5220</v>
      </c>
      <c r="C6301" s="12" t="s">
        <v>404</v>
      </c>
      <c r="D6301" s="93">
        <v>86.14</v>
      </c>
      <c r="E6301" s="93">
        <v>26.41</v>
      </c>
      <c r="F6301" s="93">
        <v>44.78</v>
      </c>
      <c r="G6301" s="93">
        <v>14.95</v>
      </c>
      <c r="H6301" s="93">
        <v>0</v>
      </c>
      <c r="N6301" s="88"/>
      <c r="O6301" s="88"/>
      <c r="P6301" s="88"/>
    </row>
    <row r="6302" spans="1:16">
      <c r="A6302" s="94">
        <v>101486</v>
      </c>
      <c r="B6302" s="87" t="s">
        <v>5221</v>
      </c>
      <c r="C6302" s="12" t="s">
        <v>404</v>
      </c>
      <c r="D6302" s="93">
        <v>77.599999999999994</v>
      </c>
      <c r="E6302" s="93">
        <v>23.82</v>
      </c>
      <c r="F6302" s="93">
        <v>40.32</v>
      </c>
      <c r="G6302" s="93">
        <v>13.46</v>
      </c>
      <c r="H6302" s="93">
        <v>0</v>
      </c>
      <c r="N6302" s="88"/>
      <c r="O6302" s="88"/>
      <c r="P6302" s="88"/>
    </row>
    <row r="6303" spans="1:16">
      <c r="A6303" s="94">
        <v>101487</v>
      </c>
      <c r="B6303" s="87" t="s">
        <v>5222</v>
      </c>
      <c r="C6303" s="12" t="s">
        <v>404</v>
      </c>
      <c r="D6303" s="93">
        <v>56.81</v>
      </c>
      <c r="E6303" s="93">
        <v>17.43</v>
      </c>
      <c r="F6303" s="93">
        <v>29.54</v>
      </c>
      <c r="G6303" s="93">
        <v>9.84</v>
      </c>
      <c r="H6303" s="93">
        <v>0</v>
      </c>
      <c r="N6303" s="88"/>
      <c r="O6303" s="88"/>
      <c r="P6303" s="88"/>
    </row>
    <row r="6304" spans="1:16">
      <c r="A6304" s="94">
        <v>101488</v>
      </c>
      <c r="B6304" s="87" t="s">
        <v>5223</v>
      </c>
      <c r="C6304" s="12" t="s">
        <v>404</v>
      </c>
      <c r="D6304" s="93">
        <v>49.16</v>
      </c>
      <c r="E6304" s="93">
        <v>15.08</v>
      </c>
      <c r="F6304" s="93">
        <v>25.58</v>
      </c>
      <c r="G6304" s="93">
        <v>8.5</v>
      </c>
      <c r="H6304" s="93">
        <v>0</v>
      </c>
      <c r="N6304" s="88"/>
      <c r="O6304" s="88"/>
      <c r="P6304" s="88"/>
    </row>
    <row r="6305" spans="1:16">
      <c r="A6305" s="94">
        <v>101188</v>
      </c>
      <c r="B6305" s="87" t="s">
        <v>5224</v>
      </c>
      <c r="C6305" s="12" t="s">
        <v>6</v>
      </c>
      <c r="D6305" s="93">
        <v>4.4000000000000004</v>
      </c>
      <c r="E6305" s="93">
        <v>2.59</v>
      </c>
      <c r="F6305" s="93">
        <v>1.81</v>
      </c>
      <c r="G6305" s="93">
        <v>0</v>
      </c>
      <c r="H6305" s="93">
        <v>0</v>
      </c>
      <c r="N6305" s="88"/>
      <c r="O6305" s="88"/>
      <c r="P6305" s="88"/>
    </row>
    <row r="6306" spans="1:16">
      <c r="A6306" s="94">
        <v>101189</v>
      </c>
      <c r="B6306" s="87" t="s">
        <v>5225</v>
      </c>
      <c r="C6306" s="12" t="s">
        <v>6</v>
      </c>
      <c r="D6306" s="93">
        <v>45.18</v>
      </c>
      <c r="E6306" s="93">
        <v>15.16</v>
      </c>
      <c r="F6306" s="93">
        <v>30.02</v>
      </c>
      <c r="G6306" s="93">
        <v>0</v>
      </c>
      <c r="H6306" s="93">
        <v>0</v>
      </c>
      <c r="N6306" s="88"/>
      <c r="O6306" s="88"/>
      <c r="P6306" s="88"/>
    </row>
    <row r="6307" spans="1:16">
      <c r="A6307" s="94">
        <v>101190</v>
      </c>
      <c r="B6307" s="87" t="s">
        <v>5226</v>
      </c>
      <c r="C6307" s="12" t="s">
        <v>6</v>
      </c>
      <c r="D6307" s="93">
        <v>44.73</v>
      </c>
      <c r="E6307" s="93">
        <v>15.16</v>
      </c>
      <c r="F6307" s="93">
        <v>29.57</v>
      </c>
      <c r="G6307" s="93">
        <v>0</v>
      </c>
      <c r="H6307" s="93">
        <v>0</v>
      </c>
      <c r="N6307" s="88"/>
      <c r="O6307" s="88"/>
      <c r="P6307" s="88"/>
    </row>
    <row r="6308" spans="1:16">
      <c r="A6308" s="94">
        <v>101191</v>
      </c>
      <c r="B6308" s="87" t="s">
        <v>5227</v>
      </c>
      <c r="C6308" s="12" t="s">
        <v>6</v>
      </c>
      <c r="D6308" s="93">
        <v>44.95</v>
      </c>
      <c r="E6308" s="93">
        <v>15.16</v>
      </c>
      <c r="F6308" s="93">
        <v>29.79</v>
      </c>
      <c r="G6308" s="93">
        <v>0</v>
      </c>
      <c r="H6308" s="93">
        <v>0</v>
      </c>
      <c r="N6308" s="88"/>
      <c r="O6308" s="88"/>
      <c r="P6308" s="88"/>
    </row>
    <row r="6309" spans="1:16">
      <c r="A6309" s="94">
        <v>101192</v>
      </c>
      <c r="B6309" s="87" t="s">
        <v>5228</v>
      </c>
      <c r="C6309" s="12" t="s">
        <v>6</v>
      </c>
      <c r="D6309" s="93">
        <v>45.65</v>
      </c>
      <c r="E6309" s="93">
        <v>15.15</v>
      </c>
      <c r="F6309" s="93">
        <v>30.5</v>
      </c>
      <c r="G6309" s="93">
        <v>0</v>
      </c>
      <c r="H6309" s="93">
        <v>0</v>
      </c>
      <c r="N6309" s="88"/>
      <c r="O6309" s="88"/>
      <c r="P6309" s="88"/>
    </row>
    <row r="6310" spans="1:16">
      <c r="A6310" s="94">
        <v>101193</v>
      </c>
      <c r="B6310" s="87" t="s">
        <v>5229</v>
      </c>
      <c r="C6310" s="12" t="s">
        <v>6</v>
      </c>
      <c r="D6310" s="93">
        <v>41.33</v>
      </c>
      <c r="E6310" s="93">
        <v>15.16</v>
      </c>
      <c r="F6310" s="93">
        <v>26.17</v>
      </c>
      <c r="G6310" s="93">
        <v>0</v>
      </c>
      <c r="H6310" s="93">
        <v>0</v>
      </c>
      <c r="N6310" s="88"/>
      <c r="O6310" s="88"/>
      <c r="P6310" s="88"/>
    </row>
    <row r="6311" spans="1:16">
      <c r="A6311" s="94">
        <v>101194</v>
      </c>
      <c r="B6311" s="87" t="s">
        <v>5230</v>
      </c>
      <c r="C6311" s="12" t="s">
        <v>6</v>
      </c>
      <c r="D6311" s="93">
        <v>41.55</v>
      </c>
      <c r="E6311" s="93">
        <v>15.16</v>
      </c>
      <c r="F6311" s="93">
        <v>26.39</v>
      </c>
      <c r="G6311" s="93">
        <v>0</v>
      </c>
      <c r="H6311" s="93">
        <v>0</v>
      </c>
      <c r="N6311" s="88"/>
      <c r="O6311" s="88"/>
      <c r="P6311" s="88"/>
    </row>
    <row r="6312" spans="1:16">
      <c r="A6312" s="94">
        <v>101197</v>
      </c>
      <c r="B6312" s="87" t="s">
        <v>5231</v>
      </c>
      <c r="C6312" s="12" t="s">
        <v>6</v>
      </c>
      <c r="D6312" s="93">
        <v>89.7</v>
      </c>
      <c r="E6312" s="93">
        <v>28.63</v>
      </c>
      <c r="F6312" s="93">
        <v>60.98</v>
      </c>
      <c r="G6312" s="93">
        <v>0.03</v>
      </c>
      <c r="H6312" s="93">
        <v>0</v>
      </c>
      <c r="N6312" s="88"/>
      <c r="O6312" s="88"/>
      <c r="P6312" s="88"/>
    </row>
    <row r="6313" spans="1:16">
      <c r="A6313" s="94">
        <v>101198</v>
      </c>
      <c r="B6313" s="87" t="s">
        <v>5232</v>
      </c>
      <c r="C6313" s="12" t="s">
        <v>6</v>
      </c>
      <c r="D6313" s="93">
        <v>62.55</v>
      </c>
      <c r="E6313" s="93">
        <v>24.17</v>
      </c>
      <c r="F6313" s="93">
        <v>38.380000000000003</v>
      </c>
      <c r="G6313" s="93">
        <v>0</v>
      </c>
      <c r="H6313" s="93">
        <v>0</v>
      </c>
      <c r="N6313" s="88"/>
      <c r="O6313" s="88"/>
      <c r="P6313" s="88"/>
    </row>
    <row r="6314" spans="1:16">
      <c r="A6314" s="94">
        <v>101199</v>
      </c>
      <c r="B6314" s="87" t="s">
        <v>5233</v>
      </c>
      <c r="C6314" s="12" t="s">
        <v>6</v>
      </c>
      <c r="D6314" s="93">
        <v>63.1</v>
      </c>
      <c r="E6314" s="93">
        <v>24.17</v>
      </c>
      <c r="F6314" s="93">
        <v>38.93</v>
      </c>
      <c r="G6314" s="93">
        <v>0</v>
      </c>
      <c r="H6314" s="93">
        <v>0</v>
      </c>
      <c r="N6314" s="88"/>
      <c r="O6314" s="88"/>
      <c r="P6314" s="88"/>
    </row>
    <row r="6315" spans="1:16">
      <c r="A6315" s="94">
        <v>101200</v>
      </c>
      <c r="B6315" s="87" t="s">
        <v>5234</v>
      </c>
      <c r="C6315" s="12" t="s">
        <v>6</v>
      </c>
      <c r="D6315" s="93">
        <v>33.119999999999997</v>
      </c>
      <c r="E6315" s="93">
        <v>15.03</v>
      </c>
      <c r="F6315" s="93">
        <v>18.09</v>
      </c>
      <c r="G6315" s="93">
        <v>0</v>
      </c>
      <c r="H6315" s="93">
        <v>0</v>
      </c>
      <c r="N6315" s="88"/>
      <c r="O6315" s="88"/>
      <c r="P6315" s="88"/>
    </row>
    <row r="6316" spans="1:16">
      <c r="A6316" s="94">
        <v>101201</v>
      </c>
      <c r="B6316" s="87" t="s">
        <v>5235</v>
      </c>
      <c r="C6316" s="12" t="s">
        <v>6</v>
      </c>
      <c r="D6316" s="93">
        <v>42.68</v>
      </c>
      <c r="E6316" s="93">
        <v>19.5</v>
      </c>
      <c r="F6316" s="93">
        <v>23.18</v>
      </c>
      <c r="G6316" s="93">
        <v>0</v>
      </c>
      <c r="H6316" s="93">
        <v>0</v>
      </c>
      <c r="N6316" s="88"/>
      <c r="O6316" s="88"/>
      <c r="P6316" s="88"/>
    </row>
    <row r="6317" spans="1:16">
      <c r="A6317" s="94">
        <v>101202</v>
      </c>
      <c r="B6317" s="87" t="s">
        <v>5236</v>
      </c>
      <c r="C6317" s="12" t="s">
        <v>6</v>
      </c>
      <c r="D6317" s="93">
        <v>31.38</v>
      </c>
      <c r="E6317" s="93">
        <v>16.149999999999999</v>
      </c>
      <c r="F6317" s="93">
        <v>15.23</v>
      </c>
      <c r="G6317" s="93">
        <v>0</v>
      </c>
      <c r="H6317" s="93">
        <v>0</v>
      </c>
      <c r="N6317" s="88"/>
      <c r="O6317" s="88"/>
      <c r="P6317" s="88"/>
    </row>
    <row r="6318" spans="1:16">
      <c r="A6318" s="94">
        <v>101203</v>
      </c>
      <c r="B6318" s="87" t="s">
        <v>5237</v>
      </c>
      <c r="C6318" s="12" t="s">
        <v>6</v>
      </c>
      <c r="D6318" s="93">
        <v>30.82</v>
      </c>
      <c r="E6318" s="93">
        <v>16.149999999999999</v>
      </c>
      <c r="F6318" s="93">
        <v>14.67</v>
      </c>
      <c r="G6318" s="93">
        <v>0</v>
      </c>
      <c r="H6318" s="93">
        <v>0</v>
      </c>
      <c r="N6318" s="88"/>
      <c r="O6318" s="88"/>
      <c r="P6318" s="88"/>
    </row>
    <row r="6319" spans="1:16">
      <c r="A6319" s="94">
        <v>101204</v>
      </c>
      <c r="B6319" s="87" t="s">
        <v>5238</v>
      </c>
      <c r="C6319" s="12" t="s">
        <v>6</v>
      </c>
      <c r="D6319" s="93">
        <v>31.04</v>
      </c>
      <c r="E6319" s="93">
        <v>16.149999999999999</v>
      </c>
      <c r="F6319" s="93">
        <v>14.89</v>
      </c>
      <c r="G6319" s="93">
        <v>0</v>
      </c>
      <c r="H6319" s="93">
        <v>0</v>
      </c>
      <c r="N6319" s="88"/>
      <c r="O6319" s="88"/>
      <c r="P6319" s="88"/>
    </row>
    <row r="6320" spans="1:16">
      <c r="A6320" s="94">
        <v>101205</v>
      </c>
      <c r="B6320" s="87" t="s">
        <v>5239</v>
      </c>
      <c r="C6320" s="12" t="s">
        <v>6</v>
      </c>
      <c r="D6320" s="93">
        <v>31.38</v>
      </c>
      <c r="E6320" s="93">
        <v>16.149999999999999</v>
      </c>
      <c r="F6320" s="93">
        <v>15.23</v>
      </c>
      <c r="G6320" s="93">
        <v>0</v>
      </c>
      <c r="H6320" s="93">
        <v>0</v>
      </c>
      <c r="N6320" s="88"/>
      <c r="O6320" s="88"/>
      <c r="P6320" s="88"/>
    </row>
    <row r="6321" spans="1:16">
      <c r="A6321" s="95" t="s">
        <v>5240</v>
      </c>
      <c r="B6321" s="87" t="s">
        <v>5241</v>
      </c>
      <c r="C6321" s="12" t="s">
        <v>9</v>
      </c>
      <c r="D6321" s="93">
        <v>152.29</v>
      </c>
      <c r="E6321" s="93">
        <v>19.13</v>
      </c>
      <c r="F6321" s="93">
        <v>133.16</v>
      </c>
      <c r="G6321" s="93">
        <v>0</v>
      </c>
      <c r="H6321" s="93">
        <v>0</v>
      </c>
      <c r="N6321" s="88"/>
      <c r="O6321" s="88"/>
      <c r="P6321" s="88"/>
    </row>
    <row r="6322" spans="1:16">
      <c r="A6322" s="94">
        <v>98509</v>
      </c>
      <c r="B6322" s="87" t="s">
        <v>5242</v>
      </c>
      <c r="C6322" s="12" t="s">
        <v>4</v>
      </c>
      <c r="D6322" s="93">
        <v>23.43</v>
      </c>
      <c r="E6322" s="93">
        <v>1.48</v>
      </c>
      <c r="F6322" s="93">
        <v>21.95</v>
      </c>
      <c r="G6322" s="93">
        <v>0</v>
      </c>
      <c r="H6322" s="93">
        <v>0</v>
      </c>
      <c r="N6322" s="88"/>
      <c r="O6322" s="88"/>
      <c r="P6322" s="88"/>
    </row>
    <row r="6323" spans="1:16">
      <c r="A6323" s="94">
        <v>98510</v>
      </c>
      <c r="B6323" s="87" t="s">
        <v>5243</v>
      </c>
      <c r="C6323" s="12" t="s">
        <v>4</v>
      </c>
      <c r="D6323" s="93">
        <v>40.29</v>
      </c>
      <c r="E6323" s="93">
        <v>10.7</v>
      </c>
      <c r="F6323" s="93">
        <v>29.59</v>
      </c>
      <c r="G6323" s="93">
        <v>0</v>
      </c>
      <c r="H6323" s="93">
        <v>0</v>
      </c>
      <c r="N6323" s="88"/>
      <c r="O6323" s="88"/>
      <c r="P6323" s="88"/>
    </row>
    <row r="6324" spans="1:16">
      <c r="A6324" s="94">
        <v>98511</v>
      </c>
      <c r="B6324" s="87" t="s">
        <v>5244</v>
      </c>
      <c r="C6324" s="12" t="s">
        <v>4</v>
      </c>
      <c r="D6324" s="93">
        <v>73.56</v>
      </c>
      <c r="E6324" s="93">
        <v>15.31</v>
      </c>
      <c r="F6324" s="93">
        <v>58.25</v>
      </c>
      <c r="G6324" s="93">
        <v>0</v>
      </c>
      <c r="H6324" s="93">
        <v>0</v>
      </c>
      <c r="N6324" s="88"/>
      <c r="O6324" s="88"/>
      <c r="P6324" s="88"/>
    </row>
    <row r="6325" spans="1:16">
      <c r="A6325" s="94">
        <v>98516</v>
      </c>
      <c r="B6325" s="87" t="s">
        <v>5245</v>
      </c>
      <c r="C6325" s="12" t="s">
        <v>4</v>
      </c>
      <c r="D6325" s="93">
        <v>230.84</v>
      </c>
      <c r="E6325" s="93">
        <v>101.97</v>
      </c>
      <c r="F6325" s="93">
        <v>105.51</v>
      </c>
      <c r="G6325" s="93">
        <v>23.36</v>
      </c>
      <c r="H6325" s="93">
        <v>0</v>
      </c>
      <c r="N6325" s="88"/>
      <c r="O6325" s="88"/>
      <c r="P6325" s="88"/>
    </row>
    <row r="6326" spans="1:16">
      <c r="A6326" s="94">
        <v>98519</v>
      </c>
      <c r="B6326" s="87" t="s">
        <v>5246</v>
      </c>
      <c r="C6326" s="12" t="s">
        <v>9</v>
      </c>
      <c r="D6326" s="93">
        <v>1.53</v>
      </c>
      <c r="E6326" s="93">
        <v>1.1299999999999999</v>
      </c>
      <c r="F6326" s="93">
        <v>0.4</v>
      </c>
      <c r="G6326" s="93">
        <v>0</v>
      </c>
      <c r="H6326" s="93">
        <v>0</v>
      </c>
      <c r="N6326" s="88"/>
      <c r="O6326" s="88"/>
      <c r="P6326" s="88"/>
    </row>
    <row r="6327" spans="1:16">
      <c r="A6327" s="94">
        <v>98520</v>
      </c>
      <c r="B6327" s="87" t="s">
        <v>5247</v>
      </c>
      <c r="C6327" s="12" t="s">
        <v>9</v>
      </c>
      <c r="D6327" s="93">
        <v>4</v>
      </c>
      <c r="E6327" s="93">
        <v>0.92</v>
      </c>
      <c r="F6327" s="93">
        <v>3.08</v>
      </c>
      <c r="G6327" s="93">
        <v>0</v>
      </c>
      <c r="H6327" s="93">
        <v>0</v>
      </c>
      <c r="N6327" s="88"/>
      <c r="O6327" s="88"/>
      <c r="P6327" s="88"/>
    </row>
    <row r="6328" spans="1:16">
      <c r="A6328" s="94">
        <v>98521</v>
      </c>
      <c r="B6328" s="87" t="s">
        <v>5248</v>
      </c>
      <c r="C6328" s="12" t="s">
        <v>9</v>
      </c>
      <c r="D6328" s="93">
        <v>0.27</v>
      </c>
      <c r="E6328" s="93">
        <v>0.22</v>
      </c>
      <c r="F6328" s="93">
        <v>0.05</v>
      </c>
      <c r="G6328" s="93">
        <v>0</v>
      </c>
      <c r="H6328" s="93">
        <v>0</v>
      </c>
      <c r="N6328" s="88"/>
      <c r="O6328" s="88"/>
      <c r="P6328" s="88"/>
    </row>
    <row r="6329" spans="1:16">
      <c r="A6329" s="94">
        <v>98522</v>
      </c>
      <c r="B6329" s="87" t="s">
        <v>5249</v>
      </c>
      <c r="C6329" s="12" t="s">
        <v>6</v>
      </c>
      <c r="D6329" s="93">
        <v>121.27</v>
      </c>
      <c r="E6329" s="93">
        <v>32.72</v>
      </c>
      <c r="F6329" s="93">
        <v>88.55</v>
      </c>
      <c r="G6329" s="93">
        <v>0</v>
      </c>
      <c r="H6329" s="93">
        <v>0</v>
      </c>
      <c r="N6329" s="88"/>
      <c r="O6329" s="88"/>
      <c r="P6329" s="88"/>
    </row>
    <row r="6330" spans="1:16">
      <c r="A6330" s="94">
        <v>98524</v>
      </c>
      <c r="B6330" s="87" t="s">
        <v>5250</v>
      </c>
      <c r="C6330" s="12" t="s">
        <v>9</v>
      </c>
      <c r="D6330" s="93">
        <v>2.58</v>
      </c>
      <c r="E6330" s="93">
        <v>2</v>
      </c>
      <c r="F6330" s="93">
        <v>0.57999999999999996</v>
      </c>
      <c r="G6330" s="93">
        <v>0</v>
      </c>
      <c r="H6330" s="93">
        <v>0</v>
      </c>
      <c r="N6330" s="88"/>
      <c r="O6330" s="88"/>
      <c r="P6330" s="88"/>
    </row>
    <row r="6331" spans="1:16">
      <c r="A6331" s="94">
        <v>98503</v>
      </c>
      <c r="B6331" s="87" t="s">
        <v>5251</v>
      </c>
      <c r="C6331" s="12" t="s">
        <v>9</v>
      </c>
      <c r="D6331" s="93">
        <v>13.6</v>
      </c>
      <c r="E6331" s="93">
        <v>2.82</v>
      </c>
      <c r="F6331" s="93">
        <v>10.78</v>
      </c>
      <c r="G6331" s="93">
        <v>0</v>
      </c>
      <c r="H6331" s="93">
        <v>0</v>
      </c>
      <c r="N6331" s="88"/>
      <c r="O6331" s="88"/>
      <c r="P6331" s="88"/>
    </row>
    <row r="6332" spans="1:16">
      <c r="A6332" s="94">
        <v>98504</v>
      </c>
      <c r="B6332" s="87" t="s">
        <v>5252</v>
      </c>
      <c r="C6332" s="12" t="s">
        <v>9</v>
      </c>
      <c r="D6332" s="93">
        <v>7.74</v>
      </c>
      <c r="E6332" s="93">
        <v>2.2999999999999998</v>
      </c>
      <c r="F6332" s="93">
        <v>5.44</v>
      </c>
      <c r="G6332" s="93">
        <v>0</v>
      </c>
      <c r="H6332" s="93">
        <v>0</v>
      </c>
      <c r="N6332" s="88"/>
      <c r="O6332" s="88"/>
      <c r="P6332" s="88"/>
    </row>
    <row r="6333" spans="1:16">
      <c r="A6333" s="94">
        <v>98505</v>
      </c>
      <c r="B6333" s="87" t="s">
        <v>5253</v>
      </c>
      <c r="C6333" s="12" t="s">
        <v>9</v>
      </c>
      <c r="D6333" s="93">
        <v>34.28</v>
      </c>
      <c r="E6333" s="93">
        <v>3.1</v>
      </c>
      <c r="F6333" s="93">
        <v>31.18</v>
      </c>
      <c r="G6333" s="93">
        <v>0</v>
      </c>
      <c r="H6333" s="93">
        <v>0</v>
      </c>
      <c r="N6333" s="88"/>
      <c r="O6333" s="88"/>
      <c r="P6333" s="88"/>
    </row>
    <row r="6334" spans="1:16">
      <c r="A6334" s="94">
        <v>98525</v>
      </c>
      <c r="B6334" s="87" t="s">
        <v>5254</v>
      </c>
      <c r="C6334" s="12" t="s">
        <v>9</v>
      </c>
      <c r="D6334" s="93">
        <v>0.28999999999999998</v>
      </c>
      <c r="E6334" s="93">
        <v>0.17</v>
      </c>
      <c r="F6334" s="93">
        <v>0.02</v>
      </c>
      <c r="G6334" s="93">
        <v>0.1</v>
      </c>
      <c r="H6334" s="93">
        <v>0</v>
      </c>
      <c r="N6334" s="88"/>
      <c r="O6334" s="88"/>
      <c r="P6334" s="88"/>
    </row>
    <row r="6335" spans="1:16">
      <c r="A6335" s="94">
        <v>98526</v>
      </c>
      <c r="B6335" s="87" t="s">
        <v>5255</v>
      </c>
      <c r="C6335" s="12" t="s">
        <v>4</v>
      </c>
      <c r="D6335" s="93">
        <v>63.67</v>
      </c>
      <c r="E6335" s="93">
        <v>37.83</v>
      </c>
      <c r="F6335" s="93">
        <v>12.42</v>
      </c>
      <c r="G6335" s="93">
        <v>13.42</v>
      </c>
      <c r="H6335" s="93">
        <v>0</v>
      </c>
      <c r="N6335" s="88"/>
      <c r="O6335" s="88"/>
      <c r="P6335" s="88"/>
    </row>
    <row r="6336" spans="1:16">
      <c r="A6336" s="94">
        <v>98527</v>
      </c>
      <c r="B6336" s="87" t="s">
        <v>5256</v>
      </c>
      <c r="C6336" s="12" t="s">
        <v>4</v>
      </c>
      <c r="D6336" s="93">
        <v>137.08000000000001</v>
      </c>
      <c r="E6336" s="93">
        <v>81.34</v>
      </c>
      <c r="F6336" s="93">
        <v>26.84</v>
      </c>
      <c r="G6336" s="93">
        <v>28.9</v>
      </c>
      <c r="H6336" s="93">
        <v>0</v>
      </c>
      <c r="N6336" s="88"/>
      <c r="O6336" s="88"/>
      <c r="P6336" s="88"/>
    </row>
    <row r="6337" spans="1:16">
      <c r="A6337" s="94">
        <v>98528</v>
      </c>
      <c r="B6337" s="87" t="s">
        <v>5257</v>
      </c>
      <c r="C6337" s="12" t="s">
        <v>4</v>
      </c>
      <c r="D6337" s="93">
        <v>200.46</v>
      </c>
      <c r="E6337" s="93">
        <v>118.92</v>
      </c>
      <c r="F6337" s="93">
        <v>39.270000000000003</v>
      </c>
      <c r="G6337" s="93">
        <v>42.27</v>
      </c>
      <c r="H6337" s="93">
        <v>0</v>
      </c>
      <c r="N6337" s="88"/>
      <c r="O6337" s="88"/>
      <c r="P6337" s="88"/>
    </row>
    <row r="6338" spans="1:16">
      <c r="A6338" s="94">
        <v>98529</v>
      </c>
      <c r="B6338" s="87" t="s">
        <v>5258</v>
      </c>
      <c r="C6338" s="12" t="s">
        <v>4</v>
      </c>
      <c r="D6338" s="93">
        <v>55.66</v>
      </c>
      <c r="E6338" s="93">
        <v>41.74</v>
      </c>
      <c r="F6338" s="93">
        <v>13.92</v>
      </c>
      <c r="G6338" s="93">
        <v>0</v>
      </c>
      <c r="H6338" s="93">
        <v>0</v>
      </c>
      <c r="N6338" s="88"/>
      <c r="O6338" s="88"/>
      <c r="P6338" s="88"/>
    </row>
    <row r="6339" spans="1:16">
      <c r="A6339" s="94">
        <v>98530</v>
      </c>
      <c r="B6339" s="87" t="s">
        <v>5259</v>
      </c>
      <c r="C6339" s="12" t="s">
        <v>4</v>
      </c>
      <c r="D6339" s="93">
        <v>99.16</v>
      </c>
      <c r="E6339" s="93">
        <v>74.319999999999993</v>
      </c>
      <c r="F6339" s="93">
        <v>24.84</v>
      </c>
      <c r="G6339" s="93">
        <v>0</v>
      </c>
      <c r="H6339" s="93">
        <v>0</v>
      </c>
      <c r="N6339" s="88"/>
      <c r="O6339" s="88"/>
      <c r="P6339" s="88"/>
    </row>
    <row r="6340" spans="1:16">
      <c r="A6340" s="94">
        <v>98531</v>
      </c>
      <c r="B6340" s="87" t="s">
        <v>5260</v>
      </c>
      <c r="C6340" s="12" t="s">
        <v>4</v>
      </c>
      <c r="D6340" s="93">
        <v>204.74</v>
      </c>
      <c r="E6340" s="93">
        <v>122.23</v>
      </c>
      <c r="F6340" s="93">
        <v>40.11</v>
      </c>
      <c r="G6340" s="93">
        <v>42.4</v>
      </c>
      <c r="H6340" s="93">
        <v>0</v>
      </c>
      <c r="N6340" s="88"/>
      <c r="O6340" s="88"/>
      <c r="P6340" s="88"/>
    </row>
    <row r="6341" spans="1:16">
      <c r="A6341" s="94">
        <v>98532</v>
      </c>
      <c r="B6341" s="87" t="s">
        <v>5261</v>
      </c>
      <c r="C6341" s="12" t="s">
        <v>4</v>
      </c>
      <c r="D6341" s="93">
        <v>76.48</v>
      </c>
      <c r="E6341" s="93">
        <v>35.840000000000003</v>
      </c>
      <c r="F6341" s="93">
        <v>27.88</v>
      </c>
      <c r="G6341" s="93">
        <v>12.76</v>
      </c>
      <c r="H6341" s="93">
        <v>0</v>
      </c>
      <c r="N6341" s="88"/>
      <c r="O6341" s="88"/>
      <c r="P6341" s="88"/>
    </row>
    <row r="6342" spans="1:16">
      <c r="A6342" s="94">
        <v>98533</v>
      </c>
      <c r="B6342" s="87" t="s">
        <v>5262</v>
      </c>
      <c r="C6342" s="12" t="s">
        <v>4</v>
      </c>
      <c r="D6342" s="93">
        <v>212.98</v>
      </c>
      <c r="E6342" s="93">
        <v>111.72</v>
      </c>
      <c r="F6342" s="93">
        <v>65.66</v>
      </c>
      <c r="G6342" s="93">
        <v>35.6</v>
      </c>
      <c r="H6342" s="93">
        <v>0</v>
      </c>
      <c r="N6342" s="88"/>
      <c r="O6342" s="88"/>
      <c r="P6342" s="88"/>
    </row>
    <row r="6343" spans="1:16">
      <c r="A6343" s="94">
        <v>98534</v>
      </c>
      <c r="B6343" s="87" t="s">
        <v>5263</v>
      </c>
      <c r="C6343" s="12" t="s">
        <v>4</v>
      </c>
      <c r="D6343" s="93">
        <v>541.45000000000005</v>
      </c>
      <c r="E6343" s="93">
        <v>269.85000000000002</v>
      </c>
      <c r="F6343" s="93">
        <v>181.07</v>
      </c>
      <c r="G6343" s="93">
        <v>90.53</v>
      </c>
      <c r="H6343" s="93">
        <v>0</v>
      </c>
      <c r="N6343" s="88"/>
      <c r="O6343" s="88"/>
      <c r="P6343" s="88"/>
    </row>
    <row r="6344" spans="1:16">
      <c r="A6344" s="94">
        <v>98535</v>
      </c>
      <c r="B6344" s="87" t="s">
        <v>5264</v>
      </c>
      <c r="C6344" s="12" t="s">
        <v>4</v>
      </c>
      <c r="D6344" s="93">
        <v>864.13</v>
      </c>
      <c r="E6344" s="93">
        <v>454.77</v>
      </c>
      <c r="F6344" s="93">
        <v>264.85000000000002</v>
      </c>
      <c r="G6344" s="93">
        <v>144.51</v>
      </c>
      <c r="H6344" s="93">
        <v>0</v>
      </c>
      <c r="N6344" s="88"/>
      <c r="O6344" s="88"/>
      <c r="P6344" s="88"/>
    </row>
    <row r="6345" spans="1:16">
      <c r="A6345" s="94">
        <v>88238</v>
      </c>
      <c r="B6345" s="87" t="s">
        <v>480</v>
      </c>
      <c r="C6345" s="12" t="s">
        <v>10</v>
      </c>
      <c r="D6345" s="93">
        <v>16.43</v>
      </c>
      <c r="E6345" s="93">
        <v>11.85</v>
      </c>
      <c r="F6345" s="93">
        <v>4.58</v>
      </c>
      <c r="G6345" s="93">
        <v>0</v>
      </c>
      <c r="H6345" s="93">
        <v>0</v>
      </c>
      <c r="N6345" s="88"/>
      <c r="O6345" s="88"/>
      <c r="P6345" s="88"/>
    </row>
    <row r="6346" spans="1:16">
      <c r="A6346" s="94">
        <v>88239</v>
      </c>
      <c r="B6346" s="87" t="s">
        <v>481</v>
      </c>
      <c r="C6346" s="12" t="s">
        <v>10</v>
      </c>
      <c r="D6346" s="93">
        <v>17.89</v>
      </c>
      <c r="E6346" s="93">
        <v>13.41</v>
      </c>
      <c r="F6346" s="93">
        <v>4.4800000000000004</v>
      </c>
      <c r="G6346" s="93">
        <v>0</v>
      </c>
      <c r="H6346" s="93">
        <v>0</v>
      </c>
      <c r="N6346" s="88"/>
      <c r="O6346" s="88"/>
      <c r="P6346" s="88"/>
    </row>
    <row r="6347" spans="1:16">
      <c r="A6347" s="94">
        <v>88240</v>
      </c>
      <c r="B6347" s="87" t="s">
        <v>482</v>
      </c>
      <c r="C6347" s="12" t="s">
        <v>10</v>
      </c>
      <c r="D6347" s="93">
        <v>19.940000000000001</v>
      </c>
      <c r="E6347" s="93">
        <v>16.25</v>
      </c>
      <c r="F6347" s="93">
        <v>3.69</v>
      </c>
      <c r="G6347" s="93">
        <v>0</v>
      </c>
      <c r="H6347" s="93">
        <v>0</v>
      </c>
      <c r="N6347" s="88"/>
      <c r="O6347" s="88"/>
      <c r="P6347" s="88"/>
    </row>
    <row r="6348" spans="1:16">
      <c r="A6348" s="94">
        <v>88241</v>
      </c>
      <c r="B6348" s="87" t="s">
        <v>483</v>
      </c>
      <c r="C6348" s="12" t="s">
        <v>10</v>
      </c>
      <c r="D6348" s="93">
        <v>16.84</v>
      </c>
      <c r="E6348" s="93">
        <v>12.26</v>
      </c>
      <c r="F6348" s="93">
        <v>4.58</v>
      </c>
      <c r="G6348" s="93">
        <v>0</v>
      </c>
      <c r="H6348" s="93">
        <v>0</v>
      </c>
      <c r="N6348" s="88"/>
      <c r="O6348" s="88"/>
      <c r="P6348" s="88"/>
    </row>
    <row r="6349" spans="1:16">
      <c r="A6349" s="94">
        <v>88242</v>
      </c>
      <c r="B6349" s="87" t="s">
        <v>484</v>
      </c>
      <c r="C6349" s="12" t="s">
        <v>10</v>
      </c>
      <c r="D6349" s="93">
        <v>14.87</v>
      </c>
      <c r="E6349" s="93">
        <v>10.29</v>
      </c>
      <c r="F6349" s="93">
        <v>4.58</v>
      </c>
      <c r="G6349" s="93">
        <v>0</v>
      </c>
      <c r="H6349" s="93">
        <v>0</v>
      </c>
      <c r="N6349" s="88"/>
      <c r="O6349" s="88"/>
      <c r="P6349" s="88"/>
    </row>
    <row r="6350" spans="1:16">
      <c r="A6350" s="94">
        <v>88243</v>
      </c>
      <c r="B6350" s="87" t="s">
        <v>485</v>
      </c>
      <c r="C6350" s="12" t="s">
        <v>10</v>
      </c>
      <c r="D6350" s="93">
        <v>18.190000000000001</v>
      </c>
      <c r="E6350" s="93">
        <v>13.72</v>
      </c>
      <c r="F6350" s="93">
        <v>4.47</v>
      </c>
      <c r="G6350" s="93">
        <v>0</v>
      </c>
      <c r="H6350" s="93">
        <v>0</v>
      </c>
      <c r="N6350" s="88"/>
      <c r="O6350" s="88"/>
      <c r="P6350" s="88"/>
    </row>
    <row r="6351" spans="1:16">
      <c r="A6351" s="94">
        <v>88245</v>
      </c>
      <c r="B6351" s="87" t="s">
        <v>486</v>
      </c>
      <c r="C6351" s="12" t="s">
        <v>10</v>
      </c>
      <c r="D6351" s="93">
        <v>21.58</v>
      </c>
      <c r="E6351" s="93">
        <v>17</v>
      </c>
      <c r="F6351" s="93">
        <v>4.58</v>
      </c>
      <c r="G6351" s="93">
        <v>0</v>
      </c>
      <c r="H6351" s="93">
        <v>0</v>
      </c>
      <c r="N6351" s="88"/>
      <c r="O6351" s="88"/>
      <c r="P6351" s="88"/>
    </row>
    <row r="6352" spans="1:16">
      <c r="A6352" s="94">
        <v>88246</v>
      </c>
      <c r="B6352" s="87" t="s">
        <v>487</v>
      </c>
      <c r="C6352" s="12" t="s">
        <v>10</v>
      </c>
      <c r="D6352" s="93">
        <v>30.02</v>
      </c>
      <c r="E6352" s="93">
        <v>26.33</v>
      </c>
      <c r="F6352" s="93">
        <v>3.69</v>
      </c>
      <c r="G6352" s="93">
        <v>0</v>
      </c>
      <c r="H6352" s="93">
        <v>0</v>
      </c>
      <c r="N6352" s="88"/>
      <c r="O6352" s="88"/>
      <c r="P6352" s="88"/>
    </row>
    <row r="6353" spans="1:16">
      <c r="A6353" s="94">
        <v>88247</v>
      </c>
      <c r="B6353" s="87" t="s">
        <v>488</v>
      </c>
      <c r="C6353" s="12" t="s">
        <v>10</v>
      </c>
      <c r="D6353" s="93">
        <v>16.739999999999998</v>
      </c>
      <c r="E6353" s="93">
        <v>12.16</v>
      </c>
      <c r="F6353" s="93">
        <v>4.58</v>
      </c>
      <c r="G6353" s="93">
        <v>0</v>
      </c>
      <c r="H6353" s="93">
        <v>0</v>
      </c>
      <c r="N6353" s="88"/>
      <c r="O6353" s="88"/>
      <c r="P6353" s="88"/>
    </row>
    <row r="6354" spans="1:16">
      <c r="A6354" s="94">
        <v>88248</v>
      </c>
      <c r="B6354" s="87" t="s">
        <v>5265</v>
      </c>
      <c r="C6354" s="12" t="s">
        <v>10</v>
      </c>
      <c r="D6354" s="93">
        <v>16.23</v>
      </c>
      <c r="E6354" s="93">
        <v>12.1</v>
      </c>
      <c r="F6354" s="93">
        <v>4.13</v>
      </c>
      <c r="G6354" s="93">
        <v>0</v>
      </c>
      <c r="H6354" s="93">
        <v>0</v>
      </c>
      <c r="N6354" s="88"/>
      <c r="O6354" s="88"/>
      <c r="P6354" s="88"/>
    </row>
    <row r="6355" spans="1:16">
      <c r="A6355" s="94">
        <v>88249</v>
      </c>
      <c r="B6355" s="87" t="s">
        <v>489</v>
      </c>
      <c r="C6355" s="12" t="s">
        <v>10</v>
      </c>
      <c r="D6355" s="93">
        <v>24.89</v>
      </c>
      <c r="E6355" s="93">
        <v>23.66</v>
      </c>
      <c r="F6355" s="93">
        <v>1.23</v>
      </c>
      <c r="G6355" s="93">
        <v>0</v>
      </c>
      <c r="H6355" s="93">
        <v>0</v>
      </c>
      <c r="N6355" s="88"/>
      <c r="O6355" s="88"/>
      <c r="P6355" s="88"/>
    </row>
    <row r="6356" spans="1:16">
      <c r="A6356" s="94">
        <v>88250</v>
      </c>
      <c r="B6356" s="87" t="s">
        <v>490</v>
      </c>
      <c r="C6356" s="12" t="s">
        <v>10</v>
      </c>
      <c r="D6356" s="93">
        <v>22.28</v>
      </c>
      <c r="E6356" s="93">
        <v>18.59</v>
      </c>
      <c r="F6356" s="93">
        <v>3.69</v>
      </c>
      <c r="G6356" s="93">
        <v>0</v>
      </c>
      <c r="H6356" s="93">
        <v>0</v>
      </c>
      <c r="N6356" s="88"/>
      <c r="O6356" s="88"/>
      <c r="P6356" s="88"/>
    </row>
    <row r="6357" spans="1:16">
      <c r="A6357" s="94">
        <v>88251</v>
      </c>
      <c r="B6357" s="87" t="s">
        <v>491</v>
      </c>
      <c r="C6357" s="12" t="s">
        <v>10</v>
      </c>
      <c r="D6357" s="93">
        <v>17.3</v>
      </c>
      <c r="E6357" s="93">
        <v>12.72</v>
      </c>
      <c r="F6357" s="93">
        <v>4.58</v>
      </c>
      <c r="G6357" s="93">
        <v>0</v>
      </c>
      <c r="H6357" s="93">
        <v>0</v>
      </c>
      <c r="N6357" s="88"/>
      <c r="O6357" s="88"/>
      <c r="P6357" s="88"/>
    </row>
    <row r="6358" spans="1:16">
      <c r="A6358" s="94">
        <v>88252</v>
      </c>
      <c r="B6358" s="87" t="s">
        <v>492</v>
      </c>
      <c r="C6358" s="12" t="s">
        <v>10</v>
      </c>
      <c r="D6358" s="93">
        <v>15.85</v>
      </c>
      <c r="E6358" s="93">
        <v>11.38</v>
      </c>
      <c r="F6358" s="93">
        <v>4.47</v>
      </c>
      <c r="G6358" s="93">
        <v>0</v>
      </c>
      <c r="H6358" s="93">
        <v>0</v>
      </c>
      <c r="N6358" s="88"/>
      <c r="O6358" s="88"/>
      <c r="P6358" s="88"/>
    </row>
    <row r="6359" spans="1:16">
      <c r="A6359" s="94">
        <v>88253</v>
      </c>
      <c r="B6359" s="87" t="s">
        <v>493</v>
      </c>
      <c r="C6359" s="12" t="s">
        <v>10</v>
      </c>
      <c r="D6359" s="93">
        <v>8.44</v>
      </c>
      <c r="E6359" s="93">
        <v>7.25</v>
      </c>
      <c r="F6359" s="93">
        <v>1.19</v>
      </c>
      <c r="G6359" s="93">
        <v>0</v>
      </c>
      <c r="H6359" s="93">
        <v>0</v>
      </c>
      <c r="N6359" s="88"/>
      <c r="O6359" s="88"/>
      <c r="P6359" s="88"/>
    </row>
    <row r="6360" spans="1:16">
      <c r="A6360" s="94">
        <v>88255</v>
      </c>
      <c r="B6360" s="87" t="s">
        <v>494</v>
      </c>
      <c r="C6360" s="12" t="s">
        <v>10</v>
      </c>
      <c r="D6360" s="93">
        <v>24.63</v>
      </c>
      <c r="E6360" s="93">
        <v>23.46</v>
      </c>
      <c r="F6360" s="93">
        <v>1.17</v>
      </c>
      <c r="G6360" s="93">
        <v>0</v>
      </c>
      <c r="H6360" s="93">
        <v>0</v>
      </c>
      <c r="N6360" s="88"/>
      <c r="O6360" s="88"/>
      <c r="P6360" s="88"/>
    </row>
    <row r="6361" spans="1:16">
      <c r="A6361" s="94">
        <v>88256</v>
      </c>
      <c r="B6361" s="87" t="s">
        <v>495</v>
      </c>
      <c r="C6361" s="12" t="s">
        <v>10</v>
      </c>
      <c r="D6361" s="93">
        <v>21.62</v>
      </c>
      <c r="E6361" s="93">
        <v>17.04</v>
      </c>
      <c r="F6361" s="93">
        <v>4.58</v>
      </c>
      <c r="G6361" s="93">
        <v>0</v>
      </c>
      <c r="H6361" s="93">
        <v>0</v>
      </c>
      <c r="N6361" s="88"/>
      <c r="O6361" s="88"/>
      <c r="P6361" s="88"/>
    </row>
    <row r="6362" spans="1:16">
      <c r="A6362" s="94">
        <v>88257</v>
      </c>
      <c r="B6362" s="87" t="s">
        <v>496</v>
      </c>
      <c r="C6362" s="12" t="s">
        <v>10</v>
      </c>
      <c r="D6362" s="93">
        <v>25.97</v>
      </c>
      <c r="E6362" s="93">
        <v>22.28</v>
      </c>
      <c r="F6362" s="93">
        <v>3.69</v>
      </c>
      <c r="G6362" s="93">
        <v>0</v>
      </c>
      <c r="H6362" s="93">
        <v>0</v>
      </c>
      <c r="N6362" s="88"/>
      <c r="O6362" s="88"/>
      <c r="P6362" s="88"/>
    </row>
    <row r="6363" spans="1:16">
      <c r="A6363" s="94">
        <v>88258</v>
      </c>
      <c r="B6363" s="87" t="s">
        <v>5266</v>
      </c>
      <c r="C6363" s="12" t="s">
        <v>10</v>
      </c>
      <c r="D6363" s="93">
        <v>14.58</v>
      </c>
      <c r="E6363" s="93">
        <v>13.35</v>
      </c>
      <c r="F6363" s="93">
        <v>1.23</v>
      </c>
      <c r="G6363" s="93">
        <v>0</v>
      </c>
      <c r="H6363" s="93">
        <v>0</v>
      </c>
      <c r="N6363" s="88"/>
      <c r="O6363" s="88"/>
      <c r="P6363" s="88"/>
    </row>
    <row r="6364" spans="1:16">
      <c r="A6364" s="94">
        <v>88259</v>
      </c>
      <c r="B6364" s="87" t="s">
        <v>497</v>
      </c>
      <c r="C6364" s="12" t="s">
        <v>10</v>
      </c>
      <c r="D6364" s="93">
        <v>25.33</v>
      </c>
      <c r="E6364" s="93">
        <v>20.75</v>
      </c>
      <c r="F6364" s="93">
        <v>4.58</v>
      </c>
      <c r="G6364" s="93">
        <v>0</v>
      </c>
      <c r="H6364" s="93">
        <v>0</v>
      </c>
      <c r="N6364" s="88"/>
      <c r="O6364" s="88"/>
      <c r="P6364" s="88"/>
    </row>
    <row r="6365" spans="1:16">
      <c r="A6365" s="94">
        <v>88260</v>
      </c>
      <c r="B6365" s="87" t="s">
        <v>498</v>
      </c>
      <c r="C6365" s="12" t="s">
        <v>10</v>
      </c>
      <c r="D6365" s="93">
        <v>20.66</v>
      </c>
      <c r="E6365" s="93">
        <v>16.079999999999998</v>
      </c>
      <c r="F6365" s="93">
        <v>4.58</v>
      </c>
      <c r="G6365" s="93">
        <v>0</v>
      </c>
      <c r="H6365" s="93">
        <v>0</v>
      </c>
      <c r="N6365" s="88"/>
      <c r="O6365" s="88"/>
      <c r="P6365" s="88"/>
    </row>
    <row r="6366" spans="1:16">
      <c r="A6366" s="94">
        <v>88261</v>
      </c>
      <c r="B6366" s="87" t="s">
        <v>499</v>
      </c>
      <c r="C6366" s="12" t="s">
        <v>10</v>
      </c>
      <c r="D6366" s="93">
        <v>27.16</v>
      </c>
      <c r="E6366" s="93">
        <v>22.68</v>
      </c>
      <c r="F6366" s="93">
        <v>4.4800000000000004</v>
      </c>
      <c r="G6366" s="93">
        <v>0</v>
      </c>
      <c r="H6366" s="93">
        <v>0</v>
      </c>
      <c r="N6366" s="88"/>
      <c r="O6366" s="88"/>
      <c r="P6366" s="88"/>
    </row>
    <row r="6367" spans="1:16">
      <c r="A6367" s="94">
        <v>88262</v>
      </c>
      <c r="B6367" s="87" t="s">
        <v>500</v>
      </c>
      <c r="C6367" s="12" t="s">
        <v>10</v>
      </c>
      <c r="D6367" s="93">
        <v>21.48</v>
      </c>
      <c r="E6367" s="93">
        <v>17</v>
      </c>
      <c r="F6367" s="93">
        <v>4.4800000000000004</v>
      </c>
      <c r="G6367" s="93">
        <v>0</v>
      </c>
      <c r="H6367" s="93">
        <v>0</v>
      </c>
      <c r="N6367" s="88"/>
      <c r="O6367" s="88"/>
      <c r="P6367" s="88"/>
    </row>
    <row r="6368" spans="1:16">
      <c r="A6368" s="94">
        <v>88263</v>
      </c>
      <c r="B6368" s="87" t="s">
        <v>5267</v>
      </c>
      <c r="C6368" s="12" t="s">
        <v>10</v>
      </c>
      <c r="D6368" s="93">
        <v>22.3</v>
      </c>
      <c r="E6368" s="93">
        <v>18.61</v>
      </c>
      <c r="F6368" s="93">
        <v>3.69</v>
      </c>
      <c r="G6368" s="93">
        <v>0</v>
      </c>
      <c r="H6368" s="93">
        <v>0</v>
      </c>
      <c r="N6368" s="88"/>
      <c r="O6368" s="88"/>
      <c r="P6368" s="88"/>
    </row>
    <row r="6369" spans="1:16">
      <c r="A6369" s="94">
        <v>88264</v>
      </c>
      <c r="B6369" s="87" t="s">
        <v>501</v>
      </c>
      <c r="C6369" s="12" t="s">
        <v>10</v>
      </c>
      <c r="D6369" s="93">
        <v>21.89</v>
      </c>
      <c r="E6369" s="93">
        <v>17.309999999999999</v>
      </c>
      <c r="F6369" s="93">
        <v>4.58</v>
      </c>
      <c r="G6369" s="93">
        <v>0</v>
      </c>
      <c r="H6369" s="93">
        <v>0</v>
      </c>
      <c r="N6369" s="88"/>
      <c r="O6369" s="88"/>
      <c r="P6369" s="88"/>
    </row>
    <row r="6370" spans="1:16">
      <c r="A6370" s="94">
        <v>88265</v>
      </c>
      <c r="B6370" s="87" t="s">
        <v>502</v>
      </c>
      <c r="C6370" s="12" t="s">
        <v>10</v>
      </c>
      <c r="D6370" s="93">
        <v>23.3</v>
      </c>
      <c r="E6370" s="93">
        <v>18.72</v>
      </c>
      <c r="F6370" s="93">
        <v>4.58</v>
      </c>
      <c r="G6370" s="93">
        <v>0</v>
      </c>
      <c r="H6370" s="93">
        <v>0</v>
      </c>
      <c r="N6370" s="88"/>
      <c r="O6370" s="88"/>
      <c r="P6370" s="88"/>
    </row>
    <row r="6371" spans="1:16">
      <c r="A6371" s="94">
        <v>88266</v>
      </c>
      <c r="B6371" s="87" t="s">
        <v>503</v>
      </c>
      <c r="C6371" s="12" t="s">
        <v>10</v>
      </c>
      <c r="D6371" s="93">
        <v>27.32</v>
      </c>
      <c r="E6371" s="93">
        <v>22.74</v>
      </c>
      <c r="F6371" s="93">
        <v>4.58</v>
      </c>
      <c r="G6371" s="93">
        <v>0</v>
      </c>
      <c r="H6371" s="93">
        <v>0</v>
      </c>
      <c r="N6371" s="88"/>
      <c r="O6371" s="88"/>
      <c r="P6371" s="88"/>
    </row>
    <row r="6372" spans="1:16">
      <c r="A6372" s="94">
        <v>88267</v>
      </c>
      <c r="B6372" s="87" t="s">
        <v>504</v>
      </c>
      <c r="C6372" s="12" t="s">
        <v>10</v>
      </c>
      <c r="D6372" s="93">
        <v>21.21</v>
      </c>
      <c r="E6372" s="93">
        <v>17.079999999999998</v>
      </c>
      <c r="F6372" s="93">
        <v>4.13</v>
      </c>
      <c r="G6372" s="93">
        <v>0</v>
      </c>
      <c r="H6372" s="93">
        <v>0</v>
      </c>
      <c r="N6372" s="88"/>
      <c r="O6372" s="88"/>
      <c r="P6372" s="88"/>
    </row>
    <row r="6373" spans="1:16">
      <c r="A6373" s="94">
        <v>88268</v>
      </c>
      <c r="B6373" s="87" t="s">
        <v>505</v>
      </c>
      <c r="C6373" s="12" t="s">
        <v>10</v>
      </c>
      <c r="D6373" s="93">
        <v>22.41</v>
      </c>
      <c r="E6373" s="93">
        <v>17.829999999999998</v>
      </c>
      <c r="F6373" s="93">
        <v>4.58</v>
      </c>
      <c r="G6373" s="93">
        <v>0</v>
      </c>
      <c r="H6373" s="93">
        <v>0</v>
      </c>
      <c r="N6373" s="88"/>
      <c r="O6373" s="88"/>
      <c r="P6373" s="88"/>
    </row>
    <row r="6374" spans="1:16">
      <c r="A6374" s="94">
        <v>88269</v>
      </c>
      <c r="B6374" s="87" t="s">
        <v>506</v>
      </c>
      <c r="C6374" s="12" t="s">
        <v>10</v>
      </c>
      <c r="D6374" s="93">
        <v>18.53</v>
      </c>
      <c r="E6374" s="93">
        <v>13.95</v>
      </c>
      <c r="F6374" s="93">
        <v>4.58</v>
      </c>
      <c r="G6374" s="93">
        <v>0</v>
      </c>
      <c r="H6374" s="93">
        <v>0</v>
      </c>
      <c r="N6374" s="88"/>
      <c r="O6374" s="88"/>
      <c r="P6374" s="88"/>
    </row>
    <row r="6375" spans="1:16">
      <c r="A6375" s="94">
        <v>88270</v>
      </c>
      <c r="B6375" s="87" t="s">
        <v>507</v>
      </c>
      <c r="C6375" s="12" t="s">
        <v>10</v>
      </c>
      <c r="D6375" s="93">
        <v>23.05</v>
      </c>
      <c r="E6375" s="93">
        <v>18.47</v>
      </c>
      <c r="F6375" s="93">
        <v>4.58</v>
      </c>
      <c r="G6375" s="93">
        <v>0</v>
      </c>
      <c r="H6375" s="93">
        <v>0</v>
      </c>
      <c r="N6375" s="88"/>
      <c r="O6375" s="88"/>
      <c r="P6375" s="88"/>
    </row>
    <row r="6376" spans="1:16">
      <c r="A6376" s="94">
        <v>88272</v>
      </c>
      <c r="B6376" s="87" t="s">
        <v>508</v>
      </c>
      <c r="C6376" s="12" t="s">
        <v>10</v>
      </c>
      <c r="D6376" s="93">
        <v>22.32</v>
      </c>
      <c r="E6376" s="93">
        <v>17.079999999999998</v>
      </c>
      <c r="F6376" s="93">
        <v>5.24</v>
      </c>
      <c r="G6376" s="93">
        <v>0</v>
      </c>
      <c r="H6376" s="93">
        <v>0</v>
      </c>
      <c r="N6376" s="88"/>
      <c r="O6376" s="88"/>
      <c r="P6376" s="88"/>
    </row>
    <row r="6377" spans="1:16">
      <c r="A6377" s="94">
        <v>88273</v>
      </c>
      <c r="B6377" s="87" t="s">
        <v>509</v>
      </c>
      <c r="C6377" s="12" t="s">
        <v>10</v>
      </c>
      <c r="D6377" s="93">
        <v>21.9</v>
      </c>
      <c r="E6377" s="93">
        <v>17.420000000000002</v>
      </c>
      <c r="F6377" s="93">
        <v>4.4800000000000004</v>
      </c>
      <c r="G6377" s="93">
        <v>0</v>
      </c>
      <c r="H6377" s="93">
        <v>0</v>
      </c>
      <c r="N6377" s="88"/>
      <c r="O6377" s="88"/>
      <c r="P6377" s="88"/>
    </row>
    <row r="6378" spans="1:16">
      <c r="A6378" s="94">
        <v>88274</v>
      </c>
      <c r="B6378" s="87" t="s">
        <v>510</v>
      </c>
      <c r="C6378" s="12" t="s">
        <v>10</v>
      </c>
      <c r="D6378" s="93">
        <v>21.26</v>
      </c>
      <c r="E6378" s="93">
        <v>16.68</v>
      </c>
      <c r="F6378" s="93">
        <v>4.58</v>
      </c>
      <c r="G6378" s="93">
        <v>0</v>
      </c>
      <c r="H6378" s="93">
        <v>0</v>
      </c>
      <c r="N6378" s="88"/>
      <c r="O6378" s="88"/>
      <c r="P6378" s="88"/>
    </row>
    <row r="6379" spans="1:16">
      <c r="A6379" s="94">
        <v>88275</v>
      </c>
      <c r="B6379" s="87" t="s">
        <v>511</v>
      </c>
      <c r="C6379" s="12" t="s">
        <v>10</v>
      </c>
      <c r="D6379" s="93">
        <v>36.119999999999997</v>
      </c>
      <c r="E6379" s="93">
        <v>32.43</v>
      </c>
      <c r="F6379" s="93">
        <v>3.69</v>
      </c>
      <c r="G6379" s="93">
        <v>0</v>
      </c>
      <c r="H6379" s="93">
        <v>0</v>
      </c>
      <c r="N6379" s="88"/>
      <c r="O6379" s="88"/>
      <c r="P6379" s="88"/>
    </row>
    <row r="6380" spans="1:16">
      <c r="A6380" s="94">
        <v>88277</v>
      </c>
      <c r="B6380" s="87" t="s">
        <v>512</v>
      </c>
      <c r="C6380" s="12" t="s">
        <v>10</v>
      </c>
      <c r="D6380" s="93">
        <v>23.66</v>
      </c>
      <c r="E6380" s="93">
        <v>19.97</v>
      </c>
      <c r="F6380" s="93">
        <v>3.69</v>
      </c>
      <c r="G6380" s="93">
        <v>0</v>
      </c>
      <c r="H6380" s="93">
        <v>0</v>
      </c>
      <c r="N6380" s="88"/>
      <c r="O6380" s="88"/>
      <c r="P6380" s="88"/>
    </row>
    <row r="6381" spans="1:16">
      <c r="A6381" s="94">
        <v>88278</v>
      </c>
      <c r="B6381" s="87" t="s">
        <v>513</v>
      </c>
      <c r="C6381" s="12" t="s">
        <v>10</v>
      </c>
      <c r="D6381" s="93">
        <v>26.41</v>
      </c>
      <c r="E6381" s="93">
        <v>22.72</v>
      </c>
      <c r="F6381" s="93">
        <v>3.69</v>
      </c>
      <c r="G6381" s="93">
        <v>0</v>
      </c>
      <c r="H6381" s="93">
        <v>0</v>
      </c>
      <c r="N6381" s="88"/>
      <c r="O6381" s="88"/>
      <c r="P6381" s="88"/>
    </row>
    <row r="6382" spans="1:16">
      <c r="A6382" s="94">
        <v>88279</v>
      </c>
      <c r="B6382" s="87" t="s">
        <v>514</v>
      </c>
      <c r="C6382" s="12" t="s">
        <v>10</v>
      </c>
      <c r="D6382" s="93">
        <v>31.95</v>
      </c>
      <c r="E6382" s="93">
        <v>27.37</v>
      </c>
      <c r="F6382" s="93">
        <v>4.58</v>
      </c>
      <c r="G6382" s="93">
        <v>0</v>
      </c>
      <c r="H6382" s="93">
        <v>0</v>
      </c>
      <c r="N6382" s="88"/>
      <c r="O6382" s="88"/>
      <c r="P6382" s="88"/>
    </row>
    <row r="6383" spans="1:16">
      <c r="A6383" s="94">
        <v>88281</v>
      </c>
      <c r="B6383" s="87" t="s">
        <v>515</v>
      </c>
      <c r="C6383" s="12" t="s">
        <v>10</v>
      </c>
      <c r="D6383" s="93">
        <v>25.83</v>
      </c>
      <c r="E6383" s="93">
        <v>22.14</v>
      </c>
      <c r="F6383" s="93">
        <v>3.69</v>
      </c>
      <c r="G6383" s="93">
        <v>0</v>
      </c>
      <c r="H6383" s="93">
        <v>0</v>
      </c>
      <c r="N6383" s="88"/>
      <c r="O6383" s="88"/>
      <c r="P6383" s="88"/>
    </row>
    <row r="6384" spans="1:16">
      <c r="A6384" s="94">
        <v>88282</v>
      </c>
      <c r="B6384" s="87" t="s">
        <v>516</v>
      </c>
      <c r="C6384" s="12" t="s">
        <v>10</v>
      </c>
      <c r="D6384" s="93">
        <v>27.17</v>
      </c>
      <c r="E6384" s="93">
        <v>23.48</v>
      </c>
      <c r="F6384" s="93">
        <v>3.69</v>
      </c>
      <c r="G6384" s="93">
        <v>0</v>
      </c>
      <c r="H6384" s="93">
        <v>0</v>
      </c>
      <c r="N6384" s="88"/>
      <c r="O6384" s="88"/>
      <c r="P6384" s="88"/>
    </row>
    <row r="6385" spans="1:16">
      <c r="A6385" s="94">
        <v>88283</v>
      </c>
      <c r="B6385" s="87" t="s">
        <v>517</v>
      </c>
      <c r="C6385" s="12" t="s">
        <v>10</v>
      </c>
      <c r="D6385" s="93">
        <v>35.06</v>
      </c>
      <c r="E6385" s="93">
        <v>31.37</v>
      </c>
      <c r="F6385" s="93">
        <v>3.69</v>
      </c>
      <c r="G6385" s="93">
        <v>0</v>
      </c>
      <c r="H6385" s="93">
        <v>0</v>
      </c>
      <c r="N6385" s="88"/>
      <c r="O6385" s="88"/>
      <c r="P6385" s="88"/>
    </row>
    <row r="6386" spans="1:16">
      <c r="A6386" s="94">
        <v>88284</v>
      </c>
      <c r="B6386" s="87" t="s">
        <v>518</v>
      </c>
      <c r="C6386" s="12" t="s">
        <v>10</v>
      </c>
      <c r="D6386" s="93">
        <v>26.82</v>
      </c>
      <c r="E6386" s="93">
        <v>23.13</v>
      </c>
      <c r="F6386" s="93">
        <v>3.69</v>
      </c>
      <c r="G6386" s="93">
        <v>0</v>
      </c>
      <c r="H6386" s="93">
        <v>0</v>
      </c>
      <c r="N6386" s="88"/>
      <c r="O6386" s="88"/>
      <c r="P6386" s="88"/>
    </row>
    <row r="6387" spans="1:16">
      <c r="A6387" s="94">
        <v>88285</v>
      </c>
      <c r="B6387" s="87" t="s">
        <v>519</v>
      </c>
      <c r="C6387" s="12" t="s">
        <v>10</v>
      </c>
      <c r="D6387" s="93">
        <v>30.7</v>
      </c>
      <c r="E6387" s="93">
        <v>27.01</v>
      </c>
      <c r="F6387" s="93">
        <v>3.69</v>
      </c>
      <c r="G6387" s="93">
        <v>0</v>
      </c>
      <c r="H6387" s="93">
        <v>0</v>
      </c>
      <c r="N6387" s="88"/>
      <c r="O6387" s="88"/>
      <c r="P6387" s="88"/>
    </row>
    <row r="6388" spans="1:16">
      <c r="A6388" s="94">
        <v>88286</v>
      </c>
      <c r="B6388" s="87" t="s">
        <v>520</v>
      </c>
      <c r="C6388" s="12" t="s">
        <v>10</v>
      </c>
      <c r="D6388" s="93">
        <v>28.38</v>
      </c>
      <c r="E6388" s="93">
        <v>24.69</v>
      </c>
      <c r="F6388" s="93">
        <v>3.69</v>
      </c>
      <c r="G6388" s="93">
        <v>0</v>
      </c>
      <c r="H6388" s="93">
        <v>0</v>
      </c>
      <c r="N6388" s="88"/>
      <c r="O6388" s="88"/>
      <c r="P6388" s="88"/>
    </row>
    <row r="6389" spans="1:16">
      <c r="A6389" s="94">
        <v>88288</v>
      </c>
      <c r="B6389" s="87" t="s">
        <v>521</v>
      </c>
      <c r="C6389" s="12" t="s">
        <v>10</v>
      </c>
      <c r="D6389" s="93">
        <v>10.34</v>
      </c>
      <c r="E6389" s="93">
        <v>9.15</v>
      </c>
      <c r="F6389" s="93">
        <v>1.19</v>
      </c>
      <c r="G6389" s="93">
        <v>0</v>
      </c>
      <c r="H6389" s="93">
        <v>0</v>
      </c>
      <c r="N6389" s="88"/>
      <c r="O6389" s="88"/>
      <c r="P6389" s="88"/>
    </row>
    <row r="6390" spans="1:16">
      <c r="A6390" s="94">
        <v>88291</v>
      </c>
      <c r="B6390" s="87" t="s">
        <v>522</v>
      </c>
      <c r="C6390" s="12" t="s">
        <v>10</v>
      </c>
      <c r="D6390" s="93">
        <v>24.91</v>
      </c>
      <c r="E6390" s="93">
        <v>21.22</v>
      </c>
      <c r="F6390" s="93">
        <v>3.69</v>
      </c>
      <c r="G6390" s="93">
        <v>0</v>
      </c>
      <c r="H6390" s="93">
        <v>0</v>
      </c>
      <c r="N6390" s="88"/>
      <c r="O6390" s="88"/>
      <c r="P6390" s="88"/>
    </row>
    <row r="6391" spans="1:16">
      <c r="A6391" s="94">
        <v>88292</v>
      </c>
      <c r="B6391" s="87" t="s">
        <v>523</v>
      </c>
      <c r="C6391" s="12" t="s">
        <v>10</v>
      </c>
      <c r="D6391" s="93">
        <v>27.22</v>
      </c>
      <c r="E6391" s="93">
        <v>23.53</v>
      </c>
      <c r="F6391" s="93">
        <v>3.69</v>
      </c>
      <c r="G6391" s="93">
        <v>0</v>
      </c>
      <c r="H6391" s="93">
        <v>0</v>
      </c>
      <c r="N6391" s="88"/>
      <c r="O6391" s="88"/>
      <c r="P6391" s="88"/>
    </row>
    <row r="6392" spans="1:16">
      <c r="A6392" s="94">
        <v>88293</v>
      </c>
      <c r="B6392" s="87" t="s">
        <v>524</v>
      </c>
      <c r="C6392" s="12" t="s">
        <v>10</v>
      </c>
      <c r="D6392" s="93">
        <v>29.81</v>
      </c>
      <c r="E6392" s="93">
        <v>26.12</v>
      </c>
      <c r="F6392" s="93">
        <v>3.69</v>
      </c>
      <c r="G6392" s="93">
        <v>0</v>
      </c>
      <c r="H6392" s="93">
        <v>0</v>
      </c>
      <c r="N6392" s="88"/>
      <c r="O6392" s="88"/>
      <c r="P6392" s="88"/>
    </row>
    <row r="6393" spans="1:16">
      <c r="A6393" s="94">
        <v>88294</v>
      </c>
      <c r="B6393" s="87" t="s">
        <v>525</v>
      </c>
      <c r="C6393" s="12" t="s">
        <v>10</v>
      </c>
      <c r="D6393" s="93">
        <v>32.380000000000003</v>
      </c>
      <c r="E6393" s="93">
        <v>28.69</v>
      </c>
      <c r="F6393" s="93">
        <v>3.69</v>
      </c>
      <c r="G6393" s="93">
        <v>0</v>
      </c>
      <c r="H6393" s="93">
        <v>0</v>
      </c>
      <c r="N6393" s="88"/>
      <c r="O6393" s="88"/>
      <c r="P6393" s="88"/>
    </row>
    <row r="6394" spans="1:16">
      <c r="A6394" s="94">
        <v>88295</v>
      </c>
      <c r="B6394" s="87" t="s">
        <v>526</v>
      </c>
      <c r="C6394" s="12" t="s">
        <v>10</v>
      </c>
      <c r="D6394" s="93">
        <v>20.239999999999998</v>
      </c>
      <c r="E6394" s="93">
        <v>16.55</v>
      </c>
      <c r="F6394" s="93">
        <v>3.69</v>
      </c>
      <c r="G6394" s="93">
        <v>0</v>
      </c>
      <c r="H6394" s="93">
        <v>0</v>
      </c>
      <c r="N6394" s="88"/>
      <c r="O6394" s="88"/>
      <c r="P6394" s="88"/>
    </row>
    <row r="6395" spans="1:16">
      <c r="A6395" s="94">
        <v>88296</v>
      </c>
      <c r="B6395" s="87" t="s">
        <v>527</v>
      </c>
      <c r="C6395" s="12" t="s">
        <v>10</v>
      </c>
      <c r="D6395" s="93">
        <v>27</v>
      </c>
      <c r="E6395" s="93">
        <v>23.31</v>
      </c>
      <c r="F6395" s="93">
        <v>3.69</v>
      </c>
      <c r="G6395" s="93">
        <v>0</v>
      </c>
      <c r="H6395" s="93">
        <v>0</v>
      </c>
      <c r="N6395" s="88"/>
      <c r="O6395" s="88"/>
      <c r="P6395" s="88"/>
    </row>
    <row r="6396" spans="1:16">
      <c r="A6396" s="94">
        <v>88297</v>
      </c>
      <c r="B6396" s="87" t="s">
        <v>528</v>
      </c>
      <c r="C6396" s="12" t="s">
        <v>10</v>
      </c>
      <c r="D6396" s="93">
        <v>25.87</v>
      </c>
      <c r="E6396" s="93">
        <v>22.18</v>
      </c>
      <c r="F6396" s="93">
        <v>3.69</v>
      </c>
      <c r="G6396" s="93">
        <v>0</v>
      </c>
      <c r="H6396" s="93">
        <v>0</v>
      </c>
      <c r="N6396" s="88"/>
      <c r="O6396" s="88"/>
      <c r="P6396" s="88"/>
    </row>
    <row r="6397" spans="1:16">
      <c r="A6397" s="94">
        <v>88298</v>
      </c>
      <c r="B6397" s="87" t="s">
        <v>529</v>
      </c>
      <c r="C6397" s="12" t="s">
        <v>10</v>
      </c>
      <c r="D6397" s="93">
        <v>19.25</v>
      </c>
      <c r="E6397" s="93">
        <v>15.56</v>
      </c>
      <c r="F6397" s="93">
        <v>3.69</v>
      </c>
      <c r="G6397" s="93">
        <v>0</v>
      </c>
      <c r="H6397" s="93">
        <v>0</v>
      </c>
      <c r="N6397" s="88"/>
      <c r="O6397" s="88"/>
      <c r="P6397" s="88"/>
    </row>
    <row r="6398" spans="1:16">
      <c r="A6398" s="94">
        <v>88299</v>
      </c>
      <c r="B6398" s="87" t="s">
        <v>530</v>
      </c>
      <c r="C6398" s="12" t="s">
        <v>10</v>
      </c>
      <c r="D6398" s="93">
        <v>30.26</v>
      </c>
      <c r="E6398" s="93">
        <v>26.57</v>
      </c>
      <c r="F6398" s="93">
        <v>3.69</v>
      </c>
      <c r="G6398" s="93">
        <v>0</v>
      </c>
      <c r="H6398" s="93">
        <v>0</v>
      </c>
      <c r="N6398" s="88"/>
      <c r="O6398" s="88"/>
      <c r="P6398" s="88"/>
    </row>
    <row r="6399" spans="1:16">
      <c r="A6399" s="94">
        <v>88300</v>
      </c>
      <c r="B6399" s="87" t="s">
        <v>531</v>
      </c>
      <c r="C6399" s="12" t="s">
        <v>10</v>
      </c>
      <c r="D6399" s="93">
        <v>36.29</v>
      </c>
      <c r="E6399" s="93">
        <v>32.6</v>
      </c>
      <c r="F6399" s="93">
        <v>3.69</v>
      </c>
      <c r="G6399" s="93">
        <v>0</v>
      </c>
      <c r="H6399" s="93">
        <v>0</v>
      </c>
      <c r="N6399" s="88"/>
      <c r="O6399" s="88"/>
      <c r="P6399" s="88"/>
    </row>
    <row r="6400" spans="1:16">
      <c r="A6400" s="94">
        <v>88301</v>
      </c>
      <c r="B6400" s="87" t="s">
        <v>532</v>
      </c>
      <c r="C6400" s="12" t="s">
        <v>10</v>
      </c>
      <c r="D6400" s="93">
        <v>26.49</v>
      </c>
      <c r="E6400" s="93">
        <v>22.8</v>
      </c>
      <c r="F6400" s="93">
        <v>3.69</v>
      </c>
      <c r="G6400" s="93">
        <v>0</v>
      </c>
      <c r="H6400" s="93">
        <v>0</v>
      </c>
      <c r="N6400" s="88"/>
      <c r="O6400" s="88"/>
      <c r="P6400" s="88"/>
    </row>
    <row r="6401" spans="1:16">
      <c r="A6401" s="94">
        <v>88302</v>
      </c>
      <c r="B6401" s="87" t="s">
        <v>533</v>
      </c>
      <c r="C6401" s="12" t="s">
        <v>10</v>
      </c>
      <c r="D6401" s="93">
        <v>31.11</v>
      </c>
      <c r="E6401" s="93">
        <v>27.42</v>
      </c>
      <c r="F6401" s="93">
        <v>3.69</v>
      </c>
      <c r="G6401" s="93">
        <v>0</v>
      </c>
      <c r="H6401" s="93">
        <v>0</v>
      </c>
      <c r="N6401" s="88"/>
      <c r="O6401" s="88"/>
      <c r="P6401" s="88"/>
    </row>
    <row r="6402" spans="1:16">
      <c r="A6402" s="94">
        <v>88303</v>
      </c>
      <c r="B6402" s="87" t="s">
        <v>534</v>
      </c>
      <c r="C6402" s="12" t="s">
        <v>10</v>
      </c>
      <c r="D6402" s="93">
        <v>25.81</v>
      </c>
      <c r="E6402" s="93">
        <v>22.12</v>
      </c>
      <c r="F6402" s="93">
        <v>3.69</v>
      </c>
      <c r="G6402" s="93">
        <v>0</v>
      </c>
      <c r="H6402" s="93">
        <v>0</v>
      </c>
      <c r="N6402" s="88"/>
      <c r="O6402" s="88"/>
      <c r="P6402" s="88"/>
    </row>
    <row r="6403" spans="1:16">
      <c r="A6403" s="94">
        <v>88304</v>
      </c>
      <c r="B6403" s="87" t="s">
        <v>5268</v>
      </c>
      <c r="C6403" s="12" t="s">
        <v>10</v>
      </c>
      <c r="D6403" s="93">
        <v>27.24</v>
      </c>
      <c r="E6403" s="93">
        <v>23.55</v>
      </c>
      <c r="F6403" s="93">
        <v>3.69</v>
      </c>
      <c r="G6403" s="93">
        <v>0</v>
      </c>
      <c r="H6403" s="93">
        <v>0</v>
      </c>
      <c r="N6403" s="88"/>
      <c r="O6403" s="88"/>
      <c r="P6403" s="88"/>
    </row>
    <row r="6404" spans="1:16">
      <c r="A6404" s="94">
        <v>88306</v>
      </c>
      <c r="B6404" s="87" t="s">
        <v>535</v>
      </c>
      <c r="C6404" s="12" t="s">
        <v>10</v>
      </c>
      <c r="D6404" s="93">
        <v>29.37</v>
      </c>
      <c r="E6404" s="93">
        <v>25.68</v>
      </c>
      <c r="F6404" s="93">
        <v>3.69</v>
      </c>
      <c r="G6404" s="93">
        <v>0</v>
      </c>
      <c r="H6404" s="93">
        <v>0</v>
      </c>
      <c r="N6404" s="88"/>
      <c r="O6404" s="88"/>
      <c r="P6404" s="88"/>
    </row>
    <row r="6405" spans="1:16">
      <c r="A6405" s="94">
        <v>88307</v>
      </c>
      <c r="B6405" s="87" t="s">
        <v>536</v>
      </c>
      <c r="C6405" s="12" t="s">
        <v>10</v>
      </c>
      <c r="D6405" s="93">
        <v>29.79</v>
      </c>
      <c r="E6405" s="93">
        <v>26.1</v>
      </c>
      <c r="F6405" s="93">
        <v>3.69</v>
      </c>
      <c r="G6405" s="93">
        <v>0</v>
      </c>
      <c r="H6405" s="93">
        <v>0</v>
      </c>
      <c r="N6405" s="88"/>
      <c r="O6405" s="88"/>
      <c r="P6405" s="88"/>
    </row>
    <row r="6406" spans="1:16">
      <c r="A6406" s="94">
        <v>88308</v>
      </c>
      <c r="B6406" s="87" t="s">
        <v>537</v>
      </c>
      <c r="C6406" s="12" t="s">
        <v>10</v>
      </c>
      <c r="D6406" s="93">
        <v>23.59</v>
      </c>
      <c r="E6406" s="93">
        <v>19.010000000000002</v>
      </c>
      <c r="F6406" s="93">
        <v>4.58</v>
      </c>
      <c r="G6406" s="93">
        <v>0</v>
      </c>
      <c r="H6406" s="93">
        <v>0</v>
      </c>
      <c r="N6406" s="88"/>
      <c r="O6406" s="88"/>
      <c r="P6406" s="88"/>
    </row>
    <row r="6407" spans="1:16">
      <c r="A6407" s="94">
        <v>88309</v>
      </c>
      <c r="B6407" s="87" t="s">
        <v>538</v>
      </c>
      <c r="C6407" s="12" t="s">
        <v>10</v>
      </c>
      <c r="D6407" s="93">
        <v>21.7</v>
      </c>
      <c r="E6407" s="93">
        <v>17.12</v>
      </c>
      <c r="F6407" s="93">
        <v>4.58</v>
      </c>
      <c r="G6407" s="93">
        <v>0</v>
      </c>
      <c r="H6407" s="93">
        <v>0</v>
      </c>
      <c r="N6407" s="88"/>
      <c r="O6407" s="88"/>
      <c r="P6407" s="88"/>
    </row>
    <row r="6408" spans="1:16">
      <c r="A6408" s="94">
        <v>88310</v>
      </c>
      <c r="B6408" s="87" t="s">
        <v>539</v>
      </c>
      <c r="C6408" s="12" t="s">
        <v>10</v>
      </c>
      <c r="D6408" s="93">
        <v>22.69</v>
      </c>
      <c r="E6408" s="93">
        <v>17.04</v>
      </c>
      <c r="F6408" s="93">
        <v>5.65</v>
      </c>
      <c r="G6408" s="93">
        <v>0</v>
      </c>
      <c r="H6408" s="93">
        <v>0</v>
      </c>
      <c r="N6408" s="88"/>
      <c r="O6408" s="88"/>
      <c r="P6408" s="88"/>
    </row>
    <row r="6409" spans="1:16">
      <c r="A6409" s="94">
        <v>88311</v>
      </c>
      <c r="B6409" s="87" t="s">
        <v>540</v>
      </c>
      <c r="C6409" s="12" t="s">
        <v>10</v>
      </c>
      <c r="D6409" s="93">
        <v>24.45</v>
      </c>
      <c r="E6409" s="93">
        <v>18.8</v>
      </c>
      <c r="F6409" s="93">
        <v>5.65</v>
      </c>
      <c r="G6409" s="93">
        <v>0</v>
      </c>
      <c r="H6409" s="93">
        <v>0</v>
      </c>
      <c r="N6409" s="88"/>
      <c r="O6409" s="88"/>
      <c r="P6409" s="88"/>
    </row>
    <row r="6410" spans="1:16">
      <c r="A6410" s="94">
        <v>88312</v>
      </c>
      <c r="B6410" s="87" t="s">
        <v>541</v>
      </c>
      <c r="C6410" s="12" t="s">
        <v>10</v>
      </c>
      <c r="D6410" s="93">
        <v>23.98</v>
      </c>
      <c r="E6410" s="93">
        <v>18.329999999999998</v>
      </c>
      <c r="F6410" s="93">
        <v>5.65</v>
      </c>
      <c r="G6410" s="93">
        <v>0</v>
      </c>
      <c r="H6410" s="93">
        <v>0</v>
      </c>
      <c r="N6410" s="88"/>
      <c r="O6410" s="88"/>
      <c r="P6410" s="88"/>
    </row>
    <row r="6411" spans="1:16">
      <c r="A6411" s="94">
        <v>88313</v>
      </c>
      <c r="B6411" s="87" t="s">
        <v>542</v>
      </c>
      <c r="C6411" s="12" t="s">
        <v>10</v>
      </c>
      <c r="D6411" s="93">
        <v>26.57</v>
      </c>
      <c r="E6411" s="93">
        <v>22.88</v>
      </c>
      <c r="F6411" s="93">
        <v>3.69</v>
      </c>
      <c r="G6411" s="93">
        <v>0</v>
      </c>
      <c r="H6411" s="93">
        <v>0</v>
      </c>
      <c r="N6411" s="88"/>
      <c r="O6411" s="88"/>
      <c r="P6411" s="88"/>
    </row>
    <row r="6412" spans="1:16">
      <c r="A6412" s="94">
        <v>88314</v>
      </c>
      <c r="B6412" s="87" t="s">
        <v>543</v>
      </c>
      <c r="C6412" s="12" t="s">
        <v>10</v>
      </c>
      <c r="D6412" s="93">
        <v>22.19</v>
      </c>
      <c r="E6412" s="93">
        <v>18.5</v>
      </c>
      <c r="F6412" s="93">
        <v>3.69</v>
      </c>
      <c r="G6412" s="93">
        <v>0</v>
      </c>
      <c r="H6412" s="93">
        <v>0</v>
      </c>
      <c r="N6412" s="88"/>
      <c r="O6412" s="88"/>
      <c r="P6412" s="88"/>
    </row>
    <row r="6413" spans="1:16">
      <c r="A6413" s="94">
        <v>88315</v>
      </c>
      <c r="B6413" s="87" t="s">
        <v>544</v>
      </c>
      <c r="C6413" s="12" t="s">
        <v>10</v>
      </c>
      <c r="D6413" s="93">
        <v>21.58</v>
      </c>
      <c r="E6413" s="93">
        <v>17</v>
      </c>
      <c r="F6413" s="93">
        <v>4.58</v>
      </c>
      <c r="G6413" s="93">
        <v>0</v>
      </c>
      <c r="H6413" s="93">
        <v>0</v>
      </c>
      <c r="N6413" s="88"/>
      <c r="O6413" s="88"/>
      <c r="P6413" s="88"/>
    </row>
    <row r="6414" spans="1:16">
      <c r="A6414" s="94">
        <v>88316</v>
      </c>
      <c r="B6414" s="87" t="s">
        <v>545</v>
      </c>
      <c r="C6414" s="12" t="s">
        <v>10</v>
      </c>
      <c r="D6414" s="93">
        <v>15.11</v>
      </c>
      <c r="E6414" s="93">
        <v>10.64</v>
      </c>
      <c r="F6414" s="93">
        <v>4.47</v>
      </c>
      <c r="G6414" s="93">
        <v>0</v>
      </c>
      <c r="H6414" s="93">
        <v>0</v>
      </c>
      <c r="N6414" s="88"/>
      <c r="O6414" s="88"/>
      <c r="P6414" s="88"/>
    </row>
    <row r="6415" spans="1:16">
      <c r="A6415" s="94">
        <v>88317</v>
      </c>
      <c r="B6415" s="87" t="s">
        <v>546</v>
      </c>
      <c r="C6415" s="12" t="s">
        <v>10</v>
      </c>
      <c r="D6415" s="93">
        <v>22.24</v>
      </c>
      <c r="E6415" s="93">
        <v>17</v>
      </c>
      <c r="F6415" s="93">
        <v>5.24</v>
      </c>
      <c r="G6415" s="93">
        <v>0</v>
      </c>
      <c r="H6415" s="93">
        <v>0</v>
      </c>
      <c r="N6415" s="88"/>
      <c r="O6415" s="88"/>
      <c r="P6415" s="88"/>
    </row>
    <row r="6416" spans="1:16">
      <c r="A6416" s="94">
        <v>88318</v>
      </c>
      <c r="B6416" s="87" t="s">
        <v>5269</v>
      </c>
      <c r="C6416" s="12" t="s">
        <v>10</v>
      </c>
      <c r="D6416" s="93">
        <v>17.66</v>
      </c>
      <c r="E6416" s="93">
        <v>12.42</v>
      </c>
      <c r="F6416" s="93">
        <v>5.24</v>
      </c>
      <c r="G6416" s="93">
        <v>0</v>
      </c>
      <c r="H6416" s="93">
        <v>0</v>
      </c>
      <c r="N6416" s="88"/>
      <c r="O6416" s="88"/>
      <c r="P6416" s="88"/>
    </row>
    <row r="6417" spans="1:16">
      <c r="A6417" s="94">
        <v>88320</v>
      </c>
      <c r="B6417" s="87" t="s">
        <v>547</v>
      </c>
      <c r="C6417" s="12" t="s">
        <v>10</v>
      </c>
      <c r="D6417" s="93">
        <v>25.33</v>
      </c>
      <c r="E6417" s="93">
        <v>20.85</v>
      </c>
      <c r="F6417" s="93">
        <v>4.4800000000000004</v>
      </c>
      <c r="G6417" s="93">
        <v>0</v>
      </c>
      <c r="H6417" s="93">
        <v>0</v>
      </c>
      <c r="N6417" s="88"/>
      <c r="O6417" s="88"/>
      <c r="P6417" s="88"/>
    </row>
    <row r="6418" spans="1:16">
      <c r="A6418" s="94">
        <v>88321</v>
      </c>
      <c r="B6418" s="87" t="s">
        <v>548</v>
      </c>
      <c r="C6418" s="12" t="s">
        <v>10</v>
      </c>
      <c r="D6418" s="93">
        <v>29.66</v>
      </c>
      <c r="E6418" s="93">
        <v>28.43</v>
      </c>
      <c r="F6418" s="93">
        <v>1.23</v>
      </c>
      <c r="G6418" s="93">
        <v>0</v>
      </c>
      <c r="H6418" s="93">
        <v>0</v>
      </c>
      <c r="N6418" s="88"/>
      <c r="O6418" s="88"/>
      <c r="P6418" s="88"/>
    </row>
    <row r="6419" spans="1:16">
      <c r="A6419" s="94">
        <v>88322</v>
      </c>
      <c r="B6419" s="87" t="s">
        <v>549</v>
      </c>
      <c r="C6419" s="12" t="s">
        <v>10</v>
      </c>
      <c r="D6419" s="93">
        <v>30.16</v>
      </c>
      <c r="E6419" s="93">
        <v>28.91</v>
      </c>
      <c r="F6419" s="93">
        <v>1.25</v>
      </c>
      <c r="G6419" s="93">
        <v>0</v>
      </c>
      <c r="H6419" s="93">
        <v>0</v>
      </c>
      <c r="N6419" s="88"/>
      <c r="O6419" s="88"/>
      <c r="P6419" s="88"/>
    </row>
    <row r="6420" spans="1:16">
      <c r="A6420" s="94">
        <v>88323</v>
      </c>
      <c r="B6420" s="87" t="s">
        <v>550</v>
      </c>
      <c r="C6420" s="12" t="s">
        <v>10</v>
      </c>
      <c r="D6420" s="93">
        <v>23.05</v>
      </c>
      <c r="E6420" s="93">
        <v>18.57</v>
      </c>
      <c r="F6420" s="93">
        <v>4.4800000000000004</v>
      </c>
      <c r="G6420" s="93">
        <v>0</v>
      </c>
      <c r="H6420" s="93">
        <v>0</v>
      </c>
      <c r="N6420" s="88"/>
      <c r="O6420" s="88"/>
      <c r="P6420" s="88"/>
    </row>
    <row r="6421" spans="1:16">
      <c r="A6421" s="94">
        <v>88324</v>
      </c>
      <c r="B6421" s="87" t="s">
        <v>551</v>
      </c>
      <c r="C6421" s="12" t="s">
        <v>10</v>
      </c>
      <c r="D6421" s="93">
        <v>26.92</v>
      </c>
      <c r="E6421" s="93">
        <v>23.23</v>
      </c>
      <c r="F6421" s="93">
        <v>3.69</v>
      </c>
      <c r="G6421" s="93">
        <v>0</v>
      </c>
      <c r="H6421" s="93">
        <v>0</v>
      </c>
      <c r="N6421" s="88"/>
      <c r="O6421" s="88"/>
      <c r="P6421" s="88"/>
    </row>
    <row r="6422" spans="1:16">
      <c r="A6422" s="94">
        <v>88325</v>
      </c>
      <c r="B6422" s="87" t="s">
        <v>552</v>
      </c>
      <c r="C6422" s="12" t="s">
        <v>10</v>
      </c>
      <c r="D6422" s="93">
        <v>20.190000000000001</v>
      </c>
      <c r="E6422" s="93">
        <v>15.61</v>
      </c>
      <c r="F6422" s="93">
        <v>4.58</v>
      </c>
      <c r="G6422" s="93">
        <v>0</v>
      </c>
      <c r="H6422" s="93">
        <v>0</v>
      </c>
      <c r="N6422" s="88"/>
      <c r="O6422" s="88"/>
      <c r="P6422" s="88"/>
    </row>
    <row r="6423" spans="1:16">
      <c r="A6423" s="94">
        <v>88326</v>
      </c>
      <c r="B6423" s="87" t="s">
        <v>553</v>
      </c>
      <c r="C6423" s="12" t="s">
        <v>10</v>
      </c>
      <c r="D6423" s="93">
        <v>19.5</v>
      </c>
      <c r="E6423" s="93">
        <v>15.03</v>
      </c>
      <c r="F6423" s="93">
        <v>4.47</v>
      </c>
      <c r="G6423" s="93">
        <v>0</v>
      </c>
      <c r="H6423" s="93">
        <v>0</v>
      </c>
      <c r="N6423" s="88"/>
      <c r="O6423" s="88"/>
      <c r="P6423" s="88"/>
    </row>
    <row r="6424" spans="1:16">
      <c r="A6424" s="94">
        <v>88377</v>
      </c>
      <c r="B6424" s="87" t="s">
        <v>5270</v>
      </c>
      <c r="C6424" s="12" t="s">
        <v>10</v>
      </c>
      <c r="D6424" s="93">
        <v>24.18</v>
      </c>
      <c r="E6424" s="93">
        <v>20.49</v>
      </c>
      <c r="F6424" s="93">
        <v>3.69</v>
      </c>
      <c r="G6424" s="93">
        <v>0</v>
      </c>
      <c r="H6424" s="93">
        <v>0</v>
      </c>
      <c r="N6424" s="88"/>
      <c r="O6424" s="88"/>
      <c r="P6424" s="88"/>
    </row>
    <row r="6425" spans="1:16">
      <c r="A6425" s="94">
        <v>88441</v>
      </c>
      <c r="B6425" s="87" t="s">
        <v>554</v>
      </c>
      <c r="C6425" s="12" t="s">
        <v>10</v>
      </c>
      <c r="D6425" s="93">
        <v>20.94</v>
      </c>
      <c r="E6425" s="93">
        <v>16.36</v>
      </c>
      <c r="F6425" s="93">
        <v>4.58</v>
      </c>
      <c r="G6425" s="93">
        <v>0</v>
      </c>
      <c r="H6425" s="93">
        <v>0</v>
      </c>
      <c r="N6425" s="88"/>
      <c r="O6425" s="88"/>
      <c r="P6425" s="88"/>
    </row>
    <row r="6426" spans="1:16">
      <c r="A6426" s="94">
        <v>88597</v>
      </c>
      <c r="B6426" s="87" t="s">
        <v>555</v>
      </c>
      <c r="C6426" s="12" t="s">
        <v>10</v>
      </c>
      <c r="D6426" s="93">
        <v>30.7</v>
      </c>
      <c r="E6426" s="93">
        <v>29.51</v>
      </c>
      <c r="F6426" s="93">
        <v>1.19</v>
      </c>
      <c r="G6426" s="93">
        <v>0</v>
      </c>
      <c r="H6426" s="93">
        <v>0</v>
      </c>
      <c r="N6426" s="88"/>
      <c r="O6426" s="88"/>
      <c r="P6426" s="88"/>
    </row>
    <row r="6427" spans="1:16">
      <c r="A6427" s="94">
        <v>90766</v>
      </c>
      <c r="B6427" s="87" t="s">
        <v>12</v>
      </c>
      <c r="C6427" s="12" t="s">
        <v>10</v>
      </c>
      <c r="D6427" s="93">
        <v>22.29</v>
      </c>
      <c r="E6427" s="93">
        <v>21.06</v>
      </c>
      <c r="F6427" s="93">
        <v>1.23</v>
      </c>
      <c r="G6427" s="93">
        <v>0</v>
      </c>
      <c r="H6427" s="93">
        <v>0</v>
      </c>
      <c r="N6427" s="88"/>
      <c r="O6427" s="88"/>
      <c r="P6427" s="88"/>
    </row>
    <row r="6428" spans="1:16">
      <c r="A6428" s="94">
        <v>90767</v>
      </c>
      <c r="B6428" s="87" t="s">
        <v>13</v>
      </c>
      <c r="C6428" s="12" t="s">
        <v>10</v>
      </c>
      <c r="D6428" s="93">
        <v>22.53</v>
      </c>
      <c r="E6428" s="93">
        <v>21.3</v>
      </c>
      <c r="F6428" s="93">
        <v>1.23</v>
      </c>
      <c r="G6428" s="93">
        <v>0</v>
      </c>
      <c r="H6428" s="93">
        <v>0</v>
      </c>
      <c r="N6428" s="88"/>
      <c r="O6428" s="88"/>
      <c r="P6428" s="88"/>
    </row>
    <row r="6429" spans="1:16">
      <c r="A6429" s="94">
        <v>90768</v>
      </c>
      <c r="B6429" s="87" t="s">
        <v>556</v>
      </c>
      <c r="C6429" s="12" t="s">
        <v>10</v>
      </c>
      <c r="D6429" s="93">
        <v>65.92</v>
      </c>
      <c r="E6429" s="93">
        <v>64.75</v>
      </c>
      <c r="F6429" s="93">
        <v>1.17</v>
      </c>
      <c r="G6429" s="93">
        <v>0</v>
      </c>
      <c r="H6429" s="93">
        <v>0</v>
      </c>
      <c r="N6429" s="88"/>
      <c r="O6429" s="88"/>
      <c r="P6429" s="88"/>
    </row>
    <row r="6430" spans="1:16">
      <c r="A6430" s="94">
        <v>90769</v>
      </c>
      <c r="B6430" s="87" t="s">
        <v>557</v>
      </c>
      <c r="C6430" s="12" t="s">
        <v>10</v>
      </c>
      <c r="D6430" s="93">
        <v>93.16</v>
      </c>
      <c r="E6430" s="93">
        <v>91.99</v>
      </c>
      <c r="F6430" s="93">
        <v>1.17</v>
      </c>
      <c r="G6430" s="93">
        <v>0</v>
      </c>
      <c r="H6430" s="93">
        <v>0</v>
      </c>
      <c r="N6430" s="88"/>
      <c r="O6430" s="88"/>
      <c r="P6430" s="88"/>
    </row>
    <row r="6431" spans="1:16">
      <c r="A6431" s="94">
        <v>90770</v>
      </c>
      <c r="B6431" s="87" t="s">
        <v>558</v>
      </c>
      <c r="C6431" s="12" t="s">
        <v>10</v>
      </c>
      <c r="D6431" s="93">
        <v>122.79</v>
      </c>
      <c r="E6431" s="93">
        <v>121.62</v>
      </c>
      <c r="F6431" s="93">
        <v>1.17</v>
      </c>
      <c r="G6431" s="93">
        <v>0</v>
      </c>
      <c r="H6431" s="93">
        <v>0</v>
      </c>
      <c r="N6431" s="88"/>
      <c r="O6431" s="88"/>
      <c r="P6431" s="88"/>
    </row>
    <row r="6432" spans="1:16">
      <c r="A6432" s="94">
        <v>90771</v>
      </c>
      <c r="B6432" s="87" t="s">
        <v>559</v>
      </c>
      <c r="C6432" s="12" t="s">
        <v>10</v>
      </c>
      <c r="D6432" s="93">
        <v>25.4</v>
      </c>
      <c r="E6432" s="93">
        <v>24.21</v>
      </c>
      <c r="F6432" s="93">
        <v>1.19</v>
      </c>
      <c r="G6432" s="93">
        <v>0</v>
      </c>
      <c r="H6432" s="93">
        <v>0</v>
      </c>
      <c r="N6432" s="88"/>
      <c r="O6432" s="88"/>
      <c r="P6432" s="88"/>
    </row>
    <row r="6433" spans="1:16">
      <c r="A6433" s="94">
        <v>90772</v>
      </c>
      <c r="B6433" s="87" t="s">
        <v>560</v>
      </c>
      <c r="C6433" s="12" t="s">
        <v>10</v>
      </c>
      <c r="D6433" s="93">
        <v>19.68</v>
      </c>
      <c r="E6433" s="93">
        <v>18.45</v>
      </c>
      <c r="F6433" s="93">
        <v>1.23</v>
      </c>
      <c r="G6433" s="93">
        <v>0</v>
      </c>
      <c r="H6433" s="93">
        <v>0</v>
      </c>
      <c r="N6433" s="88"/>
      <c r="O6433" s="88"/>
      <c r="P6433" s="88"/>
    </row>
    <row r="6434" spans="1:16">
      <c r="A6434" s="94">
        <v>90773</v>
      </c>
      <c r="B6434" s="87" t="s">
        <v>561</v>
      </c>
      <c r="C6434" s="12" t="s">
        <v>10</v>
      </c>
      <c r="D6434" s="93">
        <v>23.64</v>
      </c>
      <c r="E6434" s="93">
        <v>22.45</v>
      </c>
      <c r="F6434" s="93">
        <v>1.19</v>
      </c>
      <c r="G6434" s="93">
        <v>0</v>
      </c>
      <c r="H6434" s="93">
        <v>0</v>
      </c>
      <c r="N6434" s="88"/>
      <c r="O6434" s="88"/>
      <c r="P6434" s="88"/>
    </row>
    <row r="6435" spans="1:16">
      <c r="A6435" s="94">
        <v>90775</v>
      </c>
      <c r="B6435" s="87" t="s">
        <v>562</v>
      </c>
      <c r="C6435" s="12" t="s">
        <v>10</v>
      </c>
      <c r="D6435" s="93">
        <v>24.77</v>
      </c>
      <c r="E6435" s="93">
        <v>23.58</v>
      </c>
      <c r="F6435" s="93">
        <v>1.19</v>
      </c>
      <c r="G6435" s="93">
        <v>0</v>
      </c>
      <c r="H6435" s="93">
        <v>0</v>
      </c>
      <c r="N6435" s="88"/>
      <c r="O6435" s="88"/>
      <c r="P6435" s="88"/>
    </row>
    <row r="6436" spans="1:16">
      <c r="A6436" s="94">
        <v>90776</v>
      </c>
      <c r="B6436" s="87" t="s">
        <v>563</v>
      </c>
      <c r="C6436" s="12" t="s">
        <v>10</v>
      </c>
      <c r="D6436" s="93">
        <v>36.270000000000003</v>
      </c>
      <c r="E6436" s="93">
        <v>34.64</v>
      </c>
      <c r="F6436" s="93">
        <v>1.63</v>
      </c>
      <c r="G6436" s="93">
        <v>0</v>
      </c>
      <c r="H6436" s="93">
        <v>0</v>
      </c>
      <c r="N6436" s="88"/>
      <c r="O6436" s="88"/>
      <c r="P6436" s="88"/>
    </row>
    <row r="6437" spans="1:16">
      <c r="A6437" s="94">
        <v>90777</v>
      </c>
      <c r="B6437" s="87" t="s">
        <v>564</v>
      </c>
      <c r="C6437" s="12" t="s">
        <v>10</v>
      </c>
      <c r="D6437" s="93">
        <v>89.44</v>
      </c>
      <c r="E6437" s="93">
        <v>88.27</v>
      </c>
      <c r="F6437" s="93">
        <v>1.17</v>
      </c>
      <c r="G6437" s="93">
        <v>0</v>
      </c>
      <c r="H6437" s="93">
        <v>0</v>
      </c>
      <c r="N6437" s="88"/>
      <c r="O6437" s="88"/>
      <c r="P6437" s="88"/>
    </row>
    <row r="6438" spans="1:16">
      <c r="A6438" s="94">
        <v>90778</v>
      </c>
      <c r="B6438" s="87" t="s">
        <v>565</v>
      </c>
      <c r="C6438" s="12" t="s">
        <v>10</v>
      </c>
      <c r="D6438" s="93">
        <v>101.63</v>
      </c>
      <c r="E6438" s="93">
        <v>100.46</v>
      </c>
      <c r="F6438" s="93">
        <v>1.17</v>
      </c>
      <c r="G6438" s="93">
        <v>0</v>
      </c>
      <c r="H6438" s="93">
        <v>0</v>
      </c>
      <c r="N6438" s="88"/>
      <c r="O6438" s="88"/>
      <c r="P6438" s="88"/>
    </row>
    <row r="6439" spans="1:16">
      <c r="A6439" s="94">
        <v>90779</v>
      </c>
      <c r="B6439" s="87" t="s">
        <v>566</v>
      </c>
      <c r="C6439" s="12" t="s">
        <v>10</v>
      </c>
      <c r="D6439" s="93">
        <v>138.49</v>
      </c>
      <c r="E6439" s="93">
        <v>137.32</v>
      </c>
      <c r="F6439" s="93">
        <v>1.17</v>
      </c>
      <c r="G6439" s="93">
        <v>0</v>
      </c>
      <c r="H6439" s="93">
        <v>0</v>
      </c>
      <c r="N6439" s="88"/>
      <c r="O6439" s="88"/>
      <c r="P6439" s="88"/>
    </row>
    <row r="6440" spans="1:16">
      <c r="A6440" s="94">
        <v>90780</v>
      </c>
      <c r="B6440" s="87" t="s">
        <v>567</v>
      </c>
      <c r="C6440" s="12" t="s">
        <v>10</v>
      </c>
      <c r="D6440" s="93">
        <v>54.21</v>
      </c>
      <c r="E6440" s="93">
        <v>52.58</v>
      </c>
      <c r="F6440" s="93">
        <v>1.63</v>
      </c>
      <c r="G6440" s="93">
        <v>0</v>
      </c>
      <c r="H6440" s="93">
        <v>0</v>
      </c>
      <c r="N6440" s="88"/>
      <c r="O6440" s="88"/>
      <c r="P6440" s="88"/>
    </row>
    <row r="6441" spans="1:16">
      <c r="A6441" s="94">
        <v>90781</v>
      </c>
      <c r="B6441" s="87" t="s">
        <v>568</v>
      </c>
      <c r="C6441" s="12" t="s">
        <v>10</v>
      </c>
      <c r="D6441" s="93">
        <v>18.98</v>
      </c>
      <c r="E6441" s="93">
        <v>17.79</v>
      </c>
      <c r="F6441" s="93">
        <v>1.19</v>
      </c>
      <c r="G6441" s="93">
        <v>0</v>
      </c>
      <c r="H6441" s="93">
        <v>0</v>
      </c>
      <c r="N6441" s="88"/>
      <c r="O6441" s="88"/>
      <c r="P6441" s="88"/>
    </row>
    <row r="6442" spans="1:16">
      <c r="A6442" s="94">
        <v>91677</v>
      </c>
      <c r="B6442" s="87" t="s">
        <v>569</v>
      </c>
      <c r="C6442" s="12" t="s">
        <v>10</v>
      </c>
      <c r="D6442" s="93">
        <v>90.65</v>
      </c>
      <c r="E6442" s="93">
        <v>89.48</v>
      </c>
      <c r="F6442" s="93">
        <v>1.17</v>
      </c>
      <c r="G6442" s="93">
        <v>0</v>
      </c>
      <c r="H6442" s="93">
        <v>0</v>
      </c>
      <c r="N6442" s="88"/>
      <c r="O6442" s="88"/>
      <c r="P6442" s="88"/>
    </row>
    <row r="6443" spans="1:16">
      <c r="A6443" s="94">
        <v>91678</v>
      </c>
      <c r="B6443" s="87" t="s">
        <v>570</v>
      </c>
      <c r="C6443" s="12" t="s">
        <v>10</v>
      </c>
      <c r="D6443" s="93">
        <v>88.84</v>
      </c>
      <c r="E6443" s="93">
        <v>87.67</v>
      </c>
      <c r="F6443" s="93">
        <v>1.17</v>
      </c>
      <c r="G6443" s="93">
        <v>0</v>
      </c>
      <c r="H6443" s="93">
        <v>0</v>
      </c>
      <c r="N6443" s="88"/>
      <c r="O6443" s="88"/>
      <c r="P6443" s="88"/>
    </row>
    <row r="6444" spans="1:16">
      <c r="A6444" s="94">
        <v>93558</v>
      </c>
      <c r="B6444" s="87" t="s">
        <v>571</v>
      </c>
      <c r="C6444" s="12" t="s">
        <v>15</v>
      </c>
      <c r="D6444" s="93">
        <v>4849.1899999999996</v>
      </c>
      <c r="E6444" s="93">
        <v>4154.95</v>
      </c>
      <c r="F6444" s="93">
        <v>694.24</v>
      </c>
      <c r="G6444" s="93">
        <v>0</v>
      </c>
      <c r="H6444" s="93">
        <v>0</v>
      </c>
      <c r="N6444" s="88"/>
      <c r="O6444" s="88"/>
      <c r="P6444" s="88"/>
    </row>
    <row r="6445" spans="1:16">
      <c r="A6445" s="94">
        <v>93559</v>
      </c>
      <c r="B6445" s="87" t="s">
        <v>555</v>
      </c>
      <c r="C6445" s="12" t="s">
        <v>15</v>
      </c>
      <c r="D6445" s="93">
        <v>5445.9</v>
      </c>
      <c r="E6445" s="93">
        <v>5222.28</v>
      </c>
      <c r="F6445" s="93">
        <v>223.62</v>
      </c>
      <c r="G6445" s="93">
        <v>0</v>
      </c>
      <c r="H6445" s="93">
        <v>0</v>
      </c>
      <c r="N6445" s="88"/>
      <c r="O6445" s="88"/>
      <c r="P6445" s="88"/>
    </row>
    <row r="6446" spans="1:16">
      <c r="A6446" s="94">
        <v>93560</v>
      </c>
      <c r="B6446" s="87" t="s">
        <v>561</v>
      </c>
      <c r="C6446" s="12" t="s">
        <v>15</v>
      </c>
      <c r="D6446" s="93">
        <v>4195.2</v>
      </c>
      <c r="E6446" s="93">
        <v>3971.58</v>
      </c>
      <c r="F6446" s="93">
        <v>223.62</v>
      </c>
      <c r="G6446" s="93">
        <v>0</v>
      </c>
      <c r="H6446" s="93">
        <v>0</v>
      </c>
      <c r="N6446" s="88"/>
      <c r="O6446" s="88"/>
      <c r="P6446" s="88"/>
    </row>
    <row r="6447" spans="1:16">
      <c r="A6447" s="94">
        <v>93561</v>
      </c>
      <c r="B6447" s="87" t="s">
        <v>562</v>
      </c>
      <c r="C6447" s="12" t="s">
        <v>15</v>
      </c>
      <c r="D6447" s="93">
        <v>4397.9399999999996</v>
      </c>
      <c r="E6447" s="93">
        <v>4174.32</v>
      </c>
      <c r="F6447" s="93">
        <v>223.62</v>
      </c>
      <c r="G6447" s="93">
        <v>0</v>
      </c>
      <c r="H6447" s="93">
        <v>0</v>
      </c>
      <c r="N6447" s="88"/>
      <c r="O6447" s="88"/>
      <c r="P6447" s="88"/>
    </row>
    <row r="6448" spans="1:16">
      <c r="A6448" s="94">
        <v>93562</v>
      </c>
      <c r="B6448" s="87" t="s">
        <v>559</v>
      </c>
      <c r="C6448" s="12" t="s">
        <v>15</v>
      </c>
      <c r="D6448" s="93">
        <v>4506.91</v>
      </c>
      <c r="E6448" s="93">
        <v>4283.29</v>
      </c>
      <c r="F6448" s="93">
        <v>223.62</v>
      </c>
      <c r="G6448" s="93">
        <v>0</v>
      </c>
      <c r="H6448" s="93">
        <v>0</v>
      </c>
      <c r="N6448" s="88"/>
      <c r="O6448" s="88"/>
      <c r="P6448" s="88"/>
    </row>
    <row r="6449" spans="1:16">
      <c r="A6449" s="94">
        <v>93563</v>
      </c>
      <c r="B6449" s="87" t="s">
        <v>12</v>
      </c>
      <c r="C6449" s="12" t="s">
        <v>15</v>
      </c>
      <c r="D6449" s="93">
        <v>3956.88</v>
      </c>
      <c r="E6449" s="93">
        <v>3725.35</v>
      </c>
      <c r="F6449" s="93">
        <v>231.53</v>
      </c>
      <c r="G6449" s="93">
        <v>0</v>
      </c>
      <c r="H6449" s="93">
        <v>0</v>
      </c>
      <c r="N6449" s="88"/>
      <c r="O6449" s="88"/>
      <c r="P6449" s="88"/>
    </row>
    <row r="6450" spans="1:16">
      <c r="A6450" s="94">
        <v>93564</v>
      </c>
      <c r="B6450" s="87" t="s">
        <v>13</v>
      </c>
      <c r="C6450" s="12" t="s">
        <v>15</v>
      </c>
      <c r="D6450" s="93">
        <v>3989.57</v>
      </c>
      <c r="E6450" s="93">
        <v>3758.04</v>
      </c>
      <c r="F6450" s="93">
        <v>231.53</v>
      </c>
      <c r="G6450" s="93">
        <v>0</v>
      </c>
      <c r="H6450" s="93">
        <v>0</v>
      </c>
      <c r="N6450" s="88"/>
      <c r="O6450" s="88"/>
      <c r="P6450" s="88"/>
    </row>
    <row r="6451" spans="1:16">
      <c r="A6451" s="94">
        <v>93565</v>
      </c>
      <c r="B6451" s="87" t="s">
        <v>564</v>
      </c>
      <c r="C6451" s="12" t="s">
        <v>15</v>
      </c>
      <c r="D6451" s="93">
        <v>15801.01</v>
      </c>
      <c r="E6451" s="93">
        <v>15581.36</v>
      </c>
      <c r="F6451" s="93">
        <v>219.65</v>
      </c>
      <c r="G6451" s="93">
        <v>0</v>
      </c>
      <c r="H6451" s="93">
        <v>0</v>
      </c>
      <c r="N6451" s="88"/>
      <c r="O6451" s="88"/>
      <c r="P6451" s="88"/>
    </row>
    <row r="6452" spans="1:16">
      <c r="A6452" s="94">
        <v>93566</v>
      </c>
      <c r="B6452" s="87" t="s">
        <v>560</v>
      </c>
      <c r="C6452" s="12" t="s">
        <v>15</v>
      </c>
      <c r="D6452" s="93">
        <v>3497.24</v>
      </c>
      <c r="E6452" s="93">
        <v>3265.71</v>
      </c>
      <c r="F6452" s="93">
        <v>231.53</v>
      </c>
      <c r="G6452" s="93">
        <v>0</v>
      </c>
      <c r="H6452" s="93">
        <v>0</v>
      </c>
      <c r="N6452" s="88"/>
      <c r="O6452" s="88"/>
      <c r="P6452" s="88"/>
    </row>
    <row r="6453" spans="1:16">
      <c r="A6453" s="94">
        <v>93567</v>
      </c>
      <c r="B6453" s="87" t="s">
        <v>565</v>
      </c>
      <c r="C6453" s="12" t="s">
        <v>15</v>
      </c>
      <c r="D6453" s="93">
        <v>17954.45</v>
      </c>
      <c r="E6453" s="93">
        <v>17734.8</v>
      </c>
      <c r="F6453" s="93">
        <v>219.65</v>
      </c>
      <c r="G6453" s="93">
        <v>0</v>
      </c>
      <c r="H6453" s="93">
        <v>0</v>
      </c>
      <c r="N6453" s="88"/>
      <c r="O6453" s="88"/>
      <c r="P6453" s="88"/>
    </row>
    <row r="6454" spans="1:16">
      <c r="A6454" s="94">
        <v>93568</v>
      </c>
      <c r="B6454" s="87" t="s">
        <v>566</v>
      </c>
      <c r="C6454" s="12" t="s">
        <v>15</v>
      </c>
      <c r="D6454" s="93">
        <v>24462.639999999999</v>
      </c>
      <c r="E6454" s="93">
        <v>24242.99</v>
      </c>
      <c r="F6454" s="93">
        <v>219.65</v>
      </c>
      <c r="G6454" s="93">
        <v>0</v>
      </c>
      <c r="H6454" s="93">
        <v>0</v>
      </c>
      <c r="N6454" s="88"/>
      <c r="O6454" s="88"/>
      <c r="P6454" s="88"/>
    </row>
    <row r="6455" spans="1:16">
      <c r="A6455" s="94">
        <v>93569</v>
      </c>
      <c r="B6455" s="87" t="s">
        <v>572</v>
      </c>
      <c r="C6455" s="12" t="s">
        <v>15</v>
      </c>
      <c r="D6455" s="93">
        <v>11664.79</v>
      </c>
      <c r="E6455" s="93">
        <v>11445.14</v>
      </c>
      <c r="F6455" s="93">
        <v>219.65</v>
      </c>
      <c r="G6455" s="93">
        <v>0</v>
      </c>
      <c r="H6455" s="93">
        <v>0</v>
      </c>
      <c r="N6455" s="88"/>
      <c r="O6455" s="88"/>
      <c r="P6455" s="88"/>
    </row>
    <row r="6456" spans="1:16">
      <c r="A6456" s="94">
        <v>93570</v>
      </c>
      <c r="B6456" s="87" t="s">
        <v>573</v>
      </c>
      <c r="C6456" s="12" t="s">
        <v>15</v>
      </c>
      <c r="D6456" s="93">
        <v>16476.53</v>
      </c>
      <c r="E6456" s="93">
        <v>16256.88</v>
      </c>
      <c r="F6456" s="93">
        <v>219.65</v>
      </c>
      <c r="G6456" s="93">
        <v>0</v>
      </c>
      <c r="H6456" s="93">
        <v>0</v>
      </c>
      <c r="N6456" s="88"/>
      <c r="O6456" s="88"/>
      <c r="P6456" s="88"/>
    </row>
    <row r="6457" spans="1:16">
      <c r="A6457" s="94">
        <v>93571</v>
      </c>
      <c r="B6457" s="87" t="s">
        <v>574</v>
      </c>
      <c r="C6457" s="12" t="s">
        <v>15</v>
      </c>
      <c r="D6457" s="93">
        <v>21712.7</v>
      </c>
      <c r="E6457" s="93">
        <v>21493.05</v>
      </c>
      <c r="F6457" s="93">
        <v>219.65</v>
      </c>
      <c r="G6457" s="93">
        <v>0</v>
      </c>
      <c r="H6457" s="93">
        <v>0</v>
      </c>
      <c r="N6457" s="88"/>
      <c r="O6457" s="88"/>
      <c r="P6457" s="88"/>
    </row>
    <row r="6458" spans="1:16">
      <c r="A6458" s="94">
        <v>93572</v>
      </c>
      <c r="B6458" s="87" t="s">
        <v>575</v>
      </c>
      <c r="C6458" s="12" t="s">
        <v>15</v>
      </c>
      <c r="D6458" s="93">
        <v>6416.73</v>
      </c>
      <c r="E6458" s="93">
        <v>6109.69</v>
      </c>
      <c r="F6458" s="93">
        <v>307.04000000000002</v>
      </c>
      <c r="G6458" s="93">
        <v>0</v>
      </c>
      <c r="H6458" s="93">
        <v>0</v>
      </c>
      <c r="N6458" s="88"/>
      <c r="O6458" s="88"/>
      <c r="P6458" s="88"/>
    </row>
    <row r="6459" spans="1:16">
      <c r="A6459" s="94">
        <v>94295</v>
      </c>
      <c r="B6459" s="87" t="s">
        <v>567</v>
      </c>
      <c r="C6459" s="12" t="s">
        <v>15</v>
      </c>
      <c r="D6459" s="93">
        <v>9580.02</v>
      </c>
      <c r="E6459" s="93">
        <v>9272.98</v>
      </c>
      <c r="F6459" s="93">
        <v>307.04000000000002</v>
      </c>
      <c r="G6459" s="93">
        <v>0</v>
      </c>
      <c r="H6459" s="93">
        <v>0</v>
      </c>
      <c r="N6459" s="88"/>
      <c r="O6459" s="88"/>
      <c r="P6459" s="88"/>
    </row>
    <row r="6460" spans="1:16">
      <c r="A6460" s="94">
        <v>94296</v>
      </c>
      <c r="B6460" s="87" t="s">
        <v>568</v>
      </c>
      <c r="C6460" s="12" t="s">
        <v>15</v>
      </c>
      <c r="D6460" s="93">
        <v>3367.99</v>
      </c>
      <c r="E6460" s="93">
        <v>3144.37</v>
      </c>
      <c r="F6460" s="93">
        <v>223.62</v>
      </c>
      <c r="G6460" s="93">
        <v>0</v>
      </c>
      <c r="H6460" s="93">
        <v>0</v>
      </c>
      <c r="N6460" s="88"/>
      <c r="O6460" s="88"/>
      <c r="P6460" s="88"/>
    </row>
    <row r="6461" spans="1:16">
      <c r="A6461" s="94">
        <v>95308</v>
      </c>
      <c r="B6461" s="87" t="s">
        <v>5271</v>
      </c>
      <c r="C6461" s="12" t="s">
        <v>10</v>
      </c>
      <c r="D6461" s="93">
        <v>0.09</v>
      </c>
      <c r="E6461" s="93">
        <v>0.09</v>
      </c>
      <c r="F6461" s="93">
        <v>0</v>
      </c>
      <c r="G6461" s="93">
        <v>0</v>
      </c>
      <c r="H6461" s="93">
        <v>0</v>
      </c>
      <c r="N6461" s="88"/>
      <c r="O6461" s="88"/>
      <c r="P6461" s="88"/>
    </row>
    <row r="6462" spans="1:16">
      <c r="A6462" s="94">
        <v>95309</v>
      </c>
      <c r="B6462" s="87" t="s">
        <v>5272</v>
      </c>
      <c r="C6462" s="12" t="s">
        <v>10</v>
      </c>
      <c r="D6462" s="93">
        <v>0.13</v>
      </c>
      <c r="E6462" s="93">
        <v>0.13</v>
      </c>
      <c r="F6462" s="93">
        <v>0</v>
      </c>
      <c r="G6462" s="93">
        <v>0</v>
      </c>
      <c r="H6462" s="93">
        <v>0</v>
      </c>
      <c r="N6462" s="88"/>
      <c r="O6462" s="88"/>
      <c r="P6462" s="88"/>
    </row>
    <row r="6463" spans="1:16">
      <c r="A6463" s="94">
        <v>95310</v>
      </c>
      <c r="B6463" s="87" t="s">
        <v>5273</v>
      </c>
      <c r="C6463" s="12" t="s">
        <v>10</v>
      </c>
      <c r="D6463" s="93">
        <v>0.13</v>
      </c>
      <c r="E6463" s="93">
        <v>0.13</v>
      </c>
      <c r="F6463" s="93">
        <v>0</v>
      </c>
      <c r="G6463" s="93">
        <v>0</v>
      </c>
      <c r="H6463" s="93">
        <v>0</v>
      </c>
      <c r="N6463" s="88"/>
      <c r="O6463" s="88"/>
      <c r="P6463" s="88"/>
    </row>
    <row r="6464" spans="1:16">
      <c r="A6464" s="94">
        <v>95311</v>
      </c>
      <c r="B6464" s="87" t="s">
        <v>5274</v>
      </c>
      <c r="C6464" s="12" t="s">
        <v>10</v>
      </c>
      <c r="D6464" s="93">
        <v>0.09</v>
      </c>
      <c r="E6464" s="93">
        <v>0.09</v>
      </c>
      <c r="F6464" s="93">
        <v>0</v>
      </c>
      <c r="G6464" s="93">
        <v>0</v>
      </c>
      <c r="H6464" s="93">
        <v>0</v>
      </c>
      <c r="N6464" s="88"/>
      <c r="O6464" s="88"/>
      <c r="P6464" s="88"/>
    </row>
    <row r="6465" spans="1:16">
      <c r="A6465" s="94">
        <v>95312</v>
      </c>
      <c r="B6465" s="87" t="s">
        <v>5275</v>
      </c>
      <c r="C6465" s="12" t="s">
        <v>10</v>
      </c>
      <c r="D6465" s="93">
        <v>0.1</v>
      </c>
      <c r="E6465" s="93">
        <v>0.1</v>
      </c>
      <c r="F6465" s="93">
        <v>0</v>
      </c>
      <c r="G6465" s="93">
        <v>0</v>
      </c>
      <c r="H6465" s="93">
        <v>0</v>
      </c>
      <c r="N6465" s="88"/>
      <c r="O6465" s="88"/>
      <c r="P6465" s="88"/>
    </row>
    <row r="6466" spans="1:16">
      <c r="A6466" s="94">
        <v>95313</v>
      </c>
      <c r="B6466" s="87" t="s">
        <v>5276</v>
      </c>
      <c r="C6466" s="12" t="s">
        <v>10</v>
      </c>
      <c r="D6466" s="93">
        <v>0.11</v>
      </c>
      <c r="E6466" s="93">
        <v>0.11</v>
      </c>
      <c r="F6466" s="93">
        <v>0</v>
      </c>
      <c r="G6466" s="93">
        <v>0</v>
      </c>
      <c r="H6466" s="93">
        <v>0</v>
      </c>
      <c r="N6466" s="88"/>
      <c r="O6466" s="88"/>
      <c r="P6466" s="88"/>
    </row>
    <row r="6467" spans="1:16">
      <c r="A6467" s="94">
        <v>95314</v>
      </c>
      <c r="B6467" s="87" t="s">
        <v>576</v>
      </c>
      <c r="C6467" s="12" t="s">
        <v>10</v>
      </c>
      <c r="D6467" s="93">
        <v>0.13</v>
      </c>
      <c r="E6467" s="93">
        <v>0.13</v>
      </c>
      <c r="F6467" s="93">
        <v>0</v>
      </c>
      <c r="G6467" s="93">
        <v>0</v>
      </c>
      <c r="H6467" s="93">
        <v>0</v>
      </c>
      <c r="N6467" s="88"/>
      <c r="O6467" s="88"/>
      <c r="P6467" s="88"/>
    </row>
    <row r="6468" spans="1:16">
      <c r="A6468" s="94">
        <v>95315</v>
      </c>
      <c r="B6468" s="87" t="s">
        <v>5277</v>
      </c>
      <c r="C6468" s="12" t="s">
        <v>10</v>
      </c>
      <c r="D6468" s="93">
        <v>0.27</v>
      </c>
      <c r="E6468" s="93">
        <v>0.27</v>
      </c>
      <c r="F6468" s="93">
        <v>0</v>
      </c>
      <c r="G6468" s="93">
        <v>0</v>
      </c>
      <c r="H6468" s="93">
        <v>0</v>
      </c>
      <c r="N6468" s="88"/>
      <c r="O6468" s="88"/>
      <c r="P6468" s="88"/>
    </row>
    <row r="6469" spans="1:16">
      <c r="A6469" s="94">
        <v>95316</v>
      </c>
      <c r="B6469" s="87" t="s">
        <v>5278</v>
      </c>
      <c r="C6469" s="12" t="s">
        <v>10</v>
      </c>
      <c r="D6469" s="93">
        <v>0.31</v>
      </c>
      <c r="E6469" s="93">
        <v>0.31</v>
      </c>
      <c r="F6469" s="93">
        <v>0</v>
      </c>
      <c r="G6469" s="93">
        <v>0</v>
      </c>
      <c r="H6469" s="93">
        <v>0</v>
      </c>
      <c r="N6469" s="88"/>
      <c r="O6469" s="88"/>
      <c r="P6469" s="88"/>
    </row>
    <row r="6470" spans="1:16">
      <c r="A6470" s="94">
        <v>95317</v>
      </c>
      <c r="B6470" s="87" t="s">
        <v>5279</v>
      </c>
      <c r="C6470" s="12" t="s">
        <v>10</v>
      </c>
      <c r="D6470" s="93">
        <v>0.15</v>
      </c>
      <c r="E6470" s="93">
        <v>0.15</v>
      </c>
      <c r="F6470" s="93">
        <v>0</v>
      </c>
      <c r="G6470" s="93">
        <v>0</v>
      </c>
      <c r="H6470" s="93">
        <v>0</v>
      </c>
      <c r="N6470" s="88"/>
      <c r="O6470" s="88"/>
      <c r="P6470" s="88"/>
    </row>
    <row r="6471" spans="1:16">
      <c r="A6471" s="94">
        <v>95318</v>
      </c>
      <c r="B6471" s="87" t="s">
        <v>5280</v>
      </c>
      <c r="C6471" s="12" t="s">
        <v>10</v>
      </c>
      <c r="D6471" s="93">
        <v>0.13</v>
      </c>
      <c r="E6471" s="93">
        <v>0.13</v>
      </c>
      <c r="F6471" s="93">
        <v>0</v>
      </c>
      <c r="G6471" s="93">
        <v>0</v>
      </c>
      <c r="H6471" s="93">
        <v>0</v>
      </c>
      <c r="N6471" s="88"/>
      <c r="O6471" s="88"/>
      <c r="P6471" s="88"/>
    </row>
    <row r="6472" spans="1:16">
      <c r="A6472" s="94">
        <v>95319</v>
      </c>
      <c r="B6472" s="87" t="s">
        <v>5281</v>
      </c>
      <c r="C6472" s="12" t="s">
        <v>10</v>
      </c>
      <c r="D6472" s="93">
        <v>0.15</v>
      </c>
      <c r="E6472" s="93">
        <v>0.15</v>
      </c>
      <c r="F6472" s="93">
        <v>0</v>
      </c>
      <c r="G6472" s="93">
        <v>0</v>
      </c>
      <c r="H6472" s="93">
        <v>0</v>
      </c>
      <c r="N6472" s="88"/>
      <c r="O6472" s="88"/>
      <c r="P6472" s="88"/>
    </row>
    <row r="6473" spans="1:16">
      <c r="A6473" s="94">
        <v>95320</v>
      </c>
      <c r="B6473" s="87" t="s">
        <v>5282</v>
      </c>
      <c r="C6473" s="12" t="s">
        <v>10</v>
      </c>
      <c r="D6473" s="93">
        <v>0.1</v>
      </c>
      <c r="E6473" s="93">
        <v>0.1</v>
      </c>
      <c r="F6473" s="93">
        <v>0</v>
      </c>
      <c r="G6473" s="93">
        <v>0</v>
      </c>
      <c r="H6473" s="93">
        <v>0</v>
      </c>
      <c r="N6473" s="88"/>
      <c r="O6473" s="88"/>
      <c r="P6473" s="88"/>
    </row>
    <row r="6474" spans="1:16">
      <c r="A6474" s="94">
        <v>95321</v>
      </c>
      <c r="B6474" s="87" t="s">
        <v>5283</v>
      </c>
      <c r="C6474" s="12" t="s">
        <v>10</v>
      </c>
      <c r="D6474" s="93">
        <v>0.09</v>
      </c>
      <c r="E6474" s="93">
        <v>0.09</v>
      </c>
      <c r="F6474" s="93">
        <v>0</v>
      </c>
      <c r="G6474" s="93">
        <v>0</v>
      </c>
      <c r="H6474" s="93">
        <v>0</v>
      </c>
      <c r="N6474" s="88"/>
      <c r="O6474" s="88"/>
      <c r="P6474" s="88"/>
    </row>
    <row r="6475" spans="1:16">
      <c r="A6475" s="94">
        <v>95322</v>
      </c>
      <c r="B6475" s="87" t="s">
        <v>5284</v>
      </c>
      <c r="C6475" s="12" t="s">
        <v>10</v>
      </c>
      <c r="D6475" s="93">
        <v>0.04</v>
      </c>
      <c r="E6475" s="93">
        <v>0.04</v>
      </c>
      <c r="F6475" s="93">
        <v>0</v>
      </c>
      <c r="G6475" s="93">
        <v>0</v>
      </c>
      <c r="H6475" s="93">
        <v>0</v>
      </c>
      <c r="N6475" s="88"/>
      <c r="O6475" s="88"/>
      <c r="P6475" s="88"/>
    </row>
    <row r="6476" spans="1:16">
      <c r="A6476" s="94">
        <v>95323</v>
      </c>
      <c r="B6476" s="87" t="s">
        <v>5285</v>
      </c>
      <c r="C6476" s="12" t="s">
        <v>10</v>
      </c>
      <c r="D6476" s="93">
        <v>0.13</v>
      </c>
      <c r="E6476" s="93">
        <v>0.13</v>
      </c>
      <c r="F6476" s="93">
        <v>0</v>
      </c>
      <c r="G6476" s="93">
        <v>0</v>
      </c>
      <c r="H6476" s="93">
        <v>0</v>
      </c>
      <c r="N6476" s="88"/>
      <c r="O6476" s="88"/>
      <c r="P6476" s="88"/>
    </row>
    <row r="6477" spans="1:16">
      <c r="A6477" s="94">
        <v>95324</v>
      </c>
      <c r="B6477" s="87" t="s">
        <v>5286</v>
      </c>
      <c r="C6477" s="12" t="s">
        <v>10</v>
      </c>
      <c r="D6477" s="93">
        <v>0.17</v>
      </c>
      <c r="E6477" s="93">
        <v>0.17</v>
      </c>
      <c r="F6477" s="93">
        <v>0</v>
      </c>
      <c r="G6477" s="93">
        <v>0</v>
      </c>
      <c r="H6477" s="93">
        <v>0</v>
      </c>
      <c r="N6477" s="88"/>
      <c r="O6477" s="88"/>
      <c r="P6477" s="88"/>
    </row>
    <row r="6478" spans="1:16">
      <c r="A6478" s="94">
        <v>95325</v>
      </c>
      <c r="B6478" s="87" t="s">
        <v>5287</v>
      </c>
      <c r="C6478" s="12" t="s">
        <v>10</v>
      </c>
      <c r="D6478" s="93">
        <v>0.28000000000000003</v>
      </c>
      <c r="E6478" s="93">
        <v>0.28000000000000003</v>
      </c>
      <c r="F6478" s="93">
        <v>0</v>
      </c>
      <c r="G6478" s="93">
        <v>0</v>
      </c>
      <c r="H6478" s="93">
        <v>0</v>
      </c>
      <c r="N6478" s="88"/>
      <c r="O6478" s="88"/>
      <c r="P6478" s="88"/>
    </row>
    <row r="6479" spans="1:16">
      <c r="A6479" s="94">
        <v>95326</v>
      </c>
      <c r="B6479" s="87" t="s">
        <v>5288</v>
      </c>
      <c r="C6479" s="12" t="s">
        <v>10</v>
      </c>
      <c r="D6479" s="93">
        <v>0.04</v>
      </c>
      <c r="E6479" s="93">
        <v>0.04</v>
      </c>
      <c r="F6479" s="93">
        <v>0</v>
      </c>
      <c r="G6479" s="93">
        <v>0</v>
      </c>
      <c r="H6479" s="93">
        <v>0</v>
      </c>
      <c r="N6479" s="88"/>
      <c r="O6479" s="88"/>
      <c r="P6479" s="88"/>
    </row>
    <row r="6480" spans="1:16">
      <c r="A6480" s="94">
        <v>95327</v>
      </c>
      <c r="B6480" s="87" t="s">
        <v>5289</v>
      </c>
      <c r="C6480" s="12" t="s">
        <v>10</v>
      </c>
      <c r="D6480" s="93">
        <v>0.21</v>
      </c>
      <c r="E6480" s="93">
        <v>0.21</v>
      </c>
      <c r="F6480" s="93">
        <v>0</v>
      </c>
      <c r="G6480" s="93">
        <v>0</v>
      </c>
      <c r="H6480" s="93">
        <v>0</v>
      </c>
      <c r="N6480" s="88"/>
      <c r="O6480" s="88"/>
      <c r="P6480" s="88"/>
    </row>
    <row r="6481" spans="1:16">
      <c r="A6481" s="94">
        <v>95328</v>
      </c>
      <c r="B6481" s="87" t="s">
        <v>5290</v>
      </c>
      <c r="C6481" s="12" t="s">
        <v>10</v>
      </c>
      <c r="D6481" s="93">
        <v>0.13</v>
      </c>
      <c r="E6481" s="93">
        <v>0.13</v>
      </c>
      <c r="F6481" s="93">
        <v>0</v>
      </c>
      <c r="G6481" s="93">
        <v>0</v>
      </c>
      <c r="H6481" s="93">
        <v>0</v>
      </c>
      <c r="N6481" s="88"/>
      <c r="O6481" s="88"/>
      <c r="P6481" s="88"/>
    </row>
    <row r="6482" spans="1:16">
      <c r="A6482" s="94">
        <v>95329</v>
      </c>
      <c r="B6482" s="87" t="s">
        <v>5291</v>
      </c>
      <c r="C6482" s="12" t="s">
        <v>10</v>
      </c>
      <c r="D6482" s="93">
        <v>0.23</v>
      </c>
      <c r="E6482" s="93">
        <v>0.23</v>
      </c>
      <c r="F6482" s="93">
        <v>0</v>
      </c>
      <c r="G6482" s="93">
        <v>0</v>
      </c>
      <c r="H6482" s="93">
        <v>0</v>
      </c>
      <c r="N6482" s="88"/>
      <c r="O6482" s="88"/>
      <c r="P6482" s="88"/>
    </row>
    <row r="6483" spans="1:16">
      <c r="A6483" s="94">
        <v>95330</v>
      </c>
      <c r="B6483" s="87" t="s">
        <v>5292</v>
      </c>
      <c r="C6483" s="12" t="s">
        <v>10</v>
      </c>
      <c r="D6483" s="93">
        <v>0.13</v>
      </c>
      <c r="E6483" s="93">
        <v>0.13</v>
      </c>
      <c r="F6483" s="93">
        <v>0</v>
      </c>
      <c r="G6483" s="93">
        <v>0</v>
      </c>
      <c r="H6483" s="93">
        <v>0</v>
      </c>
      <c r="N6483" s="88"/>
      <c r="O6483" s="88"/>
      <c r="P6483" s="88"/>
    </row>
    <row r="6484" spans="1:16">
      <c r="A6484" s="94">
        <v>95331</v>
      </c>
      <c r="B6484" s="87" t="s">
        <v>5293</v>
      </c>
      <c r="C6484" s="12" t="s">
        <v>10</v>
      </c>
      <c r="D6484" s="93">
        <v>0.15</v>
      </c>
      <c r="E6484" s="93">
        <v>0.15</v>
      </c>
      <c r="F6484" s="93">
        <v>0</v>
      </c>
      <c r="G6484" s="93">
        <v>0</v>
      </c>
      <c r="H6484" s="93">
        <v>0</v>
      </c>
      <c r="N6484" s="88"/>
      <c r="O6484" s="88"/>
      <c r="P6484" s="88"/>
    </row>
    <row r="6485" spans="1:16">
      <c r="A6485" s="94">
        <v>95332</v>
      </c>
      <c r="B6485" s="87" t="s">
        <v>5294</v>
      </c>
      <c r="C6485" s="12" t="s">
        <v>10</v>
      </c>
      <c r="D6485" s="93">
        <v>0.44</v>
      </c>
      <c r="E6485" s="93">
        <v>0.44</v>
      </c>
      <c r="F6485" s="93">
        <v>0</v>
      </c>
      <c r="G6485" s="93">
        <v>0</v>
      </c>
      <c r="H6485" s="93">
        <v>0</v>
      </c>
      <c r="N6485" s="88"/>
      <c r="O6485" s="88"/>
      <c r="P6485" s="88"/>
    </row>
    <row r="6486" spans="1:16">
      <c r="A6486" s="94">
        <v>95333</v>
      </c>
      <c r="B6486" s="87" t="s">
        <v>5295</v>
      </c>
      <c r="C6486" s="12" t="s">
        <v>10</v>
      </c>
      <c r="D6486" s="93">
        <v>0.48</v>
      </c>
      <c r="E6486" s="93">
        <v>0.48</v>
      </c>
      <c r="F6486" s="93">
        <v>0</v>
      </c>
      <c r="G6486" s="93">
        <v>0</v>
      </c>
      <c r="H6486" s="93">
        <v>0</v>
      </c>
      <c r="N6486" s="88"/>
      <c r="O6486" s="88"/>
      <c r="P6486" s="88"/>
    </row>
    <row r="6487" spans="1:16">
      <c r="A6487" s="94">
        <v>95334</v>
      </c>
      <c r="B6487" s="87" t="s">
        <v>5296</v>
      </c>
      <c r="C6487" s="12" t="s">
        <v>10</v>
      </c>
      <c r="D6487" s="93">
        <v>0.48</v>
      </c>
      <c r="E6487" s="93">
        <v>0.48</v>
      </c>
      <c r="F6487" s="93">
        <v>0</v>
      </c>
      <c r="G6487" s="93">
        <v>0</v>
      </c>
      <c r="H6487" s="93">
        <v>0</v>
      </c>
      <c r="N6487" s="88"/>
      <c r="O6487" s="88"/>
      <c r="P6487" s="88"/>
    </row>
    <row r="6488" spans="1:16">
      <c r="A6488" s="94">
        <v>95335</v>
      </c>
      <c r="B6488" s="87" t="s">
        <v>5297</v>
      </c>
      <c r="C6488" s="12" t="s">
        <v>10</v>
      </c>
      <c r="D6488" s="93">
        <v>0.21</v>
      </c>
      <c r="E6488" s="93">
        <v>0.21</v>
      </c>
      <c r="F6488" s="93">
        <v>0</v>
      </c>
      <c r="G6488" s="93">
        <v>0</v>
      </c>
      <c r="H6488" s="93">
        <v>0</v>
      </c>
      <c r="N6488" s="88"/>
      <c r="O6488" s="88"/>
      <c r="P6488" s="88"/>
    </row>
    <row r="6489" spans="1:16">
      <c r="A6489" s="94">
        <v>95336</v>
      </c>
      <c r="B6489" s="87" t="s">
        <v>5298</v>
      </c>
      <c r="C6489" s="12" t="s">
        <v>10</v>
      </c>
      <c r="D6489" s="93">
        <v>0.14000000000000001</v>
      </c>
      <c r="E6489" s="93">
        <v>0.14000000000000001</v>
      </c>
      <c r="F6489" s="93">
        <v>0</v>
      </c>
      <c r="G6489" s="93">
        <v>0</v>
      </c>
      <c r="H6489" s="93">
        <v>0</v>
      </c>
      <c r="N6489" s="88"/>
      <c r="O6489" s="88"/>
      <c r="P6489" s="88"/>
    </row>
    <row r="6490" spans="1:16">
      <c r="A6490" s="94">
        <v>95337</v>
      </c>
      <c r="B6490" s="87" t="s">
        <v>577</v>
      </c>
      <c r="C6490" s="12" t="s">
        <v>10</v>
      </c>
      <c r="D6490" s="93">
        <v>0.11</v>
      </c>
      <c r="E6490" s="93">
        <v>0.11</v>
      </c>
      <c r="F6490" s="93">
        <v>0</v>
      </c>
      <c r="G6490" s="93">
        <v>0</v>
      </c>
      <c r="H6490" s="93">
        <v>0</v>
      </c>
      <c r="N6490" s="88"/>
      <c r="O6490" s="88"/>
      <c r="P6490" s="88"/>
    </row>
    <row r="6491" spans="1:16">
      <c r="A6491" s="94">
        <v>95338</v>
      </c>
      <c r="B6491" s="87" t="s">
        <v>5299</v>
      </c>
      <c r="C6491" s="12" t="s">
        <v>10</v>
      </c>
      <c r="D6491" s="93">
        <v>0.27</v>
      </c>
      <c r="E6491" s="93">
        <v>0.27</v>
      </c>
      <c r="F6491" s="93">
        <v>0</v>
      </c>
      <c r="G6491" s="93">
        <v>0</v>
      </c>
      <c r="H6491" s="93">
        <v>0</v>
      </c>
      <c r="N6491" s="88"/>
      <c r="O6491" s="88"/>
      <c r="P6491" s="88"/>
    </row>
    <row r="6492" spans="1:16">
      <c r="A6492" s="94">
        <v>95339</v>
      </c>
      <c r="B6492" s="87" t="s">
        <v>5300</v>
      </c>
      <c r="C6492" s="12" t="s">
        <v>10</v>
      </c>
      <c r="D6492" s="93">
        <v>0.21</v>
      </c>
      <c r="E6492" s="93">
        <v>0.21</v>
      </c>
      <c r="F6492" s="93">
        <v>0</v>
      </c>
      <c r="G6492" s="93">
        <v>0</v>
      </c>
      <c r="H6492" s="93">
        <v>0</v>
      </c>
      <c r="N6492" s="88"/>
      <c r="O6492" s="88"/>
      <c r="P6492" s="88"/>
    </row>
    <row r="6493" spans="1:16">
      <c r="A6493" s="94">
        <v>95340</v>
      </c>
      <c r="B6493" s="87" t="s">
        <v>5301</v>
      </c>
      <c r="C6493" s="12" t="s">
        <v>10</v>
      </c>
      <c r="D6493" s="93">
        <v>0.18</v>
      </c>
      <c r="E6493" s="93">
        <v>0.18</v>
      </c>
      <c r="F6493" s="93">
        <v>0</v>
      </c>
      <c r="G6493" s="93">
        <v>0</v>
      </c>
      <c r="H6493" s="93">
        <v>0</v>
      </c>
      <c r="N6493" s="88"/>
      <c r="O6493" s="88"/>
      <c r="P6493" s="88"/>
    </row>
    <row r="6494" spans="1:16">
      <c r="A6494" s="94">
        <v>95341</v>
      </c>
      <c r="B6494" s="87" t="s">
        <v>5302</v>
      </c>
      <c r="C6494" s="12" t="s">
        <v>10</v>
      </c>
      <c r="D6494" s="93">
        <v>0.17</v>
      </c>
      <c r="E6494" s="93">
        <v>0.17</v>
      </c>
      <c r="F6494" s="93">
        <v>0</v>
      </c>
      <c r="G6494" s="93">
        <v>0</v>
      </c>
      <c r="H6494" s="93">
        <v>0</v>
      </c>
      <c r="N6494" s="88"/>
      <c r="O6494" s="88"/>
      <c r="P6494" s="88"/>
    </row>
    <row r="6495" spans="1:16">
      <c r="A6495" s="94">
        <v>95342</v>
      </c>
      <c r="B6495" s="87" t="s">
        <v>5303</v>
      </c>
      <c r="C6495" s="12" t="s">
        <v>10</v>
      </c>
      <c r="D6495" s="93">
        <v>0.19</v>
      </c>
      <c r="E6495" s="93">
        <v>0.19</v>
      </c>
      <c r="F6495" s="93">
        <v>0</v>
      </c>
      <c r="G6495" s="93">
        <v>0</v>
      </c>
      <c r="H6495" s="93">
        <v>0</v>
      </c>
      <c r="N6495" s="88"/>
      <c r="O6495" s="88"/>
      <c r="P6495" s="88"/>
    </row>
    <row r="6496" spans="1:16">
      <c r="A6496" s="94">
        <v>95343</v>
      </c>
      <c r="B6496" s="87" t="s">
        <v>5304</v>
      </c>
      <c r="C6496" s="12" t="s">
        <v>10</v>
      </c>
      <c r="D6496" s="93">
        <v>0.2</v>
      </c>
      <c r="E6496" s="93">
        <v>0.2</v>
      </c>
      <c r="F6496" s="93">
        <v>0</v>
      </c>
      <c r="G6496" s="93">
        <v>0</v>
      </c>
      <c r="H6496" s="93">
        <v>0</v>
      </c>
      <c r="N6496" s="88"/>
      <c r="O6496" s="88"/>
      <c r="P6496" s="88"/>
    </row>
    <row r="6497" spans="1:16">
      <c r="A6497" s="94">
        <v>95344</v>
      </c>
      <c r="B6497" s="87" t="s">
        <v>5305</v>
      </c>
      <c r="C6497" s="12" t="s">
        <v>10</v>
      </c>
      <c r="D6497" s="93">
        <v>0.18</v>
      </c>
      <c r="E6497" s="93">
        <v>0.18</v>
      </c>
      <c r="F6497" s="93">
        <v>0</v>
      </c>
      <c r="G6497" s="93">
        <v>0</v>
      </c>
      <c r="H6497" s="93">
        <v>0</v>
      </c>
      <c r="N6497" s="88"/>
      <c r="O6497" s="88"/>
      <c r="P6497" s="88"/>
    </row>
    <row r="6498" spans="1:16">
      <c r="A6498" s="94">
        <v>95345</v>
      </c>
      <c r="B6498" s="87" t="s">
        <v>5306</v>
      </c>
      <c r="C6498" s="12" t="s">
        <v>10</v>
      </c>
      <c r="D6498" s="93">
        <v>0.57999999999999996</v>
      </c>
      <c r="E6498" s="93">
        <v>0.57999999999999996</v>
      </c>
      <c r="F6498" s="93">
        <v>0</v>
      </c>
      <c r="G6498" s="93">
        <v>0</v>
      </c>
      <c r="H6498" s="93">
        <v>0</v>
      </c>
      <c r="N6498" s="88"/>
      <c r="O6498" s="88"/>
      <c r="P6498" s="88"/>
    </row>
    <row r="6499" spans="1:16">
      <c r="A6499" s="94">
        <v>95346</v>
      </c>
      <c r="B6499" s="87" t="s">
        <v>5307</v>
      </c>
      <c r="C6499" s="12" t="s">
        <v>10</v>
      </c>
      <c r="D6499" s="93">
        <v>7.0000000000000007E-2</v>
      </c>
      <c r="E6499" s="93">
        <v>7.0000000000000007E-2</v>
      </c>
      <c r="F6499" s="93">
        <v>0</v>
      </c>
      <c r="G6499" s="93">
        <v>0</v>
      </c>
      <c r="H6499" s="93">
        <v>0</v>
      </c>
      <c r="N6499" s="88"/>
      <c r="O6499" s="88"/>
      <c r="P6499" s="88"/>
    </row>
    <row r="6500" spans="1:16">
      <c r="A6500" s="94">
        <v>95347</v>
      </c>
      <c r="B6500" s="87" t="s">
        <v>5308</v>
      </c>
      <c r="C6500" s="12" t="s">
        <v>10</v>
      </c>
      <c r="D6500" s="93">
        <v>0.08</v>
      </c>
      <c r="E6500" s="93">
        <v>0.08</v>
      </c>
      <c r="F6500" s="93">
        <v>0</v>
      </c>
      <c r="G6500" s="93">
        <v>0</v>
      </c>
      <c r="H6500" s="93">
        <v>0</v>
      </c>
      <c r="N6500" s="88"/>
      <c r="O6500" s="88"/>
      <c r="P6500" s="88"/>
    </row>
    <row r="6501" spans="1:16">
      <c r="A6501" s="94">
        <v>95348</v>
      </c>
      <c r="B6501" s="87" t="s">
        <v>5309</v>
      </c>
      <c r="C6501" s="12" t="s">
        <v>10</v>
      </c>
      <c r="D6501" s="93">
        <v>0.11</v>
      </c>
      <c r="E6501" s="93">
        <v>0.11</v>
      </c>
      <c r="F6501" s="93">
        <v>0</v>
      </c>
      <c r="G6501" s="93">
        <v>0</v>
      </c>
      <c r="H6501" s="93">
        <v>0</v>
      </c>
      <c r="N6501" s="88"/>
      <c r="O6501" s="88"/>
      <c r="P6501" s="88"/>
    </row>
    <row r="6502" spans="1:16">
      <c r="A6502" s="94">
        <v>95349</v>
      </c>
      <c r="B6502" s="87" t="s">
        <v>5310</v>
      </c>
      <c r="C6502" s="12" t="s">
        <v>10</v>
      </c>
      <c r="D6502" s="93">
        <v>0.08</v>
      </c>
      <c r="E6502" s="93">
        <v>0.08</v>
      </c>
      <c r="F6502" s="93">
        <v>0</v>
      </c>
      <c r="G6502" s="93">
        <v>0</v>
      </c>
      <c r="H6502" s="93">
        <v>0</v>
      </c>
      <c r="N6502" s="88"/>
      <c r="O6502" s="88"/>
      <c r="P6502" s="88"/>
    </row>
    <row r="6503" spans="1:16">
      <c r="A6503" s="94">
        <v>95350</v>
      </c>
      <c r="B6503" s="87" t="s">
        <v>5311</v>
      </c>
      <c r="C6503" s="12" t="s">
        <v>10</v>
      </c>
      <c r="D6503" s="93">
        <v>0.09</v>
      </c>
      <c r="E6503" s="93">
        <v>0.09</v>
      </c>
      <c r="F6503" s="93">
        <v>0</v>
      </c>
      <c r="G6503" s="93">
        <v>0</v>
      </c>
      <c r="H6503" s="93">
        <v>0</v>
      </c>
      <c r="N6503" s="88"/>
      <c r="O6503" s="88"/>
      <c r="P6503" s="88"/>
    </row>
    <row r="6504" spans="1:16">
      <c r="A6504" s="94">
        <v>95351</v>
      </c>
      <c r="B6504" s="87" t="s">
        <v>5312</v>
      </c>
      <c r="C6504" s="12" t="s">
        <v>10</v>
      </c>
      <c r="D6504" s="93">
        <v>0.28000000000000003</v>
      </c>
      <c r="E6504" s="93">
        <v>0.28000000000000003</v>
      </c>
      <c r="F6504" s="93">
        <v>0</v>
      </c>
      <c r="G6504" s="93">
        <v>0</v>
      </c>
      <c r="H6504" s="93">
        <v>0</v>
      </c>
      <c r="N6504" s="88"/>
      <c r="O6504" s="88"/>
      <c r="P6504" s="88"/>
    </row>
    <row r="6505" spans="1:16">
      <c r="A6505" s="94">
        <v>95352</v>
      </c>
      <c r="B6505" s="87" t="s">
        <v>5313</v>
      </c>
      <c r="C6505" s="12" t="s">
        <v>10</v>
      </c>
      <c r="D6505" s="93">
        <v>0.05</v>
      </c>
      <c r="E6505" s="93">
        <v>0.05</v>
      </c>
      <c r="F6505" s="93">
        <v>0</v>
      </c>
      <c r="G6505" s="93">
        <v>0</v>
      </c>
      <c r="H6505" s="93">
        <v>0</v>
      </c>
      <c r="N6505" s="88"/>
      <c r="O6505" s="88"/>
      <c r="P6505" s="88"/>
    </row>
    <row r="6506" spans="1:16">
      <c r="A6506" s="94">
        <v>95354</v>
      </c>
      <c r="B6506" s="87" t="s">
        <v>5314</v>
      </c>
      <c r="C6506" s="12" t="s">
        <v>10</v>
      </c>
      <c r="D6506" s="93">
        <v>0.12</v>
      </c>
      <c r="E6506" s="93">
        <v>0.12</v>
      </c>
      <c r="F6506" s="93">
        <v>0</v>
      </c>
      <c r="G6506" s="93">
        <v>0</v>
      </c>
      <c r="H6506" s="93">
        <v>0</v>
      </c>
      <c r="N6506" s="88"/>
      <c r="O6506" s="88"/>
      <c r="P6506" s="88"/>
    </row>
    <row r="6507" spans="1:16">
      <c r="A6507" s="94">
        <v>95355</v>
      </c>
      <c r="B6507" s="87" t="s">
        <v>5315</v>
      </c>
      <c r="C6507" s="12" t="s">
        <v>10</v>
      </c>
      <c r="D6507" s="93">
        <v>0.13</v>
      </c>
      <c r="E6507" s="93">
        <v>0.13</v>
      </c>
      <c r="F6507" s="93">
        <v>0</v>
      </c>
      <c r="G6507" s="93">
        <v>0</v>
      </c>
      <c r="H6507" s="93">
        <v>0</v>
      </c>
      <c r="N6507" s="88"/>
      <c r="O6507" s="88"/>
      <c r="P6507" s="88"/>
    </row>
    <row r="6508" spans="1:16">
      <c r="A6508" s="94">
        <v>95356</v>
      </c>
      <c r="B6508" s="87" t="s">
        <v>5316</v>
      </c>
      <c r="C6508" s="12" t="s">
        <v>10</v>
      </c>
      <c r="D6508" s="93">
        <v>0.15</v>
      </c>
      <c r="E6508" s="93">
        <v>0.15</v>
      </c>
      <c r="F6508" s="93">
        <v>0</v>
      </c>
      <c r="G6508" s="93">
        <v>0</v>
      </c>
      <c r="H6508" s="93">
        <v>0</v>
      </c>
      <c r="N6508" s="88"/>
      <c r="O6508" s="88"/>
      <c r="P6508" s="88"/>
    </row>
    <row r="6509" spans="1:16">
      <c r="A6509" s="94">
        <v>95357</v>
      </c>
      <c r="B6509" s="87" t="s">
        <v>5317</v>
      </c>
      <c r="C6509" s="12" t="s">
        <v>10</v>
      </c>
      <c r="D6509" s="93">
        <v>0.23</v>
      </c>
      <c r="E6509" s="93">
        <v>0.23</v>
      </c>
      <c r="F6509" s="93">
        <v>0</v>
      </c>
      <c r="G6509" s="93">
        <v>0</v>
      </c>
      <c r="H6509" s="93">
        <v>0</v>
      </c>
      <c r="N6509" s="88"/>
      <c r="O6509" s="88"/>
      <c r="P6509" s="88"/>
    </row>
    <row r="6510" spans="1:16">
      <c r="A6510" s="94">
        <v>95358</v>
      </c>
      <c r="B6510" s="87" t="s">
        <v>5318</v>
      </c>
      <c r="C6510" s="12" t="s">
        <v>10</v>
      </c>
      <c r="D6510" s="93">
        <v>0.19</v>
      </c>
      <c r="E6510" s="93">
        <v>0.19</v>
      </c>
      <c r="F6510" s="93">
        <v>0</v>
      </c>
      <c r="G6510" s="93">
        <v>0</v>
      </c>
      <c r="H6510" s="93">
        <v>0</v>
      </c>
      <c r="N6510" s="88"/>
      <c r="O6510" s="88"/>
      <c r="P6510" s="88"/>
    </row>
    <row r="6511" spans="1:16">
      <c r="A6511" s="94">
        <v>95359</v>
      </c>
      <c r="B6511" s="87" t="s">
        <v>5319</v>
      </c>
      <c r="C6511" s="12" t="s">
        <v>10</v>
      </c>
      <c r="D6511" s="93">
        <v>0.26</v>
      </c>
      <c r="E6511" s="93">
        <v>0.26</v>
      </c>
      <c r="F6511" s="93">
        <v>0</v>
      </c>
      <c r="G6511" s="93">
        <v>0</v>
      </c>
      <c r="H6511" s="93">
        <v>0</v>
      </c>
      <c r="N6511" s="88"/>
      <c r="O6511" s="88"/>
      <c r="P6511" s="88"/>
    </row>
    <row r="6512" spans="1:16">
      <c r="A6512" s="94">
        <v>95360</v>
      </c>
      <c r="B6512" s="87" t="s">
        <v>5320</v>
      </c>
      <c r="C6512" s="12" t="s">
        <v>10</v>
      </c>
      <c r="D6512" s="93">
        <v>0.18</v>
      </c>
      <c r="E6512" s="93">
        <v>0.18</v>
      </c>
      <c r="F6512" s="93">
        <v>0</v>
      </c>
      <c r="G6512" s="93">
        <v>0</v>
      </c>
      <c r="H6512" s="93">
        <v>0</v>
      </c>
      <c r="N6512" s="88"/>
      <c r="O6512" s="88"/>
      <c r="P6512" s="88"/>
    </row>
    <row r="6513" spans="1:16">
      <c r="A6513" s="94">
        <v>95361</v>
      </c>
      <c r="B6513" s="87" t="s">
        <v>5321</v>
      </c>
      <c r="C6513" s="12" t="s">
        <v>10</v>
      </c>
      <c r="D6513" s="93">
        <v>0.09</v>
      </c>
      <c r="E6513" s="93">
        <v>0.09</v>
      </c>
      <c r="F6513" s="93">
        <v>0</v>
      </c>
      <c r="G6513" s="93">
        <v>0</v>
      </c>
      <c r="H6513" s="93">
        <v>0</v>
      </c>
      <c r="N6513" s="88"/>
      <c r="O6513" s="88"/>
      <c r="P6513" s="88"/>
    </row>
    <row r="6514" spans="1:16">
      <c r="A6514" s="94">
        <v>95362</v>
      </c>
      <c r="B6514" s="87" t="s">
        <v>5322</v>
      </c>
      <c r="C6514" s="12" t="s">
        <v>10</v>
      </c>
      <c r="D6514" s="93">
        <v>0.15</v>
      </c>
      <c r="E6514" s="93">
        <v>0.15</v>
      </c>
      <c r="F6514" s="93">
        <v>0</v>
      </c>
      <c r="G6514" s="93">
        <v>0</v>
      </c>
      <c r="H6514" s="93">
        <v>0</v>
      </c>
      <c r="N6514" s="88"/>
      <c r="O6514" s="88"/>
      <c r="P6514" s="88"/>
    </row>
    <row r="6515" spans="1:16">
      <c r="A6515" s="94">
        <v>95363</v>
      </c>
      <c r="B6515" s="87" t="s">
        <v>5323</v>
      </c>
      <c r="C6515" s="12" t="s">
        <v>10</v>
      </c>
      <c r="D6515" s="93">
        <v>0.19</v>
      </c>
      <c r="E6515" s="93">
        <v>0.19</v>
      </c>
      <c r="F6515" s="93">
        <v>0</v>
      </c>
      <c r="G6515" s="93">
        <v>0</v>
      </c>
      <c r="H6515" s="93">
        <v>0</v>
      </c>
      <c r="N6515" s="88"/>
      <c r="O6515" s="88"/>
      <c r="P6515" s="88"/>
    </row>
    <row r="6516" spans="1:16">
      <c r="A6516" s="94">
        <v>95364</v>
      </c>
      <c r="B6516" s="87" t="s">
        <v>5324</v>
      </c>
      <c r="C6516" s="12" t="s">
        <v>10</v>
      </c>
      <c r="D6516" s="93">
        <v>0.13</v>
      </c>
      <c r="E6516" s="93">
        <v>0.13</v>
      </c>
      <c r="F6516" s="93">
        <v>0</v>
      </c>
      <c r="G6516" s="93">
        <v>0</v>
      </c>
      <c r="H6516" s="93">
        <v>0</v>
      </c>
      <c r="N6516" s="88"/>
      <c r="O6516" s="88"/>
      <c r="P6516" s="88"/>
    </row>
    <row r="6517" spans="1:16">
      <c r="A6517" s="94">
        <v>95365</v>
      </c>
      <c r="B6517" s="87" t="s">
        <v>5325</v>
      </c>
      <c r="C6517" s="12" t="s">
        <v>10</v>
      </c>
      <c r="D6517" s="93">
        <v>0.16</v>
      </c>
      <c r="E6517" s="93">
        <v>0.16</v>
      </c>
      <c r="F6517" s="93">
        <v>0</v>
      </c>
      <c r="G6517" s="93">
        <v>0</v>
      </c>
      <c r="H6517" s="93">
        <v>0</v>
      </c>
      <c r="N6517" s="88"/>
      <c r="O6517" s="88"/>
      <c r="P6517" s="88"/>
    </row>
    <row r="6518" spans="1:16">
      <c r="A6518" s="94">
        <v>95366</v>
      </c>
      <c r="B6518" s="87" t="s">
        <v>5326</v>
      </c>
      <c r="C6518" s="12" t="s">
        <v>10</v>
      </c>
      <c r="D6518" s="93">
        <v>0.12</v>
      </c>
      <c r="E6518" s="93">
        <v>0.12</v>
      </c>
      <c r="F6518" s="93">
        <v>0</v>
      </c>
      <c r="G6518" s="93">
        <v>0</v>
      </c>
      <c r="H6518" s="93">
        <v>0</v>
      </c>
      <c r="N6518" s="88"/>
      <c r="O6518" s="88"/>
      <c r="P6518" s="88"/>
    </row>
    <row r="6519" spans="1:16">
      <c r="A6519" s="94">
        <v>95367</v>
      </c>
      <c r="B6519" s="87" t="s">
        <v>5327</v>
      </c>
      <c r="C6519" s="12" t="s">
        <v>10</v>
      </c>
      <c r="D6519" s="93">
        <v>0.13</v>
      </c>
      <c r="E6519" s="93">
        <v>0.13</v>
      </c>
      <c r="F6519" s="93">
        <v>0</v>
      </c>
      <c r="G6519" s="93">
        <v>0</v>
      </c>
      <c r="H6519" s="93">
        <v>0</v>
      </c>
      <c r="N6519" s="88"/>
      <c r="O6519" s="88"/>
      <c r="P6519" s="88"/>
    </row>
    <row r="6520" spans="1:16">
      <c r="A6520" s="94">
        <v>95368</v>
      </c>
      <c r="B6520" s="87" t="s">
        <v>5328</v>
      </c>
      <c r="C6520" s="12" t="s">
        <v>10</v>
      </c>
      <c r="D6520" s="93">
        <v>0.2</v>
      </c>
      <c r="E6520" s="93">
        <v>0.2</v>
      </c>
      <c r="F6520" s="93">
        <v>0</v>
      </c>
      <c r="G6520" s="93">
        <v>0</v>
      </c>
      <c r="H6520" s="93">
        <v>0</v>
      </c>
      <c r="N6520" s="88"/>
      <c r="O6520" s="88"/>
      <c r="P6520" s="88"/>
    </row>
    <row r="6521" spans="1:16">
      <c r="A6521" s="94">
        <v>95369</v>
      </c>
      <c r="B6521" s="87" t="s">
        <v>5329</v>
      </c>
      <c r="C6521" s="12" t="s">
        <v>10</v>
      </c>
      <c r="D6521" s="93">
        <v>0.15</v>
      </c>
      <c r="E6521" s="93">
        <v>0.15</v>
      </c>
      <c r="F6521" s="93">
        <v>0</v>
      </c>
      <c r="G6521" s="93">
        <v>0</v>
      </c>
      <c r="H6521" s="93">
        <v>0</v>
      </c>
      <c r="N6521" s="88"/>
      <c r="O6521" s="88"/>
      <c r="P6521" s="88"/>
    </row>
    <row r="6522" spans="1:16">
      <c r="A6522" s="94">
        <v>95370</v>
      </c>
      <c r="B6522" s="87" t="s">
        <v>5330</v>
      </c>
      <c r="C6522" s="12" t="s">
        <v>10</v>
      </c>
      <c r="D6522" s="93">
        <v>0.19</v>
      </c>
      <c r="E6522" s="93">
        <v>0.19</v>
      </c>
      <c r="F6522" s="93">
        <v>0</v>
      </c>
      <c r="G6522" s="93">
        <v>0</v>
      </c>
      <c r="H6522" s="93">
        <v>0</v>
      </c>
      <c r="N6522" s="88"/>
      <c r="O6522" s="88"/>
      <c r="P6522" s="88"/>
    </row>
    <row r="6523" spans="1:16">
      <c r="A6523" s="94">
        <v>95371</v>
      </c>
      <c r="B6523" s="87" t="s">
        <v>578</v>
      </c>
      <c r="C6523" s="12" t="s">
        <v>10</v>
      </c>
      <c r="D6523" s="93">
        <v>0.25</v>
      </c>
      <c r="E6523" s="93">
        <v>0.25</v>
      </c>
      <c r="F6523" s="93">
        <v>0</v>
      </c>
      <c r="G6523" s="93">
        <v>0</v>
      </c>
      <c r="H6523" s="93">
        <v>0</v>
      </c>
      <c r="N6523" s="88"/>
      <c r="O6523" s="88"/>
      <c r="P6523" s="88"/>
    </row>
    <row r="6524" spans="1:16">
      <c r="A6524" s="94">
        <v>95372</v>
      </c>
      <c r="B6524" s="87" t="s">
        <v>579</v>
      </c>
      <c r="C6524" s="12" t="s">
        <v>10</v>
      </c>
      <c r="D6524" s="93">
        <v>0.17</v>
      </c>
      <c r="E6524" s="93">
        <v>0.17</v>
      </c>
      <c r="F6524" s="93">
        <v>0</v>
      </c>
      <c r="G6524" s="93">
        <v>0</v>
      </c>
      <c r="H6524" s="93">
        <v>0</v>
      </c>
      <c r="N6524" s="88"/>
      <c r="O6524" s="88"/>
      <c r="P6524" s="88"/>
    </row>
    <row r="6525" spans="1:16">
      <c r="A6525" s="94">
        <v>95373</v>
      </c>
      <c r="B6525" s="87" t="s">
        <v>5331</v>
      </c>
      <c r="C6525" s="12" t="s">
        <v>10</v>
      </c>
      <c r="D6525" s="93">
        <v>0.19</v>
      </c>
      <c r="E6525" s="93">
        <v>0.19</v>
      </c>
      <c r="F6525" s="93">
        <v>0</v>
      </c>
      <c r="G6525" s="93">
        <v>0</v>
      </c>
      <c r="H6525" s="93">
        <v>0</v>
      </c>
      <c r="N6525" s="88"/>
      <c r="O6525" s="88"/>
      <c r="P6525" s="88"/>
    </row>
    <row r="6526" spans="1:16">
      <c r="A6526" s="94">
        <v>95374</v>
      </c>
      <c r="B6526" s="87" t="s">
        <v>5332</v>
      </c>
      <c r="C6526" s="12" t="s">
        <v>10</v>
      </c>
      <c r="D6526" s="93">
        <v>0.19</v>
      </c>
      <c r="E6526" s="93">
        <v>0.19</v>
      </c>
      <c r="F6526" s="93">
        <v>0</v>
      </c>
      <c r="G6526" s="93">
        <v>0</v>
      </c>
      <c r="H6526" s="93">
        <v>0</v>
      </c>
      <c r="N6526" s="88"/>
      <c r="O6526" s="88"/>
      <c r="P6526" s="88"/>
    </row>
    <row r="6527" spans="1:16">
      <c r="A6527" s="94">
        <v>95375</v>
      </c>
      <c r="B6527" s="87" t="s">
        <v>580</v>
      </c>
      <c r="C6527" s="12" t="s">
        <v>10</v>
      </c>
      <c r="D6527" s="93">
        <v>0.34</v>
      </c>
      <c r="E6527" s="93">
        <v>0.34</v>
      </c>
      <c r="F6527" s="93">
        <v>0</v>
      </c>
      <c r="G6527" s="93">
        <v>0</v>
      </c>
      <c r="H6527" s="93">
        <v>0</v>
      </c>
      <c r="N6527" s="88"/>
      <c r="O6527" s="88"/>
      <c r="P6527" s="88"/>
    </row>
    <row r="6528" spans="1:16">
      <c r="A6528" s="94">
        <v>95376</v>
      </c>
      <c r="B6528" s="87" t="s">
        <v>5333</v>
      </c>
      <c r="C6528" s="12" t="s">
        <v>10</v>
      </c>
      <c r="D6528" s="93">
        <v>0.06</v>
      </c>
      <c r="E6528" s="93">
        <v>0.06</v>
      </c>
      <c r="F6528" s="93">
        <v>0</v>
      </c>
      <c r="G6528" s="93">
        <v>0</v>
      </c>
      <c r="H6528" s="93">
        <v>0</v>
      </c>
      <c r="N6528" s="88"/>
      <c r="O6528" s="88"/>
      <c r="P6528" s="88"/>
    </row>
    <row r="6529" spans="1:16">
      <c r="A6529" s="94">
        <v>95377</v>
      </c>
      <c r="B6529" s="87" t="s">
        <v>5334</v>
      </c>
      <c r="C6529" s="12" t="s">
        <v>10</v>
      </c>
      <c r="D6529" s="93">
        <v>0.13</v>
      </c>
      <c r="E6529" s="93">
        <v>0.13</v>
      </c>
      <c r="F6529" s="93">
        <v>0</v>
      </c>
      <c r="G6529" s="93">
        <v>0</v>
      </c>
      <c r="H6529" s="93">
        <v>0</v>
      </c>
      <c r="N6529" s="88"/>
      <c r="O6529" s="88"/>
      <c r="P6529" s="88"/>
    </row>
    <row r="6530" spans="1:16">
      <c r="A6530" s="94">
        <v>95378</v>
      </c>
      <c r="B6530" s="87" t="s">
        <v>581</v>
      </c>
      <c r="C6530" s="12" t="s">
        <v>10</v>
      </c>
      <c r="D6530" s="93">
        <v>0.15</v>
      </c>
      <c r="E6530" s="93">
        <v>0.15</v>
      </c>
      <c r="F6530" s="93">
        <v>0</v>
      </c>
      <c r="G6530" s="93">
        <v>0</v>
      </c>
      <c r="H6530" s="93">
        <v>0</v>
      </c>
      <c r="N6530" s="88"/>
      <c r="O6530" s="88"/>
      <c r="P6530" s="88"/>
    </row>
    <row r="6531" spans="1:16">
      <c r="A6531" s="94">
        <v>95379</v>
      </c>
      <c r="B6531" s="87" t="s">
        <v>582</v>
      </c>
      <c r="C6531" s="12" t="s">
        <v>10</v>
      </c>
      <c r="D6531" s="93">
        <v>0.13</v>
      </c>
      <c r="E6531" s="93">
        <v>0.13</v>
      </c>
      <c r="F6531" s="93">
        <v>0</v>
      </c>
      <c r="G6531" s="93">
        <v>0</v>
      </c>
      <c r="H6531" s="93">
        <v>0</v>
      </c>
      <c r="N6531" s="88"/>
      <c r="O6531" s="88"/>
      <c r="P6531" s="88"/>
    </row>
    <row r="6532" spans="1:16">
      <c r="A6532" s="94">
        <v>95380</v>
      </c>
      <c r="B6532" s="87" t="s">
        <v>5335</v>
      </c>
      <c r="C6532" s="12" t="s">
        <v>10</v>
      </c>
      <c r="D6532" s="93">
        <v>0.1</v>
      </c>
      <c r="E6532" s="93">
        <v>0.1</v>
      </c>
      <c r="F6532" s="93">
        <v>0</v>
      </c>
      <c r="G6532" s="93">
        <v>0</v>
      </c>
      <c r="H6532" s="93">
        <v>0</v>
      </c>
      <c r="N6532" s="88"/>
      <c r="O6532" s="88"/>
      <c r="P6532" s="88"/>
    </row>
    <row r="6533" spans="1:16">
      <c r="A6533" s="94">
        <v>95382</v>
      </c>
      <c r="B6533" s="87" t="s">
        <v>5336</v>
      </c>
      <c r="C6533" s="12" t="s">
        <v>10</v>
      </c>
      <c r="D6533" s="93">
        <v>0.16</v>
      </c>
      <c r="E6533" s="93">
        <v>0.16</v>
      </c>
      <c r="F6533" s="93">
        <v>0</v>
      </c>
      <c r="G6533" s="93">
        <v>0</v>
      </c>
      <c r="H6533" s="93">
        <v>0</v>
      </c>
      <c r="N6533" s="88"/>
      <c r="O6533" s="88"/>
      <c r="P6533" s="88"/>
    </row>
    <row r="6534" spans="1:16">
      <c r="A6534" s="94">
        <v>95383</v>
      </c>
      <c r="B6534" s="87" t="s">
        <v>5337</v>
      </c>
      <c r="C6534" s="12" t="s">
        <v>10</v>
      </c>
      <c r="D6534" s="93">
        <v>0.16</v>
      </c>
      <c r="E6534" s="93">
        <v>0.16</v>
      </c>
      <c r="F6534" s="93">
        <v>0</v>
      </c>
      <c r="G6534" s="93">
        <v>0</v>
      </c>
      <c r="H6534" s="93">
        <v>0</v>
      </c>
      <c r="N6534" s="88"/>
      <c r="O6534" s="88"/>
      <c r="P6534" s="88"/>
    </row>
    <row r="6535" spans="1:16">
      <c r="A6535" s="94">
        <v>95384</v>
      </c>
      <c r="B6535" s="87" t="s">
        <v>5338</v>
      </c>
      <c r="C6535" s="12" t="s">
        <v>10</v>
      </c>
      <c r="D6535" s="93">
        <v>0.23</v>
      </c>
      <c r="E6535" s="93">
        <v>0.23</v>
      </c>
      <c r="F6535" s="93">
        <v>0</v>
      </c>
      <c r="G6535" s="93">
        <v>0</v>
      </c>
      <c r="H6535" s="93">
        <v>0</v>
      </c>
      <c r="N6535" s="88"/>
      <c r="O6535" s="88"/>
      <c r="P6535" s="88"/>
    </row>
    <row r="6536" spans="1:16">
      <c r="A6536" s="94">
        <v>95385</v>
      </c>
      <c r="B6536" s="87" t="s">
        <v>5339</v>
      </c>
      <c r="C6536" s="12" t="s">
        <v>10</v>
      </c>
      <c r="D6536" s="93">
        <v>0.15</v>
      </c>
      <c r="E6536" s="93">
        <v>0.15</v>
      </c>
      <c r="F6536" s="93">
        <v>0</v>
      </c>
      <c r="G6536" s="93">
        <v>0</v>
      </c>
      <c r="H6536" s="93">
        <v>0</v>
      </c>
      <c r="N6536" s="88"/>
      <c r="O6536" s="88"/>
      <c r="P6536" s="88"/>
    </row>
    <row r="6537" spans="1:16">
      <c r="A6537" s="94">
        <v>95386</v>
      </c>
      <c r="B6537" s="87" t="s">
        <v>5340</v>
      </c>
      <c r="C6537" s="12" t="s">
        <v>10</v>
      </c>
      <c r="D6537" s="93">
        <v>0.18</v>
      </c>
      <c r="E6537" s="93">
        <v>0.18</v>
      </c>
      <c r="F6537" s="93">
        <v>0</v>
      </c>
      <c r="G6537" s="93">
        <v>0</v>
      </c>
      <c r="H6537" s="93">
        <v>0</v>
      </c>
      <c r="N6537" s="88"/>
      <c r="O6537" s="88"/>
      <c r="P6537" s="88"/>
    </row>
    <row r="6538" spans="1:16">
      <c r="A6538" s="94">
        <v>95387</v>
      </c>
      <c r="B6538" s="87" t="s">
        <v>5341</v>
      </c>
      <c r="C6538" s="12" t="s">
        <v>10</v>
      </c>
      <c r="D6538" s="93">
        <v>0.16</v>
      </c>
      <c r="E6538" s="93">
        <v>0.16</v>
      </c>
      <c r="F6538" s="93">
        <v>0</v>
      </c>
      <c r="G6538" s="93">
        <v>0</v>
      </c>
      <c r="H6538" s="93">
        <v>0</v>
      </c>
      <c r="N6538" s="88"/>
      <c r="O6538" s="88"/>
      <c r="P6538" s="88"/>
    </row>
    <row r="6539" spans="1:16">
      <c r="A6539" s="94">
        <v>95388</v>
      </c>
      <c r="B6539" s="87" t="s">
        <v>5342</v>
      </c>
      <c r="C6539" s="12" t="s">
        <v>10</v>
      </c>
      <c r="D6539" s="93">
        <v>0.05</v>
      </c>
      <c r="E6539" s="93">
        <v>0.05</v>
      </c>
      <c r="F6539" s="93">
        <v>0</v>
      </c>
      <c r="G6539" s="93">
        <v>0</v>
      </c>
      <c r="H6539" s="93">
        <v>0</v>
      </c>
      <c r="N6539" s="88"/>
      <c r="O6539" s="88"/>
      <c r="P6539" s="88"/>
    </row>
    <row r="6540" spans="1:16">
      <c r="A6540" s="94">
        <v>95389</v>
      </c>
      <c r="B6540" s="87" t="s">
        <v>5343</v>
      </c>
      <c r="C6540" s="12" t="s">
        <v>10</v>
      </c>
      <c r="D6540" s="93">
        <v>0.12</v>
      </c>
      <c r="E6540" s="93">
        <v>0.12</v>
      </c>
      <c r="F6540" s="93">
        <v>0</v>
      </c>
      <c r="G6540" s="93">
        <v>0</v>
      </c>
      <c r="H6540" s="93">
        <v>0</v>
      </c>
      <c r="N6540" s="88"/>
      <c r="O6540" s="88"/>
      <c r="P6540" s="88"/>
    </row>
    <row r="6541" spans="1:16">
      <c r="A6541" s="94">
        <v>95390</v>
      </c>
      <c r="B6541" s="87" t="s">
        <v>5344</v>
      </c>
      <c r="C6541" s="12" t="s">
        <v>10</v>
      </c>
      <c r="D6541" s="93">
        <v>0.05</v>
      </c>
      <c r="E6541" s="93">
        <v>0.05</v>
      </c>
      <c r="F6541" s="93">
        <v>0</v>
      </c>
      <c r="G6541" s="93">
        <v>0</v>
      </c>
      <c r="H6541" s="93">
        <v>0</v>
      </c>
      <c r="N6541" s="88"/>
      <c r="O6541" s="88"/>
      <c r="P6541" s="88"/>
    </row>
    <row r="6542" spans="1:16">
      <c r="A6542" s="94">
        <v>95391</v>
      </c>
      <c r="B6542" s="87" t="s">
        <v>5345</v>
      </c>
      <c r="C6542" s="12" t="s">
        <v>10</v>
      </c>
      <c r="D6542" s="93">
        <v>0.1</v>
      </c>
      <c r="E6542" s="93">
        <v>0.1</v>
      </c>
      <c r="F6542" s="93">
        <v>0</v>
      </c>
      <c r="G6542" s="93">
        <v>0</v>
      </c>
      <c r="H6542" s="93">
        <v>0</v>
      </c>
      <c r="N6542" s="88"/>
      <c r="O6542" s="88"/>
      <c r="P6542" s="88"/>
    </row>
    <row r="6543" spans="1:16">
      <c r="A6543" s="94">
        <v>95392</v>
      </c>
      <c r="B6543" s="87" t="s">
        <v>5346</v>
      </c>
      <c r="C6543" s="12" t="s">
        <v>10</v>
      </c>
      <c r="D6543" s="93">
        <v>7.0000000000000007E-2</v>
      </c>
      <c r="E6543" s="93">
        <v>7.0000000000000007E-2</v>
      </c>
      <c r="F6543" s="93">
        <v>0</v>
      </c>
      <c r="G6543" s="93">
        <v>0</v>
      </c>
      <c r="H6543" s="93">
        <v>0</v>
      </c>
      <c r="N6543" s="88"/>
      <c r="O6543" s="88"/>
      <c r="P6543" s="88"/>
    </row>
    <row r="6544" spans="1:16">
      <c r="A6544" s="94">
        <v>95393</v>
      </c>
      <c r="B6544" s="87" t="s">
        <v>5347</v>
      </c>
      <c r="C6544" s="12" t="s">
        <v>10</v>
      </c>
      <c r="D6544" s="93">
        <v>0.31</v>
      </c>
      <c r="E6544" s="93">
        <v>0.31</v>
      </c>
      <c r="F6544" s="93">
        <v>0</v>
      </c>
      <c r="G6544" s="93">
        <v>0</v>
      </c>
      <c r="H6544" s="93">
        <v>0</v>
      </c>
      <c r="N6544" s="88"/>
      <c r="O6544" s="88"/>
      <c r="P6544" s="88"/>
    </row>
    <row r="6545" spans="1:16">
      <c r="A6545" s="94">
        <v>95394</v>
      </c>
      <c r="B6545" s="87" t="s">
        <v>5348</v>
      </c>
      <c r="C6545" s="12" t="s">
        <v>10</v>
      </c>
      <c r="D6545" s="93">
        <v>0.37</v>
      </c>
      <c r="E6545" s="93">
        <v>0.37</v>
      </c>
      <c r="F6545" s="93">
        <v>0</v>
      </c>
      <c r="G6545" s="93">
        <v>0</v>
      </c>
      <c r="H6545" s="93">
        <v>0</v>
      </c>
      <c r="N6545" s="88"/>
      <c r="O6545" s="88"/>
      <c r="P6545" s="88"/>
    </row>
    <row r="6546" spans="1:16">
      <c r="A6546" s="94">
        <v>95395</v>
      </c>
      <c r="B6546" s="87" t="s">
        <v>5349</v>
      </c>
      <c r="C6546" s="12" t="s">
        <v>10</v>
      </c>
      <c r="D6546" s="93">
        <v>0.53</v>
      </c>
      <c r="E6546" s="93">
        <v>0.53</v>
      </c>
      <c r="F6546" s="93">
        <v>0</v>
      </c>
      <c r="G6546" s="93">
        <v>0</v>
      </c>
      <c r="H6546" s="93">
        <v>0</v>
      </c>
      <c r="N6546" s="88"/>
      <c r="O6546" s="88"/>
      <c r="P6546" s="88"/>
    </row>
    <row r="6547" spans="1:16">
      <c r="A6547" s="94">
        <v>95396</v>
      </c>
      <c r="B6547" s="87" t="s">
        <v>5350</v>
      </c>
      <c r="C6547" s="12" t="s">
        <v>10</v>
      </c>
      <c r="D6547" s="93">
        <v>0.71</v>
      </c>
      <c r="E6547" s="93">
        <v>0.71</v>
      </c>
      <c r="F6547" s="93">
        <v>0</v>
      </c>
      <c r="G6547" s="93">
        <v>0</v>
      </c>
      <c r="H6547" s="93">
        <v>0</v>
      </c>
      <c r="N6547" s="88"/>
      <c r="O6547" s="88"/>
      <c r="P6547" s="88"/>
    </row>
    <row r="6548" spans="1:16">
      <c r="A6548" s="94">
        <v>95397</v>
      </c>
      <c r="B6548" s="87" t="s">
        <v>5351</v>
      </c>
      <c r="C6548" s="12" t="s">
        <v>10</v>
      </c>
      <c r="D6548" s="93">
        <v>0.08</v>
      </c>
      <c r="E6548" s="93">
        <v>0.08</v>
      </c>
      <c r="F6548" s="93">
        <v>0</v>
      </c>
      <c r="G6548" s="93">
        <v>0</v>
      </c>
      <c r="H6548" s="93">
        <v>0</v>
      </c>
      <c r="N6548" s="88"/>
      <c r="O6548" s="88"/>
      <c r="P6548" s="88"/>
    </row>
    <row r="6549" spans="1:16">
      <c r="A6549" s="94">
        <v>95398</v>
      </c>
      <c r="B6549" s="87" t="s">
        <v>5352</v>
      </c>
      <c r="C6549" s="12" t="s">
        <v>10</v>
      </c>
      <c r="D6549" s="93">
        <v>0.06</v>
      </c>
      <c r="E6549" s="93">
        <v>0.06</v>
      </c>
      <c r="F6549" s="93">
        <v>0</v>
      </c>
      <c r="G6549" s="93">
        <v>0</v>
      </c>
      <c r="H6549" s="93">
        <v>0</v>
      </c>
      <c r="N6549" s="88"/>
      <c r="O6549" s="88"/>
      <c r="P6549" s="88"/>
    </row>
    <row r="6550" spans="1:16">
      <c r="A6550" s="94">
        <v>95399</v>
      </c>
      <c r="B6550" s="87" t="s">
        <v>5353</v>
      </c>
      <c r="C6550" s="12" t="s">
        <v>10</v>
      </c>
      <c r="D6550" s="93">
        <v>0.08</v>
      </c>
      <c r="E6550" s="93">
        <v>0.08</v>
      </c>
      <c r="F6550" s="93">
        <v>0</v>
      </c>
      <c r="G6550" s="93">
        <v>0</v>
      </c>
      <c r="H6550" s="93">
        <v>0</v>
      </c>
      <c r="N6550" s="88"/>
      <c r="O6550" s="88"/>
      <c r="P6550" s="88"/>
    </row>
    <row r="6551" spans="1:16">
      <c r="A6551" s="94">
        <v>95400</v>
      </c>
      <c r="B6551" s="87" t="s">
        <v>5354</v>
      </c>
      <c r="C6551" s="12" t="s">
        <v>10</v>
      </c>
      <c r="D6551" s="93">
        <v>0.08</v>
      </c>
      <c r="E6551" s="93">
        <v>0.08</v>
      </c>
      <c r="F6551" s="93">
        <v>0</v>
      </c>
      <c r="G6551" s="93">
        <v>0</v>
      </c>
      <c r="H6551" s="93">
        <v>0</v>
      </c>
      <c r="N6551" s="88"/>
      <c r="O6551" s="88"/>
      <c r="P6551" s="88"/>
    </row>
    <row r="6552" spans="1:16">
      <c r="A6552" s="94">
        <v>95401</v>
      </c>
      <c r="B6552" s="87" t="s">
        <v>5355</v>
      </c>
      <c r="C6552" s="12" t="s">
        <v>10</v>
      </c>
      <c r="D6552" s="93">
        <v>0.51</v>
      </c>
      <c r="E6552" s="93">
        <v>0.51</v>
      </c>
      <c r="F6552" s="93">
        <v>0</v>
      </c>
      <c r="G6552" s="93">
        <v>0</v>
      </c>
      <c r="H6552" s="93">
        <v>0</v>
      </c>
      <c r="N6552" s="88"/>
      <c r="O6552" s="88"/>
      <c r="P6552" s="88"/>
    </row>
    <row r="6553" spans="1:16">
      <c r="A6553" s="94">
        <v>95402</v>
      </c>
      <c r="B6553" s="87" t="s">
        <v>5356</v>
      </c>
      <c r="C6553" s="12" t="s">
        <v>10</v>
      </c>
      <c r="D6553" s="93">
        <v>0.91</v>
      </c>
      <c r="E6553" s="93">
        <v>0.91</v>
      </c>
      <c r="F6553" s="93">
        <v>0</v>
      </c>
      <c r="G6553" s="93">
        <v>0</v>
      </c>
      <c r="H6553" s="93">
        <v>0</v>
      </c>
      <c r="N6553" s="88"/>
      <c r="O6553" s="88"/>
      <c r="P6553" s="88"/>
    </row>
    <row r="6554" spans="1:16">
      <c r="A6554" s="94">
        <v>95403</v>
      </c>
      <c r="B6554" s="87" t="s">
        <v>5357</v>
      </c>
      <c r="C6554" s="12" t="s">
        <v>10</v>
      </c>
      <c r="D6554" s="93">
        <v>1.04</v>
      </c>
      <c r="E6554" s="93">
        <v>1.04</v>
      </c>
      <c r="F6554" s="93">
        <v>0</v>
      </c>
      <c r="G6554" s="93">
        <v>0</v>
      </c>
      <c r="H6554" s="93">
        <v>0</v>
      </c>
      <c r="N6554" s="88"/>
      <c r="O6554" s="88"/>
      <c r="P6554" s="88"/>
    </row>
    <row r="6555" spans="1:16">
      <c r="A6555" s="94">
        <v>95404</v>
      </c>
      <c r="B6555" s="87" t="s">
        <v>5358</v>
      </c>
      <c r="C6555" s="12" t="s">
        <v>10</v>
      </c>
      <c r="D6555" s="93">
        <v>1.42</v>
      </c>
      <c r="E6555" s="93">
        <v>1.42</v>
      </c>
      <c r="F6555" s="93">
        <v>0</v>
      </c>
      <c r="G6555" s="93">
        <v>0</v>
      </c>
      <c r="H6555" s="93">
        <v>0</v>
      </c>
      <c r="N6555" s="88"/>
      <c r="O6555" s="88"/>
      <c r="P6555" s="88"/>
    </row>
    <row r="6556" spans="1:16">
      <c r="A6556" s="94">
        <v>95405</v>
      </c>
      <c r="B6556" s="87" t="s">
        <v>5359</v>
      </c>
      <c r="C6556" s="12" t="s">
        <v>10</v>
      </c>
      <c r="D6556" s="93">
        <v>0.78</v>
      </c>
      <c r="E6556" s="93">
        <v>0.78</v>
      </c>
      <c r="F6556" s="93">
        <v>0</v>
      </c>
      <c r="G6556" s="93">
        <v>0</v>
      </c>
      <c r="H6556" s="93">
        <v>0</v>
      </c>
      <c r="N6556" s="88"/>
      <c r="O6556" s="88"/>
      <c r="P6556" s="88"/>
    </row>
    <row r="6557" spans="1:16">
      <c r="A6557" s="94">
        <v>95406</v>
      </c>
      <c r="B6557" s="87" t="s">
        <v>5360</v>
      </c>
      <c r="C6557" s="12" t="s">
        <v>10</v>
      </c>
      <c r="D6557" s="93">
        <v>0.1</v>
      </c>
      <c r="E6557" s="93">
        <v>0.1</v>
      </c>
      <c r="F6557" s="93">
        <v>0</v>
      </c>
      <c r="G6557" s="93">
        <v>0</v>
      </c>
      <c r="H6557" s="93">
        <v>0</v>
      </c>
      <c r="N6557" s="88"/>
      <c r="O6557" s="88"/>
      <c r="P6557" s="88"/>
    </row>
    <row r="6558" spans="1:16">
      <c r="A6558" s="94">
        <v>95407</v>
      </c>
      <c r="B6558" s="87" t="s">
        <v>5361</v>
      </c>
      <c r="C6558" s="12" t="s">
        <v>10</v>
      </c>
      <c r="D6558" s="93">
        <v>2.12</v>
      </c>
      <c r="E6558" s="93">
        <v>2.12</v>
      </c>
      <c r="F6558" s="93">
        <v>0</v>
      </c>
      <c r="G6558" s="93">
        <v>0</v>
      </c>
      <c r="H6558" s="93">
        <v>0</v>
      </c>
      <c r="N6558" s="88"/>
      <c r="O6558" s="88"/>
      <c r="P6558" s="88"/>
    </row>
    <row r="6559" spans="1:16">
      <c r="A6559" s="94">
        <v>95408</v>
      </c>
      <c r="B6559" s="87" t="s">
        <v>5362</v>
      </c>
      <c r="C6559" s="12" t="s">
        <v>15</v>
      </c>
      <c r="D6559" s="93">
        <v>11.6</v>
      </c>
      <c r="E6559" s="93">
        <v>11.6</v>
      </c>
      <c r="F6559" s="93">
        <v>0</v>
      </c>
      <c r="G6559" s="93">
        <v>0</v>
      </c>
      <c r="H6559" s="93">
        <v>0</v>
      </c>
      <c r="N6559" s="88"/>
      <c r="O6559" s="88"/>
      <c r="P6559" s="88"/>
    </row>
    <row r="6560" spans="1:16">
      <c r="A6560" s="94">
        <v>95409</v>
      </c>
      <c r="B6560" s="87" t="s">
        <v>5363</v>
      </c>
      <c r="C6560" s="12" t="s">
        <v>15</v>
      </c>
      <c r="D6560" s="93">
        <v>14.58</v>
      </c>
      <c r="E6560" s="93">
        <v>14.58</v>
      </c>
      <c r="F6560" s="93">
        <v>0</v>
      </c>
      <c r="G6560" s="93">
        <v>0</v>
      </c>
      <c r="H6560" s="93">
        <v>0</v>
      </c>
      <c r="N6560" s="88"/>
      <c r="O6560" s="88"/>
      <c r="P6560" s="88"/>
    </row>
    <row r="6561" spans="1:16">
      <c r="A6561" s="94">
        <v>95410</v>
      </c>
      <c r="B6561" s="87" t="s">
        <v>5364</v>
      </c>
      <c r="C6561" s="12" t="s">
        <v>15</v>
      </c>
      <c r="D6561" s="93">
        <v>11.08</v>
      </c>
      <c r="E6561" s="93">
        <v>11.08</v>
      </c>
      <c r="F6561" s="93">
        <v>0</v>
      </c>
      <c r="G6561" s="93">
        <v>0</v>
      </c>
      <c r="H6561" s="93">
        <v>0</v>
      </c>
      <c r="N6561" s="88"/>
      <c r="O6561" s="88"/>
      <c r="P6561" s="88"/>
    </row>
    <row r="6562" spans="1:16">
      <c r="A6562" s="94">
        <v>95411</v>
      </c>
      <c r="B6562" s="87" t="s">
        <v>5365</v>
      </c>
      <c r="C6562" s="12" t="s">
        <v>15</v>
      </c>
      <c r="D6562" s="93">
        <v>11.65</v>
      </c>
      <c r="E6562" s="93">
        <v>11.65</v>
      </c>
      <c r="F6562" s="93">
        <v>0</v>
      </c>
      <c r="G6562" s="93">
        <v>0</v>
      </c>
      <c r="H6562" s="93">
        <v>0</v>
      </c>
      <c r="N6562" s="88"/>
      <c r="O6562" s="88"/>
      <c r="P6562" s="88"/>
    </row>
    <row r="6563" spans="1:16">
      <c r="A6563" s="94">
        <v>95412</v>
      </c>
      <c r="B6563" s="87" t="s">
        <v>5366</v>
      </c>
      <c r="C6563" s="12" t="s">
        <v>15</v>
      </c>
      <c r="D6563" s="93">
        <v>11.95</v>
      </c>
      <c r="E6563" s="93">
        <v>11.95</v>
      </c>
      <c r="F6563" s="93">
        <v>0</v>
      </c>
      <c r="G6563" s="93">
        <v>0</v>
      </c>
      <c r="H6563" s="93">
        <v>0</v>
      </c>
      <c r="N6563" s="88"/>
      <c r="O6563" s="88"/>
      <c r="P6563" s="88"/>
    </row>
    <row r="6564" spans="1:16">
      <c r="A6564" s="94">
        <v>95413</v>
      </c>
      <c r="B6564" s="87" t="s">
        <v>5367</v>
      </c>
      <c r="C6564" s="12" t="s">
        <v>15</v>
      </c>
      <c r="D6564" s="93">
        <v>10.4</v>
      </c>
      <c r="E6564" s="93">
        <v>10.4</v>
      </c>
      <c r="F6564" s="93">
        <v>0</v>
      </c>
      <c r="G6564" s="93">
        <v>0</v>
      </c>
      <c r="H6564" s="93">
        <v>0</v>
      </c>
      <c r="N6564" s="88"/>
      <c r="O6564" s="88"/>
      <c r="P6564" s="88"/>
    </row>
    <row r="6565" spans="1:16">
      <c r="A6565" s="94">
        <v>95414</v>
      </c>
      <c r="B6565" s="87" t="s">
        <v>5368</v>
      </c>
      <c r="C6565" s="12" t="s">
        <v>15</v>
      </c>
      <c r="D6565" s="93">
        <v>43.09</v>
      </c>
      <c r="E6565" s="93">
        <v>43.09</v>
      </c>
      <c r="F6565" s="93">
        <v>0</v>
      </c>
      <c r="G6565" s="93">
        <v>0</v>
      </c>
      <c r="H6565" s="93">
        <v>0</v>
      </c>
      <c r="N6565" s="88"/>
      <c r="O6565" s="88"/>
      <c r="P6565" s="88"/>
    </row>
    <row r="6566" spans="1:16">
      <c r="A6566" s="94">
        <v>95415</v>
      </c>
      <c r="B6566" s="87" t="s">
        <v>5369</v>
      </c>
      <c r="C6566" s="12" t="s">
        <v>15</v>
      </c>
      <c r="D6566" s="93">
        <v>125.19</v>
      </c>
      <c r="E6566" s="93">
        <v>125.19</v>
      </c>
      <c r="F6566" s="93">
        <v>0</v>
      </c>
      <c r="G6566" s="93">
        <v>0</v>
      </c>
      <c r="H6566" s="93">
        <v>0</v>
      </c>
      <c r="N6566" s="88"/>
      <c r="O6566" s="88"/>
      <c r="P6566" s="88"/>
    </row>
    <row r="6567" spans="1:16">
      <c r="A6567" s="94">
        <v>95416</v>
      </c>
      <c r="B6567" s="87" t="s">
        <v>5370</v>
      </c>
      <c r="C6567" s="12" t="s">
        <v>15</v>
      </c>
      <c r="D6567" s="93">
        <v>9.11</v>
      </c>
      <c r="E6567" s="93">
        <v>9.11</v>
      </c>
      <c r="F6567" s="93">
        <v>0</v>
      </c>
      <c r="G6567" s="93">
        <v>0</v>
      </c>
      <c r="H6567" s="93">
        <v>0</v>
      </c>
      <c r="N6567" s="88"/>
      <c r="O6567" s="88"/>
      <c r="P6567" s="88"/>
    </row>
    <row r="6568" spans="1:16">
      <c r="A6568" s="94">
        <v>95417</v>
      </c>
      <c r="B6568" s="87" t="s">
        <v>5371</v>
      </c>
      <c r="C6568" s="12" t="s">
        <v>15</v>
      </c>
      <c r="D6568" s="93">
        <v>142.49</v>
      </c>
      <c r="E6568" s="93">
        <v>142.49</v>
      </c>
      <c r="F6568" s="93">
        <v>0</v>
      </c>
      <c r="G6568" s="93">
        <v>0</v>
      </c>
      <c r="H6568" s="93">
        <v>0</v>
      </c>
      <c r="N6568" s="88"/>
      <c r="O6568" s="88"/>
      <c r="P6568" s="88"/>
    </row>
    <row r="6569" spans="1:16">
      <c r="A6569" s="94">
        <v>95418</v>
      </c>
      <c r="B6569" s="87" t="s">
        <v>5372</v>
      </c>
      <c r="C6569" s="12" t="s">
        <v>15</v>
      </c>
      <c r="D6569" s="93">
        <v>194.79</v>
      </c>
      <c r="E6569" s="93">
        <v>194.79</v>
      </c>
      <c r="F6569" s="93">
        <v>0</v>
      </c>
      <c r="G6569" s="93">
        <v>0</v>
      </c>
      <c r="H6569" s="93">
        <v>0</v>
      </c>
      <c r="N6569" s="88"/>
      <c r="O6569" s="88"/>
      <c r="P6569" s="88"/>
    </row>
    <row r="6570" spans="1:16">
      <c r="A6570" s="94">
        <v>95419</v>
      </c>
      <c r="B6570" s="87" t="s">
        <v>5373</v>
      </c>
      <c r="C6570" s="12" t="s">
        <v>15</v>
      </c>
      <c r="D6570" s="93">
        <v>52.4</v>
      </c>
      <c r="E6570" s="93">
        <v>52.4</v>
      </c>
      <c r="F6570" s="93">
        <v>0</v>
      </c>
      <c r="G6570" s="93">
        <v>0</v>
      </c>
      <c r="H6570" s="93">
        <v>0</v>
      </c>
      <c r="N6570" s="88"/>
      <c r="O6570" s="88"/>
      <c r="P6570" s="88"/>
    </row>
    <row r="6571" spans="1:16">
      <c r="A6571" s="94">
        <v>95420</v>
      </c>
      <c r="B6571" s="87" t="s">
        <v>5374</v>
      </c>
      <c r="C6571" s="12" t="s">
        <v>15</v>
      </c>
      <c r="D6571" s="93">
        <v>74.430000000000007</v>
      </c>
      <c r="E6571" s="93">
        <v>74.430000000000007</v>
      </c>
      <c r="F6571" s="93">
        <v>0</v>
      </c>
      <c r="G6571" s="93">
        <v>0</v>
      </c>
      <c r="H6571" s="93">
        <v>0</v>
      </c>
      <c r="N6571" s="88"/>
      <c r="O6571" s="88"/>
      <c r="P6571" s="88"/>
    </row>
    <row r="6572" spans="1:16">
      <c r="A6572" s="94">
        <v>95421</v>
      </c>
      <c r="B6572" s="87" t="s">
        <v>5375</v>
      </c>
      <c r="C6572" s="12" t="s">
        <v>15</v>
      </c>
      <c r="D6572" s="93">
        <v>98.41</v>
      </c>
      <c r="E6572" s="93">
        <v>98.41</v>
      </c>
      <c r="F6572" s="93">
        <v>0</v>
      </c>
      <c r="G6572" s="93">
        <v>0</v>
      </c>
      <c r="H6572" s="93">
        <v>0</v>
      </c>
      <c r="N6572" s="88"/>
      <c r="O6572" s="88"/>
      <c r="P6572" s="88"/>
    </row>
    <row r="6573" spans="1:16">
      <c r="A6573" s="94">
        <v>95422</v>
      </c>
      <c r="B6573" s="87" t="s">
        <v>5376</v>
      </c>
      <c r="C6573" s="12" t="s">
        <v>15</v>
      </c>
      <c r="D6573" s="93">
        <v>70.05</v>
      </c>
      <c r="E6573" s="93">
        <v>70.05</v>
      </c>
      <c r="F6573" s="93">
        <v>0</v>
      </c>
      <c r="G6573" s="93">
        <v>0</v>
      </c>
      <c r="H6573" s="93">
        <v>0</v>
      </c>
      <c r="N6573" s="88"/>
      <c r="O6573" s="88"/>
      <c r="P6573" s="88"/>
    </row>
    <row r="6574" spans="1:16">
      <c r="A6574" s="94">
        <v>95423</v>
      </c>
      <c r="B6574" s="87" t="s">
        <v>5377</v>
      </c>
      <c r="C6574" s="12" t="s">
        <v>15</v>
      </c>
      <c r="D6574" s="93">
        <v>106.33</v>
      </c>
      <c r="E6574" s="93">
        <v>106.33</v>
      </c>
      <c r="F6574" s="93">
        <v>0</v>
      </c>
      <c r="G6574" s="93">
        <v>0</v>
      </c>
      <c r="H6574" s="93">
        <v>0</v>
      </c>
      <c r="N6574" s="88"/>
      <c r="O6574" s="88"/>
      <c r="P6574" s="88"/>
    </row>
    <row r="6575" spans="1:16">
      <c r="A6575" s="94">
        <v>95424</v>
      </c>
      <c r="B6575" s="87" t="s">
        <v>5378</v>
      </c>
      <c r="C6575" s="12" t="s">
        <v>15</v>
      </c>
      <c r="D6575" s="93">
        <v>14.39</v>
      </c>
      <c r="E6575" s="93">
        <v>14.39</v>
      </c>
      <c r="F6575" s="93">
        <v>0</v>
      </c>
      <c r="G6575" s="93">
        <v>0</v>
      </c>
      <c r="H6575" s="93">
        <v>0</v>
      </c>
      <c r="N6575" s="88"/>
      <c r="O6575" s="88"/>
      <c r="P6575" s="88"/>
    </row>
    <row r="6576" spans="1:16">
      <c r="A6576" s="94">
        <v>100288</v>
      </c>
      <c r="B6576" s="87" t="s">
        <v>5379</v>
      </c>
      <c r="C6576" s="12" t="s">
        <v>10</v>
      </c>
      <c r="D6576" s="93">
        <v>0.03</v>
      </c>
      <c r="E6576" s="93">
        <v>0.03</v>
      </c>
      <c r="F6576" s="93">
        <v>0</v>
      </c>
      <c r="G6576" s="93">
        <v>0</v>
      </c>
      <c r="H6576" s="93">
        <v>0</v>
      </c>
      <c r="N6576" s="88"/>
      <c r="O6576" s="88"/>
      <c r="P6576" s="88"/>
    </row>
    <row r="6577" spans="1:16">
      <c r="A6577" s="94">
        <v>100289</v>
      </c>
      <c r="B6577" s="87" t="s">
        <v>5380</v>
      </c>
      <c r="C6577" s="12" t="s">
        <v>10</v>
      </c>
      <c r="D6577" s="93">
        <v>15.42</v>
      </c>
      <c r="E6577" s="93">
        <v>10.95</v>
      </c>
      <c r="F6577" s="93">
        <v>4.47</v>
      </c>
      <c r="G6577" s="93">
        <v>0</v>
      </c>
      <c r="H6577" s="93">
        <v>0</v>
      </c>
      <c r="N6577" s="88"/>
      <c r="O6577" s="88"/>
      <c r="P6577" s="88"/>
    </row>
    <row r="6578" spans="1:16">
      <c r="A6578" s="94">
        <v>100290</v>
      </c>
      <c r="B6578" s="87" t="s">
        <v>5381</v>
      </c>
      <c r="C6578" s="12" t="s">
        <v>10</v>
      </c>
      <c r="D6578" s="93">
        <v>0.05</v>
      </c>
      <c r="E6578" s="93">
        <v>0.05</v>
      </c>
      <c r="F6578" s="93">
        <v>0</v>
      </c>
      <c r="G6578" s="93">
        <v>0</v>
      </c>
      <c r="H6578" s="93">
        <v>0</v>
      </c>
      <c r="N6578" s="88"/>
      <c r="O6578" s="88"/>
      <c r="P6578" s="88"/>
    </row>
    <row r="6579" spans="1:16">
      <c r="A6579" s="94">
        <v>100291</v>
      </c>
      <c r="B6579" s="87" t="s">
        <v>5382</v>
      </c>
      <c r="C6579" s="12" t="s">
        <v>10</v>
      </c>
      <c r="D6579" s="93">
        <v>0.12</v>
      </c>
      <c r="E6579" s="93">
        <v>0.12</v>
      </c>
      <c r="F6579" s="93">
        <v>0</v>
      </c>
      <c r="G6579" s="93">
        <v>0</v>
      </c>
      <c r="H6579" s="93">
        <v>0</v>
      </c>
      <c r="N6579" s="88"/>
      <c r="O6579" s="88"/>
      <c r="P6579" s="88"/>
    </row>
    <row r="6580" spans="1:16">
      <c r="A6580" s="94">
        <v>100292</v>
      </c>
      <c r="B6580" s="87" t="s">
        <v>5383</v>
      </c>
      <c r="C6580" s="12" t="s">
        <v>10</v>
      </c>
      <c r="D6580" s="93">
        <v>0.46</v>
      </c>
      <c r="E6580" s="93">
        <v>0.46</v>
      </c>
      <c r="F6580" s="93">
        <v>0</v>
      </c>
      <c r="G6580" s="93">
        <v>0</v>
      </c>
      <c r="H6580" s="93">
        <v>0</v>
      </c>
      <c r="N6580" s="88"/>
      <c r="O6580" s="88"/>
      <c r="P6580" s="88"/>
    </row>
    <row r="6581" spans="1:16">
      <c r="A6581" s="94">
        <v>100293</v>
      </c>
      <c r="B6581" s="87" t="s">
        <v>5384</v>
      </c>
      <c r="C6581" s="12" t="s">
        <v>10</v>
      </c>
      <c r="D6581" s="93">
        <v>0.12</v>
      </c>
      <c r="E6581" s="93">
        <v>0.12</v>
      </c>
      <c r="F6581" s="93">
        <v>0</v>
      </c>
      <c r="G6581" s="93">
        <v>0</v>
      </c>
      <c r="H6581" s="93">
        <v>0</v>
      </c>
      <c r="N6581" s="88"/>
      <c r="O6581" s="88"/>
      <c r="P6581" s="88"/>
    </row>
    <row r="6582" spans="1:16">
      <c r="A6582" s="94">
        <v>100294</v>
      </c>
      <c r="B6582" s="87" t="s">
        <v>5385</v>
      </c>
      <c r="C6582" s="12" t="s">
        <v>10</v>
      </c>
      <c r="D6582" s="93">
        <v>0.23</v>
      </c>
      <c r="E6582" s="93">
        <v>0.23</v>
      </c>
      <c r="F6582" s="93">
        <v>0</v>
      </c>
      <c r="G6582" s="93">
        <v>0</v>
      </c>
      <c r="H6582" s="93">
        <v>0</v>
      </c>
      <c r="N6582" s="88"/>
      <c r="O6582" s="88"/>
      <c r="P6582" s="88"/>
    </row>
    <row r="6583" spans="1:16">
      <c r="A6583" s="94">
        <v>100295</v>
      </c>
      <c r="B6583" s="87" t="s">
        <v>5386</v>
      </c>
      <c r="C6583" s="12" t="s">
        <v>10</v>
      </c>
      <c r="D6583" s="93">
        <v>0.35</v>
      </c>
      <c r="E6583" s="93">
        <v>0.35</v>
      </c>
      <c r="F6583" s="93">
        <v>0</v>
      </c>
      <c r="G6583" s="93">
        <v>0</v>
      </c>
      <c r="H6583" s="93">
        <v>0</v>
      </c>
      <c r="N6583" s="88"/>
      <c r="O6583" s="88"/>
      <c r="P6583" s="88"/>
    </row>
    <row r="6584" spans="1:16">
      <c r="A6584" s="94">
        <v>100296</v>
      </c>
      <c r="B6584" s="87" t="s">
        <v>5387</v>
      </c>
      <c r="C6584" s="12" t="s">
        <v>10</v>
      </c>
      <c r="D6584" s="93">
        <v>0.72</v>
      </c>
      <c r="E6584" s="93">
        <v>0.72</v>
      </c>
      <c r="F6584" s="93">
        <v>0</v>
      </c>
      <c r="G6584" s="93">
        <v>0</v>
      </c>
      <c r="H6584" s="93">
        <v>0</v>
      </c>
      <c r="N6584" s="88"/>
      <c r="O6584" s="88"/>
      <c r="P6584" s="88"/>
    </row>
    <row r="6585" spans="1:16">
      <c r="A6585" s="94">
        <v>100297</v>
      </c>
      <c r="B6585" s="87" t="s">
        <v>5388</v>
      </c>
      <c r="C6585" s="12" t="s">
        <v>10</v>
      </c>
      <c r="D6585" s="93">
        <v>0.81</v>
      </c>
      <c r="E6585" s="93">
        <v>0.81</v>
      </c>
      <c r="F6585" s="93">
        <v>0</v>
      </c>
      <c r="G6585" s="93">
        <v>0</v>
      </c>
      <c r="H6585" s="93">
        <v>0</v>
      </c>
      <c r="N6585" s="88"/>
      <c r="O6585" s="88"/>
      <c r="P6585" s="88"/>
    </row>
    <row r="6586" spans="1:16">
      <c r="A6586" s="94">
        <v>100298</v>
      </c>
      <c r="B6586" s="87" t="s">
        <v>5389</v>
      </c>
      <c r="C6586" s="12" t="s">
        <v>10</v>
      </c>
      <c r="D6586" s="93">
        <v>0.34</v>
      </c>
      <c r="E6586" s="93">
        <v>0.34</v>
      </c>
      <c r="F6586" s="93">
        <v>0</v>
      </c>
      <c r="G6586" s="93">
        <v>0</v>
      </c>
      <c r="H6586" s="93">
        <v>0</v>
      </c>
      <c r="N6586" s="88"/>
      <c r="O6586" s="88"/>
      <c r="P6586" s="88"/>
    </row>
    <row r="6587" spans="1:16">
      <c r="A6587" s="94">
        <v>100299</v>
      </c>
      <c r="B6587" s="87" t="s">
        <v>5390</v>
      </c>
      <c r="C6587" s="12" t="s">
        <v>10</v>
      </c>
      <c r="D6587" s="93">
        <v>0.33</v>
      </c>
      <c r="E6587" s="93">
        <v>0.33</v>
      </c>
      <c r="F6587" s="93">
        <v>0</v>
      </c>
      <c r="G6587" s="93">
        <v>0</v>
      </c>
      <c r="H6587" s="93">
        <v>0</v>
      </c>
      <c r="N6587" s="88"/>
      <c r="O6587" s="88"/>
      <c r="P6587" s="88"/>
    </row>
    <row r="6588" spans="1:16">
      <c r="A6588" s="94">
        <v>100300</v>
      </c>
      <c r="B6588" s="87" t="s">
        <v>5391</v>
      </c>
      <c r="C6588" s="12" t="s">
        <v>10</v>
      </c>
      <c r="D6588" s="93">
        <v>17.36</v>
      </c>
      <c r="E6588" s="93">
        <v>16.13</v>
      </c>
      <c r="F6588" s="93">
        <v>1.23</v>
      </c>
      <c r="G6588" s="93">
        <v>0</v>
      </c>
      <c r="H6588" s="93">
        <v>0</v>
      </c>
      <c r="N6588" s="88"/>
      <c r="O6588" s="88"/>
      <c r="P6588" s="88"/>
    </row>
    <row r="6589" spans="1:16">
      <c r="A6589" s="94">
        <v>100301</v>
      </c>
      <c r="B6589" s="87" t="s">
        <v>5392</v>
      </c>
      <c r="C6589" s="12" t="s">
        <v>10</v>
      </c>
      <c r="D6589" s="93">
        <v>17.940000000000001</v>
      </c>
      <c r="E6589" s="93">
        <v>12.29</v>
      </c>
      <c r="F6589" s="93">
        <v>5.65</v>
      </c>
      <c r="G6589" s="93">
        <v>0</v>
      </c>
      <c r="H6589" s="93">
        <v>0</v>
      </c>
      <c r="N6589" s="88"/>
      <c r="O6589" s="88"/>
      <c r="P6589" s="88"/>
    </row>
    <row r="6590" spans="1:16">
      <c r="A6590" s="94">
        <v>100302</v>
      </c>
      <c r="B6590" s="87" t="s">
        <v>5393</v>
      </c>
      <c r="C6590" s="12" t="s">
        <v>10</v>
      </c>
      <c r="D6590" s="93">
        <v>129.66999999999999</v>
      </c>
      <c r="E6590" s="93">
        <v>128.5</v>
      </c>
      <c r="F6590" s="93">
        <v>1.17</v>
      </c>
      <c r="G6590" s="93">
        <v>0</v>
      </c>
      <c r="H6590" s="93">
        <v>0</v>
      </c>
      <c r="N6590" s="88"/>
      <c r="O6590" s="88"/>
      <c r="P6590" s="88"/>
    </row>
    <row r="6591" spans="1:16">
      <c r="A6591" s="94">
        <v>100303</v>
      </c>
      <c r="B6591" s="87" t="s">
        <v>5394</v>
      </c>
      <c r="C6591" s="12" t="s">
        <v>10</v>
      </c>
      <c r="D6591" s="93">
        <v>16.98</v>
      </c>
      <c r="E6591" s="93">
        <v>12.4</v>
      </c>
      <c r="F6591" s="93">
        <v>4.58</v>
      </c>
      <c r="G6591" s="93">
        <v>0</v>
      </c>
      <c r="H6591" s="93">
        <v>0</v>
      </c>
      <c r="N6591" s="88"/>
      <c r="O6591" s="88"/>
      <c r="P6591" s="88"/>
    </row>
    <row r="6592" spans="1:16">
      <c r="A6592" s="94">
        <v>100304</v>
      </c>
      <c r="B6592" s="87" t="s">
        <v>5395</v>
      </c>
      <c r="C6592" s="12" t="s">
        <v>10</v>
      </c>
      <c r="D6592" s="93">
        <v>65.760000000000005</v>
      </c>
      <c r="E6592" s="93">
        <v>64.59</v>
      </c>
      <c r="F6592" s="93">
        <v>1.17</v>
      </c>
      <c r="G6592" s="93">
        <v>0</v>
      </c>
      <c r="H6592" s="93">
        <v>0</v>
      </c>
      <c r="N6592" s="88"/>
      <c r="O6592" s="88"/>
      <c r="P6592" s="88"/>
    </row>
    <row r="6593" spans="1:16">
      <c r="A6593" s="94">
        <v>100305</v>
      </c>
      <c r="B6593" s="87" t="s">
        <v>5396</v>
      </c>
      <c r="C6593" s="12" t="s">
        <v>10</v>
      </c>
      <c r="D6593" s="93">
        <v>90.51</v>
      </c>
      <c r="E6593" s="93">
        <v>89.34</v>
      </c>
      <c r="F6593" s="93">
        <v>1.17</v>
      </c>
      <c r="G6593" s="93">
        <v>0</v>
      </c>
      <c r="H6593" s="93">
        <v>0</v>
      </c>
      <c r="N6593" s="88"/>
      <c r="O6593" s="88"/>
      <c r="P6593" s="88"/>
    </row>
    <row r="6594" spans="1:16">
      <c r="A6594" s="94">
        <v>100306</v>
      </c>
      <c r="B6594" s="87" t="s">
        <v>5397</v>
      </c>
      <c r="C6594" s="12" t="s">
        <v>10</v>
      </c>
      <c r="D6594" s="93">
        <v>101.96</v>
      </c>
      <c r="E6594" s="93">
        <v>100.79</v>
      </c>
      <c r="F6594" s="93">
        <v>1.17</v>
      </c>
      <c r="G6594" s="93">
        <v>0</v>
      </c>
      <c r="H6594" s="93">
        <v>0</v>
      </c>
      <c r="N6594" s="88"/>
      <c r="O6594" s="88"/>
      <c r="P6594" s="88"/>
    </row>
    <row r="6595" spans="1:16">
      <c r="A6595" s="94">
        <v>100307</v>
      </c>
      <c r="B6595" s="87" t="s">
        <v>5398</v>
      </c>
      <c r="C6595" s="12" t="s">
        <v>10</v>
      </c>
      <c r="D6595" s="93">
        <v>21.22</v>
      </c>
      <c r="E6595" s="93">
        <v>16.64</v>
      </c>
      <c r="F6595" s="93">
        <v>4.58</v>
      </c>
      <c r="G6595" s="93">
        <v>0</v>
      </c>
      <c r="H6595" s="93">
        <v>0</v>
      </c>
      <c r="N6595" s="88"/>
      <c r="O6595" s="88"/>
      <c r="P6595" s="88"/>
    </row>
    <row r="6596" spans="1:16">
      <c r="A6596" s="94">
        <v>100308</v>
      </c>
      <c r="B6596" s="87" t="s">
        <v>5399</v>
      </c>
      <c r="C6596" s="12" t="s">
        <v>10</v>
      </c>
      <c r="D6596" s="93">
        <v>22.52</v>
      </c>
      <c r="E6596" s="93">
        <v>17.940000000000001</v>
      </c>
      <c r="F6596" s="93">
        <v>4.58</v>
      </c>
      <c r="G6596" s="93">
        <v>0</v>
      </c>
      <c r="H6596" s="93">
        <v>0</v>
      </c>
      <c r="N6596" s="88"/>
      <c r="O6596" s="88"/>
      <c r="P6596" s="88"/>
    </row>
    <row r="6597" spans="1:16">
      <c r="A6597" s="94">
        <v>100309</v>
      </c>
      <c r="B6597" s="87" t="s">
        <v>5400</v>
      </c>
      <c r="C6597" s="12" t="s">
        <v>10</v>
      </c>
      <c r="D6597" s="93">
        <v>27.96</v>
      </c>
      <c r="E6597" s="93">
        <v>26.73</v>
      </c>
      <c r="F6597" s="93">
        <v>1.23</v>
      </c>
      <c r="G6597" s="93">
        <v>0</v>
      </c>
      <c r="H6597" s="93">
        <v>0</v>
      </c>
      <c r="N6597" s="88"/>
      <c r="O6597" s="88"/>
      <c r="P6597" s="88"/>
    </row>
    <row r="6598" spans="1:16">
      <c r="A6598" s="94">
        <v>100310</v>
      </c>
      <c r="B6598" s="87" t="s">
        <v>5401</v>
      </c>
      <c r="C6598" s="12" t="s">
        <v>15</v>
      </c>
      <c r="D6598" s="93">
        <v>7.97</v>
      </c>
      <c r="E6598" s="93">
        <v>7.97</v>
      </c>
      <c r="F6598" s="93">
        <v>0</v>
      </c>
      <c r="G6598" s="93">
        <v>0</v>
      </c>
      <c r="H6598" s="93">
        <v>0</v>
      </c>
      <c r="N6598" s="88"/>
      <c r="O6598" s="88"/>
      <c r="P6598" s="88"/>
    </row>
    <row r="6599" spans="1:16">
      <c r="A6599" s="94">
        <v>100311</v>
      </c>
      <c r="B6599" s="87" t="s">
        <v>5402</v>
      </c>
      <c r="C6599" s="12" t="s">
        <v>15</v>
      </c>
      <c r="D6599" s="93">
        <v>63.44</v>
      </c>
      <c r="E6599" s="93">
        <v>63.44</v>
      </c>
      <c r="F6599" s="93">
        <v>0</v>
      </c>
      <c r="G6599" s="93">
        <v>0</v>
      </c>
      <c r="H6599" s="93">
        <v>0</v>
      </c>
      <c r="N6599" s="88"/>
      <c r="O6599" s="88"/>
      <c r="P6599" s="88"/>
    </row>
    <row r="6600" spans="1:16">
      <c r="A6600" s="94">
        <v>100312</v>
      </c>
      <c r="B6600" s="87" t="s">
        <v>5403</v>
      </c>
      <c r="C6600" s="12" t="s">
        <v>15</v>
      </c>
      <c r="D6600" s="93">
        <v>82.01</v>
      </c>
      <c r="E6600" s="93">
        <v>82.01</v>
      </c>
      <c r="F6600" s="93">
        <v>0</v>
      </c>
      <c r="G6600" s="93">
        <v>0</v>
      </c>
      <c r="H6600" s="93">
        <v>0</v>
      </c>
      <c r="N6600" s="88"/>
      <c r="O6600" s="88"/>
      <c r="P6600" s="88"/>
    </row>
    <row r="6601" spans="1:16">
      <c r="A6601" s="94">
        <v>100313</v>
      </c>
      <c r="B6601" s="87" t="s">
        <v>5404</v>
      </c>
      <c r="C6601" s="12" t="s">
        <v>15</v>
      </c>
      <c r="D6601" s="93">
        <v>98.79</v>
      </c>
      <c r="E6601" s="93">
        <v>98.79</v>
      </c>
      <c r="F6601" s="93">
        <v>0</v>
      </c>
      <c r="G6601" s="93">
        <v>0</v>
      </c>
      <c r="H6601" s="93">
        <v>0</v>
      </c>
      <c r="N6601" s="88"/>
      <c r="O6601" s="88"/>
      <c r="P6601" s="88"/>
    </row>
    <row r="6602" spans="1:16">
      <c r="A6602" s="94">
        <v>100314</v>
      </c>
      <c r="B6602" s="87" t="s">
        <v>5405</v>
      </c>
      <c r="C6602" s="12" t="s">
        <v>15</v>
      </c>
      <c r="D6602" s="93">
        <v>111.45</v>
      </c>
      <c r="E6602" s="93">
        <v>111.45</v>
      </c>
      <c r="F6602" s="93">
        <v>0</v>
      </c>
      <c r="G6602" s="93">
        <v>0</v>
      </c>
      <c r="H6602" s="93">
        <v>0</v>
      </c>
      <c r="N6602" s="88"/>
      <c r="O6602" s="88"/>
      <c r="P6602" s="88"/>
    </row>
    <row r="6603" spans="1:16">
      <c r="A6603" s="94">
        <v>100315</v>
      </c>
      <c r="B6603" s="87" t="s">
        <v>5406</v>
      </c>
      <c r="C6603" s="12" t="s">
        <v>15</v>
      </c>
      <c r="D6603" s="93">
        <v>45.79</v>
      </c>
      <c r="E6603" s="93">
        <v>45.79</v>
      </c>
      <c r="F6603" s="93">
        <v>0</v>
      </c>
      <c r="G6603" s="93">
        <v>0</v>
      </c>
      <c r="H6603" s="93">
        <v>0</v>
      </c>
      <c r="N6603" s="88"/>
      <c r="O6603" s="88"/>
      <c r="P6603" s="88"/>
    </row>
    <row r="6604" spans="1:16">
      <c r="A6604" s="94">
        <v>100316</v>
      </c>
      <c r="B6604" s="87" t="s">
        <v>5391</v>
      </c>
      <c r="C6604" s="12" t="s">
        <v>15</v>
      </c>
      <c r="D6604" s="93">
        <v>3086.07</v>
      </c>
      <c r="E6604" s="93">
        <v>2854.54</v>
      </c>
      <c r="F6604" s="93">
        <v>231.53</v>
      </c>
      <c r="G6604" s="93">
        <v>0</v>
      </c>
      <c r="H6604" s="93">
        <v>0</v>
      </c>
      <c r="N6604" s="88"/>
      <c r="O6604" s="88"/>
      <c r="P6604" s="88"/>
    </row>
    <row r="6605" spans="1:16">
      <c r="A6605" s="94">
        <v>100317</v>
      </c>
      <c r="B6605" s="87" t="s">
        <v>5407</v>
      </c>
      <c r="C6605" s="12" t="s">
        <v>15</v>
      </c>
      <c r="D6605" s="93">
        <v>22940.43</v>
      </c>
      <c r="E6605" s="93">
        <v>22720.78</v>
      </c>
      <c r="F6605" s="93">
        <v>219.65</v>
      </c>
      <c r="G6605" s="93">
        <v>0</v>
      </c>
      <c r="H6605" s="93">
        <v>0</v>
      </c>
      <c r="N6605" s="88"/>
      <c r="O6605" s="88"/>
      <c r="P6605" s="88"/>
    </row>
    <row r="6606" spans="1:16">
      <c r="A6606" s="94">
        <v>100318</v>
      </c>
      <c r="B6606" s="87" t="s">
        <v>5395</v>
      </c>
      <c r="C6606" s="12" t="s">
        <v>15</v>
      </c>
      <c r="D6606" s="93">
        <v>11691.98</v>
      </c>
      <c r="E6606" s="93">
        <v>11472.33</v>
      </c>
      <c r="F6606" s="93">
        <v>219.65</v>
      </c>
      <c r="G6606" s="93">
        <v>0</v>
      </c>
      <c r="H6606" s="93">
        <v>0</v>
      </c>
      <c r="N6606" s="88"/>
      <c r="O6606" s="88"/>
      <c r="P6606" s="88"/>
    </row>
    <row r="6607" spans="1:16">
      <c r="A6607" s="94">
        <v>100319</v>
      </c>
      <c r="B6607" s="87" t="s">
        <v>5396</v>
      </c>
      <c r="C6607" s="12" t="s">
        <v>15</v>
      </c>
      <c r="D6607" s="93">
        <v>16000.09</v>
      </c>
      <c r="E6607" s="93">
        <v>15780.44</v>
      </c>
      <c r="F6607" s="93">
        <v>219.65</v>
      </c>
      <c r="G6607" s="93">
        <v>0</v>
      </c>
      <c r="H6607" s="93">
        <v>0</v>
      </c>
      <c r="N6607" s="88"/>
      <c r="O6607" s="88"/>
      <c r="P6607" s="88"/>
    </row>
    <row r="6608" spans="1:16">
      <c r="A6608" s="94">
        <v>100320</v>
      </c>
      <c r="B6608" s="87" t="s">
        <v>5397</v>
      </c>
      <c r="C6608" s="12" t="s">
        <v>15</v>
      </c>
      <c r="D6608" s="93">
        <v>18023.099999999999</v>
      </c>
      <c r="E6608" s="93">
        <v>17803.45</v>
      </c>
      <c r="F6608" s="93">
        <v>219.65</v>
      </c>
      <c r="G6608" s="93">
        <v>0</v>
      </c>
      <c r="H6608" s="93">
        <v>0</v>
      </c>
      <c r="N6608" s="88"/>
      <c r="O6608" s="88"/>
      <c r="P6608" s="88"/>
    </row>
    <row r="6609" spans="1:16">
      <c r="A6609" s="94">
        <v>100321</v>
      </c>
      <c r="B6609" s="87" t="s">
        <v>5400</v>
      </c>
      <c r="C6609" s="12" t="s">
        <v>15</v>
      </c>
      <c r="D6609" s="93">
        <v>4950.3900000000003</v>
      </c>
      <c r="E6609" s="93">
        <v>4718.8599999999997</v>
      </c>
      <c r="F6609" s="93">
        <v>231.53</v>
      </c>
      <c r="G6609" s="93">
        <v>0</v>
      </c>
      <c r="H6609" s="93">
        <v>0</v>
      </c>
      <c r="N6609" s="88"/>
      <c r="O6609" s="88"/>
      <c r="P6609" s="88"/>
    </row>
    <row r="6610" spans="1:16">
      <c r="A6610" s="94">
        <v>100533</v>
      </c>
      <c r="B6610" s="87" t="s">
        <v>5408</v>
      </c>
      <c r="C6610" s="12" t="s">
        <v>10</v>
      </c>
      <c r="D6610" s="93">
        <v>18.27</v>
      </c>
      <c r="E6610" s="93">
        <v>17.079999999999998</v>
      </c>
      <c r="F6610" s="93">
        <v>1.19</v>
      </c>
      <c r="G6610" s="93">
        <v>0</v>
      </c>
      <c r="H6610" s="93">
        <v>0</v>
      </c>
      <c r="N6610" s="88"/>
      <c r="O6610" s="88"/>
      <c r="P6610" s="88"/>
    </row>
    <row r="6611" spans="1:16">
      <c r="A6611" s="94">
        <v>100534</v>
      </c>
      <c r="B6611" s="87" t="s">
        <v>5408</v>
      </c>
      <c r="C6611" s="12" t="s">
        <v>15</v>
      </c>
      <c r="D6611" s="93">
        <v>3246.51</v>
      </c>
      <c r="E6611" s="93">
        <v>3014.98</v>
      </c>
      <c r="F6611" s="93">
        <v>231.53</v>
      </c>
      <c r="G6611" s="93">
        <v>0</v>
      </c>
      <c r="H6611" s="93">
        <v>0</v>
      </c>
      <c r="N6611" s="88"/>
      <c r="O6611" s="88"/>
      <c r="P6611" s="88"/>
    </row>
    <row r="6612" spans="1:16">
      <c r="A6612" s="94">
        <v>100535</v>
      </c>
      <c r="B6612" s="87" t="s">
        <v>5409</v>
      </c>
      <c r="C6612" s="12" t="s">
        <v>10</v>
      </c>
      <c r="D6612" s="93">
        <v>0.21</v>
      </c>
      <c r="E6612" s="93">
        <v>0.21</v>
      </c>
      <c r="F6612" s="93">
        <v>0</v>
      </c>
      <c r="G6612" s="93">
        <v>0</v>
      </c>
      <c r="H6612" s="93">
        <v>0</v>
      </c>
      <c r="N6612" s="88"/>
      <c r="O6612" s="88"/>
      <c r="P6612" s="88"/>
    </row>
    <row r="6613" spans="1:16">
      <c r="A6613" s="94">
        <v>100536</v>
      </c>
      <c r="B6613" s="87" t="s">
        <v>5410</v>
      </c>
      <c r="C6613" s="12" t="s">
        <v>15</v>
      </c>
      <c r="D6613" s="93">
        <v>29.26</v>
      </c>
      <c r="E6613" s="93">
        <v>29.26</v>
      </c>
      <c r="F6613" s="93">
        <v>0</v>
      </c>
      <c r="G6613" s="93">
        <v>0</v>
      </c>
      <c r="H6613" s="93">
        <v>0</v>
      </c>
      <c r="N6613" s="88"/>
      <c r="O6613" s="88"/>
      <c r="P6613" s="88"/>
    </row>
    <row r="6614" spans="1:16">
      <c r="A6614" s="94">
        <v>101284</v>
      </c>
      <c r="B6614" s="87" t="s">
        <v>5411</v>
      </c>
      <c r="C6614" s="12" t="s">
        <v>10</v>
      </c>
      <c r="D6614" s="93">
        <v>1.1200000000000001</v>
      </c>
      <c r="E6614" s="93">
        <v>1.1200000000000001</v>
      </c>
      <c r="F6614" s="93">
        <v>0</v>
      </c>
      <c r="G6614" s="93">
        <v>0</v>
      </c>
      <c r="H6614" s="93">
        <v>0</v>
      </c>
      <c r="N6614" s="88"/>
      <c r="O6614" s="88"/>
      <c r="P6614" s="88"/>
    </row>
    <row r="6615" spans="1:16">
      <c r="A6615" s="94">
        <v>101285</v>
      </c>
      <c r="B6615" s="87" t="s">
        <v>5412</v>
      </c>
      <c r="C6615" s="12" t="s">
        <v>10</v>
      </c>
      <c r="D6615" s="93">
        <v>0.31</v>
      </c>
      <c r="E6615" s="93">
        <v>0.31</v>
      </c>
      <c r="F6615" s="93">
        <v>0</v>
      </c>
      <c r="G6615" s="93">
        <v>0</v>
      </c>
      <c r="H6615" s="93">
        <v>0</v>
      </c>
      <c r="N6615" s="88"/>
      <c r="O6615" s="88"/>
      <c r="P6615" s="88"/>
    </row>
    <row r="6616" spans="1:16">
      <c r="A6616" s="94">
        <v>101286</v>
      </c>
      <c r="B6616" s="87" t="s">
        <v>5413</v>
      </c>
      <c r="C6616" s="12" t="s">
        <v>15</v>
      </c>
      <c r="D6616" s="93">
        <v>13.12</v>
      </c>
      <c r="E6616" s="93">
        <v>13.12</v>
      </c>
      <c r="F6616" s="93">
        <v>0</v>
      </c>
      <c r="G6616" s="93">
        <v>0</v>
      </c>
      <c r="H6616" s="93">
        <v>0</v>
      </c>
      <c r="N6616" s="88"/>
      <c r="O6616" s="88"/>
      <c r="P6616" s="88"/>
    </row>
    <row r="6617" spans="1:16">
      <c r="A6617" s="94">
        <v>101287</v>
      </c>
      <c r="B6617" s="87" t="s">
        <v>5414</v>
      </c>
      <c r="C6617" s="12" t="s">
        <v>15</v>
      </c>
      <c r="D6617" s="93">
        <v>42.84</v>
      </c>
      <c r="E6617" s="93">
        <v>42.84</v>
      </c>
      <c r="F6617" s="93">
        <v>0</v>
      </c>
      <c r="G6617" s="93">
        <v>0</v>
      </c>
      <c r="H6617" s="93">
        <v>0</v>
      </c>
      <c r="N6617" s="88"/>
      <c r="O6617" s="88"/>
      <c r="P6617" s="88"/>
    </row>
    <row r="6618" spans="1:16">
      <c r="A6618" s="94">
        <v>101288</v>
      </c>
      <c r="B6618" s="87" t="s">
        <v>5415</v>
      </c>
      <c r="C6618" s="12" t="s">
        <v>15</v>
      </c>
      <c r="D6618" s="93">
        <v>17.98</v>
      </c>
      <c r="E6618" s="93">
        <v>17.98</v>
      </c>
      <c r="F6618" s="93">
        <v>0</v>
      </c>
      <c r="G6618" s="93">
        <v>0</v>
      </c>
      <c r="H6618" s="93">
        <v>0</v>
      </c>
      <c r="N6618" s="88"/>
      <c r="O6618" s="88"/>
      <c r="P6618" s="88"/>
    </row>
    <row r="6619" spans="1:16">
      <c r="A6619" s="94">
        <v>101289</v>
      </c>
      <c r="B6619" s="87" t="s">
        <v>5416</v>
      </c>
      <c r="C6619" s="12" t="s">
        <v>15</v>
      </c>
      <c r="D6619" s="93">
        <v>13.57</v>
      </c>
      <c r="E6619" s="93">
        <v>13.57</v>
      </c>
      <c r="F6619" s="93">
        <v>0</v>
      </c>
      <c r="G6619" s="93">
        <v>0</v>
      </c>
      <c r="H6619" s="93">
        <v>0</v>
      </c>
      <c r="N6619" s="88"/>
      <c r="O6619" s="88"/>
      <c r="P6619" s="88"/>
    </row>
    <row r="6620" spans="1:16">
      <c r="A6620" s="94">
        <v>101290</v>
      </c>
      <c r="B6620" s="87" t="s">
        <v>5417</v>
      </c>
      <c r="C6620" s="12" t="s">
        <v>15</v>
      </c>
      <c r="D6620" s="93">
        <v>17.45</v>
      </c>
      <c r="E6620" s="93">
        <v>17.45</v>
      </c>
      <c r="F6620" s="93">
        <v>0</v>
      </c>
      <c r="G6620" s="93">
        <v>0</v>
      </c>
      <c r="H6620" s="93">
        <v>0</v>
      </c>
      <c r="N6620" s="88"/>
      <c r="O6620" s="88"/>
      <c r="P6620" s="88"/>
    </row>
    <row r="6621" spans="1:16">
      <c r="A6621" s="94">
        <v>101291</v>
      </c>
      <c r="B6621" s="87" t="s">
        <v>5418</v>
      </c>
      <c r="C6621" s="12" t="s">
        <v>15</v>
      </c>
      <c r="D6621" s="93">
        <v>14.07</v>
      </c>
      <c r="E6621" s="93">
        <v>14.07</v>
      </c>
      <c r="F6621" s="93">
        <v>0</v>
      </c>
      <c r="G6621" s="93">
        <v>0</v>
      </c>
      <c r="H6621" s="93">
        <v>0</v>
      </c>
      <c r="N6621" s="88"/>
      <c r="O6621" s="88"/>
      <c r="P6621" s="88"/>
    </row>
    <row r="6622" spans="1:16">
      <c r="A6622" s="94">
        <v>101292</v>
      </c>
      <c r="B6622" s="87" t="s">
        <v>5419</v>
      </c>
      <c r="C6622" s="12" t="s">
        <v>15</v>
      </c>
      <c r="D6622" s="93">
        <v>15.18</v>
      </c>
      <c r="E6622" s="93">
        <v>15.18</v>
      </c>
      <c r="F6622" s="93">
        <v>0</v>
      </c>
      <c r="G6622" s="93">
        <v>0</v>
      </c>
      <c r="H6622" s="93">
        <v>0</v>
      </c>
      <c r="N6622" s="88"/>
      <c r="O6622" s="88"/>
      <c r="P6622" s="88"/>
    </row>
    <row r="6623" spans="1:16">
      <c r="A6623" s="94">
        <v>101293</v>
      </c>
      <c r="B6623" s="87" t="s">
        <v>5420</v>
      </c>
      <c r="C6623" s="12" t="s">
        <v>15</v>
      </c>
      <c r="D6623" s="93">
        <v>18.8</v>
      </c>
      <c r="E6623" s="93">
        <v>18.8</v>
      </c>
      <c r="F6623" s="93">
        <v>0</v>
      </c>
      <c r="G6623" s="93">
        <v>0</v>
      </c>
      <c r="H6623" s="93">
        <v>0</v>
      </c>
      <c r="N6623" s="88"/>
      <c r="O6623" s="88"/>
      <c r="P6623" s="88"/>
    </row>
    <row r="6624" spans="1:16">
      <c r="A6624" s="94">
        <v>101294</v>
      </c>
      <c r="B6624" s="87" t="s">
        <v>5421</v>
      </c>
      <c r="C6624" s="12" t="s">
        <v>15</v>
      </c>
      <c r="D6624" s="93">
        <v>37.36</v>
      </c>
      <c r="E6624" s="93">
        <v>37.36</v>
      </c>
      <c r="F6624" s="93">
        <v>0</v>
      </c>
      <c r="G6624" s="93">
        <v>0</v>
      </c>
      <c r="H6624" s="93">
        <v>0</v>
      </c>
      <c r="N6624" s="88"/>
      <c r="O6624" s="88"/>
      <c r="P6624" s="88"/>
    </row>
    <row r="6625" spans="1:16">
      <c r="A6625" s="94">
        <v>101295</v>
      </c>
      <c r="B6625" s="87" t="s">
        <v>5422</v>
      </c>
      <c r="C6625" s="12" t="s">
        <v>15</v>
      </c>
      <c r="D6625" s="93">
        <v>17.62</v>
      </c>
      <c r="E6625" s="93">
        <v>17.62</v>
      </c>
      <c r="F6625" s="93">
        <v>0</v>
      </c>
      <c r="G6625" s="93">
        <v>0</v>
      </c>
      <c r="H6625" s="93">
        <v>0</v>
      </c>
      <c r="N6625" s="88"/>
      <c r="O6625" s="88"/>
      <c r="P6625" s="88"/>
    </row>
    <row r="6626" spans="1:16">
      <c r="A6626" s="94">
        <v>101296</v>
      </c>
      <c r="B6626" s="87" t="s">
        <v>5423</v>
      </c>
      <c r="C6626" s="12" t="s">
        <v>15</v>
      </c>
      <c r="D6626" s="93">
        <v>20.74</v>
      </c>
      <c r="E6626" s="93">
        <v>20.74</v>
      </c>
      <c r="F6626" s="93">
        <v>0</v>
      </c>
      <c r="G6626" s="93">
        <v>0</v>
      </c>
      <c r="H6626" s="93">
        <v>0</v>
      </c>
      <c r="N6626" s="88"/>
      <c r="O6626" s="88"/>
      <c r="P6626" s="88"/>
    </row>
    <row r="6627" spans="1:16">
      <c r="A6627" s="94">
        <v>101297</v>
      </c>
      <c r="B6627" s="87" t="s">
        <v>5424</v>
      </c>
      <c r="C6627" s="12" t="s">
        <v>15</v>
      </c>
      <c r="D6627" s="93">
        <v>19.149999999999999</v>
      </c>
      <c r="E6627" s="93">
        <v>19.149999999999999</v>
      </c>
      <c r="F6627" s="93">
        <v>0</v>
      </c>
      <c r="G6627" s="93">
        <v>0</v>
      </c>
      <c r="H6627" s="93">
        <v>0</v>
      </c>
      <c r="N6627" s="88"/>
      <c r="O6627" s="88"/>
      <c r="P6627" s="88"/>
    </row>
    <row r="6628" spans="1:16">
      <c r="A6628" s="94">
        <v>101298</v>
      </c>
      <c r="B6628" s="87" t="s">
        <v>5425</v>
      </c>
      <c r="C6628" s="12" t="s">
        <v>15</v>
      </c>
      <c r="D6628" s="93">
        <v>20.57</v>
      </c>
      <c r="E6628" s="93">
        <v>20.57</v>
      </c>
      <c r="F6628" s="93">
        <v>0</v>
      </c>
      <c r="G6628" s="93">
        <v>0</v>
      </c>
      <c r="H6628" s="93">
        <v>0</v>
      </c>
      <c r="N6628" s="88"/>
      <c r="O6628" s="88"/>
      <c r="P6628" s="88"/>
    </row>
    <row r="6629" spans="1:16">
      <c r="A6629" s="94">
        <v>101299</v>
      </c>
      <c r="B6629" s="87" t="s">
        <v>5426</v>
      </c>
      <c r="C6629" s="12" t="s">
        <v>15</v>
      </c>
      <c r="D6629" s="93">
        <v>14.61</v>
      </c>
      <c r="E6629" s="93">
        <v>14.61</v>
      </c>
      <c r="F6629" s="93">
        <v>0</v>
      </c>
      <c r="G6629" s="93">
        <v>0</v>
      </c>
      <c r="H6629" s="93">
        <v>0</v>
      </c>
      <c r="N6629" s="88"/>
      <c r="O6629" s="88"/>
      <c r="P6629" s="88"/>
    </row>
    <row r="6630" spans="1:16">
      <c r="A6630" s="94">
        <v>101300</v>
      </c>
      <c r="B6630" s="87" t="s">
        <v>5427</v>
      </c>
      <c r="C6630" s="12" t="s">
        <v>15</v>
      </c>
      <c r="D6630" s="93">
        <v>12.59</v>
      </c>
      <c r="E6630" s="93">
        <v>12.59</v>
      </c>
      <c r="F6630" s="93">
        <v>0</v>
      </c>
      <c r="G6630" s="93">
        <v>0</v>
      </c>
      <c r="H6630" s="93">
        <v>0</v>
      </c>
      <c r="N6630" s="88"/>
      <c r="O6630" s="88"/>
      <c r="P6630" s="88"/>
    </row>
    <row r="6631" spans="1:16">
      <c r="A6631" s="94">
        <v>101301</v>
      </c>
      <c r="B6631" s="87" t="s">
        <v>5428</v>
      </c>
      <c r="C6631" s="12" t="s">
        <v>15</v>
      </c>
      <c r="D6631" s="93">
        <v>5.88</v>
      </c>
      <c r="E6631" s="93">
        <v>5.88</v>
      </c>
      <c r="F6631" s="93">
        <v>0</v>
      </c>
      <c r="G6631" s="93">
        <v>0</v>
      </c>
      <c r="H6631" s="93">
        <v>0</v>
      </c>
      <c r="N6631" s="88"/>
      <c r="O6631" s="88"/>
      <c r="P6631" s="88"/>
    </row>
    <row r="6632" spans="1:16">
      <c r="A6632" s="94">
        <v>101302</v>
      </c>
      <c r="B6632" s="87" t="s">
        <v>5429</v>
      </c>
      <c r="C6632" s="12" t="s">
        <v>15</v>
      </c>
      <c r="D6632" s="93">
        <v>19.010000000000002</v>
      </c>
      <c r="E6632" s="93">
        <v>19.010000000000002</v>
      </c>
      <c r="F6632" s="93">
        <v>0</v>
      </c>
      <c r="G6632" s="93">
        <v>0</v>
      </c>
      <c r="H6632" s="93">
        <v>0</v>
      </c>
      <c r="N6632" s="88"/>
      <c r="O6632" s="88"/>
      <c r="P6632" s="88"/>
    </row>
    <row r="6633" spans="1:16">
      <c r="A6633" s="94">
        <v>101303</v>
      </c>
      <c r="B6633" s="87" t="s">
        <v>5430</v>
      </c>
      <c r="C6633" s="12" t="s">
        <v>15</v>
      </c>
      <c r="D6633" s="93">
        <v>48.77</v>
      </c>
      <c r="E6633" s="93">
        <v>48.77</v>
      </c>
      <c r="F6633" s="93">
        <v>0</v>
      </c>
      <c r="G6633" s="93">
        <v>0</v>
      </c>
      <c r="H6633" s="93">
        <v>0</v>
      </c>
      <c r="N6633" s="88"/>
      <c r="O6633" s="88"/>
      <c r="P6633" s="88"/>
    </row>
    <row r="6634" spans="1:16">
      <c r="A6634" s="94">
        <v>101304</v>
      </c>
      <c r="B6634" s="87" t="s">
        <v>5431</v>
      </c>
      <c r="C6634" s="12" t="s">
        <v>15</v>
      </c>
      <c r="D6634" s="93">
        <v>24.18</v>
      </c>
      <c r="E6634" s="93">
        <v>24.18</v>
      </c>
      <c r="F6634" s="93">
        <v>0</v>
      </c>
      <c r="G6634" s="93">
        <v>0</v>
      </c>
      <c r="H6634" s="93">
        <v>0</v>
      </c>
      <c r="N6634" s="88"/>
      <c r="O6634" s="88"/>
      <c r="P6634" s="88"/>
    </row>
    <row r="6635" spans="1:16">
      <c r="A6635" s="94">
        <v>101305</v>
      </c>
      <c r="B6635" s="87" t="s">
        <v>5432</v>
      </c>
      <c r="C6635" s="12" t="s">
        <v>15</v>
      </c>
      <c r="D6635" s="93">
        <v>38.19</v>
      </c>
      <c r="E6635" s="93">
        <v>38.19</v>
      </c>
      <c r="F6635" s="93">
        <v>0</v>
      </c>
      <c r="G6635" s="93">
        <v>0</v>
      </c>
      <c r="H6635" s="93">
        <v>0</v>
      </c>
      <c r="N6635" s="88"/>
      <c r="O6635" s="88"/>
      <c r="P6635" s="88"/>
    </row>
    <row r="6636" spans="1:16">
      <c r="A6636" s="94">
        <v>101306</v>
      </c>
      <c r="B6636" s="87" t="s">
        <v>5433</v>
      </c>
      <c r="C6636" s="12" t="s">
        <v>15</v>
      </c>
      <c r="D6636" s="93">
        <v>29.46</v>
      </c>
      <c r="E6636" s="93">
        <v>29.46</v>
      </c>
      <c r="F6636" s="93">
        <v>0</v>
      </c>
      <c r="G6636" s="93">
        <v>0</v>
      </c>
      <c r="H6636" s="93">
        <v>0</v>
      </c>
      <c r="N6636" s="88"/>
      <c r="O6636" s="88"/>
      <c r="P6636" s="88"/>
    </row>
    <row r="6637" spans="1:16">
      <c r="A6637" s="94">
        <v>101307</v>
      </c>
      <c r="B6637" s="87" t="s">
        <v>5434</v>
      </c>
      <c r="C6637" s="12" t="s">
        <v>15</v>
      </c>
      <c r="D6637" s="93">
        <v>17.8</v>
      </c>
      <c r="E6637" s="93">
        <v>17.8</v>
      </c>
      <c r="F6637" s="93">
        <v>0</v>
      </c>
      <c r="G6637" s="93">
        <v>0</v>
      </c>
      <c r="H6637" s="93">
        <v>0</v>
      </c>
      <c r="N6637" s="88"/>
      <c r="O6637" s="88"/>
      <c r="P6637" s="88"/>
    </row>
    <row r="6638" spans="1:16">
      <c r="A6638" s="94">
        <v>101308</v>
      </c>
      <c r="B6638" s="87" t="s">
        <v>5435</v>
      </c>
      <c r="C6638" s="12" t="s">
        <v>15</v>
      </c>
      <c r="D6638" s="93">
        <v>25.14</v>
      </c>
      <c r="E6638" s="93">
        <v>25.14</v>
      </c>
      <c r="F6638" s="93">
        <v>0</v>
      </c>
      <c r="G6638" s="93">
        <v>0</v>
      </c>
      <c r="H6638" s="93">
        <v>0</v>
      </c>
      <c r="N6638" s="88"/>
      <c r="O6638" s="88"/>
      <c r="P6638" s="88"/>
    </row>
    <row r="6639" spans="1:16">
      <c r="A6639" s="94">
        <v>101309</v>
      </c>
      <c r="B6639" s="87" t="s">
        <v>5436</v>
      </c>
      <c r="C6639" s="12" t="s">
        <v>15</v>
      </c>
      <c r="D6639" s="93">
        <v>19.05</v>
      </c>
      <c r="E6639" s="93">
        <v>19.05</v>
      </c>
      <c r="F6639" s="93">
        <v>0</v>
      </c>
      <c r="G6639" s="93">
        <v>0</v>
      </c>
      <c r="H6639" s="93">
        <v>0</v>
      </c>
      <c r="N6639" s="88"/>
      <c r="O6639" s="88"/>
      <c r="P6639" s="88"/>
    </row>
    <row r="6640" spans="1:16">
      <c r="A6640" s="94">
        <v>101310</v>
      </c>
      <c r="B6640" s="87" t="s">
        <v>5437</v>
      </c>
      <c r="C6640" s="12" t="s">
        <v>15</v>
      </c>
      <c r="D6640" s="93">
        <v>32.200000000000003</v>
      </c>
      <c r="E6640" s="93">
        <v>32.200000000000003</v>
      </c>
      <c r="F6640" s="93">
        <v>0</v>
      </c>
      <c r="G6640" s="93">
        <v>0</v>
      </c>
      <c r="H6640" s="93">
        <v>0</v>
      </c>
      <c r="N6640" s="88"/>
      <c r="O6640" s="88"/>
      <c r="P6640" s="88"/>
    </row>
    <row r="6641" spans="1:16">
      <c r="A6641" s="94">
        <v>101311</v>
      </c>
      <c r="B6641" s="87" t="s">
        <v>5438</v>
      </c>
      <c r="C6641" s="12" t="s">
        <v>15</v>
      </c>
      <c r="D6641" s="93">
        <v>18.8</v>
      </c>
      <c r="E6641" s="93">
        <v>18.8</v>
      </c>
      <c r="F6641" s="93">
        <v>0</v>
      </c>
      <c r="G6641" s="93">
        <v>0</v>
      </c>
      <c r="H6641" s="93">
        <v>0</v>
      </c>
      <c r="N6641" s="88"/>
      <c r="O6641" s="88"/>
      <c r="P6641" s="88"/>
    </row>
    <row r="6642" spans="1:16">
      <c r="A6642" s="94">
        <v>101312</v>
      </c>
      <c r="B6642" s="87" t="s">
        <v>5439</v>
      </c>
      <c r="C6642" s="12" t="s">
        <v>15</v>
      </c>
      <c r="D6642" s="93">
        <v>20.59</v>
      </c>
      <c r="E6642" s="93">
        <v>20.59</v>
      </c>
      <c r="F6642" s="93">
        <v>0</v>
      </c>
      <c r="G6642" s="93">
        <v>0</v>
      </c>
      <c r="H6642" s="93">
        <v>0</v>
      </c>
      <c r="N6642" s="88"/>
      <c r="O6642" s="88"/>
      <c r="P6642" s="88"/>
    </row>
    <row r="6643" spans="1:16">
      <c r="A6643" s="94">
        <v>101313</v>
      </c>
      <c r="B6643" s="87" t="s">
        <v>5440</v>
      </c>
      <c r="C6643" s="12" t="s">
        <v>15</v>
      </c>
      <c r="D6643" s="93">
        <v>60.9</v>
      </c>
      <c r="E6643" s="93">
        <v>60.9</v>
      </c>
      <c r="F6643" s="93">
        <v>0</v>
      </c>
      <c r="G6643" s="93">
        <v>0</v>
      </c>
      <c r="H6643" s="93">
        <v>0</v>
      </c>
      <c r="N6643" s="88"/>
      <c r="O6643" s="88"/>
      <c r="P6643" s="88"/>
    </row>
    <row r="6644" spans="1:16">
      <c r="A6644" s="94">
        <v>101314</v>
      </c>
      <c r="B6644" s="87" t="s">
        <v>5441</v>
      </c>
      <c r="C6644" s="12" t="s">
        <v>15</v>
      </c>
      <c r="D6644" s="93">
        <v>65.92</v>
      </c>
      <c r="E6644" s="93">
        <v>65.92</v>
      </c>
      <c r="F6644" s="93">
        <v>0</v>
      </c>
      <c r="G6644" s="93">
        <v>0</v>
      </c>
      <c r="H6644" s="93">
        <v>0</v>
      </c>
      <c r="N6644" s="88"/>
      <c r="O6644" s="88"/>
      <c r="P6644" s="88"/>
    </row>
    <row r="6645" spans="1:16">
      <c r="A6645" s="94">
        <v>101315</v>
      </c>
      <c r="B6645" s="87" t="s">
        <v>5442</v>
      </c>
      <c r="C6645" s="12" t="s">
        <v>15</v>
      </c>
      <c r="D6645" s="93">
        <v>66.569999999999993</v>
      </c>
      <c r="E6645" s="93">
        <v>66.569999999999993</v>
      </c>
      <c r="F6645" s="93">
        <v>0</v>
      </c>
      <c r="G6645" s="93">
        <v>0</v>
      </c>
      <c r="H6645" s="93">
        <v>0</v>
      </c>
      <c r="N6645" s="88"/>
      <c r="O6645" s="88"/>
      <c r="P6645" s="88"/>
    </row>
    <row r="6646" spans="1:16">
      <c r="A6646" s="94">
        <v>101316</v>
      </c>
      <c r="B6646" s="87" t="s">
        <v>5443</v>
      </c>
      <c r="C6646" s="12" t="s">
        <v>15</v>
      </c>
      <c r="D6646" s="93">
        <v>29.25</v>
      </c>
      <c r="E6646" s="93">
        <v>29.25</v>
      </c>
      <c r="F6646" s="93">
        <v>0</v>
      </c>
      <c r="G6646" s="93">
        <v>0</v>
      </c>
      <c r="H6646" s="93">
        <v>0</v>
      </c>
      <c r="N6646" s="88"/>
      <c r="O6646" s="88"/>
      <c r="P6646" s="88"/>
    </row>
    <row r="6647" spans="1:16">
      <c r="A6647" s="94">
        <v>101317</v>
      </c>
      <c r="B6647" s="87" t="s">
        <v>5444</v>
      </c>
      <c r="C6647" s="12" t="s">
        <v>15</v>
      </c>
      <c r="D6647" s="93">
        <v>152.74</v>
      </c>
      <c r="E6647" s="93">
        <v>152.74</v>
      </c>
      <c r="F6647" s="93">
        <v>0</v>
      </c>
      <c r="G6647" s="93">
        <v>0</v>
      </c>
      <c r="H6647" s="93">
        <v>0</v>
      </c>
      <c r="N6647" s="88"/>
      <c r="O6647" s="88"/>
      <c r="P6647" s="88"/>
    </row>
    <row r="6648" spans="1:16">
      <c r="A6648" s="94">
        <v>101318</v>
      </c>
      <c r="B6648" s="87" t="s">
        <v>5445</v>
      </c>
      <c r="C6648" s="12" t="s">
        <v>15</v>
      </c>
      <c r="D6648" s="93">
        <v>289.02999999999997</v>
      </c>
      <c r="E6648" s="93">
        <v>289.02999999999997</v>
      </c>
      <c r="F6648" s="93">
        <v>0</v>
      </c>
      <c r="G6648" s="93">
        <v>0</v>
      </c>
      <c r="H6648" s="93">
        <v>0</v>
      </c>
      <c r="N6648" s="88"/>
      <c r="O6648" s="88"/>
      <c r="P6648" s="88"/>
    </row>
    <row r="6649" spans="1:16">
      <c r="A6649" s="94">
        <v>101319</v>
      </c>
      <c r="B6649" s="87" t="s">
        <v>5446</v>
      </c>
      <c r="C6649" s="12" t="s">
        <v>15</v>
      </c>
      <c r="D6649" s="93">
        <v>43.27</v>
      </c>
      <c r="E6649" s="93">
        <v>43.27</v>
      </c>
      <c r="F6649" s="93">
        <v>0</v>
      </c>
      <c r="G6649" s="93">
        <v>0</v>
      </c>
      <c r="H6649" s="93">
        <v>0</v>
      </c>
      <c r="N6649" s="88"/>
      <c r="O6649" s="88"/>
      <c r="P6649" s="88"/>
    </row>
    <row r="6650" spans="1:16">
      <c r="A6650" s="94">
        <v>101320</v>
      </c>
      <c r="B6650" s="87" t="s">
        <v>5447</v>
      </c>
      <c r="C6650" s="12" t="s">
        <v>15</v>
      </c>
      <c r="D6650" s="93">
        <v>21.81</v>
      </c>
      <c r="E6650" s="93">
        <v>21.81</v>
      </c>
      <c r="F6650" s="93">
        <v>0</v>
      </c>
      <c r="G6650" s="93">
        <v>0</v>
      </c>
      <c r="H6650" s="93">
        <v>0</v>
      </c>
      <c r="N6650" s="88"/>
      <c r="O6650" s="88"/>
      <c r="P6650" s="88"/>
    </row>
    <row r="6651" spans="1:16">
      <c r="A6651" s="94">
        <v>101321</v>
      </c>
      <c r="B6651" s="87" t="s">
        <v>5448</v>
      </c>
      <c r="C6651" s="12" t="s">
        <v>15</v>
      </c>
      <c r="D6651" s="93">
        <v>19.73</v>
      </c>
      <c r="E6651" s="93">
        <v>19.73</v>
      </c>
      <c r="F6651" s="93">
        <v>0</v>
      </c>
      <c r="G6651" s="93">
        <v>0</v>
      </c>
      <c r="H6651" s="93">
        <v>0</v>
      </c>
      <c r="N6651" s="88"/>
      <c r="O6651" s="88"/>
      <c r="P6651" s="88"/>
    </row>
    <row r="6652" spans="1:16">
      <c r="A6652" s="94">
        <v>101322</v>
      </c>
      <c r="B6652" s="87" t="s">
        <v>5449</v>
      </c>
      <c r="C6652" s="12" t="s">
        <v>15</v>
      </c>
      <c r="D6652" s="93">
        <v>15.45</v>
      </c>
      <c r="E6652" s="93">
        <v>15.45</v>
      </c>
      <c r="F6652" s="93">
        <v>0</v>
      </c>
      <c r="G6652" s="93">
        <v>0</v>
      </c>
      <c r="H6652" s="93">
        <v>0</v>
      </c>
      <c r="N6652" s="88"/>
      <c r="O6652" s="88"/>
      <c r="P6652" s="88"/>
    </row>
    <row r="6653" spans="1:16">
      <c r="A6653" s="94">
        <v>101323</v>
      </c>
      <c r="B6653" s="87" t="s">
        <v>5450</v>
      </c>
      <c r="C6653" s="12" t="s">
        <v>15</v>
      </c>
      <c r="D6653" s="93">
        <v>37.4</v>
      </c>
      <c r="E6653" s="93">
        <v>37.4</v>
      </c>
      <c r="F6653" s="93">
        <v>0</v>
      </c>
      <c r="G6653" s="93">
        <v>0</v>
      </c>
      <c r="H6653" s="93">
        <v>0</v>
      </c>
      <c r="N6653" s="88"/>
      <c r="O6653" s="88"/>
      <c r="P6653" s="88"/>
    </row>
    <row r="6654" spans="1:16">
      <c r="A6654" s="94">
        <v>101324</v>
      </c>
      <c r="B6654" s="87" t="s">
        <v>5451</v>
      </c>
      <c r="C6654" s="12" t="s">
        <v>15</v>
      </c>
      <c r="D6654" s="93">
        <v>10.94</v>
      </c>
      <c r="E6654" s="93">
        <v>10.94</v>
      </c>
      <c r="F6654" s="93">
        <v>0</v>
      </c>
      <c r="G6654" s="93">
        <v>0</v>
      </c>
      <c r="H6654" s="93">
        <v>0</v>
      </c>
      <c r="N6654" s="88"/>
      <c r="O6654" s="88"/>
      <c r="P6654" s="88"/>
    </row>
    <row r="6655" spans="1:16">
      <c r="A6655" s="94">
        <v>101325</v>
      </c>
      <c r="B6655" s="87" t="s">
        <v>5452</v>
      </c>
      <c r="C6655" s="12" t="s">
        <v>15</v>
      </c>
      <c r="D6655" s="93">
        <v>28.35</v>
      </c>
      <c r="E6655" s="93">
        <v>28.35</v>
      </c>
      <c r="F6655" s="93">
        <v>0</v>
      </c>
      <c r="G6655" s="93">
        <v>0</v>
      </c>
      <c r="H6655" s="93">
        <v>0</v>
      </c>
      <c r="N6655" s="88"/>
      <c r="O6655" s="88"/>
      <c r="P6655" s="88"/>
    </row>
    <row r="6656" spans="1:16">
      <c r="A6656" s="94">
        <v>101326</v>
      </c>
      <c r="B6656" s="87" t="s">
        <v>5453</v>
      </c>
      <c r="C6656" s="12" t="s">
        <v>15</v>
      </c>
      <c r="D6656" s="93">
        <v>8.09</v>
      </c>
      <c r="E6656" s="93">
        <v>8.09</v>
      </c>
      <c r="F6656" s="93">
        <v>0</v>
      </c>
      <c r="G6656" s="93">
        <v>0</v>
      </c>
      <c r="H6656" s="93">
        <v>0</v>
      </c>
      <c r="N6656" s="88"/>
      <c r="O6656" s="88"/>
      <c r="P6656" s="88"/>
    </row>
    <row r="6657" spans="1:16">
      <c r="A6657" s="94">
        <v>101327</v>
      </c>
      <c r="B6657" s="87" t="s">
        <v>5454</v>
      </c>
      <c r="C6657" s="12" t="s">
        <v>15</v>
      </c>
      <c r="D6657" s="93">
        <v>6.59</v>
      </c>
      <c r="E6657" s="93">
        <v>6.59</v>
      </c>
      <c r="F6657" s="93">
        <v>0</v>
      </c>
      <c r="G6657" s="93">
        <v>0</v>
      </c>
      <c r="H6657" s="93">
        <v>0</v>
      </c>
      <c r="N6657" s="88"/>
      <c r="O6657" s="88"/>
      <c r="P6657" s="88"/>
    </row>
    <row r="6658" spans="1:16">
      <c r="A6658" s="94">
        <v>101328</v>
      </c>
      <c r="B6658" s="87" t="s">
        <v>5455</v>
      </c>
      <c r="C6658" s="12" t="s">
        <v>15</v>
      </c>
      <c r="D6658" s="93">
        <v>15.49</v>
      </c>
      <c r="E6658" s="93">
        <v>15.49</v>
      </c>
      <c r="F6658" s="93">
        <v>0</v>
      </c>
      <c r="G6658" s="93">
        <v>0</v>
      </c>
      <c r="H6658" s="93">
        <v>0</v>
      </c>
      <c r="N6658" s="88"/>
      <c r="O6658" s="88"/>
      <c r="P6658" s="88"/>
    </row>
    <row r="6659" spans="1:16">
      <c r="A6659" s="94">
        <v>101329</v>
      </c>
      <c r="B6659" s="87" t="s">
        <v>5456</v>
      </c>
      <c r="C6659" s="12" t="s">
        <v>15</v>
      </c>
      <c r="D6659" s="93">
        <v>29.25</v>
      </c>
      <c r="E6659" s="93">
        <v>29.25</v>
      </c>
      <c r="F6659" s="93">
        <v>0</v>
      </c>
      <c r="G6659" s="93">
        <v>0</v>
      </c>
      <c r="H6659" s="93">
        <v>0</v>
      </c>
      <c r="N6659" s="88"/>
      <c r="O6659" s="88"/>
      <c r="P6659" s="88"/>
    </row>
    <row r="6660" spans="1:16">
      <c r="A6660" s="94">
        <v>101330</v>
      </c>
      <c r="B6660" s="87" t="s">
        <v>5457</v>
      </c>
      <c r="C6660" s="12" t="s">
        <v>15</v>
      </c>
      <c r="D6660" s="93">
        <v>24.71</v>
      </c>
      <c r="E6660" s="93">
        <v>24.71</v>
      </c>
      <c r="F6660" s="93">
        <v>0</v>
      </c>
      <c r="G6660" s="93">
        <v>0</v>
      </c>
      <c r="H6660" s="93">
        <v>0</v>
      </c>
      <c r="N6660" s="88"/>
      <c r="O6660" s="88"/>
      <c r="P6660" s="88"/>
    </row>
    <row r="6661" spans="1:16">
      <c r="A6661" s="94">
        <v>101331</v>
      </c>
      <c r="B6661" s="87" t="s">
        <v>5458</v>
      </c>
      <c r="C6661" s="12" t="s">
        <v>15</v>
      </c>
      <c r="D6661" s="93">
        <v>22.78</v>
      </c>
      <c r="E6661" s="93">
        <v>22.78</v>
      </c>
      <c r="F6661" s="93">
        <v>0</v>
      </c>
      <c r="G6661" s="93">
        <v>0</v>
      </c>
      <c r="H6661" s="93">
        <v>0</v>
      </c>
      <c r="N6661" s="88"/>
      <c r="O6661" s="88"/>
      <c r="P6661" s="88"/>
    </row>
    <row r="6662" spans="1:16">
      <c r="A6662" s="94">
        <v>101332</v>
      </c>
      <c r="B6662" s="87" t="s">
        <v>5459</v>
      </c>
      <c r="C6662" s="12" t="s">
        <v>15</v>
      </c>
      <c r="D6662" s="93">
        <v>11.42</v>
      </c>
      <c r="E6662" s="93">
        <v>11.42</v>
      </c>
      <c r="F6662" s="93">
        <v>0</v>
      </c>
      <c r="G6662" s="93">
        <v>0</v>
      </c>
      <c r="H6662" s="93">
        <v>0</v>
      </c>
      <c r="N6662" s="88"/>
      <c r="O6662" s="88"/>
      <c r="P6662" s="88"/>
    </row>
    <row r="6663" spans="1:16">
      <c r="A6663" s="94">
        <v>101333</v>
      </c>
      <c r="B6663" s="87" t="s">
        <v>5460</v>
      </c>
      <c r="C6663" s="12" t="s">
        <v>15</v>
      </c>
      <c r="D6663" s="93">
        <v>26.25</v>
      </c>
      <c r="E6663" s="93">
        <v>26.25</v>
      </c>
      <c r="F6663" s="93">
        <v>0</v>
      </c>
      <c r="G6663" s="93">
        <v>0</v>
      </c>
      <c r="H6663" s="93">
        <v>0</v>
      </c>
      <c r="N6663" s="88"/>
      <c r="O6663" s="88"/>
      <c r="P6663" s="88"/>
    </row>
    <row r="6664" spans="1:16">
      <c r="A6664" s="94">
        <v>101334</v>
      </c>
      <c r="B6664" s="87" t="s">
        <v>5461</v>
      </c>
      <c r="C6664" s="12" t="s">
        <v>15</v>
      </c>
      <c r="D6664" s="93">
        <v>47.05</v>
      </c>
      <c r="E6664" s="93">
        <v>47.05</v>
      </c>
      <c r="F6664" s="93">
        <v>0</v>
      </c>
      <c r="G6664" s="93">
        <v>0</v>
      </c>
      <c r="H6664" s="93">
        <v>0</v>
      </c>
      <c r="N6664" s="88"/>
      <c r="O6664" s="88"/>
      <c r="P6664" s="88"/>
    </row>
    <row r="6665" spans="1:16">
      <c r="A6665" s="94">
        <v>101335</v>
      </c>
      <c r="B6665" s="87" t="s">
        <v>5462</v>
      </c>
      <c r="C6665" s="12" t="s">
        <v>15</v>
      </c>
      <c r="D6665" s="93">
        <v>13.34</v>
      </c>
      <c r="E6665" s="93">
        <v>13.34</v>
      </c>
      <c r="F6665" s="93">
        <v>0</v>
      </c>
      <c r="G6665" s="93">
        <v>0</v>
      </c>
      <c r="H6665" s="93">
        <v>0</v>
      </c>
      <c r="N6665" s="88"/>
      <c r="O6665" s="88"/>
      <c r="P6665" s="88"/>
    </row>
    <row r="6666" spans="1:16">
      <c r="A6666" s="94">
        <v>101336</v>
      </c>
      <c r="B6666" s="87" t="s">
        <v>5463</v>
      </c>
      <c r="C6666" s="12" t="s">
        <v>15</v>
      </c>
      <c r="D6666" s="93">
        <v>38.880000000000003</v>
      </c>
      <c r="E6666" s="93">
        <v>38.880000000000003</v>
      </c>
      <c r="F6666" s="93">
        <v>0</v>
      </c>
      <c r="G6666" s="93">
        <v>0</v>
      </c>
      <c r="H6666" s="93">
        <v>0</v>
      </c>
      <c r="N6666" s="88"/>
      <c r="O6666" s="88"/>
      <c r="P6666" s="88"/>
    </row>
    <row r="6667" spans="1:16">
      <c r="A6667" s="94">
        <v>101337</v>
      </c>
      <c r="B6667" s="87" t="s">
        <v>5464</v>
      </c>
      <c r="C6667" s="12" t="s">
        <v>15</v>
      </c>
      <c r="D6667" s="93">
        <v>7.4</v>
      </c>
      <c r="E6667" s="93">
        <v>7.4</v>
      </c>
      <c r="F6667" s="93">
        <v>0</v>
      </c>
      <c r="G6667" s="93">
        <v>0</v>
      </c>
      <c r="H6667" s="93">
        <v>0</v>
      </c>
      <c r="N6667" s="88"/>
      <c r="O6667" s="88"/>
      <c r="P6667" s="88"/>
    </row>
    <row r="6668" spans="1:16">
      <c r="A6668" s="94">
        <v>101338</v>
      </c>
      <c r="B6668" s="87" t="s">
        <v>5465</v>
      </c>
      <c r="C6668" s="12" t="s">
        <v>15</v>
      </c>
      <c r="D6668" s="93">
        <v>21.12</v>
      </c>
      <c r="E6668" s="93">
        <v>21.12</v>
      </c>
      <c r="F6668" s="93">
        <v>0</v>
      </c>
      <c r="G6668" s="93">
        <v>0</v>
      </c>
      <c r="H6668" s="93">
        <v>0</v>
      </c>
      <c r="N6668" s="88"/>
      <c r="O6668" s="88"/>
      <c r="P6668" s="88"/>
    </row>
    <row r="6669" spans="1:16">
      <c r="A6669" s="94">
        <v>101339</v>
      </c>
      <c r="B6669" s="87" t="s">
        <v>5466</v>
      </c>
      <c r="C6669" s="12" t="s">
        <v>15</v>
      </c>
      <c r="D6669" s="93">
        <v>17.18</v>
      </c>
      <c r="E6669" s="93">
        <v>17.18</v>
      </c>
      <c r="F6669" s="93">
        <v>0</v>
      </c>
      <c r="G6669" s="93">
        <v>0</v>
      </c>
      <c r="H6669" s="93">
        <v>0</v>
      </c>
      <c r="N6669" s="88"/>
      <c r="O6669" s="88"/>
      <c r="P6669" s="88"/>
    </row>
    <row r="6670" spans="1:16">
      <c r="A6670" s="94">
        <v>101340</v>
      </c>
      <c r="B6670" s="87" t="s">
        <v>5467</v>
      </c>
      <c r="C6670" s="12" t="s">
        <v>15</v>
      </c>
      <c r="D6670" s="93">
        <v>16.579999999999998</v>
      </c>
      <c r="E6670" s="93">
        <v>16.579999999999998</v>
      </c>
      <c r="F6670" s="93">
        <v>0</v>
      </c>
      <c r="G6670" s="93">
        <v>0</v>
      </c>
      <c r="H6670" s="93">
        <v>0</v>
      </c>
      <c r="N6670" s="88"/>
      <c r="O6670" s="88"/>
      <c r="P6670" s="88"/>
    </row>
    <row r="6671" spans="1:16">
      <c r="A6671" s="94">
        <v>101341</v>
      </c>
      <c r="B6671" s="87" t="s">
        <v>5468</v>
      </c>
      <c r="C6671" s="12" t="s">
        <v>15</v>
      </c>
      <c r="D6671" s="93">
        <v>19.05</v>
      </c>
      <c r="E6671" s="93">
        <v>19.05</v>
      </c>
      <c r="F6671" s="93">
        <v>0</v>
      </c>
      <c r="G6671" s="93">
        <v>0</v>
      </c>
      <c r="H6671" s="93">
        <v>0</v>
      </c>
      <c r="N6671" s="88"/>
      <c r="O6671" s="88"/>
      <c r="P6671" s="88"/>
    </row>
    <row r="6672" spans="1:16">
      <c r="A6672" s="94">
        <v>101342</v>
      </c>
      <c r="B6672" s="87" t="s">
        <v>5469</v>
      </c>
      <c r="C6672" s="12" t="s">
        <v>15</v>
      </c>
      <c r="D6672" s="93">
        <v>21.15</v>
      </c>
      <c r="E6672" s="93">
        <v>21.15</v>
      </c>
      <c r="F6672" s="93">
        <v>0</v>
      </c>
      <c r="G6672" s="93">
        <v>0</v>
      </c>
      <c r="H6672" s="93">
        <v>0</v>
      </c>
      <c r="N6672" s="88"/>
      <c r="O6672" s="88"/>
      <c r="P6672" s="88"/>
    </row>
    <row r="6673" spans="1:16">
      <c r="A6673" s="94">
        <v>101343</v>
      </c>
      <c r="B6673" s="87" t="s">
        <v>5470</v>
      </c>
      <c r="C6673" s="12" t="s">
        <v>15</v>
      </c>
      <c r="D6673" s="93">
        <v>31.73</v>
      </c>
      <c r="E6673" s="93">
        <v>31.73</v>
      </c>
      <c r="F6673" s="93">
        <v>0</v>
      </c>
      <c r="G6673" s="93">
        <v>0</v>
      </c>
      <c r="H6673" s="93">
        <v>0</v>
      </c>
      <c r="N6673" s="88"/>
      <c r="O6673" s="88"/>
      <c r="P6673" s="88"/>
    </row>
    <row r="6674" spans="1:16">
      <c r="A6674" s="94">
        <v>101344</v>
      </c>
      <c r="B6674" s="87" t="s">
        <v>5471</v>
      </c>
      <c r="C6674" s="12" t="s">
        <v>15</v>
      </c>
      <c r="D6674" s="93">
        <v>26.05</v>
      </c>
      <c r="E6674" s="93">
        <v>26.05</v>
      </c>
      <c r="F6674" s="93">
        <v>0</v>
      </c>
      <c r="G6674" s="93">
        <v>0</v>
      </c>
      <c r="H6674" s="93">
        <v>0</v>
      </c>
      <c r="N6674" s="88"/>
      <c r="O6674" s="88"/>
      <c r="P6674" s="88"/>
    </row>
    <row r="6675" spans="1:16">
      <c r="A6675" s="94">
        <v>101345</v>
      </c>
      <c r="B6675" s="87" t="s">
        <v>5472</v>
      </c>
      <c r="C6675" s="12" t="s">
        <v>15</v>
      </c>
      <c r="D6675" s="93">
        <v>36.72</v>
      </c>
      <c r="E6675" s="93">
        <v>36.72</v>
      </c>
      <c r="F6675" s="93">
        <v>0</v>
      </c>
      <c r="G6675" s="93">
        <v>0</v>
      </c>
      <c r="H6675" s="93">
        <v>0</v>
      </c>
      <c r="N6675" s="88"/>
      <c r="O6675" s="88"/>
      <c r="P6675" s="88"/>
    </row>
    <row r="6676" spans="1:16">
      <c r="A6676" s="94">
        <v>101346</v>
      </c>
      <c r="B6676" s="87" t="s">
        <v>5473</v>
      </c>
      <c r="C6676" s="12" t="s">
        <v>15</v>
      </c>
      <c r="D6676" s="93">
        <v>28.4</v>
      </c>
      <c r="E6676" s="93">
        <v>28.4</v>
      </c>
      <c r="F6676" s="93">
        <v>0</v>
      </c>
      <c r="G6676" s="93">
        <v>0</v>
      </c>
      <c r="H6676" s="93">
        <v>0</v>
      </c>
      <c r="N6676" s="88"/>
      <c r="O6676" s="88"/>
      <c r="P6676" s="88"/>
    </row>
    <row r="6677" spans="1:16">
      <c r="A6677" s="94">
        <v>101347</v>
      </c>
      <c r="B6677" s="87" t="s">
        <v>5474</v>
      </c>
      <c r="C6677" s="12" t="s">
        <v>15</v>
      </c>
      <c r="D6677" s="93">
        <v>24.55</v>
      </c>
      <c r="E6677" s="93">
        <v>24.55</v>
      </c>
      <c r="F6677" s="93">
        <v>0</v>
      </c>
      <c r="G6677" s="93">
        <v>0</v>
      </c>
      <c r="H6677" s="93">
        <v>0</v>
      </c>
      <c r="N6677" s="88"/>
      <c r="O6677" s="88"/>
      <c r="P6677" s="88"/>
    </row>
    <row r="6678" spans="1:16">
      <c r="A6678" s="94">
        <v>101348</v>
      </c>
      <c r="B6678" s="87" t="s">
        <v>5475</v>
      </c>
      <c r="C6678" s="12" t="s">
        <v>15</v>
      </c>
      <c r="D6678" s="93">
        <v>12.61</v>
      </c>
      <c r="E6678" s="93">
        <v>12.61</v>
      </c>
      <c r="F6678" s="93">
        <v>0</v>
      </c>
      <c r="G6678" s="93">
        <v>0</v>
      </c>
      <c r="H6678" s="93">
        <v>0</v>
      </c>
      <c r="N6678" s="88"/>
      <c r="O6678" s="88"/>
      <c r="P6678" s="88"/>
    </row>
    <row r="6679" spans="1:16">
      <c r="A6679" s="94">
        <v>101349</v>
      </c>
      <c r="B6679" s="87" t="s">
        <v>5476</v>
      </c>
      <c r="C6679" s="12" t="s">
        <v>15</v>
      </c>
      <c r="D6679" s="93">
        <v>21.51</v>
      </c>
      <c r="E6679" s="93">
        <v>21.51</v>
      </c>
      <c r="F6679" s="93">
        <v>0</v>
      </c>
      <c r="G6679" s="93">
        <v>0</v>
      </c>
      <c r="H6679" s="93">
        <v>0</v>
      </c>
      <c r="N6679" s="88"/>
      <c r="O6679" s="88"/>
      <c r="P6679" s="88"/>
    </row>
    <row r="6680" spans="1:16">
      <c r="A6680" s="94">
        <v>101350</v>
      </c>
      <c r="B6680" s="87" t="s">
        <v>5477</v>
      </c>
      <c r="C6680" s="12" t="s">
        <v>15</v>
      </c>
      <c r="D6680" s="93">
        <v>26.39</v>
      </c>
      <c r="E6680" s="93">
        <v>26.39</v>
      </c>
      <c r="F6680" s="93">
        <v>0</v>
      </c>
      <c r="G6680" s="93">
        <v>0</v>
      </c>
      <c r="H6680" s="93">
        <v>0</v>
      </c>
      <c r="N6680" s="88"/>
      <c r="O6680" s="88"/>
      <c r="P6680" s="88"/>
    </row>
    <row r="6681" spans="1:16">
      <c r="A6681" s="94">
        <v>101351</v>
      </c>
      <c r="B6681" s="87" t="s">
        <v>5478</v>
      </c>
      <c r="C6681" s="12" t="s">
        <v>15</v>
      </c>
      <c r="D6681" s="93">
        <v>18.45</v>
      </c>
      <c r="E6681" s="93">
        <v>18.45</v>
      </c>
      <c r="F6681" s="93">
        <v>0</v>
      </c>
      <c r="G6681" s="93">
        <v>0</v>
      </c>
      <c r="H6681" s="93">
        <v>0</v>
      </c>
      <c r="N6681" s="88"/>
      <c r="O6681" s="88"/>
      <c r="P6681" s="88"/>
    </row>
    <row r="6682" spans="1:16">
      <c r="A6682" s="94">
        <v>101352</v>
      </c>
      <c r="B6682" s="87" t="s">
        <v>5479</v>
      </c>
      <c r="C6682" s="12" t="s">
        <v>15</v>
      </c>
      <c r="D6682" s="93">
        <v>22.2</v>
      </c>
      <c r="E6682" s="93">
        <v>22.2</v>
      </c>
      <c r="F6682" s="93">
        <v>0</v>
      </c>
      <c r="G6682" s="93">
        <v>0</v>
      </c>
      <c r="H6682" s="93">
        <v>0</v>
      </c>
      <c r="N6682" s="88"/>
      <c r="O6682" s="88"/>
      <c r="P6682" s="88"/>
    </row>
    <row r="6683" spans="1:16">
      <c r="A6683" s="94">
        <v>101353</v>
      </c>
      <c r="B6683" s="87" t="s">
        <v>5480</v>
      </c>
      <c r="C6683" s="12" t="s">
        <v>15</v>
      </c>
      <c r="D6683" s="93">
        <v>17.920000000000002</v>
      </c>
      <c r="E6683" s="93">
        <v>17.920000000000002</v>
      </c>
      <c r="F6683" s="93">
        <v>0</v>
      </c>
      <c r="G6683" s="93">
        <v>0</v>
      </c>
      <c r="H6683" s="93">
        <v>0</v>
      </c>
      <c r="N6683" s="88"/>
      <c r="O6683" s="88"/>
      <c r="P6683" s="88"/>
    </row>
    <row r="6684" spans="1:16">
      <c r="A6684" s="94">
        <v>101354</v>
      </c>
      <c r="B6684" s="87" t="s">
        <v>5481</v>
      </c>
      <c r="C6684" s="12" t="s">
        <v>15</v>
      </c>
      <c r="D6684" s="93">
        <v>25.7</v>
      </c>
      <c r="E6684" s="93">
        <v>25.7</v>
      </c>
      <c r="F6684" s="93">
        <v>0</v>
      </c>
      <c r="G6684" s="93">
        <v>0</v>
      </c>
      <c r="H6684" s="93">
        <v>0</v>
      </c>
      <c r="N6684" s="88"/>
      <c r="O6684" s="88"/>
      <c r="P6684" s="88"/>
    </row>
    <row r="6685" spans="1:16">
      <c r="A6685" s="94">
        <v>101355</v>
      </c>
      <c r="B6685" s="87" t="s">
        <v>5482</v>
      </c>
      <c r="C6685" s="12" t="s">
        <v>15</v>
      </c>
      <c r="D6685" s="93">
        <v>19.07</v>
      </c>
      <c r="E6685" s="93">
        <v>19.07</v>
      </c>
      <c r="F6685" s="93">
        <v>0</v>
      </c>
      <c r="G6685" s="93">
        <v>0</v>
      </c>
      <c r="H6685" s="93">
        <v>0</v>
      </c>
      <c r="N6685" s="88"/>
      <c r="O6685" s="88"/>
      <c r="P6685" s="88"/>
    </row>
    <row r="6686" spans="1:16">
      <c r="A6686" s="94">
        <v>101356</v>
      </c>
      <c r="B6686" s="87" t="s">
        <v>5483</v>
      </c>
      <c r="C6686" s="12" t="s">
        <v>15</v>
      </c>
      <c r="D6686" s="93">
        <v>26.99</v>
      </c>
      <c r="E6686" s="93">
        <v>26.99</v>
      </c>
      <c r="F6686" s="93">
        <v>0</v>
      </c>
      <c r="G6686" s="93">
        <v>0</v>
      </c>
      <c r="H6686" s="93">
        <v>0</v>
      </c>
      <c r="N6686" s="88"/>
      <c r="O6686" s="88"/>
      <c r="P6686" s="88"/>
    </row>
    <row r="6687" spans="1:16">
      <c r="A6687" s="94">
        <v>101357</v>
      </c>
      <c r="B6687" s="87" t="s">
        <v>5484</v>
      </c>
      <c r="C6687" s="12" t="s">
        <v>15</v>
      </c>
      <c r="D6687" s="93">
        <v>34.630000000000003</v>
      </c>
      <c r="E6687" s="93">
        <v>34.630000000000003</v>
      </c>
      <c r="F6687" s="93">
        <v>0</v>
      </c>
      <c r="G6687" s="93">
        <v>0</v>
      </c>
      <c r="H6687" s="93">
        <v>0</v>
      </c>
      <c r="N6687" s="88"/>
      <c r="O6687" s="88"/>
      <c r="P6687" s="88"/>
    </row>
    <row r="6688" spans="1:16">
      <c r="A6688" s="94">
        <v>101358</v>
      </c>
      <c r="B6688" s="87" t="s">
        <v>5485</v>
      </c>
      <c r="C6688" s="12" t="s">
        <v>15</v>
      </c>
      <c r="D6688" s="93">
        <v>24.18</v>
      </c>
      <c r="E6688" s="93">
        <v>24.18</v>
      </c>
      <c r="F6688" s="93">
        <v>0</v>
      </c>
      <c r="G6688" s="93">
        <v>0</v>
      </c>
      <c r="H6688" s="93">
        <v>0</v>
      </c>
      <c r="N6688" s="88"/>
      <c r="O6688" s="88"/>
      <c r="P6688" s="88"/>
    </row>
    <row r="6689" spans="1:16">
      <c r="A6689" s="94">
        <v>101359</v>
      </c>
      <c r="B6689" s="87" t="s">
        <v>5486</v>
      </c>
      <c r="C6689" s="12" t="s">
        <v>15</v>
      </c>
      <c r="D6689" s="93">
        <v>26.68</v>
      </c>
      <c r="E6689" s="93">
        <v>26.68</v>
      </c>
      <c r="F6689" s="93">
        <v>0</v>
      </c>
      <c r="G6689" s="93">
        <v>0</v>
      </c>
      <c r="H6689" s="93">
        <v>0</v>
      </c>
      <c r="N6689" s="88"/>
      <c r="O6689" s="88"/>
      <c r="P6689" s="88"/>
    </row>
    <row r="6690" spans="1:16">
      <c r="A6690" s="94">
        <v>101360</v>
      </c>
      <c r="B6690" s="87" t="s">
        <v>5487</v>
      </c>
      <c r="C6690" s="12" t="s">
        <v>15</v>
      </c>
      <c r="D6690" s="93">
        <v>26.01</v>
      </c>
      <c r="E6690" s="93">
        <v>26.01</v>
      </c>
      <c r="F6690" s="93">
        <v>0</v>
      </c>
      <c r="G6690" s="93">
        <v>0</v>
      </c>
      <c r="H6690" s="93">
        <v>0</v>
      </c>
      <c r="N6690" s="88"/>
      <c r="O6690" s="88"/>
      <c r="P6690" s="88"/>
    </row>
    <row r="6691" spans="1:16">
      <c r="A6691" s="94">
        <v>101361</v>
      </c>
      <c r="B6691" s="87" t="s">
        <v>5488</v>
      </c>
      <c r="C6691" s="12" t="s">
        <v>15</v>
      </c>
      <c r="D6691" s="93">
        <v>46.3</v>
      </c>
      <c r="E6691" s="93">
        <v>46.3</v>
      </c>
      <c r="F6691" s="93">
        <v>0</v>
      </c>
      <c r="G6691" s="93">
        <v>0</v>
      </c>
      <c r="H6691" s="93">
        <v>0</v>
      </c>
      <c r="N6691" s="88"/>
      <c r="O6691" s="88"/>
      <c r="P6691" s="88"/>
    </row>
    <row r="6692" spans="1:16">
      <c r="A6692" s="94">
        <v>101362</v>
      </c>
      <c r="B6692" s="87" t="s">
        <v>5489</v>
      </c>
      <c r="C6692" s="12" t="s">
        <v>15</v>
      </c>
      <c r="D6692" s="93">
        <v>9.14</v>
      </c>
      <c r="E6692" s="93">
        <v>9.14</v>
      </c>
      <c r="F6692" s="93">
        <v>0</v>
      </c>
      <c r="G6692" s="93">
        <v>0</v>
      </c>
      <c r="H6692" s="93">
        <v>0</v>
      </c>
      <c r="N6692" s="88"/>
      <c r="O6692" s="88"/>
      <c r="P6692" s="88"/>
    </row>
    <row r="6693" spans="1:16">
      <c r="A6693" s="94">
        <v>101363</v>
      </c>
      <c r="B6693" s="87" t="s">
        <v>5490</v>
      </c>
      <c r="C6693" s="12" t="s">
        <v>15</v>
      </c>
      <c r="D6693" s="93">
        <v>18.8</v>
      </c>
      <c r="E6693" s="93">
        <v>18.8</v>
      </c>
      <c r="F6693" s="93">
        <v>0</v>
      </c>
      <c r="G6693" s="93">
        <v>0</v>
      </c>
      <c r="H6693" s="93">
        <v>0</v>
      </c>
      <c r="N6693" s="88"/>
      <c r="O6693" s="88"/>
      <c r="P6693" s="88"/>
    </row>
    <row r="6694" spans="1:16">
      <c r="A6694" s="94">
        <v>101364</v>
      </c>
      <c r="B6694" s="87" t="s">
        <v>5491</v>
      </c>
      <c r="C6694" s="12" t="s">
        <v>15</v>
      </c>
      <c r="D6694" s="93">
        <v>21.54</v>
      </c>
      <c r="E6694" s="93">
        <v>21.54</v>
      </c>
      <c r="F6694" s="93">
        <v>0</v>
      </c>
      <c r="G6694" s="93">
        <v>0</v>
      </c>
      <c r="H6694" s="93">
        <v>0</v>
      </c>
      <c r="N6694" s="88"/>
      <c r="O6694" s="88"/>
      <c r="P6694" s="88"/>
    </row>
    <row r="6695" spans="1:16">
      <c r="A6695" s="94">
        <v>101365</v>
      </c>
      <c r="B6695" s="87" t="s">
        <v>5492</v>
      </c>
      <c r="C6695" s="12" t="s">
        <v>15</v>
      </c>
      <c r="D6695" s="93">
        <v>18.8</v>
      </c>
      <c r="E6695" s="93">
        <v>18.8</v>
      </c>
      <c r="F6695" s="93">
        <v>0</v>
      </c>
      <c r="G6695" s="93">
        <v>0</v>
      </c>
      <c r="H6695" s="93">
        <v>0</v>
      </c>
      <c r="N6695" s="88"/>
      <c r="O6695" s="88"/>
      <c r="P6695" s="88"/>
    </row>
    <row r="6696" spans="1:16">
      <c r="A6696" s="94">
        <v>101366</v>
      </c>
      <c r="B6696" s="87" t="s">
        <v>5493</v>
      </c>
      <c r="C6696" s="12" t="s">
        <v>15</v>
      </c>
      <c r="D6696" s="93">
        <v>13.75</v>
      </c>
      <c r="E6696" s="93">
        <v>13.75</v>
      </c>
      <c r="F6696" s="93">
        <v>0</v>
      </c>
      <c r="G6696" s="93">
        <v>0</v>
      </c>
      <c r="H6696" s="93">
        <v>0</v>
      </c>
      <c r="N6696" s="88"/>
      <c r="O6696" s="88"/>
      <c r="P6696" s="88"/>
    </row>
    <row r="6697" spans="1:16">
      <c r="A6697" s="94">
        <v>101367</v>
      </c>
      <c r="B6697" s="87" t="s">
        <v>5494</v>
      </c>
      <c r="C6697" s="12" t="s">
        <v>15</v>
      </c>
      <c r="D6697" s="93">
        <v>23.08</v>
      </c>
      <c r="E6697" s="93">
        <v>23.08</v>
      </c>
      <c r="F6697" s="93">
        <v>0</v>
      </c>
      <c r="G6697" s="93">
        <v>0</v>
      </c>
      <c r="H6697" s="93">
        <v>0</v>
      </c>
      <c r="N6697" s="88"/>
      <c r="O6697" s="88"/>
      <c r="P6697" s="88"/>
    </row>
    <row r="6698" spans="1:16">
      <c r="A6698" s="94">
        <v>101368</v>
      </c>
      <c r="B6698" s="87" t="s">
        <v>5495</v>
      </c>
      <c r="C6698" s="12" t="s">
        <v>15</v>
      </c>
      <c r="D6698" s="93">
        <v>23.01</v>
      </c>
      <c r="E6698" s="93">
        <v>23.01</v>
      </c>
      <c r="F6698" s="93">
        <v>0</v>
      </c>
      <c r="G6698" s="93">
        <v>0</v>
      </c>
      <c r="H6698" s="93">
        <v>0</v>
      </c>
      <c r="N6698" s="88"/>
      <c r="O6698" s="88"/>
      <c r="P6698" s="88"/>
    </row>
    <row r="6699" spans="1:16">
      <c r="A6699" s="94">
        <v>101369</v>
      </c>
      <c r="B6699" s="87" t="s">
        <v>5496</v>
      </c>
      <c r="C6699" s="12" t="s">
        <v>15</v>
      </c>
      <c r="D6699" s="93">
        <v>31.97</v>
      </c>
      <c r="E6699" s="93">
        <v>31.97</v>
      </c>
      <c r="F6699" s="93">
        <v>0</v>
      </c>
      <c r="G6699" s="93">
        <v>0</v>
      </c>
      <c r="H6699" s="93">
        <v>0</v>
      </c>
      <c r="N6699" s="88"/>
      <c r="O6699" s="88"/>
      <c r="P6699" s="88"/>
    </row>
    <row r="6700" spans="1:16">
      <c r="A6700" s="94">
        <v>101370</v>
      </c>
      <c r="B6700" s="87" t="s">
        <v>5497</v>
      </c>
      <c r="C6700" s="12" t="s">
        <v>15</v>
      </c>
      <c r="D6700" s="93">
        <v>20.53</v>
      </c>
      <c r="E6700" s="93">
        <v>20.53</v>
      </c>
      <c r="F6700" s="93">
        <v>0</v>
      </c>
      <c r="G6700" s="93">
        <v>0</v>
      </c>
      <c r="H6700" s="93">
        <v>0</v>
      </c>
      <c r="N6700" s="88"/>
      <c r="O6700" s="88"/>
      <c r="P6700" s="88"/>
    </row>
    <row r="6701" spans="1:16">
      <c r="A6701" s="94">
        <v>101371</v>
      </c>
      <c r="B6701" s="87" t="s">
        <v>5498</v>
      </c>
      <c r="C6701" s="12" t="s">
        <v>15</v>
      </c>
      <c r="D6701" s="93">
        <v>22.17</v>
      </c>
      <c r="E6701" s="93">
        <v>22.17</v>
      </c>
      <c r="F6701" s="93">
        <v>0</v>
      </c>
      <c r="G6701" s="93">
        <v>0</v>
      </c>
      <c r="H6701" s="93">
        <v>0</v>
      </c>
      <c r="N6701" s="88"/>
      <c r="O6701" s="88"/>
      <c r="P6701" s="88"/>
    </row>
    <row r="6702" spans="1:16">
      <c r="A6702" s="94">
        <v>101372</v>
      </c>
      <c r="B6702" s="87" t="s">
        <v>5499</v>
      </c>
      <c r="C6702" s="12" t="s">
        <v>15</v>
      </c>
      <c r="D6702" s="93">
        <v>5.42</v>
      </c>
      <c r="E6702" s="93">
        <v>5.42</v>
      </c>
      <c r="F6702" s="93">
        <v>0</v>
      </c>
      <c r="G6702" s="93">
        <v>0</v>
      </c>
      <c r="H6702" s="93">
        <v>0</v>
      </c>
      <c r="N6702" s="88"/>
      <c r="O6702" s="88"/>
      <c r="P6702" s="88"/>
    </row>
    <row r="6703" spans="1:16">
      <c r="A6703" s="94">
        <v>101373</v>
      </c>
      <c r="B6703" s="87" t="s">
        <v>5500</v>
      </c>
      <c r="C6703" s="12" t="s">
        <v>10</v>
      </c>
      <c r="D6703" s="93">
        <v>139.31</v>
      </c>
      <c r="E6703" s="93">
        <v>138.13999999999999</v>
      </c>
      <c r="F6703" s="93">
        <v>1.17</v>
      </c>
      <c r="G6703" s="93">
        <v>0</v>
      </c>
      <c r="H6703" s="93">
        <v>0</v>
      </c>
      <c r="N6703" s="88"/>
      <c r="O6703" s="88"/>
      <c r="P6703" s="88"/>
    </row>
    <row r="6704" spans="1:16">
      <c r="A6704" s="94">
        <v>101374</v>
      </c>
      <c r="B6704" s="87" t="s">
        <v>480</v>
      </c>
      <c r="C6704" s="12" t="s">
        <v>15</v>
      </c>
      <c r="D6704" s="93">
        <v>2959.21</v>
      </c>
      <c r="E6704" s="93">
        <v>2095.81</v>
      </c>
      <c r="F6704" s="93">
        <v>863.4</v>
      </c>
      <c r="G6704" s="93">
        <v>0</v>
      </c>
      <c r="H6704" s="93">
        <v>0</v>
      </c>
      <c r="N6704" s="88"/>
      <c r="O6704" s="88"/>
      <c r="P6704" s="88"/>
    </row>
    <row r="6705" spans="1:16">
      <c r="A6705" s="94">
        <v>101375</v>
      </c>
      <c r="B6705" s="87" t="s">
        <v>5501</v>
      </c>
      <c r="C6705" s="12" t="s">
        <v>15</v>
      </c>
      <c r="D6705" s="93">
        <v>3007.06</v>
      </c>
      <c r="E6705" s="93">
        <v>2143.0700000000002</v>
      </c>
      <c r="F6705" s="93">
        <v>863.99</v>
      </c>
      <c r="G6705" s="93">
        <v>0</v>
      </c>
      <c r="H6705" s="93">
        <v>0</v>
      </c>
      <c r="N6705" s="88"/>
      <c r="O6705" s="88"/>
      <c r="P6705" s="88"/>
    </row>
    <row r="6706" spans="1:16">
      <c r="A6706" s="94">
        <v>101376</v>
      </c>
      <c r="B6706" s="87" t="s">
        <v>5502</v>
      </c>
      <c r="C6706" s="12" t="s">
        <v>15</v>
      </c>
      <c r="D6706" s="93">
        <v>3567.75</v>
      </c>
      <c r="E6706" s="93">
        <v>2873.51</v>
      </c>
      <c r="F6706" s="93">
        <v>694.24</v>
      </c>
      <c r="G6706" s="93">
        <v>0</v>
      </c>
      <c r="H6706" s="93">
        <v>0</v>
      </c>
      <c r="N6706" s="88"/>
      <c r="O6706" s="88"/>
      <c r="P6706" s="88"/>
    </row>
    <row r="6707" spans="1:16">
      <c r="A6707" s="94">
        <v>101377</v>
      </c>
      <c r="B6707" s="87" t="s">
        <v>483</v>
      </c>
      <c r="C6707" s="12" t="s">
        <v>15</v>
      </c>
      <c r="D6707" s="93">
        <v>3032.07</v>
      </c>
      <c r="E6707" s="93">
        <v>2168.67</v>
      </c>
      <c r="F6707" s="93">
        <v>863.4</v>
      </c>
      <c r="G6707" s="93">
        <v>0</v>
      </c>
      <c r="H6707" s="93">
        <v>0</v>
      </c>
      <c r="N6707" s="88"/>
      <c r="O6707" s="88"/>
      <c r="P6707" s="88"/>
    </row>
    <row r="6708" spans="1:16">
      <c r="A6708" s="94">
        <v>101378</v>
      </c>
      <c r="B6708" s="87" t="s">
        <v>5392</v>
      </c>
      <c r="C6708" s="12" t="s">
        <v>15</v>
      </c>
      <c r="D6708" s="93">
        <v>3237.65</v>
      </c>
      <c r="E6708" s="93">
        <v>2172.5500000000002</v>
      </c>
      <c r="F6708" s="93">
        <v>1065.0999999999999</v>
      </c>
      <c r="G6708" s="93">
        <v>0</v>
      </c>
      <c r="H6708" s="93">
        <v>0</v>
      </c>
      <c r="N6708" s="88"/>
      <c r="O6708" s="88"/>
      <c r="P6708" s="88"/>
    </row>
    <row r="6709" spans="1:16">
      <c r="A6709" s="94">
        <v>101379</v>
      </c>
      <c r="B6709" s="87" t="s">
        <v>5503</v>
      </c>
      <c r="C6709" s="12" t="s">
        <v>15</v>
      </c>
      <c r="D6709" s="93">
        <v>3111.36</v>
      </c>
      <c r="E6709" s="93">
        <v>2247.96</v>
      </c>
      <c r="F6709" s="93">
        <v>863.4</v>
      </c>
      <c r="G6709" s="93">
        <v>0</v>
      </c>
      <c r="H6709" s="93">
        <v>0</v>
      </c>
      <c r="N6709" s="88"/>
      <c r="O6709" s="88"/>
      <c r="P6709" s="88"/>
    </row>
    <row r="6710" spans="1:16">
      <c r="A6710" s="94">
        <v>101380</v>
      </c>
      <c r="B6710" s="87" t="s">
        <v>485</v>
      </c>
      <c r="C6710" s="12" t="s">
        <v>15</v>
      </c>
      <c r="D6710" s="93">
        <v>3268.9</v>
      </c>
      <c r="E6710" s="93">
        <v>2425.94</v>
      </c>
      <c r="F6710" s="93">
        <v>842.96</v>
      </c>
      <c r="G6710" s="93">
        <v>0</v>
      </c>
      <c r="H6710" s="93">
        <v>0</v>
      </c>
      <c r="N6710" s="88"/>
      <c r="O6710" s="88"/>
      <c r="P6710" s="88"/>
    </row>
    <row r="6711" spans="1:16">
      <c r="A6711" s="94">
        <v>101381</v>
      </c>
      <c r="B6711" s="87" t="s">
        <v>486</v>
      </c>
      <c r="C6711" s="12" t="s">
        <v>15</v>
      </c>
      <c r="D6711" s="93">
        <v>3867.83</v>
      </c>
      <c r="E6711" s="93">
        <v>3004.43</v>
      </c>
      <c r="F6711" s="93">
        <v>863.4</v>
      </c>
      <c r="G6711" s="93">
        <v>0</v>
      </c>
      <c r="H6711" s="93">
        <v>0</v>
      </c>
      <c r="N6711" s="88"/>
      <c r="O6711" s="88"/>
      <c r="P6711" s="88"/>
    </row>
    <row r="6712" spans="1:16">
      <c r="A6712" s="94">
        <v>101382</v>
      </c>
      <c r="B6712" s="87" t="s">
        <v>5504</v>
      </c>
      <c r="C6712" s="12" t="s">
        <v>15</v>
      </c>
      <c r="D6712" s="93">
        <v>5344.28</v>
      </c>
      <c r="E6712" s="93">
        <v>4650.04</v>
      </c>
      <c r="F6712" s="93">
        <v>694.24</v>
      </c>
      <c r="G6712" s="93">
        <v>0</v>
      </c>
      <c r="H6712" s="93">
        <v>0</v>
      </c>
      <c r="N6712" s="88"/>
      <c r="O6712" s="88"/>
      <c r="P6712" s="88"/>
    </row>
    <row r="6713" spans="1:16">
      <c r="A6713" s="94">
        <v>101383</v>
      </c>
      <c r="B6713" s="87" t="s">
        <v>5394</v>
      </c>
      <c r="C6713" s="12" t="s">
        <v>15</v>
      </c>
      <c r="D6713" s="93">
        <v>3057.41</v>
      </c>
      <c r="E6713" s="93">
        <v>2194.0100000000002</v>
      </c>
      <c r="F6713" s="93">
        <v>863.4</v>
      </c>
      <c r="G6713" s="93">
        <v>0</v>
      </c>
      <c r="H6713" s="93">
        <v>0</v>
      </c>
      <c r="N6713" s="88"/>
      <c r="O6713" s="88"/>
      <c r="P6713" s="88"/>
    </row>
    <row r="6714" spans="1:16">
      <c r="A6714" s="94">
        <v>101384</v>
      </c>
      <c r="B6714" s="87" t="s">
        <v>5265</v>
      </c>
      <c r="C6714" s="12" t="s">
        <v>15</v>
      </c>
      <c r="D6714" s="93">
        <v>2916.9</v>
      </c>
      <c r="E6714" s="93">
        <v>2137.5100000000002</v>
      </c>
      <c r="F6714" s="93">
        <v>779.39</v>
      </c>
      <c r="G6714" s="93">
        <v>0</v>
      </c>
      <c r="H6714" s="93">
        <v>0</v>
      </c>
      <c r="N6714" s="88"/>
      <c r="O6714" s="88"/>
      <c r="P6714" s="88"/>
    </row>
    <row r="6715" spans="1:16">
      <c r="A6715" s="94">
        <v>101385</v>
      </c>
      <c r="B6715" s="87" t="s">
        <v>5505</v>
      </c>
      <c r="C6715" s="12" t="s">
        <v>15</v>
      </c>
      <c r="D6715" s="93">
        <v>4414.96</v>
      </c>
      <c r="E6715" s="93">
        <v>4183.43</v>
      </c>
      <c r="F6715" s="93">
        <v>231.53</v>
      </c>
      <c r="G6715" s="93">
        <v>0</v>
      </c>
      <c r="H6715" s="93">
        <v>0</v>
      </c>
      <c r="N6715" s="88"/>
      <c r="O6715" s="88"/>
      <c r="P6715" s="88"/>
    </row>
    <row r="6716" spans="1:16">
      <c r="A6716" s="94">
        <v>101386</v>
      </c>
      <c r="B6716" s="87" t="s">
        <v>490</v>
      </c>
      <c r="C6716" s="12" t="s">
        <v>15</v>
      </c>
      <c r="D6716" s="93">
        <v>3980.38</v>
      </c>
      <c r="E6716" s="93">
        <v>3286.14</v>
      </c>
      <c r="F6716" s="93">
        <v>694.24</v>
      </c>
      <c r="G6716" s="93">
        <v>0</v>
      </c>
      <c r="H6716" s="93">
        <v>0</v>
      </c>
      <c r="N6716" s="88"/>
      <c r="O6716" s="88"/>
      <c r="P6716" s="88"/>
    </row>
    <row r="6717" spans="1:16">
      <c r="A6717" s="94">
        <v>101387</v>
      </c>
      <c r="B6717" s="87" t="s">
        <v>5506</v>
      </c>
      <c r="C6717" s="12" t="s">
        <v>15</v>
      </c>
      <c r="D6717" s="93">
        <v>2682.65</v>
      </c>
      <c r="E6717" s="93">
        <v>1819.25</v>
      </c>
      <c r="F6717" s="93">
        <v>863.4</v>
      </c>
      <c r="G6717" s="93">
        <v>0</v>
      </c>
      <c r="H6717" s="93">
        <v>0</v>
      </c>
      <c r="N6717" s="88"/>
      <c r="O6717" s="88"/>
      <c r="P6717" s="88"/>
    </row>
    <row r="6718" spans="1:16">
      <c r="A6718" s="94">
        <v>101388</v>
      </c>
      <c r="B6718" s="87" t="s">
        <v>492</v>
      </c>
      <c r="C6718" s="12" t="s">
        <v>15</v>
      </c>
      <c r="D6718" s="93">
        <v>2855.29</v>
      </c>
      <c r="E6718" s="93">
        <v>2012.33</v>
      </c>
      <c r="F6718" s="93">
        <v>842.96</v>
      </c>
      <c r="G6718" s="93">
        <v>0</v>
      </c>
      <c r="H6718" s="93">
        <v>0</v>
      </c>
      <c r="N6718" s="88"/>
      <c r="O6718" s="88"/>
      <c r="P6718" s="88"/>
    </row>
    <row r="6719" spans="1:16">
      <c r="A6719" s="94">
        <v>101389</v>
      </c>
      <c r="B6719" s="87" t="s">
        <v>493</v>
      </c>
      <c r="C6719" s="12" t="s">
        <v>15</v>
      </c>
      <c r="D6719" s="93">
        <v>1508.04</v>
      </c>
      <c r="E6719" s="93">
        <v>1284.42</v>
      </c>
      <c r="F6719" s="93">
        <v>223.62</v>
      </c>
      <c r="G6719" s="93">
        <v>0</v>
      </c>
      <c r="H6719" s="93">
        <v>0</v>
      </c>
      <c r="N6719" s="88"/>
      <c r="O6719" s="88"/>
      <c r="P6719" s="88"/>
    </row>
    <row r="6720" spans="1:16">
      <c r="A6720" s="94">
        <v>101390</v>
      </c>
      <c r="B6720" s="87" t="s">
        <v>5507</v>
      </c>
      <c r="C6720" s="12" t="s">
        <v>15</v>
      </c>
      <c r="D6720" s="93">
        <v>4371.3100000000004</v>
      </c>
      <c r="E6720" s="93">
        <v>4151.66</v>
      </c>
      <c r="F6720" s="93">
        <v>219.65</v>
      </c>
      <c r="G6720" s="93">
        <v>0</v>
      </c>
      <c r="H6720" s="93">
        <v>0</v>
      </c>
      <c r="N6720" s="88"/>
      <c r="O6720" s="88"/>
      <c r="P6720" s="88"/>
    </row>
    <row r="6721" spans="1:16">
      <c r="A6721" s="94">
        <v>101391</v>
      </c>
      <c r="B6721" s="87" t="s">
        <v>5508</v>
      </c>
      <c r="C6721" s="12" t="s">
        <v>15</v>
      </c>
      <c r="D6721" s="93">
        <v>3873.21</v>
      </c>
      <c r="E6721" s="93">
        <v>3009.81</v>
      </c>
      <c r="F6721" s="93">
        <v>863.4</v>
      </c>
      <c r="G6721" s="93">
        <v>0</v>
      </c>
      <c r="H6721" s="93">
        <v>0</v>
      </c>
      <c r="N6721" s="88"/>
      <c r="O6721" s="88"/>
      <c r="P6721" s="88"/>
    </row>
    <row r="6722" spans="1:16">
      <c r="A6722" s="94">
        <v>101392</v>
      </c>
      <c r="B6722" s="87" t="s">
        <v>5509</v>
      </c>
      <c r="C6722" s="12" t="s">
        <v>15</v>
      </c>
      <c r="D6722" s="93">
        <v>4629.55</v>
      </c>
      <c r="E6722" s="93">
        <v>3935.31</v>
      </c>
      <c r="F6722" s="93">
        <v>694.24</v>
      </c>
      <c r="G6722" s="93">
        <v>0</v>
      </c>
      <c r="H6722" s="93">
        <v>0</v>
      </c>
      <c r="N6722" s="88"/>
      <c r="O6722" s="88"/>
      <c r="P6722" s="88"/>
    </row>
    <row r="6723" spans="1:16">
      <c r="A6723" s="94">
        <v>101393</v>
      </c>
      <c r="B6723" s="87" t="s">
        <v>5510</v>
      </c>
      <c r="C6723" s="12" t="s">
        <v>15</v>
      </c>
      <c r="D6723" s="93">
        <v>4530.13</v>
      </c>
      <c r="E6723" s="93">
        <v>3666.73</v>
      </c>
      <c r="F6723" s="93">
        <v>863.4</v>
      </c>
      <c r="G6723" s="93">
        <v>0</v>
      </c>
      <c r="H6723" s="93">
        <v>0</v>
      </c>
      <c r="N6723" s="88"/>
      <c r="O6723" s="88"/>
      <c r="P6723" s="88"/>
    </row>
    <row r="6724" spans="1:16">
      <c r="A6724" s="94">
        <v>101394</v>
      </c>
      <c r="B6724" s="87" t="s">
        <v>498</v>
      </c>
      <c r="C6724" s="12" t="s">
        <v>15</v>
      </c>
      <c r="D6724" s="93">
        <v>3706.86</v>
      </c>
      <c r="E6724" s="93">
        <v>2843.46</v>
      </c>
      <c r="F6724" s="93">
        <v>863.4</v>
      </c>
      <c r="G6724" s="93">
        <v>0</v>
      </c>
      <c r="H6724" s="93">
        <v>0</v>
      </c>
      <c r="N6724" s="88"/>
      <c r="O6724" s="88"/>
      <c r="P6724" s="88"/>
    </row>
    <row r="6725" spans="1:16">
      <c r="A6725" s="94">
        <v>101395</v>
      </c>
      <c r="B6725" s="87" t="s">
        <v>5511</v>
      </c>
      <c r="C6725" s="12" t="s">
        <v>15</v>
      </c>
      <c r="D6725" s="93">
        <v>3214.62</v>
      </c>
      <c r="E6725" s="93">
        <v>2371.3000000000002</v>
      </c>
      <c r="F6725" s="93">
        <v>843.32</v>
      </c>
      <c r="G6725" s="93">
        <v>0</v>
      </c>
      <c r="H6725" s="93">
        <v>0</v>
      </c>
      <c r="N6725" s="88"/>
      <c r="O6725" s="88"/>
      <c r="P6725" s="88"/>
    </row>
    <row r="6726" spans="1:16">
      <c r="A6726" s="94">
        <v>101396</v>
      </c>
      <c r="B6726" s="87" t="s">
        <v>5512</v>
      </c>
      <c r="C6726" s="12" t="s">
        <v>15</v>
      </c>
      <c r="D6726" s="93">
        <v>4852.03</v>
      </c>
      <c r="E6726" s="93">
        <v>4008.71</v>
      </c>
      <c r="F6726" s="93">
        <v>843.32</v>
      </c>
      <c r="G6726" s="93">
        <v>0</v>
      </c>
      <c r="H6726" s="93">
        <v>0</v>
      </c>
      <c r="N6726" s="88"/>
      <c r="O6726" s="88"/>
      <c r="P6726" s="88"/>
    </row>
    <row r="6727" spans="1:16">
      <c r="A6727" s="94">
        <v>101397</v>
      </c>
      <c r="B6727" s="87" t="s">
        <v>500</v>
      </c>
      <c r="C6727" s="12" t="s">
        <v>15</v>
      </c>
      <c r="D6727" s="93">
        <v>3847.75</v>
      </c>
      <c r="E6727" s="93">
        <v>3004.43</v>
      </c>
      <c r="F6727" s="93">
        <v>843.32</v>
      </c>
      <c r="G6727" s="93">
        <v>0</v>
      </c>
      <c r="H6727" s="93">
        <v>0</v>
      </c>
      <c r="N6727" s="88"/>
      <c r="O6727" s="88"/>
      <c r="P6727" s="88"/>
    </row>
    <row r="6728" spans="1:16">
      <c r="A6728" s="94">
        <v>101398</v>
      </c>
      <c r="B6728" s="87" t="s">
        <v>5513</v>
      </c>
      <c r="C6728" s="12" t="s">
        <v>15</v>
      </c>
      <c r="D6728" s="93">
        <v>3983.43</v>
      </c>
      <c r="E6728" s="93">
        <v>3289.19</v>
      </c>
      <c r="F6728" s="93">
        <v>694.24</v>
      </c>
      <c r="G6728" s="93">
        <v>0</v>
      </c>
      <c r="H6728" s="93">
        <v>0</v>
      </c>
      <c r="N6728" s="88"/>
      <c r="O6728" s="88"/>
      <c r="P6728" s="88"/>
    </row>
    <row r="6729" spans="1:16">
      <c r="A6729" s="94">
        <v>101399</v>
      </c>
      <c r="B6729" s="87" t="s">
        <v>501</v>
      </c>
      <c r="C6729" s="12" t="s">
        <v>15</v>
      </c>
      <c r="D6729" s="93">
        <v>3910.52</v>
      </c>
      <c r="E6729" s="93">
        <v>3046.53</v>
      </c>
      <c r="F6729" s="93">
        <v>863.99</v>
      </c>
      <c r="G6729" s="93">
        <v>0</v>
      </c>
      <c r="H6729" s="93">
        <v>0</v>
      </c>
      <c r="N6729" s="88"/>
      <c r="O6729" s="88"/>
      <c r="P6729" s="88"/>
    </row>
    <row r="6730" spans="1:16">
      <c r="A6730" s="94">
        <v>101400</v>
      </c>
      <c r="B6730" s="87" t="s">
        <v>5514</v>
      </c>
      <c r="C6730" s="12" t="s">
        <v>15</v>
      </c>
      <c r="D6730" s="93">
        <v>4161.29</v>
      </c>
      <c r="E6730" s="93">
        <v>3297.3</v>
      </c>
      <c r="F6730" s="93">
        <v>863.99</v>
      </c>
      <c r="G6730" s="93">
        <v>0</v>
      </c>
      <c r="H6730" s="93">
        <v>0</v>
      </c>
      <c r="N6730" s="88"/>
      <c r="O6730" s="88"/>
      <c r="P6730" s="88"/>
    </row>
    <row r="6731" spans="1:16">
      <c r="A6731" s="94">
        <v>101401</v>
      </c>
      <c r="B6731" s="87" t="s">
        <v>503</v>
      </c>
      <c r="C6731" s="12" t="s">
        <v>15</v>
      </c>
      <c r="D6731" s="93">
        <v>4869.97</v>
      </c>
      <c r="E6731" s="93">
        <v>4005.98</v>
      </c>
      <c r="F6731" s="93">
        <v>863.99</v>
      </c>
      <c r="G6731" s="93">
        <v>0</v>
      </c>
      <c r="H6731" s="93">
        <v>0</v>
      </c>
      <c r="N6731" s="88"/>
      <c r="O6731" s="88"/>
      <c r="P6731" s="88"/>
    </row>
    <row r="6732" spans="1:16">
      <c r="A6732" s="94">
        <v>101402</v>
      </c>
      <c r="B6732" s="87" t="s">
        <v>504</v>
      </c>
      <c r="C6732" s="12" t="s">
        <v>15</v>
      </c>
      <c r="D6732" s="93">
        <v>3794.27</v>
      </c>
      <c r="E6732" s="93">
        <v>3014.88</v>
      </c>
      <c r="F6732" s="93">
        <v>779.39</v>
      </c>
      <c r="G6732" s="93">
        <v>0</v>
      </c>
      <c r="H6732" s="93">
        <v>0</v>
      </c>
      <c r="N6732" s="88"/>
      <c r="O6732" s="88"/>
      <c r="P6732" s="88"/>
    </row>
    <row r="6733" spans="1:16">
      <c r="A6733" s="94">
        <v>101403</v>
      </c>
      <c r="B6733" s="87" t="s">
        <v>5500</v>
      </c>
      <c r="C6733" s="12" t="s">
        <v>15</v>
      </c>
      <c r="D6733" s="93">
        <v>24617.599999999999</v>
      </c>
      <c r="E6733" s="93">
        <v>24397.95</v>
      </c>
      <c r="F6733" s="93">
        <v>219.65</v>
      </c>
      <c r="G6733" s="93">
        <v>0</v>
      </c>
      <c r="H6733" s="93">
        <v>0</v>
      </c>
      <c r="N6733" s="88"/>
      <c r="O6733" s="88"/>
      <c r="P6733" s="88"/>
    </row>
    <row r="6734" spans="1:16">
      <c r="A6734" s="94">
        <v>101404</v>
      </c>
      <c r="B6734" s="87" t="s">
        <v>569</v>
      </c>
      <c r="C6734" s="12" t="s">
        <v>15</v>
      </c>
      <c r="D6734" s="93">
        <v>15964.85</v>
      </c>
      <c r="E6734" s="93">
        <v>15745.2</v>
      </c>
      <c r="F6734" s="93">
        <v>219.65</v>
      </c>
      <c r="G6734" s="93">
        <v>0</v>
      </c>
      <c r="H6734" s="93">
        <v>0</v>
      </c>
      <c r="N6734" s="88"/>
      <c r="O6734" s="88"/>
      <c r="P6734" s="88"/>
    </row>
    <row r="6735" spans="1:16">
      <c r="A6735" s="94">
        <v>101405</v>
      </c>
      <c r="B6735" s="87" t="s">
        <v>570</v>
      </c>
      <c r="C6735" s="12" t="s">
        <v>15</v>
      </c>
      <c r="D6735" s="93">
        <v>15719.09</v>
      </c>
      <c r="E6735" s="93">
        <v>15499.44</v>
      </c>
      <c r="F6735" s="93">
        <v>219.65</v>
      </c>
      <c r="G6735" s="93">
        <v>0</v>
      </c>
      <c r="H6735" s="93">
        <v>0</v>
      </c>
      <c r="N6735" s="88"/>
      <c r="O6735" s="88"/>
      <c r="P6735" s="88"/>
    </row>
    <row r="6736" spans="1:16">
      <c r="A6736" s="94">
        <v>101406</v>
      </c>
      <c r="B6736" s="87" t="s">
        <v>505</v>
      </c>
      <c r="C6736" s="12" t="s">
        <v>15</v>
      </c>
      <c r="D6736" s="93">
        <v>4015.7</v>
      </c>
      <c r="E6736" s="93">
        <v>3152.3</v>
      </c>
      <c r="F6736" s="93">
        <v>863.4</v>
      </c>
      <c r="G6736" s="93">
        <v>0</v>
      </c>
      <c r="H6736" s="93">
        <v>0</v>
      </c>
      <c r="N6736" s="88"/>
      <c r="O6736" s="88"/>
      <c r="P6736" s="88"/>
    </row>
    <row r="6737" spans="1:16">
      <c r="A6737" s="94">
        <v>101407</v>
      </c>
      <c r="B6737" s="87" t="s">
        <v>506</v>
      </c>
      <c r="C6737" s="12" t="s">
        <v>15</v>
      </c>
      <c r="D6737" s="93">
        <v>3331.69</v>
      </c>
      <c r="E6737" s="93">
        <v>2468.29</v>
      </c>
      <c r="F6737" s="93">
        <v>863.4</v>
      </c>
      <c r="G6737" s="93">
        <v>0</v>
      </c>
      <c r="H6737" s="93">
        <v>0</v>
      </c>
      <c r="N6737" s="88"/>
      <c r="O6737" s="88"/>
      <c r="P6737" s="88"/>
    </row>
    <row r="6738" spans="1:16">
      <c r="A6738" s="94">
        <v>101408</v>
      </c>
      <c r="B6738" s="87" t="s">
        <v>507</v>
      </c>
      <c r="C6738" s="12" t="s">
        <v>15</v>
      </c>
      <c r="D6738" s="93">
        <v>4125.3100000000004</v>
      </c>
      <c r="E6738" s="93">
        <v>3261.91</v>
      </c>
      <c r="F6738" s="93">
        <v>863.4</v>
      </c>
      <c r="G6738" s="93">
        <v>0</v>
      </c>
      <c r="H6738" s="93">
        <v>0</v>
      </c>
      <c r="N6738" s="88"/>
      <c r="O6738" s="88"/>
      <c r="P6738" s="88"/>
    </row>
    <row r="6739" spans="1:16">
      <c r="A6739" s="94">
        <v>101409</v>
      </c>
      <c r="B6739" s="87" t="s">
        <v>5515</v>
      </c>
      <c r="C6739" s="12" t="s">
        <v>15</v>
      </c>
      <c r="D6739" s="93">
        <v>4223.7700000000004</v>
      </c>
      <c r="E6739" s="93">
        <v>3529.53</v>
      </c>
      <c r="F6739" s="93">
        <v>694.24</v>
      </c>
      <c r="G6739" s="93">
        <v>0</v>
      </c>
      <c r="H6739" s="93">
        <v>0</v>
      </c>
      <c r="N6739" s="88"/>
      <c r="O6739" s="88"/>
      <c r="P6739" s="88"/>
    </row>
    <row r="6740" spans="1:16">
      <c r="A6740" s="94">
        <v>101410</v>
      </c>
      <c r="B6740" s="87" t="s">
        <v>554</v>
      </c>
      <c r="C6740" s="12" t="s">
        <v>15</v>
      </c>
      <c r="D6740" s="93">
        <v>3761.28</v>
      </c>
      <c r="E6740" s="93">
        <v>2897.88</v>
      </c>
      <c r="F6740" s="93">
        <v>863.4</v>
      </c>
      <c r="G6740" s="93">
        <v>0</v>
      </c>
      <c r="H6740" s="93">
        <v>0</v>
      </c>
      <c r="N6740" s="88"/>
      <c r="O6740" s="88"/>
      <c r="P6740" s="88"/>
    </row>
    <row r="6741" spans="1:16">
      <c r="A6741" s="94">
        <v>101411</v>
      </c>
      <c r="B6741" s="87" t="s">
        <v>5516</v>
      </c>
      <c r="C6741" s="12" t="s">
        <v>15</v>
      </c>
      <c r="D6741" s="93">
        <v>2593.66</v>
      </c>
      <c r="E6741" s="93">
        <v>2362.13</v>
      </c>
      <c r="F6741" s="93">
        <v>231.53</v>
      </c>
      <c r="G6741" s="93">
        <v>0</v>
      </c>
      <c r="H6741" s="93">
        <v>0</v>
      </c>
      <c r="N6741" s="88"/>
      <c r="O6741" s="88"/>
      <c r="P6741" s="88"/>
    </row>
    <row r="6742" spans="1:16">
      <c r="A6742" s="94">
        <v>101412</v>
      </c>
      <c r="B6742" s="87" t="s">
        <v>5517</v>
      </c>
      <c r="C6742" s="12" t="s">
        <v>15</v>
      </c>
      <c r="D6742" s="93">
        <v>4001.44</v>
      </c>
      <c r="E6742" s="93">
        <v>3014.88</v>
      </c>
      <c r="F6742" s="93">
        <v>986.56</v>
      </c>
      <c r="G6742" s="93">
        <v>0</v>
      </c>
      <c r="H6742" s="93">
        <v>0</v>
      </c>
      <c r="N6742" s="88"/>
      <c r="O6742" s="88"/>
      <c r="P6742" s="88"/>
    </row>
    <row r="6743" spans="1:16">
      <c r="A6743" s="94">
        <v>101413</v>
      </c>
      <c r="B6743" s="87" t="s">
        <v>509</v>
      </c>
      <c r="C6743" s="12" t="s">
        <v>15</v>
      </c>
      <c r="D6743" s="93">
        <v>3919.76</v>
      </c>
      <c r="E6743" s="93">
        <v>3076.44</v>
      </c>
      <c r="F6743" s="93">
        <v>843.32</v>
      </c>
      <c r="G6743" s="93">
        <v>0</v>
      </c>
      <c r="H6743" s="93">
        <v>0</v>
      </c>
      <c r="N6743" s="88"/>
      <c r="O6743" s="88"/>
      <c r="P6743" s="88"/>
    </row>
    <row r="6744" spans="1:16">
      <c r="A6744" s="94">
        <v>101414</v>
      </c>
      <c r="B6744" s="87" t="s">
        <v>5518</v>
      </c>
      <c r="C6744" s="12" t="s">
        <v>15</v>
      </c>
      <c r="D6744" s="93">
        <v>3807.67</v>
      </c>
      <c r="E6744" s="93">
        <v>2944.27</v>
      </c>
      <c r="F6744" s="93">
        <v>863.4</v>
      </c>
      <c r="G6744" s="93">
        <v>0</v>
      </c>
      <c r="H6744" s="93">
        <v>0</v>
      </c>
      <c r="N6744" s="88"/>
      <c r="O6744" s="88"/>
      <c r="P6744" s="88"/>
    </row>
    <row r="6745" spans="1:16">
      <c r="A6745" s="94">
        <v>101415</v>
      </c>
      <c r="B6745" s="87" t="s">
        <v>5519</v>
      </c>
      <c r="C6745" s="12" t="s">
        <v>15</v>
      </c>
      <c r="D6745" s="93">
        <v>6428.71</v>
      </c>
      <c r="E6745" s="93">
        <v>5734.47</v>
      </c>
      <c r="F6745" s="93">
        <v>694.24</v>
      </c>
      <c r="G6745" s="93">
        <v>0</v>
      </c>
      <c r="H6745" s="93">
        <v>0</v>
      </c>
      <c r="N6745" s="88"/>
      <c r="O6745" s="88"/>
      <c r="P6745" s="88"/>
    </row>
    <row r="6746" spans="1:16">
      <c r="A6746" s="94">
        <v>101416</v>
      </c>
      <c r="B6746" s="87" t="s">
        <v>5399</v>
      </c>
      <c r="C6746" s="12" t="s">
        <v>15</v>
      </c>
      <c r="D6746" s="93">
        <v>4027.34</v>
      </c>
      <c r="E6746" s="93">
        <v>3163.35</v>
      </c>
      <c r="F6746" s="93">
        <v>863.99</v>
      </c>
      <c r="G6746" s="93">
        <v>0</v>
      </c>
      <c r="H6746" s="93">
        <v>0</v>
      </c>
      <c r="N6746" s="88"/>
      <c r="O6746" s="88"/>
      <c r="P6746" s="88"/>
    </row>
    <row r="6747" spans="1:16">
      <c r="A6747" s="94">
        <v>101417</v>
      </c>
      <c r="B6747" s="87" t="s">
        <v>5520</v>
      </c>
      <c r="C6747" s="12" t="s">
        <v>15</v>
      </c>
      <c r="D6747" s="93">
        <v>3798.65</v>
      </c>
      <c r="E6747" s="93">
        <v>2934.66</v>
      </c>
      <c r="F6747" s="93">
        <v>863.99</v>
      </c>
      <c r="G6747" s="93">
        <v>0</v>
      </c>
      <c r="H6747" s="93">
        <v>0</v>
      </c>
      <c r="N6747" s="88"/>
      <c r="O6747" s="88"/>
      <c r="P6747" s="88"/>
    </row>
    <row r="6748" spans="1:16">
      <c r="A6748" s="94">
        <v>101418</v>
      </c>
      <c r="B6748" s="87" t="s">
        <v>5521</v>
      </c>
      <c r="C6748" s="12" t="s">
        <v>15</v>
      </c>
      <c r="D6748" s="93">
        <v>4711.12</v>
      </c>
      <c r="E6748" s="93">
        <v>4016.88</v>
      </c>
      <c r="F6748" s="93">
        <v>694.24</v>
      </c>
      <c r="G6748" s="93">
        <v>0</v>
      </c>
      <c r="H6748" s="93">
        <v>0</v>
      </c>
      <c r="N6748" s="88"/>
      <c r="O6748" s="88"/>
      <c r="P6748" s="88"/>
    </row>
    <row r="6749" spans="1:16">
      <c r="A6749" s="94">
        <v>101419</v>
      </c>
      <c r="B6749" s="87" t="s">
        <v>5522</v>
      </c>
      <c r="C6749" s="12" t="s">
        <v>15</v>
      </c>
      <c r="D6749" s="93">
        <v>5627.99</v>
      </c>
      <c r="E6749" s="93">
        <v>4764</v>
      </c>
      <c r="F6749" s="93">
        <v>863.99</v>
      </c>
      <c r="G6749" s="93">
        <v>0</v>
      </c>
      <c r="H6749" s="93">
        <v>0</v>
      </c>
      <c r="N6749" s="88"/>
      <c r="O6749" s="88"/>
      <c r="P6749" s="88"/>
    </row>
    <row r="6750" spans="1:16">
      <c r="A6750" s="94">
        <v>101420</v>
      </c>
      <c r="B6750" s="87" t="s">
        <v>5523</v>
      </c>
      <c r="C6750" s="12" t="s">
        <v>15</v>
      </c>
      <c r="D6750" s="93">
        <v>4613.42</v>
      </c>
      <c r="E6750" s="93">
        <v>3919.18</v>
      </c>
      <c r="F6750" s="93">
        <v>694.24</v>
      </c>
      <c r="G6750" s="93">
        <v>0</v>
      </c>
      <c r="H6750" s="93">
        <v>0</v>
      </c>
      <c r="N6750" s="88"/>
      <c r="O6750" s="88"/>
      <c r="P6750" s="88"/>
    </row>
    <row r="6751" spans="1:16">
      <c r="A6751" s="94">
        <v>101421</v>
      </c>
      <c r="B6751" s="87" t="s">
        <v>5524</v>
      </c>
      <c r="C6751" s="12" t="s">
        <v>15</v>
      </c>
      <c r="D6751" s="93">
        <v>6242.93</v>
      </c>
      <c r="E6751" s="93">
        <v>5548.69</v>
      </c>
      <c r="F6751" s="93">
        <v>694.24</v>
      </c>
      <c r="G6751" s="93">
        <v>0</v>
      </c>
      <c r="H6751" s="93">
        <v>0</v>
      </c>
      <c r="N6751" s="88"/>
      <c r="O6751" s="88"/>
      <c r="P6751" s="88"/>
    </row>
    <row r="6752" spans="1:16">
      <c r="A6752" s="94">
        <v>101422</v>
      </c>
      <c r="B6752" s="87" t="s">
        <v>5525</v>
      </c>
      <c r="C6752" s="12" t="s">
        <v>15</v>
      </c>
      <c r="D6752" s="93">
        <v>4786.1099999999997</v>
      </c>
      <c r="E6752" s="93">
        <v>4091.87</v>
      </c>
      <c r="F6752" s="93">
        <v>694.24</v>
      </c>
      <c r="G6752" s="93">
        <v>0</v>
      </c>
      <c r="H6752" s="93">
        <v>0</v>
      </c>
      <c r="N6752" s="88"/>
      <c r="O6752" s="88"/>
      <c r="P6752" s="88"/>
    </row>
    <row r="6753" spans="1:16">
      <c r="A6753" s="94">
        <v>101423</v>
      </c>
      <c r="B6753" s="87" t="s">
        <v>5526</v>
      </c>
      <c r="C6753" s="12" t="s">
        <v>15</v>
      </c>
      <c r="D6753" s="93">
        <v>5474.01</v>
      </c>
      <c r="E6753" s="93">
        <v>4779.7700000000004</v>
      </c>
      <c r="F6753" s="93">
        <v>694.24</v>
      </c>
      <c r="G6753" s="93">
        <v>0</v>
      </c>
      <c r="H6753" s="93">
        <v>0</v>
      </c>
      <c r="N6753" s="88"/>
      <c r="O6753" s="88"/>
      <c r="P6753" s="88"/>
    </row>
    <row r="6754" spans="1:16">
      <c r="A6754" s="94">
        <v>101424</v>
      </c>
      <c r="B6754" s="87" t="s">
        <v>5527</v>
      </c>
      <c r="C6754" s="12" t="s">
        <v>15</v>
      </c>
      <c r="D6754" s="93">
        <v>5053.3999999999996</v>
      </c>
      <c r="E6754" s="93">
        <v>4359.16</v>
      </c>
      <c r="F6754" s="93">
        <v>694.24</v>
      </c>
      <c r="G6754" s="93">
        <v>0</v>
      </c>
      <c r="H6754" s="93">
        <v>0</v>
      </c>
      <c r="N6754" s="88"/>
      <c r="O6754" s="88"/>
      <c r="P6754" s="88"/>
    </row>
    <row r="6755" spans="1:16">
      <c r="A6755" s="94">
        <v>101425</v>
      </c>
      <c r="B6755" s="87" t="s">
        <v>5528</v>
      </c>
      <c r="C6755" s="12" t="s">
        <v>15</v>
      </c>
      <c r="D6755" s="93">
        <v>1841.66</v>
      </c>
      <c r="E6755" s="93">
        <v>1618.04</v>
      </c>
      <c r="F6755" s="93">
        <v>223.62</v>
      </c>
      <c r="G6755" s="93">
        <v>0</v>
      </c>
      <c r="H6755" s="93">
        <v>0</v>
      </c>
      <c r="N6755" s="88"/>
      <c r="O6755" s="88"/>
      <c r="P6755" s="88"/>
    </row>
    <row r="6756" spans="1:16">
      <c r="A6756" s="94">
        <v>101426</v>
      </c>
      <c r="B6756" s="87" t="s">
        <v>5529</v>
      </c>
      <c r="C6756" s="12" t="s">
        <v>15</v>
      </c>
      <c r="D6756" s="93">
        <v>5308.53</v>
      </c>
      <c r="E6756" s="93">
        <v>4614.29</v>
      </c>
      <c r="F6756" s="93">
        <v>694.24</v>
      </c>
      <c r="G6756" s="93">
        <v>0</v>
      </c>
      <c r="H6756" s="93">
        <v>0</v>
      </c>
      <c r="N6756" s="88"/>
      <c r="O6756" s="88"/>
      <c r="P6756" s="88"/>
    </row>
    <row r="6757" spans="1:16">
      <c r="A6757" s="94">
        <v>101427</v>
      </c>
      <c r="B6757" s="87" t="s">
        <v>522</v>
      </c>
      <c r="C6757" s="12" t="s">
        <v>15</v>
      </c>
      <c r="D6757" s="93">
        <v>4447.24</v>
      </c>
      <c r="E6757" s="93">
        <v>3753</v>
      </c>
      <c r="F6757" s="93">
        <v>694.24</v>
      </c>
      <c r="G6757" s="93">
        <v>0</v>
      </c>
      <c r="H6757" s="93">
        <v>0</v>
      </c>
      <c r="N6757" s="88"/>
      <c r="O6757" s="88"/>
      <c r="P6757" s="88"/>
    </row>
    <row r="6758" spans="1:16">
      <c r="A6758" s="94">
        <v>101428</v>
      </c>
      <c r="B6758" s="87" t="s">
        <v>5530</v>
      </c>
      <c r="C6758" s="12" t="s">
        <v>15</v>
      </c>
      <c r="D6758" s="93">
        <v>4316.01</v>
      </c>
      <c r="E6758" s="93">
        <v>3621.77</v>
      </c>
      <c r="F6758" s="93">
        <v>694.24</v>
      </c>
      <c r="G6758" s="93">
        <v>0</v>
      </c>
      <c r="H6758" s="93">
        <v>0</v>
      </c>
      <c r="N6758" s="88"/>
      <c r="O6758" s="88"/>
      <c r="P6758" s="88"/>
    </row>
    <row r="6759" spans="1:16">
      <c r="A6759" s="94">
        <v>101429</v>
      </c>
      <c r="B6759" s="87" t="s">
        <v>5531</v>
      </c>
      <c r="C6759" s="12" t="s">
        <v>15</v>
      </c>
      <c r="D6759" s="93">
        <v>4856.3100000000004</v>
      </c>
      <c r="E6759" s="93">
        <v>4162.07</v>
      </c>
      <c r="F6759" s="93">
        <v>694.24</v>
      </c>
      <c r="G6759" s="93">
        <v>0</v>
      </c>
      <c r="H6759" s="93">
        <v>0</v>
      </c>
      <c r="N6759" s="88"/>
      <c r="O6759" s="88"/>
      <c r="P6759" s="88"/>
    </row>
    <row r="6760" spans="1:16">
      <c r="A6760" s="94">
        <v>101430</v>
      </c>
      <c r="B6760" s="87" t="s">
        <v>5532</v>
      </c>
      <c r="C6760" s="12" t="s">
        <v>15</v>
      </c>
      <c r="D6760" s="93">
        <v>5313.32</v>
      </c>
      <c r="E6760" s="93">
        <v>4619.08</v>
      </c>
      <c r="F6760" s="93">
        <v>694.24</v>
      </c>
      <c r="G6760" s="93">
        <v>0</v>
      </c>
      <c r="H6760" s="93">
        <v>0</v>
      </c>
      <c r="N6760" s="88"/>
      <c r="O6760" s="88"/>
      <c r="P6760" s="88"/>
    </row>
    <row r="6761" spans="1:16">
      <c r="A6761" s="94">
        <v>101431</v>
      </c>
      <c r="B6761" s="87" t="s">
        <v>525</v>
      </c>
      <c r="C6761" s="12" t="s">
        <v>15</v>
      </c>
      <c r="D6761" s="93">
        <v>5762.8</v>
      </c>
      <c r="E6761" s="93">
        <v>5068.5600000000004</v>
      </c>
      <c r="F6761" s="93">
        <v>694.24</v>
      </c>
      <c r="G6761" s="93">
        <v>0</v>
      </c>
      <c r="H6761" s="93">
        <v>0</v>
      </c>
      <c r="N6761" s="88"/>
      <c r="O6761" s="88"/>
      <c r="P6761" s="88"/>
    </row>
    <row r="6762" spans="1:16">
      <c r="A6762" s="94">
        <v>101432</v>
      </c>
      <c r="B6762" s="87" t="s">
        <v>5533</v>
      </c>
      <c r="C6762" s="12" t="s">
        <v>15</v>
      </c>
      <c r="D6762" s="93">
        <v>3615.62</v>
      </c>
      <c r="E6762" s="93">
        <v>2921.38</v>
      </c>
      <c r="F6762" s="93">
        <v>694.24</v>
      </c>
      <c r="G6762" s="93">
        <v>0</v>
      </c>
      <c r="H6762" s="93">
        <v>0</v>
      </c>
      <c r="N6762" s="88"/>
      <c r="O6762" s="88"/>
      <c r="P6762" s="88"/>
    </row>
    <row r="6763" spans="1:16">
      <c r="A6763" s="94">
        <v>101433</v>
      </c>
      <c r="B6763" s="87" t="s">
        <v>527</v>
      </c>
      <c r="C6763" s="12" t="s">
        <v>15</v>
      </c>
      <c r="D6763" s="93">
        <v>4811.41</v>
      </c>
      <c r="E6763" s="93">
        <v>4117.17</v>
      </c>
      <c r="F6763" s="93">
        <v>694.24</v>
      </c>
      <c r="G6763" s="93">
        <v>0</v>
      </c>
      <c r="H6763" s="93">
        <v>0</v>
      </c>
      <c r="N6763" s="88"/>
      <c r="O6763" s="88"/>
      <c r="P6763" s="88"/>
    </row>
    <row r="6764" spans="1:16">
      <c r="A6764" s="94">
        <v>101434</v>
      </c>
      <c r="B6764" s="87" t="s">
        <v>5534</v>
      </c>
      <c r="C6764" s="12" t="s">
        <v>15</v>
      </c>
      <c r="D6764" s="93">
        <v>5231.74</v>
      </c>
      <c r="E6764" s="93">
        <v>4537.5</v>
      </c>
      <c r="F6764" s="93">
        <v>694.24</v>
      </c>
      <c r="G6764" s="93">
        <v>0</v>
      </c>
      <c r="H6764" s="93">
        <v>0</v>
      </c>
      <c r="N6764" s="88"/>
      <c r="O6764" s="88"/>
      <c r="P6764" s="88"/>
    </row>
    <row r="6765" spans="1:16">
      <c r="A6765" s="94">
        <v>101435</v>
      </c>
      <c r="B6765" s="87" t="s">
        <v>5535</v>
      </c>
      <c r="C6765" s="12" t="s">
        <v>15</v>
      </c>
      <c r="D6765" s="93">
        <v>4615.91</v>
      </c>
      <c r="E6765" s="93">
        <v>3921.67</v>
      </c>
      <c r="F6765" s="93">
        <v>694.24</v>
      </c>
      <c r="G6765" s="93">
        <v>0</v>
      </c>
      <c r="H6765" s="93">
        <v>0</v>
      </c>
      <c r="N6765" s="88"/>
      <c r="O6765" s="88"/>
      <c r="P6765" s="88"/>
    </row>
    <row r="6766" spans="1:16">
      <c r="A6766" s="94">
        <v>101436</v>
      </c>
      <c r="B6766" s="87" t="s">
        <v>529</v>
      </c>
      <c r="C6766" s="12" t="s">
        <v>15</v>
      </c>
      <c r="D6766" s="93">
        <v>3448.65</v>
      </c>
      <c r="E6766" s="93">
        <v>2754.41</v>
      </c>
      <c r="F6766" s="93">
        <v>694.24</v>
      </c>
      <c r="G6766" s="93">
        <v>0</v>
      </c>
      <c r="H6766" s="93">
        <v>0</v>
      </c>
      <c r="N6766" s="88"/>
      <c r="O6766" s="88"/>
      <c r="P6766" s="88"/>
    </row>
    <row r="6767" spans="1:16">
      <c r="A6767" s="94">
        <v>101437</v>
      </c>
      <c r="B6767" s="87" t="s">
        <v>5536</v>
      </c>
      <c r="C6767" s="12" t="s">
        <v>15</v>
      </c>
      <c r="D6767" s="93">
        <v>5392.05</v>
      </c>
      <c r="E6767" s="93">
        <v>4697.8100000000004</v>
      </c>
      <c r="F6767" s="93">
        <v>694.24</v>
      </c>
      <c r="G6767" s="93">
        <v>0</v>
      </c>
      <c r="H6767" s="93">
        <v>0</v>
      </c>
      <c r="N6767" s="88"/>
      <c r="O6767" s="88"/>
      <c r="P6767" s="88"/>
    </row>
    <row r="6768" spans="1:16">
      <c r="A6768" s="94">
        <v>101438</v>
      </c>
      <c r="B6768" s="87" t="s">
        <v>531</v>
      </c>
      <c r="C6768" s="12" t="s">
        <v>15</v>
      </c>
      <c r="D6768" s="93">
        <v>6457.6</v>
      </c>
      <c r="E6768" s="93">
        <v>5763.36</v>
      </c>
      <c r="F6768" s="93">
        <v>694.24</v>
      </c>
      <c r="G6768" s="93">
        <v>0</v>
      </c>
      <c r="H6768" s="93">
        <v>0</v>
      </c>
      <c r="N6768" s="88"/>
      <c r="O6768" s="88"/>
      <c r="P6768" s="88"/>
    </row>
    <row r="6769" spans="1:16">
      <c r="A6769" s="94">
        <v>101439</v>
      </c>
      <c r="B6769" s="87" t="s">
        <v>532</v>
      </c>
      <c r="C6769" s="12" t="s">
        <v>15</v>
      </c>
      <c r="D6769" s="93">
        <v>4724.6000000000004</v>
      </c>
      <c r="E6769" s="93">
        <v>4030.36</v>
      </c>
      <c r="F6769" s="93">
        <v>694.24</v>
      </c>
      <c r="G6769" s="93">
        <v>0</v>
      </c>
      <c r="H6769" s="93">
        <v>0</v>
      </c>
      <c r="N6769" s="88"/>
      <c r="O6769" s="88"/>
      <c r="P6769" s="88"/>
    </row>
    <row r="6770" spans="1:16">
      <c r="A6770" s="94">
        <v>101440</v>
      </c>
      <c r="B6770" s="87" t="s">
        <v>5537</v>
      </c>
      <c r="C6770" s="12" t="s">
        <v>15</v>
      </c>
      <c r="D6770" s="93">
        <v>5544.27</v>
      </c>
      <c r="E6770" s="93">
        <v>4850.03</v>
      </c>
      <c r="F6770" s="93">
        <v>694.24</v>
      </c>
      <c r="G6770" s="93">
        <v>0</v>
      </c>
      <c r="H6770" s="93">
        <v>0</v>
      </c>
      <c r="N6770" s="88"/>
      <c r="O6770" s="88"/>
      <c r="P6770" s="88"/>
    </row>
    <row r="6771" spans="1:16">
      <c r="A6771" s="94">
        <v>101441</v>
      </c>
      <c r="B6771" s="87" t="s">
        <v>534</v>
      </c>
      <c r="C6771" s="12" t="s">
        <v>15</v>
      </c>
      <c r="D6771" s="93">
        <v>4609.28</v>
      </c>
      <c r="E6771" s="93">
        <v>3915.04</v>
      </c>
      <c r="F6771" s="93">
        <v>694.24</v>
      </c>
      <c r="G6771" s="93">
        <v>0</v>
      </c>
      <c r="H6771" s="93">
        <v>0</v>
      </c>
      <c r="N6771" s="88"/>
      <c r="O6771" s="88"/>
      <c r="P6771" s="88"/>
    </row>
    <row r="6772" spans="1:16">
      <c r="A6772" s="94">
        <v>101442</v>
      </c>
      <c r="B6772" s="87" t="s">
        <v>5538</v>
      </c>
      <c r="C6772" s="12" t="s">
        <v>15</v>
      </c>
      <c r="D6772" s="93">
        <v>4800.3900000000003</v>
      </c>
      <c r="E6772" s="93">
        <v>4106.1499999999996</v>
      </c>
      <c r="F6772" s="93">
        <v>694.24</v>
      </c>
      <c r="G6772" s="93">
        <v>0</v>
      </c>
      <c r="H6772" s="93">
        <v>0</v>
      </c>
      <c r="N6772" s="88"/>
      <c r="O6772" s="88"/>
      <c r="P6772" s="88"/>
    </row>
    <row r="6773" spans="1:16">
      <c r="A6773" s="94">
        <v>101443</v>
      </c>
      <c r="B6773" s="87" t="s">
        <v>5268</v>
      </c>
      <c r="C6773" s="12" t="s">
        <v>15</v>
      </c>
      <c r="D6773" s="93">
        <v>4859.29</v>
      </c>
      <c r="E6773" s="93">
        <v>4165.05</v>
      </c>
      <c r="F6773" s="93">
        <v>694.24</v>
      </c>
      <c r="G6773" s="93">
        <v>0</v>
      </c>
      <c r="H6773" s="93">
        <v>0</v>
      </c>
      <c r="N6773" s="88"/>
      <c r="O6773" s="88"/>
      <c r="P6773" s="88"/>
    </row>
    <row r="6774" spans="1:16">
      <c r="A6774" s="94">
        <v>101444</v>
      </c>
      <c r="B6774" s="87" t="s">
        <v>537</v>
      </c>
      <c r="C6774" s="12" t="s">
        <v>15</v>
      </c>
      <c r="D6774" s="93">
        <v>4222.8999999999996</v>
      </c>
      <c r="E6774" s="93">
        <v>3359.5</v>
      </c>
      <c r="F6774" s="93">
        <v>863.4</v>
      </c>
      <c r="G6774" s="93">
        <v>0</v>
      </c>
      <c r="H6774" s="93">
        <v>0</v>
      </c>
      <c r="N6774" s="88"/>
      <c r="O6774" s="88"/>
      <c r="P6774" s="88"/>
    </row>
    <row r="6775" spans="1:16">
      <c r="A6775" s="94">
        <v>101445</v>
      </c>
      <c r="B6775" s="87" t="s">
        <v>538</v>
      </c>
      <c r="C6775" s="12" t="s">
        <v>15</v>
      </c>
      <c r="D6775" s="93">
        <v>3883.66</v>
      </c>
      <c r="E6775" s="93">
        <v>3020.26</v>
      </c>
      <c r="F6775" s="93">
        <v>863.4</v>
      </c>
      <c r="G6775" s="93">
        <v>0</v>
      </c>
      <c r="H6775" s="93">
        <v>0</v>
      </c>
      <c r="N6775" s="88"/>
      <c r="O6775" s="88"/>
      <c r="P6775" s="88"/>
    </row>
    <row r="6776" spans="1:16">
      <c r="A6776" s="94">
        <v>101446</v>
      </c>
      <c r="B6776" s="87" t="s">
        <v>539</v>
      </c>
      <c r="C6776" s="12" t="s">
        <v>15</v>
      </c>
      <c r="D6776" s="93">
        <v>4074.91</v>
      </c>
      <c r="E6776" s="93">
        <v>3009.81</v>
      </c>
      <c r="F6776" s="93">
        <v>1065.0999999999999</v>
      </c>
      <c r="G6776" s="93">
        <v>0</v>
      </c>
      <c r="H6776" s="93">
        <v>0</v>
      </c>
      <c r="N6776" s="88"/>
      <c r="O6776" s="88"/>
      <c r="P6776" s="88"/>
    </row>
    <row r="6777" spans="1:16">
      <c r="A6777" s="94">
        <v>101447</v>
      </c>
      <c r="B6777" s="87" t="s">
        <v>540</v>
      </c>
      <c r="C6777" s="12" t="s">
        <v>15</v>
      </c>
      <c r="D6777" s="93">
        <v>4385.68</v>
      </c>
      <c r="E6777" s="93">
        <v>3320.58</v>
      </c>
      <c r="F6777" s="93">
        <v>1065.0999999999999</v>
      </c>
      <c r="G6777" s="93">
        <v>0</v>
      </c>
      <c r="H6777" s="93">
        <v>0</v>
      </c>
      <c r="N6777" s="88"/>
      <c r="O6777" s="88"/>
      <c r="P6777" s="88"/>
    </row>
    <row r="6778" spans="1:16">
      <c r="A6778" s="94">
        <v>101448</v>
      </c>
      <c r="B6778" s="87" t="s">
        <v>541</v>
      </c>
      <c r="C6778" s="12" t="s">
        <v>15</v>
      </c>
      <c r="D6778" s="93">
        <v>4302.46</v>
      </c>
      <c r="E6778" s="93">
        <v>3237.36</v>
      </c>
      <c r="F6778" s="93">
        <v>1065.0999999999999</v>
      </c>
      <c r="G6778" s="93">
        <v>0</v>
      </c>
      <c r="H6778" s="93">
        <v>0</v>
      </c>
      <c r="N6778" s="88"/>
      <c r="O6778" s="88"/>
      <c r="P6778" s="88"/>
    </row>
    <row r="6779" spans="1:16">
      <c r="A6779" s="94">
        <v>101449</v>
      </c>
      <c r="B6779" s="87" t="s">
        <v>5539</v>
      </c>
      <c r="C6779" s="12" t="s">
        <v>15</v>
      </c>
      <c r="D6779" s="93">
        <v>4732.28</v>
      </c>
      <c r="E6779" s="93">
        <v>4038.04</v>
      </c>
      <c r="F6779" s="93">
        <v>694.24</v>
      </c>
      <c r="G6779" s="93">
        <v>0</v>
      </c>
      <c r="H6779" s="93">
        <v>0</v>
      </c>
      <c r="N6779" s="88"/>
      <c r="O6779" s="88"/>
      <c r="P6779" s="88"/>
    </row>
    <row r="6780" spans="1:16">
      <c r="A6780" s="94">
        <v>101450</v>
      </c>
      <c r="B6780" s="87" t="s">
        <v>543</v>
      </c>
      <c r="C6780" s="12" t="s">
        <v>15</v>
      </c>
      <c r="D6780" s="93">
        <v>3968.95</v>
      </c>
      <c r="E6780" s="93">
        <v>3274.71</v>
      </c>
      <c r="F6780" s="93">
        <v>694.24</v>
      </c>
      <c r="G6780" s="93">
        <v>0</v>
      </c>
      <c r="H6780" s="93">
        <v>0</v>
      </c>
      <c r="N6780" s="88"/>
      <c r="O6780" s="88"/>
      <c r="P6780" s="88"/>
    </row>
    <row r="6781" spans="1:16">
      <c r="A6781" s="94">
        <v>101451</v>
      </c>
      <c r="B6781" s="87" t="s">
        <v>544</v>
      </c>
      <c r="C6781" s="12" t="s">
        <v>15</v>
      </c>
      <c r="D6781" s="93">
        <v>3867.83</v>
      </c>
      <c r="E6781" s="93">
        <v>3004.43</v>
      </c>
      <c r="F6781" s="93">
        <v>863.4</v>
      </c>
      <c r="G6781" s="93">
        <v>0</v>
      </c>
      <c r="H6781" s="93">
        <v>0</v>
      </c>
      <c r="N6781" s="88"/>
      <c r="O6781" s="88"/>
      <c r="P6781" s="88"/>
    </row>
    <row r="6782" spans="1:16">
      <c r="A6782" s="94">
        <v>101452</v>
      </c>
      <c r="B6782" s="87" t="s">
        <v>5540</v>
      </c>
      <c r="C6782" s="12" t="s">
        <v>15</v>
      </c>
      <c r="D6782" s="93">
        <v>2721.97</v>
      </c>
      <c r="E6782" s="93">
        <v>1879.01</v>
      </c>
      <c r="F6782" s="93">
        <v>842.96</v>
      </c>
      <c r="G6782" s="93">
        <v>0</v>
      </c>
      <c r="H6782" s="93">
        <v>0</v>
      </c>
      <c r="N6782" s="88"/>
      <c r="O6782" s="88"/>
      <c r="P6782" s="88"/>
    </row>
    <row r="6783" spans="1:16">
      <c r="A6783" s="94">
        <v>101453</v>
      </c>
      <c r="B6783" s="87" t="s">
        <v>546</v>
      </c>
      <c r="C6783" s="12" t="s">
        <v>15</v>
      </c>
      <c r="D6783" s="93">
        <v>3990.99</v>
      </c>
      <c r="E6783" s="93">
        <v>3004.43</v>
      </c>
      <c r="F6783" s="93">
        <v>986.56</v>
      </c>
      <c r="G6783" s="93">
        <v>0</v>
      </c>
      <c r="H6783" s="93">
        <v>0</v>
      </c>
      <c r="N6783" s="88"/>
      <c r="O6783" s="88"/>
      <c r="P6783" s="88"/>
    </row>
    <row r="6784" spans="1:16">
      <c r="A6784" s="94">
        <v>101454</v>
      </c>
      <c r="B6784" s="87" t="s">
        <v>5541</v>
      </c>
      <c r="C6784" s="12" t="s">
        <v>15</v>
      </c>
      <c r="D6784" s="93">
        <v>3183.66</v>
      </c>
      <c r="E6784" s="93">
        <v>2197.1</v>
      </c>
      <c r="F6784" s="93">
        <v>986.56</v>
      </c>
      <c r="G6784" s="93">
        <v>0</v>
      </c>
      <c r="H6784" s="93">
        <v>0</v>
      </c>
      <c r="N6784" s="88"/>
      <c r="O6784" s="88"/>
      <c r="P6784" s="88"/>
    </row>
    <row r="6785" spans="1:16">
      <c r="A6785" s="94">
        <v>101455</v>
      </c>
      <c r="B6785" s="87" t="s">
        <v>547</v>
      </c>
      <c r="C6785" s="12" t="s">
        <v>15</v>
      </c>
      <c r="D6785" s="93">
        <v>4530.1899999999996</v>
      </c>
      <c r="E6785" s="93">
        <v>3686.87</v>
      </c>
      <c r="F6785" s="93">
        <v>843.32</v>
      </c>
      <c r="G6785" s="93">
        <v>0</v>
      </c>
      <c r="H6785" s="93">
        <v>0</v>
      </c>
      <c r="N6785" s="88"/>
      <c r="O6785" s="88"/>
      <c r="P6785" s="88"/>
    </row>
    <row r="6786" spans="1:16">
      <c r="A6786" s="94">
        <v>101456</v>
      </c>
      <c r="B6786" s="87" t="s">
        <v>5542</v>
      </c>
      <c r="C6786" s="12" t="s">
        <v>15</v>
      </c>
      <c r="D6786" s="93">
        <v>5257.82</v>
      </c>
      <c r="E6786" s="93">
        <v>5026.29</v>
      </c>
      <c r="F6786" s="93">
        <v>231.53</v>
      </c>
      <c r="G6786" s="93">
        <v>0</v>
      </c>
      <c r="H6786" s="93">
        <v>0</v>
      </c>
      <c r="N6786" s="88"/>
      <c r="O6786" s="88"/>
      <c r="P6786" s="88"/>
    </row>
    <row r="6787" spans="1:16">
      <c r="A6787" s="94">
        <v>101457</v>
      </c>
      <c r="B6787" s="87" t="s">
        <v>5543</v>
      </c>
      <c r="C6787" s="12" t="s">
        <v>15</v>
      </c>
      <c r="D6787" s="93">
        <v>5802.25</v>
      </c>
      <c r="E6787" s="93">
        <v>5108.01</v>
      </c>
      <c r="F6787" s="93">
        <v>694.24</v>
      </c>
      <c r="G6787" s="93">
        <v>0</v>
      </c>
      <c r="H6787" s="93">
        <v>0</v>
      </c>
      <c r="I6787" s="11"/>
      <c r="N6787" s="88"/>
      <c r="O6787" s="88"/>
      <c r="P6787" s="88"/>
    </row>
    <row r="6788" spans="1:16">
      <c r="A6788" s="94">
        <v>101458</v>
      </c>
      <c r="B6788" s="87" t="s">
        <v>5544</v>
      </c>
      <c r="C6788" s="12" t="s">
        <v>15</v>
      </c>
      <c r="D6788" s="93">
        <v>4123.91</v>
      </c>
      <c r="E6788" s="93">
        <v>3280.59</v>
      </c>
      <c r="F6788" s="93">
        <v>843.32</v>
      </c>
      <c r="G6788" s="93">
        <v>0</v>
      </c>
      <c r="H6788" s="93">
        <v>0</v>
      </c>
      <c r="N6788" s="88"/>
      <c r="O6788" s="88"/>
      <c r="P6788" s="88"/>
    </row>
    <row r="6789" spans="1:16">
      <c r="A6789" s="94">
        <v>101459</v>
      </c>
      <c r="B6789" s="87" t="s">
        <v>552</v>
      </c>
      <c r="C6789" s="12" t="s">
        <v>15</v>
      </c>
      <c r="D6789" s="93">
        <v>3623.54</v>
      </c>
      <c r="E6789" s="93">
        <v>2760.14</v>
      </c>
      <c r="F6789" s="93">
        <v>863.4</v>
      </c>
      <c r="G6789" s="93">
        <v>0</v>
      </c>
      <c r="H6789" s="93">
        <v>0</v>
      </c>
      <c r="N6789" s="88"/>
      <c r="O6789" s="88"/>
      <c r="P6789" s="88"/>
    </row>
    <row r="6790" spans="1:16">
      <c r="A6790" s="94">
        <v>101460</v>
      </c>
      <c r="B6790" s="87" t="s">
        <v>5380</v>
      </c>
      <c r="C6790" s="12" t="s">
        <v>15</v>
      </c>
      <c r="D6790" s="93">
        <v>2784.88</v>
      </c>
      <c r="E6790" s="93">
        <v>1941.92</v>
      </c>
      <c r="F6790" s="93">
        <v>842.96</v>
      </c>
      <c r="G6790" s="93">
        <v>0</v>
      </c>
      <c r="H6790" s="93">
        <v>0</v>
      </c>
      <c r="N6790" s="88"/>
      <c r="O6790" s="88"/>
      <c r="P6790" s="88"/>
    </row>
  </sheetData>
  <autoFilter ref="A7:H6790" xr:uid="{00000000-0009-0000-0000-000011000000}"/>
  <mergeCells count="4">
    <mergeCell ref="A1:AF1"/>
    <mergeCell ref="A2:AF2"/>
    <mergeCell ref="A3:AF3"/>
    <mergeCell ref="A4:AF4"/>
  </mergeCells>
  <pageMargins left="0.78740157499999996" right="0.78740157499999996" top="0.984251969" bottom="0.984251969" header="0.5" footer="0.5"/>
  <pageSetup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LM215"/>
  <sheetViews>
    <sheetView showGridLines="0" view="pageBreakPreview" zoomScaleNormal="100" zoomScaleSheetLayoutView="100" zoomScalePageLayoutView="55" workbookViewId="0">
      <selection activeCell="D7" sqref="D7"/>
    </sheetView>
  </sheetViews>
  <sheetFormatPr defaultColWidth="11.42578125" defaultRowHeight="14.25"/>
  <cols>
    <col min="1" max="1" width="10.7109375" style="177" customWidth="1"/>
    <col min="2" max="2" width="10.7109375" style="164" customWidth="1"/>
    <col min="3" max="3" width="70.7109375" style="178" customWidth="1"/>
    <col min="4" max="4" width="6" style="174" customWidth="1"/>
    <col min="5" max="5" width="11.7109375" style="175" customWidth="1"/>
    <col min="6" max="8" width="11.7109375" style="176" customWidth="1"/>
    <col min="9" max="9" width="14.28515625" style="176" customWidth="1"/>
    <col min="10" max="10" width="14.28515625" style="175" customWidth="1"/>
    <col min="11" max="13" width="12.140625" style="164" bestFit="1" customWidth="1"/>
    <col min="14" max="15" width="11.42578125" style="164"/>
    <col min="16" max="16" width="11.42578125" style="166"/>
    <col min="17" max="16384" width="11.42578125" style="164"/>
  </cols>
  <sheetData>
    <row r="1" spans="1:993" s="163" customFormat="1" ht="24.95" customHeight="1">
      <c r="A1" s="707"/>
      <c r="B1" s="708"/>
      <c r="C1" s="708"/>
      <c r="D1" s="708"/>
      <c r="E1" s="708"/>
      <c r="F1" s="708"/>
      <c r="G1" s="708"/>
      <c r="H1" s="708"/>
      <c r="I1" s="708"/>
      <c r="J1" s="709"/>
      <c r="K1" s="165"/>
      <c r="L1" s="165"/>
      <c r="M1" s="165"/>
      <c r="N1" s="165"/>
      <c r="O1" s="165"/>
      <c r="P1" s="259"/>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c r="BM1" s="165"/>
      <c r="BN1" s="165"/>
      <c r="BO1" s="165"/>
      <c r="BP1" s="165"/>
      <c r="BQ1" s="165"/>
      <c r="BR1" s="165"/>
      <c r="BS1" s="165"/>
      <c r="BT1" s="165"/>
      <c r="BU1" s="165"/>
      <c r="BV1" s="165"/>
      <c r="BW1" s="165"/>
      <c r="BX1" s="165"/>
      <c r="BY1" s="165"/>
      <c r="BZ1" s="165"/>
      <c r="CA1" s="165"/>
      <c r="CB1" s="165"/>
      <c r="CC1" s="165"/>
      <c r="CD1" s="165"/>
      <c r="CE1" s="165"/>
      <c r="CF1" s="165"/>
      <c r="CG1" s="165"/>
      <c r="CH1" s="165"/>
      <c r="CI1" s="165"/>
      <c r="CJ1" s="165"/>
      <c r="CK1" s="165"/>
      <c r="CL1" s="165"/>
      <c r="CM1" s="165"/>
      <c r="CN1" s="165"/>
      <c r="CO1" s="165"/>
      <c r="CP1" s="165"/>
      <c r="CQ1" s="165"/>
      <c r="CR1" s="165"/>
      <c r="CS1" s="165"/>
      <c r="CT1" s="165"/>
      <c r="CU1" s="165"/>
      <c r="CV1" s="165"/>
      <c r="CW1" s="165"/>
      <c r="CX1" s="165"/>
      <c r="CY1" s="165"/>
      <c r="CZ1" s="165"/>
      <c r="DA1" s="165"/>
      <c r="DB1" s="165"/>
      <c r="DC1" s="165"/>
      <c r="DD1" s="165"/>
      <c r="DE1" s="165"/>
      <c r="DF1" s="165"/>
      <c r="DG1" s="165"/>
      <c r="DH1" s="165"/>
      <c r="DI1" s="165"/>
      <c r="DJ1" s="165"/>
      <c r="DK1" s="165"/>
      <c r="DL1" s="165"/>
      <c r="DM1" s="165"/>
      <c r="DN1" s="165"/>
      <c r="DO1" s="165"/>
      <c r="DP1" s="165"/>
      <c r="DQ1" s="165"/>
      <c r="DR1" s="165"/>
      <c r="DS1" s="165"/>
      <c r="DT1" s="165"/>
      <c r="DU1" s="165"/>
      <c r="DV1" s="165"/>
      <c r="DW1" s="165"/>
      <c r="DX1" s="165"/>
      <c r="DY1" s="165"/>
      <c r="DZ1" s="165"/>
      <c r="EA1" s="165"/>
      <c r="EB1" s="165"/>
      <c r="EC1" s="165"/>
      <c r="ED1" s="165"/>
      <c r="EE1" s="165"/>
      <c r="EF1" s="165"/>
      <c r="EG1" s="165"/>
      <c r="EH1" s="165"/>
      <c r="EI1" s="165"/>
      <c r="EJ1" s="165"/>
      <c r="EK1" s="165"/>
      <c r="EL1" s="165"/>
      <c r="EM1" s="165"/>
      <c r="EN1" s="165"/>
      <c r="EO1" s="165"/>
      <c r="EP1" s="165"/>
      <c r="EQ1" s="165"/>
      <c r="ER1" s="165"/>
      <c r="ES1" s="165"/>
      <c r="ET1" s="165"/>
      <c r="EU1" s="165"/>
      <c r="EV1" s="165"/>
      <c r="EW1" s="165"/>
      <c r="EX1" s="165"/>
      <c r="EY1" s="165"/>
      <c r="EZ1" s="165"/>
      <c r="FA1" s="165"/>
      <c r="FB1" s="165"/>
      <c r="FC1" s="165"/>
      <c r="FD1" s="165"/>
      <c r="FE1" s="165"/>
      <c r="FF1" s="165"/>
      <c r="FG1" s="165"/>
      <c r="FH1" s="165"/>
      <c r="FI1" s="165"/>
      <c r="FJ1" s="165"/>
      <c r="FK1" s="165"/>
      <c r="FL1" s="165"/>
      <c r="FM1" s="165"/>
      <c r="FN1" s="165"/>
      <c r="FO1" s="165"/>
      <c r="FP1" s="165"/>
      <c r="FQ1" s="165"/>
      <c r="FR1" s="165"/>
      <c r="FS1" s="165"/>
      <c r="FT1" s="165"/>
      <c r="FU1" s="165"/>
      <c r="FV1" s="165"/>
      <c r="FW1" s="165"/>
      <c r="FX1" s="165"/>
      <c r="FY1" s="165"/>
      <c r="FZ1" s="165"/>
      <c r="GA1" s="165"/>
      <c r="GB1" s="165"/>
      <c r="GC1" s="165"/>
      <c r="GD1" s="165"/>
      <c r="GE1" s="165"/>
      <c r="GF1" s="165"/>
      <c r="GG1" s="165"/>
      <c r="GH1" s="165"/>
      <c r="GI1" s="165"/>
      <c r="GJ1" s="165"/>
      <c r="GK1" s="165"/>
      <c r="GL1" s="165"/>
      <c r="GM1" s="165"/>
      <c r="GN1" s="165"/>
      <c r="GO1" s="165"/>
      <c r="GP1" s="165"/>
      <c r="GQ1" s="165"/>
      <c r="GR1" s="165"/>
      <c r="GS1" s="165"/>
      <c r="GT1" s="165"/>
      <c r="GU1" s="165"/>
      <c r="GV1" s="165"/>
      <c r="GW1" s="165"/>
      <c r="GX1" s="165"/>
      <c r="GY1" s="165"/>
      <c r="GZ1" s="165"/>
      <c r="HA1" s="165"/>
      <c r="HB1" s="165"/>
      <c r="HC1" s="165"/>
      <c r="HD1" s="165"/>
      <c r="HE1" s="165"/>
      <c r="HF1" s="165"/>
      <c r="HG1" s="165"/>
      <c r="HH1" s="165"/>
      <c r="HI1" s="165"/>
      <c r="HJ1" s="165"/>
      <c r="HK1" s="165"/>
      <c r="HL1" s="165"/>
      <c r="HM1" s="165"/>
      <c r="HN1" s="165"/>
      <c r="HO1" s="165"/>
      <c r="HP1" s="165"/>
      <c r="HQ1" s="165"/>
      <c r="HR1" s="165"/>
      <c r="HS1" s="165"/>
      <c r="HT1" s="165"/>
      <c r="HU1" s="165"/>
      <c r="HV1" s="165"/>
      <c r="HW1" s="165"/>
      <c r="HX1" s="165"/>
      <c r="HY1" s="165"/>
      <c r="HZ1" s="165"/>
      <c r="IA1" s="165"/>
      <c r="IB1" s="165"/>
      <c r="IC1" s="165"/>
      <c r="ID1" s="165"/>
      <c r="IE1" s="165"/>
      <c r="IF1" s="165"/>
      <c r="IG1" s="165"/>
      <c r="IH1" s="165"/>
      <c r="II1" s="165"/>
      <c r="IJ1" s="165"/>
      <c r="IK1" s="165"/>
      <c r="IL1" s="165"/>
      <c r="IM1" s="165"/>
      <c r="IN1" s="165"/>
      <c r="IO1" s="165"/>
      <c r="IP1" s="165"/>
      <c r="IQ1" s="165"/>
      <c r="IR1" s="165"/>
      <c r="IS1" s="165"/>
      <c r="IT1" s="165"/>
      <c r="IU1" s="165"/>
      <c r="IV1" s="165"/>
      <c r="IW1" s="165"/>
      <c r="IX1" s="165"/>
      <c r="IY1" s="165"/>
      <c r="IZ1" s="165"/>
      <c r="JA1" s="165"/>
      <c r="JB1" s="165"/>
      <c r="JC1" s="165"/>
      <c r="JD1" s="165"/>
      <c r="JE1" s="165"/>
      <c r="JF1" s="165"/>
      <c r="JG1" s="165"/>
      <c r="JH1" s="165"/>
      <c r="JI1" s="165"/>
      <c r="JJ1" s="165"/>
      <c r="JK1" s="165"/>
      <c r="JL1" s="165"/>
      <c r="JM1" s="165"/>
      <c r="JN1" s="165"/>
      <c r="JO1" s="165"/>
      <c r="JP1" s="165"/>
      <c r="JQ1" s="165"/>
      <c r="JR1" s="165"/>
      <c r="JS1" s="165"/>
      <c r="JT1" s="165"/>
      <c r="JU1" s="165"/>
      <c r="JV1" s="165"/>
      <c r="JW1" s="165"/>
      <c r="JX1" s="165"/>
      <c r="JY1" s="165"/>
      <c r="JZ1" s="165"/>
      <c r="KA1" s="165"/>
      <c r="KB1" s="165"/>
      <c r="KC1" s="165"/>
      <c r="KD1" s="165"/>
      <c r="KE1" s="165"/>
      <c r="KF1" s="165"/>
      <c r="KG1" s="165"/>
      <c r="KH1" s="165"/>
      <c r="KI1" s="165"/>
      <c r="KJ1" s="165"/>
      <c r="KK1" s="165"/>
      <c r="KL1" s="165"/>
      <c r="KM1" s="165"/>
      <c r="KN1" s="165"/>
      <c r="KO1" s="165"/>
      <c r="KP1" s="165"/>
      <c r="KQ1" s="165"/>
      <c r="KR1" s="165"/>
      <c r="KS1" s="165"/>
      <c r="KT1" s="165"/>
      <c r="KU1" s="165"/>
      <c r="KV1" s="165"/>
      <c r="KW1" s="165"/>
      <c r="KX1" s="165"/>
      <c r="KY1" s="165"/>
      <c r="KZ1" s="165"/>
      <c r="LA1" s="165"/>
      <c r="LB1" s="165"/>
      <c r="LC1" s="165"/>
      <c r="LD1" s="165"/>
      <c r="LE1" s="165"/>
      <c r="LF1" s="165"/>
      <c r="LG1" s="165"/>
      <c r="LH1" s="165"/>
      <c r="LI1" s="165"/>
      <c r="LJ1" s="165"/>
      <c r="LK1" s="165"/>
      <c r="LL1" s="165"/>
      <c r="LM1" s="165"/>
      <c r="LN1" s="165"/>
      <c r="LO1" s="165"/>
      <c r="LP1" s="165"/>
      <c r="LQ1" s="165"/>
      <c r="LR1" s="165"/>
      <c r="LS1" s="165"/>
      <c r="LT1" s="165"/>
      <c r="LU1" s="165"/>
      <c r="LV1" s="165"/>
      <c r="LW1" s="165"/>
      <c r="LX1" s="165"/>
      <c r="LY1" s="165"/>
      <c r="LZ1" s="165"/>
      <c r="MA1" s="165"/>
      <c r="MB1" s="165"/>
      <c r="MC1" s="165"/>
      <c r="MD1" s="165"/>
      <c r="ME1" s="165"/>
      <c r="MF1" s="165"/>
      <c r="MG1" s="165"/>
      <c r="MH1" s="165"/>
      <c r="MI1" s="165"/>
      <c r="MJ1" s="165"/>
      <c r="MK1" s="165"/>
      <c r="ML1" s="165"/>
      <c r="MM1" s="165"/>
      <c r="MN1" s="165"/>
      <c r="MO1" s="165"/>
      <c r="MP1" s="165"/>
      <c r="MQ1" s="165"/>
      <c r="MR1" s="165"/>
      <c r="MS1" s="165"/>
      <c r="MT1" s="165"/>
      <c r="MU1" s="165"/>
      <c r="MV1" s="165"/>
      <c r="MW1" s="165"/>
      <c r="MX1" s="165"/>
      <c r="MY1" s="165"/>
      <c r="MZ1" s="165"/>
      <c r="NA1" s="165"/>
      <c r="NB1" s="165"/>
      <c r="NC1" s="165"/>
      <c r="ND1" s="165"/>
      <c r="NE1" s="165"/>
      <c r="NF1" s="165"/>
      <c r="NG1" s="165"/>
      <c r="NH1" s="165"/>
      <c r="NI1" s="165"/>
      <c r="NJ1" s="165"/>
      <c r="NK1" s="165"/>
      <c r="NL1" s="165"/>
      <c r="NM1" s="165"/>
      <c r="NN1" s="165"/>
      <c r="NO1" s="165"/>
      <c r="NP1" s="165"/>
      <c r="NQ1" s="165"/>
      <c r="NR1" s="165"/>
      <c r="NS1" s="165"/>
      <c r="NT1" s="165"/>
      <c r="NU1" s="165"/>
      <c r="NV1" s="165"/>
      <c r="NW1" s="165"/>
      <c r="NX1" s="165"/>
      <c r="NY1" s="165"/>
      <c r="NZ1" s="165"/>
      <c r="OA1" s="165"/>
      <c r="OB1" s="165"/>
      <c r="OC1" s="165"/>
      <c r="OD1" s="165"/>
      <c r="OE1" s="165"/>
      <c r="OF1" s="165"/>
      <c r="OG1" s="165"/>
      <c r="OH1" s="165"/>
      <c r="OI1" s="165"/>
      <c r="OJ1" s="165"/>
      <c r="OK1" s="165"/>
      <c r="OL1" s="165"/>
      <c r="OM1" s="165"/>
      <c r="ON1" s="165"/>
      <c r="OO1" s="165"/>
      <c r="OP1" s="165"/>
      <c r="OQ1" s="165"/>
      <c r="OR1" s="165"/>
      <c r="OS1" s="165"/>
      <c r="OT1" s="165"/>
      <c r="OU1" s="165"/>
      <c r="OV1" s="165"/>
      <c r="OW1" s="165"/>
      <c r="OX1" s="165"/>
      <c r="OY1" s="165"/>
      <c r="OZ1" s="165"/>
      <c r="PA1" s="165"/>
      <c r="PB1" s="165"/>
      <c r="PC1" s="165"/>
      <c r="PD1" s="165"/>
      <c r="PE1" s="165"/>
      <c r="PF1" s="165"/>
      <c r="PG1" s="165"/>
      <c r="PH1" s="165"/>
      <c r="PI1" s="165"/>
      <c r="PJ1" s="165"/>
      <c r="PK1" s="165"/>
      <c r="PL1" s="165"/>
      <c r="PM1" s="165"/>
      <c r="PN1" s="165"/>
      <c r="PO1" s="165"/>
      <c r="PP1" s="165"/>
      <c r="PQ1" s="165"/>
      <c r="PR1" s="165"/>
      <c r="PS1" s="165"/>
      <c r="PT1" s="165"/>
      <c r="PU1" s="165"/>
      <c r="PV1" s="165"/>
      <c r="PW1" s="165"/>
      <c r="PX1" s="165"/>
      <c r="PY1" s="165"/>
      <c r="PZ1" s="165"/>
      <c r="QA1" s="165"/>
      <c r="QB1" s="165"/>
      <c r="QC1" s="165"/>
      <c r="QD1" s="165"/>
      <c r="QE1" s="165"/>
      <c r="QF1" s="165"/>
      <c r="QG1" s="165"/>
      <c r="QH1" s="165"/>
      <c r="QI1" s="165"/>
      <c r="QJ1" s="165"/>
      <c r="QK1" s="165"/>
      <c r="QL1" s="165"/>
      <c r="QM1" s="165"/>
      <c r="QN1" s="165"/>
      <c r="QO1" s="165"/>
      <c r="QP1" s="165"/>
      <c r="QQ1" s="165"/>
      <c r="QR1" s="165"/>
      <c r="QS1" s="165"/>
      <c r="QT1" s="165"/>
      <c r="QU1" s="165"/>
      <c r="QV1" s="165"/>
      <c r="QW1" s="165"/>
      <c r="QX1" s="165"/>
      <c r="QY1" s="165"/>
      <c r="QZ1" s="165"/>
      <c r="RA1" s="165"/>
      <c r="RB1" s="165"/>
      <c r="RC1" s="165"/>
      <c r="RD1" s="165"/>
      <c r="RE1" s="165"/>
      <c r="RF1" s="165"/>
      <c r="RG1" s="165"/>
      <c r="RH1" s="165"/>
      <c r="RI1" s="165"/>
      <c r="RJ1" s="165"/>
      <c r="RK1" s="165"/>
      <c r="RL1" s="165"/>
      <c r="RM1" s="165"/>
      <c r="RN1" s="165"/>
      <c r="RO1" s="165"/>
      <c r="RP1" s="165"/>
      <c r="RQ1" s="165"/>
      <c r="RR1" s="165"/>
      <c r="RS1" s="165"/>
      <c r="RT1" s="165"/>
      <c r="RU1" s="165"/>
      <c r="RV1" s="165"/>
      <c r="RW1" s="165"/>
      <c r="RX1" s="165"/>
      <c r="RY1" s="165"/>
      <c r="RZ1" s="165"/>
      <c r="SA1" s="165"/>
      <c r="SB1" s="165"/>
      <c r="SC1" s="165"/>
      <c r="SD1" s="165"/>
      <c r="SE1" s="165"/>
      <c r="SF1" s="165"/>
      <c r="SG1" s="165"/>
      <c r="SH1" s="165"/>
      <c r="SI1" s="165"/>
      <c r="SJ1" s="165"/>
      <c r="SK1" s="165"/>
      <c r="SL1" s="165"/>
      <c r="SM1" s="165"/>
      <c r="SN1" s="165"/>
      <c r="SO1" s="165"/>
      <c r="SP1" s="165"/>
      <c r="SQ1" s="165"/>
      <c r="SR1" s="165"/>
      <c r="SS1" s="165"/>
      <c r="ST1" s="165"/>
      <c r="SU1" s="165"/>
      <c r="SV1" s="165"/>
      <c r="SW1" s="165"/>
      <c r="SX1" s="165"/>
      <c r="SY1" s="165"/>
      <c r="SZ1" s="165"/>
      <c r="TA1" s="165"/>
      <c r="TB1" s="165"/>
      <c r="TC1" s="165"/>
      <c r="TD1" s="165"/>
      <c r="TE1" s="165"/>
      <c r="TF1" s="165"/>
      <c r="TG1" s="165"/>
      <c r="TH1" s="165"/>
      <c r="TI1" s="165"/>
      <c r="TJ1" s="165"/>
      <c r="TK1" s="165"/>
      <c r="TL1" s="165"/>
      <c r="TM1" s="165"/>
      <c r="TN1" s="165"/>
      <c r="TO1" s="165"/>
      <c r="TP1" s="165"/>
      <c r="TQ1" s="165"/>
      <c r="TR1" s="165"/>
      <c r="TS1" s="165"/>
      <c r="TT1" s="165"/>
      <c r="TU1" s="165"/>
      <c r="TV1" s="165"/>
      <c r="TW1" s="165"/>
      <c r="TX1" s="165"/>
      <c r="TY1" s="165"/>
      <c r="TZ1" s="165"/>
      <c r="UA1" s="165"/>
      <c r="UB1" s="165"/>
      <c r="UC1" s="165"/>
      <c r="UD1" s="165"/>
      <c r="UE1" s="165"/>
      <c r="UF1" s="165"/>
      <c r="UG1" s="165"/>
      <c r="UH1" s="165"/>
      <c r="UI1" s="165"/>
      <c r="UJ1" s="165"/>
      <c r="UK1" s="165"/>
      <c r="UL1" s="165"/>
      <c r="UM1" s="165"/>
      <c r="UN1" s="165"/>
      <c r="UO1" s="165"/>
      <c r="UP1" s="165"/>
      <c r="UQ1" s="165"/>
      <c r="UR1" s="165"/>
      <c r="US1" s="165"/>
      <c r="UT1" s="165"/>
      <c r="UU1" s="165"/>
      <c r="UV1" s="165"/>
      <c r="UW1" s="165"/>
      <c r="UX1" s="165"/>
      <c r="UY1" s="165"/>
      <c r="UZ1" s="165"/>
      <c r="VA1" s="165"/>
      <c r="VB1" s="165"/>
      <c r="VC1" s="165"/>
      <c r="VD1" s="165"/>
      <c r="VE1" s="165"/>
      <c r="VF1" s="165"/>
      <c r="VG1" s="165"/>
      <c r="VH1" s="165"/>
      <c r="VI1" s="165"/>
      <c r="VJ1" s="165"/>
      <c r="VK1" s="165"/>
      <c r="VL1" s="165"/>
      <c r="VM1" s="165"/>
      <c r="VN1" s="165"/>
      <c r="VO1" s="165"/>
      <c r="VP1" s="165"/>
      <c r="VQ1" s="165"/>
      <c r="VR1" s="165"/>
      <c r="VS1" s="165"/>
      <c r="VT1" s="165"/>
      <c r="VU1" s="165"/>
      <c r="VV1" s="165"/>
      <c r="VW1" s="165"/>
      <c r="VX1" s="165"/>
      <c r="VY1" s="165"/>
      <c r="VZ1" s="165"/>
      <c r="WA1" s="165"/>
      <c r="WB1" s="165"/>
      <c r="WC1" s="165"/>
      <c r="WD1" s="165"/>
      <c r="WE1" s="165"/>
      <c r="WF1" s="165"/>
      <c r="WG1" s="165"/>
      <c r="WH1" s="165"/>
      <c r="WI1" s="165"/>
      <c r="WJ1" s="165"/>
      <c r="WK1" s="165"/>
      <c r="WL1" s="165"/>
      <c r="WM1" s="165"/>
      <c r="WN1" s="165"/>
      <c r="WO1" s="165"/>
      <c r="WP1" s="165"/>
      <c r="WQ1" s="165"/>
      <c r="WR1" s="165"/>
      <c r="WS1" s="165"/>
      <c r="WT1" s="165"/>
      <c r="WU1" s="165"/>
      <c r="WV1" s="165"/>
      <c r="WW1" s="165"/>
      <c r="WX1" s="165"/>
      <c r="WY1" s="165"/>
      <c r="WZ1" s="165"/>
      <c r="XA1" s="165"/>
      <c r="XB1" s="165"/>
      <c r="XC1" s="165"/>
      <c r="XD1" s="165"/>
      <c r="XE1" s="165"/>
      <c r="XF1" s="165"/>
      <c r="XG1" s="165"/>
      <c r="XH1" s="165"/>
      <c r="XI1" s="165"/>
      <c r="XJ1" s="165"/>
      <c r="XK1" s="165"/>
      <c r="XL1" s="165"/>
      <c r="XM1" s="165"/>
      <c r="XN1" s="165"/>
      <c r="XO1" s="165"/>
      <c r="XP1" s="165"/>
      <c r="XQ1" s="165"/>
      <c r="XR1" s="165"/>
      <c r="XS1" s="165"/>
      <c r="XT1" s="165"/>
      <c r="XU1" s="165"/>
      <c r="XV1" s="165"/>
      <c r="XW1" s="165"/>
      <c r="XX1" s="165"/>
      <c r="XY1" s="165"/>
      <c r="XZ1" s="165"/>
      <c r="YA1" s="165"/>
      <c r="YB1" s="165"/>
      <c r="YC1" s="165"/>
      <c r="YD1" s="165"/>
      <c r="YE1" s="165"/>
      <c r="YF1" s="165"/>
      <c r="YG1" s="165"/>
      <c r="YH1" s="165"/>
      <c r="YI1" s="165"/>
      <c r="YJ1" s="165"/>
      <c r="YK1" s="165"/>
      <c r="YL1" s="165"/>
      <c r="YM1" s="165"/>
      <c r="YN1" s="165"/>
      <c r="YO1" s="165"/>
      <c r="YP1" s="165"/>
      <c r="YQ1" s="165"/>
      <c r="YR1" s="165"/>
      <c r="YS1" s="165"/>
      <c r="YT1" s="165"/>
      <c r="YU1" s="165"/>
      <c r="YV1" s="165"/>
      <c r="YW1" s="165"/>
      <c r="YX1" s="165"/>
      <c r="YY1" s="165"/>
      <c r="YZ1" s="165"/>
      <c r="ZA1" s="165"/>
      <c r="ZB1" s="165"/>
      <c r="ZC1" s="165"/>
      <c r="ZD1" s="165"/>
      <c r="ZE1" s="165"/>
      <c r="ZF1" s="165"/>
      <c r="ZG1" s="165"/>
      <c r="ZH1" s="165"/>
      <c r="ZI1" s="165"/>
      <c r="ZJ1" s="165"/>
      <c r="ZK1" s="165"/>
      <c r="ZL1" s="165"/>
      <c r="ZM1" s="165"/>
      <c r="ZN1" s="165"/>
      <c r="ZO1" s="165"/>
      <c r="ZP1" s="165"/>
      <c r="ZQ1" s="165"/>
      <c r="ZR1" s="165"/>
      <c r="ZS1" s="165"/>
      <c r="ZT1" s="165"/>
      <c r="ZU1" s="165"/>
      <c r="ZV1" s="165"/>
      <c r="ZW1" s="165"/>
      <c r="ZX1" s="165"/>
      <c r="ZY1" s="165"/>
      <c r="ZZ1" s="165"/>
      <c r="AAA1" s="165"/>
      <c r="AAB1" s="165"/>
      <c r="AAC1" s="165"/>
      <c r="AAD1" s="165"/>
      <c r="AAE1" s="165"/>
      <c r="AAF1" s="165"/>
      <c r="AAG1" s="165"/>
      <c r="AAH1" s="165"/>
      <c r="AAI1" s="165"/>
      <c r="AAJ1" s="165"/>
      <c r="AAK1" s="165"/>
      <c r="AAL1" s="165"/>
      <c r="AAM1" s="165"/>
      <c r="AAN1" s="165"/>
      <c r="AAO1" s="165"/>
      <c r="AAP1" s="165"/>
      <c r="AAQ1" s="165"/>
      <c r="AAR1" s="165"/>
      <c r="AAS1" s="165"/>
      <c r="AAT1" s="165"/>
      <c r="AAU1" s="165"/>
      <c r="AAV1" s="165"/>
      <c r="AAW1" s="165"/>
      <c r="AAX1" s="165"/>
      <c r="AAY1" s="165"/>
      <c r="AAZ1" s="165"/>
      <c r="ABA1" s="165"/>
      <c r="ABB1" s="165"/>
      <c r="ABC1" s="165"/>
      <c r="ABD1" s="165"/>
      <c r="ABE1" s="165"/>
      <c r="ABF1" s="165"/>
      <c r="ABG1" s="165"/>
      <c r="ABH1" s="165"/>
      <c r="ABI1" s="165"/>
      <c r="ABJ1" s="165"/>
      <c r="ABK1" s="165"/>
      <c r="ABL1" s="165"/>
      <c r="ABM1" s="165"/>
      <c r="ABN1" s="165"/>
      <c r="ABO1" s="165"/>
      <c r="ABP1" s="165"/>
      <c r="ABQ1" s="165"/>
      <c r="ABR1" s="165"/>
      <c r="ABS1" s="165"/>
      <c r="ABT1" s="165"/>
      <c r="ABU1" s="165"/>
      <c r="ABV1" s="165"/>
      <c r="ABW1" s="165"/>
      <c r="ABX1" s="165"/>
      <c r="ABY1" s="165"/>
      <c r="ABZ1" s="165"/>
      <c r="ACA1" s="165"/>
      <c r="ACB1" s="165"/>
      <c r="ACC1" s="165"/>
      <c r="ACD1" s="165"/>
      <c r="ACE1" s="165"/>
      <c r="ACF1" s="165"/>
      <c r="ACG1" s="165"/>
      <c r="ACH1" s="165"/>
      <c r="ACI1" s="165"/>
      <c r="ACJ1" s="165"/>
      <c r="ACK1" s="165"/>
      <c r="ACL1" s="165"/>
      <c r="ACM1" s="165"/>
      <c r="ACN1" s="165"/>
      <c r="ACO1" s="165"/>
      <c r="ACP1" s="165"/>
      <c r="ACQ1" s="165"/>
      <c r="ACR1" s="165"/>
      <c r="ACS1" s="165"/>
      <c r="ACT1" s="165"/>
      <c r="ACU1" s="165"/>
      <c r="ACV1" s="165"/>
      <c r="ACW1" s="165"/>
      <c r="ACX1" s="165"/>
      <c r="ACY1" s="165"/>
      <c r="ACZ1" s="165"/>
      <c r="ADA1" s="165"/>
      <c r="ADB1" s="165"/>
      <c r="ADC1" s="165"/>
      <c r="ADD1" s="165"/>
      <c r="ADE1" s="165"/>
      <c r="ADF1" s="165"/>
      <c r="ADG1" s="165"/>
      <c r="ADH1" s="165"/>
      <c r="ADI1" s="165"/>
      <c r="ADJ1" s="165"/>
      <c r="ADK1" s="165"/>
      <c r="ADL1" s="165"/>
      <c r="ADM1" s="165"/>
      <c r="ADN1" s="165"/>
      <c r="ADO1" s="165"/>
      <c r="ADP1" s="165"/>
      <c r="ADQ1" s="165"/>
      <c r="ADR1" s="165"/>
      <c r="ADS1" s="165"/>
      <c r="ADT1" s="165"/>
      <c r="ADU1" s="165"/>
      <c r="ADV1" s="165"/>
      <c r="ADW1" s="165"/>
      <c r="ADX1" s="165"/>
      <c r="ADY1" s="165"/>
      <c r="ADZ1" s="165"/>
      <c r="AEA1" s="165"/>
      <c r="AEB1" s="165"/>
      <c r="AEC1" s="165"/>
      <c r="AED1" s="165"/>
      <c r="AEE1" s="165"/>
      <c r="AEF1" s="165"/>
      <c r="AEG1" s="165"/>
      <c r="AEH1" s="165"/>
      <c r="AEI1" s="165"/>
      <c r="AEJ1" s="165"/>
      <c r="AEK1" s="165"/>
      <c r="AEL1" s="165"/>
      <c r="AEM1" s="165"/>
      <c r="AEN1" s="165"/>
      <c r="AEO1" s="165"/>
      <c r="AEP1" s="165"/>
      <c r="AEQ1" s="165"/>
      <c r="AER1" s="165"/>
      <c r="AES1" s="165"/>
      <c r="AET1" s="165"/>
      <c r="AEU1" s="165"/>
      <c r="AEV1" s="165"/>
      <c r="AEW1" s="165"/>
      <c r="AEX1" s="165"/>
      <c r="AEY1" s="165"/>
      <c r="AEZ1" s="165"/>
      <c r="AFA1" s="165"/>
      <c r="AFB1" s="165"/>
      <c r="AFC1" s="165"/>
      <c r="AFD1" s="165"/>
      <c r="AFE1" s="165"/>
      <c r="AFF1" s="165"/>
      <c r="AFG1" s="165"/>
      <c r="AFH1" s="165"/>
      <c r="AFI1" s="165"/>
      <c r="AFJ1" s="165"/>
      <c r="AFK1" s="165"/>
      <c r="AFL1" s="165"/>
      <c r="AFM1" s="165"/>
      <c r="AFN1" s="165"/>
      <c r="AFO1" s="165"/>
      <c r="AFP1" s="165"/>
      <c r="AFQ1" s="165"/>
      <c r="AFR1" s="165"/>
      <c r="AFS1" s="165"/>
      <c r="AFT1" s="165"/>
      <c r="AFU1" s="165"/>
      <c r="AFV1" s="165"/>
      <c r="AFW1" s="165"/>
      <c r="AFX1" s="165"/>
      <c r="AFY1" s="165"/>
      <c r="AFZ1" s="165"/>
      <c r="AGA1" s="165"/>
      <c r="AGB1" s="165"/>
      <c r="AGC1" s="165"/>
      <c r="AGD1" s="165"/>
      <c r="AGE1" s="165"/>
      <c r="AGF1" s="165"/>
      <c r="AGG1" s="165"/>
      <c r="AGH1" s="165"/>
      <c r="AGI1" s="165"/>
      <c r="AGJ1" s="165"/>
      <c r="AGK1" s="165"/>
      <c r="AGL1" s="165"/>
      <c r="AGM1" s="165"/>
      <c r="AGN1" s="165"/>
      <c r="AGO1" s="165"/>
      <c r="AGP1" s="165"/>
      <c r="AGQ1" s="165"/>
      <c r="AGR1" s="165"/>
      <c r="AGS1" s="165"/>
      <c r="AGT1" s="165"/>
      <c r="AGU1" s="165"/>
      <c r="AGV1" s="165"/>
      <c r="AGW1" s="165"/>
      <c r="AGX1" s="165"/>
      <c r="AGY1" s="165"/>
      <c r="AGZ1" s="165"/>
      <c r="AHA1" s="165"/>
      <c r="AHB1" s="165"/>
      <c r="AHC1" s="165"/>
      <c r="AHD1" s="165"/>
      <c r="AHE1" s="165"/>
      <c r="AHF1" s="165"/>
      <c r="AHG1" s="165"/>
      <c r="AHH1" s="165"/>
      <c r="AHI1" s="165"/>
      <c r="AHJ1" s="165"/>
      <c r="AHK1" s="165"/>
      <c r="AHL1" s="165"/>
      <c r="AHM1" s="165"/>
      <c r="AHN1" s="165"/>
      <c r="AHO1" s="165"/>
      <c r="AHP1" s="165"/>
      <c r="AHQ1" s="165"/>
      <c r="AHR1" s="165"/>
      <c r="AHS1" s="165"/>
      <c r="AHT1" s="165"/>
      <c r="AHU1" s="165"/>
      <c r="AHV1" s="165"/>
      <c r="AHW1" s="165"/>
      <c r="AHX1" s="165"/>
      <c r="AHY1" s="165"/>
      <c r="AHZ1" s="165"/>
      <c r="AIA1" s="165"/>
      <c r="AIB1" s="165"/>
      <c r="AIC1" s="165"/>
      <c r="AID1" s="165"/>
      <c r="AIE1" s="165"/>
      <c r="AIF1" s="165"/>
      <c r="AIG1" s="165"/>
      <c r="AIH1" s="165"/>
      <c r="AII1" s="165"/>
      <c r="AIJ1" s="165"/>
      <c r="AIK1" s="165"/>
      <c r="AIL1" s="165"/>
      <c r="AIM1" s="165"/>
      <c r="AIN1" s="165"/>
      <c r="AIO1" s="165"/>
      <c r="AIP1" s="165"/>
      <c r="AIQ1" s="165"/>
      <c r="AIR1" s="165"/>
      <c r="AIS1" s="165"/>
      <c r="AIT1" s="165"/>
      <c r="AIU1" s="165"/>
      <c r="AIV1" s="165"/>
      <c r="AIW1" s="165"/>
      <c r="AIX1" s="165"/>
      <c r="AIY1" s="165"/>
      <c r="AIZ1" s="165"/>
      <c r="AJA1" s="165"/>
      <c r="AJB1" s="165"/>
      <c r="AJC1" s="165"/>
      <c r="AJD1" s="165"/>
      <c r="AJE1" s="165"/>
      <c r="AJF1" s="165"/>
      <c r="AJG1" s="165"/>
      <c r="AJH1" s="165"/>
      <c r="AJI1" s="165"/>
      <c r="AJJ1" s="165"/>
      <c r="AJK1" s="165"/>
      <c r="AJL1" s="165"/>
      <c r="AJM1" s="165"/>
      <c r="AJN1" s="165"/>
      <c r="AJO1" s="165"/>
      <c r="AJP1" s="165"/>
      <c r="AJQ1" s="165"/>
      <c r="AJR1" s="165"/>
      <c r="AJS1" s="165"/>
      <c r="AJT1" s="165"/>
      <c r="AJU1" s="165"/>
      <c r="AJV1" s="165"/>
      <c r="AJW1" s="165"/>
      <c r="AJX1" s="165"/>
      <c r="AJY1" s="165"/>
      <c r="AJZ1" s="165"/>
      <c r="AKA1" s="165"/>
      <c r="AKB1" s="165"/>
      <c r="AKC1" s="165"/>
      <c r="AKD1" s="165"/>
      <c r="AKE1" s="165"/>
      <c r="AKF1" s="165"/>
      <c r="AKG1" s="165"/>
      <c r="AKH1" s="165"/>
      <c r="AKI1" s="165"/>
      <c r="AKJ1" s="165"/>
      <c r="AKK1" s="165"/>
      <c r="AKL1" s="165"/>
      <c r="AKM1" s="165"/>
      <c r="AKN1" s="165"/>
      <c r="AKO1" s="165"/>
      <c r="AKP1" s="165"/>
      <c r="AKQ1" s="165"/>
      <c r="AKR1" s="165"/>
      <c r="AKS1" s="165"/>
      <c r="AKT1" s="165"/>
      <c r="AKU1" s="165"/>
      <c r="AKV1" s="165"/>
      <c r="AKW1" s="165"/>
      <c r="AKX1" s="165"/>
      <c r="AKY1" s="165"/>
      <c r="AKZ1" s="165"/>
      <c r="ALA1" s="165"/>
      <c r="ALB1" s="165"/>
      <c r="ALC1" s="165"/>
      <c r="ALD1" s="165"/>
      <c r="ALE1" s="165"/>
    </row>
    <row r="2" spans="1:993" s="163" customFormat="1" ht="24.95" customHeight="1">
      <c r="A2" s="710"/>
      <c r="B2" s="711"/>
      <c r="C2" s="711"/>
      <c r="D2" s="711"/>
      <c r="E2" s="711"/>
      <c r="F2" s="711"/>
      <c r="G2" s="711"/>
      <c r="H2" s="711"/>
      <c r="I2" s="711"/>
      <c r="J2" s="712"/>
      <c r="K2" s="165"/>
      <c r="L2" s="165"/>
      <c r="M2" s="165"/>
      <c r="N2" s="165"/>
      <c r="O2" s="165"/>
      <c r="P2" s="259"/>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c r="DP2" s="165"/>
      <c r="DQ2" s="165"/>
      <c r="DR2" s="165"/>
      <c r="DS2" s="165"/>
      <c r="DT2" s="165"/>
      <c r="DU2" s="165"/>
      <c r="DV2" s="165"/>
      <c r="DW2" s="165"/>
      <c r="DX2" s="165"/>
      <c r="DY2" s="165"/>
      <c r="DZ2" s="165"/>
      <c r="EA2" s="165"/>
      <c r="EB2" s="165"/>
      <c r="EC2" s="165"/>
      <c r="ED2" s="165"/>
      <c r="EE2" s="165"/>
      <c r="EF2" s="165"/>
      <c r="EG2" s="165"/>
      <c r="EH2" s="165"/>
      <c r="EI2" s="165"/>
      <c r="EJ2" s="165"/>
      <c r="EK2" s="165"/>
      <c r="EL2" s="165"/>
      <c r="EM2" s="165"/>
      <c r="EN2" s="165"/>
      <c r="EO2" s="165"/>
      <c r="EP2" s="165"/>
      <c r="EQ2" s="165"/>
      <c r="ER2" s="165"/>
      <c r="ES2" s="165"/>
      <c r="ET2" s="165"/>
      <c r="EU2" s="165"/>
      <c r="EV2" s="165"/>
      <c r="EW2" s="165"/>
      <c r="EX2" s="165"/>
      <c r="EY2" s="165"/>
      <c r="EZ2" s="165"/>
      <c r="FA2" s="165"/>
      <c r="FB2" s="165"/>
      <c r="FC2" s="165"/>
      <c r="FD2" s="165"/>
      <c r="FE2" s="165"/>
      <c r="FF2" s="165"/>
      <c r="FG2" s="165"/>
      <c r="FH2" s="165"/>
      <c r="FI2" s="165"/>
      <c r="FJ2" s="165"/>
      <c r="FK2" s="165"/>
      <c r="FL2" s="165"/>
      <c r="FM2" s="165"/>
      <c r="FN2" s="165"/>
      <c r="FO2" s="165"/>
      <c r="FP2" s="165"/>
      <c r="FQ2" s="165"/>
      <c r="FR2" s="165"/>
      <c r="FS2" s="165"/>
      <c r="FT2" s="165"/>
      <c r="FU2" s="165"/>
      <c r="FV2" s="165"/>
      <c r="FW2" s="165"/>
      <c r="FX2" s="165"/>
      <c r="FY2" s="165"/>
      <c r="FZ2" s="165"/>
      <c r="GA2" s="165"/>
      <c r="GB2" s="165"/>
      <c r="GC2" s="165"/>
      <c r="GD2" s="165"/>
      <c r="GE2" s="165"/>
      <c r="GF2" s="165"/>
      <c r="GG2" s="165"/>
      <c r="GH2" s="165"/>
      <c r="GI2" s="165"/>
      <c r="GJ2" s="165"/>
      <c r="GK2" s="165"/>
      <c r="GL2" s="165"/>
      <c r="GM2" s="165"/>
      <c r="GN2" s="165"/>
      <c r="GO2" s="165"/>
      <c r="GP2" s="165"/>
      <c r="GQ2" s="165"/>
      <c r="GR2" s="165"/>
      <c r="GS2" s="165"/>
      <c r="GT2" s="165"/>
      <c r="GU2" s="165"/>
      <c r="GV2" s="165"/>
      <c r="GW2" s="165"/>
      <c r="GX2" s="165"/>
      <c r="GY2" s="165"/>
      <c r="GZ2" s="165"/>
      <c r="HA2" s="165"/>
      <c r="HB2" s="165"/>
      <c r="HC2" s="165"/>
      <c r="HD2" s="165"/>
      <c r="HE2" s="165"/>
      <c r="HF2" s="165"/>
      <c r="HG2" s="165"/>
      <c r="HH2" s="165"/>
      <c r="HI2" s="165"/>
      <c r="HJ2" s="165"/>
      <c r="HK2" s="165"/>
      <c r="HL2" s="165"/>
      <c r="HM2" s="165"/>
      <c r="HN2" s="165"/>
      <c r="HO2" s="165"/>
      <c r="HP2" s="165"/>
      <c r="HQ2" s="165"/>
      <c r="HR2" s="165"/>
      <c r="HS2" s="165"/>
      <c r="HT2" s="165"/>
      <c r="HU2" s="165"/>
      <c r="HV2" s="165"/>
      <c r="HW2" s="165"/>
      <c r="HX2" s="165"/>
      <c r="HY2" s="165"/>
      <c r="HZ2" s="165"/>
      <c r="IA2" s="165"/>
      <c r="IB2" s="165"/>
      <c r="IC2" s="165"/>
      <c r="ID2" s="165"/>
      <c r="IE2" s="165"/>
      <c r="IF2" s="165"/>
      <c r="IG2" s="165"/>
      <c r="IH2" s="165"/>
      <c r="II2" s="165"/>
      <c r="IJ2" s="165"/>
      <c r="IK2" s="165"/>
      <c r="IL2" s="165"/>
      <c r="IM2" s="165"/>
      <c r="IN2" s="165"/>
      <c r="IO2" s="165"/>
      <c r="IP2" s="165"/>
      <c r="IQ2" s="165"/>
      <c r="IR2" s="165"/>
      <c r="IS2" s="165"/>
      <c r="IT2" s="165"/>
      <c r="IU2" s="165"/>
      <c r="IV2" s="165"/>
      <c r="IW2" s="165"/>
      <c r="IX2" s="165"/>
      <c r="IY2" s="165"/>
      <c r="IZ2" s="165"/>
      <c r="JA2" s="165"/>
      <c r="JB2" s="165"/>
      <c r="JC2" s="165"/>
      <c r="JD2" s="165"/>
      <c r="JE2" s="165"/>
      <c r="JF2" s="165"/>
      <c r="JG2" s="165"/>
      <c r="JH2" s="165"/>
      <c r="JI2" s="165"/>
      <c r="JJ2" s="165"/>
      <c r="JK2" s="165"/>
      <c r="JL2" s="165"/>
      <c r="JM2" s="165"/>
      <c r="JN2" s="165"/>
      <c r="JO2" s="165"/>
      <c r="JP2" s="165"/>
      <c r="JQ2" s="165"/>
      <c r="JR2" s="165"/>
      <c r="JS2" s="165"/>
      <c r="JT2" s="165"/>
      <c r="JU2" s="165"/>
      <c r="JV2" s="165"/>
      <c r="JW2" s="165"/>
      <c r="JX2" s="165"/>
      <c r="JY2" s="165"/>
      <c r="JZ2" s="165"/>
      <c r="KA2" s="165"/>
      <c r="KB2" s="165"/>
      <c r="KC2" s="165"/>
      <c r="KD2" s="165"/>
      <c r="KE2" s="165"/>
      <c r="KF2" s="165"/>
      <c r="KG2" s="165"/>
      <c r="KH2" s="165"/>
      <c r="KI2" s="165"/>
      <c r="KJ2" s="165"/>
      <c r="KK2" s="165"/>
      <c r="KL2" s="165"/>
      <c r="KM2" s="165"/>
      <c r="KN2" s="165"/>
      <c r="KO2" s="165"/>
      <c r="KP2" s="165"/>
      <c r="KQ2" s="165"/>
      <c r="KR2" s="165"/>
      <c r="KS2" s="165"/>
      <c r="KT2" s="165"/>
      <c r="KU2" s="165"/>
      <c r="KV2" s="165"/>
      <c r="KW2" s="165"/>
      <c r="KX2" s="165"/>
      <c r="KY2" s="165"/>
      <c r="KZ2" s="165"/>
      <c r="LA2" s="165"/>
      <c r="LB2" s="165"/>
      <c r="LC2" s="165"/>
      <c r="LD2" s="165"/>
      <c r="LE2" s="165"/>
      <c r="LF2" s="165"/>
      <c r="LG2" s="165"/>
      <c r="LH2" s="165"/>
      <c r="LI2" s="165"/>
      <c r="LJ2" s="165"/>
      <c r="LK2" s="165"/>
      <c r="LL2" s="165"/>
      <c r="LM2" s="165"/>
      <c r="LN2" s="165"/>
      <c r="LO2" s="165"/>
      <c r="LP2" s="165"/>
      <c r="LQ2" s="165"/>
      <c r="LR2" s="165"/>
      <c r="LS2" s="165"/>
      <c r="LT2" s="165"/>
      <c r="LU2" s="165"/>
      <c r="LV2" s="165"/>
      <c r="LW2" s="165"/>
      <c r="LX2" s="165"/>
      <c r="LY2" s="165"/>
      <c r="LZ2" s="165"/>
      <c r="MA2" s="165"/>
      <c r="MB2" s="165"/>
      <c r="MC2" s="165"/>
      <c r="MD2" s="165"/>
      <c r="ME2" s="165"/>
      <c r="MF2" s="165"/>
      <c r="MG2" s="165"/>
      <c r="MH2" s="165"/>
      <c r="MI2" s="165"/>
      <c r="MJ2" s="165"/>
      <c r="MK2" s="165"/>
      <c r="ML2" s="165"/>
      <c r="MM2" s="165"/>
      <c r="MN2" s="165"/>
      <c r="MO2" s="165"/>
      <c r="MP2" s="165"/>
      <c r="MQ2" s="165"/>
      <c r="MR2" s="165"/>
      <c r="MS2" s="165"/>
      <c r="MT2" s="165"/>
      <c r="MU2" s="165"/>
      <c r="MV2" s="165"/>
      <c r="MW2" s="165"/>
      <c r="MX2" s="165"/>
      <c r="MY2" s="165"/>
      <c r="MZ2" s="165"/>
      <c r="NA2" s="165"/>
      <c r="NB2" s="165"/>
      <c r="NC2" s="165"/>
      <c r="ND2" s="165"/>
      <c r="NE2" s="165"/>
      <c r="NF2" s="165"/>
      <c r="NG2" s="165"/>
      <c r="NH2" s="165"/>
      <c r="NI2" s="165"/>
      <c r="NJ2" s="165"/>
      <c r="NK2" s="165"/>
      <c r="NL2" s="165"/>
      <c r="NM2" s="165"/>
      <c r="NN2" s="165"/>
      <c r="NO2" s="165"/>
      <c r="NP2" s="165"/>
      <c r="NQ2" s="165"/>
      <c r="NR2" s="165"/>
      <c r="NS2" s="165"/>
      <c r="NT2" s="165"/>
      <c r="NU2" s="165"/>
      <c r="NV2" s="165"/>
      <c r="NW2" s="165"/>
      <c r="NX2" s="165"/>
      <c r="NY2" s="165"/>
      <c r="NZ2" s="165"/>
      <c r="OA2" s="165"/>
      <c r="OB2" s="165"/>
      <c r="OC2" s="165"/>
      <c r="OD2" s="165"/>
      <c r="OE2" s="165"/>
      <c r="OF2" s="165"/>
      <c r="OG2" s="165"/>
      <c r="OH2" s="165"/>
      <c r="OI2" s="165"/>
      <c r="OJ2" s="165"/>
      <c r="OK2" s="165"/>
      <c r="OL2" s="165"/>
      <c r="OM2" s="165"/>
      <c r="ON2" s="165"/>
      <c r="OO2" s="165"/>
      <c r="OP2" s="165"/>
      <c r="OQ2" s="165"/>
      <c r="OR2" s="165"/>
      <c r="OS2" s="165"/>
      <c r="OT2" s="165"/>
      <c r="OU2" s="165"/>
      <c r="OV2" s="165"/>
      <c r="OW2" s="165"/>
      <c r="OX2" s="165"/>
      <c r="OY2" s="165"/>
      <c r="OZ2" s="165"/>
      <c r="PA2" s="165"/>
      <c r="PB2" s="165"/>
      <c r="PC2" s="165"/>
      <c r="PD2" s="165"/>
      <c r="PE2" s="165"/>
      <c r="PF2" s="165"/>
      <c r="PG2" s="165"/>
      <c r="PH2" s="165"/>
      <c r="PI2" s="165"/>
      <c r="PJ2" s="165"/>
      <c r="PK2" s="165"/>
      <c r="PL2" s="165"/>
      <c r="PM2" s="165"/>
      <c r="PN2" s="165"/>
      <c r="PO2" s="165"/>
      <c r="PP2" s="165"/>
      <c r="PQ2" s="165"/>
      <c r="PR2" s="165"/>
      <c r="PS2" s="165"/>
      <c r="PT2" s="165"/>
      <c r="PU2" s="165"/>
      <c r="PV2" s="165"/>
      <c r="PW2" s="165"/>
      <c r="PX2" s="165"/>
      <c r="PY2" s="165"/>
      <c r="PZ2" s="165"/>
      <c r="QA2" s="165"/>
      <c r="QB2" s="165"/>
      <c r="QC2" s="165"/>
      <c r="QD2" s="165"/>
      <c r="QE2" s="165"/>
      <c r="QF2" s="165"/>
      <c r="QG2" s="165"/>
      <c r="QH2" s="165"/>
      <c r="QI2" s="165"/>
      <c r="QJ2" s="165"/>
      <c r="QK2" s="165"/>
      <c r="QL2" s="165"/>
      <c r="QM2" s="165"/>
      <c r="QN2" s="165"/>
      <c r="QO2" s="165"/>
      <c r="QP2" s="165"/>
      <c r="QQ2" s="165"/>
      <c r="QR2" s="165"/>
      <c r="QS2" s="165"/>
      <c r="QT2" s="165"/>
      <c r="QU2" s="165"/>
      <c r="QV2" s="165"/>
      <c r="QW2" s="165"/>
      <c r="QX2" s="165"/>
      <c r="QY2" s="165"/>
      <c r="QZ2" s="165"/>
      <c r="RA2" s="165"/>
      <c r="RB2" s="165"/>
      <c r="RC2" s="165"/>
      <c r="RD2" s="165"/>
      <c r="RE2" s="165"/>
      <c r="RF2" s="165"/>
      <c r="RG2" s="165"/>
      <c r="RH2" s="165"/>
      <c r="RI2" s="165"/>
      <c r="RJ2" s="165"/>
      <c r="RK2" s="165"/>
      <c r="RL2" s="165"/>
      <c r="RM2" s="165"/>
      <c r="RN2" s="165"/>
      <c r="RO2" s="165"/>
      <c r="RP2" s="165"/>
      <c r="RQ2" s="165"/>
      <c r="RR2" s="165"/>
      <c r="RS2" s="165"/>
      <c r="RT2" s="165"/>
      <c r="RU2" s="165"/>
      <c r="RV2" s="165"/>
      <c r="RW2" s="165"/>
      <c r="RX2" s="165"/>
      <c r="RY2" s="165"/>
      <c r="RZ2" s="165"/>
      <c r="SA2" s="165"/>
      <c r="SB2" s="165"/>
      <c r="SC2" s="165"/>
      <c r="SD2" s="165"/>
      <c r="SE2" s="165"/>
      <c r="SF2" s="165"/>
      <c r="SG2" s="165"/>
      <c r="SH2" s="165"/>
      <c r="SI2" s="165"/>
      <c r="SJ2" s="165"/>
      <c r="SK2" s="165"/>
      <c r="SL2" s="165"/>
      <c r="SM2" s="165"/>
      <c r="SN2" s="165"/>
      <c r="SO2" s="165"/>
      <c r="SP2" s="165"/>
      <c r="SQ2" s="165"/>
      <c r="SR2" s="165"/>
      <c r="SS2" s="165"/>
      <c r="ST2" s="165"/>
      <c r="SU2" s="165"/>
      <c r="SV2" s="165"/>
      <c r="SW2" s="165"/>
      <c r="SX2" s="165"/>
      <c r="SY2" s="165"/>
      <c r="SZ2" s="165"/>
      <c r="TA2" s="165"/>
      <c r="TB2" s="165"/>
      <c r="TC2" s="165"/>
      <c r="TD2" s="165"/>
      <c r="TE2" s="165"/>
      <c r="TF2" s="165"/>
      <c r="TG2" s="165"/>
      <c r="TH2" s="165"/>
      <c r="TI2" s="165"/>
      <c r="TJ2" s="165"/>
      <c r="TK2" s="165"/>
      <c r="TL2" s="165"/>
      <c r="TM2" s="165"/>
      <c r="TN2" s="165"/>
      <c r="TO2" s="165"/>
      <c r="TP2" s="165"/>
      <c r="TQ2" s="165"/>
      <c r="TR2" s="165"/>
      <c r="TS2" s="165"/>
      <c r="TT2" s="165"/>
      <c r="TU2" s="165"/>
      <c r="TV2" s="165"/>
      <c r="TW2" s="165"/>
      <c r="TX2" s="165"/>
      <c r="TY2" s="165"/>
      <c r="TZ2" s="165"/>
      <c r="UA2" s="165"/>
      <c r="UB2" s="165"/>
      <c r="UC2" s="165"/>
      <c r="UD2" s="165"/>
      <c r="UE2" s="165"/>
      <c r="UF2" s="165"/>
      <c r="UG2" s="165"/>
      <c r="UH2" s="165"/>
      <c r="UI2" s="165"/>
      <c r="UJ2" s="165"/>
      <c r="UK2" s="165"/>
      <c r="UL2" s="165"/>
      <c r="UM2" s="165"/>
      <c r="UN2" s="165"/>
      <c r="UO2" s="165"/>
      <c r="UP2" s="165"/>
      <c r="UQ2" s="165"/>
      <c r="UR2" s="165"/>
      <c r="US2" s="165"/>
      <c r="UT2" s="165"/>
      <c r="UU2" s="165"/>
      <c r="UV2" s="165"/>
      <c r="UW2" s="165"/>
      <c r="UX2" s="165"/>
      <c r="UY2" s="165"/>
      <c r="UZ2" s="165"/>
      <c r="VA2" s="165"/>
      <c r="VB2" s="165"/>
      <c r="VC2" s="165"/>
      <c r="VD2" s="165"/>
      <c r="VE2" s="165"/>
      <c r="VF2" s="165"/>
      <c r="VG2" s="165"/>
      <c r="VH2" s="165"/>
      <c r="VI2" s="165"/>
      <c r="VJ2" s="165"/>
      <c r="VK2" s="165"/>
      <c r="VL2" s="165"/>
      <c r="VM2" s="165"/>
      <c r="VN2" s="165"/>
      <c r="VO2" s="165"/>
      <c r="VP2" s="165"/>
      <c r="VQ2" s="165"/>
      <c r="VR2" s="165"/>
      <c r="VS2" s="165"/>
      <c r="VT2" s="165"/>
      <c r="VU2" s="165"/>
      <c r="VV2" s="165"/>
      <c r="VW2" s="165"/>
      <c r="VX2" s="165"/>
      <c r="VY2" s="165"/>
      <c r="VZ2" s="165"/>
      <c r="WA2" s="165"/>
      <c r="WB2" s="165"/>
      <c r="WC2" s="165"/>
      <c r="WD2" s="165"/>
      <c r="WE2" s="165"/>
      <c r="WF2" s="165"/>
      <c r="WG2" s="165"/>
      <c r="WH2" s="165"/>
      <c r="WI2" s="165"/>
      <c r="WJ2" s="165"/>
      <c r="WK2" s="165"/>
      <c r="WL2" s="165"/>
      <c r="WM2" s="165"/>
      <c r="WN2" s="165"/>
      <c r="WO2" s="165"/>
      <c r="WP2" s="165"/>
      <c r="WQ2" s="165"/>
      <c r="WR2" s="165"/>
      <c r="WS2" s="165"/>
      <c r="WT2" s="165"/>
      <c r="WU2" s="165"/>
      <c r="WV2" s="165"/>
      <c r="WW2" s="165"/>
      <c r="WX2" s="165"/>
      <c r="WY2" s="165"/>
      <c r="WZ2" s="165"/>
      <c r="XA2" s="165"/>
      <c r="XB2" s="165"/>
      <c r="XC2" s="165"/>
      <c r="XD2" s="165"/>
      <c r="XE2" s="165"/>
      <c r="XF2" s="165"/>
      <c r="XG2" s="165"/>
      <c r="XH2" s="165"/>
      <c r="XI2" s="165"/>
      <c r="XJ2" s="165"/>
      <c r="XK2" s="165"/>
      <c r="XL2" s="165"/>
      <c r="XM2" s="165"/>
      <c r="XN2" s="165"/>
      <c r="XO2" s="165"/>
      <c r="XP2" s="165"/>
      <c r="XQ2" s="165"/>
      <c r="XR2" s="165"/>
      <c r="XS2" s="165"/>
      <c r="XT2" s="165"/>
      <c r="XU2" s="165"/>
      <c r="XV2" s="165"/>
      <c r="XW2" s="165"/>
      <c r="XX2" s="165"/>
      <c r="XY2" s="165"/>
      <c r="XZ2" s="165"/>
      <c r="YA2" s="165"/>
      <c r="YB2" s="165"/>
      <c r="YC2" s="165"/>
      <c r="YD2" s="165"/>
      <c r="YE2" s="165"/>
      <c r="YF2" s="165"/>
      <c r="YG2" s="165"/>
      <c r="YH2" s="165"/>
      <c r="YI2" s="165"/>
      <c r="YJ2" s="165"/>
      <c r="YK2" s="165"/>
      <c r="YL2" s="165"/>
      <c r="YM2" s="165"/>
      <c r="YN2" s="165"/>
      <c r="YO2" s="165"/>
      <c r="YP2" s="165"/>
      <c r="YQ2" s="165"/>
      <c r="YR2" s="165"/>
      <c r="YS2" s="165"/>
      <c r="YT2" s="165"/>
      <c r="YU2" s="165"/>
      <c r="YV2" s="165"/>
      <c r="YW2" s="165"/>
      <c r="YX2" s="165"/>
      <c r="YY2" s="165"/>
      <c r="YZ2" s="165"/>
      <c r="ZA2" s="165"/>
      <c r="ZB2" s="165"/>
      <c r="ZC2" s="165"/>
      <c r="ZD2" s="165"/>
      <c r="ZE2" s="165"/>
      <c r="ZF2" s="165"/>
      <c r="ZG2" s="165"/>
      <c r="ZH2" s="165"/>
      <c r="ZI2" s="165"/>
      <c r="ZJ2" s="165"/>
      <c r="ZK2" s="165"/>
      <c r="ZL2" s="165"/>
      <c r="ZM2" s="165"/>
      <c r="ZN2" s="165"/>
      <c r="ZO2" s="165"/>
      <c r="ZP2" s="165"/>
      <c r="ZQ2" s="165"/>
      <c r="ZR2" s="165"/>
      <c r="ZS2" s="165"/>
      <c r="ZT2" s="165"/>
      <c r="ZU2" s="165"/>
      <c r="ZV2" s="165"/>
      <c r="ZW2" s="165"/>
      <c r="ZX2" s="165"/>
      <c r="ZY2" s="165"/>
      <c r="ZZ2" s="165"/>
      <c r="AAA2" s="165"/>
      <c r="AAB2" s="165"/>
      <c r="AAC2" s="165"/>
      <c r="AAD2" s="165"/>
      <c r="AAE2" s="165"/>
      <c r="AAF2" s="165"/>
      <c r="AAG2" s="165"/>
      <c r="AAH2" s="165"/>
      <c r="AAI2" s="165"/>
      <c r="AAJ2" s="165"/>
      <c r="AAK2" s="165"/>
      <c r="AAL2" s="165"/>
      <c r="AAM2" s="165"/>
      <c r="AAN2" s="165"/>
      <c r="AAO2" s="165"/>
      <c r="AAP2" s="165"/>
      <c r="AAQ2" s="165"/>
      <c r="AAR2" s="165"/>
      <c r="AAS2" s="165"/>
      <c r="AAT2" s="165"/>
      <c r="AAU2" s="165"/>
      <c r="AAV2" s="165"/>
      <c r="AAW2" s="165"/>
      <c r="AAX2" s="165"/>
      <c r="AAY2" s="165"/>
      <c r="AAZ2" s="165"/>
      <c r="ABA2" s="165"/>
      <c r="ABB2" s="165"/>
      <c r="ABC2" s="165"/>
      <c r="ABD2" s="165"/>
      <c r="ABE2" s="165"/>
      <c r="ABF2" s="165"/>
      <c r="ABG2" s="165"/>
      <c r="ABH2" s="165"/>
      <c r="ABI2" s="165"/>
      <c r="ABJ2" s="165"/>
      <c r="ABK2" s="165"/>
      <c r="ABL2" s="165"/>
      <c r="ABM2" s="165"/>
      <c r="ABN2" s="165"/>
      <c r="ABO2" s="165"/>
      <c r="ABP2" s="165"/>
      <c r="ABQ2" s="165"/>
      <c r="ABR2" s="165"/>
      <c r="ABS2" s="165"/>
      <c r="ABT2" s="165"/>
      <c r="ABU2" s="165"/>
      <c r="ABV2" s="165"/>
      <c r="ABW2" s="165"/>
      <c r="ABX2" s="165"/>
      <c r="ABY2" s="165"/>
      <c r="ABZ2" s="165"/>
      <c r="ACA2" s="165"/>
      <c r="ACB2" s="165"/>
      <c r="ACC2" s="165"/>
      <c r="ACD2" s="165"/>
      <c r="ACE2" s="165"/>
      <c r="ACF2" s="165"/>
      <c r="ACG2" s="165"/>
      <c r="ACH2" s="165"/>
      <c r="ACI2" s="165"/>
      <c r="ACJ2" s="165"/>
      <c r="ACK2" s="165"/>
      <c r="ACL2" s="165"/>
      <c r="ACM2" s="165"/>
      <c r="ACN2" s="165"/>
      <c r="ACO2" s="165"/>
      <c r="ACP2" s="165"/>
      <c r="ACQ2" s="165"/>
      <c r="ACR2" s="165"/>
      <c r="ACS2" s="165"/>
      <c r="ACT2" s="165"/>
      <c r="ACU2" s="165"/>
      <c r="ACV2" s="165"/>
      <c r="ACW2" s="165"/>
      <c r="ACX2" s="165"/>
      <c r="ACY2" s="165"/>
      <c r="ACZ2" s="165"/>
      <c r="ADA2" s="165"/>
      <c r="ADB2" s="165"/>
      <c r="ADC2" s="165"/>
      <c r="ADD2" s="165"/>
      <c r="ADE2" s="165"/>
      <c r="ADF2" s="165"/>
      <c r="ADG2" s="165"/>
      <c r="ADH2" s="165"/>
      <c r="ADI2" s="165"/>
      <c r="ADJ2" s="165"/>
      <c r="ADK2" s="165"/>
      <c r="ADL2" s="165"/>
      <c r="ADM2" s="165"/>
      <c r="ADN2" s="165"/>
      <c r="ADO2" s="165"/>
      <c r="ADP2" s="165"/>
      <c r="ADQ2" s="165"/>
      <c r="ADR2" s="165"/>
      <c r="ADS2" s="165"/>
      <c r="ADT2" s="165"/>
      <c r="ADU2" s="165"/>
      <c r="ADV2" s="165"/>
      <c r="ADW2" s="165"/>
      <c r="ADX2" s="165"/>
      <c r="ADY2" s="165"/>
      <c r="ADZ2" s="165"/>
      <c r="AEA2" s="165"/>
      <c r="AEB2" s="165"/>
      <c r="AEC2" s="165"/>
      <c r="AED2" s="165"/>
      <c r="AEE2" s="165"/>
      <c r="AEF2" s="165"/>
      <c r="AEG2" s="165"/>
      <c r="AEH2" s="165"/>
      <c r="AEI2" s="165"/>
      <c r="AEJ2" s="165"/>
      <c r="AEK2" s="165"/>
      <c r="AEL2" s="165"/>
      <c r="AEM2" s="165"/>
      <c r="AEN2" s="165"/>
      <c r="AEO2" s="165"/>
      <c r="AEP2" s="165"/>
      <c r="AEQ2" s="165"/>
      <c r="AER2" s="165"/>
      <c r="AES2" s="165"/>
      <c r="AET2" s="165"/>
      <c r="AEU2" s="165"/>
      <c r="AEV2" s="165"/>
      <c r="AEW2" s="165"/>
      <c r="AEX2" s="165"/>
      <c r="AEY2" s="165"/>
      <c r="AEZ2" s="165"/>
      <c r="AFA2" s="165"/>
      <c r="AFB2" s="165"/>
      <c r="AFC2" s="165"/>
      <c r="AFD2" s="165"/>
      <c r="AFE2" s="165"/>
      <c r="AFF2" s="165"/>
      <c r="AFG2" s="165"/>
      <c r="AFH2" s="165"/>
      <c r="AFI2" s="165"/>
      <c r="AFJ2" s="165"/>
      <c r="AFK2" s="165"/>
      <c r="AFL2" s="165"/>
      <c r="AFM2" s="165"/>
      <c r="AFN2" s="165"/>
      <c r="AFO2" s="165"/>
      <c r="AFP2" s="165"/>
      <c r="AFQ2" s="165"/>
      <c r="AFR2" s="165"/>
      <c r="AFS2" s="165"/>
      <c r="AFT2" s="165"/>
      <c r="AFU2" s="165"/>
      <c r="AFV2" s="165"/>
      <c r="AFW2" s="165"/>
      <c r="AFX2" s="165"/>
      <c r="AFY2" s="165"/>
      <c r="AFZ2" s="165"/>
      <c r="AGA2" s="165"/>
      <c r="AGB2" s="165"/>
      <c r="AGC2" s="165"/>
      <c r="AGD2" s="165"/>
      <c r="AGE2" s="165"/>
      <c r="AGF2" s="165"/>
      <c r="AGG2" s="165"/>
      <c r="AGH2" s="165"/>
      <c r="AGI2" s="165"/>
      <c r="AGJ2" s="165"/>
      <c r="AGK2" s="165"/>
      <c r="AGL2" s="165"/>
      <c r="AGM2" s="165"/>
      <c r="AGN2" s="165"/>
      <c r="AGO2" s="165"/>
      <c r="AGP2" s="165"/>
      <c r="AGQ2" s="165"/>
      <c r="AGR2" s="165"/>
      <c r="AGS2" s="165"/>
      <c r="AGT2" s="165"/>
      <c r="AGU2" s="165"/>
      <c r="AGV2" s="165"/>
      <c r="AGW2" s="165"/>
      <c r="AGX2" s="165"/>
      <c r="AGY2" s="165"/>
      <c r="AGZ2" s="165"/>
      <c r="AHA2" s="165"/>
      <c r="AHB2" s="165"/>
      <c r="AHC2" s="165"/>
      <c r="AHD2" s="165"/>
      <c r="AHE2" s="165"/>
      <c r="AHF2" s="165"/>
      <c r="AHG2" s="165"/>
      <c r="AHH2" s="165"/>
      <c r="AHI2" s="165"/>
      <c r="AHJ2" s="165"/>
      <c r="AHK2" s="165"/>
      <c r="AHL2" s="165"/>
      <c r="AHM2" s="165"/>
      <c r="AHN2" s="165"/>
      <c r="AHO2" s="165"/>
      <c r="AHP2" s="165"/>
      <c r="AHQ2" s="165"/>
      <c r="AHR2" s="165"/>
      <c r="AHS2" s="165"/>
      <c r="AHT2" s="165"/>
      <c r="AHU2" s="165"/>
      <c r="AHV2" s="165"/>
      <c r="AHW2" s="165"/>
      <c r="AHX2" s="165"/>
      <c r="AHY2" s="165"/>
      <c r="AHZ2" s="165"/>
      <c r="AIA2" s="165"/>
      <c r="AIB2" s="165"/>
      <c r="AIC2" s="165"/>
      <c r="AID2" s="165"/>
      <c r="AIE2" s="165"/>
      <c r="AIF2" s="165"/>
      <c r="AIG2" s="165"/>
      <c r="AIH2" s="165"/>
      <c r="AII2" s="165"/>
      <c r="AIJ2" s="165"/>
      <c r="AIK2" s="165"/>
      <c r="AIL2" s="165"/>
      <c r="AIM2" s="165"/>
      <c r="AIN2" s="165"/>
      <c r="AIO2" s="165"/>
      <c r="AIP2" s="165"/>
      <c r="AIQ2" s="165"/>
      <c r="AIR2" s="165"/>
      <c r="AIS2" s="165"/>
      <c r="AIT2" s="165"/>
      <c r="AIU2" s="165"/>
      <c r="AIV2" s="165"/>
      <c r="AIW2" s="165"/>
      <c r="AIX2" s="165"/>
      <c r="AIY2" s="165"/>
      <c r="AIZ2" s="165"/>
      <c r="AJA2" s="165"/>
      <c r="AJB2" s="165"/>
      <c r="AJC2" s="165"/>
      <c r="AJD2" s="165"/>
      <c r="AJE2" s="165"/>
      <c r="AJF2" s="165"/>
      <c r="AJG2" s="165"/>
      <c r="AJH2" s="165"/>
      <c r="AJI2" s="165"/>
      <c r="AJJ2" s="165"/>
      <c r="AJK2" s="165"/>
      <c r="AJL2" s="165"/>
      <c r="AJM2" s="165"/>
      <c r="AJN2" s="165"/>
      <c r="AJO2" s="165"/>
      <c r="AJP2" s="165"/>
      <c r="AJQ2" s="165"/>
      <c r="AJR2" s="165"/>
      <c r="AJS2" s="165"/>
      <c r="AJT2" s="165"/>
      <c r="AJU2" s="165"/>
      <c r="AJV2" s="165"/>
      <c r="AJW2" s="165"/>
      <c r="AJX2" s="165"/>
      <c r="AJY2" s="165"/>
      <c r="AJZ2" s="165"/>
      <c r="AKA2" s="165"/>
      <c r="AKB2" s="165"/>
      <c r="AKC2" s="165"/>
      <c r="AKD2" s="165"/>
      <c r="AKE2" s="165"/>
      <c r="AKF2" s="165"/>
      <c r="AKG2" s="165"/>
      <c r="AKH2" s="165"/>
      <c r="AKI2" s="165"/>
      <c r="AKJ2" s="165"/>
      <c r="AKK2" s="165"/>
      <c r="AKL2" s="165"/>
      <c r="AKM2" s="165"/>
      <c r="AKN2" s="165"/>
      <c r="AKO2" s="165"/>
      <c r="AKP2" s="165"/>
      <c r="AKQ2" s="165"/>
      <c r="AKR2" s="165"/>
      <c r="AKS2" s="165"/>
      <c r="AKT2" s="165"/>
      <c r="AKU2" s="165"/>
      <c r="AKV2" s="165"/>
      <c r="AKW2" s="165"/>
      <c r="AKX2" s="165"/>
      <c r="AKY2" s="165"/>
      <c r="AKZ2" s="165"/>
      <c r="ALA2" s="165"/>
      <c r="ALB2" s="165"/>
      <c r="ALC2" s="165"/>
      <c r="ALD2" s="165"/>
      <c r="ALE2" s="165"/>
    </row>
    <row r="3" spans="1:993" s="163" customFormat="1" ht="24.95" customHeight="1">
      <c r="A3" s="713"/>
      <c r="B3" s="714"/>
      <c r="C3" s="714"/>
      <c r="D3" s="714"/>
      <c r="E3" s="714"/>
      <c r="F3" s="714"/>
      <c r="G3" s="714"/>
      <c r="H3" s="714"/>
      <c r="I3" s="714"/>
      <c r="J3" s="715"/>
      <c r="K3" s="165"/>
      <c r="L3" s="165"/>
      <c r="M3" s="165"/>
      <c r="N3" s="165"/>
      <c r="O3" s="165"/>
      <c r="P3" s="259"/>
      <c r="Q3" s="165"/>
      <c r="R3" s="165"/>
      <c r="S3" s="165"/>
      <c r="T3" s="16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65"/>
      <c r="IX3" s="165"/>
      <c r="IY3" s="165"/>
      <c r="IZ3" s="165"/>
      <c r="JA3" s="165"/>
      <c r="JB3" s="165"/>
      <c r="JC3" s="165"/>
      <c r="JD3" s="165"/>
      <c r="JE3" s="165"/>
      <c r="JF3" s="165"/>
      <c r="JG3" s="165"/>
      <c r="JH3" s="165"/>
      <c r="JI3" s="165"/>
      <c r="JJ3" s="165"/>
      <c r="JK3" s="165"/>
      <c r="JL3" s="165"/>
      <c r="JM3" s="165"/>
      <c r="JN3" s="165"/>
      <c r="JO3" s="165"/>
      <c r="JP3" s="165"/>
      <c r="JQ3" s="165"/>
      <c r="JR3" s="165"/>
      <c r="JS3" s="165"/>
      <c r="JT3" s="165"/>
      <c r="JU3" s="165"/>
      <c r="JV3" s="165"/>
      <c r="JW3" s="165"/>
      <c r="JX3" s="165"/>
      <c r="JY3" s="165"/>
      <c r="JZ3" s="165"/>
      <c r="KA3" s="165"/>
      <c r="KB3" s="165"/>
      <c r="KC3" s="165"/>
      <c r="KD3" s="165"/>
      <c r="KE3" s="165"/>
      <c r="KF3" s="165"/>
      <c r="KG3" s="165"/>
      <c r="KH3" s="165"/>
      <c r="KI3" s="165"/>
      <c r="KJ3" s="165"/>
      <c r="KK3" s="165"/>
      <c r="KL3" s="165"/>
      <c r="KM3" s="165"/>
      <c r="KN3" s="165"/>
      <c r="KO3" s="165"/>
      <c r="KP3" s="165"/>
      <c r="KQ3" s="165"/>
      <c r="KR3" s="165"/>
      <c r="KS3" s="165"/>
      <c r="KT3" s="165"/>
      <c r="KU3" s="165"/>
      <c r="KV3" s="165"/>
      <c r="KW3" s="165"/>
      <c r="KX3" s="165"/>
      <c r="KY3" s="165"/>
      <c r="KZ3" s="165"/>
      <c r="LA3" s="165"/>
      <c r="LB3" s="165"/>
      <c r="LC3" s="165"/>
      <c r="LD3" s="165"/>
      <c r="LE3" s="165"/>
      <c r="LF3" s="165"/>
      <c r="LG3" s="165"/>
      <c r="LH3" s="165"/>
      <c r="LI3" s="165"/>
      <c r="LJ3" s="165"/>
      <c r="LK3" s="165"/>
      <c r="LL3" s="165"/>
      <c r="LM3" s="165"/>
      <c r="LN3" s="165"/>
      <c r="LO3" s="165"/>
      <c r="LP3" s="165"/>
      <c r="LQ3" s="165"/>
      <c r="LR3" s="165"/>
      <c r="LS3" s="165"/>
      <c r="LT3" s="165"/>
      <c r="LU3" s="165"/>
      <c r="LV3" s="165"/>
      <c r="LW3" s="165"/>
      <c r="LX3" s="165"/>
      <c r="LY3" s="165"/>
      <c r="LZ3" s="165"/>
      <c r="MA3" s="165"/>
      <c r="MB3" s="165"/>
      <c r="MC3" s="165"/>
      <c r="MD3" s="165"/>
      <c r="ME3" s="165"/>
      <c r="MF3" s="165"/>
      <c r="MG3" s="165"/>
      <c r="MH3" s="165"/>
      <c r="MI3" s="165"/>
      <c r="MJ3" s="165"/>
      <c r="MK3" s="165"/>
      <c r="ML3" s="165"/>
      <c r="MM3" s="165"/>
      <c r="MN3" s="165"/>
      <c r="MO3" s="165"/>
      <c r="MP3" s="165"/>
      <c r="MQ3" s="165"/>
      <c r="MR3" s="165"/>
      <c r="MS3" s="165"/>
      <c r="MT3" s="165"/>
      <c r="MU3" s="165"/>
      <c r="MV3" s="165"/>
      <c r="MW3" s="165"/>
      <c r="MX3" s="165"/>
      <c r="MY3" s="165"/>
      <c r="MZ3" s="165"/>
      <c r="NA3" s="165"/>
      <c r="NB3" s="165"/>
      <c r="NC3" s="165"/>
      <c r="ND3" s="165"/>
      <c r="NE3" s="165"/>
      <c r="NF3" s="165"/>
      <c r="NG3" s="165"/>
      <c r="NH3" s="165"/>
      <c r="NI3" s="165"/>
      <c r="NJ3" s="165"/>
      <c r="NK3" s="165"/>
      <c r="NL3" s="165"/>
      <c r="NM3" s="165"/>
      <c r="NN3" s="165"/>
      <c r="NO3" s="165"/>
      <c r="NP3" s="165"/>
      <c r="NQ3" s="165"/>
      <c r="NR3" s="165"/>
      <c r="NS3" s="165"/>
      <c r="NT3" s="165"/>
      <c r="NU3" s="165"/>
      <c r="NV3" s="165"/>
      <c r="NW3" s="165"/>
      <c r="NX3" s="165"/>
      <c r="NY3" s="165"/>
      <c r="NZ3" s="165"/>
      <c r="OA3" s="165"/>
      <c r="OB3" s="165"/>
      <c r="OC3" s="165"/>
      <c r="OD3" s="165"/>
      <c r="OE3" s="165"/>
      <c r="OF3" s="165"/>
      <c r="OG3" s="165"/>
      <c r="OH3" s="165"/>
      <c r="OI3" s="165"/>
      <c r="OJ3" s="165"/>
      <c r="OK3" s="165"/>
      <c r="OL3" s="165"/>
      <c r="OM3" s="165"/>
      <c r="ON3" s="165"/>
      <c r="OO3" s="165"/>
      <c r="OP3" s="165"/>
      <c r="OQ3" s="165"/>
      <c r="OR3" s="165"/>
      <c r="OS3" s="165"/>
      <c r="OT3" s="165"/>
      <c r="OU3" s="165"/>
      <c r="OV3" s="165"/>
      <c r="OW3" s="165"/>
      <c r="OX3" s="165"/>
      <c r="OY3" s="165"/>
      <c r="OZ3" s="165"/>
      <c r="PA3" s="165"/>
      <c r="PB3" s="165"/>
      <c r="PC3" s="165"/>
      <c r="PD3" s="165"/>
      <c r="PE3" s="165"/>
      <c r="PF3" s="165"/>
      <c r="PG3" s="165"/>
      <c r="PH3" s="165"/>
      <c r="PI3" s="165"/>
      <c r="PJ3" s="165"/>
      <c r="PK3" s="165"/>
      <c r="PL3" s="165"/>
      <c r="PM3" s="165"/>
      <c r="PN3" s="165"/>
      <c r="PO3" s="165"/>
      <c r="PP3" s="165"/>
      <c r="PQ3" s="165"/>
      <c r="PR3" s="165"/>
      <c r="PS3" s="165"/>
      <c r="PT3" s="165"/>
      <c r="PU3" s="165"/>
      <c r="PV3" s="165"/>
      <c r="PW3" s="165"/>
      <c r="PX3" s="165"/>
      <c r="PY3" s="165"/>
      <c r="PZ3" s="165"/>
      <c r="QA3" s="165"/>
      <c r="QB3" s="165"/>
      <c r="QC3" s="165"/>
      <c r="QD3" s="165"/>
      <c r="QE3" s="165"/>
      <c r="QF3" s="165"/>
      <c r="QG3" s="165"/>
      <c r="QH3" s="165"/>
      <c r="QI3" s="165"/>
      <c r="QJ3" s="165"/>
      <c r="QK3" s="165"/>
      <c r="QL3" s="165"/>
      <c r="QM3" s="165"/>
      <c r="QN3" s="165"/>
      <c r="QO3" s="165"/>
      <c r="QP3" s="165"/>
      <c r="QQ3" s="165"/>
      <c r="QR3" s="165"/>
      <c r="QS3" s="165"/>
      <c r="QT3" s="165"/>
      <c r="QU3" s="165"/>
      <c r="QV3" s="165"/>
      <c r="QW3" s="165"/>
      <c r="QX3" s="165"/>
      <c r="QY3" s="165"/>
      <c r="QZ3" s="165"/>
      <c r="RA3" s="165"/>
      <c r="RB3" s="165"/>
      <c r="RC3" s="165"/>
      <c r="RD3" s="165"/>
      <c r="RE3" s="165"/>
      <c r="RF3" s="165"/>
      <c r="RG3" s="165"/>
      <c r="RH3" s="165"/>
      <c r="RI3" s="165"/>
      <c r="RJ3" s="165"/>
      <c r="RK3" s="165"/>
      <c r="RL3" s="165"/>
      <c r="RM3" s="165"/>
      <c r="RN3" s="165"/>
      <c r="RO3" s="165"/>
      <c r="RP3" s="165"/>
      <c r="RQ3" s="165"/>
      <c r="RR3" s="165"/>
      <c r="RS3" s="165"/>
      <c r="RT3" s="165"/>
      <c r="RU3" s="165"/>
      <c r="RV3" s="165"/>
      <c r="RW3" s="165"/>
      <c r="RX3" s="165"/>
      <c r="RY3" s="165"/>
      <c r="RZ3" s="165"/>
      <c r="SA3" s="165"/>
      <c r="SB3" s="165"/>
      <c r="SC3" s="165"/>
      <c r="SD3" s="165"/>
      <c r="SE3" s="165"/>
      <c r="SF3" s="165"/>
      <c r="SG3" s="165"/>
      <c r="SH3" s="165"/>
      <c r="SI3" s="165"/>
      <c r="SJ3" s="165"/>
      <c r="SK3" s="165"/>
      <c r="SL3" s="165"/>
      <c r="SM3" s="165"/>
      <c r="SN3" s="165"/>
      <c r="SO3" s="165"/>
      <c r="SP3" s="165"/>
      <c r="SQ3" s="165"/>
      <c r="SR3" s="165"/>
      <c r="SS3" s="165"/>
      <c r="ST3" s="165"/>
      <c r="SU3" s="165"/>
      <c r="SV3" s="165"/>
      <c r="SW3" s="165"/>
      <c r="SX3" s="165"/>
      <c r="SY3" s="165"/>
      <c r="SZ3" s="165"/>
      <c r="TA3" s="165"/>
      <c r="TB3" s="165"/>
      <c r="TC3" s="165"/>
      <c r="TD3" s="165"/>
      <c r="TE3" s="165"/>
      <c r="TF3" s="165"/>
      <c r="TG3" s="165"/>
      <c r="TH3" s="165"/>
      <c r="TI3" s="165"/>
      <c r="TJ3" s="165"/>
      <c r="TK3" s="165"/>
      <c r="TL3" s="165"/>
      <c r="TM3" s="165"/>
      <c r="TN3" s="165"/>
      <c r="TO3" s="165"/>
      <c r="TP3" s="165"/>
      <c r="TQ3" s="165"/>
      <c r="TR3" s="165"/>
      <c r="TS3" s="165"/>
      <c r="TT3" s="165"/>
      <c r="TU3" s="165"/>
      <c r="TV3" s="165"/>
      <c r="TW3" s="165"/>
      <c r="TX3" s="165"/>
      <c r="TY3" s="165"/>
      <c r="TZ3" s="165"/>
      <c r="UA3" s="165"/>
      <c r="UB3" s="165"/>
      <c r="UC3" s="165"/>
      <c r="UD3" s="165"/>
      <c r="UE3" s="165"/>
      <c r="UF3" s="165"/>
      <c r="UG3" s="165"/>
      <c r="UH3" s="165"/>
      <c r="UI3" s="165"/>
      <c r="UJ3" s="165"/>
      <c r="UK3" s="165"/>
      <c r="UL3" s="165"/>
      <c r="UM3" s="165"/>
      <c r="UN3" s="165"/>
      <c r="UO3" s="165"/>
      <c r="UP3" s="165"/>
      <c r="UQ3" s="165"/>
      <c r="UR3" s="165"/>
      <c r="US3" s="165"/>
      <c r="UT3" s="165"/>
      <c r="UU3" s="165"/>
      <c r="UV3" s="165"/>
      <c r="UW3" s="165"/>
      <c r="UX3" s="165"/>
      <c r="UY3" s="165"/>
      <c r="UZ3" s="165"/>
      <c r="VA3" s="165"/>
      <c r="VB3" s="165"/>
      <c r="VC3" s="165"/>
      <c r="VD3" s="165"/>
      <c r="VE3" s="165"/>
      <c r="VF3" s="165"/>
      <c r="VG3" s="165"/>
      <c r="VH3" s="165"/>
      <c r="VI3" s="165"/>
      <c r="VJ3" s="165"/>
      <c r="VK3" s="165"/>
      <c r="VL3" s="165"/>
      <c r="VM3" s="165"/>
      <c r="VN3" s="165"/>
      <c r="VO3" s="165"/>
      <c r="VP3" s="165"/>
      <c r="VQ3" s="165"/>
      <c r="VR3" s="165"/>
      <c r="VS3" s="165"/>
      <c r="VT3" s="165"/>
      <c r="VU3" s="165"/>
      <c r="VV3" s="165"/>
      <c r="VW3" s="165"/>
      <c r="VX3" s="165"/>
      <c r="VY3" s="165"/>
      <c r="VZ3" s="165"/>
      <c r="WA3" s="165"/>
      <c r="WB3" s="165"/>
      <c r="WC3" s="165"/>
      <c r="WD3" s="165"/>
      <c r="WE3" s="165"/>
      <c r="WF3" s="165"/>
      <c r="WG3" s="165"/>
      <c r="WH3" s="165"/>
      <c r="WI3" s="165"/>
      <c r="WJ3" s="165"/>
      <c r="WK3" s="165"/>
      <c r="WL3" s="165"/>
      <c r="WM3" s="165"/>
      <c r="WN3" s="165"/>
      <c r="WO3" s="165"/>
      <c r="WP3" s="165"/>
      <c r="WQ3" s="165"/>
      <c r="WR3" s="165"/>
      <c r="WS3" s="165"/>
      <c r="WT3" s="165"/>
      <c r="WU3" s="165"/>
      <c r="WV3" s="165"/>
      <c r="WW3" s="165"/>
      <c r="WX3" s="165"/>
      <c r="WY3" s="165"/>
      <c r="WZ3" s="165"/>
      <c r="XA3" s="165"/>
      <c r="XB3" s="165"/>
      <c r="XC3" s="165"/>
      <c r="XD3" s="165"/>
      <c r="XE3" s="165"/>
      <c r="XF3" s="165"/>
      <c r="XG3" s="165"/>
      <c r="XH3" s="165"/>
      <c r="XI3" s="165"/>
      <c r="XJ3" s="165"/>
      <c r="XK3" s="165"/>
      <c r="XL3" s="165"/>
      <c r="XM3" s="165"/>
      <c r="XN3" s="165"/>
      <c r="XO3" s="165"/>
      <c r="XP3" s="165"/>
      <c r="XQ3" s="165"/>
      <c r="XR3" s="165"/>
      <c r="XS3" s="165"/>
      <c r="XT3" s="165"/>
      <c r="XU3" s="165"/>
      <c r="XV3" s="165"/>
      <c r="XW3" s="165"/>
      <c r="XX3" s="165"/>
      <c r="XY3" s="165"/>
      <c r="XZ3" s="165"/>
      <c r="YA3" s="165"/>
      <c r="YB3" s="165"/>
      <c r="YC3" s="165"/>
      <c r="YD3" s="165"/>
      <c r="YE3" s="165"/>
      <c r="YF3" s="165"/>
      <c r="YG3" s="165"/>
      <c r="YH3" s="165"/>
      <c r="YI3" s="165"/>
      <c r="YJ3" s="165"/>
      <c r="YK3" s="165"/>
      <c r="YL3" s="165"/>
      <c r="YM3" s="165"/>
      <c r="YN3" s="165"/>
      <c r="YO3" s="165"/>
      <c r="YP3" s="165"/>
      <c r="YQ3" s="165"/>
      <c r="YR3" s="165"/>
      <c r="YS3" s="165"/>
      <c r="YT3" s="165"/>
      <c r="YU3" s="165"/>
      <c r="YV3" s="165"/>
      <c r="YW3" s="165"/>
      <c r="YX3" s="165"/>
      <c r="YY3" s="165"/>
      <c r="YZ3" s="165"/>
      <c r="ZA3" s="165"/>
      <c r="ZB3" s="165"/>
      <c r="ZC3" s="165"/>
      <c r="ZD3" s="165"/>
      <c r="ZE3" s="165"/>
      <c r="ZF3" s="165"/>
      <c r="ZG3" s="165"/>
      <c r="ZH3" s="165"/>
      <c r="ZI3" s="165"/>
      <c r="ZJ3" s="165"/>
      <c r="ZK3" s="165"/>
      <c r="ZL3" s="165"/>
      <c r="ZM3" s="165"/>
      <c r="ZN3" s="165"/>
      <c r="ZO3" s="165"/>
      <c r="ZP3" s="165"/>
      <c r="ZQ3" s="165"/>
      <c r="ZR3" s="165"/>
      <c r="ZS3" s="165"/>
      <c r="ZT3" s="165"/>
      <c r="ZU3" s="165"/>
      <c r="ZV3" s="165"/>
      <c r="ZW3" s="165"/>
      <c r="ZX3" s="165"/>
      <c r="ZY3" s="165"/>
      <c r="ZZ3" s="165"/>
      <c r="AAA3" s="165"/>
      <c r="AAB3" s="165"/>
      <c r="AAC3" s="165"/>
      <c r="AAD3" s="165"/>
      <c r="AAE3" s="165"/>
      <c r="AAF3" s="165"/>
      <c r="AAG3" s="165"/>
      <c r="AAH3" s="165"/>
      <c r="AAI3" s="165"/>
      <c r="AAJ3" s="165"/>
      <c r="AAK3" s="165"/>
      <c r="AAL3" s="165"/>
      <c r="AAM3" s="165"/>
      <c r="AAN3" s="165"/>
      <c r="AAO3" s="165"/>
      <c r="AAP3" s="165"/>
      <c r="AAQ3" s="165"/>
      <c r="AAR3" s="165"/>
      <c r="AAS3" s="165"/>
      <c r="AAT3" s="165"/>
      <c r="AAU3" s="165"/>
      <c r="AAV3" s="165"/>
      <c r="AAW3" s="165"/>
      <c r="AAX3" s="165"/>
      <c r="AAY3" s="165"/>
      <c r="AAZ3" s="165"/>
      <c r="ABA3" s="165"/>
      <c r="ABB3" s="165"/>
      <c r="ABC3" s="165"/>
      <c r="ABD3" s="165"/>
      <c r="ABE3" s="165"/>
      <c r="ABF3" s="165"/>
      <c r="ABG3" s="165"/>
      <c r="ABH3" s="165"/>
      <c r="ABI3" s="165"/>
      <c r="ABJ3" s="165"/>
      <c r="ABK3" s="165"/>
      <c r="ABL3" s="165"/>
      <c r="ABM3" s="165"/>
      <c r="ABN3" s="165"/>
      <c r="ABO3" s="165"/>
      <c r="ABP3" s="165"/>
      <c r="ABQ3" s="165"/>
      <c r="ABR3" s="165"/>
      <c r="ABS3" s="165"/>
      <c r="ABT3" s="165"/>
      <c r="ABU3" s="165"/>
      <c r="ABV3" s="165"/>
      <c r="ABW3" s="165"/>
      <c r="ABX3" s="165"/>
      <c r="ABY3" s="165"/>
      <c r="ABZ3" s="165"/>
      <c r="ACA3" s="165"/>
      <c r="ACB3" s="165"/>
      <c r="ACC3" s="165"/>
      <c r="ACD3" s="165"/>
      <c r="ACE3" s="165"/>
      <c r="ACF3" s="165"/>
      <c r="ACG3" s="165"/>
      <c r="ACH3" s="165"/>
      <c r="ACI3" s="165"/>
      <c r="ACJ3" s="165"/>
      <c r="ACK3" s="165"/>
      <c r="ACL3" s="165"/>
      <c r="ACM3" s="165"/>
      <c r="ACN3" s="165"/>
      <c r="ACO3" s="165"/>
      <c r="ACP3" s="165"/>
      <c r="ACQ3" s="165"/>
      <c r="ACR3" s="165"/>
      <c r="ACS3" s="165"/>
      <c r="ACT3" s="165"/>
      <c r="ACU3" s="165"/>
      <c r="ACV3" s="165"/>
      <c r="ACW3" s="165"/>
      <c r="ACX3" s="165"/>
      <c r="ACY3" s="165"/>
      <c r="ACZ3" s="165"/>
      <c r="ADA3" s="165"/>
      <c r="ADB3" s="165"/>
      <c r="ADC3" s="165"/>
      <c r="ADD3" s="165"/>
      <c r="ADE3" s="165"/>
      <c r="ADF3" s="165"/>
      <c r="ADG3" s="165"/>
      <c r="ADH3" s="165"/>
      <c r="ADI3" s="165"/>
      <c r="ADJ3" s="165"/>
      <c r="ADK3" s="165"/>
      <c r="ADL3" s="165"/>
      <c r="ADM3" s="165"/>
      <c r="ADN3" s="165"/>
      <c r="ADO3" s="165"/>
      <c r="ADP3" s="165"/>
      <c r="ADQ3" s="165"/>
      <c r="ADR3" s="165"/>
      <c r="ADS3" s="165"/>
      <c r="ADT3" s="165"/>
      <c r="ADU3" s="165"/>
      <c r="ADV3" s="165"/>
      <c r="ADW3" s="165"/>
      <c r="ADX3" s="165"/>
      <c r="ADY3" s="165"/>
      <c r="ADZ3" s="165"/>
      <c r="AEA3" s="165"/>
      <c r="AEB3" s="165"/>
      <c r="AEC3" s="165"/>
      <c r="AED3" s="165"/>
      <c r="AEE3" s="165"/>
      <c r="AEF3" s="165"/>
      <c r="AEG3" s="165"/>
      <c r="AEH3" s="165"/>
      <c r="AEI3" s="165"/>
      <c r="AEJ3" s="165"/>
      <c r="AEK3" s="165"/>
      <c r="AEL3" s="165"/>
      <c r="AEM3" s="165"/>
      <c r="AEN3" s="165"/>
      <c r="AEO3" s="165"/>
      <c r="AEP3" s="165"/>
      <c r="AEQ3" s="165"/>
      <c r="AER3" s="165"/>
      <c r="AES3" s="165"/>
      <c r="AET3" s="165"/>
      <c r="AEU3" s="165"/>
      <c r="AEV3" s="165"/>
      <c r="AEW3" s="165"/>
      <c r="AEX3" s="165"/>
      <c r="AEY3" s="165"/>
      <c r="AEZ3" s="165"/>
      <c r="AFA3" s="165"/>
      <c r="AFB3" s="165"/>
      <c r="AFC3" s="165"/>
      <c r="AFD3" s="165"/>
      <c r="AFE3" s="165"/>
      <c r="AFF3" s="165"/>
      <c r="AFG3" s="165"/>
      <c r="AFH3" s="165"/>
      <c r="AFI3" s="165"/>
      <c r="AFJ3" s="165"/>
      <c r="AFK3" s="165"/>
      <c r="AFL3" s="165"/>
      <c r="AFM3" s="165"/>
      <c r="AFN3" s="165"/>
      <c r="AFO3" s="165"/>
      <c r="AFP3" s="165"/>
      <c r="AFQ3" s="165"/>
      <c r="AFR3" s="165"/>
      <c r="AFS3" s="165"/>
      <c r="AFT3" s="165"/>
      <c r="AFU3" s="165"/>
      <c r="AFV3" s="165"/>
      <c r="AFW3" s="165"/>
      <c r="AFX3" s="165"/>
      <c r="AFY3" s="165"/>
      <c r="AFZ3" s="165"/>
      <c r="AGA3" s="165"/>
      <c r="AGB3" s="165"/>
      <c r="AGC3" s="165"/>
      <c r="AGD3" s="165"/>
      <c r="AGE3" s="165"/>
      <c r="AGF3" s="165"/>
      <c r="AGG3" s="165"/>
      <c r="AGH3" s="165"/>
      <c r="AGI3" s="165"/>
      <c r="AGJ3" s="165"/>
      <c r="AGK3" s="165"/>
      <c r="AGL3" s="165"/>
      <c r="AGM3" s="165"/>
      <c r="AGN3" s="165"/>
      <c r="AGO3" s="165"/>
      <c r="AGP3" s="165"/>
      <c r="AGQ3" s="165"/>
      <c r="AGR3" s="165"/>
      <c r="AGS3" s="165"/>
      <c r="AGT3" s="165"/>
      <c r="AGU3" s="165"/>
      <c r="AGV3" s="165"/>
      <c r="AGW3" s="165"/>
      <c r="AGX3" s="165"/>
      <c r="AGY3" s="165"/>
      <c r="AGZ3" s="165"/>
      <c r="AHA3" s="165"/>
      <c r="AHB3" s="165"/>
      <c r="AHC3" s="165"/>
      <c r="AHD3" s="165"/>
      <c r="AHE3" s="165"/>
      <c r="AHF3" s="165"/>
      <c r="AHG3" s="165"/>
      <c r="AHH3" s="165"/>
      <c r="AHI3" s="165"/>
      <c r="AHJ3" s="165"/>
      <c r="AHK3" s="165"/>
      <c r="AHL3" s="165"/>
      <c r="AHM3" s="165"/>
      <c r="AHN3" s="165"/>
      <c r="AHO3" s="165"/>
      <c r="AHP3" s="165"/>
      <c r="AHQ3" s="165"/>
      <c r="AHR3" s="165"/>
      <c r="AHS3" s="165"/>
      <c r="AHT3" s="165"/>
      <c r="AHU3" s="165"/>
      <c r="AHV3" s="165"/>
      <c r="AHW3" s="165"/>
      <c r="AHX3" s="165"/>
      <c r="AHY3" s="165"/>
      <c r="AHZ3" s="165"/>
      <c r="AIA3" s="165"/>
      <c r="AIB3" s="165"/>
      <c r="AIC3" s="165"/>
      <c r="AID3" s="165"/>
      <c r="AIE3" s="165"/>
      <c r="AIF3" s="165"/>
      <c r="AIG3" s="165"/>
      <c r="AIH3" s="165"/>
      <c r="AII3" s="165"/>
      <c r="AIJ3" s="165"/>
      <c r="AIK3" s="165"/>
      <c r="AIL3" s="165"/>
      <c r="AIM3" s="165"/>
      <c r="AIN3" s="165"/>
      <c r="AIO3" s="165"/>
      <c r="AIP3" s="165"/>
      <c r="AIQ3" s="165"/>
      <c r="AIR3" s="165"/>
      <c r="AIS3" s="165"/>
      <c r="AIT3" s="165"/>
      <c r="AIU3" s="165"/>
      <c r="AIV3" s="165"/>
      <c r="AIW3" s="165"/>
      <c r="AIX3" s="165"/>
      <c r="AIY3" s="165"/>
      <c r="AIZ3" s="165"/>
      <c r="AJA3" s="165"/>
      <c r="AJB3" s="165"/>
      <c r="AJC3" s="165"/>
      <c r="AJD3" s="165"/>
      <c r="AJE3" s="165"/>
      <c r="AJF3" s="165"/>
      <c r="AJG3" s="165"/>
      <c r="AJH3" s="165"/>
      <c r="AJI3" s="165"/>
      <c r="AJJ3" s="165"/>
      <c r="AJK3" s="165"/>
      <c r="AJL3" s="165"/>
      <c r="AJM3" s="165"/>
      <c r="AJN3" s="165"/>
      <c r="AJO3" s="165"/>
      <c r="AJP3" s="165"/>
      <c r="AJQ3" s="165"/>
      <c r="AJR3" s="165"/>
      <c r="AJS3" s="165"/>
      <c r="AJT3" s="165"/>
      <c r="AJU3" s="165"/>
      <c r="AJV3" s="165"/>
      <c r="AJW3" s="165"/>
      <c r="AJX3" s="165"/>
      <c r="AJY3" s="165"/>
      <c r="AJZ3" s="165"/>
      <c r="AKA3" s="165"/>
      <c r="AKB3" s="165"/>
      <c r="AKC3" s="165"/>
      <c r="AKD3" s="165"/>
      <c r="AKE3" s="165"/>
      <c r="AKF3" s="165"/>
      <c r="AKG3" s="165"/>
      <c r="AKH3" s="165"/>
      <c r="AKI3" s="165"/>
      <c r="AKJ3" s="165"/>
      <c r="AKK3" s="165"/>
      <c r="AKL3" s="165"/>
      <c r="AKM3" s="165"/>
      <c r="AKN3" s="165"/>
      <c r="AKO3" s="165"/>
      <c r="AKP3" s="165"/>
      <c r="AKQ3" s="165"/>
      <c r="AKR3" s="165"/>
      <c r="AKS3" s="165"/>
      <c r="AKT3" s="165"/>
      <c r="AKU3" s="165"/>
      <c r="AKV3" s="165"/>
      <c r="AKW3" s="165"/>
      <c r="AKX3" s="165"/>
      <c r="AKY3" s="165"/>
      <c r="AKZ3" s="165"/>
      <c r="ALA3" s="165"/>
      <c r="ALB3" s="165"/>
      <c r="ALC3" s="165"/>
      <c r="ALD3" s="165"/>
      <c r="ALE3" s="165"/>
    </row>
    <row r="4" spans="1:993" s="163" customFormat="1" ht="14.1" customHeight="1">
      <c r="A4" s="517" t="s">
        <v>6295</v>
      </c>
      <c r="B4" s="518"/>
      <c r="C4" s="717" t="str">
        <f>+RESUMO!B5</f>
        <v>CONCLUSÃO DA CONSTRUÇÃO DO CENTRO DE ATENDIMENTO SÓCIO EDUCATIVO - CASE ITUMBIARA</v>
      </c>
      <c r="D4" s="718"/>
      <c r="E4" s="718"/>
      <c r="F4" s="718"/>
      <c r="G4" s="718"/>
      <c r="H4" s="718"/>
      <c r="I4" s="718"/>
      <c r="J4" s="719"/>
      <c r="K4" s="165"/>
      <c r="L4" s="165"/>
      <c r="M4" s="165"/>
      <c r="N4" s="165"/>
      <c r="O4" s="165"/>
      <c r="P4" s="259"/>
      <c r="Q4" s="165"/>
      <c r="R4" s="165"/>
      <c r="S4" s="165"/>
      <c r="T4" s="165"/>
      <c r="U4" s="165"/>
      <c r="V4" s="165"/>
      <c r="W4" s="165"/>
      <c r="X4" s="165"/>
      <c r="Y4" s="165"/>
      <c r="Z4" s="165"/>
      <c r="AA4" s="165"/>
      <c r="AB4" s="165"/>
      <c r="AC4" s="165"/>
      <c r="AD4" s="165"/>
      <c r="AE4" s="165"/>
      <c r="AF4" s="165"/>
      <c r="AG4" s="165"/>
      <c r="AH4" s="165"/>
      <c r="AI4" s="165"/>
      <c r="AJ4" s="165"/>
      <c r="AK4" s="165"/>
      <c r="AL4" s="165"/>
      <c r="AM4" s="165"/>
      <c r="AN4" s="165"/>
      <c r="AO4" s="165"/>
      <c r="AP4" s="165"/>
      <c r="AQ4" s="165"/>
      <c r="AR4" s="165"/>
      <c r="AS4" s="165"/>
      <c r="AT4" s="165"/>
      <c r="AU4" s="165"/>
      <c r="AV4" s="165"/>
      <c r="AW4" s="165"/>
      <c r="AX4" s="165"/>
      <c r="AY4" s="165"/>
      <c r="AZ4" s="165"/>
      <c r="BA4" s="165"/>
      <c r="BB4" s="165"/>
      <c r="BC4" s="165"/>
      <c r="BD4" s="165"/>
      <c r="BE4" s="165"/>
      <c r="BF4" s="165"/>
      <c r="BG4" s="165"/>
      <c r="BH4" s="165"/>
      <c r="BI4" s="165"/>
      <c r="BJ4" s="165"/>
      <c r="BK4" s="165"/>
      <c r="BL4" s="165"/>
      <c r="BM4" s="165"/>
      <c r="BN4" s="165"/>
      <c r="BO4" s="165"/>
      <c r="BP4" s="165"/>
      <c r="BQ4" s="165"/>
      <c r="BR4" s="165"/>
      <c r="BS4" s="165"/>
      <c r="BT4" s="165"/>
      <c r="BU4" s="165"/>
      <c r="BV4" s="165"/>
      <c r="BW4" s="165"/>
      <c r="BX4" s="165"/>
      <c r="BY4" s="165"/>
      <c r="BZ4" s="165"/>
      <c r="CA4" s="165"/>
      <c r="CB4" s="165"/>
      <c r="CC4" s="165"/>
      <c r="CD4" s="165"/>
      <c r="CE4" s="165"/>
      <c r="CF4" s="165"/>
      <c r="CG4" s="165"/>
      <c r="CH4" s="165"/>
      <c r="CI4" s="165"/>
      <c r="CJ4" s="165"/>
      <c r="CK4" s="165"/>
      <c r="CL4" s="165"/>
      <c r="CM4" s="165"/>
      <c r="CN4" s="165"/>
      <c r="CO4" s="165"/>
      <c r="CP4" s="165"/>
      <c r="CQ4" s="165"/>
      <c r="CR4" s="165"/>
      <c r="CS4" s="165"/>
      <c r="CT4" s="165"/>
      <c r="CU4" s="165"/>
      <c r="CV4" s="165"/>
      <c r="CW4" s="165"/>
      <c r="CX4" s="165"/>
      <c r="CY4" s="165"/>
      <c r="CZ4" s="165"/>
      <c r="DA4" s="165"/>
      <c r="DB4" s="165"/>
      <c r="DC4" s="165"/>
      <c r="DD4" s="165"/>
      <c r="DE4" s="165"/>
      <c r="DF4" s="165"/>
      <c r="DG4" s="165"/>
      <c r="DH4" s="165"/>
      <c r="DI4" s="165"/>
      <c r="DJ4" s="165"/>
      <c r="DK4" s="165"/>
      <c r="DL4" s="165"/>
      <c r="DM4" s="165"/>
      <c r="DN4" s="165"/>
      <c r="DO4" s="165"/>
      <c r="DP4" s="165"/>
      <c r="DQ4" s="165"/>
      <c r="DR4" s="165"/>
      <c r="DS4" s="165"/>
      <c r="DT4" s="165"/>
      <c r="DU4" s="165"/>
      <c r="DV4" s="165"/>
      <c r="DW4" s="165"/>
      <c r="DX4" s="165"/>
      <c r="DY4" s="165"/>
      <c r="DZ4" s="165"/>
      <c r="EA4" s="165"/>
      <c r="EB4" s="165"/>
      <c r="EC4" s="165"/>
      <c r="ED4" s="165"/>
      <c r="EE4" s="165"/>
      <c r="EF4" s="165"/>
      <c r="EG4" s="165"/>
      <c r="EH4" s="165"/>
      <c r="EI4" s="165"/>
      <c r="EJ4" s="165"/>
      <c r="EK4" s="165"/>
      <c r="EL4" s="165"/>
      <c r="EM4" s="165"/>
      <c r="EN4" s="165"/>
      <c r="EO4" s="165"/>
      <c r="EP4" s="165"/>
      <c r="EQ4" s="165"/>
      <c r="ER4" s="165"/>
      <c r="ES4" s="165"/>
      <c r="ET4" s="165"/>
      <c r="EU4" s="165"/>
      <c r="EV4" s="165"/>
      <c r="EW4" s="165"/>
      <c r="EX4" s="165"/>
      <c r="EY4" s="165"/>
      <c r="EZ4" s="165"/>
      <c r="FA4" s="165"/>
      <c r="FB4" s="165"/>
      <c r="FC4" s="165"/>
      <c r="FD4" s="165"/>
      <c r="FE4" s="165"/>
      <c r="FF4" s="165"/>
      <c r="FG4" s="165"/>
      <c r="FH4" s="165"/>
      <c r="FI4" s="165"/>
      <c r="FJ4" s="165"/>
      <c r="FK4" s="165"/>
      <c r="FL4" s="165"/>
      <c r="FM4" s="165"/>
      <c r="FN4" s="165"/>
      <c r="FO4" s="165"/>
      <c r="FP4" s="165"/>
      <c r="FQ4" s="165"/>
      <c r="FR4" s="165"/>
      <c r="FS4" s="165"/>
      <c r="FT4" s="165"/>
      <c r="FU4" s="165"/>
      <c r="FV4" s="165"/>
      <c r="FW4" s="165"/>
      <c r="FX4" s="165"/>
      <c r="FY4" s="165"/>
      <c r="FZ4" s="165"/>
      <c r="GA4" s="165"/>
      <c r="GB4" s="165"/>
      <c r="GC4" s="165"/>
      <c r="GD4" s="165"/>
      <c r="GE4" s="165"/>
      <c r="GF4" s="165"/>
      <c r="GG4" s="165"/>
      <c r="GH4" s="165"/>
      <c r="GI4" s="165"/>
      <c r="GJ4" s="165"/>
      <c r="GK4" s="165"/>
      <c r="GL4" s="165"/>
      <c r="GM4" s="165"/>
      <c r="GN4" s="165"/>
      <c r="GO4" s="165"/>
      <c r="GP4" s="165"/>
      <c r="GQ4" s="165"/>
      <c r="GR4" s="165"/>
      <c r="GS4" s="165"/>
      <c r="GT4" s="165"/>
      <c r="GU4" s="165"/>
      <c r="GV4" s="165"/>
      <c r="GW4" s="165"/>
      <c r="GX4" s="165"/>
      <c r="GY4" s="165"/>
      <c r="GZ4" s="165"/>
      <c r="HA4" s="165"/>
      <c r="HB4" s="165"/>
      <c r="HC4" s="165"/>
      <c r="HD4" s="165"/>
      <c r="HE4" s="165"/>
      <c r="HF4" s="165"/>
      <c r="HG4" s="165"/>
      <c r="HH4" s="165"/>
      <c r="HI4" s="165"/>
      <c r="HJ4" s="165"/>
      <c r="HK4" s="165"/>
      <c r="HL4" s="165"/>
      <c r="HM4" s="165"/>
      <c r="HN4" s="165"/>
      <c r="HO4" s="165"/>
      <c r="HP4" s="165"/>
      <c r="HQ4" s="165"/>
      <c r="HR4" s="165"/>
      <c r="HS4" s="165"/>
      <c r="HT4" s="165"/>
      <c r="HU4" s="165"/>
      <c r="HV4" s="165"/>
      <c r="HW4" s="165"/>
      <c r="HX4" s="165"/>
      <c r="HY4" s="165"/>
      <c r="HZ4" s="165"/>
      <c r="IA4" s="165"/>
      <c r="IB4" s="165"/>
      <c r="IC4" s="165"/>
      <c r="ID4" s="165"/>
      <c r="IE4" s="165"/>
      <c r="IF4" s="165"/>
      <c r="IG4" s="165"/>
      <c r="IH4" s="165"/>
      <c r="II4" s="165"/>
      <c r="IJ4" s="165"/>
      <c r="IK4" s="165"/>
      <c r="IL4" s="165"/>
      <c r="IM4" s="165"/>
      <c r="IN4" s="165"/>
      <c r="IO4" s="165"/>
      <c r="IP4" s="165"/>
      <c r="IQ4" s="165"/>
      <c r="IR4" s="165"/>
      <c r="IS4" s="165"/>
      <c r="IT4" s="165"/>
      <c r="IU4" s="165"/>
      <c r="IV4" s="165"/>
      <c r="IW4" s="165"/>
      <c r="IX4" s="165"/>
      <c r="IY4" s="165"/>
      <c r="IZ4" s="165"/>
      <c r="JA4" s="165"/>
      <c r="JB4" s="165"/>
      <c r="JC4" s="165"/>
      <c r="JD4" s="165"/>
      <c r="JE4" s="165"/>
      <c r="JF4" s="165"/>
      <c r="JG4" s="165"/>
      <c r="JH4" s="165"/>
      <c r="JI4" s="165"/>
      <c r="JJ4" s="165"/>
      <c r="JK4" s="165"/>
      <c r="JL4" s="165"/>
      <c r="JM4" s="165"/>
      <c r="JN4" s="165"/>
      <c r="JO4" s="165"/>
      <c r="JP4" s="165"/>
      <c r="JQ4" s="165"/>
      <c r="JR4" s="165"/>
      <c r="JS4" s="165"/>
      <c r="JT4" s="165"/>
      <c r="JU4" s="165"/>
      <c r="JV4" s="165"/>
      <c r="JW4" s="165"/>
      <c r="JX4" s="165"/>
      <c r="JY4" s="165"/>
      <c r="JZ4" s="165"/>
      <c r="KA4" s="165"/>
      <c r="KB4" s="165"/>
      <c r="KC4" s="165"/>
      <c r="KD4" s="165"/>
      <c r="KE4" s="165"/>
      <c r="KF4" s="165"/>
      <c r="KG4" s="165"/>
      <c r="KH4" s="165"/>
      <c r="KI4" s="165"/>
      <c r="KJ4" s="165"/>
      <c r="KK4" s="165"/>
      <c r="KL4" s="165"/>
      <c r="KM4" s="165"/>
      <c r="KN4" s="165"/>
      <c r="KO4" s="165"/>
      <c r="KP4" s="165"/>
      <c r="KQ4" s="165"/>
      <c r="KR4" s="165"/>
      <c r="KS4" s="165"/>
      <c r="KT4" s="165"/>
      <c r="KU4" s="165"/>
      <c r="KV4" s="165"/>
      <c r="KW4" s="165"/>
      <c r="KX4" s="165"/>
      <c r="KY4" s="165"/>
      <c r="KZ4" s="165"/>
      <c r="LA4" s="165"/>
      <c r="LB4" s="165"/>
      <c r="LC4" s="165"/>
      <c r="LD4" s="165"/>
      <c r="LE4" s="165"/>
      <c r="LF4" s="165"/>
      <c r="LG4" s="165"/>
      <c r="LH4" s="165"/>
      <c r="LI4" s="165"/>
      <c r="LJ4" s="165"/>
      <c r="LK4" s="165"/>
      <c r="LL4" s="165"/>
      <c r="LM4" s="165"/>
      <c r="LN4" s="165"/>
      <c r="LO4" s="165"/>
      <c r="LP4" s="165"/>
      <c r="LQ4" s="165"/>
      <c r="LR4" s="165"/>
      <c r="LS4" s="165"/>
      <c r="LT4" s="165"/>
      <c r="LU4" s="165"/>
      <c r="LV4" s="165"/>
      <c r="LW4" s="165"/>
      <c r="LX4" s="165"/>
      <c r="LY4" s="165"/>
      <c r="LZ4" s="165"/>
      <c r="MA4" s="165"/>
      <c r="MB4" s="165"/>
      <c r="MC4" s="165"/>
      <c r="MD4" s="165"/>
      <c r="ME4" s="165"/>
      <c r="MF4" s="165"/>
      <c r="MG4" s="165"/>
      <c r="MH4" s="165"/>
      <c r="MI4" s="165"/>
      <c r="MJ4" s="165"/>
      <c r="MK4" s="165"/>
      <c r="ML4" s="165"/>
      <c r="MM4" s="165"/>
      <c r="MN4" s="165"/>
      <c r="MO4" s="165"/>
      <c r="MP4" s="165"/>
      <c r="MQ4" s="165"/>
      <c r="MR4" s="165"/>
      <c r="MS4" s="165"/>
      <c r="MT4" s="165"/>
      <c r="MU4" s="165"/>
      <c r="MV4" s="165"/>
      <c r="MW4" s="165"/>
      <c r="MX4" s="165"/>
      <c r="MY4" s="165"/>
      <c r="MZ4" s="165"/>
      <c r="NA4" s="165"/>
      <c r="NB4" s="165"/>
      <c r="NC4" s="165"/>
      <c r="ND4" s="165"/>
      <c r="NE4" s="165"/>
      <c r="NF4" s="165"/>
      <c r="NG4" s="165"/>
      <c r="NH4" s="165"/>
      <c r="NI4" s="165"/>
      <c r="NJ4" s="165"/>
      <c r="NK4" s="165"/>
      <c r="NL4" s="165"/>
      <c r="NM4" s="165"/>
      <c r="NN4" s="165"/>
      <c r="NO4" s="165"/>
      <c r="NP4" s="165"/>
      <c r="NQ4" s="165"/>
      <c r="NR4" s="165"/>
      <c r="NS4" s="165"/>
      <c r="NT4" s="165"/>
      <c r="NU4" s="165"/>
      <c r="NV4" s="165"/>
      <c r="NW4" s="165"/>
      <c r="NX4" s="165"/>
      <c r="NY4" s="165"/>
      <c r="NZ4" s="165"/>
      <c r="OA4" s="165"/>
      <c r="OB4" s="165"/>
      <c r="OC4" s="165"/>
      <c r="OD4" s="165"/>
      <c r="OE4" s="165"/>
      <c r="OF4" s="165"/>
      <c r="OG4" s="165"/>
      <c r="OH4" s="165"/>
      <c r="OI4" s="165"/>
      <c r="OJ4" s="165"/>
      <c r="OK4" s="165"/>
      <c r="OL4" s="165"/>
      <c r="OM4" s="165"/>
      <c r="ON4" s="165"/>
      <c r="OO4" s="165"/>
      <c r="OP4" s="165"/>
      <c r="OQ4" s="165"/>
      <c r="OR4" s="165"/>
      <c r="OS4" s="165"/>
      <c r="OT4" s="165"/>
      <c r="OU4" s="165"/>
      <c r="OV4" s="165"/>
      <c r="OW4" s="165"/>
      <c r="OX4" s="165"/>
      <c r="OY4" s="165"/>
      <c r="OZ4" s="165"/>
      <c r="PA4" s="165"/>
      <c r="PB4" s="165"/>
      <c r="PC4" s="165"/>
      <c r="PD4" s="165"/>
      <c r="PE4" s="165"/>
      <c r="PF4" s="165"/>
      <c r="PG4" s="165"/>
      <c r="PH4" s="165"/>
      <c r="PI4" s="165"/>
      <c r="PJ4" s="165"/>
      <c r="PK4" s="165"/>
      <c r="PL4" s="165"/>
      <c r="PM4" s="165"/>
      <c r="PN4" s="165"/>
      <c r="PO4" s="165"/>
      <c r="PP4" s="165"/>
      <c r="PQ4" s="165"/>
      <c r="PR4" s="165"/>
      <c r="PS4" s="165"/>
      <c r="PT4" s="165"/>
      <c r="PU4" s="165"/>
      <c r="PV4" s="165"/>
      <c r="PW4" s="165"/>
      <c r="PX4" s="165"/>
      <c r="PY4" s="165"/>
      <c r="PZ4" s="165"/>
      <c r="QA4" s="165"/>
      <c r="QB4" s="165"/>
      <c r="QC4" s="165"/>
      <c r="QD4" s="165"/>
      <c r="QE4" s="165"/>
      <c r="QF4" s="165"/>
      <c r="QG4" s="165"/>
      <c r="QH4" s="165"/>
      <c r="QI4" s="165"/>
      <c r="QJ4" s="165"/>
      <c r="QK4" s="165"/>
      <c r="QL4" s="165"/>
      <c r="QM4" s="165"/>
      <c r="QN4" s="165"/>
      <c r="QO4" s="165"/>
      <c r="QP4" s="165"/>
      <c r="QQ4" s="165"/>
      <c r="QR4" s="165"/>
      <c r="QS4" s="165"/>
      <c r="QT4" s="165"/>
      <c r="QU4" s="165"/>
      <c r="QV4" s="165"/>
      <c r="QW4" s="165"/>
      <c r="QX4" s="165"/>
      <c r="QY4" s="165"/>
      <c r="QZ4" s="165"/>
      <c r="RA4" s="165"/>
      <c r="RB4" s="165"/>
      <c r="RC4" s="165"/>
      <c r="RD4" s="165"/>
      <c r="RE4" s="165"/>
      <c r="RF4" s="165"/>
      <c r="RG4" s="165"/>
      <c r="RH4" s="165"/>
      <c r="RI4" s="165"/>
      <c r="RJ4" s="165"/>
      <c r="RK4" s="165"/>
      <c r="RL4" s="165"/>
      <c r="RM4" s="165"/>
      <c r="RN4" s="165"/>
      <c r="RO4" s="165"/>
      <c r="RP4" s="165"/>
      <c r="RQ4" s="165"/>
      <c r="RR4" s="165"/>
      <c r="RS4" s="165"/>
      <c r="RT4" s="165"/>
      <c r="RU4" s="165"/>
      <c r="RV4" s="165"/>
      <c r="RW4" s="165"/>
      <c r="RX4" s="165"/>
      <c r="RY4" s="165"/>
      <c r="RZ4" s="165"/>
      <c r="SA4" s="165"/>
      <c r="SB4" s="165"/>
      <c r="SC4" s="165"/>
      <c r="SD4" s="165"/>
      <c r="SE4" s="165"/>
      <c r="SF4" s="165"/>
      <c r="SG4" s="165"/>
      <c r="SH4" s="165"/>
      <c r="SI4" s="165"/>
      <c r="SJ4" s="165"/>
      <c r="SK4" s="165"/>
      <c r="SL4" s="165"/>
      <c r="SM4" s="165"/>
      <c r="SN4" s="165"/>
      <c r="SO4" s="165"/>
      <c r="SP4" s="165"/>
      <c r="SQ4" s="165"/>
      <c r="SR4" s="165"/>
      <c r="SS4" s="165"/>
      <c r="ST4" s="165"/>
      <c r="SU4" s="165"/>
      <c r="SV4" s="165"/>
      <c r="SW4" s="165"/>
      <c r="SX4" s="165"/>
      <c r="SY4" s="165"/>
      <c r="SZ4" s="165"/>
      <c r="TA4" s="165"/>
      <c r="TB4" s="165"/>
      <c r="TC4" s="165"/>
      <c r="TD4" s="165"/>
      <c r="TE4" s="165"/>
      <c r="TF4" s="165"/>
      <c r="TG4" s="165"/>
      <c r="TH4" s="165"/>
      <c r="TI4" s="165"/>
      <c r="TJ4" s="165"/>
      <c r="TK4" s="165"/>
      <c r="TL4" s="165"/>
      <c r="TM4" s="165"/>
      <c r="TN4" s="165"/>
      <c r="TO4" s="165"/>
      <c r="TP4" s="165"/>
      <c r="TQ4" s="165"/>
      <c r="TR4" s="165"/>
      <c r="TS4" s="165"/>
      <c r="TT4" s="165"/>
      <c r="TU4" s="165"/>
      <c r="TV4" s="165"/>
      <c r="TW4" s="165"/>
      <c r="TX4" s="165"/>
      <c r="TY4" s="165"/>
      <c r="TZ4" s="165"/>
      <c r="UA4" s="165"/>
      <c r="UB4" s="165"/>
      <c r="UC4" s="165"/>
      <c r="UD4" s="165"/>
      <c r="UE4" s="165"/>
      <c r="UF4" s="165"/>
      <c r="UG4" s="165"/>
      <c r="UH4" s="165"/>
      <c r="UI4" s="165"/>
      <c r="UJ4" s="165"/>
      <c r="UK4" s="165"/>
      <c r="UL4" s="165"/>
      <c r="UM4" s="165"/>
      <c r="UN4" s="165"/>
      <c r="UO4" s="165"/>
      <c r="UP4" s="165"/>
      <c r="UQ4" s="165"/>
      <c r="UR4" s="165"/>
      <c r="US4" s="165"/>
      <c r="UT4" s="165"/>
      <c r="UU4" s="165"/>
      <c r="UV4" s="165"/>
      <c r="UW4" s="165"/>
      <c r="UX4" s="165"/>
      <c r="UY4" s="165"/>
      <c r="UZ4" s="165"/>
      <c r="VA4" s="165"/>
      <c r="VB4" s="165"/>
      <c r="VC4" s="165"/>
      <c r="VD4" s="165"/>
      <c r="VE4" s="165"/>
      <c r="VF4" s="165"/>
      <c r="VG4" s="165"/>
      <c r="VH4" s="165"/>
      <c r="VI4" s="165"/>
      <c r="VJ4" s="165"/>
      <c r="VK4" s="165"/>
      <c r="VL4" s="165"/>
      <c r="VM4" s="165"/>
      <c r="VN4" s="165"/>
      <c r="VO4" s="165"/>
      <c r="VP4" s="165"/>
      <c r="VQ4" s="165"/>
      <c r="VR4" s="165"/>
      <c r="VS4" s="165"/>
      <c r="VT4" s="165"/>
      <c r="VU4" s="165"/>
      <c r="VV4" s="165"/>
      <c r="VW4" s="165"/>
      <c r="VX4" s="165"/>
      <c r="VY4" s="165"/>
      <c r="VZ4" s="165"/>
      <c r="WA4" s="165"/>
      <c r="WB4" s="165"/>
      <c r="WC4" s="165"/>
      <c r="WD4" s="165"/>
      <c r="WE4" s="165"/>
      <c r="WF4" s="165"/>
      <c r="WG4" s="165"/>
      <c r="WH4" s="165"/>
      <c r="WI4" s="165"/>
      <c r="WJ4" s="165"/>
      <c r="WK4" s="165"/>
      <c r="WL4" s="165"/>
      <c r="WM4" s="165"/>
      <c r="WN4" s="165"/>
      <c r="WO4" s="165"/>
      <c r="WP4" s="165"/>
      <c r="WQ4" s="165"/>
      <c r="WR4" s="165"/>
      <c r="WS4" s="165"/>
      <c r="WT4" s="165"/>
      <c r="WU4" s="165"/>
      <c r="WV4" s="165"/>
      <c r="WW4" s="165"/>
      <c r="WX4" s="165"/>
      <c r="WY4" s="165"/>
      <c r="WZ4" s="165"/>
      <c r="XA4" s="165"/>
      <c r="XB4" s="165"/>
      <c r="XC4" s="165"/>
      <c r="XD4" s="165"/>
      <c r="XE4" s="165"/>
      <c r="XF4" s="165"/>
      <c r="XG4" s="165"/>
      <c r="XH4" s="165"/>
      <c r="XI4" s="165"/>
      <c r="XJ4" s="165"/>
      <c r="XK4" s="165"/>
      <c r="XL4" s="165"/>
      <c r="XM4" s="165"/>
      <c r="XN4" s="165"/>
      <c r="XO4" s="165"/>
      <c r="XP4" s="165"/>
      <c r="XQ4" s="165"/>
      <c r="XR4" s="165"/>
      <c r="XS4" s="165"/>
      <c r="XT4" s="165"/>
      <c r="XU4" s="165"/>
      <c r="XV4" s="165"/>
      <c r="XW4" s="165"/>
      <c r="XX4" s="165"/>
      <c r="XY4" s="165"/>
      <c r="XZ4" s="165"/>
      <c r="YA4" s="165"/>
      <c r="YB4" s="165"/>
      <c r="YC4" s="165"/>
      <c r="YD4" s="165"/>
      <c r="YE4" s="165"/>
      <c r="YF4" s="165"/>
      <c r="YG4" s="165"/>
      <c r="YH4" s="165"/>
      <c r="YI4" s="165"/>
      <c r="YJ4" s="165"/>
      <c r="YK4" s="165"/>
      <c r="YL4" s="165"/>
      <c r="YM4" s="165"/>
      <c r="YN4" s="165"/>
      <c r="YO4" s="165"/>
      <c r="YP4" s="165"/>
      <c r="YQ4" s="165"/>
      <c r="YR4" s="165"/>
      <c r="YS4" s="165"/>
      <c r="YT4" s="165"/>
      <c r="YU4" s="165"/>
      <c r="YV4" s="165"/>
      <c r="YW4" s="165"/>
      <c r="YX4" s="165"/>
      <c r="YY4" s="165"/>
      <c r="YZ4" s="165"/>
      <c r="ZA4" s="165"/>
      <c r="ZB4" s="165"/>
      <c r="ZC4" s="165"/>
      <c r="ZD4" s="165"/>
      <c r="ZE4" s="165"/>
      <c r="ZF4" s="165"/>
      <c r="ZG4" s="165"/>
      <c r="ZH4" s="165"/>
      <c r="ZI4" s="165"/>
      <c r="ZJ4" s="165"/>
      <c r="ZK4" s="165"/>
      <c r="ZL4" s="165"/>
      <c r="ZM4" s="165"/>
      <c r="ZN4" s="165"/>
      <c r="ZO4" s="165"/>
      <c r="ZP4" s="165"/>
      <c r="ZQ4" s="165"/>
      <c r="ZR4" s="165"/>
      <c r="ZS4" s="165"/>
      <c r="ZT4" s="165"/>
      <c r="ZU4" s="165"/>
      <c r="ZV4" s="165"/>
      <c r="ZW4" s="165"/>
      <c r="ZX4" s="165"/>
      <c r="ZY4" s="165"/>
      <c r="ZZ4" s="165"/>
      <c r="AAA4" s="165"/>
      <c r="AAB4" s="165"/>
      <c r="AAC4" s="165"/>
      <c r="AAD4" s="165"/>
      <c r="AAE4" s="165"/>
      <c r="AAF4" s="165"/>
      <c r="AAG4" s="165"/>
      <c r="AAH4" s="165"/>
      <c r="AAI4" s="165"/>
      <c r="AAJ4" s="165"/>
      <c r="AAK4" s="165"/>
      <c r="AAL4" s="165"/>
      <c r="AAM4" s="165"/>
      <c r="AAN4" s="165"/>
      <c r="AAO4" s="165"/>
      <c r="AAP4" s="165"/>
      <c r="AAQ4" s="165"/>
      <c r="AAR4" s="165"/>
      <c r="AAS4" s="165"/>
      <c r="AAT4" s="165"/>
      <c r="AAU4" s="165"/>
      <c r="AAV4" s="165"/>
      <c r="AAW4" s="165"/>
      <c r="AAX4" s="165"/>
      <c r="AAY4" s="165"/>
      <c r="AAZ4" s="165"/>
      <c r="ABA4" s="165"/>
      <c r="ABB4" s="165"/>
      <c r="ABC4" s="165"/>
      <c r="ABD4" s="165"/>
      <c r="ABE4" s="165"/>
      <c r="ABF4" s="165"/>
      <c r="ABG4" s="165"/>
      <c r="ABH4" s="165"/>
      <c r="ABI4" s="165"/>
      <c r="ABJ4" s="165"/>
      <c r="ABK4" s="165"/>
      <c r="ABL4" s="165"/>
      <c r="ABM4" s="165"/>
      <c r="ABN4" s="165"/>
      <c r="ABO4" s="165"/>
      <c r="ABP4" s="165"/>
      <c r="ABQ4" s="165"/>
      <c r="ABR4" s="165"/>
      <c r="ABS4" s="165"/>
      <c r="ABT4" s="165"/>
      <c r="ABU4" s="165"/>
      <c r="ABV4" s="165"/>
      <c r="ABW4" s="165"/>
      <c r="ABX4" s="165"/>
      <c r="ABY4" s="165"/>
      <c r="ABZ4" s="165"/>
      <c r="ACA4" s="165"/>
      <c r="ACB4" s="165"/>
      <c r="ACC4" s="165"/>
      <c r="ACD4" s="165"/>
      <c r="ACE4" s="165"/>
      <c r="ACF4" s="165"/>
      <c r="ACG4" s="165"/>
      <c r="ACH4" s="165"/>
      <c r="ACI4" s="165"/>
      <c r="ACJ4" s="165"/>
      <c r="ACK4" s="165"/>
      <c r="ACL4" s="165"/>
      <c r="ACM4" s="165"/>
      <c r="ACN4" s="165"/>
      <c r="ACO4" s="165"/>
      <c r="ACP4" s="165"/>
      <c r="ACQ4" s="165"/>
      <c r="ACR4" s="165"/>
      <c r="ACS4" s="165"/>
      <c r="ACT4" s="165"/>
      <c r="ACU4" s="165"/>
      <c r="ACV4" s="165"/>
      <c r="ACW4" s="165"/>
      <c r="ACX4" s="165"/>
      <c r="ACY4" s="165"/>
      <c r="ACZ4" s="165"/>
      <c r="ADA4" s="165"/>
      <c r="ADB4" s="165"/>
      <c r="ADC4" s="165"/>
      <c r="ADD4" s="165"/>
      <c r="ADE4" s="165"/>
      <c r="ADF4" s="165"/>
      <c r="ADG4" s="165"/>
      <c r="ADH4" s="165"/>
      <c r="ADI4" s="165"/>
      <c r="ADJ4" s="165"/>
      <c r="ADK4" s="165"/>
      <c r="ADL4" s="165"/>
      <c r="ADM4" s="165"/>
      <c r="ADN4" s="165"/>
      <c r="ADO4" s="165"/>
      <c r="ADP4" s="165"/>
      <c r="ADQ4" s="165"/>
      <c r="ADR4" s="165"/>
      <c r="ADS4" s="165"/>
      <c r="ADT4" s="165"/>
      <c r="ADU4" s="165"/>
      <c r="ADV4" s="165"/>
      <c r="ADW4" s="165"/>
      <c r="ADX4" s="165"/>
      <c r="ADY4" s="165"/>
      <c r="ADZ4" s="165"/>
      <c r="AEA4" s="165"/>
      <c r="AEB4" s="165"/>
      <c r="AEC4" s="165"/>
      <c r="AED4" s="165"/>
      <c r="AEE4" s="165"/>
      <c r="AEF4" s="165"/>
      <c r="AEG4" s="165"/>
      <c r="AEH4" s="165"/>
      <c r="AEI4" s="165"/>
      <c r="AEJ4" s="165"/>
      <c r="AEK4" s="165"/>
      <c r="AEL4" s="165"/>
      <c r="AEM4" s="165"/>
      <c r="AEN4" s="165"/>
      <c r="AEO4" s="165"/>
      <c r="AEP4" s="165"/>
      <c r="AEQ4" s="165"/>
      <c r="AER4" s="165"/>
      <c r="AES4" s="165"/>
      <c r="AET4" s="165"/>
      <c r="AEU4" s="165"/>
      <c r="AEV4" s="165"/>
      <c r="AEW4" s="165"/>
      <c r="AEX4" s="165"/>
      <c r="AEY4" s="165"/>
      <c r="AEZ4" s="165"/>
      <c r="AFA4" s="165"/>
      <c r="AFB4" s="165"/>
      <c r="AFC4" s="165"/>
      <c r="AFD4" s="165"/>
      <c r="AFE4" s="165"/>
      <c r="AFF4" s="165"/>
      <c r="AFG4" s="165"/>
      <c r="AFH4" s="165"/>
      <c r="AFI4" s="165"/>
      <c r="AFJ4" s="165"/>
      <c r="AFK4" s="165"/>
      <c r="AFL4" s="165"/>
      <c r="AFM4" s="165"/>
      <c r="AFN4" s="165"/>
      <c r="AFO4" s="165"/>
      <c r="AFP4" s="165"/>
      <c r="AFQ4" s="165"/>
      <c r="AFR4" s="165"/>
      <c r="AFS4" s="165"/>
      <c r="AFT4" s="165"/>
      <c r="AFU4" s="165"/>
      <c r="AFV4" s="165"/>
      <c r="AFW4" s="165"/>
      <c r="AFX4" s="165"/>
      <c r="AFY4" s="165"/>
      <c r="AFZ4" s="165"/>
      <c r="AGA4" s="165"/>
      <c r="AGB4" s="165"/>
      <c r="AGC4" s="165"/>
      <c r="AGD4" s="165"/>
      <c r="AGE4" s="165"/>
      <c r="AGF4" s="165"/>
      <c r="AGG4" s="165"/>
      <c r="AGH4" s="165"/>
      <c r="AGI4" s="165"/>
      <c r="AGJ4" s="165"/>
      <c r="AGK4" s="165"/>
      <c r="AGL4" s="165"/>
      <c r="AGM4" s="165"/>
      <c r="AGN4" s="165"/>
      <c r="AGO4" s="165"/>
      <c r="AGP4" s="165"/>
      <c r="AGQ4" s="165"/>
      <c r="AGR4" s="165"/>
      <c r="AGS4" s="165"/>
      <c r="AGT4" s="165"/>
      <c r="AGU4" s="165"/>
      <c r="AGV4" s="165"/>
      <c r="AGW4" s="165"/>
      <c r="AGX4" s="165"/>
      <c r="AGY4" s="165"/>
      <c r="AGZ4" s="165"/>
      <c r="AHA4" s="165"/>
      <c r="AHB4" s="165"/>
      <c r="AHC4" s="165"/>
      <c r="AHD4" s="165"/>
      <c r="AHE4" s="165"/>
      <c r="AHF4" s="165"/>
      <c r="AHG4" s="165"/>
      <c r="AHH4" s="165"/>
      <c r="AHI4" s="165"/>
      <c r="AHJ4" s="165"/>
      <c r="AHK4" s="165"/>
      <c r="AHL4" s="165"/>
      <c r="AHM4" s="165"/>
      <c r="AHN4" s="165"/>
      <c r="AHO4" s="165"/>
      <c r="AHP4" s="165"/>
      <c r="AHQ4" s="165"/>
      <c r="AHR4" s="165"/>
      <c r="AHS4" s="165"/>
      <c r="AHT4" s="165"/>
      <c r="AHU4" s="165"/>
      <c r="AHV4" s="165"/>
      <c r="AHW4" s="165"/>
      <c r="AHX4" s="165"/>
      <c r="AHY4" s="165"/>
      <c r="AHZ4" s="165"/>
      <c r="AIA4" s="165"/>
      <c r="AIB4" s="165"/>
      <c r="AIC4" s="165"/>
      <c r="AID4" s="165"/>
      <c r="AIE4" s="165"/>
      <c r="AIF4" s="165"/>
      <c r="AIG4" s="165"/>
      <c r="AIH4" s="165"/>
      <c r="AII4" s="165"/>
      <c r="AIJ4" s="165"/>
      <c r="AIK4" s="165"/>
      <c r="AIL4" s="165"/>
      <c r="AIM4" s="165"/>
      <c r="AIN4" s="165"/>
      <c r="AIO4" s="165"/>
      <c r="AIP4" s="165"/>
      <c r="AIQ4" s="165"/>
      <c r="AIR4" s="165"/>
      <c r="AIS4" s="165"/>
      <c r="AIT4" s="165"/>
      <c r="AIU4" s="165"/>
      <c r="AIV4" s="165"/>
      <c r="AIW4" s="165"/>
      <c r="AIX4" s="165"/>
      <c r="AIY4" s="165"/>
      <c r="AIZ4" s="165"/>
      <c r="AJA4" s="165"/>
      <c r="AJB4" s="165"/>
      <c r="AJC4" s="165"/>
      <c r="AJD4" s="165"/>
      <c r="AJE4" s="165"/>
      <c r="AJF4" s="165"/>
      <c r="AJG4" s="165"/>
      <c r="AJH4" s="165"/>
      <c r="AJI4" s="165"/>
      <c r="AJJ4" s="165"/>
      <c r="AJK4" s="165"/>
      <c r="AJL4" s="165"/>
      <c r="AJM4" s="165"/>
      <c r="AJN4" s="165"/>
      <c r="AJO4" s="165"/>
      <c r="AJP4" s="165"/>
      <c r="AJQ4" s="165"/>
      <c r="AJR4" s="165"/>
      <c r="AJS4" s="165"/>
      <c r="AJT4" s="165"/>
      <c r="AJU4" s="165"/>
      <c r="AJV4" s="165"/>
      <c r="AJW4" s="165"/>
      <c r="AJX4" s="165"/>
      <c r="AJY4" s="165"/>
      <c r="AJZ4" s="165"/>
      <c r="AKA4" s="165"/>
      <c r="AKB4" s="165"/>
      <c r="AKC4" s="165"/>
      <c r="AKD4" s="165"/>
      <c r="AKE4" s="165"/>
      <c r="AKF4" s="165"/>
      <c r="AKG4" s="165"/>
      <c r="AKH4" s="165"/>
      <c r="AKI4" s="165"/>
      <c r="AKJ4" s="165"/>
      <c r="AKK4" s="165"/>
      <c r="AKL4" s="165"/>
      <c r="AKM4" s="165"/>
      <c r="AKN4" s="165"/>
      <c r="AKO4" s="165"/>
      <c r="AKP4" s="165"/>
      <c r="AKQ4" s="165"/>
      <c r="AKR4" s="165"/>
      <c r="AKS4" s="165"/>
      <c r="AKT4" s="165"/>
      <c r="AKU4" s="165"/>
      <c r="AKV4" s="165"/>
      <c r="AKW4" s="165"/>
      <c r="AKX4" s="165"/>
      <c r="AKY4" s="165"/>
      <c r="AKZ4" s="165"/>
      <c r="ALA4" s="165"/>
      <c r="ALB4" s="165"/>
      <c r="ALC4" s="165"/>
    </row>
    <row r="5" spans="1:993" s="163" customFormat="1" ht="14.85" customHeight="1">
      <c r="A5" s="517" t="s">
        <v>6297</v>
      </c>
      <c r="B5" s="518"/>
      <c r="C5" s="631" t="str">
        <f>+RESUMO!B6</f>
        <v>SINAPI – NOVEMBRO/2020 (ONERADA)</v>
      </c>
      <c r="D5" s="632"/>
      <c r="E5" s="633"/>
      <c r="F5" s="633"/>
      <c r="G5" s="633"/>
      <c r="H5" s="633"/>
      <c r="I5" s="633"/>
      <c r="J5" s="634"/>
      <c r="K5" s="165"/>
      <c r="L5" s="165"/>
      <c r="M5" s="165"/>
      <c r="N5" s="165"/>
      <c r="O5" s="165"/>
      <c r="P5" s="259"/>
      <c r="Q5" s="165"/>
      <c r="R5" s="165"/>
      <c r="S5" s="165"/>
      <c r="T5" s="165"/>
      <c r="U5" s="165"/>
      <c r="V5" s="165"/>
      <c r="W5" s="165"/>
      <c r="X5" s="165"/>
      <c r="Y5" s="165"/>
      <c r="Z5" s="165"/>
      <c r="AA5" s="165"/>
      <c r="AB5" s="165"/>
      <c r="AC5" s="165"/>
      <c r="AD5" s="165"/>
      <c r="AE5" s="165"/>
      <c r="AF5" s="165"/>
      <c r="AG5" s="165"/>
      <c r="AH5" s="165"/>
      <c r="AI5" s="165"/>
      <c r="AJ5" s="165"/>
      <c r="AK5" s="165"/>
      <c r="AL5" s="165"/>
      <c r="AM5" s="165"/>
      <c r="AN5" s="165"/>
      <c r="AO5" s="165"/>
      <c r="AP5" s="165"/>
      <c r="AQ5" s="165"/>
      <c r="AR5" s="165"/>
      <c r="AS5" s="165"/>
      <c r="AT5" s="165"/>
      <c r="AU5" s="165"/>
      <c r="AV5" s="165"/>
      <c r="AW5" s="165"/>
      <c r="AX5" s="165"/>
      <c r="AY5" s="165"/>
      <c r="AZ5" s="165"/>
      <c r="BA5" s="165"/>
      <c r="BB5" s="165"/>
      <c r="BC5" s="165"/>
      <c r="BD5" s="165"/>
      <c r="BE5" s="165"/>
      <c r="BF5" s="165"/>
      <c r="BG5" s="165"/>
      <c r="BH5" s="165"/>
      <c r="BI5" s="165"/>
      <c r="BJ5" s="165"/>
      <c r="BK5" s="165"/>
      <c r="BL5" s="165"/>
      <c r="BM5" s="165"/>
      <c r="BN5" s="165"/>
      <c r="BO5" s="165"/>
      <c r="BP5" s="165"/>
      <c r="BQ5" s="165"/>
      <c r="BR5" s="165"/>
      <c r="BS5" s="165"/>
      <c r="BT5" s="165"/>
      <c r="BU5" s="165"/>
      <c r="BV5" s="165"/>
      <c r="BW5" s="165"/>
      <c r="BX5" s="165"/>
      <c r="BY5" s="165"/>
      <c r="BZ5" s="165"/>
      <c r="CA5" s="165"/>
      <c r="CB5" s="165"/>
      <c r="CC5" s="165"/>
      <c r="CD5" s="165"/>
      <c r="CE5" s="165"/>
      <c r="CF5" s="165"/>
      <c r="CG5" s="165"/>
      <c r="CH5" s="165"/>
      <c r="CI5" s="165"/>
      <c r="CJ5" s="165"/>
      <c r="CK5" s="165"/>
      <c r="CL5" s="165"/>
      <c r="CM5" s="165"/>
      <c r="CN5" s="165"/>
      <c r="CO5" s="165"/>
      <c r="CP5" s="165"/>
      <c r="CQ5" s="165"/>
      <c r="CR5" s="165"/>
      <c r="CS5" s="165"/>
      <c r="CT5" s="165"/>
      <c r="CU5" s="165"/>
      <c r="CV5" s="165"/>
      <c r="CW5" s="165"/>
      <c r="CX5" s="165"/>
      <c r="CY5" s="165"/>
      <c r="CZ5" s="165"/>
      <c r="DA5" s="165"/>
      <c r="DB5" s="165"/>
      <c r="DC5" s="165"/>
      <c r="DD5" s="165"/>
      <c r="DE5" s="165"/>
      <c r="DF5" s="165"/>
      <c r="DG5" s="165"/>
      <c r="DH5" s="165"/>
      <c r="DI5" s="165"/>
      <c r="DJ5" s="165"/>
      <c r="DK5" s="165"/>
      <c r="DL5" s="165"/>
      <c r="DM5" s="165"/>
      <c r="DN5" s="165"/>
      <c r="DO5" s="165"/>
      <c r="DP5" s="165"/>
      <c r="DQ5" s="165"/>
      <c r="DR5" s="165"/>
      <c r="DS5" s="165"/>
      <c r="DT5" s="165"/>
      <c r="DU5" s="165"/>
      <c r="DV5" s="165"/>
      <c r="DW5" s="165"/>
      <c r="DX5" s="165"/>
      <c r="DY5" s="165"/>
      <c r="DZ5" s="165"/>
      <c r="EA5" s="165"/>
      <c r="EB5" s="165"/>
      <c r="EC5" s="165"/>
      <c r="ED5" s="165"/>
      <c r="EE5" s="165"/>
      <c r="EF5" s="165"/>
      <c r="EG5" s="165"/>
      <c r="EH5" s="165"/>
      <c r="EI5" s="165"/>
      <c r="EJ5" s="165"/>
      <c r="EK5" s="165"/>
      <c r="EL5" s="165"/>
      <c r="EM5" s="165"/>
      <c r="EN5" s="165"/>
      <c r="EO5" s="165"/>
      <c r="EP5" s="165"/>
      <c r="EQ5" s="165"/>
      <c r="ER5" s="165"/>
      <c r="ES5" s="165"/>
      <c r="ET5" s="165"/>
      <c r="EU5" s="165"/>
      <c r="EV5" s="165"/>
      <c r="EW5" s="165"/>
      <c r="EX5" s="165"/>
      <c r="EY5" s="165"/>
      <c r="EZ5" s="165"/>
      <c r="FA5" s="165"/>
      <c r="FB5" s="165"/>
      <c r="FC5" s="165"/>
      <c r="FD5" s="165"/>
      <c r="FE5" s="165"/>
      <c r="FF5" s="165"/>
      <c r="FG5" s="165"/>
      <c r="FH5" s="165"/>
      <c r="FI5" s="165"/>
      <c r="FJ5" s="165"/>
      <c r="FK5" s="165"/>
      <c r="FL5" s="165"/>
      <c r="FM5" s="165"/>
      <c r="FN5" s="165"/>
      <c r="FO5" s="165"/>
      <c r="FP5" s="165"/>
      <c r="FQ5" s="165"/>
      <c r="FR5" s="165"/>
      <c r="FS5" s="165"/>
      <c r="FT5" s="165"/>
      <c r="FU5" s="165"/>
      <c r="FV5" s="165"/>
      <c r="FW5" s="165"/>
      <c r="FX5" s="165"/>
      <c r="FY5" s="165"/>
      <c r="FZ5" s="165"/>
      <c r="GA5" s="165"/>
      <c r="GB5" s="165"/>
      <c r="GC5" s="165"/>
      <c r="GD5" s="165"/>
      <c r="GE5" s="165"/>
      <c r="GF5" s="165"/>
      <c r="GG5" s="165"/>
      <c r="GH5" s="165"/>
      <c r="GI5" s="165"/>
      <c r="GJ5" s="165"/>
      <c r="GK5" s="165"/>
      <c r="GL5" s="165"/>
      <c r="GM5" s="165"/>
      <c r="GN5" s="165"/>
      <c r="GO5" s="165"/>
      <c r="GP5" s="165"/>
      <c r="GQ5" s="165"/>
      <c r="GR5" s="165"/>
      <c r="GS5" s="165"/>
      <c r="GT5" s="165"/>
      <c r="GU5" s="165"/>
      <c r="GV5" s="165"/>
      <c r="GW5" s="165"/>
      <c r="GX5" s="165"/>
      <c r="GY5" s="165"/>
      <c r="GZ5" s="165"/>
      <c r="HA5" s="165"/>
      <c r="HB5" s="165"/>
      <c r="HC5" s="165"/>
      <c r="HD5" s="165"/>
      <c r="HE5" s="165"/>
      <c r="HF5" s="165"/>
      <c r="HG5" s="165"/>
      <c r="HH5" s="165"/>
      <c r="HI5" s="165"/>
      <c r="HJ5" s="165"/>
      <c r="HK5" s="165"/>
      <c r="HL5" s="165"/>
      <c r="HM5" s="165"/>
      <c r="HN5" s="165"/>
      <c r="HO5" s="165"/>
      <c r="HP5" s="165"/>
      <c r="HQ5" s="165"/>
      <c r="HR5" s="165"/>
      <c r="HS5" s="165"/>
      <c r="HT5" s="165"/>
      <c r="HU5" s="165"/>
      <c r="HV5" s="165"/>
      <c r="HW5" s="165"/>
      <c r="HX5" s="165"/>
      <c r="HY5" s="165"/>
      <c r="HZ5" s="165"/>
      <c r="IA5" s="165"/>
      <c r="IB5" s="165"/>
      <c r="IC5" s="165"/>
      <c r="ID5" s="165"/>
      <c r="IE5" s="165"/>
      <c r="IF5" s="165"/>
      <c r="IG5" s="165"/>
      <c r="IH5" s="165"/>
      <c r="II5" s="165"/>
      <c r="IJ5" s="165"/>
      <c r="IK5" s="165"/>
      <c r="IL5" s="165"/>
      <c r="IM5" s="165"/>
      <c r="IN5" s="165"/>
      <c r="IO5" s="165"/>
      <c r="IP5" s="165"/>
      <c r="IQ5" s="165"/>
      <c r="IR5" s="165"/>
      <c r="IS5" s="165"/>
      <c r="IT5" s="165"/>
      <c r="IU5" s="165"/>
      <c r="IV5" s="165"/>
      <c r="IW5" s="165"/>
      <c r="IX5" s="165"/>
      <c r="IY5" s="165"/>
      <c r="IZ5" s="165"/>
      <c r="JA5" s="165"/>
      <c r="JB5" s="165"/>
      <c r="JC5" s="165"/>
      <c r="JD5" s="165"/>
      <c r="JE5" s="165"/>
      <c r="JF5" s="165"/>
      <c r="JG5" s="165"/>
      <c r="JH5" s="165"/>
      <c r="JI5" s="165"/>
      <c r="JJ5" s="165"/>
      <c r="JK5" s="165"/>
      <c r="JL5" s="165"/>
      <c r="JM5" s="165"/>
      <c r="JN5" s="165"/>
      <c r="JO5" s="165"/>
      <c r="JP5" s="165"/>
      <c r="JQ5" s="165"/>
      <c r="JR5" s="165"/>
      <c r="JS5" s="165"/>
      <c r="JT5" s="165"/>
      <c r="JU5" s="165"/>
      <c r="JV5" s="165"/>
      <c r="JW5" s="165"/>
      <c r="JX5" s="165"/>
      <c r="JY5" s="165"/>
      <c r="JZ5" s="165"/>
      <c r="KA5" s="165"/>
      <c r="KB5" s="165"/>
      <c r="KC5" s="165"/>
      <c r="KD5" s="165"/>
      <c r="KE5" s="165"/>
      <c r="KF5" s="165"/>
      <c r="KG5" s="165"/>
      <c r="KH5" s="165"/>
      <c r="KI5" s="165"/>
      <c r="KJ5" s="165"/>
      <c r="KK5" s="165"/>
      <c r="KL5" s="165"/>
      <c r="KM5" s="165"/>
      <c r="KN5" s="165"/>
      <c r="KO5" s="165"/>
      <c r="KP5" s="165"/>
      <c r="KQ5" s="165"/>
      <c r="KR5" s="165"/>
      <c r="KS5" s="165"/>
      <c r="KT5" s="165"/>
      <c r="KU5" s="165"/>
      <c r="KV5" s="165"/>
      <c r="KW5" s="165"/>
      <c r="KX5" s="165"/>
      <c r="KY5" s="165"/>
      <c r="KZ5" s="165"/>
      <c r="LA5" s="165"/>
      <c r="LB5" s="165"/>
      <c r="LC5" s="165"/>
      <c r="LD5" s="165"/>
      <c r="LE5" s="165"/>
      <c r="LF5" s="165"/>
      <c r="LG5" s="165"/>
      <c r="LH5" s="165"/>
      <c r="LI5" s="165"/>
      <c r="LJ5" s="165"/>
      <c r="LK5" s="165"/>
      <c r="LL5" s="165"/>
      <c r="LM5" s="165"/>
      <c r="LN5" s="165"/>
      <c r="LO5" s="165"/>
      <c r="LP5" s="165"/>
      <c r="LQ5" s="165"/>
      <c r="LR5" s="165"/>
      <c r="LS5" s="165"/>
      <c r="LT5" s="165"/>
      <c r="LU5" s="165"/>
      <c r="LV5" s="165"/>
      <c r="LW5" s="165"/>
      <c r="LX5" s="165"/>
      <c r="LY5" s="165"/>
      <c r="LZ5" s="165"/>
      <c r="MA5" s="165"/>
      <c r="MB5" s="165"/>
      <c r="MC5" s="165"/>
      <c r="MD5" s="165"/>
      <c r="ME5" s="165"/>
      <c r="MF5" s="165"/>
      <c r="MG5" s="165"/>
      <c r="MH5" s="165"/>
      <c r="MI5" s="165"/>
      <c r="MJ5" s="165"/>
      <c r="MK5" s="165"/>
      <c r="ML5" s="165"/>
      <c r="MM5" s="165"/>
      <c r="MN5" s="165"/>
      <c r="MO5" s="165"/>
      <c r="MP5" s="165"/>
      <c r="MQ5" s="165"/>
      <c r="MR5" s="165"/>
      <c r="MS5" s="165"/>
      <c r="MT5" s="165"/>
      <c r="MU5" s="165"/>
      <c r="MV5" s="165"/>
      <c r="MW5" s="165"/>
      <c r="MX5" s="165"/>
      <c r="MY5" s="165"/>
      <c r="MZ5" s="165"/>
      <c r="NA5" s="165"/>
      <c r="NB5" s="165"/>
      <c r="NC5" s="165"/>
      <c r="ND5" s="165"/>
      <c r="NE5" s="165"/>
      <c r="NF5" s="165"/>
      <c r="NG5" s="165"/>
      <c r="NH5" s="165"/>
      <c r="NI5" s="165"/>
      <c r="NJ5" s="165"/>
      <c r="NK5" s="165"/>
      <c r="NL5" s="165"/>
      <c r="NM5" s="165"/>
      <c r="NN5" s="165"/>
      <c r="NO5" s="165"/>
      <c r="NP5" s="165"/>
      <c r="NQ5" s="165"/>
      <c r="NR5" s="165"/>
      <c r="NS5" s="165"/>
      <c r="NT5" s="165"/>
      <c r="NU5" s="165"/>
      <c r="NV5" s="165"/>
      <c r="NW5" s="165"/>
      <c r="NX5" s="165"/>
      <c r="NY5" s="165"/>
      <c r="NZ5" s="165"/>
      <c r="OA5" s="165"/>
      <c r="OB5" s="165"/>
      <c r="OC5" s="165"/>
      <c r="OD5" s="165"/>
      <c r="OE5" s="165"/>
      <c r="OF5" s="165"/>
      <c r="OG5" s="165"/>
      <c r="OH5" s="165"/>
      <c r="OI5" s="165"/>
      <c r="OJ5" s="165"/>
      <c r="OK5" s="165"/>
      <c r="OL5" s="165"/>
      <c r="OM5" s="165"/>
      <c r="ON5" s="165"/>
      <c r="OO5" s="165"/>
      <c r="OP5" s="165"/>
      <c r="OQ5" s="165"/>
      <c r="OR5" s="165"/>
      <c r="OS5" s="165"/>
      <c r="OT5" s="165"/>
      <c r="OU5" s="165"/>
      <c r="OV5" s="165"/>
      <c r="OW5" s="165"/>
      <c r="OX5" s="165"/>
      <c r="OY5" s="165"/>
      <c r="OZ5" s="165"/>
      <c r="PA5" s="165"/>
      <c r="PB5" s="165"/>
      <c r="PC5" s="165"/>
      <c r="PD5" s="165"/>
      <c r="PE5" s="165"/>
      <c r="PF5" s="165"/>
      <c r="PG5" s="165"/>
      <c r="PH5" s="165"/>
      <c r="PI5" s="165"/>
      <c r="PJ5" s="165"/>
      <c r="PK5" s="165"/>
      <c r="PL5" s="165"/>
      <c r="PM5" s="165"/>
      <c r="PN5" s="165"/>
      <c r="PO5" s="165"/>
      <c r="PP5" s="165"/>
      <c r="PQ5" s="165"/>
      <c r="PR5" s="165"/>
      <c r="PS5" s="165"/>
      <c r="PT5" s="165"/>
      <c r="PU5" s="165"/>
      <c r="PV5" s="165"/>
      <c r="PW5" s="165"/>
      <c r="PX5" s="165"/>
      <c r="PY5" s="165"/>
      <c r="PZ5" s="165"/>
      <c r="QA5" s="165"/>
      <c r="QB5" s="165"/>
      <c r="QC5" s="165"/>
      <c r="QD5" s="165"/>
      <c r="QE5" s="165"/>
      <c r="QF5" s="165"/>
      <c r="QG5" s="165"/>
      <c r="QH5" s="165"/>
      <c r="QI5" s="165"/>
      <c r="QJ5" s="165"/>
      <c r="QK5" s="165"/>
      <c r="QL5" s="165"/>
      <c r="QM5" s="165"/>
      <c r="QN5" s="165"/>
      <c r="QO5" s="165"/>
      <c r="QP5" s="165"/>
      <c r="QQ5" s="165"/>
      <c r="QR5" s="165"/>
      <c r="QS5" s="165"/>
      <c r="QT5" s="165"/>
      <c r="QU5" s="165"/>
      <c r="QV5" s="165"/>
      <c r="QW5" s="165"/>
      <c r="QX5" s="165"/>
      <c r="QY5" s="165"/>
      <c r="QZ5" s="165"/>
      <c r="RA5" s="165"/>
      <c r="RB5" s="165"/>
      <c r="RC5" s="165"/>
      <c r="RD5" s="165"/>
      <c r="RE5" s="165"/>
      <c r="RF5" s="165"/>
      <c r="RG5" s="165"/>
      <c r="RH5" s="165"/>
      <c r="RI5" s="165"/>
      <c r="RJ5" s="165"/>
      <c r="RK5" s="165"/>
      <c r="RL5" s="165"/>
      <c r="RM5" s="165"/>
      <c r="RN5" s="165"/>
      <c r="RO5" s="165"/>
      <c r="RP5" s="165"/>
      <c r="RQ5" s="165"/>
      <c r="RR5" s="165"/>
      <c r="RS5" s="165"/>
      <c r="RT5" s="165"/>
      <c r="RU5" s="165"/>
      <c r="RV5" s="165"/>
      <c r="RW5" s="165"/>
      <c r="RX5" s="165"/>
      <c r="RY5" s="165"/>
      <c r="RZ5" s="165"/>
      <c r="SA5" s="165"/>
      <c r="SB5" s="165"/>
      <c r="SC5" s="165"/>
      <c r="SD5" s="165"/>
      <c r="SE5" s="165"/>
      <c r="SF5" s="165"/>
      <c r="SG5" s="165"/>
      <c r="SH5" s="165"/>
      <c r="SI5" s="165"/>
      <c r="SJ5" s="165"/>
      <c r="SK5" s="165"/>
      <c r="SL5" s="165"/>
      <c r="SM5" s="165"/>
      <c r="SN5" s="165"/>
      <c r="SO5" s="165"/>
      <c r="SP5" s="165"/>
      <c r="SQ5" s="165"/>
      <c r="SR5" s="165"/>
      <c r="SS5" s="165"/>
      <c r="ST5" s="165"/>
      <c r="SU5" s="165"/>
      <c r="SV5" s="165"/>
      <c r="SW5" s="165"/>
      <c r="SX5" s="165"/>
      <c r="SY5" s="165"/>
      <c r="SZ5" s="165"/>
      <c r="TA5" s="165"/>
      <c r="TB5" s="165"/>
      <c r="TC5" s="165"/>
      <c r="TD5" s="165"/>
      <c r="TE5" s="165"/>
      <c r="TF5" s="165"/>
      <c r="TG5" s="165"/>
      <c r="TH5" s="165"/>
      <c r="TI5" s="165"/>
      <c r="TJ5" s="165"/>
      <c r="TK5" s="165"/>
      <c r="TL5" s="165"/>
      <c r="TM5" s="165"/>
      <c r="TN5" s="165"/>
      <c r="TO5" s="165"/>
      <c r="TP5" s="165"/>
      <c r="TQ5" s="165"/>
      <c r="TR5" s="165"/>
      <c r="TS5" s="165"/>
      <c r="TT5" s="165"/>
      <c r="TU5" s="165"/>
      <c r="TV5" s="165"/>
      <c r="TW5" s="165"/>
      <c r="TX5" s="165"/>
      <c r="TY5" s="165"/>
      <c r="TZ5" s="165"/>
      <c r="UA5" s="165"/>
      <c r="UB5" s="165"/>
      <c r="UC5" s="165"/>
      <c r="UD5" s="165"/>
      <c r="UE5" s="165"/>
      <c r="UF5" s="165"/>
      <c r="UG5" s="165"/>
      <c r="UH5" s="165"/>
      <c r="UI5" s="165"/>
      <c r="UJ5" s="165"/>
      <c r="UK5" s="165"/>
      <c r="UL5" s="165"/>
      <c r="UM5" s="165"/>
      <c r="UN5" s="165"/>
      <c r="UO5" s="165"/>
      <c r="UP5" s="165"/>
      <c r="UQ5" s="165"/>
      <c r="UR5" s="165"/>
      <c r="US5" s="165"/>
      <c r="UT5" s="165"/>
      <c r="UU5" s="165"/>
      <c r="UV5" s="165"/>
      <c r="UW5" s="165"/>
      <c r="UX5" s="165"/>
      <c r="UY5" s="165"/>
      <c r="UZ5" s="165"/>
      <c r="VA5" s="165"/>
      <c r="VB5" s="165"/>
      <c r="VC5" s="165"/>
      <c r="VD5" s="165"/>
      <c r="VE5" s="165"/>
      <c r="VF5" s="165"/>
      <c r="VG5" s="165"/>
      <c r="VH5" s="165"/>
      <c r="VI5" s="165"/>
      <c r="VJ5" s="165"/>
      <c r="VK5" s="165"/>
      <c r="VL5" s="165"/>
      <c r="VM5" s="165"/>
      <c r="VN5" s="165"/>
      <c r="VO5" s="165"/>
      <c r="VP5" s="165"/>
      <c r="VQ5" s="165"/>
      <c r="VR5" s="165"/>
      <c r="VS5" s="165"/>
      <c r="VT5" s="165"/>
      <c r="VU5" s="165"/>
      <c r="VV5" s="165"/>
      <c r="VW5" s="165"/>
      <c r="VX5" s="165"/>
      <c r="VY5" s="165"/>
      <c r="VZ5" s="165"/>
      <c r="WA5" s="165"/>
      <c r="WB5" s="165"/>
      <c r="WC5" s="165"/>
      <c r="WD5" s="165"/>
      <c r="WE5" s="165"/>
      <c r="WF5" s="165"/>
      <c r="WG5" s="165"/>
      <c r="WH5" s="165"/>
      <c r="WI5" s="165"/>
      <c r="WJ5" s="165"/>
      <c r="WK5" s="165"/>
      <c r="WL5" s="165"/>
      <c r="WM5" s="165"/>
      <c r="WN5" s="165"/>
      <c r="WO5" s="165"/>
      <c r="WP5" s="165"/>
      <c r="WQ5" s="165"/>
      <c r="WR5" s="165"/>
      <c r="WS5" s="165"/>
      <c r="WT5" s="165"/>
      <c r="WU5" s="165"/>
      <c r="WV5" s="165"/>
      <c r="WW5" s="165"/>
      <c r="WX5" s="165"/>
      <c r="WY5" s="165"/>
      <c r="WZ5" s="165"/>
      <c r="XA5" s="165"/>
      <c r="XB5" s="165"/>
      <c r="XC5" s="165"/>
      <c r="XD5" s="165"/>
      <c r="XE5" s="165"/>
      <c r="XF5" s="165"/>
      <c r="XG5" s="165"/>
      <c r="XH5" s="165"/>
      <c r="XI5" s="165"/>
      <c r="XJ5" s="165"/>
      <c r="XK5" s="165"/>
      <c r="XL5" s="165"/>
      <c r="XM5" s="165"/>
      <c r="XN5" s="165"/>
      <c r="XO5" s="165"/>
      <c r="XP5" s="165"/>
      <c r="XQ5" s="165"/>
      <c r="XR5" s="165"/>
      <c r="XS5" s="165"/>
      <c r="XT5" s="165"/>
      <c r="XU5" s="165"/>
      <c r="XV5" s="165"/>
      <c r="XW5" s="165"/>
      <c r="XX5" s="165"/>
      <c r="XY5" s="165"/>
      <c r="XZ5" s="165"/>
      <c r="YA5" s="165"/>
      <c r="YB5" s="165"/>
      <c r="YC5" s="165"/>
      <c r="YD5" s="165"/>
      <c r="YE5" s="165"/>
      <c r="YF5" s="165"/>
      <c r="YG5" s="165"/>
      <c r="YH5" s="165"/>
      <c r="YI5" s="165"/>
      <c r="YJ5" s="165"/>
      <c r="YK5" s="165"/>
      <c r="YL5" s="165"/>
      <c r="YM5" s="165"/>
      <c r="YN5" s="165"/>
      <c r="YO5" s="165"/>
      <c r="YP5" s="165"/>
      <c r="YQ5" s="165"/>
      <c r="YR5" s="165"/>
      <c r="YS5" s="165"/>
      <c r="YT5" s="165"/>
      <c r="YU5" s="165"/>
      <c r="YV5" s="165"/>
      <c r="YW5" s="165"/>
      <c r="YX5" s="165"/>
      <c r="YY5" s="165"/>
      <c r="YZ5" s="165"/>
      <c r="ZA5" s="165"/>
      <c r="ZB5" s="165"/>
      <c r="ZC5" s="165"/>
      <c r="ZD5" s="165"/>
      <c r="ZE5" s="165"/>
      <c r="ZF5" s="165"/>
      <c r="ZG5" s="165"/>
      <c r="ZH5" s="165"/>
      <c r="ZI5" s="165"/>
      <c r="ZJ5" s="165"/>
      <c r="ZK5" s="165"/>
      <c r="ZL5" s="165"/>
      <c r="ZM5" s="165"/>
      <c r="ZN5" s="165"/>
      <c r="ZO5" s="165"/>
      <c r="ZP5" s="165"/>
      <c r="ZQ5" s="165"/>
      <c r="ZR5" s="165"/>
      <c r="ZS5" s="165"/>
      <c r="ZT5" s="165"/>
      <c r="ZU5" s="165"/>
      <c r="ZV5" s="165"/>
      <c r="ZW5" s="165"/>
      <c r="ZX5" s="165"/>
      <c r="ZY5" s="165"/>
      <c r="ZZ5" s="165"/>
      <c r="AAA5" s="165"/>
      <c r="AAB5" s="165"/>
      <c r="AAC5" s="165"/>
      <c r="AAD5" s="165"/>
      <c r="AAE5" s="165"/>
      <c r="AAF5" s="165"/>
      <c r="AAG5" s="165"/>
      <c r="AAH5" s="165"/>
      <c r="AAI5" s="165"/>
      <c r="AAJ5" s="165"/>
      <c r="AAK5" s="165"/>
      <c r="AAL5" s="165"/>
      <c r="AAM5" s="165"/>
      <c r="AAN5" s="165"/>
      <c r="AAO5" s="165"/>
      <c r="AAP5" s="165"/>
      <c r="AAQ5" s="165"/>
      <c r="AAR5" s="165"/>
      <c r="AAS5" s="165"/>
      <c r="AAT5" s="165"/>
      <c r="AAU5" s="165"/>
      <c r="AAV5" s="165"/>
      <c r="AAW5" s="165"/>
      <c r="AAX5" s="165"/>
      <c r="AAY5" s="165"/>
      <c r="AAZ5" s="165"/>
      <c r="ABA5" s="165"/>
      <c r="ABB5" s="165"/>
      <c r="ABC5" s="165"/>
      <c r="ABD5" s="165"/>
      <c r="ABE5" s="165"/>
      <c r="ABF5" s="165"/>
      <c r="ABG5" s="165"/>
      <c r="ABH5" s="165"/>
      <c r="ABI5" s="165"/>
      <c r="ABJ5" s="165"/>
      <c r="ABK5" s="165"/>
      <c r="ABL5" s="165"/>
      <c r="ABM5" s="165"/>
      <c r="ABN5" s="165"/>
      <c r="ABO5" s="165"/>
      <c r="ABP5" s="165"/>
      <c r="ABQ5" s="165"/>
      <c r="ABR5" s="165"/>
      <c r="ABS5" s="165"/>
      <c r="ABT5" s="165"/>
      <c r="ABU5" s="165"/>
      <c r="ABV5" s="165"/>
      <c r="ABW5" s="165"/>
      <c r="ABX5" s="165"/>
      <c r="ABY5" s="165"/>
      <c r="ABZ5" s="165"/>
      <c r="ACA5" s="165"/>
      <c r="ACB5" s="165"/>
      <c r="ACC5" s="165"/>
      <c r="ACD5" s="165"/>
      <c r="ACE5" s="165"/>
      <c r="ACF5" s="165"/>
      <c r="ACG5" s="165"/>
      <c r="ACH5" s="165"/>
      <c r="ACI5" s="165"/>
      <c r="ACJ5" s="165"/>
      <c r="ACK5" s="165"/>
      <c r="ACL5" s="165"/>
      <c r="ACM5" s="165"/>
      <c r="ACN5" s="165"/>
      <c r="ACO5" s="165"/>
      <c r="ACP5" s="165"/>
      <c r="ACQ5" s="165"/>
      <c r="ACR5" s="165"/>
      <c r="ACS5" s="165"/>
      <c r="ACT5" s="165"/>
      <c r="ACU5" s="165"/>
      <c r="ACV5" s="165"/>
      <c r="ACW5" s="165"/>
      <c r="ACX5" s="165"/>
      <c r="ACY5" s="165"/>
      <c r="ACZ5" s="165"/>
      <c r="ADA5" s="165"/>
      <c r="ADB5" s="165"/>
      <c r="ADC5" s="165"/>
      <c r="ADD5" s="165"/>
      <c r="ADE5" s="165"/>
      <c r="ADF5" s="165"/>
      <c r="ADG5" s="165"/>
      <c r="ADH5" s="165"/>
      <c r="ADI5" s="165"/>
      <c r="ADJ5" s="165"/>
      <c r="ADK5" s="165"/>
      <c r="ADL5" s="165"/>
      <c r="ADM5" s="165"/>
      <c r="ADN5" s="165"/>
      <c r="ADO5" s="165"/>
      <c r="ADP5" s="165"/>
      <c r="ADQ5" s="165"/>
      <c r="ADR5" s="165"/>
      <c r="ADS5" s="165"/>
      <c r="ADT5" s="165"/>
      <c r="ADU5" s="165"/>
      <c r="ADV5" s="165"/>
      <c r="ADW5" s="165"/>
      <c r="ADX5" s="165"/>
      <c r="ADY5" s="165"/>
      <c r="ADZ5" s="165"/>
      <c r="AEA5" s="165"/>
      <c r="AEB5" s="165"/>
      <c r="AEC5" s="165"/>
      <c r="AED5" s="165"/>
      <c r="AEE5" s="165"/>
      <c r="AEF5" s="165"/>
      <c r="AEG5" s="165"/>
      <c r="AEH5" s="165"/>
      <c r="AEI5" s="165"/>
      <c r="AEJ5" s="165"/>
      <c r="AEK5" s="165"/>
      <c r="AEL5" s="165"/>
      <c r="AEM5" s="165"/>
      <c r="AEN5" s="165"/>
      <c r="AEO5" s="165"/>
      <c r="AEP5" s="165"/>
      <c r="AEQ5" s="165"/>
      <c r="AER5" s="165"/>
      <c r="AES5" s="165"/>
      <c r="AET5" s="165"/>
      <c r="AEU5" s="165"/>
      <c r="AEV5" s="165"/>
      <c r="AEW5" s="165"/>
      <c r="AEX5" s="165"/>
      <c r="AEY5" s="165"/>
      <c r="AEZ5" s="165"/>
      <c r="AFA5" s="165"/>
      <c r="AFB5" s="165"/>
      <c r="AFC5" s="165"/>
      <c r="AFD5" s="165"/>
      <c r="AFE5" s="165"/>
      <c r="AFF5" s="165"/>
      <c r="AFG5" s="165"/>
      <c r="AFH5" s="165"/>
      <c r="AFI5" s="165"/>
      <c r="AFJ5" s="165"/>
      <c r="AFK5" s="165"/>
      <c r="AFL5" s="165"/>
      <c r="AFM5" s="165"/>
      <c r="AFN5" s="165"/>
      <c r="AFO5" s="165"/>
      <c r="AFP5" s="165"/>
      <c r="AFQ5" s="165"/>
      <c r="AFR5" s="165"/>
      <c r="AFS5" s="165"/>
      <c r="AFT5" s="165"/>
      <c r="AFU5" s="165"/>
      <c r="AFV5" s="165"/>
      <c r="AFW5" s="165"/>
      <c r="AFX5" s="165"/>
      <c r="AFY5" s="165"/>
      <c r="AFZ5" s="165"/>
      <c r="AGA5" s="165"/>
      <c r="AGB5" s="165"/>
      <c r="AGC5" s="165"/>
      <c r="AGD5" s="165"/>
      <c r="AGE5" s="165"/>
      <c r="AGF5" s="165"/>
      <c r="AGG5" s="165"/>
      <c r="AGH5" s="165"/>
      <c r="AGI5" s="165"/>
      <c r="AGJ5" s="165"/>
      <c r="AGK5" s="165"/>
      <c r="AGL5" s="165"/>
      <c r="AGM5" s="165"/>
      <c r="AGN5" s="165"/>
      <c r="AGO5" s="165"/>
      <c r="AGP5" s="165"/>
      <c r="AGQ5" s="165"/>
      <c r="AGR5" s="165"/>
      <c r="AGS5" s="165"/>
      <c r="AGT5" s="165"/>
      <c r="AGU5" s="165"/>
      <c r="AGV5" s="165"/>
      <c r="AGW5" s="165"/>
      <c r="AGX5" s="165"/>
      <c r="AGY5" s="165"/>
      <c r="AGZ5" s="165"/>
      <c r="AHA5" s="165"/>
      <c r="AHB5" s="165"/>
      <c r="AHC5" s="165"/>
      <c r="AHD5" s="165"/>
      <c r="AHE5" s="165"/>
      <c r="AHF5" s="165"/>
      <c r="AHG5" s="165"/>
      <c r="AHH5" s="165"/>
      <c r="AHI5" s="165"/>
      <c r="AHJ5" s="165"/>
      <c r="AHK5" s="165"/>
      <c r="AHL5" s="165"/>
      <c r="AHM5" s="165"/>
      <c r="AHN5" s="165"/>
      <c r="AHO5" s="165"/>
      <c r="AHP5" s="165"/>
      <c r="AHQ5" s="165"/>
      <c r="AHR5" s="165"/>
      <c r="AHS5" s="165"/>
      <c r="AHT5" s="165"/>
      <c r="AHU5" s="165"/>
      <c r="AHV5" s="165"/>
      <c r="AHW5" s="165"/>
      <c r="AHX5" s="165"/>
      <c r="AHY5" s="165"/>
      <c r="AHZ5" s="165"/>
      <c r="AIA5" s="165"/>
      <c r="AIB5" s="165"/>
      <c r="AIC5" s="165"/>
      <c r="AID5" s="165"/>
      <c r="AIE5" s="165"/>
      <c r="AIF5" s="165"/>
      <c r="AIG5" s="165"/>
      <c r="AIH5" s="165"/>
      <c r="AII5" s="165"/>
      <c r="AIJ5" s="165"/>
      <c r="AIK5" s="165"/>
      <c r="AIL5" s="165"/>
      <c r="AIM5" s="165"/>
      <c r="AIN5" s="165"/>
      <c r="AIO5" s="165"/>
      <c r="AIP5" s="165"/>
      <c r="AIQ5" s="165"/>
      <c r="AIR5" s="165"/>
      <c r="AIS5" s="165"/>
      <c r="AIT5" s="165"/>
      <c r="AIU5" s="165"/>
      <c r="AIV5" s="165"/>
      <c r="AIW5" s="165"/>
      <c r="AIX5" s="165"/>
      <c r="AIY5" s="165"/>
      <c r="AIZ5" s="165"/>
      <c r="AJA5" s="165"/>
      <c r="AJB5" s="165"/>
      <c r="AJC5" s="165"/>
      <c r="AJD5" s="165"/>
      <c r="AJE5" s="165"/>
      <c r="AJF5" s="165"/>
      <c r="AJG5" s="165"/>
      <c r="AJH5" s="165"/>
      <c r="AJI5" s="165"/>
      <c r="AJJ5" s="165"/>
      <c r="AJK5" s="165"/>
      <c r="AJL5" s="165"/>
      <c r="AJM5" s="165"/>
      <c r="AJN5" s="165"/>
      <c r="AJO5" s="165"/>
      <c r="AJP5" s="165"/>
      <c r="AJQ5" s="165"/>
      <c r="AJR5" s="165"/>
      <c r="AJS5" s="165"/>
      <c r="AJT5" s="165"/>
      <c r="AJU5" s="165"/>
      <c r="AJV5" s="165"/>
      <c r="AJW5" s="165"/>
      <c r="AJX5" s="165"/>
      <c r="AJY5" s="165"/>
      <c r="AJZ5" s="165"/>
      <c r="AKA5" s="165"/>
      <c r="AKB5" s="165"/>
      <c r="AKC5" s="165"/>
      <c r="AKD5" s="165"/>
      <c r="AKE5" s="165"/>
      <c r="AKF5" s="165"/>
      <c r="AKG5" s="165"/>
      <c r="AKH5" s="165"/>
      <c r="AKI5" s="165"/>
      <c r="AKJ5" s="165"/>
      <c r="AKK5" s="165"/>
      <c r="AKL5" s="165"/>
      <c r="AKM5" s="165"/>
      <c r="AKN5" s="165"/>
      <c r="AKO5" s="165"/>
      <c r="AKP5" s="165"/>
      <c r="AKQ5" s="165"/>
      <c r="AKR5" s="165"/>
      <c r="AKS5" s="165"/>
      <c r="AKT5" s="165"/>
      <c r="AKU5" s="165"/>
      <c r="AKV5" s="165"/>
      <c r="AKW5" s="165"/>
      <c r="AKX5" s="165"/>
      <c r="AKY5" s="165"/>
      <c r="AKZ5" s="165"/>
      <c r="ALA5" s="165"/>
      <c r="ALB5" s="165"/>
      <c r="ALC5" s="165"/>
    </row>
    <row r="6" spans="1:993" s="163" customFormat="1" ht="14.85" customHeight="1">
      <c r="A6" s="523" t="s">
        <v>5545</v>
      </c>
      <c r="B6" s="524"/>
      <c r="C6" s="631" t="str">
        <f>+RESUMO!B7</f>
        <v>MAIO / 2021</v>
      </c>
      <c r="D6" s="635"/>
      <c r="E6" s="633"/>
      <c r="F6" s="633"/>
      <c r="G6" s="633"/>
      <c r="H6" s="633"/>
      <c r="I6" s="633"/>
      <c r="J6" s="634"/>
      <c r="K6" s="165"/>
      <c r="L6" s="165"/>
      <c r="M6" s="165"/>
      <c r="N6" s="165"/>
      <c r="O6" s="165"/>
      <c r="P6" s="259"/>
      <c r="Q6" s="165"/>
      <c r="R6" s="165"/>
      <c r="S6" s="165"/>
      <c r="T6" s="165"/>
      <c r="U6" s="165"/>
      <c r="V6" s="165"/>
      <c r="W6" s="165"/>
      <c r="X6" s="165"/>
      <c r="Y6" s="165"/>
      <c r="Z6" s="165"/>
      <c r="AA6" s="165"/>
      <c r="AB6" s="165"/>
      <c r="AC6" s="165"/>
      <c r="AD6" s="165"/>
      <c r="AE6" s="165"/>
      <c r="AF6" s="165"/>
      <c r="AG6" s="165"/>
      <c r="AH6" s="165"/>
      <c r="AI6" s="165"/>
      <c r="AJ6" s="165"/>
      <c r="AK6" s="165"/>
      <c r="AL6" s="165"/>
      <c r="AM6" s="165"/>
      <c r="AN6" s="165"/>
      <c r="AO6" s="165"/>
      <c r="AP6" s="165"/>
      <c r="AQ6" s="165"/>
      <c r="AR6" s="165"/>
      <c r="AS6" s="165"/>
      <c r="AT6" s="165"/>
      <c r="AU6" s="165"/>
      <c r="AV6" s="165"/>
      <c r="AW6" s="165"/>
      <c r="AX6" s="165"/>
      <c r="AY6" s="165"/>
      <c r="AZ6" s="165"/>
      <c r="BA6" s="165"/>
      <c r="BB6" s="165"/>
      <c r="BC6" s="165"/>
      <c r="BD6" s="165"/>
      <c r="BE6" s="165"/>
      <c r="BF6" s="165"/>
      <c r="BG6" s="165"/>
      <c r="BH6" s="165"/>
      <c r="BI6" s="165"/>
      <c r="BJ6" s="165"/>
      <c r="BK6" s="165"/>
      <c r="BL6" s="165"/>
      <c r="BM6" s="165"/>
      <c r="BN6" s="165"/>
      <c r="BO6" s="165"/>
      <c r="BP6" s="165"/>
      <c r="BQ6" s="165"/>
      <c r="BR6" s="165"/>
      <c r="BS6" s="165"/>
      <c r="BT6" s="165"/>
      <c r="BU6" s="165"/>
      <c r="BV6" s="165"/>
      <c r="BW6" s="165"/>
      <c r="BX6" s="165"/>
      <c r="BY6" s="165"/>
      <c r="BZ6" s="165"/>
      <c r="CA6" s="165"/>
      <c r="CB6" s="165"/>
      <c r="CC6" s="165"/>
      <c r="CD6" s="165"/>
      <c r="CE6" s="165"/>
      <c r="CF6" s="165"/>
      <c r="CG6" s="165"/>
      <c r="CH6" s="165"/>
      <c r="CI6" s="165"/>
      <c r="CJ6" s="165"/>
      <c r="CK6" s="165"/>
      <c r="CL6" s="165"/>
      <c r="CM6" s="165"/>
      <c r="CN6" s="165"/>
      <c r="CO6" s="165"/>
      <c r="CP6" s="165"/>
      <c r="CQ6" s="165"/>
      <c r="CR6" s="165"/>
      <c r="CS6" s="165"/>
      <c r="CT6" s="165"/>
      <c r="CU6" s="165"/>
      <c r="CV6" s="165"/>
      <c r="CW6" s="165"/>
      <c r="CX6" s="165"/>
      <c r="CY6" s="165"/>
      <c r="CZ6" s="165"/>
      <c r="DA6" s="165"/>
      <c r="DB6" s="165"/>
      <c r="DC6" s="165"/>
      <c r="DD6" s="165"/>
      <c r="DE6" s="165"/>
      <c r="DF6" s="165"/>
      <c r="DG6" s="165"/>
      <c r="DH6" s="165"/>
      <c r="DI6" s="165"/>
      <c r="DJ6" s="165"/>
      <c r="DK6" s="165"/>
      <c r="DL6" s="165"/>
      <c r="DM6" s="165"/>
      <c r="DN6" s="165"/>
      <c r="DO6" s="165"/>
      <c r="DP6" s="165"/>
      <c r="DQ6" s="165"/>
      <c r="DR6" s="165"/>
      <c r="DS6" s="165"/>
      <c r="DT6" s="165"/>
      <c r="DU6" s="165"/>
      <c r="DV6" s="165"/>
      <c r="DW6" s="165"/>
      <c r="DX6" s="165"/>
      <c r="DY6" s="165"/>
      <c r="DZ6" s="165"/>
      <c r="EA6" s="165"/>
      <c r="EB6" s="165"/>
      <c r="EC6" s="165"/>
      <c r="ED6" s="165"/>
      <c r="EE6" s="165"/>
      <c r="EF6" s="165"/>
      <c r="EG6" s="165"/>
      <c r="EH6" s="165"/>
      <c r="EI6" s="165"/>
      <c r="EJ6" s="165"/>
      <c r="EK6" s="165"/>
      <c r="EL6" s="165"/>
      <c r="EM6" s="165"/>
      <c r="EN6" s="165"/>
      <c r="EO6" s="165"/>
      <c r="EP6" s="165"/>
      <c r="EQ6" s="165"/>
      <c r="ER6" s="165"/>
      <c r="ES6" s="165"/>
      <c r="ET6" s="165"/>
      <c r="EU6" s="165"/>
      <c r="EV6" s="165"/>
      <c r="EW6" s="165"/>
      <c r="EX6" s="165"/>
      <c r="EY6" s="165"/>
      <c r="EZ6" s="165"/>
      <c r="FA6" s="165"/>
      <c r="FB6" s="165"/>
      <c r="FC6" s="165"/>
      <c r="FD6" s="165"/>
      <c r="FE6" s="165"/>
      <c r="FF6" s="165"/>
      <c r="FG6" s="165"/>
      <c r="FH6" s="165"/>
      <c r="FI6" s="165"/>
      <c r="FJ6" s="165"/>
      <c r="FK6" s="165"/>
      <c r="FL6" s="165"/>
      <c r="FM6" s="165"/>
      <c r="FN6" s="165"/>
      <c r="FO6" s="165"/>
      <c r="FP6" s="165"/>
      <c r="FQ6" s="165"/>
      <c r="FR6" s="165"/>
      <c r="FS6" s="165"/>
      <c r="FT6" s="165"/>
      <c r="FU6" s="165"/>
      <c r="FV6" s="165"/>
      <c r="FW6" s="165"/>
      <c r="FX6" s="165"/>
      <c r="FY6" s="165"/>
      <c r="FZ6" s="165"/>
      <c r="GA6" s="165"/>
      <c r="GB6" s="165"/>
      <c r="GC6" s="165"/>
      <c r="GD6" s="165"/>
      <c r="GE6" s="165"/>
      <c r="GF6" s="165"/>
      <c r="GG6" s="165"/>
      <c r="GH6" s="165"/>
      <c r="GI6" s="165"/>
      <c r="GJ6" s="165"/>
      <c r="GK6" s="165"/>
      <c r="GL6" s="165"/>
      <c r="GM6" s="165"/>
      <c r="GN6" s="165"/>
      <c r="GO6" s="165"/>
      <c r="GP6" s="165"/>
      <c r="GQ6" s="165"/>
      <c r="GR6" s="165"/>
      <c r="GS6" s="165"/>
      <c r="GT6" s="165"/>
      <c r="GU6" s="165"/>
      <c r="GV6" s="165"/>
      <c r="GW6" s="165"/>
      <c r="GX6" s="165"/>
      <c r="GY6" s="165"/>
      <c r="GZ6" s="165"/>
      <c r="HA6" s="165"/>
      <c r="HB6" s="165"/>
      <c r="HC6" s="165"/>
      <c r="HD6" s="165"/>
      <c r="HE6" s="165"/>
      <c r="HF6" s="165"/>
      <c r="HG6" s="165"/>
      <c r="HH6" s="165"/>
      <c r="HI6" s="165"/>
      <c r="HJ6" s="165"/>
      <c r="HK6" s="165"/>
      <c r="HL6" s="165"/>
      <c r="HM6" s="165"/>
      <c r="HN6" s="165"/>
      <c r="HO6" s="165"/>
      <c r="HP6" s="165"/>
      <c r="HQ6" s="165"/>
      <c r="HR6" s="165"/>
      <c r="HS6" s="165"/>
      <c r="HT6" s="165"/>
      <c r="HU6" s="165"/>
      <c r="HV6" s="165"/>
      <c r="HW6" s="165"/>
      <c r="HX6" s="165"/>
      <c r="HY6" s="165"/>
      <c r="HZ6" s="165"/>
      <c r="IA6" s="165"/>
      <c r="IB6" s="165"/>
      <c r="IC6" s="165"/>
      <c r="ID6" s="165"/>
      <c r="IE6" s="165"/>
      <c r="IF6" s="165"/>
      <c r="IG6" s="165"/>
      <c r="IH6" s="165"/>
      <c r="II6" s="165"/>
      <c r="IJ6" s="165"/>
      <c r="IK6" s="165"/>
      <c r="IL6" s="165"/>
      <c r="IM6" s="165"/>
      <c r="IN6" s="165"/>
      <c r="IO6" s="165"/>
      <c r="IP6" s="165"/>
      <c r="IQ6" s="165"/>
      <c r="IR6" s="165"/>
      <c r="IS6" s="165"/>
      <c r="IT6" s="165"/>
      <c r="IU6" s="165"/>
      <c r="IV6" s="165"/>
      <c r="IW6" s="165"/>
      <c r="IX6" s="165"/>
      <c r="IY6" s="165"/>
      <c r="IZ6" s="165"/>
      <c r="JA6" s="165"/>
      <c r="JB6" s="165"/>
      <c r="JC6" s="165"/>
      <c r="JD6" s="165"/>
      <c r="JE6" s="165"/>
      <c r="JF6" s="165"/>
      <c r="JG6" s="165"/>
      <c r="JH6" s="165"/>
      <c r="JI6" s="165"/>
      <c r="JJ6" s="165"/>
      <c r="JK6" s="165"/>
      <c r="JL6" s="165"/>
      <c r="JM6" s="165"/>
      <c r="JN6" s="165"/>
      <c r="JO6" s="165"/>
      <c r="JP6" s="165"/>
      <c r="JQ6" s="165"/>
      <c r="JR6" s="165"/>
      <c r="JS6" s="165"/>
      <c r="JT6" s="165"/>
      <c r="JU6" s="165"/>
      <c r="JV6" s="165"/>
      <c r="JW6" s="165"/>
      <c r="JX6" s="165"/>
      <c r="JY6" s="165"/>
      <c r="JZ6" s="165"/>
      <c r="KA6" s="165"/>
      <c r="KB6" s="165"/>
      <c r="KC6" s="165"/>
      <c r="KD6" s="165"/>
      <c r="KE6" s="165"/>
      <c r="KF6" s="165"/>
      <c r="KG6" s="165"/>
      <c r="KH6" s="165"/>
      <c r="KI6" s="165"/>
      <c r="KJ6" s="165"/>
      <c r="KK6" s="165"/>
      <c r="KL6" s="165"/>
      <c r="KM6" s="165"/>
      <c r="KN6" s="165"/>
      <c r="KO6" s="165"/>
      <c r="KP6" s="165"/>
      <c r="KQ6" s="165"/>
      <c r="KR6" s="165"/>
      <c r="KS6" s="165"/>
      <c r="KT6" s="165"/>
      <c r="KU6" s="165"/>
      <c r="KV6" s="165"/>
      <c r="KW6" s="165"/>
      <c r="KX6" s="165"/>
      <c r="KY6" s="165"/>
      <c r="KZ6" s="165"/>
      <c r="LA6" s="165"/>
      <c r="LB6" s="165"/>
      <c r="LC6" s="165"/>
      <c r="LD6" s="165"/>
      <c r="LE6" s="165"/>
      <c r="LF6" s="165"/>
      <c r="LG6" s="165"/>
      <c r="LH6" s="165"/>
      <c r="LI6" s="165"/>
      <c r="LJ6" s="165"/>
      <c r="LK6" s="165"/>
      <c r="LL6" s="165"/>
      <c r="LM6" s="165"/>
      <c r="LN6" s="165"/>
      <c r="LO6" s="165"/>
      <c r="LP6" s="165"/>
      <c r="LQ6" s="165"/>
      <c r="LR6" s="165"/>
      <c r="LS6" s="165"/>
      <c r="LT6" s="165"/>
      <c r="LU6" s="165"/>
      <c r="LV6" s="165"/>
      <c r="LW6" s="165"/>
      <c r="LX6" s="165"/>
      <c r="LY6" s="165"/>
      <c r="LZ6" s="165"/>
      <c r="MA6" s="165"/>
      <c r="MB6" s="165"/>
      <c r="MC6" s="165"/>
      <c r="MD6" s="165"/>
      <c r="ME6" s="165"/>
      <c r="MF6" s="165"/>
      <c r="MG6" s="165"/>
      <c r="MH6" s="165"/>
      <c r="MI6" s="165"/>
      <c r="MJ6" s="165"/>
      <c r="MK6" s="165"/>
      <c r="ML6" s="165"/>
      <c r="MM6" s="165"/>
      <c r="MN6" s="165"/>
      <c r="MO6" s="165"/>
      <c r="MP6" s="165"/>
      <c r="MQ6" s="165"/>
      <c r="MR6" s="165"/>
      <c r="MS6" s="165"/>
      <c r="MT6" s="165"/>
      <c r="MU6" s="165"/>
      <c r="MV6" s="165"/>
      <c r="MW6" s="165"/>
      <c r="MX6" s="165"/>
      <c r="MY6" s="165"/>
      <c r="MZ6" s="165"/>
      <c r="NA6" s="165"/>
      <c r="NB6" s="165"/>
      <c r="NC6" s="165"/>
      <c r="ND6" s="165"/>
      <c r="NE6" s="165"/>
      <c r="NF6" s="165"/>
      <c r="NG6" s="165"/>
      <c r="NH6" s="165"/>
      <c r="NI6" s="165"/>
      <c r="NJ6" s="165"/>
      <c r="NK6" s="165"/>
      <c r="NL6" s="165"/>
      <c r="NM6" s="165"/>
      <c r="NN6" s="165"/>
      <c r="NO6" s="165"/>
      <c r="NP6" s="165"/>
      <c r="NQ6" s="165"/>
      <c r="NR6" s="165"/>
      <c r="NS6" s="165"/>
      <c r="NT6" s="165"/>
      <c r="NU6" s="165"/>
      <c r="NV6" s="165"/>
      <c r="NW6" s="165"/>
      <c r="NX6" s="165"/>
      <c r="NY6" s="165"/>
      <c r="NZ6" s="165"/>
      <c r="OA6" s="165"/>
      <c r="OB6" s="165"/>
      <c r="OC6" s="165"/>
      <c r="OD6" s="165"/>
      <c r="OE6" s="165"/>
      <c r="OF6" s="165"/>
      <c r="OG6" s="165"/>
      <c r="OH6" s="165"/>
      <c r="OI6" s="165"/>
      <c r="OJ6" s="165"/>
      <c r="OK6" s="165"/>
      <c r="OL6" s="165"/>
      <c r="OM6" s="165"/>
      <c r="ON6" s="165"/>
      <c r="OO6" s="165"/>
      <c r="OP6" s="165"/>
      <c r="OQ6" s="165"/>
      <c r="OR6" s="165"/>
      <c r="OS6" s="165"/>
      <c r="OT6" s="165"/>
      <c r="OU6" s="165"/>
      <c r="OV6" s="165"/>
      <c r="OW6" s="165"/>
      <c r="OX6" s="165"/>
      <c r="OY6" s="165"/>
      <c r="OZ6" s="165"/>
      <c r="PA6" s="165"/>
      <c r="PB6" s="165"/>
      <c r="PC6" s="165"/>
      <c r="PD6" s="165"/>
      <c r="PE6" s="165"/>
      <c r="PF6" s="165"/>
      <c r="PG6" s="165"/>
      <c r="PH6" s="165"/>
      <c r="PI6" s="165"/>
      <c r="PJ6" s="165"/>
      <c r="PK6" s="165"/>
      <c r="PL6" s="165"/>
      <c r="PM6" s="165"/>
      <c r="PN6" s="165"/>
      <c r="PO6" s="165"/>
      <c r="PP6" s="165"/>
      <c r="PQ6" s="165"/>
      <c r="PR6" s="165"/>
      <c r="PS6" s="165"/>
      <c r="PT6" s="165"/>
      <c r="PU6" s="165"/>
      <c r="PV6" s="165"/>
      <c r="PW6" s="165"/>
      <c r="PX6" s="165"/>
      <c r="PY6" s="165"/>
      <c r="PZ6" s="165"/>
      <c r="QA6" s="165"/>
      <c r="QB6" s="165"/>
      <c r="QC6" s="165"/>
      <c r="QD6" s="165"/>
      <c r="QE6" s="165"/>
      <c r="QF6" s="165"/>
      <c r="QG6" s="165"/>
      <c r="QH6" s="165"/>
      <c r="QI6" s="165"/>
      <c r="QJ6" s="165"/>
      <c r="QK6" s="165"/>
      <c r="QL6" s="165"/>
      <c r="QM6" s="165"/>
      <c r="QN6" s="165"/>
      <c r="QO6" s="165"/>
      <c r="QP6" s="165"/>
      <c r="QQ6" s="165"/>
      <c r="QR6" s="165"/>
      <c r="QS6" s="165"/>
      <c r="QT6" s="165"/>
      <c r="QU6" s="165"/>
      <c r="QV6" s="165"/>
      <c r="QW6" s="165"/>
      <c r="QX6" s="165"/>
      <c r="QY6" s="165"/>
      <c r="QZ6" s="165"/>
      <c r="RA6" s="165"/>
      <c r="RB6" s="165"/>
      <c r="RC6" s="165"/>
      <c r="RD6" s="165"/>
      <c r="RE6" s="165"/>
      <c r="RF6" s="165"/>
      <c r="RG6" s="165"/>
      <c r="RH6" s="165"/>
      <c r="RI6" s="165"/>
      <c r="RJ6" s="165"/>
      <c r="RK6" s="165"/>
      <c r="RL6" s="165"/>
      <c r="RM6" s="165"/>
      <c r="RN6" s="165"/>
      <c r="RO6" s="165"/>
      <c r="RP6" s="165"/>
      <c r="RQ6" s="165"/>
      <c r="RR6" s="165"/>
      <c r="RS6" s="165"/>
      <c r="RT6" s="165"/>
      <c r="RU6" s="165"/>
      <c r="RV6" s="165"/>
      <c r="RW6" s="165"/>
      <c r="RX6" s="165"/>
      <c r="RY6" s="165"/>
      <c r="RZ6" s="165"/>
      <c r="SA6" s="165"/>
      <c r="SB6" s="165"/>
      <c r="SC6" s="165"/>
      <c r="SD6" s="165"/>
      <c r="SE6" s="165"/>
      <c r="SF6" s="165"/>
      <c r="SG6" s="165"/>
      <c r="SH6" s="165"/>
      <c r="SI6" s="165"/>
      <c r="SJ6" s="165"/>
      <c r="SK6" s="165"/>
      <c r="SL6" s="165"/>
      <c r="SM6" s="165"/>
      <c r="SN6" s="165"/>
      <c r="SO6" s="165"/>
      <c r="SP6" s="165"/>
      <c r="SQ6" s="165"/>
      <c r="SR6" s="165"/>
      <c r="SS6" s="165"/>
      <c r="ST6" s="165"/>
      <c r="SU6" s="165"/>
      <c r="SV6" s="165"/>
      <c r="SW6" s="165"/>
      <c r="SX6" s="165"/>
      <c r="SY6" s="165"/>
      <c r="SZ6" s="165"/>
      <c r="TA6" s="165"/>
      <c r="TB6" s="165"/>
      <c r="TC6" s="165"/>
      <c r="TD6" s="165"/>
      <c r="TE6" s="165"/>
      <c r="TF6" s="165"/>
      <c r="TG6" s="165"/>
      <c r="TH6" s="165"/>
      <c r="TI6" s="165"/>
      <c r="TJ6" s="165"/>
      <c r="TK6" s="165"/>
      <c r="TL6" s="165"/>
      <c r="TM6" s="165"/>
      <c r="TN6" s="165"/>
      <c r="TO6" s="165"/>
      <c r="TP6" s="165"/>
      <c r="TQ6" s="165"/>
      <c r="TR6" s="165"/>
      <c r="TS6" s="165"/>
      <c r="TT6" s="165"/>
      <c r="TU6" s="165"/>
      <c r="TV6" s="165"/>
      <c r="TW6" s="165"/>
      <c r="TX6" s="165"/>
      <c r="TY6" s="165"/>
      <c r="TZ6" s="165"/>
      <c r="UA6" s="165"/>
      <c r="UB6" s="165"/>
      <c r="UC6" s="165"/>
      <c r="UD6" s="165"/>
      <c r="UE6" s="165"/>
      <c r="UF6" s="165"/>
      <c r="UG6" s="165"/>
      <c r="UH6" s="165"/>
      <c r="UI6" s="165"/>
      <c r="UJ6" s="165"/>
      <c r="UK6" s="165"/>
      <c r="UL6" s="165"/>
      <c r="UM6" s="165"/>
      <c r="UN6" s="165"/>
      <c r="UO6" s="165"/>
      <c r="UP6" s="165"/>
      <c r="UQ6" s="165"/>
      <c r="UR6" s="165"/>
      <c r="US6" s="165"/>
      <c r="UT6" s="165"/>
      <c r="UU6" s="165"/>
      <c r="UV6" s="165"/>
      <c r="UW6" s="165"/>
      <c r="UX6" s="165"/>
      <c r="UY6" s="165"/>
      <c r="UZ6" s="165"/>
      <c r="VA6" s="165"/>
      <c r="VB6" s="165"/>
      <c r="VC6" s="165"/>
      <c r="VD6" s="165"/>
      <c r="VE6" s="165"/>
      <c r="VF6" s="165"/>
      <c r="VG6" s="165"/>
      <c r="VH6" s="165"/>
      <c r="VI6" s="165"/>
      <c r="VJ6" s="165"/>
      <c r="VK6" s="165"/>
      <c r="VL6" s="165"/>
      <c r="VM6" s="165"/>
      <c r="VN6" s="165"/>
      <c r="VO6" s="165"/>
      <c r="VP6" s="165"/>
      <c r="VQ6" s="165"/>
      <c r="VR6" s="165"/>
      <c r="VS6" s="165"/>
      <c r="VT6" s="165"/>
      <c r="VU6" s="165"/>
      <c r="VV6" s="165"/>
      <c r="VW6" s="165"/>
      <c r="VX6" s="165"/>
      <c r="VY6" s="165"/>
      <c r="VZ6" s="165"/>
      <c r="WA6" s="165"/>
      <c r="WB6" s="165"/>
      <c r="WC6" s="165"/>
      <c r="WD6" s="165"/>
      <c r="WE6" s="165"/>
      <c r="WF6" s="165"/>
      <c r="WG6" s="165"/>
      <c r="WH6" s="165"/>
      <c r="WI6" s="165"/>
      <c r="WJ6" s="165"/>
      <c r="WK6" s="165"/>
      <c r="WL6" s="165"/>
      <c r="WM6" s="165"/>
      <c r="WN6" s="165"/>
      <c r="WO6" s="165"/>
      <c r="WP6" s="165"/>
      <c r="WQ6" s="165"/>
      <c r="WR6" s="165"/>
      <c r="WS6" s="165"/>
      <c r="WT6" s="165"/>
      <c r="WU6" s="165"/>
      <c r="WV6" s="165"/>
      <c r="WW6" s="165"/>
      <c r="WX6" s="165"/>
      <c r="WY6" s="165"/>
      <c r="WZ6" s="165"/>
      <c r="XA6" s="165"/>
      <c r="XB6" s="165"/>
      <c r="XC6" s="165"/>
      <c r="XD6" s="165"/>
      <c r="XE6" s="165"/>
      <c r="XF6" s="165"/>
      <c r="XG6" s="165"/>
      <c r="XH6" s="165"/>
      <c r="XI6" s="165"/>
      <c r="XJ6" s="165"/>
      <c r="XK6" s="165"/>
      <c r="XL6" s="165"/>
      <c r="XM6" s="165"/>
      <c r="XN6" s="165"/>
      <c r="XO6" s="165"/>
      <c r="XP6" s="165"/>
      <c r="XQ6" s="165"/>
      <c r="XR6" s="165"/>
      <c r="XS6" s="165"/>
      <c r="XT6" s="165"/>
      <c r="XU6" s="165"/>
      <c r="XV6" s="165"/>
      <c r="XW6" s="165"/>
      <c r="XX6" s="165"/>
      <c r="XY6" s="165"/>
      <c r="XZ6" s="165"/>
      <c r="YA6" s="165"/>
      <c r="YB6" s="165"/>
      <c r="YC6" s="165"/>
      <c r="YD6" s="165"/>
      <c r="YE6" s="165"/>
      <c r="YF6" s="165"/>
      <c r="YG6" s="165"/>
      <c r="YH6" s="165"/>
      <c r="YI6" s="165"/>
      <c r="YJ6" s="165"/>
      <c r="YK6" s="165"/>
      <c r="YL6" s="165"/>
      <c r="YM6" s="165"/>
      <c r="YN6" s="165"/>
      <c r="YO6" s="165"/>
      <c r="YP6" s="165"/>
      <c r="YQ6" s="165"/>
      <c r="YR6" s="165"/>
      <c r="YS6" s="165"/>
      <c r="YT6" s="165"/>
      <c r="YU6" s="165"/>
      <c r="YV6" s="165"/>
      <c r="YW6" s="165"/>
      <c r="YX6" s="165"/>
      <c r="YY6" s="165"/>
      <c r="YZ6" s="165"/>
      <c r="ZA6" s="165"/>
      <c r="ZB6" s="165"/>
      <c r="ZC6" s="165"/>
      <c r="ZD6" s="165"/>
      <c r="ZE6" s="165"/>
      <c r="ZF6" s="165"/>
      <c r="ZG6" s="165"/>
      <c r="ZH6" s="165"/>
      <c r="ZI6" s="165"/>
      <c r="ZJ6" s="165"/>
      <c r="ZK6" s="165"/>
      <c r="ZL6" s="165"/>
      <c r="ZM6" s="165"/>
      <c r="ZN6" s="165"/>
      <c r="ZO6" s="165"/>
      <c r="ZP6" s="165"/>
      <c r="ZQ6" s="165"/>
      <c r="ZR6" s="165"/>
      <c r="ZS6" s="165"/>
      <c r="ZT6" s="165"/>
      <c r="ZU6" s="165"/>
      <c r="ZV6" s="165"/>
      <c r="ZW6" s="165"/>
      <c r="ZX6" s="165"/>
      <c r="ZY6" s="165"/>
      <c r="ZZ6" s="165"/>
      <c r="AAA6" s="165"/>
      <c r="AAB6" s="165"/>
      <c r="AAC6" s="165"/>
      <c r="AAD6" s="165"/>
      <c r="AAE6" s="165"/>
      <c r="AAF6" s="165"/>
      <c r="AAG6" s="165"/>
      <c r="AAH6" s="165"/>
      <c r="AAI6" s="165"/>
      <c r="AAJ6" s="165"/>
      <c r="AAK6" s="165"/>
      <c r="AAL6" s="165"/>
      <c r="AAM6" s="165"/>
      <c r="AAN6" s="165"/>
      <c r="AAO6" s="165"/>
      <c r="AAP6" s="165"/>
      <c r="AAQ6" s="165"/>
      <c r="AAR6" s="165"/>
      <c r="AAS6" s="165"/>
      <c r="AAT6" s="165"/>
      <c r="AAU6" s="165"/>
      <c r="AAV6" s="165"/>
      <c r="AAW6" s="165"/>
      <c r="AAX6" s="165"/>
      <c r="AAY6" s="165"/>
      <c r="AAZ6" s="165"/>
      <c r="ABA6" s="165"/>
      <c r="ABB6" s="165"/>
      <c r="ABC6" s="165"/>
      <c r="ABD6" s="165"/>
      <c r="ABE6" s="165"/>
      <c r="ABF6" s="165"/>
      <c r="ABG6" s="165"/>
      <c r="ABH6" s="165"/>
      <c r="ABI6" s="165"/>
      <c r="ABJ6" s="165"/>
      <c r="ABK6" s="165"/>
      <c r="ABL6" s="165"/>
      <c r="ABM6" s="165"/>
      <c r="ABN6" s="165"/>
      <c r="ABO6" s="165"/>
      <c r="ABP6" s="165"/>
      <c r="ABQ6" s="165"/>
      <c r="ABR6" s="165"/>
      <c r="ABS6" s="165"/>
      <c r="ABT6" s="165"/>
      <c r="ABU6" s="165"/>
      <c r="ABV6" s="165"/>
      <c r="ABW6" s="165"/>
      <c r="ABX6" s="165"/>
      <c r="ABY6" s="165"/>
      <c r="ABZ6" s="165"/>
      <c r="ACA6" s="165"/>
      <c r="ACB6" s="165"/>
      <c r="ACC6" s="165"/>
      <c r="ACD6" s="165"/>
      <c r="ACE6" s="165"/>
      <c r="ACF6" s="165"/>
      <c r="ACG6" s="165"/>
      <c r="ACH6" s="165"/>
      <c r="ACI6" s="165"/>
      <c r="ACJ6" s="165"/>
      <c r="ACK6" s="165"/>
      <c r="ACL6" s="165"/>
      <c r="ACM6" s="165"/>
      <c r="ACN6" s="165"/>
      <c r="ACO6" s="165"/>
      <c r="ACP6" s="165"/>
      <c r="ACQ6" s="165"/>
      <c r="ACR6" s="165"/>
      <c r="ACS6" s="165"/>
      <c r="ACT6" s="165"/>
      <c r="ACU6" s="165"/>
      <c r="ACV6" s="165"/>
      <c r="ACW6" s="165"/>
      <c r="ACX6" s="165"/>
      <c r="ACY6" s="165"/>
      <c r="ACZ6" s="165"/>
      <c r="ADA6" s="165"/>
      <c r="ADB6" s="165"/>
      <c r="ADC6" s="165"/>
      <c r="ADD6" s="165"/>
      <c r="ADE6" s="165"/>
      <c r="ADF6" s="165"/>
      <c r="ADG6" s="165"/>
      <c r="ADH6" s="165"/>
      <c r="ADI6" s="165"/>
      <c r="ADJ6" s="165"/>
      <c r="ADK6" s="165"/>
      <c r="ADL6" s="165"/>
      <c r="ADM6" s="165"/>
      <c r="ADN6" s="165"/>
      <c r="ADO6" s="165"/>
      <c r="ADP6" s="165"/>
      <c r="ADQ6" s="165"/>
      <c r="ADR6" s="165"/>
      <c r="ADS6" s="165"/>
      <c r="ADT6" s="165"/>
      <c r="ADU6" s="165"/>
      <c r="ADV6" s="165"/>
      <c r="ADW6" s="165"/>
      <c r="ADX6" s="165"/>
      <c r="ADY6" s="165"/>
      <c r="ADZ6" s="165"/>
      <c r="AEA6" s="165"/>
      <c r="AEB6" s="165"/>
      <c r="AEC6" s="165"/>
      <c r="AED6" s="165"/>
      <c r="AEE6" s="165"/>
      <c r="AEF6" s="165"/>
      <c r="AEG6" s="165"/>
      <c r="AEH6" s="165"/>
      <c r="AEI6" s="165"/>
      <c r="AEJ6" s="165"/>
      <c r="AEK6" s="165"/>
      <c r="AEL6" s="165"/>
      <c r="AEM6" s="165"/>
      <c r="AEN6" s="165"/>
      <c r="AEO6" s="165"/>
      <c r="AEP6" s="165"/>
      <c r="AEQ6" s="165"/>
      <c r="AER6" s="165"/>
      <c r="AES6" s="165"/>
      <c r="AET6" s="165"/>
      <c r="AEU6" s="165"/>
      <c r="AEV6" s="165"/>
      <c r="AEW6" s="165"/>
      <c r="AEX6" s="165"/>
      <c r="AEY6" s="165"/>
      <c r="AEZ6" s="165"/>
      <c r="AFA6" s="165"/>
      <c r="AFB6" s="165"/>
      <c r="AFC6" s="165"/>
      <c r="AFD6" s="165"/>
      <c r="AFE6" s="165"/>
      <c r="AFF6" s="165"/>
      <c r="AFG6" s="165"/>
      <c r="AFH6" s="165"/>
      <c r="AFI6" s="165"/>
      <c r="AFJ6" s="165"/>
      <c r="AFK6" s="165"/>
      <c r="AFL6" s="165"/>
      <c r="AFM6" s="165"/>
      <c r="AFN6" s="165"/>
      <c r="AFO6" s="165"/>
      <c r="AFP6" s="165"/>
      <c r="AFQ6" s="165"/>
      <c r="AFR6" s="165"/>
      <c r="AFS6" s="165"/>
      <c r="AFT6" s="165"/>
      <c r="AFU6" s="165"/>
      <c r="AFV6" s="165"/>
      <c r="AFW6" s="165"/>
      <c r="AFX6" s="165"/>
      <c r="AFY6" s="165"/>
      <c r="AFZ6" s="165"/>
      <c r="AGA6" s="165"/>
      <c r="AGB6" s="165"/>
      <c r="AGC6" s="165"/>
      <c r="AGD6" s="165"/>
      <c r="AGE6" s="165"/>
      <c r="AGF6" s="165"/>
      <c r="AGG6" s="165"/>
      <c r="AGH6" s="165"/>
      <c r="AGI6" s="165"/>
      <c r="AGJ6" s="165"/>
      <c r="AGK6" s="165"/>
      <c r="AGL6" s="165"/>
      <c r="AGM6" s="165"/>
      <c r="AGN6" s="165"/>
      <c r="AGO6" s="165"/>
      <c r="AGP6" s="165"/>
      <c r="AGQ6" s="165"/>
      <c r="AGR6" s="165"/>
      <c r="AGS6" s="165"/>
      <c r="AGT6" s="165"/>
      <c r="AGU6" s="165"/>
      <c r="AGV6" s="165"/>
      <c r="AGW6" s="165"/>
      <c r="AGX6" s="165"/>
      <c r="AGY6" s="165"/>
      <c r="AGZ6" s="165"/>
      <c r="AHA6" s="165"/>
      <c r="AHB6" s="165"/>
      <c r="AHC6" s="165"/>
      <c r="AHD6" s="165"/>
      <c r="AHE6" s="165"/>
      <c r="AHF6" s="165"/>
      <c r="AHG6" s="165"/>
      <c r="AHH6" s="165"/>
      <c r="AHI6" s="165"/>
      <c r="AHJ6" s="165"/>
      <c r="AHK6" s="165"/>
      <c r="AHL6" s="165"/>
      <c r="AHM6" s="165"/>
      <c r="AHN6" s="165"/>
      <c r="AHO6" s="165"/>
      <c r="AHP6" s="165"/>
      <c r="AHQ6" s="165"/>
      <c r="AHR6" s="165"/>
      <c r="AHS6" s="165"/>
      <c r="AHT6" s="165"/>
      <c r="AHU6" s="165"/>
      <c r="AHV6" s="165"/>
      <c r="AHW6" s="165"/>
      <c r="AHX6" s="165"/>
      <c r="AHY6" s="165"/>
      <c r="AHZ6" s="165"/>
      <c r="AIA6" s="165"/>
      <c r="AIB6" s="165"/>
      <c r="AIC6" s="165"/>
      <c r="AID6" s="165"/>
      <c r="AIE6" s="165"/>
      <c r="AIF6" s="165"/>
      <c r="AIG6" s="165"/>
      <c r="AIH6" s="165"/>
      <c r="AII6" s="165"/>
      <c r="AIJ6" s="165"/>
      <c r="AIK6" s="165"/>
      <c r="AIL6" s="165"/>
      <c r="AIM6" s="165"/>
      <c r="AIN6" s="165"/>
      <c r="AIO6" s="165"/>
      <c r="AIP6" s="165"/>
      <c r="AIQ6" s="165"/>
      <c r="AIR6" s="165"/>
      <c r="AIS6" s="165"/>
      <c r="AIT6" s="165"/>
      <c r="AIU6" s="165"/>
      <c r="AIV6" s="165"/>
      <c r="AIW6" s="165"/>
      <c r="AIX6" s="165"/>
      <c r="AIY6" s="165"/>
      <c r="AIZ6" s="165"/>
      <c r="AJA6" s="165"/>
      <c r="AJB6" s="165"/>
      <c r="AJC6" s="165"/>
      <c r="AJD6" s="165"/>
      <c r="AJE6" s="165"/>
      <c r="AJF6" s="165"/>
      <c r="AJG6" s="165"/>
      <c r="AJH6" s="165"/>
      <c r="AJI6" s="165"/>
      <c r="AJJ6" s="165"/>
      <c r="AJK6" s="165"/>
      <c r="AJL6" s="165"/>
      <c r="AJM6" s="165"/>
      <c r="AJN6" s="165"/>
      <c r="AJO6" s="165"/>
      <c r="AJP6" s="165"/>
      <c r="AJQ6" s="165"/>
      <c r="AJR6" s="165"/>
      <c r="AJS6" s="165"/>
      <c r="AJT6" s="165"/>
      <c r="AJU6" s="165"/>
      <c r="AJV6" s="165"/>
      <c r="AJW6" s="165"/>
      <c r="AJX6" s="165"/>
      <c r="AJY6" s="165"/>
      <c r="AJZ6" s="165"/>
      <c r="AKA6" s="165"/>
      <c r="AKB6" s="165"/>
      <c r="AKC6" s="165"/>
      <c r="AKD6" s="165"/>
      <c r="AKE6" s="165"/>
      <c r="AKF6" s="165"/>
      <c r="AKG6" s="165"/>
      <c r="AKH6" s="165"/>
      <c r="AKI6" s="165"/>
      <c r="AKJ6" s="165"/>
      <c r="AKK6" s="165"/>
      <c r="AKL6" s="165"/>
      <c r="AKM6" s="165"/>
      <c r="AKN6" s="165"/>
      <c r="AKO6" s="165"/>
      <c r="AKP6" s="165"/>
      <c r="AKQ6" s="165"/>
      <c r="AKR6" s="165"/>
      <c r="AKS6" s="165"/>
      <c r="AKT6" s="165"/>
      <c r="AKU6" s="165"/>
      <c r="AKV6" s="165"/>
      <c r="AKW6" s="165"/>
      <c r="AKX6" s="165"/>
      <c r="AKY6" s="165"/>
      <c r="AKZ6" s="165"/>
      <c r="ALA6" s="165"/>
      <c r="ALB6" s="165"/>
      <c r="ALC6" s="165"/>
    </row>
    <row r="7" spans="1:993" s="163" customFormat="1" ht="14.85" customHeight="1">
      <c r="A7" s="523" t="s">
        <v>6298</v>
      </c>
      <c r="B7" s="524"/>
      <c r="C7" s="526">
        <v>2.02000036012687E+18</v>
      </c>
      <c r="D7" s="520"/>
      <c r="E7" s="525"/>
      <c r="F7" s="521"/>
      <c r="G7" s="521"/>
      <c r="H7" s="521"/>
      <c r="I7" s="521"/>
      <c r="J7" s="522"/>
      <c r="K7" s="165"/>
      <c r="L7" s="165"/>
      <c r="M7" s="165"/>
      <c r="N7" s="165"/>
      <c r="O7" s="165"/>
      <c r="P7" s="259"/>
      <c r="Q7" s="165"/>
      <c r="R7" s="165"/>
      <c r="S7" s="165"/>
      <c r="T7" s="165"/>
      <c r="U7" s="165"/>
      <c r="V7" s="165"/>
      <c r="W7" s="165"/>
      <c r="X7" s="165"/>
      <c r="Y7" s="165"/>
      <c r="Z7" s="165"/>
      <c r="AA7" s="165"/>
      <c r="AB7" s="165"/>
      <c r="AC7" s="165"/>
      <c r="AD7" s="165"/>
      <c r="AE7" s="165"/>
      <c r="AF7" s="165"/>
      <c r="AG7" s="165"/>
      <c r="AH7" s="165"/>
      <c r="AI7" s="165"/>
      <c r="AJ7" s="165"/>
      <c r="AK7" s="165"/>
      <c r="AL7" s="165"/>
      <c r="AM7" s="165"/>
      <c r="AN7" s="165"/>
      <c r="AO7" s="165"/>
      <c r="AP7" s="165"/>
      <c r="AQ7" s="165"/>
      <c r="AR7" s="165"/>
      <c r="AS7" s="165"/>
      <c r="AT7" s="165"/>
      <c r="AU7" s="165"/>
      <c r="AV7" s="165"/>
      <c r="AW7" s="165"/>
      <c r="AX7" s="165"/>
      <c r="AY7" s="165"/>
      <c r="AZ7" s="165"/>
      <c r="BA7" s="165"/>
      <c r="BB7" s="165"/>
      <c r="BC7" s="165"/>
      <c r="BD7" s="165"/>
      <c r="BE7" s="165"/>
      <c r="BF7" s="165"/>
      <c r="BG7" s="165"/>
      <c r="BH7" s="165"/>
      <c r="BI7" s="165"/>
      <c r="BJ7" s="165"/>
      <c r="BK7" s="165"/>
      <c r="BL7" s="165"/>
      <c r="BM7" s="165"/>
      <c r="BN7" s="165"/>
      <c r="BO7" s="165"/>
      <c r="BP7" s="165"/>
      <c r="BQ7" s="165"/>
      <c r="BR7" s="165"/>
      <c r="BS7" s="165"/>
      <c r="BT7" s="165"/>
      <c r="BU7" s="165"/>
      <c r="BV7" s="165"/>
      <c r="BW7" s="165"/>
      <c r="BX7" s="165"/>
      <c r="BY7" s="165"/>
      <c r="BZ7" s="165"/>
      <c r="CA7" s="165"/>
      <c r="CB7" s="165"/>
      <c r="CC7" s="165"/>
      <c r="CD7" s="165"/>
      <c r="CE7" s="165"/>
      <c r="CF7" s="165"/>
      <c r="CG7" s="165"/>
      <c r="CH7" s="165"/>
      <c r="CI7" s="165"/>
      <c r="CJ7" s="165"/>
      <c r="CK7" s="165"/>
      <c r="CL7" s="165"/>
      <c r="CM7" s="165"/>
      <c r="CN7" s="165"/>
      <c r="CO7" s="165"/>
      <c r="CP7" s="165"/>
      <c r="CQ7" s="165"/>
      <c r="CR7" s="165"/>
      <c r="CS7" s="165"/>
      <c r="CT7" s="165"/>
      <c r="CU7" s="165"/>
      <c r="CV7" s="165"/>
      <c r="CW7" s="165"/>
      <c r="CX7" s="165"/>
      <c r="CY7" s="165"/>
      <c r="CZ7" s="165"/>
      <c r="DA7" s="165"/>
      <c r="DB7" s="165"/>
      <c r="DC7" s="165"/>
      <c r="DD7" s="165"/>
      <c r="DE7" s="165"/>
      <c r="DF7" s="165"/>
      <c r="DG7" s="165"/>
      <c r="DH7" s="165"/>
      <c r="DI7" s="165"/>
      <c r="DJ7" s="165"/>
      <c r="DK7" s="165"/>
      <c r="DL7" s="165"/>
      <c r="DM7" s="165"/>
      <c r="DN7" s="165"/>
      <c r="DO7" s="165"/>
      <c r="DP7" s="165"/>
      <c r="DQ7" s="165"/>
      <c r="DR7" s="165"/>
      <c r="DS7" s="165"/>
      <c r="DT7" s="165"/>
      <c r="DU7" s="165"/>
      <c r="DV7" s="165"/>
      <c r="DW7" s="165"/>
      <c r="DX7" s="165"/>
      <c r="DY7" s="165"/>
      <c r="DZ7" s="165"/>
      <c r="EA7" s="165"/>
      <c r="EB7" s="165"/>
      <c r="EC7" s="165"/>
      <c r="ED7" s="165"/>
      <c r="EE7" s="165"/>
      <c r="EF7" s="165"/>
      <c r="EG7" s="165"/>
      <c r="EH7" s="165"/>
      <c r="EI7" s="165"/>
      <c r="EJ7" s="165"/>
      <c r="EK7" s="165"/>
      <c r="EL7" s="165"/>
      <c r="EM7" s="165"/>
      <c r="EN7" s="165"/>
      <c r="EO7" s="165"/>
      <c r="EP7" s="165"/>
      <c r="EQ7" s="165"/>
      <c r="ER7" s="165"/>
      <c r="ES7" s="165"/>
      <c r="ET7" s="165"/>
      <c r="EU7" s="165"/>
      <c r="EV7" s="165"/>
      <c r="EW7" s="165"/>
      <c r="EX7" s="165"/>
      <c r="EY7" s="165"/>
      <c r="EZ7" s="165"/>
      <c r="FA7" s="165"/>
      <c r="FB7" s="165"/>
      <c r="FC7" s="165"/>
      <c r="FD7" s="165"/>
      <c r="FE7" s="165"/>
      <c r="FF7" s="165"/>
      <c r="FG7" s="165"/>
      <c r="FH7" s="165"/>
      <c r="FI7" s="165"/>
      <c r="FJ7" s="165"/>
      <c r="FK7" s="165"/>
      <c r="FL7" s="165"/>
      <c r="FM7" s="165"/>
      <c r="FN7" s="165"/>
      <c r="FO7" s="165"/>
      <c r="FP7" s="165"/>
      <c r="FQ7" s="165"/>
      <c r="FR7" s="165"/>
      <c r="FS7" s="165"/>
      <c r="FT7" s="165"/>
      <c r="FU7" s="165"/>
      <c r="FV7" s="165"/>
      <c r="FW7" s="165"/>
      <c r="FX7" s="165"/>
      <c r="FY7" s="165"/>
      <c r="FZ7" s="165"/>
      <c r="GA7" s="165"/>
      <c r="GB7" s="165"/>
      <c r="GC7" s="165"/>
      <c r="GD7" s="165"/>
      <c r="GE7" s="165"/>
      <c r="GF7" s="165"/>
      <c r="GG7" s="165"/>
      <c r="GH7" s="165"/>
      <c r="GI7" s="165"/>
      <c r="GJ7" s="165"/>
      <c r="GK7" s="165"/>
      <c r="GL7" s="165"/>
      <c r="GM7" s="165"/>
      <c r="GN7" s="165"/>
      <c r="GO7" s="165"/>
      <c r="GP7" s="165"/>
      <c r="GQ7" s="165"/>
      <c r="GR7" s="165"/>
      <c r="GS7" s="165"/>
      <c r="GT7" s="165"/>
      <c r="GU7" s="165"/>
      <c r="GV7" s="165"/>
      <c r="GW7" s="165"/>
      <c r="GX7" s="165"/>
      <c r="GY7" s="165"/>
      <c r="GZ7" s="165"/>
      <c r="HA7" s="165"/>
      <c r="HB7" s="165"/>
      <c r="HC7" s="165"/>
      <c r="HD7" s="165"/>
      <c r="HE7" s="165"/>
      <c r="HF7" s="165"/>
      <c r="HG7" s="165"/>
      <c r="HH7" s="165"/>
      <c r="HI7" s="165"/>
      <c r="HJ7" s="165"/>
      <c r="HK7" s="165"/>
      <c r="HL7" s="165"/>
      <c r="HM7" s="165"/>
      <c r="HN7" s="165"/>
      <c r="HO7" s="165"/>
      <c r="HP7" s="165"/>
      <c r="HQ7" s="165"/>
      <c r="HR7" s="165"/>
      <c r="HS7" s="165"/>
      <c r="HT7" s="165"/>
      <c r="HU7" s="165"/>
      <c r="HV7" s="165"/>
      <c r="HW7" s="165"/>
      <c r="HX7" s="165"/>
      <c r="HY7" s="165"/>
      <c r="HZ7" s="165"/>
      <c r="IA7" s="165"/>
      <c r="IB7" s="165"/>
      <c r="IC7" s="165"/>
      <c r="ID7" s="165"/>
      <c r="IE7" s="165"/>
      <c r="IF7" s="165"/>
      <c r="IG7" s="165"/>
      <c r="IH7" s="165"/>
      <c r="II7" s="165"/>
      <c r="IJ7" s="165"/>
      <c r="IK7" s="165"/>
      <c r="IL7" s="165"/>
      <c r="IM7" s="165"/>
      <c r="IN7" s="165"/>
      <c r="IO7" s="165"/>
      <c r="IP7" s="165"/>
      <c r="IQ7" s="165"/>
      <c r="IR7" s="165"/>
      <c r="IS7" s="165"/>
      <c r="IT7" s="165"/>
      <c r="IU7" s="165"/>
      <c r="IV7" s="165"/>
      <c r="IW7" s="165"/>
      <c r="IX7" s="165"/>
      <c r="IY7" s="165"/>
      <c r="IZ7" s="165"/>
      <c r="JA7" s="165"/>
      <c r="JB7" s="165"/>
      <c r="JC7" s="165"/>
      <c r="JD7" s="165"/>
      <c r="JE7" s="165"/>
      <c r="JF7" s="165"/>
      <c r="JG7" s="165"/>
      <c r="JH7" s="165"/>
      <c r="JI7" s="165"/>
      <c r="JJ7" s="165"/>
      <c r="JK7" s="165"/>
      <c r="JL7" s="165"/>
      <c r="JM7" s="165"/>
      <c r="JN7" s="165"/>
      <c r="JO7" s="165"/>
      <c r="JP7" s="165"/>
      <c r="JQ7" s="165"/>
      <c r="JR7" s="165"/>
      <c r="JS7" s="165"/>
      <c r="JT7" s="165"/>
      <c r="JU7" s="165"/>
      <c r="JV7" s="165"/>
      <c r="JW7" s="165"/>
      <c r="JX7" s="165"/>
      <c r="JY7" s="165"/>
      <c r="JZ7" s="165"/>
      <c r="KA7" s="165"/>
      <c r="KB7" s="165"/>
      <c r="KC7" s="165"/>
      <c r="KD7" s="165"/>
      <c r="KE7" s="165"/>
      <c r="KF7" s="165"/>
      <c r="KG7" s="165"/>
      <c r="KH7" s="165"/>
      <c r="KI7" s="165"/>
      <c r="KJ7" s="165"/>
      <c r="KK7" s="165"/>
      <c r="KL7" s="165"/>
      <c r="KM7" s="165"/>
      <c r="KN7" s="165"/>
      <c r="KO7" s="165"/>
      <c r="KP7" s="165"/>
      <c r="KQ7" s="165"/>
      <c r="KR7" s="165"/>
      <c r="KS7" s="165"/>
      <c r="KT7" s="165"/>
      <c r="KU7" s="165"/>
      <c r="KV7" s="165"/>
      <c r="KW7" s="165"/>
      <c r="KX7" s="165"/>
      <c r="KY7" s="165"/>
      <c r="KZ7" s="165"/>
      <c r="LA7" s="165"/>
      <c r="LB7" s="165"/>
      <c r="LC7" s="165"/>
      <c r="LD7" s="165"/>
      <c r="LE7" s="165"/>
      <c r="LF7" s="165"/>
      <c r="LG7" s="165"/>
      <c r="LH7" s="165"/>
      <c r="LI7" s="165"/>
      <c r="LJ7" s="165"/>
      <c r="LK7" s="165"/>
      <c r="LL7" s="165"/>
      <c r="LM7" s="165"/>
      <c r="LN7" s="165"/>
      <c r="LO7" s="165"/>
      <c r="LP7" s="165"/>
      <c r="LQ7" s="165"/>
      <c r="LR7" s="165"/>
      <c r="LS7" s="165"/>
      <c r="LT7" s="165"/>
      <c r="LU7" s="165"/>
      <c r="LV7" s="165"/>
      <c r="LW7" s="165"/>
      <c r="LX7" s="165"/>
      <c r="LY7" s="165"/>
      <c r="LZ7" s="165"/>
      <c r="MA7" s="165"/>
      <c r="MB7" s="165"/>
      <c r="MC7" s="165"/>
      <c r="MD7" s="165"/>
      <c r="ME7" s="165"/>
      <c r="MF7" s="165"/>
      <c r="MG7" s="165"/>
      <c r="MH7" s="165"/>
      <c r="MI7" s="165"/>
      <c r="MJ7" s="165"/>
      <c r="MK7" s="165"/>
      <c r="ML7" s="165"/>
      <c r="MM7" s="165"/>
      <c r="MN7" s="165"/>
      <c r="MO7" s="165"/>
      <c r="MP7" s="165"/>
      <c r="MQ7" s="165"/>
      <c r="MR7" s="165"/>
      <c r="MS7" s="165"/>
      <c r="MT7" s="165"/>
      <c r="MU7" s="165"/>
      <c r="MV7" s="165"/>
      <c r="MW7" s="165"/>
      <c r="MX7" s="165"/>
      <c r="MY7" s="165"/>
      <c r="MZ7" s="165"/>
      <c r="NA7" s="165"/>
      <c r="NB7" s="165"/>
      <c r="NC7" s="165"/>
      <c r="ND7" s="165"/>
      <c r="NE7" s="165"/>
      <c r="NF7" s="165"/>
      <c r="NG7" s="165"/>
      <c r="NH7" s="165"/>
      <c r="NI7" s="165"/>
      <c r="NJ7" s="165"/>
      <c r="NK7" s="165"/>
      <c r="NL7" s="165"/>
      <c r="NM7" s="165"/>
      <c r="NN7" s="165"/>
      <c r="NO7" s="165"/>
      <c r="NP7" s="165"/>
      <c r="NQ7" s="165"/>
      <c r="NR7" s="165"/>
      <c r="NS7" s="165"/>
      <c r="NT7" s="165"/>
      <c r="NU7" s="165"/>
      <c r="NV7" s="165"/>
      <c r="NW7" s="165"/>
      <c r="NX7" s="165"/>
      <c r="NY7" s="165"/>
      <c r="NZ7" s="165"/>
      <c r="OA7" s="165"/>
      <c r="OB7" s="165"/>
      <c r="OC7" s="165"/>
      <c r="OD7" s="165"/>
      <c r="OE7" s="165"/>
      <c r="OF7" s="165"/>
      <c r="OG7" s="165"/>
      <c r="OH7" s="165"/>
      <c r="OI7" s="165"/>
      <c r="OJ7" s="165"/>
      <c r="OK7" s="165"/>
      <c r="OL7" s="165"/>
      <c r="OM7" s="165"/>
      <c r="ON7" s="165"/>
      <c r="OO7" s="165"/>
      <c r="OP7" s="165"/>
      <c r="OQ7" s="165"/>
      <c r="OR7" s="165"/>
      <c r="OS7" s="165"/>
      <c r="OT7" s="165"/>
      <c r="OU7" s="165"/>
      <c r="OV7" s="165"/>
      <c r="OW7" s="165"/>
      <c r="OX7" s="165"/>
      <c r="OY7" s="165"/>
      <c r="OZ7" s="165"/>
      <c r="PA7" s="165"/>
      <c r="PB7" s="165"/>
      <c r="PC7" s="165"/>
      <c r="PD7" s="165"/>
      <c r="PE7" s="165"/>
      <c r="PF7" s="165"/>
      <c r="PG7" s="165"/>
      <c r="PH7" s="165"/>
      <c r="PI7" s="165"/>
      <c r="PJ7" s="165"/>
      <c r="PK7" s="165"/>
      <c r="PL7" s="165"/>
      <c r="PM7" s="165"/>
      <c r="PN7" s="165"/>
      <c r="PO7" s="165"/>
      <c r="PP7" s="165"/>
      <c r="PQ7" s="165"/>
      <c r="PR7" s="165"/>
      <c r="PS7" s="165"/>
      <c r="PT7" s="165"/>
      <c r="PU7" s="165"/>
      <c r="PV7" s="165"/>
      <c r="PW7" s="165"/>
      <c r="PX7" s="165"/>
      <c r="PY7" s="165"/>
      <c r="PZ7" s="165"/>
      <c r="QA7" s="165"/>
      <c r="QB7" s="165"/>
      <c r="QC7" s="165"/>
      <c r="QD7" s="165"/>
      <c r="QE7" s="165"/>
      <c r="QF7" s="165"/>
      <c r="QG7" s="165"/>
      <c r="QH7" s="165"/>
      <c r="QI7" s="165"/>
      <c r="QJ7" s="165"/>
      <c r="QK7" s="165"/>
      <c r="QL7" s="165"/>
      <c r="QM7" s="165"/>
      <c r="QN7" s="165"/>
      <c r="QO7" s="165"/>
      <c r="QP7" s="165"/>
      <c r="QQ7" s="165"/>
      <c r="QR7" s="165"/>
      <c r="QS7" s="165"/>
      <c r="QT7" s="165"/>
      <c r="QU7" s="165"/>
      <c r="QV7" s="165"/>
      <c r="QW7" s="165"/>
      <c r="QX7" s="165"/>
      <c r="QY7" s="165"/>
      <c r="QZ7" s="165"/>
      <c r="RA7" s="165"/>
      <c r="RB7" s="165"/>
      <c r="RC7" s="165"/>
      <c r="RD7" s="165"/>
      <c r="RE7" s="165"/>
      <c r="RF7" s="165"/>
      <c r="RG7" s="165"/>
      <c r="RH7" s="165"/>
      <c r="RI7" s="165"/>
      <c r="RJ7" s="165"/>
      <c r="RK7" s="165"/>
      <c r="RL7" s="165"/>
      <c r="RM7" s="165"/>
      <c r="RN7" s="165"/>
      <c r="RO7" s="165"/>
      <c r="RP7" s="165"/>
      <c r="RQ7" s="165"/>
      <c r="RR7" s="165"/>
      <c r="RS7" s="165"/>
      <c r="RT7" s="165"/>
      <c r="RU7" s="165"/>
      <c r="RV7" s="165"/>
      <c r="RW7" s="165"/>
      <c r="RX7" s="165"/>
      <c r="RY7" s="165"/>
      <c r="RZ7" s="165"/>
      <c r="SA7" s="165"/>
      <c r="SB7" s="165"/>
      <c r="SC7" s="165"/>
      <c r="SD7" s="165"/>
      <c r="SE7" s="165"/>
      <c r="SF7" s="165"/>
      <c r="SG7" s="165"/>
      <c r="SH7" s="165"/>
      <c r="SI7" s="165"/>
      <c r="SJ7" s="165"/>
      <c r="SK7" s="165"/>
      <c r="SL7" s="165"/>
      <c r="SM7" s="165"/>
      <c r="SN7" s="165"/>
      <c r="SO7" s="165"/>
      <c r="SP7" s="165"/>
      <c r="SQ7" s="165"/>
      <c r="SR7" s="165"/>
      <c r="SS7" s="165"/>
      <c r="ST7" s="165"/>
      <c r="SU7" s="165"/>
      <c r="SV7" s="165"/>
      <c r="SW7" s="165"/>
      <c r="SX7" s="165"/>
      <c r="SY7" s="165"/>
      <c r="SZ7" s="165"/>
      <c r="TA7" s="165"/>
      <c r="TB7" s="165"/>
      <c r="TC7" s="165"/>
      <c r="TD7" s="165"/>
      <c r="TE7" s="165"/>
      <c r="TF7" s="165"/>
      <c r="TG7" s="165"/>
      <c r="TH7" s="165"/>
      <c r="TI7" s="165"/>
      <c r="TJ7" s="165"/>
      <c r="TK7" s="165"/>
      <c r="TL7" s="165"/>
      <c r="TM7" s="165"/>
      <c r="TN7" s="165"/>
      <c r="TO7" s="165"/>
      <c r="TP7" s="165"/>
      <c r="TQ7" s="165"/>
      <c r="TR7" s="165"/>
      <c r="TS7" s="165"/>
      <c r="TT7" s="165"/>
      <c r="TU7" s="165"/>
      <c r="TV7" s="165"/>
      <c r="TW7" s="165"/>
      <c r="TX7" s="165"/>
      <c r="TY7" s="165"/>
      <c r="TZ7" s="165"/>
      <c r="UA7" s="165"/>
      <c r="UB7" s="165"/>
      <c r="UC7" s="165"/>
      <c r="UD7" s="165"/>
      <c r="UE7" s="165"/>
      <c r="UF7" s="165"/>
      <c r="UG7" s="165"/>
      <c r="UH7" s="165"/>
      <c r="UI7" s="165"/>
      <c r="UJ7" s="165"/>
      <c r="UK7" s="165"/>
      <c r="UL7" s="165"/>
      <c r="UM7" s="165"/>
      <c r="UN7" s="165"/>
      <c r="UO7" s="165"/>
      <c r="UP7" s="165"/>
      <c r="UQ7" s="165"/>
      <c r="UR7" s="165"/>
      <c r="US7" s="165"/>
      <c r="UT7" s="165"/>
      <c r="UU7" s="165"/>
      <c r="UV7" s="165"/>
      <c r="UW7" s="165"/>
      <c r="UX7" s="165"/>
      <c r="UY7" s="165"/>
      <c r="UZ7" s="165"/>
      <c r="VA7" s="165"/>
      <c r="VB7" s="165"/>
      <c r="VC7" s="165"/>
      <c r="VD7" s="165"/>
      <c r="VE7" s="165"/>
      <c r="VF7" s="165"/>
      <c r="VG7" s="165"/>
      <c r="VH7" s="165"/>
      <c r="VI7" s="165"/>
      <c r="VJ7" s="165"/>
      <c r="VK7" s="165"/>
      <c r="VL7" s="165"/>
      <c r="VM7" s="165"/>
      <c r="VN7" s="165"/>
      <c r="VO7" s="165"/>
      <c r="VP7" s="165"/>
      <c r="VQ7" s="165"/>
      <c r="VR7" s="165"/>
      <c r="VS7" s="165"/>
      <c r="VT7" s="165"/>
      <c r="VU7" s="165"/>
      <c r="VV7" s="165"/>
      <c r="VW7" s="165"/>
      <c r="VX7" s="165"/>
      <c r="VY7" s="165"/>
      <c r="VZ7" s="165"/>
      <c r="WA7" s="165"/>
      <c r="WB7" s="165"/>
      <c r="WC7" s="165"/>
      <c r="WD7" s="165"/>
      <c r="WE7" s="165"/>
      <c r="WF7" s="165"/>
      <c r="WG7" s="165"/>
      <c r="WH7" s="165"/>
      <c r="WI7" s="165"/>
      <c r="WJ7" s="165"/>
      <c r="WK7" s="165"/>
      <c r="WL7" s="165"/>
      <c r="WM7" s="165"/>
      <c r="WN7" s="165"/>
      <c r="WO7" s="165"/>
      <c r="WP7" s="165"/>
      <c r="WQ7" s="165"/>
      <c r="WR7" s="165"/>
      <c r="WS7" s="165"/>
      <c r="WT7" s="165"/>
      <c r="WU7" s="165"/>
      <c r="WV7" s="165"/>
      <c r="WW7" s="165"/>
      <c r="WX7" s="165"/>
      <c r="WY7" s="165"/>
      <c r="WZ7" s="165"/>
      <c r="XA7" s="165"/>
      <c r="XB7" s="165"/>
      <c r="XC7" s="165"/>
      <c r="XD7" s="165"/>
      <c r="XE7" s="165"/>
      <c r="XF7" s="165"/>
      <c r="XG7" s="165"/>
      <c r="XH7" s="165"/>
      <c r="XI7" s="165"/>
      <c r="XJ7" s="165"/>
      <c r="XK7" s="165"/>
      <c r="XL7" s="165"/>
      <c r="XM7" s="165"/>
      <c r="XN7" s="165"/>
      <c r="XO7" s="165"/>
      <c r="XP7" s="165"/>
      <c r="XQ7" s="165"/>
      <c r="XR7" s="165"/>
      <c r="XS7" s="165"/>
      <c r="XT7" s="165"/>
      <c r="XU7" s="165"/>
      <c r="XV7" s="165"/>
      <c r="XW7" s="165"/>
      <c r="XX7" s="165"/>
      <c r="XY7" s="165"/>
      <c r="XZ7" s="165"/>
      <c r="YA7" s="165"/>
      <c r="YB7" s="165"/>
      <c r="YC7" s="165"/>
      <c r="YD7" s="165"/>
      <c r="YE7" s="165"/>
      <c r="YF7" s="165"/>
      <c r="YG7" s="165"/>
      <c r="YH7" s="165"/>
      <c r="YI7" s="165"/>
      <c r="YJ7" s="165"/>
      <c r="YK7" s="165"/>
      <c r="YL7" s="165"/>
      <c r="YM7" s="165"/>
      <c r="YN7" s="165"/>
      <c r="YO7" s="165"/>
      <c r="YP7" s="165"/>
      <c r="YQ7" s="165"/>
      <c r="YR7" s="165"/>
      <c r="YS7" s="165"/>
      <c r="YT7" s="165"/>
      <c r="YU7" s="165"/>
      <c r="YV7" s="165"/>
      <c r="YW7" s="165"/>
      <c r="YX7" s="165"/>
      <c r="YY7" s="165"/>
      <c r="YZ7" s="165"/>
      <c r="ZA7" s="165"/>
      <c r="ZB7" s="165"/>
      <c r="ZC7" s="165"/>
      <c r="ZD7" s="165"/>
      <c r="ZE7" s="165"/>
      <c r="ZF7" s="165"/>
      <c r="ZG7" s="165"/>
      <c r="ZH7" s="165"/>
      <c r="ZI7" s="165"/>
      <c r="ZJ7" s="165"/>
      <c r="ZK7" s="165"/>
      <c r="ZL7" s="165"/>
      <c r="ZM7" s="165"/>
      <c r="ZN7" s="165"/>
      <c r="ZO7" s="165"/>
      <c r="ZP7" s="165"/>
      <c r="ZQ7" s="165"/>
      <c r="ZR7" s="165"/>
      <c r="ZS7" s="165"/>
      <c r="ZT7" s="165"/>
      <c r="ZU7" s="165"/>
      <c r="ZV7" s="165"/>
      <c r="ZW7" s="165"/>
      <c r="ZX7" s="165"/>
      <c r="ZY7" s="165"/>
      <c r="ZZ7" s="165"/>
      <c r="AAA7" s="165"/>
      <c r="AAB7" s="165"/>
      <c r="AAC7" s="165"/>
      <c r="AAD7" s="165"/>
      <c r="AAE7" s="165"/>
      <c r="AAF7" s="165"/>
      <c r="AAG7" s="165"/>
      <c r="AAH7" s="165"/>
      <c r="AAI7" s="165"/>
      <c r="AAJ7" s="165"/>
      <c r="AAK7" s="165"/>
      <c r="AAL7" s="165"/>
      <c r="AAM7" s="165"/>
      <c r="AAN7" s="165"/>
      <c r="AAO7" s="165"/>
      <c r="AAP7" s="165"/>
      <c r="AAQ7" s="165"/>
      <c r="AAR7" s="165"/>
      <c r="AAS7" s="165"/>
      <c r="AAT7" s="165"/>
      <c r="AAU7" s="165"/>
      <c r="AAV7" s="165"/>
      <c r="AAW7" s="165"/>
      <c r="AAX7" s="165"/>
      <c r="AAY7" s="165"/>
      <c r="AAZ7" s="165"/>
      <c r="ABA7" s="165"/>
      <c r="ABB7" s="165"/>
      <c r="ABC7" s="165"/>
      <c r="ABD7" s="165"/>
      <c r="ABE7" s="165"/>
      <c r="ABF7" s="165"/>
      <c r="ABG7" s="165"/>
      <c r="ABH7" s="165"/>
      <c r="ABI7" s="165"/>
      <c r="ABJ7" s="165"/>
      <c r="ABK7" s="165"/>
      <c r="ABL7" s="165"/>
      <c r="ABM7" s="165"/>
      <c r="ABN7" s="165"/>
      <c r="ABO7" s="165"/>
      <c r="ABP7" s="165"/>
      <c r="ABQ7" s="165"/>
      <c r="ABR7" s="165"/>
      <c r="ABS7" s="165"/>
      <c r="ABT7" s="165"/>
      <c r="ABU7" s="165"/>
      <c r="ABV7" s="165"/>
      <c r="ABW7" s="165"/>
      <c r="ABX7" s="165"/>
      <c r="ABY7" s="165"/>
      <c r="ABZ7" s="165"/>
      <c r="ACA7" s="165"/>
      <c r="ACB7" s="165"/>
      <c r="ACC7" s="165"/>
      <c r="ACD7" s="165"/>
      <c r="ACE7" s="165"/>
      <c r="ACF7" s="165"/>
      <c r="ACG7" s="165"/>
      <c r="ACH7" s="165"/>
      <c r="ACI7" s="165"/>
      <c r="ACJ7" s="165"/>
      <c r="ACK7" s="165"/>
      <c r="ACL7" s="165"/>
      <c r="ACM7" s="165"/>
      <c r="ACN7" s="165"/>
      <c r="ACO7" s="165"/>
      <c r="ACP7" s="165"/>
      <c r="ACQ7" s="165"/>
      <c r="ACR7" s="165"/>
      <c r="ACS7" s="165"/>
      <c r="ACT7" s="165"/>
      <c r="ACU7" s="165"/>
      <c r="ACV7" s="165"/>
      <c r="ACW7" s="165"/>
      <c r="ACX7" s="165"/>
      <c r="ACY7" s="165"/>
      <c r="ACZ7" s="165"/>
      <c r="ADA7" s="165"/>
      <c r="ADB7" s="165"/>
      <c r="ADC7" s="165"/>
      <c r="ADD7" s="165"/>
      <c r="ADE7" s="165"/>
      <c r="ADF7" s="165"/>
      <c r="ADG7" s="165"/>
      <c r="ADH7" s="165"/>
      <c r="ADI7" s="165"/>
      <c r="ADJ7" s="165"/>
      <c r="ADK7" s="165"/>
      <c r="ADL7" s="165"/>
      <c r="ADM7" s="165"/>
      <c r="ADN7" s="165"/>
      <c r="ADO7" s="165"/>
      <c r="ADP7" s="165"/>
      <c r="ADQ7" s="165"/>
      <c r="ADR7" s="165"/>
      <c r="ADS7" s="165"/>
      <c r="ADT7" s="165"/>
      <c r="ADU7" s="165"/>
      <c r="ADV7" s="165"/>
      <c r="ADW7" s="165"/>
      <c r="ADX7" s="165"/>
      <c r="ADY7" s="165"/>
      <c r="ADZ7" s="165"/>
      <c r="AEA7" s="165"/>
      <c r="AEB7" s="165"/>
      <c r="AEC7" s="165"/>
      <c r="AED7" s="165"/>
      <c r="AEE7" s="165"/>
      <c r="AEF7" s="165"/>
      <c r="AEG7" s="165"/>
      <c r="AEH7" s="165"/>
      <c r="AEI7" s="165"/>
      <c r="AEJ7" s="165"/>
      <c r="AEK7" s="165"/>
      <c r="AEL7" s="165"/>
      <c r="AEM7" s="165"/>
      <c r="AEN7" s="165"/>
      <c r="AEO7" s="165"/>
      <c r="AEP7" s="165"/>
      <c r="AEQ7" s="165"/>
      <c r="AER7" s="165"/>
      <c r="AES7" s="165"/>
      <c r="AET7" s="165"/>
      <c r="AEU7" s="165"/>
      <c r="AEV7" s="165"/>
      <c r="AEW7" s="165"/>
      <c r="AEX7" s="165"/>
      <c r="AEY7" s="165"/>
      <c r="AEZ7" s="165"/>
      <c r="AFA7" s="165"/>
      <c r="AFB7" s="165"/>
      <c r="AFC7" s="165"/>
      <c r="AFD7" s="165"/>
      <c r="AFE7" s="165"/>
      <c r="AFF7" s="165"/>
      <c r="AFG7" s="165"/>
      <c r="AFH7" s="165"/>
      <c r="AFI7" s="165"/>
      <c r="AFJ7" s="165"/>
      <c r="AFK7" s="165"/>
      <c r="AFL7" s="165"/>
      <c r="AFM7" s="165"/>
      <c r="AFN7" s="165"/>
      <c r="AFO7" s="165"/>
      <c r="AFP7" s="165"/>
      <c r="AFQ7" s="165"/>
      <c r="AFR7" s="165"/>
      <c r="AFS7" s="165"/>
      <c r="AFT7" s="165"/>
      <c r="AFU7" s="165"/>
      <c r="AFV7" s="165"/>
      <c r="AFW7" s="165"/>
      <c r="AFX7" s="165"/>
      <c r="AFY7" s="165"/>
      <c r="AFZ7" s="165"/>
      <c r="AGA7" s="165"/>
      <c r="AGB7" s="165"/>
      <c r="AGC7" s="165"/>
      <c r="AGD7" s="165"/>
      <c r="AGE7" s="165"/>
      <c r="AGF7" s="165"/>
      <c r="AGG7" s="165"/>
      <c r="AGH7" s="165"/>
      <c r="AGI7" s="165"/>
      <c r="AGJ7" s="165"/>
      <c r="AGK7" s="165"/>
      <c r="AGL7" s="165"/>
      <c r="AGM7" s="165"/>
      <c r="AGN7" s="165"/>
      <c r="AGO7" s="165"/>
      <c r="AGP7" s="165"/>
      <c r="AGQ7" s="165"/>
      <c r="AGR7" s="165"/>
      <c r="AGS7" s="165"/>
      <c r="AGT7" s="165"/>
      <c r="AGU7" s="165"/>
      <c r="AGV7" s="165"/>
      <c r="AGW7" s="165"/>
      <c r="AGX7" s="165"/>
      <c r="AGY7" s="165"/>
      <c r="AGZ7" s="165"/>
      <c r="AHA7" s="165"/>
      <c r="AHB7" s="165"/>
      <c r="AHC7" s="165"/>
      <c r="AHD7" s="165"/>
      <c r="AHE7" s="165"/>
      <c r="AHF7" s="165"/>
      <c r="AHG7" s="165"/>
      <c r="AHH7" s="165"/>
      <c r="AHI7" s="165"/>
      <c r="AHJ7" s="165"/>
      <c r="AHK7" s="165"/>
      <c r="AHL7" s="165"/>
      <c r="AHM7" s="165"/>
      <c r="AHN7" s="165"/>
      <c r="AHO7" s="165"/>
      <c r="AHP7" s="165"/>
      <c r="AHQ7" s="165"/>
      <c r="AHR7" s="165"/>
      <c r="AHS7" s="165"/>
      <c r="AHT7" s="165"/>
      <c r="AHU7" s="165"/>
      <c r="AHV7" s="165"/>
      <c r="AHW7" s="165"/>
      <c r="AHX7" s="165"/>
      <c r="AHY7" s="165"/>
      <c r="AHZ7" s="165"/>
      <c r="AIA7" s="165"/>
      <c r="AIB7" s="165"/>
      <c r="AIC7" s="165"/>
      <c r="AID7" s="165"/>
      <c r="AIE7" s="165"/>
      <c r="AIF7" s="165"/>
      <c r="AIG7" s="165"/>
      <c r="AIH7" s="165"/>
      <c r="AII7" s="165"/>
      <c r="AIJ7" s="165"/>
      <c r="AIK7" s="165"/>
      <c r="AIL7" s="165"/>
      <c r="AIM7" s="165"/>
      <c r="AIN7" s="165"/>
      <c r="AIO7" s="165"/>
      <c r="AIP7" s="165"/>
      <c r="AIQ7" s="165"/>
      <c r="AIR7" s="165"/>
      <c r="AIS7" s="165"/>
      <c r="AIT7" s="165"/>
      <c r="AIU7" s="165"/>
      <c r="AIV7" s="165"/>
      <c r="AIW7" s="165"/>
      <c r="AIX7" s="165"/>
      <c r="AIY7" s="165"/>
      <c r="AIZ7" s="165"/>
      <c r="AJA7" s="165"/>
      <c r="AJB7" s="165"/>
      <c r="AJC7" s="165"/>
      <c r="AJD7" s="165"/>
      <c r="AJE7" s="165"/>
      <c r="AJF7" s="165"/>
      <c r="AJG7" s="165"/>
      <c r="AJH7" s="165"/>
      <c r="AJI7" s="165"/>
      <c r="AJJ7" s="165"/>
      <c r="AJK7" s="165"/>
      <c r="AJL7" s="165"/>
      <c r="AJM7" s="165"/>
      <c r="AJN7" s="165"/>
      <c r="AJO7" s="165"/>
      <c r="AJP7" s="165"/>
      <c r="AJQ7" s="165"/>
      <c r="AJR7" s="165"/>
      <c r="AJS7" s="165"/>
      <c r="AJT7" s="165"/>
      <c r="AJU7" s="165"/>
      <c r="AJV7" s="165"/>
      <c r="AJW7" s="165"/>
      <c r="AJX7" s="165"/>
      <c r="AJY7" s="165"/>
      <c r="AJZ7" s="165"/>
      <c r="AKA7" s="165"/>
      <c r="AKB7" s="165"/>
      <c r="AKC7" s="165"/>
      <c r="AKD7" s="165"/>
      <c r="AKE7" s="165"/>
      <c r="AKF7" s="165"/>
      <c r="AKG7" s="165"/>
      <c r="AKH7" s="165"/>
      <c r="AKI7" s="165"/>
      <c r="AKJ7" s="165"/>
      <c r="AKK7" s="165"/>
      <c r="AKL7" s="165"/>
      <c r="AKM7" s="165"/>
      <c r="AKN7" s="165"/>
      <c r="AKO7" s="165"/>
      <c r="AKP7" s="165"/>
      <c r="AKQ7" s="165"/>
      <c r="AKR7" s="165"/>
      <c r="AKS7" s="165"/>
      <c r="AKT7" s="165"/>
      <c r="AKU7" s="165"/>
      <c r="AKV7" s="165"/>
      <c r="AKW7" s="165"/>
      <c r="AKX7" s="165"/>
      <c r="AKY7" s="165"/>
      <c r="AKZ7" s="165"/>
      <c r="ALA7" s="165"/>
      <c r="ALB7" s="165"/>
      <c r="ALC7" s="165"/>
    </row>
    <row r="8" spans="1:993" s="163" customFormat="1" ht="14.85" customHeight="1">
      <c r="A8" s="523" t="s">
        <v>6299</v>
      </c>
      <c r="B8" s="524"/>
      <c r="C8" s="519" t="s">
        <v>6294</v>
      </c>
      <c r="D8" s="520"/>
      <c r="E8" s="525"/>
      <c r="F8" s="521"/>
      <c r="G8" s="521"/>
      <c r="H8" s="521"/>
      <c r="I8" s="521"/>
      <c r="J8" s="522"/>
      <c r="K8" s="165"/>
      <c r="L8" s="165"/>
      <c r="M8" s="165"/>
      <c r="N8" s="165"/>
      <c r="O8" s="165"/>
      <c r="P8" s="259"/>
      <c r="Q8" s="165"/>
      <c r="R8" s="165"/>
      <c r="S8" s="165"/>
      <c r="T8" s="165"/>
      <c r="U8" s="165"/>
      <c r="V8" s="165"/>
      <c r="W8" s="165"/>
      <c r="X8" s="165"/>
      <c r="Y8" s="165"/>
      <c r="Z8" s="165"/>
      <c r="AA8" s="165"/>
      <c r="AB8" s="165"/>
      <c r="AC8" s="165"/>
      <c r="AD8" s="165"/>
      <c r="AE8" s="165"/>
      <c r="AF8" s="165"/>
      <c r="AG8" s="165"/>
      <c r="AH8" s="165"/>
      <c r="AI8" s="165"/>
      <c r="AJ8" s="165"/>
      <c r="AK8" s="165"/>
      <c r="AL8" s="165"/>
      <c r="AM8" s="165"/>
      <c r="AN8" s="165"/>
      <c r="AO8" s="165"/>
      <c r="AP8" s="165"/>
      <c r="AQ8" s="165"/>
      <c r="AR8" s="165"/>
      <c r="AS8" s="165"/>
      <c r="AT8" s="165"/>
      <c r="AU8" s="165"/>
      <c r="AV8" s="165"/>
      <c r="AW8" s="165"/>
      <c r="AX8" s="165"/>
      <c r="AY8" s="165"/>
      <c r="AZ8" s="165"/>
      <c r="BA8" s="165"/>
      <c r="BB8" s="165"/>
      <c r="BC8" s="165"/>
      <c r="BD8" s="165"/>
      <c r="BE8" s="165"/>
      <c r="BF8" s="165"/>
      <c r="BG8" s="165"/>
      <c r="BH8" s="165"/>
      <c r="BI8" s="165"/>
      <c r="BJ8" s="165"/>
      <c r="BK8" s="165"/>
      <c r="BL8" s="165"/>
      <c r="BM8" s="165"/>
      <c r="BN8" s="165"/>
      <c r="BO8" s="165"/>
      <c r="BP8" s="165"/>
      <c r="BQ8" s="165"/>
      <c r="BR8" s="165"/>
      <c r="BS8" s="165"/>
      <c r="BT8" s="165"/>
      <c r="BU8" s="165"/>
      <c r="BV8" s="165"/>
      <c r="BW8" s="165"/>
      <c r="BX8" s="165"/>
      <c r="BY8" s="165"/>
      <c r="BZ8" s="165"/>
      <c r="CA8" s="165"/>
      <c r="CB8" s="165"/>
      <c r="CC8" s="165"/>
      <c r="CD8" s="165"/>
      <c r="CE8" s="165"/>
      <c r="CF8" s="165"/>
      <c r="CG8" s="165"/>
      <c r="CH8" s="165"/>
      <c r="CI8" s="165"/>
      <c r="CJ8" s="165"/>
      <c r="CK8" s="165"/>
      <c r="CL8" s="165"/>
      <c r="CM8" s="165"/>
      <c r="CN8" s="165"/>
      <c r="CO8" s="165"/>
      <c r="CP8" s="165"/>
      <c r="CQ8" s="165"/>
      <c r="CR8" s="165"/>
      <c r="CS8" s="165"/>
      <c r="CT8" s="165"/>
      <c r="CU8" s="165"/>
      <c r="CV8" s="165"/>
      <c r="CW8" s="165"/>
      <c r="CX8" s="165"/>
      <c r="CY8" s="165"/>
      <c r="CZ8" s="165"/>
      <c r="DA8" s="165"/>
      <c r="DB8" s="165"/>
      <c r="DC8" s="165"/>
      <c r="DD8" s="165"/>
      <c r="DE8" s="165"/>
      <c r="DF8" s="165"/>
      <c r="DG8" s="165"/>
      <c r="DH8" s="165"/>
      <c r="DI8" s="165"/>
      <c r="DJ8" s="165"/>
      <c r="DK8" s="165"/>
      <c r="DL8" s="165"/>
      <c r="DM8" s="165"/>
      <c r="DN8" s="165"/>
      <c r="DO8" s="165"/>
      <c r="DP8" s="165"/>
      <c r="DQ8" s="165"/>
      <c r="DR8" s="165"/>
      <c r="DS8" s="165"/>
      <c r="DT8" s="165"/>
      <c r="DU8" s="165"/>
      <c r="DV8" s="165"/>
      <c r="DW8" s="165"/>
      <c r="DX8" s="165"/>
      <c r="DY8" s="165"/>
      <c r="DZ8" s="165"/>
      <c r="EA8" s="165"/>
      <c r="EB8" s="165"/>
      <c r="EC8" s="165"/>
      <c r="ED8" s="165"/>
      <c r="EE8" s="165"/>
      <c r="EF8" s="165"/>
      <c r="EG8" s="165"/>
      <c r="EH8" s="165"/>
      <c r="EI8" s="165"/>
      <c r="EJ8" s="165"/>
      <c r="EK8" s="165"/>
      <c r="EL8" s="165"/>
      <c r="EM8" s="165"/>
      <c r="EN8" s="165"/>
      <c r="EO8" s="165"/>
      <c r="EP8" s="165"/>
      <c r="EQ8" s="165"/>
      <c r="ER8" s="165"/>
      <c r="ES8" s="165"/>
      <c r="ET8" s="165"/>
      <c r="EU8" s="165"/>
      <c r="EV8" s="165"/>
      <c r="EW8" s="165"/>
      <c r="EX8" s="165"/>
      <c r="EY8" s="165"/>
      <c r="EZ8" s="165"/>
      <c r="FA8" s="165"/>
      <c r="FB8" s="165"/>
      <c r="FC8" s="165"/>
      <c r="FD8" s="165"/>
      <c r="FE8" s="165"/>
      <c r="FF8" s="165"/>
      <c r="FG8" s="165"/>
      <c r="FH8" s="165"/>
      <c r="FI8" s="165"/>
      <c r="FJ8" s="165"/>
      <c r="FK8" s="165"/>
      <c r="FL8" s="165"/>
      <c r="FM8" s="165"/>
      <c r="FN8" s="165"/>
      <c r="FO8" s="165"/>
      <c r="FP8" s="165"/>
      <c r="FQ8" s="165"/>
      <c r="FR8" s="165"/>
      <c r="FS8" s="165"/>
      <c r="FT8" s="165"/>
      <c r="FU8" s="165"/>
      <c r="FV8" s="165"/>
      <c r="FW8" s="165"/>
      <c r="FX8" s="165"/>
      <c r="FY8" s="165"/>
      <c r="FZ8" s="165"/>
      <c r="GA8" s="165"/>
      <c r="GB8" s="165"/>
      <c r="GC8" s="165"/>
      <c r="GD8" s="165"/>
      <c r="GE8" s="165"/>
      <c r="GF8" s="165"/>
      <c r="GG8" s="165"/>
      <c r="GH8" s="165"/>
      <c r="GI8" s="165"/>
      <c r="GJ8" s="165"/>
      <c r="GK8" s="165"/>
      <c r="GL8" s="165"/>
      <c r="GM8" s="165"/>
      <c r="GN8" s="165"/>
      <c r="GO8" s="165"/>
      <c r="GP8" s="165"/>
      <c r="GQ8" s="165"/>
      <c r="GR8" s="165"/>
      <c r="GS8" s="165"/>
      <c r="GT8" s="165"/>
      <c r="GU8" s="165"/>
      <c r="GV8" s="165"/>
      <c r="GW8" s="165"/>
      <c r="GX8" s="165"/>
      <c r="GY8" s="165"/>
      <c r="GZ8" s="165"/>
      <c r="HA8" s="165"/>
      <c r="HB8" s="165"/>
      <c r="HC8" s="165"/>
      <c r="HD8" s="165"/>
      <c r="HE8" s="165"/>
      <c r="HF8" s="165"/>
      <c r="HG8" s="165"/>
      <c r="HH8" s="165"/>
      <c r="HI8" s="165"/>
      <c r="HJ8" s="165"/>
      <c r="HK8" s="165"/>
      <c r="HL8" s="165"/>
      <c r="HM8" s="165"/>
      <c r="HN8" s="165"/>
      <c r="HO8" s="165"/>
      <c r="HP8" s="165"/>
      <c r="HQ8" s="165"/>
      <c r="HR8" s="165"/>
      <c r="HS8" s="165"/>
      <c r="HT8" s="165"/>
      <c r="HU8" s="165"/>
      <c r="HV8" s="165"/>
      <c r="HW8" s="165"/>
      <c r="HX8" s="165"/>
      <c r="HY8" s="165"/>
      <c r="HZ8" s="165"/>
      <c r="IA8" s="165"/>
      <c r="IB8" s="165"/>
      <c r="IC8" s="165"/>
      <c r="ID8" s="165"/>
      <c r="IE8" s="165"/>
      <c r="IF8" s="165"/>
      <c r="IG8" s="165"/>
      <c r="IH8" s="165"/>
      <c r="II8" s="165"/>
      <c r="IJ8" s="165"/>
      <c r="IK8" s="165"/>
      <c r="IL8" s="165"/>
      <c r="IM8" s="165"/>
      <c r="IN8" s="165"/>
      <c r="IO8" s="165"/>
      <c r="IP8" s="165"/>
      <c r="IQ8" s="165"/>
      <c r="IR8" s="165"/>
      <c r="IS8" s="165"/>
      <c r="IT8" s="165"/>
      <c r="IU8" s="165"/>
      <c r="IV8" s="165"/>
      <c r="IW8" s="165"/>
      <c r="IX8" s="165"/>
      <c r="IY8" s="165"/>
      <c r="IZ8" s="165"/>
      <c r="JA8" s="165"/>
      <c r="JB8" s="165"/>
      <c r="JC8" s="165"/>
      <c r="JD8" s="165"/>
      <c r="JE8" s="165"/>
      <c r="JF8" s="165"/>
      <c r="JG8" s="165"/>
      <c r="JH8" s="165"/>
      <c r="JI8" s="165"/>
      <c r="JJ8" s="165"/>
      <c r="JK8" s="165"/>
      <c r="JL8" s="165"/>
      <c r="JM8" s="165"/>
      <c r="JN8" s="165"/>
      <c r="JO8" s="165"/>
      <c r="JP8" s="165"/>
      <c r="JQ8" s="165"/>
      <c r="JR8" s="165"/>
      <c r="JS8" s="165"/>
      <c r="JT8" s="165"/>
      <c r="JU8" s="165"/>
      <c r="JV8" s="165"/>
      <c r="JW8" s="165"/>
      <c r="JX8" s="165"/>
      <c r="JY8" s="165"/>
      <c r="JZ8" s="165"/>
      <c r="KA8" s="165"/>
      <c r="KB8" s="165"/>
      <c r="KC8" s="165"/>
      <c r="KD8" s="165"/>
      <c r="KE8" s="165"/>
      <c r="KF8" s="165"/>
      <c r="KG8" s="165"/>
      <c r="KH8" s="165"/>
      <c r="KI8" s="165"/>
      <c r="KJ8" s="165"/>
      <c r="KK8" s="165"/>
      <c r="KL8" s="165"/>
      <c r="KM8" s="165"/>
      <c r="KN8" s="165"/>
      <c r="KO8" s="165"/>
      <c r="KP8" s="165"/>
      <c r="KQ8" s="165"/>
      <c r="KR8" s="165"/>
      <c r="KS8" s="165"/>
      <c r="KT8" s="165"/>
      <c r="KU8" s="165"/>
      <c r="KV8" s="165"/>
      <c r="KW8" s="165"/>
      <c r="KX8" s="165"/>
      <c r="KY8" s="165"/>
      <c r="KZ8" s="165"/>
      <c r="LA8" s="165"/>
      <c r="LB8" s="165"/>
      <c r="LC8" s="165"/>
      <c r="LD8" s="165"/>
      <c r="LE8" s="165"/>
      <c r="LF8" s="165"/>
      <c r="LG8" s="165"/>
      <c r="LH8" s="165"/>
      <c r="LI8" s="165"/>
      <c r="LJ8" s="165"/>
      <c r="LK8" s="165"/>
      <c r="LL8" s="165"/>
      <c r="LM8" s="165"/>
      <c r="LN8" s="165"/>
      <c r="LO8" s="165"/>
      <c r="LP8" s="165"/>
      <c r="LQ8" s="165"/>
      <c r="LR8" s="165"/>
      <c r="LS8" s="165"/>
      <c r="LT8" s="165"/>
      <c r="LU8" s="165"/>
      <c r="LV8" s="165"/>
      <c r="LW8" s="165"/>
      <c r="LX8" s="165"/>
      <c r="LY8" s="165"/>
      <c r="LZ8" s="165"/>
      <c r="MA8" s="165"/>
      <c r="MB8" s="165"/>
      <c r="MC8" s="165"/>
      <c r="MD8" s="165"/>
      <c r="ME8" s="165"/>
      <c r="MF8" s="165"/>
      <c r="MG8" s="165"/>
      <c r="MH8" s="165"/>
      <c r="MI8" s="165"/>
      <c r="MJ8" s="165"/>
      <c r="MK8" s="165"/>
      <c r="ML8" s="165"/>
      <c r="MM8" s="165"/>
      <c r="MN8" s="165"/>
      <c r="MO8" s="165"/>
      <c r="MP8" s="165"/>
      <c r="MQ8" s="165"/>
      <c r="MR8" s="165"/>
      <c r="MS8" s="165"/>
      <c r="MT8" s="165"/>
      <c r="MU8" s="165"/>
      <c r="MV8" s="165"/>
      <c r="MW8" s="165"/>
      <c r="MX8" s="165"/>
      <c r="MY8" s="165"/>
      <c r="MZ8" s="165"/>
      <c r="NA8" s="165"/>
      <c r="NB8" s="165"/>
      <c r="NC8" s="165"/>
      <c r="ND8" s="165"/>
      <c r="NE8" s="165"/>
      <c r="NF8" s="165"/>
      <c r="NG8" s="165"/>
      <c r="NH8" s="165"/>
      <c r="NI8" s="165"/>
      <c r="NJ8" s="165"/>
      <c r="NK8" s="165"/>
      <c r="NL8" s="165"/>
      <c r="NM8" s="165"/>
      <c r="NN8" s="165"/>
      <c r="NO8" s="165"/>
      <c r="NP8" s="165"/>
      <c r="NQ8" s="165"/>
      <c r="NR8" s="165"/>
      <c r="NS8" s="165"/>
      <c r="NT8" s="165"/>
      <c r="NU8" s="165"/>
      <c r="NV8" s="165"/>
      <c r="NW8" s="165"/>
      <c r="NX8" s="165"/>
      <c r="NY8" s="165"/>
      <c r="NZ8" s="165"/>
      <c r="OA8" s="165"/>
      <c r="OB8" s="165"/>
      <c r="OC8" s="165"/>
      <c r="OD8" s="165"/>
      <c r="OE8" s="165"/>
      <c r="OF8" s="165"/>
      <c r="OG8" s="165"/>
      <c r="OH8" s="165"/>
      <c r="OI8" s="165"/>
      <c r="OJ8" s="165"/>
      <c r="OK8" s="165"/>
      <c r="OL8" s="165"/>
      <c r="OM8" s="165"/>
      <c r="ON8" s="165"/>
      <c r="OO8" s="165"/>
      <c r="OP8" s="165"/>
      <c r="OQ8" s="165"/>
      <c r="OR8" s="165"/>
      <c r="OS8" s="165"/>
      <c r="OT8" s="165"/>
      <c r="OU8" s="165"/>
      <c r="OV8" s="165"/>
      <c r="OW8" s="165"/>
      <c r="OX8" s="165"/>
      <c r="OY8" s="165"/>
      <c r="OZ8" s="165"/>
      <c r="PA8" s="165"/>
      <c r="PB8" s="165"/>
      <c r="PC8" s="165"/>
      <c r="PD8" s="165"/>
      <c r="PE8" s="165"/>
      <c r="PF8" s="165"/>
      <c r="PG8" s="165"/>
      <c r="PH8" s="165"/>
      <c r="PI8" s="165"/>
      <c r="PJ8" s="165"/>
      <c r="PK8" s="165"/>
      <c r="PL8" s="165"/>
      <c r="PM8" s="165"/>
      <c r="PN8" s="165"/>
      <c r="PO8" s="165"/>
      <c r="PP8" s="165"/>
      <c r="PQ8" s="165"/>
      <c r="PR8" s="165"/>
      <c r="PS8" s="165"/>
      <c r="PT8" s="165"/>
      <c r="PU8" s="165"/>
      <c r="PV8" s="165"/>
      <c r="PW8" s="165"/>
      <c r="PX8" s="165"/>
      <c r="PY8" s="165"/>
      <c r="PZ8" s="165"/>
      <c r="QA8" s="165"/>
      <c r="QB8" s="165"/>
      <c r="QC8" s="165"/>
      <c r="QD8" s="165"/>
      <c r="QE8" s="165"/>
      <c r="QF8" s="165"/>
      <c r="QG8" s="165"/>
      <c r="QH8" s="165"/>
      <c r="QI8" s="165"/>
      <c r="QJ8" s="165"/>
      <c r="QK8" s="165"/>
      <c r="QL8" s="165"/>
      <c r="QM8" s="165"/>
      <c r="QN8" s="165"/>
      <c r="QO8" s="165"/>
      <c r="QP8" s="165"/>
      <c r="QQ8" s="165"/>
      <c r="QR8" s="165"/>
      <c r="QS8" s="165"/>
      <c r="QT8" s="165"/>
      <c r="QU8" s="165"/>
      <c r="QV8" s="165"/>
      <c r="QW8" s="165"/>
      <c r="QX8" s="165"/>
      <c r="QY8" s="165"/>
      <c r="QZ8" s="165"/>
      <c r="RA8" s="165"/>
      <c r="RB8" s="165"/>
      <c r="RC8" s="165"/>
      <c r="RD8" s="165"/>
      <c r="RE8" s="165"/>
      <c r="RF8" s="165"/>
      <c r="RG8" s="165"/>
      <c r="RH8" s="165"/>
      <c r="RI8" s="165"/>
      <c r="RJ8" s="165"/>
      <c r="RK8" s="165"/>
      <c r="RL8" s="165"/>
      <c r="RM8" s="165"/>
      <c r="RN8" s="165"/>
      <c r="RO8" s="165"/>
      <c r="RP8" s="165"/>
      <c r="RQ8" s="165"/>
      <c r="RR8" s="165"/>
      <c r="RS8" s="165"/>
      <c r="RT8" s="165"/>
      <c r="RU8" s="165"/>
      <c r="RV8" s="165"/>
      <c r="RW8" s="165"/>
      <c r="RX8" s="165"/>
      <c r="RY8" s="165"/>
      <c r="RZ8" s="165"/>
      <c r="SA8" s="165"/>
      <c r="SB8" s="165"/>
      <c r="SC8" s="165"/>
      <c r="SD8" s="165"/>
      <c r="SE8" s="165"/>
      <c r="SF8" s="165"/>
      <c r="SG8" s="165"/>
      <c r="SH8" s="165"/>
      <c r="SI8" s="165"/>
      <c r="SJ8" s="165"/>
      <c r="SK8" s="165"/>
      <c r="SL8" s="165"/>
      <c r="SM8" s="165"/>
      <c r="SN8" s="165"/>
      <c r="SO8" s="165"/>
      <c r="SP8" s="165"/>
      <c r="SQ8" s="165"/>
      <c r="SR8" s="165"/>
      <c r="SS8" s="165"/>
      <c r="ST8" s="165"/>
      <c r="SU8" s="165"/>
      <c r="SV8" s="165"/>
      <c r="SW8" s="165"/>
      <c r="SX8" s="165"/>
      <c r="SY8" s="165"/>
      <c r="SZ8" s="165"/>
      <c r="TA8" s="165"/>
      <c r="TB8" s="165"/>
      <c r="TC8" s="165"/>
      <c r="TD8" s="165"/>
      <c r="TE8" s="165"/>
      <c r="TF8" s="165"/>
      <c r="TG8" s="165"/>
      <c r="TH8" s="165"/>
      <c r="TI8" s="165"/>
      <c r="TJ8" s="165"/>
      <c r="TK8" s="165"/>
      <c r="TL8" s="165"/>
      <c r="TM8" s="165"/>
      <c r="TN8" s="165"/>
      <c r="TO8" s="165"/>
      <c r="TP8" s="165"/>
      <c r="TQ8" s="165"/>
      <c r="TR8" s="165"/>
      <c r="TS8" s="165"/>
      <c r="TT8" s="165"/>
      <c r="TU8" s="165"/>
      <c r="TV8" s="165"/>
      <c r="TW8" s="165"/>
      <c r="TX8" s="165"/>
      <c r="TY8" s="165"/>
      <c r="TZ8" s="165"/>
      <c r="UA8" s="165"/>
      <c r="UB8" s="165"/>
      <c r="UC8" s="165"/>
      <c r="UD8" s="165"/>
      <c r="UE8" s="165"/>
      <c r="UF8" s="165"/>
      <c r="UG8" s="165"/>
      <c r="UH8" s="165"/>
      <c r="UI8" s="165"/>
      <c r="UJ8" s="165"/>
      <c r="UK8" s="165"/>
      <c r="UL8" s="165"/>
      <c r="UM8" s="165"/>
      <c r="UN8" s="165"/>
      <c r="UO8" s="165"/>
      <c r="UP8" s="165"/>
      <c r="UQ8" s="165"/>
      <c r="UR8" s="165"/>
      <c r="US8" s="165"/>
      <c r="UT8" s="165"/>
      <c r="UU8" s="165"/>
      <c r="UV8" s="165"/>
      <c r="UW8" s="165"/>
      <c r="UX8" s="165"/>
      <c r="UY8" s="165"/>
      <c r="UZ8" s="165"/>
      <c r="VA8" s="165"/>
      <c r="VB8" s="165"/>
      <c r="VC8" s="165"/>
      <c r="VD8" s="165"/>
      <c r="VE8" s="165"/>
      <c r="VF8" s="165"/>
      <c r="VG8" s="165"/>
      <c r="VH8" s="165"/>
      <c r="VI8" s="165"/>
      <c r="VJ8" s="165"/>
      <c r="VK8" s="165"/>
      <c r="VL8" s="165"/>
      <c r="VM8" s="165"/>
      <c r="VN8" s="165"/>
      <c r="VO8" s="165"/>
      <c r="VP8" s="165"/>
      <c r="VQ8" s="165"/>
      <c r="VR8" s="165"/>
      <c r="VS8" s="165"/>
      <c r="VT8" s="165"/>
      <c r="VU8" s="165"/>
      <c r="VV8" s="165"/>
      <c r="VW8" s="165"/>
      <c r="VX8" s="165"/>
      <c r="VY8" s="165"/>
      <c r="VZ8" s="165"/>
      <c r="WA8" s="165"/>
      <c r="WB8" s="165"/>
      <c r="WC8" s="165"/>
      <c r="WD8" s="165"/>
      <c r="WE8" s="165"/>
      <c r="WF8" s="165"/>
      <c r="WG8" s="165"/>
      <c r="WH8" s="165"/>
      <c r="WI8" s="165"/>
      <c r="WJ8" s="165"/>
      <c r="WK8" s="165"/>
      <c r="WL8" s="165"/>
      <c r="WM8" s="165"/>
      <c r="WN8" s="165"/>
      <c r="WO8" s="165"/>
      <c r="WP8" s="165"/>
      <c r="WQ8" s="165"/>
      <c r="WR8" s="165"/>
      <c r="WS8" s="165"/>
      <c r="WT8" s="165"/>
      <c r="WU8" s="165"/>
      <c r="WV8" s="165"/>
      <c r="WW8" s="165"/>
      <c r="WX8" s="165"/>
      <c r="WY8" s="165"/>
      <c r="WZ8" s="165"/>
      <c r="XA8" s="165"/>
      <c r="XB8" s="165"/>
      <c r="XC8" s="165"/>
      <c r="XD8" s="165"/>
      <c r="XE8" s="165"/>
      <c r="XF8" s="165"/>
      <c r="XG8" s="165"/>
      <c r="XH8" s="165"/>
      <c r="XI8" s="165"/>
      <c r="XJ8" s="165"/>
      <c r="XK8" s="165"/>
      <c r="XL8" s="165"/>
      <c r="XM8" s="165"/>
      <c r="XN8" s="165"/>
      <c r="XO8" s="165"/>
      <c r="XP8" s="165"/>
      <c r="XQ8" s="165"/>
      <c r="XR8" s="165"/>
      <c r="XS8" s="165"/>
      <c r="XT8" s="165"/>
      <c r="XU8" s="165"/>
      <c r="XV8" s="165"/>
      <c r="XW8" s="165"/>
      <c r="XX8" s="165"/>
      <c r="XY8" s="165"/>
      <c r="XZ8" s="165"/>
      <c r="YA8" s="165"/>
      <c r="YB8" s="165"/>
      <c r="YC8" s="165"/>
      <c r="YD8" s="165"/>
      <c r="YE8" s="165"/>
      <c r="YF8" s="165"/>
      <c r="YG8" s="165"/>
      <c r="YH8" s="165"/>
      <c r="YI8" s="165"/>
      <c r="YJ8" s="165"/>
      <c r="YK8" s="165"/>
      <c r="YL8" s="165"/>
      <c r="YM8" s="165"/>
      <c r="YN8" s="165"/>
      <c r="YO8" s="165"/>
      <c r="YP8" s="165"/>
      <c r="YQ8" s="165"/>
      <c r="YR8" s="165"/>
      <c r="YS8" s="165"/>
      <c r="YT8" s="165"/>
      <c r="YU8" s="165"/>
      <c r="YV8" s="165"/>
      <c r="YW8" s="165"/>
      <c r="YX8" s="165"/>
      <c r="YY8" s="165"/>
      <c r="YZ8" s="165"/>
      <c r="ZA8" s="165"/>
      <c r="ZB8" s="165"/>
      <c r="ZC8" s="165"/>
      <c r="ZD8" s="165"/>
      <c r="ZE8" s="165"/>
      <c r="ZF8" s="165"/>
      <c r="ZG8" s="165"/>
      <c r="ZH8" s="165"/>
      <c r="ZI8" s="165"/>
      <c r="ZJ8" s="165"/>
      <c r="ZK8" s="165"/>
      <c r="ZL8" s="165"/>
      <c r="ZM8" s="165"/>
      <c r="ZN8" s="165"/>
      <c r="ZO8" s="165"/>
      <c r="ZP8" s="165"/>
      <c r="ZQ8" s="165"/>
      <c r="ZR8" s="165"/>
      <c r="ZS8" s="165"/>
      <c r="ZT8" s="165"/>
      <c r="ZU8" s="165"/>
      <c r="ZV8" s="165"/>
      <c r="ZW8" s="165"/>
      <c r="ZX8" s="165"/>
      <c r="ZY8" s="165"/>
      <c r="ZZ8" s="165"/>
      <c r="AAA8" s="165"/>
      <c r="AAB8" s="165"/>
      <c r="AAC8" s="165"/>
      <c r="AAD8" s="165"/>
      <c r="AAE8" s="165"/>
      <c r="AAF8" s="165"/>
      <c r="AAG8" s="165"/>
      <c r="AAH8" s="165"/>
      <c r="AAI8" s="165"/>
      <c r="AAJ8" s="165"/>
      <c r="AAK8" s="165"/>
      <c r="AAL8" s="165"/>
      <c r="AAM8" s="165"/>
      <c r="AAN8" s="165"/>
      <c r="AAO8" s="165"/>
      <c r="AAP8" s="165"/>
      <c r="AAQ8" s="165"/>
      <c r="AAR8" s="165"/>
      <c r="AAS8" s="165"/>
      <c r="AAT8" s="165"/>
      <c r="AAU8" s="165"/>
      <c r="AAV8" s="165"/>
      <c r="AAW8" s="165"/>
      <c r="AAX8" s="165"/>
      <c r="AAY8" s="165"/>
      <c r="AAZ8" s="165"/>
      <c r="ABA8" s="165"/>
      <c r="ABB8" s="165"/>
      <c r="ABC8" s="165"/>
      <c r="ABD8" s="165"/>
      <c r="ABE8" s="165"/>
      <c r="ABF8" s="165"/>
      <c r="ABG8" s="165"/>
      <c r="ABH8" s="165"/>
      <c r="ABI8" s="165"/>
      <c r="ABJ8" s="165"/>
      <c r="ABK8" s="165"/>
      <c r="ABL8" s="165"/>
      <c r="ABM8" s="165"/>
      <c r="ABN8" s="165"/>
      <c r="ABO8" s="165"/>
      <c r="ABP8" s="165"/>
      <c r="ABQ8" s="165"/>
      <c r="ABR8" s="165"/>
      <c r="ABS8" s="165"/>
      <c r="ABT8" s="165"/>
      <c r="ABU8" s="165"/>
      <c r="ABV8" s="165"/>
      <c r="ABW8" s="165"/>
      <c r="ABX8" s="165"/>
      <c r="ABY8" s="165"/>
      <c r="ABZ8" s="165"/>
      <c r="ACA8" s="165"/>
      <c r="ACB8" s="165"/>
      <c r="ACC8" s="165"/>
      <c r="ACD8" s="165"/>
      <c r="ACE8" s="165"/>
      <c r="ACF8" s="165"/>
      <c r="ACG8" s="165"/>
      <c r="ACH8" s="165"/>
      <c r="ACI8" s="165"/>
      <c r="ACJ8" s="165"/>
      <c r="ACK8" s="165"/>
      <c r="ACL8" s="165"/>
      <c r="ACM8" s="165"/>
      <c r="ACN8" s="165"/>
      <c r="ACO8" s="165"/>
      <c r="ACP8" s="165"/>
      <c r="ACQ8" s="165"/>
      <c r="ACR8" s="165"/>
      <c r="ACS8" s="165"/>
      <c r="ACT8" s="165"/>
      <c r="ACU8" s="165"/>
      <c r="ACV8" s="165"/>
      <c r="ACW8" s="165"/>
      <c r="ACX8" s="165"/>
      <c r="ACY8" s="165"/>
      <c r="ACZ8" s="165"/>
      <c r="ADA8" s="165"/>
      <c r="ADB8" s="165"/>
      <c r="ADC8" s="165"/>
      <c r="ADD8" s="165"/>
      <c r="ADE8" s="165"/>
      <c r="ADF8" s="165"/>
      <c r="ADG8" s="165"/>
      <c r="ADH8" s="165"/>
      <c r="ADI8" s="165"/>
      <c r="ADJ8" s="165"/>
      <c r="ADK8" s="165"/>
      <c r="ADL8" s="165"/>
      <c r="ADM8" s="165"/>
      <c r="ADN8" s="165"/>
      <c r="ADO8" s="165"/>
      <c r="ADP8" s="165"/>
      <c r="ADQ8" s="165"/>
      <c r="ADR8" s="165"/>
      <c r="ADS8" s="165"/>
      <c r="ADT8" s="165"/>
      <c r="ADU8" s="165"/>
      <c r="ADV8" s="165"/>
      <c r="ADW8" s="165"/>
      <c r="ADX8" s="165"/>
      <c r="ADY8" s="165"/>
      <c r="ADZ8" s="165"/>
      <c r="AEA8" s="165"/>
      <c r="AEB8" s="165"/>
      <c r="AEC8" s="165"/>
      <c r="AED8" s="165"/>
      <c r="AEE8" s="165"/>
      <c r="AEF8" s="165"/>
      <c r="AEG8" s="165"/>
      <c r="AEH8" s="165"/>
      <c r="AEI8" s="165"/>
      <c r="AEJ8" s="165"/>
      <c r="AEK8" s="165"/>
      <c r="AEL8" s="165"/>
      <c r="AEM8" s="165"/>
      <c r="AEN8" s="165"/>
      <c r="AEO8" s="165"/>
      <c r="AEP8" s="165"/>
      <c r="AEQ8" s="165"/>
      <c r="AER8" s="165"/>
      <c r="AES8" s="165"/>
      <c r="AET8" s="165"/>
      <c r="AEU8" s="165"/>
      <c r="AEV8" s="165"/>
      <c r="AEW8" s="165"/>
      <c r="AEX8" s="165"/>
      <c r="AEY8" s="165"/>
      <c r="AEZ8" s="165"/>
      <c r="AFA8" s="165"/>
      <c r="AFB8" s="165"/>
      <c r="AFC8" s="165"/>
      <c r="AFD8" s="165"/>
      <c r="AFE8" s="165"/>
      <c r="AFF8" s="165"/>
      <c r="AFG8" s="165"/>
      <c r="AFH8" s="165"/>
      <c r="AFI8" s="165"/>
      <c r="AFJ8" s="165"/>
      <c r="AFK8" s="165"/>
      <c r="AFL8" s="165"/>
      <c r="AFM8" s="165"/>
      <c r="AFN8" s="165"/>
      <c r="AFO8" s="165"/>
      <c r="AFP8" s="165"/>
      <c r="AFQ8" s="165"/>
      <c r="AFR8" s="165"/>
      <c r="AFS8" s="165"/>
      <c r="AFT8" s="165"/>
      <c r="AFU8" s="165"/>
      <c r="AFV8" s="165"/>
      <c r="AFW8" s="165"/>
      <c r="AFX8" s="165"/>
      <c r="AFY8" s="165"/>
      <c r="AFZ8" s="165"/>
      <c r="AGA8" s="165"/>
      <c r="AGB8" s="165"/>
      <c r="AGC8" s="165"/>
      <c r="AGD8" s="165"/>
      <c r="AGE8" s="165"/>
      <c r="AGF8" s="165"/>
      <c r="AGG8" s="165"/>
      <c r="AGH8" s="165"/>
      <c r="AGI8" s="165"/>
      <c r="AGJ8" s="165"/>
      <c r="AGK8" s="165"/>
      <c r="AGL8" s="165"/>
      <c r="AGM8" s="165"/>
      <c r="AGN8" s="165"/>
      <c r="AGO8" s="165"/>
      <c r="AGP8" s="165"/>
      <c r="AGQ8" s="165"/>
      <c r="AGR8" s="165"/>
      <c r="AGS8" s="165"/>
      <c r="AGT8" s="165"/>
      <c r="AGU8" s="165"/>
      <c r="AGV8" s="165"/>
      <c r="AGW8" s="165"/>
      <c r="AGX8" s="165"/>
      <c r="AGY8" s="165"/>
      <c r="AGZ8" s="165"/>
      <c r="AHA8" s="165"/>
      <c r="AHB8" s="165"/>
      <c r="AHC8" s="165"/>
      <c r="AHD8" s="165"/>
      <c r="AHE8" s="165"/>
      <c r="AHF8" s="165"/>
      <c r="AHG8" s="165"/>
      <c r="AHH8" s="165"/>
      <c r="AHI8" s="165"/>
      <c r="AHJ8" s="165"/>
      <c r="AHK8" s="165"/>
      <c r="AHL8" s="165"/>
      <c r="AHM8" s="165"/>
      <c r="AHN8" s="165"/>
      <c r="AHO8" s="165"/>
      <c r="AHP8" s="165"/>
      <c r="AHQ8" s="165"/>
      <c r="AHR8" s="165"/>
      <c r="AHS8" s="165"/>
      <c r="AHT8" s="165"/>
      <c r="AHU8" s="165"/>
      <c r="AHV8" s="165"/>
      <c r="AHW8" s="165"/>
      <c r="AHX8" s="165"/>
      <c r="AHY8" s="165"/>
      <c r="AHZ8" s="165"/>
      <c r="AIA8" s="165"/>
      <c r="AIB8" s="165"/>
      <c r="AIC8" s="165"/>
      <c r="AID8" s="165"/>
      <c r="AIE8" s="165"/>
      <c r="AIF8" s="165"/>
      <c r="AIG8" s="165"/>
      <c r="AIH8" s="165"/>
      <c r="AII8" s="165"/>
      <c r="AIJ8" s="165"/>
      <c r="AIK8" s="165"/>
      <c r="AIL8" s="165"/>
      <c r="AIM8" s="165"/>
      <c r="AIN8" s="165"/>
      <c r="AIO8" s="165"/>
      <c r="AIP8" s="165"/>
      <c r="AIQ8" s="165"/>
      <c r="AIR8" s="165"/>
      <c r="AIS8" s="165"/>
      <c r="AIT8" s="165"/>
      <c r="AIU8" s="165"/>
      <c r="AIV8" s="165"/>
      <c r="AIW8" s="165"/>
      <c r="AIX8" s="165"/>
      <c r="AIY8" s="165"/>
      <c r="AIZ8" s="165"/>
      <c r="AJA8" s="165"/>
      <c r="AJB8" s="165"/>
      <c r="AJC8" s="165"/>
      <c r="AJD8" s="165"/>
      <c r="AJE8" s="165"/>
      <c r="AJF8" s="165"/>
      <c r="AJG8" s="165"/>
      <c r="AJH8" s="165"/>
      <c r="AJI8" s="165"/>
      <c r="AJJ8" s="165"/>
      <c r="AJK8" s="165"/>
      <c r="AJL8" s="165"/>
      <c r="AJM8" s="165"/>
      <c r="AJN8" s="165"/>
      <c r="AJO8" s="165"/>
      <c r="AJP8" s="165"/>
      <c r="AJQ8" s="165"/>
      <c r="AJR8" s="165"/>
      <c r="AJS8" s="165"/>
      <c r="AJT8" s="165"/>
      <c r="AJU8" s="165"/>
      <c r="AJV8" s="165"/>
      <c r="AJW8" s="165"/>
      <c r="AJX8" s="165"/>
      <c r="AJY8" s="165"/>
      <c r="AJZ8" s="165"/>
      <c r="AKA8" s="165"/>
      <c r="AKB8" s="165"/>
      <c r="AKC8" s="165"/>
      <c r="AKD8" s="165"/>
      <c r="AKE8" s="165"/>
      <c r="AKF8" s="165"/>
      <c r="AKG8" s="165"/>
      <c r="AKH8" s="165"/>
      <c r="AKI8" s="165"/>
      <c r="AKJ8" s="165"/>
      <c r="AKK8" s="165"/>
      <c r="AKL8" s="165"/>
      <c r="AKM8" s="165"/>
      <c r="AKN8" s="165"/>
      <c r="AKO8" s="165"/>
      <c r="AKP8" s="165"/>
      <c r="AKQ8" s="165"/>
      <c r="AKR8" s="165"/>
      <c r="AKS8" s="165"/>
      <c r="AKT8" s="165"/>
      <c r="AKU8" s="165"/>
      <c r="AKV8" s="165"/>
      <c r="AKW8" s="165"/>
      <c r="AKX8" s="165"/>
      <c r="AKY8" s="165"/>
      <c r="AKZ8" s="165"/>
      <c r="ALA8" s="165"/>
      <c r="ALB8" s="165"/>
      <c r="ALC8" s="165"/>
    </row>
    <row r="9" spans="1:993" s="163" customFormat="1" ht="14.85" customHeight="1">
      <c r="A9" s="523" t="s">
        <v>6300</v>
      </c>
      <c r="B9" s="524"/>
      <c r="C9" s="519" t="s">
        <v>6301</v>
      </c>
      <c r="D9" s="520"/>
      <c r="E9" s="525"/>
      <c r="F9" s="521"/>
      <c r="G9" s="521"/>
      <c r="H9" s="521"/>
      <c r="I9" s="521"/>
      <c r="J9" s="522"/>
      <c r="K9" s="165"/>
      <c r="L9" s="165"/>
      <c r="M9" s="165"/>
      <c r="N9" s="165"/>
      <c r="O9" s="165"/>
      <c r="P9" s="259"/>
      <c r="Q9" s="165"/>
      <c r="R9" s="165"/>
      <c r="S9" s="165"/>
      <c r="T9" s="165"/>
      <c r="U9" s="165"/>
      <c r="V9" s="165"/>
      <c r="W9" s="165"/>
      <c r="X9" s="165"/>
      <c r="Y9" s="165"/>
      <c r="Z9" s="165"/>
      <c r="AA9" s="165"/>
      <c r="AB9" s="165"/>
      <c r="AC9" s="165"/>
      <c r="AD9" s="165"/>
      <c r="AE9" s="165"/>
      <c r="AF9" s="165"/>
      <c r="AG9" s="165"/>
      <c r="AH9" s="165"/>
      <c r="AI9" s="165"/>
      <c r="AJ9" s="165"/>
      <c r="AK9" s="165"/>
      <c r="AL9" s="165"/>
      <c r="AM9" s="165"/>
      <c r="AN9" s="165"/>
      <c r="AO9" s="165"/>
      <c r="AP9" s="165"/>
      <c r="AQ9" s="165"/>
      <c r="AR9" s="165"/>
      <c r="AS9" s="165"/>
      <c r="AT9" s="165"/>
      <c r="AU9" s="165"/>
      <c r="AV9" s="165"/>
      <c r="AW9" s="165"/>
      <c r="AX9" s="165"/>
      <c r="AY9" s="165"/>
      <c r="AZ9" s="165"/>
      <c r="BA9" s="165"/>
      <c r="BB9" s="165"/>
      <c r="BC9" s="165"/>
      <c r="BD9" s="165"/>
      <c r="BE9" s="165"/>
      <c r="BF9" s="165"/>
      <c r="BG9" s="165"/>
      <c r="BH9" s="165"/>
      <c r="BI9" s="165"/>
      <c r="BJ9" s="165"/>
      <c r="BK9" s="165"/>
      <c r="BL9" s="165"/>
      <c r="BM9" s="165"/>
      <c r="BN9" s="165"/>
      <c r="BO9" s="165"/>
      <c r="BP9" s="165"/>
      <c r="BQ9" s="165"/>
      <c r="BR9" s="165"/>
      <c r="BS9" s="165"/>
      <c r="BT9" s="165"/>
      <c r="BU9" s="165"/>
      <c r="BV9" s="165"/>
      <c r="BW9" s="165"/>
      <c r="BX9" s="165"/>
      <c r="BY9" s="165"/>
      <c r="BZ9" s="165"/>
      <c r="CA9" s="165"/>
      <c r="CB9" s="165"/>
      <c r="CC9" s="165"/>
      <c r="CD9" s="165"/>
      <c r="CE9" s="165"/>
      <c r="CF9" s="165"/>
      <c r="CG9" s="165"/>
      <c r="CH9" s="165"/>
      <c r="CI9" s="165"/>
      <c r="CJ9" s="165"/>
      <c r="CK9" s="165"/>
      <c r="CL9" s="165"/>
      <c r="CM9" s="165"/>
      <c r="CN9" s="165"/>
      <c r="CO9" s="165"/>
      <c r="CP9" s="165"/>
      <c r="CQ9" s="165"/>
      <c r="CR9" s="165"/>
      <c r="CS9" s="165"/>
      <c r="CT9" s="165"/>
      <c r="CU9" s="165"/>
      <c r="CV9" s="165"/>
      <c r="CW9" s="165"/>
      <c r="CX9" s="165"/>
      <c r="CY9" s="165"/>
      <c r="CZ9" s="165"/>
      <c r="DA9" s="165"/>
      <c r="DB9" s="165"/>
      <c r="DC9" s="165"/>
      <c r="DD9" s="165"/>
      <c r="DE9" s="165"/>
      <c r="DF9" s="165"/>
      <c r="DG9" s="165"/>
      <c r="DH9" s="165"/>
      <c r="DI9" s="165"/>
      <c r="DJ9" s="165"/>
      <c r="DK9" s="165"/>
      <c r="DL9" s="165"/>
      <c r="DM9" s="165"/>
      <c r="DN9" s="165"/>
      <c r="DO9" s="165"/>
      <c r="DP9" s="165"/>
      <c r="DQ9" s="165"/>
      <c r="DR9" s="165"/>
      <c r="DS9" s="165"/>
      <c r="DT9" s="165"/>
      <c r="DU9" s="165"/>
      <c r="DV9" s="165"/>
      <c r="DW9" s="165"/>
      <c r="DX9" s="165"/>
      <c r="DY9" s="165"/>
      <c r="DZ9" s="165"/>
      <c r="EA9" s="165"/>
      <c r="EB9" s="165"/>
      <c r="EC9" s="165"/>
      <c r="ED9" s="165"/>
      <c r="EE9" s="165"/>
      <c r="EF9" s="165"/>
      <c r="EG9" s="165"/>
      <c r="EH9" s="165"/>
      <c r="EI9" s="165"/>
      <c r="EJ9" s="165"/>
      <c r="EK9" s="165"/>
      <c r="EL9" s="165"/>
      <c r="EM9" s="165"/>
      <c r="EN9" s="165"/>
      <c r="EO9" s="165"/>
      <c r="EP9" s="165"/>
      <c r="EQ9" s="165"/>
      <c r="ER9" s="165"/>
      <c r="ES9" s="165"/>
      <c r="ET9" s="165"/>
      <c r="EU9" s="165"/>
      <c r="EV9" s="165"/>
      <c r="EW9" s="165"/>
      <c r="EX9" s="165"/>
      <c r="EY9" s="165"/>
      <c r="EZ9" s="165"/>
      <c r="FA9" s="165"/>
      <c r="FB9" s="165"/>
      <c r="FC9" s="165"/>
      <c r="FD9" s="165"/>
      <c r="FE9" s="165"/>
      <c r="FF9" s="165"/>
      <c r="FG9" s="165"/>
      <c r="FH9" s="165"/>
      <c r="FI9" s="165"/>
      <c r="FJ9" s="165"/>
      <c r="FK9" s="165"/>
      <c r="FL9" s="165"/>
      <c r="FM9" s="165"/>
      <c r="FN9" s="165"/>
      <c r="FO9" s="165"/>
      <c r="FP9" s="165"/>
      <c r="FQ9" s="165"/>
      <c r="FR9" s="165"/>
      <c r="FS9" s="165"/>
      <c r="FT9" s="165"/>
      <c r="FU9" s="165"/>
      <c r="FV9" s="165"/>
      <c r="FW9" s="165"/>
      <c r="FX9" s="165"/>
      <c r="FY9" s="165"/>
      <c r="FZ9" s="165"/>
      <c r="GA9" s="165"/>
      <c r="GB9" s="165"/>
      <c r="GC9" s="165"/>
      <c r="GD9" s="165"/>
      <c r="GE9" s="165"/>
      <c r="GF9" s="165"/>
      <c r="GG9" s="165"/>
      <c r="GH9" s="165"/>
      <c r="GI9" s="165"/>
      <c r="GJ9" s="165"/>
      <c r="GK9" s="165"/>
      <c r="GL9" s="165"/>
      <c r="GM9" s="165"/>
      <c r="GN9" s="165"/>
      <c r="GO9" s="165"/>
      <c r="GP9" s="165"/>
      <c r="GQ9" s="165"/>
      <c r="GR9" s="165"/>
      <c r="GS9" s="165"/>
      <c r="GT9" s="165"/>
      <c r="GU9" s="165"/>
      <c r="GV9" s="165"/>
      <c r="GW9" s="165"/>
      <c r="GX9" s="165"/>
      <c r="GY9" s="165"/>
      <c r="GZ9" s="165"/>
      <c r="HA9" s="165"/>
      <c r="HB9" s="165"/>
      <c r="HC9" s="165"/>
      <c r="HD9" s="165"/>
      <c r="HE9" s="165"/>
      <c r="HF9" s="165"/>
      <c r="HG9" s="165"/>
      <c r="HH9" s="165"/>
      <c r="HI9" s="165"/>
      <c r="HJ9" s="165"/>
      <c r="HK9" s="165"/>
      <c r="HL9" s="165"/>
      <c r="HM9" s="165"/>
      <c r="HN9" s="165"/>
      <c r="HO9" s="165"/>
      <c r="HP9" s="165"/>
      <c r="HQ9" s="165"/>
      <c r="HR9" s="165"/>
      <c r="HS9" s="165"/>
      <c r="HT9" s="165"/>
      <c r="HU9" s="165"/>
      <c r="HV9" s="165"/>
      <c r="HW9" s="165"/>
      <c r="HX9" s="165"/>
      <c r="HY9" s="165"/>
      <c r="HZ9" s="165"/>
      <c r="IA9" s="165"/>
      <c r="IB9" s="165"/>
      <c r="IC9" s="165"/>
      <c r="ID9" s="165"/>
      <c r="IE9" s="165"/>
      <c r="IF9" s="165"/>
      <c r="IG9" s="165"/>
      <c r="IH9" s="165"/>
      <c r="II9" s="165"/>
      <c r="IJ9" s="165"/>
      <c r="IK9" s="165"/>
      <c r="IL9" s="165"/>
      <c r="IM9" s="165"/>
      <c r="IN9" s="165"/>
      <c r="IO9" s="165"/>
      <c r="IP9" s="165"/>
      <c r="IQ9" s="165"/>
      <c r="IR9" s="165"/>
      <c r="IS9" s="165"/>
      <c r="IT9" s="165"/>
      <c r="IU9" s="165"/>
      <c r="IV9" s="165"/>
      <c r="IW9" s="165"/>
      <c r="IX9" s="165"/>
      <c r="IY9" s="165"/>
      <c r="IZ9" s="165"/>
      <c r="JA9" s="165"/>
      <c r="JB9" s="165"/>
      <c r="JC9" s="165"/>
      <c r="JD9" s="165"/>
      <c r="JE9" s="165"/>
      <c r="JF9" s="165"/>
      <c r="JG9" s="165"/>
      <c r="JH9" s="165"/>
      <c r="JI9" s="165"/>
      <c r="JJ9" s="165"/>
      <c r="JK9" s="165"/>
      <c r="JL9" s="165"/>
      <c r="JM9" s="165"/>
      <c r="JN9" s="165"/>
      <c r="JO9" s="165"/>
      <c r="JP9" s="165"/>
      <c r="JQ9" s="165"/>
      <c r="JR9" s="165"/>
      <c r="JS9" s="165"/>
      <c r="JT9" s="165"/>
      <c r="JU9" s="165"/>
      <c r="JV9" s="165"/>
      <c r="JW9" s="165"/>
      <c r="JX9" s="165"/>
      <c r="JY9" s="165"/>
      <c r="JZ9" s="165"/>
      <c r="KA9" s="165"/>
      <c r="KB9" s="165"/>
      <c r="KC9" s="165"/>
      <c r="KD9" s="165"/>
      <c r="KE9" s="165"/>
      <c r="KF9" s="165"/>
      <c r="KG9" s="165"/>
      <c r="KH9" s="165"/>
      <c r="KI9" s="165"/>
      <c r="KJ9" s="165"/>
      <c r="KK9" s="165"/>
      <c r="KL9" s="165"/>
      <c r="KM9" s="165"/>
      <c r="KN9" s="165"/>
      <c r="KO9" s="165"/>
      <c r="KP9" s="165"/>
      <c r="KQ9" s="165"/>
      <c r="KR9" s="165"/>
      <c r="KS9" s="165"/>
      <c r="KT9" s="165"/>
      <c r="KU9" s="165"/>
      <c r="KV9" s="165"/>
      <c r="KW9" s="165"/>
      <c r="KX9" s="165"/>
      <c r="KY9" s="165"/>
      <c r="KZ9" s="165"/>
      <c r="LA9" s="165"/>
      <c r="LB9" s="165"/>
      <c r="LC9" s="165"/>
      <c r="LD9" s="165"/>
      <c r="LE9" s="165"/>
      <c r="LF9" s="165"/>
      <c r="LG9" s="165"/>
      <c r="LH9" s="165"/>
      <c r="LI9" s="165"/>
      <c r="LJ9" s="165"/>
      <c r="LK9" s="165"/>
      <c r="LL9" s="165"/>
      <c r="LM9" s="165"/>
      <c r="LN9" s="165"/>
      <c r="LO9" s="165"/>
      <c r="LP9" s="165"/>
      <c r="LQ9" s="165"/>
      <c r="LR9" s="165"/>
      <c r="LS9" s="165"/>
      <c r="LT9" s="165"/>
      <c r="LU9" s="165"/>
      <c r="LV9" s="165"/>
      <c r="LW9" s="165"/>
      <c r="LX9" s="165"/>
      <c r="LY9" s="165"/>
      <c r="LZ9" s="165"/>
      <c r="MA9" s="165"/>
      <c r="MB9" s="165"/>
      <c r="MC9" s="165"/>
      <c r="MD9" s="165"/>
      <c r="ME9" s="165"/>
      <c r="MF9" s="165"/>
      <c r="MG9" s="165"/>
      <c r="MH9" s="165"/>
      <c r="MI9" s="165"/>
      <c r="MJ9" s="165"/>
      <c r="MK9" s="165"/>
      <c r="ML9" s="165"/>
      <c r="MM9" s="165"/>
      <c r="MN9" s="165"/>
      <c r="MO9" s="165"/>
      <c r="MP9" s="165"/>
      <c r="MQ9" s="165"/>
      <c r="MR9" s="165"/>
      <c r="MS9" s="165"/>
      <c r="MT9" s="165"/>
      <c r="MU9" s="165"/>
      <c r="MV9" s="165"/>
      <c r="MW9" s="165"/>
      <c r="MX9" s="165"/>
      <c r="MY9" s="165"/>
      <c r="MZ9" s="165"/>
      <c r="NA9" s="165"/>
      <c r="NB9" s="165"/>
      <c r="NC9" s="165"/>
      <c r="ND9" s="165"/>
      <c r="NE9" s="165"/>
      <c r="NF9" s="165"/>
      <c r="NG9" s="165"/>
      <c r="NH9" s="165"/>
      <c r="NI9" s="165"/>
      <c r="NJ9" s="165"/>
      <c r="NK9" s="165"/>
      <c r="NL9" s="165"/>
      <c r="NM9" s="165"/>
      <c r="NN9" s="165"/>
      <c r="NO9" s="165"/>
      <c r="NP9" s="165"/>
      <c r="NQ9" s="165"/>
      <c r="NR9" s="165"/>
      <c r="NS9" s="165"/>
      <c r="NT9" s="165"/>
      <c r="NU9" s="165"/>
      <c r="NV9" s="165"/>
      <c r="NW9" s="165"/>
      <c r="NX9" s="165"/>
      <c r="NY9" s="165"/>
      <c r="NZ9" s="165"/>
      <c r="OA9" s="165"/>
      <c r="OB9" s="165"/>
      <c r="OC9" s="165"/>
      <c r="OD9" s="165"/>
      <c r="OE9" s="165"/>
      <c r="OF9" s="165"/>
      <c r="OG9" s="165"/>
      <c r="OH9" s="165"/>
      <c r="OI9" s="165"/>
      <c r="OJ9" s="165"/>
      <c r="OK9" s="165"/>
      <c r="OL9" s="165"/>
      <c r="OM9" s="165"/>
      <c r="ON9" s="165"/>
      <c r="OO9" s="165"/>
      <c r="OP9" s="165"/>
      <c r="OQ9" s="165"/>
      <c r="OR9" s="165"/>
      <c r="OS9" s="165"/>
      <c r="OT9" s="165"/>
      <c r="OU9" s="165"/>
      <c r="OV9" s="165"/>
      <c r="OW9" s="165"/>
      <c r="OX9" s="165"/>
      <c r="OY9" s="165"/>
      <c r="OZ9" s="165"/>
      <c r="PA9" s="165"/>
      <c r="PB9" s="165"/>
      <c r="PC9" s="165"/>
      <c r="PD9" s="165"/>
      <c r="PE9" s="165"/>
      <c r="PF9" s="165"/>
      <c r="PG9" s="165"/>
      <c r="PH9" s="165"/>
      <c r="PI9" s="165"/>
      <c r="PJ9" s="165"/>
      <c r="PK9" s="165"/>
      <c r="PL9" s="165"/>
      <c r="PM9" s="165"/>
      <c r="PN9" s="165"/>
      <c r="PO9" s="165"/>
      <c r="PP9" s="165"/>
      <c r="PQ9" s="165"/>
      <c r="PR9" s="165"/>
      <c r="PS9" s="165"/>
      <c r="PT9" s="165"/>
      <c r="PU9" s="165"/>
      <c r="PV9" s="165"/>
      <c r="PW9" s="165"/>
      <c r="PX9" s="165"/>
      <c r="PY9" s="165"/>
      <c r="PZ9" s="165"/>
      <c r="QA9" s="165"/>
      <c r="QB9" s="165"/>
      <c r="QC9" s="165"/>
      <c r="QD9" s="165"/>
      <c r="QE9" s="165"/>
      <c r="QF9" s="165"/>
      <c r="QG9" s="165"/>
      <c r="QH9" s="165"/>
      <c r="QI9" s="165"/>
      <c r="QJ9" s="165"/>
      <c r="QK9" s="165"/>
      <c r="QL9" s="165"/>
      <c r="QM9" s="165"/>
      <c r="QN9" s="165"/>
      <c r="QO9" s="165"/>
      <c r="QP9" s="165"/>
      <c r="QQ9" s="165"/>
      <c r="QR9" s="165"/>
      <c r="QS9" s="165"/>
      <c r="QT9" s="165"/>
      <c r="QU9" s="165"/>
      <c r="QV9" s="165"/>
      <c r="QW9" s="165"/>
      <c r="QX9" s="165"/>
      <c r="QY9" s="165"/>
      <c r="QZ9" s="165"/>
      <c r="RA9" s="165"/>
      <c r="RB9" s="165"/>
      <c r="RC9" s="165"/>
      <c r="RD9" s="165"/>
      <c r="RE9" s="165"/>
      <c r="RF9" s="165"/>
      <c r="RG9" s="165"/>
      <c r="RH9" s="165"/>
      <c r="RI9" s="165"/>
      <c r="RJ9" s="165"/>
      <c r="RK9" s="165"/>
      <c r="RL9" s="165"/>
      <c r="RM9" s="165"/>
      <c r="RN9" s="165"/>
      <c r="RO9" s="165"/>
      <c r="RP9" s="165"/>
      <c r="RQ9" s="165"/>
      <c r="RR9" s="165"/>
      <c r="RS9" s="165"/>
      <c r="RT9" s="165"/>
      <c r="RU9" s="165"/>
      <c r="RV9" s="165"/>
      <c r="RW9" s="165"/>
      <c r="RX9" s="165"/>
      <c r="RY9" s="165"/>
      <c r="RZ9" s="165"/>
      <c r="SA9" s="165"/>
      <c r="SB9" s="165"/>
      <c r="SC9" s="165"/>
      <c r="SD9" s="165"/>
      <c r="SE9" s="165"/>
      <c r="SF9" s="165"/>
      <c r="SG9" s="165"/>
      <c r="SH9" s="165"/>
      <c r="SI9" s="165"/>
      <c r="SJ9" s="165"/>
      <c r="SK9" s="165"/>
      <c r="SL9" s="165"/>
      <c r="SM9" s="165"/>
      <c r="SN9" s="165"/>
      <c r="SO9" s="165"/>
      <c r="SP9" s="165"/>
      <c r="SQ9" s="165"/>
      <c r="SR9" s="165"/>
      <c r="SS9" s="165"/>
      <c r="ST9" s="165"/>
      <c r="SU9" s="165"/>
      <c r="SV9" s="165"/>
      <c r="SW9" s="165"/>
      <c r="SX9" s="165"/>
      <c r="SY9" s="165"/>
      <c r="SZ9" s="165"/>
      <c r="TA9" s="165"/>
      <c r="TB9" s="165"/>
      <c r="TC9" s="165"/>
      <c r="TD9" s="165"/>
      <c r="TE9" s="165"/>
      <c r="TF9" s="165"/>
      <c r="TG9" s="165"/>
      <c r="TH9" s="165"/>
      <c r="TI9" s="165"/>
      <c r="TJ9" s="165"/>
      <c r="TK9" s="165"/>
      <c r="TL9" s="165"/>
      <c r="TM9" s="165"/>
      <c r="TN9" s="165"/>
      <c r="TO9" s="165"/>
      <c r="TP9" s="165"/>
      <c r="TQ9" s="165"/>
      <c r="TR9" s="165"/>
      <c r="TS9" s="165"/>
      <c r="TT9" s="165"/>
      <c r="TU9" s="165"/>
      <c r="TV9" s="165"/>
      <c r="TW9" s="165"/>
      <c r="TX9" s="165"/>
      <c r="TY9" s="165"/>
      <c r="TZ9" s="165"/>
      <c r="UA9" s="165"/>
      <c r="UB9" s="165"/>
      <c r="UC9" s="165"/>
      <c r="UD9" s="165"/>
      <c r="UE9" s="165"/>
      <c r="UF9" s="165"/>
      <c r="UG9" s="165"/>
      <c r="UH9" s="165"/>
      <c r="UI9" s="165"/>
      <c r="UJ9" s="165"/>
      <c r="UK9" s="165"/>
      <c r="UL9" s="165"/>
      <c r="UM9" s="165"/>
      <c r="UN9" s="165"/>
      <c r="UO9" s="165"/>
      <c r="UP9" s="165"/>
      <c r="UQ9" s="165"/>
      <c r="UR9" s="165"/>
      <c r="US9" s="165"/>
      <c r="UT9" s="165"/>
      <c r="UU9" s="165"/>
      <c r="UV9" s="165"/>
      <c r="UW9" s="165"/>
      <c r="UX9" s="165"/>
      <c r="UY9" s="165"/>
      <c r="UZ9" s="165"/>
      <c r="VA9" s="165"/>
      <c r="VB9" s="165"/>
      <c r="VC9" s="165"/>
      <c r="VD9" s="165"/>
      <c r="VE9" s="165"/>
      <c r="VF9" s="165"/>
      <c r="VG9" s="165"/>
      <c r="VH9" s="165"/>
      <c r="VI9" s="165"/>
      <c r="VJ9" s="165"/>
      <c r="VK9" s="165"/>
      <c r="VL9" s="165"/>
      <c r="VM9" s="165"/>
      <c r="VN9" s="165"/>
      <c r="VO9" s="165"/>
      <c r="VP9" s="165"/>
      <c r="VQ9" s="165"/>
      <c r="VR9" s="165"/>
      <c r="VS9" s="165"/>
      <c r="VT9" s="165"/>
      <c r="VU9" s="165"/>
      <c r="VV9" s="165"/>
      <c r="VW9" s="165"/>
      <c r="VX9" s="165"/>
      <c r="VY9" s="165"/>
      <c r="VZ9" s="165"/>
      <c r="WA9" s="165"/>
      <c r="WB9" s="165"/>
      <c r="WC9" s="165"/>
      <c r="WD9" s="165"/>
      <c r="WE9" s="165"/>
      <c r="WF9" s="165"/>
      <c r="WG9" s="165"/>
      <c r="WH9" s="165"/>
      <c r="WI9" s="165"/>
      <c r="WJ9" s="165"/>
      <c r="WK9" s="165"/>
      <c r="WL9" s="165"/>
      <c r="WM9" s="165"/>
      <c r="WN9" s="165"/>
      <c r="WO9" s="165"/>
      <c r="WP9" s="165"/>
      <c r="WQ9" s="165"/>
      <c r="WR9" s="165"/>
      <c r="WS9" s="165"/>
      <c r="WT9" s="165"/>
      <c r="WU9" s="165"/>
      <c r="WV9" s="165"/>
      <c r="WW9" s="165"/>
      <c r="WX9" s="165"/>
      <c r="WY9" s="165"/>
      <c r="WZ9" s="165"/>
      <c r="XA9" s="165"/>
      <c r="XB9" s="165"/>
      <c r="XC9" s="165"/>
      <c r="XD9" s="165"/>
      <c r="XE9" s="165"/>
      <c r="XF9" s="165"/>
      <c r="XG9" s="165"/>
      <c r="XH9" s="165"/>
      <c r="XI9" s="165"/>
      <c r="XJ9" s="165"/>
      <c r="XK9" s="165"/>
      <c r="XL9" s="165"/>
      <c r="XM9" s="165"/>
      <c r="XN9" s="165"/>
      <c r="XO9" s="165"/>
      <c r="XP9" s="165"/>
      <c r="XQ9" s="165"/>
      <c r="XR9" s="165"/>
      <c r="XS9" s="165"/>
      <c r="XT9" s="165"/>
      <c r="XU9" s="165"/>
      <c r="XV9" s="165"/>
      <c r="XW9" s="165"/>
      <c r="XX9" s="165"/>
      <c r="XY9" s="165"/>
      <c r="XZ9" s="165"/>
      <c r="YA9" s="165"/>
      <c r="YB9" s="165"/>
      <c r="YC9" s="165"/>
      <c r="YD9" s="165"/>
      <c r="YE9" s="165"/>
      <c r="YF9" s="165"/>
      <c r="YG9" s="165"/>
      <c r="YH9" s="165"/>
      <c r="YI9" s="165"/>
      <c r="YJ9" s="165"/>
      <c r="YK9" s="165"/>
      <c r="YL9" s="165"/>
      <c r="YM9" s="165"/>
      <c r="YN9" s="165"/>
      <c r="YO9" s="165"/>
      <c r="YP9" s="165"/>
      <c r="YQ9" s="165"/>
      <c r="YR9" s="165"/>
      <c r="YS9" s="165"/>
      <c r="YT9" s="165"/>
      <c r="YU9" s="165"/>
      <c r="YV9" s="165"/>
      <c r="YW9" s="165"/>
      <c r="YX9" s="165"/>
      <c r="YY9" s="165"/>
      <c r="YZ9" s="165"/>
      <c r="ZA9" s="165"/>
      <c r="ZB9" s="165"/>
      <c r="ZC9" s="165"/>
      <c r="ZD9" s="165"/>
      <c r="ZE9" s="165"/>
      <c r="ZF9" s="165"/>
      <c r="ZG9" s="165"/>
      <c r="ZH9" s="165"/>
      <c r="ZI9" s="165"/>
      <c r="ZJ9" s="165"/>
      <c r="ZK9" s="165"/>
      <c r="ZL9" s="165"/>
      <c r="ZM9" s="165"/>
      <c r="ZN9" s="165"/>
      <c r="ZO9" s="165"/>
      <c r="ZP9" s="165"/>
      <c r="ZQ9" s="165"/>
      <c r="ZR9" s="165"/>
      <c r="ZS9" s="165"/>
      <c r="ZT9" s="165"/>
      <c r="ZU9" s="165"/>
      <c r="ZV9" s="165"/>
      <c r="ZW9" s="165"/>
      <c r="ZX9" s="165"/>
      <c r="ZY9" s="165"/>
      <c r="ZZ9" s="165"/>
      <c r="AAA9" s="165"/>
      <c r="AAB9" s="165"/>
      <c r="AAC9" s="165"/>
      <c r="AAD9" s="165"/>
      <c r="AAE9" s="165"/>
      <c r="AAF9" s="165"/>
      <c r="AAG9" s="165"/>
      <c r="AAH9" s="165"/>
      <c r="AAI9" s="165"/>
      <c r="AAJ9" s="165"/>
      <c r="AAK9" s="165"/>
      <c r="AAL9" s="165"/>
      <c r="AAM9" s="165"/>
      <c r="AAN9" s="165"/>
      <c r="AAO9" s="165"/>
      <c r="AAP9" s="165"/>
      <c r="AAQ9" s="165"/>
      <c r="AAR9" s="165"/>
      <c r="AAS9" s="165"/>
      <c r="AAT9" s="165"/>
      <c r="AAU9" s="165"/>
      <c r="AAV9" s="165"/>
      <c r="AAW9" s="165"/>
      <c r="AAX9" s="165"/>
      <c r="AAY9" s="165"/>
      <c r="AAZ9" s="165"/>
      <c r="ABA9" s="165"/>
      <c r="ABB9" s="165"/>
      <c r="ABC9" s="165"/>
      <c r="ABD9" s="165"/>
      <c r="ABE9" s="165"/>
      <c r="ABF9" s="165"/>
      <c r="ABG9" s="165"/>
      <c r="ABH9" s="165"/>
      <c r="ABI9" s="165"/>
      <c r="ABJ9" s="165"/>
      <c r="ABK9" s="165"/>
      <c r="ABL9" s="165"/>
      <c r="ABM9" s="165"/>
      <c r="ABN9" s="165"/>
      <c r="ABO9" s="165"/>
      <c r="ABP9" s="165"/>
      <c r="ABQ9" s="165"/>
      <c r="ABR9" s="165"/>
      <c r="ABS9" s="165"/>
      <c r="ABT9" s="165"/>
      <c r="ABU9" s="165"/>
      <c r="ABV9" s="165"/>
      <c r="ABW9" s="165"/>
      <c r="ABX9" s="165"/>
      <c r="ABY9" s="165"/>
      <c r="ABZ9" s="165"/>
      <c r="ACA9" s="165"/>
      <c r="ACB9" s="165"/>
      <c r="ACC9" s="165"/>
      <c r="ACD9" s="165"/>
      <c r="ACE9" s="165"/>
      <c r="ACF9" s="165"/>
      <c r="ACG9" s="165"/>
      <c r="ACH9" s="165"/>
      <c r="ACI9" s="165"/>
      <c r="ACJ9" s="165"/>
      <c r="ACK9" s="165"/>
      <c r="ACL9" s="165"/>
      <c r="ACM9" s="165"/>
      <c r="ACN9" s="165"/>
      <c r="ACO9" s="165"/>
      <c r="ACP9" s="165"/>
      <c r="ACQ9" s="165"/>
      <c r="ACR9" s="165"/>
      <c r="ACS9" s="165"/>
      <c r="ACT9" s="165"/>
      <c r="ACU9" s="165"/>
      <c r="ACV9" s="165"/>
      <c r="ACW9" s="165"/>
      <c r="ACX9" s="165"/>
      <c r="ACY9" s="165"/>
      <c r="ACZ9" s="165"/>
      <c r="ADA9" s="165"/>
      <c r="ADB9" s="165"/>
      <c r="ADC9" s="165"/>
      <c r="ADD9" s="165"/>
      <c r="ADE9" s="165"/>
      <c r="ADF9" s="165"/>
      <c r="ADG9" s="165"/>
      <c r="ADH9" s="165"/>
      <c r="ADI9" s="165"/>
      <c r="ADJ9" s="165"/>
      <c r="ADK9" s="165"/>
      <c r="ADL9" s="165"/>
      <c r="ADM9" s="165"/>
      <c r="ADN9" s="165"/>
      <c r="ADO9" s="165"/>
      <c r="ADP9" s="165"/>
      <c r="ADQ9" s="165"/>
      <c r="ADR9" s="165"/>
      <c r="ADS9" s="165"/>
      <c r="ADT9" s="165"/>
      <c r="ADU9" s="165"/>
      <c r="ADV9" s="165"/>
      <c r="ADW9" s="165"/>
      <c r="ADX9" s="165"/>
      <c r="ADY9" s="165"/>
      <c r="ADZ9" s="165"/>
      <c r="AEA9" s="165"/>
      <c r="AEB9" s="165"/>
      <c r="AEC9" s="165"/>
      <c r="AED9" s="165"/>
      <c r="AEE9" s="165"/>
      <c r="AEF9" s="165"/>
      <c r="AEG9" s="165"/>
      <c r="AEH9" s="165"/>
      <c r="AEI9" s="165"/>
      <c r="AEJ9" s="165"/>
      <c r="AEK9" s="165"/>
      <c r="AEL9" s="165"/>
      <c r="AEM9" s="165"/>
      <c r="AEN9" s="165"/>
      <c r="AEO9" s="165"/>
      <c r="AEP9" s="165"/>
      <c r="AEQ9" s="165"/>
      <c r="AER9" s="165"/>
      <c r="AES9" s="165"/>
      <c r="AET9" s="165"/>
      <c r="AEU9" s="165"/>
      <c r="AEV9" s="165"/>
      <c r="AEW9" s="165"/>
      <c r="AEX9" s="165"/>
      <c r="AEY9" s="165"/>
      <c r="AEZ9" s="165"/>
      <c r="AFA9" s="165"/>
      <c r="AFB9" s="165"/>
      <c r="AFC9" s="165"/>
      <c r="AFD9" s="165"/>
      <c r="AFE9" s="165"/>
      <c r="AFF9" s="165"/>
      <c r="AFG9" s="165"/>
      <c r="AFH9" s="165"/>
      <c r="AFI9" s="165"/>
      <c r="AFJ9" s="165"/>
      <c r="AFK9" s="165"/>
      <c r="AFL9" s="165"/>
      <c r="AFM9" s="165"/>
      <c r="AFN9" s="165"/>
      <c r="AFO9" s="165"/>
      <c r="AFP9" s="165"/>
      <c r="AFQ9" s="165"/>
      <c r="AFR9" s="165"/>
      <c r="AFS9" s="165"/>
      <c r="AFT9" s="165"/>
      <c r="AFU9" s="165"/>
      <c r="AFV9" s="165"/>
      <c r="AFW9" s="165"/>
      <c r="AFX9" s="165"/>
      <c r="AFY9" s="165"/>
      <c r="AFZ9" s="165"/>
      <c r="AGA9" s="165"/>
      <c r="AGB9" s="165"/>
      <c r="AGC9" s="165"/>
      <c r="AGD9" s="165"/>
      <c r="AGE9" s="165"/>
      <c r="AGF9" s="165"/>
      <c r="AGG9" s="165"/>
      <c r="AGH9" s="165"/>
      <c r="AGI9" s="165"/>
      <c r="AGJ9" s="165"/>
      <c r="AGK9" s="165"/>
      <c r="AGL9" s="165"/>
      <c r="AGM9" s="165"/>
      <c r="AGN9" s="165"/>
      <c r="AGO9" s="165"/>
      <c r="AGP9" s="165"/>
      <c r="AGQ9" s="165"/>
      <c r="AGR9" s="165"/>
      <c r="AGS9" s="165"/>
      <c r="AGT9" s="165"/>
      <c r="AGU9" s="165"/>
      <c r="AGV9" s="165"/>
      <c r="AGW9" s="165"/>
      <c r="AGX9" s="165"/>
      <c r="AGY9" s="165"/>
      <c r="AGZ9" s="165"/>
      <c r="AHA9" s="165"/>
      <c r="AHB9" s="165"/>
      <c r="AHC9" s="165"/>
      <c r="AHD9" s="165"/>
      <c r="AHE9" s="165"/>
      <c r="AHF9" s="165"/>
      <c r="AHG9" s="165"/>
      <c r="AHH9" s="165"/>
      <c r="AHI9" s="165"/>
      <c r="AHJ9" s="165"/>
      <c r="AHK9" s="165"/>
      <c r="AHL9" s="165"/>
      <c r="AHM9" s="165"/>
      <c r="AHN9" s="165"/>
      <c r="AHO9" s="165"/>
      <c r="AHP9" s="165"/>
      <c r="AHQ9" s="165"/>
      <c r="AHR9" s="165"/>
      <c r="AHS9" s="165"/>
      <c r="AHT9" s="165"/>
      <c r="AHU9" s="165"/>
      <c r="AHV9" s="165"/>
      <c r="AHW9" s="165"/>
      <c r="AHX9" s="165"/>
      <c r="AHY9" s="165"/>
      <c r="AHZ9" s="165"/>
      <c r="AIA9" s="165"/>
      <c r="AIB9" s="165"/>
      <c r="AIC9" s="165"/>
      <c r="AID9" s="165"/>
      <c r="AIE9" s="165"/>
      <c r="AIF9" s="165"/>
      <c r="AIG9" s="165"/>
      <c r="AIH9" s="165"/>
      <c r="AII9" s="165"/>
      <c r="AIJ9" s="165"/>
      <c r="AIK9" s="165"/>
      <c r="AIL9" s="165"/>
      <c r="AIM9" s="165"/>
      <c r="AIN9" s="165"/>
      <c r="AIO9" s="165"/>
      <c r="AIP9" s="165"/>
      <c r="AIQ9" s="165"/>
      <c r="AIR9" s="165"/>
      <c r="AIS9" s="165"/>
      <c r="AIT9" s="165"/>
      <c r="AIU9" s="165"/>
      <c r="AIV9" s="165"/>
      <c r="AIW9" s="165"/>
      <c r="AIX9" s="165"/>
      <c r="AIY9" s="165"/>
      <c r="AIZ9" s="165"/>
      <c r="AJA9" s="165"/>
      <c r="AJB9" s="165"/>
      <c r="AJC9" s="165"/>
      <c r="AJD9" s="165"/>
      <c r="AJE9" s="165"/>
      <c r="AJF9" s="165"/>
      <c r="AJG9" s="165"/>
      <c r="AJH9" s="165"/>
      <c r="AJI9" s="165"/>
      <c r="AJJ9" s="165"/>
      <c r="AJK9" s="165"/>
      <c r="AJL9" s="165"/>
      <c r="AJM9" s="165"/>
      <c r="AJN9" s="165"/>
      <c r="AJO9" s="165"/>
      <c r="AJP9" s="165"/>
      <c r="AJQ9" s="165"/>
      <c r="AJR9" s="165"/>
      <c r="AJS9" s="165"/>
      <c r="AJT9" s="165"/>
      <c r="AJU9" s="165"/>
      <c r="AJV9" s="165"/>
      <c r="AJW9" s="165"/>
      <c r="AJX9" s="165"/>
      <c r="AJY9" s="165"/>
      <c r="AJZ9" s="165"/>
      <c r="AKA9" s="165"/>
      <c r="AKB9" s="165"/>
      <c r="AKC9" s="165"/>
      <c r="AKD9" s="165"/>
      <c r="AKE9" s="165"/>
      <c r="AKF9" s="165"/>
      <c r="AKG9" s="165"/>
      <c r="AKH9" s="165"/>
      <c r="AKI9" s="165"/>
      <c r="AKJ9" s="165"/>
      <c r="AKK9" s="165"/>
      <c r="AKL9" s="165"/>
      <c r="AKM9" s="165"/>
      <c r="AKN9" s="165"/>
      <c r="AKO9" s="165"/>
      <c r="AKP9" s="165"/>
      <c r="AKQ9" s="165"/>
      <c r="AKR9" s="165"/>
      <c r="AKS9" s="165"/>
      <c r="AKT9" s="165"/>
      <c r="AKU9" s="165"/>
      <c r="AKV9" s="165"/>
      <c r="AKW9" s="165"/>
      <c r="AKX9" s="165"/>
      <c r="AKY9" s="165"/>
      <c r="AKZ9" s="165"/>
      <c r="ALA9" s="165"/>
      <c r="ALB9" s="165"/>
      <c r="ALC9" s="165"/>
    </row>
    <row r="10" spans="1:993">
      <c r="A10" s="3"/>
      <c r="B10" s="2"/>
      <c r="C10" s="4"/>
      <c r="D10" s="5"/>
      <c r="E10" s="7"/>
      <c r="F10" s="7"/>
      <c r="G10" s="7"/>
      <c r="H10" s="7"/>
      <c r="I10" s="6"/>
      <c r="J10" s="166"/>
    </row>
    <row r="11" spans="1:993" s="167" customFormat="1" ht="24">
      <c r="A11" s="25" t="s">
        <v>5551</v>
      </c>
      <c r="B11" s="26" t="s">
        <v>0</v>
      </c>
      <c r="C11" s="25" t="s">
        <v>6302</v>
      </c>
      <c r="D11" s="25" t="s">
        <v>6306</v>
      </c>
      <c r="E11" s="27" t="s">
        <v>6303</v>
      </c>
      <c r="F11" s="27" t="s">
        <v>6285</v>
      </c>
      <c r="G11" s="27" t="s">
        <v>586</v>
      </c>
      <c r="H11" s="27" t="s">
        <v>6286</v>
      </c>
      <c r="I11" s="27" t="s">
        <v>7101</v>
      </c>
      <c r="J11" s="27" t="s">
        <v>6287</v>
      </c>
      <c r="P11" s="260"/>
    </row>
    <row r="12" spans="1:993" s="168" customFormat="1" ht="12">
      <c r="A12" s="377"/>
      <c r="B12" s="378"/>
      <c r="C12" s="379"/>
      <c r="D12" s="380"/>
      <c r="E12" s="381"/>
      <c r="F12" s="382"/>
      <c r="G12" s="383"/>
      <c r="H12" s="384"/>
      <c r="I12" s="384"/>
      <c r="J12" s="384"/>
      <c r="P12" s="259"/>
    </row>
    <row r="13" spans="1:993" s="168" customFormat="1" ht="12">
      <c r="A13" s="385"/>
      <c r="B13" s="386">
        <v>164</v>
      </c>
      <c r="C13" s="387" t="s">
        <v>612</v>
      </c>
      <c r="D13" s="385"/>
      <c r="E13" s="388"/>
      <c r="F13" s="317"/>
      <c r="G13" s="316"/>
      <c r="H13" s="319"/>
      <c r="I13" s="319"/>
      <c r="J13" s="319"/>
      <c r="P13" s="259"/>
    </row>
    <row r="14" spans="1:993" s="168" customFormat="1" ht="36">
      <c r="A14" s="341" t="s">
        <v>7</v>
      </c>
      <c r="B14" s="341">
        <v>98525</v>
      </c>
      <c r="C14" s="389" t="str">
        <f>(IF($A14="SINAPI",INDEX(SINAPI_NOV2020_NDES!$A$7:$H$6703,MATCH($B14,SINAPI_NOV2020_NDES!$A$7:$A$6703,0),2),IF($A14="GOINFRA",INDEX(#REF!,MATCH($B14,#REF!,0),2),(INDEX(COMPOS!$A$4:$G$3900,MATCH($B14,COMPOS!$A$4:A$3900,0),2)))))</f>
        <v>LIMPEZA MECANIZADA DE CAMADA VEGETAL, VEGETAÇÃO E PEQUENAS ÁRVORES (DIÂMETRO DE TRONCO MENOR QUE 0,20 M), COM TRATOR DE ESTEIRAS.AF_05/2018</v>
      </c>
      <c r="D14" s="374" t="str">
        <f>(IF($A14="SINAPI",INDEX(SINAPI_NOV2020_NDES!$A$7:$H$6790,MATCH($B14,SINAPI_NOV2020_NDES!$A$7:$A$6790,0),3),(INDEX(COMPOS!$A$4:$G$5000,MATCH($B14,COMPOS!$A$4:$A$5000,0),3))))</f>
        <v>M2</v>
      </c>
      <c r="E14" s="319">
        <v>34479.71</v>
      </c>
      <c r="F14" s="326">
        <f>(IF($A14="SINAPI",INDEX(SINAPI_NOV2020_NDES!$A$7:$H$6703,MATCH($B14,SINAPI_NOV2020_NDES!$A$7:$A$6703,0),5),(INDEX(COMPOS!$A$4:$G$801,MATCH($B14,COMPOS!$A$4:A$801,0),4))))</f>
        <v>0.17</v>
      </c>
      <c r="G14" s="320">
        <f>(IF($A14="SINAPI",INDEX(SINAPI_NOV2020_NDES!$A$7:$H$6703,MATCH($B14,SINAPI_NOV2020_NDES!$A$7:$A$6703,0),6),(INDEX(COMPOS!$A$4:$G$801,MATCH($B14,COMPOS!$A$4:A$801,0),5))))</f>
        <v>0.02</v>
      </c>
      <c r="H14" s="320">
        <f>(IF($A14="SINAPI",INDEX(SINAPI_NOV2020_NDES!$A$7:$H$6703,MATCH($B14,SINAPI_NOV2020_NDES!$A$7:$A$6703,0),7),(INDEX(COMPOS!$A$4:$G$801,MATCH($B14,COMPOS!$A$4:A$801,0),6))))</f>
        <v>0.1</v>
      </c>
      <c r="I14" s="326">
        <f t="shared" ref="I14" si="0">SUM(F14:H14)</f>
        <v>0.29000000000000004</v>
      </c>
      <c r="J14" s="316">
        <f t="shared" ref="J14" si="1">+I14*E14</f>
        <v>9999.1159000000007</v>
      </c>
      <c r="O14" s="264"/>
      <c r="P14" s="259"/>
    </row>
    <row r="15" spans="1:993" s="168" customFormat="1" ht="24">
      <c r="A15" s="341" t="s">
        <v>6307</v>
      </c>
      <c r="B15" s="341">
        <v>37</v>
      </c>
      <c r="C15" s="389" t="str">
        <f>(IF($A15="SINAPI",INDEX(SINAPI_NOV2020_NDES!$A$7:$H$6703,MATCH($B15,SINAPI_NOV2020_NDES!$A$7:$A$6703,0),2),IF($A15="GOINFRA",INDEX(#REF!,MATCH($B15,#REF!,0),2),(INDEX(COMPOS!$A$4:$G$3900,MATCH($B15,COMPOS!$A$4:A$3900,0),2)))))</f>
        <v>LOCAÇÃO DE PRAÇA, QUADRA, IMPLANTAÇÃO UTILIZANDO CAVALETE, INCLUSIVE PIQUET COM TESTEMUNHA</v>
      </c>
      <c r="D15" s="374" t="str">
        <f>(IF($A15="SINAPI",INDEX(SINAPI_NOV2020_NDES!$A$7:$H$6790,MATCH($B15,SINAPI_NOV2020_NDES!$A$7:$A$6790,0),3),(INDEX(COMPOS!$A$4:$G$5000,MATCH($B15,COMPOS!$A$4:$A$5000,0),3))))</f>
        <v>M2</v>
      </c>
      <c r="E15" s="319">
        <v>1225.99</v>
      </c>
      <c r="F15" s="326">
        <f>(IF($A15="SINAPI",INDEX(SINAPI_NOV2020_NDES!$A$7:$H$6703,MATCH($B15,SINAPI_NOV2020_NDES!$A$7:$A$6703,0),5),(INDEX(COMPOS!$A$4:$G$801,MATCH($B15,COMPOS!$A$4:A$801,0),4))))</f>
        <v>2.117407</v>
      </c>
      <c r="G15" s="320">
        <f>(IF($A15="SINAPI",INDEX(SINAPI_NOV2020_NDES!$A$7:$H$6703,MATCH($B15,SINAPI_NOV2020_NDES!$A$7:$A$6703,0),6),(INDEX(COMPOS!$A$4:$G$801,MATCH($B15,COMPOS!$A$4:A$801,0),5))))</f>
        <v>0.20551599999999998</v>
      </c>
      <c r="H15" s="320">
        <f>(IF($A15="SINAPI",INDEX(SINAPI_NOV2020_NDES!$A$7:$H$6703,MATCH($B15,SINAPI_NOV2020_NDES!$A$7:$A$6703,0),7),(INDEX(COMPOS!$A$4:$G$801,MATCH($B15,COMPOS!$A$4:A$801,0),6))))</f>
        <v>0</v>
      </c>
      <c r="I15" s="326">
        <f t="shared" ref="I15:I17" si="2">SUM(F15:H15)</f>
        <v>2.3229229999999998</v>
      </c>
      <c r="J15" s="316">
        <f t="shared" ref="J15:J17" si="3">+I15*E15</f>
        <v>2847.8803687699997</v>
      </c>
      <c r="O15" s="264"/>
      <c r="P15" s="259"/>
    </row>
    <row r="16" spans="1:993" s="168" customFormat="1" ht="12">
      <c r="A16" s="341" t="s">
        <v>6307</v>
      </c>
      <c r="B16" s="341">
        <v>168</v>
      </c>
      <c r="C16" s="389" t="str">
        <f>(IF($A16="SINAPI",INDEX(SINAPI_NOV2020_NDES!$A$7:$H$6703,MATCH($B16,SINAPI_NOV2020_NDES!$A$7:$A$6703,0),2),IF($A16="GOINFRA",INDEX(#REF!,MATCH($B16,#REF!,0),2),(INDEX(COMPOS!$A$4:$G$3900,MATCH($B16,COMPOS!$A$4:A$3900,0),2)))))</f>
        <v>PLACA DE OBRA EM CHAPA DE AÇO GALVANIZADA</v>
      </c>
      <c r="D16" s="374" t="str">
        <f>(IF($A16="SINAPI",INDEX(SINAPI_NOV2020_NDES!$A$7:$H$6790,MATCH($B16,SINAPI_NOV2020_NDES!$A$7:$A$6790,0),3),(INDEX(COMPOS!$A$4:$G$5000,MATCH($B16,COMPOS!$A$4:$A$5000,0),3))))</f>
        <v>M2</v>
      </c>
      <c r="E16" s="319">
        <v>12</v>
      </c>
      <c r="F16" s="326">
        <f>(IF($A16="SINAPI",INDEX(SINAPI_NOV2020_NDES!$A$7:$H$6703,MATCH($B16,SINAPI_NOV2020_NDES!$A$7:$A$6703,0),5),(INDEX(COMPOS!$A$4:$G$801,MATCH($B16,COMPOS!$A$4:A$801,0),4))))</f>
        <v>3.557544</v>
      </c>
      <c r="G16" s="320">
        <f>(IF($A16="SINAPI",INDEX(SINAPI_NOV2020_NDES!$A$7:$H$6703,MATCH($B16,SINAPI_NOV2020_NDES!$A$7:$A$6703,0),6),(INDEX(COMPOS!$A$4:$G$801,MATCH($B16,COMPOS!$A$4:A$801,0),5))))</f>
        <v>143.12637000000001</v>
      </c>
      <c r="H16" s="320">
        <f>(IF($A16="SINAPI",INDEX(SINAPI_NOV2020_NDES!$A$7:$H$6703,MATCH($B16,SINAPI_NOV2020_NDES!$A$7:$A$6703,0),7),(INDEX(COMPOS!$A$4:$G$801,MATCH($B16,COMPOS!$A$4:A$801,0),6))))</f>
        <v>0</v>
      </c>
      <c r="I16" s="326">
        <f t="shared" si="2"/>
        <v>146.68391400000002</v>
      </c>
      <c r="J16" s="316">
        <f t="shared" si="3"/>
        <v>1760.2069680000002</v>
      </c>
      <c r="O16" s="264"/>
      <c r="P16" s="259"/>
    </row>
    <row r="17" spans="1:16" s="168" customFormat="1" ht="12">
      <c r="A17" s="341" t="s">
        <v>6307</v>
      </c>
      <c r="B17" s="341">
        <v>291</v>
      </c>
      <c r="C17" s="389" t="str">
        <f>(IF($A17="SINAPI",INDEX(SINAPI_NOV2020_NDES!$A$7:$H$6703,MATCH($B17,SINAPI_NOV2020_NDES!$A$7:$A$6703,0),2),IF($A17="GOINFRA",INDEX(#REF!,MATCH($B17,#REF!,0),2),(INDEX(COMPOS!$A$4:$G$3900,MATCH($B17,COMPOS!$A$4:A$3900,0),2)))))</f>
        <v>CONSUMO DE ENERGIA ELÉTRICA</v>
      </c>
      <c r="D17" s="374" t="str">
        <f>(IF($A17="SINAPI",INDEX(SINAPI_NOV2020_NDES!$A$7:$H$6790,MATCH($B17,SINAPI_NOV2020_NDES!$A$7:$A$6790,0),3),(INDEX(COMPOS!$A$4:$G$5000,MATCH($B17,COMPOS!$A$4:$A$5000,0),3))))</f>
        <v>KWH</v>
      </c>
      <c r="E17" s="319">
        <f>1130*10</f>
        <v>11300</v>
      </c>
      <c r="F17" s="326">
        <f>(IF($A17="SINAPI",INDEX(SINAPI_NOV2020_NDES!$A$7:$H$6703,MATCH($B17,SINAPI_NOV2020_NDES!$A$7:$A$6703,0),5),(INDEX(COMPOS!$A$4:$G$801,MATCH($B17,COMPOS!$A$4:A$801,0),4))))</f>
        <v>0</v>
      </c>
      <c r="G17" s="320">
        <f>(IF($A17="SINAPI",INDEX(SINAPI_NOV2020_NDES!$A$7:$H$6703,MATCH($B17,SINAPI_NOV2020_NDES!$A$7:$A$6703,0),6),(INDEX(COMPOS!$A$4:$G$801,MATCH($B17,COMPOS!$A$4:A$801,0),5))))</f>
        <v>0.86</v>
      </c>
      <c r="H17" s="320">
        <f>(IF($A17="SINAPI",INDEX(SINAPI_NOV2020_NDES!$A$7:$H$6703,MATCH($B17,SINAPI_NOV2020_NDES!$A$7:$A$6703,0),7),(INDEX(COMPOS!$A$4:$G$801,MATCH($B17,COMPOS!$A$4:A$801,0),6))))</f>
        <v>0</v>
      </c>
      <c r="I17" s="326">
        <f t="shared" si="2"/>
        <v>0.86</v>
      </c>
      <c r="J17" s="316">
        <f t="shared" si="3"/>
        <v>9718</v>
      </c>
      <c r="O17" s="264"/>
      <c r="P17" s="259"/>
    </row>
    <row r="18" spans="1:16" s="163" customFormat="1" ht="24" customHeight="1">
      <c r="A18" s="716" t="s">
        <v>6927</v>
      </c>
      <c r="B18" s="716"/>
      <c r="C18" s="716"/>
      <c r="D18" s="716"/>
      <c r="E18" s="716"/>
      <c r="F18" s="716"/>
      <c r="G18" s="716"/>
      <c r="H18" s="716"/>
      <c r="I18" s="716"/>
      <c r="J18" s="390">
        <f>SUM(J14:J17)</f>
        <v>24325.203236770001</v>
      </c>
      <c r="K18" s="168"/>
      <c r="L18" s="168"/>
      <c r="M18" s="168"/>
      <c r="N18" s="168"/>
      <c r="O18" s="168"/>
      <c r="P18" s="259"/>
    </row>
    <row r="19" spans="1:16" s="168" customFormat="1" ht="12">
      <c r="A19" s="385"/>
      <c r="B19" s="386">
        <v>165</v>
      </c>
      <c r="C19" s="387" t="s">
        <v>611</v>
      </c>
      <c r="D19" s="385" t="s">
        <v>6922</v>
      </c>
      <c r="E19" s="388"/>
      <c r="F19" s="317"/>
      <c r="G19" s="316"/>
      <c r="H19" s="319"/>
      <c r="I19" s="319"/>
      <c r="J19" s="319"/>
      <c r="P19" s="259"/>
    </row>
    <row r="20" spans="1:16" s="168" customFormat="1" ht="12">
      <c r="A20" s="341" t="s">
        <v>6307</v>
      </c>
      <c r="B20" s="341">
        <v>111</v>
      </c>
      <c r="C20" s="389" t="str">
        <f>(IF($A20="SINAPI",INDEX(SINAPI_NOV2020_NDES!$A$7:$H$6703,MATCH($B20,SINAPI_NOV2020_NDES!$A$7:$A$6703,0),2),IF($A20="GOINFRA",INDEX(#REF!,MATCH($B20,#REF!,0),2),(INDEX(COMPOS!$A$4:$G$390,MATCH($B20,COMPOS!$A$4:A$390,0),2)))))</f>
        <v>MOBILIZAÇÃO/DESMOBILIZAÇÃO</v>
      </c>
      <c r="D20" s="374" t="str">
        <f>(IF($A20="SINAPI",INDEX(SINAPI_NOV2020_NDES!$A$7:$H$6790,MATCH($B20,SINAPI_NOV2020_NDES!$A$7:$A$6790,0),3),(INDEX(COMPOS!$A$4:$G$5000,MATCH($B20,COMPOS!$A$4:$A$5000,0),3))))</f>
        <v>VG</v>
      </c>
      <c r="E20" s="319">
        <v>2</v>
      </c>
      <c r="F20" s="326">
        <f>(IF($A20="SINAPI",INDEX(SINAPI_NOV2020_NDES!$A$7:$H$6703,MATCH($B20,SINAPI_NOV2020_NDES!$A$7:$A$6703,0),5),(INDEX(COMPOS!$A$4:$G$801,MATCH($B20,COMPOS!$A$4:A$801,0),4))))</f>
        <v>185.599152</v>
      </c>
      <c r="G20" s="320">
        <f>(IF($A20="SINAPI",INDEX(SINAPI_NOV2020_NDES!$A$7:$H$6703,MATCH($B20,SINAPI_NOV2020_NDES!$A$7:$A$6703,0),6),(INDEX(COMPOS!$A$4:$G$801,MATCH($B20,COMPOS!$A$4:A$801,0),5))))</f>
        <v>0</v>
      </c>
      <c r="H20" s="320">
        <f>(IF($A20="SINAPI",INDEX(SINAPI_NOV2020_NDES!$A$7:$H$6703,MATCH($B20,SINAPI_NOV2020_NDES!$A$7:$A$6703,0),7),(INDEX(COMPOS!$A$4:$G$801,MATCH($B20,COMPOS!$A$4:A$801,0),6))))</f>
        <v>2131.2565298795184</v>
      </c>
      <c r="I20" s="326">
        <f t="shared" ref="I20" si="4">SUM(F20:H20)</f>
        <v>2316.8556818795187</v>
      </c>
      <c r="J20" s="316">
        <f t="shared" ref="J20" si="5">+I20*E20</f>
        <v>4633.7113637590373</v>
      </c>
      <c r="O20" s="264"/>
      <c r="P20" s="259"/>
    </row>
    <row r="21" spans="1:16" s="168" customFormat="1" ht="24">
      <c r="A21" s="341" t="s">
        <v>6307</v>
      </c>
      <c r="B21" s="341">
        <v>450</v>
      </c>
      <c r="C21" s="391" t="s">
        <v>610</v>
      </c>
      <c r="D21" s="374" t="str">
        <f>(IF($A21="SINAPI",INDEX(SINAPI_NOV2020_NDES!$A$7:$H$6790,MATCH($B21,SINAPI_NOV2020_NDES!$A$7:$A$6790,0),3),(INDEX(COMPOS!$A$4:$G$5000,MATCH($B21,COMPOS!$A$4:$A$5000,0),3))))</f>
        <v>M3</v>
      </c>
      <c r="E21" s="319">
        <v>24</v>
      </c>
      <c r="F21" s="326">
        <f>(IF($A21="SINAPI",INDEX(SINAPI_NOV2020_NDES!$A$7:$H$6703,MATCH($B21,SINAPI_NOV2020_NDES!$A$7:$A$6703,0),5),(INDEX(COMPOS!$A$4:$G$801,MATCH($B21,COMPOS!$A$4:A$801,0),4))))</f>
        <v>10.879199999999999</v>
      </c>
      <c r="G21" s="320">
        <f>(IF($A21="SINAPI",INDEX(SINAPI_NOV2020_NDES!$A$7:$H$6703,MATCH($B21,SINAPI_NOV2020_NDES!$A$7:$A$6703,0),6),(INDEX(COMPOS!$A$4:$G$801,MATCH($B21,COMPOS!$A$4:A$801,0),5))))</f>
        <v>50.39</v>
      </c>
      <c r="H21" s="320">
        <f>(IF($A21="SINAPI",INDEX(SINAPI_NOV2020_NDES!$A$7:$H$6703,MATCH($B21,SINAPI_NOV2020_NDES!$A$7:$A$6703,0),7),(INDEX(COMPOS!$A$4:$G$801,MATCH($B21,COMPOS!$A$4:A$801,0),6))))</f>
        <v>0</v>
      </c>
      <c r="I21" s="326">
        <f>SUM(F21:H21)</f>
        <v>61.269199999999998</v>
      </c>
      <c r="J21" s="316">
        <f t="shared" ref="J21" si="6">+I21*E21</f>
        <v>1470.4607999999998</v>
      </c>
      <c r="O21" s="264"/>
      <c r="P21" s="259"/>
    </row>
    <row r="22" spans="1:16" s="163" customFormat="1">
      <c r="A22" s="716" t="s">
        <v>6927</v>
      </c>
      <c r="B22" s="716"/>
      <c r="C22" s="716"/>
      <c r="D22" s="716"/>
      <c r="E22" s="716"/>
      <c r="F22" s="716"/>
      <c r="G22" s="716"/>
      <c r="H22" s="716"/>
      <c r="I22" s="716"/>
      <c r="J22" s="390">
        <f>SUM(J20:J21)</f>
        <v>6104.1721637590372</v>
      </c>
      <c r="K22" s="168"/>
      <c r="L22" s="168"/>
      <c r="M22" s="168"/>
      <c r="N22" s="168"/>
      <c r="O22" s="168"/>
      <c r="P22" s="259"/>
    </row>
    <row r="23" spans="1:16" s="168" customFormat="1" ht="12">
      <c r="A23" s="385"/>
      <c r="B23" s="386">
        <v>166</v>
      </c>
      <c r="C23" s="387" t="s">
        <v>6962</v>
      </c>
      <c r="D23" s="385" t="s">
        <v>6922</v>
      </c>
      <c r="E23" s="388"/>
      <c r="F23" s="317"/>
      <c r="G23" s="316"/>
      <c r="H23" s="392"/>
      <c r="I23" s="392"/>
      <c r="J23" s="392"/>
      <c r="P23" s="259"/>
    </row>
    <row r="24" spans="1:16" s="168" customFormat="1" ht="12">
      <c r="A24" s="341" t="s">
        <v>6307</v>
      </c>
      <c r="B24" s="341">
        <v>560</v>
      </c>
      <c r="C24" s="393" t="str">
        <f>(IF($A24="SINAPI",INDEX(SINAPI_NOV2020_NDES!$A$7:$H$6703,MATCH($B24,SINAPI_NOV2020_NDES!$A$7:$A$6703,0),2),IF($A24="GOINFRA",INDEX(#REF!,MATCH($B24,#REF!,0),2),(INDEX(COMPOS!$A$4:$G$390,MATCH($B24,COMPOS!$A$4:A$390,0),2)))))</f>
        <v>ESCAVAÇÃO E CARGA DE MATERIAL 1ª CATEGORIA (PAV. URB)</v>
      </c>
      <c r="D24" s="374" t="str">
        <f>(IF($A24="SINAPI",INDEX(SINAPI_NOV2020_NDES!$A$7:$H$6790,MATCH($B24,SINAPI_NOV2020_NDES!$A$7:$A$6790,0),3),(INDEX(COMPOS!$A$4:$G$5000,MATCH($B24,COMPOS!$A$4:$A$5000,0),3))))</f>
        <v>M3</v>
      </c>
      <c r="E24" s="319">
        <v>2367.85</v>
      </c>
      <c r="F24" s="326">
        <f>(IF($A24="SINAPI",INDEX(SINAPI_NOV2020_NDES!$A$7:$H$6703,MATCH($B24,SINAPI_NOV2020_NDES!$A$7:$A$6703,0),5),(INDEX(COMPOS!$A$4:$G$801,MATCH($B24,COMPOS!$A$4:A$801,0),4))))</f>
        <v>0.42203258339798294</v>
      </c>
      <c r="G24" s="320">
        <f>(IF($A24="SINAPI",INDEX(SINAPI_NOV2020_NDES!$A$7:$H$6703,MATCH($B24,SINAPI_NOV2020_NDES!$A$7:$A$6703,0),6),(INDEX(COMPOS!$A$4:$G$801,MATCH($B24,COMPOS!$A$4:A$801,0),5))))</f>
        <v>0</v>
      </c>
      <c r="H24" s="320">
        <f>(IF($A24="SINAPI",INDEX(SINAPI_NOV2020_NDES!$A$7:$H$6703,MATCH($B24,SINAPI_NOV2020_NDES!$A$7:$A$6703,0),7),(INDEX(COMPOS!$A$4:$G$801,MATCH($B24,COMPOS!$A$4:A$801,0),6))))</f>
        <v>1.6559089733643653</v>
      </c>
      <c r="I24" s="326">
        <f>SUM(F24:H24)</f>
        <v>2.0779415567623483</v>
      </c>
      <c r="J24" s="316">
        <f t="shared" ref="J24" si="7">+I24*E24</f>
        <v>4920.2539151797264</v>
      </c>
      <c r="O24" s="264"/>
      <c r="P24" s="259"/>
    </row>
    <row r="25" spans="1:16" s="168" customFormat="1" ht="12">
      <c r="A25" s="341" t="s">
        <v>6307</v>
      </c>
      <c r="B25" s="341">
        <v>561</v>
      </c>
      <c r="C25" s="393" t="str">
        <f>(IF($A25="SINAPI",INDEX(SINAPI_NOV2020_NDES!$A$7:$H$6703,MATCH($B25,SINAPI_NOV2020_NDES!$A$7:$A$6703,0),2),IF($A25="GOINFRA",INDEX(#REF!,MATCH($B25,#REF!,0),2),(INDEX(COMPOS!$A$4:$G$390,MATCH($B25,COMPOS!$A$4:A$390,0),2)))))</f>
        <v>TRANSPORTE DE MAT. DE 1º CAT.-À CAMINHÃO (PAV.URB.)</v>
      </c>
      <c r="D25" s="374" t="str">
        <f>(IF($A25="SINAPI",INDEX(SINAPI_NOV2020_NDES!$A$7:$H$6790,MATCH($B25,SINAPI_NOV2020_NDES!$A$7:$A$6790,0),3),(INDEX(COMPOS!$A$4:$G$5000,MATCH($B25,COMPOS!$A$4:$A$5000,0),3))))</f>
        <v>M3KM</v>
      </c>
      <c r="E25" s="319">
        <v>18523.113354824225</v>
      </c>
      <c r="F25" s="326">
        <f>(IF($A25="SINAPI",INDEX(SINAPI_NOV2020_NDES!$A$7:$H$6703,MATCH($B25,SINAPI_NOV2020_NDES!$A$7:$A$6703,0),5),(INDEX(COMPOS!$A$4:$G$801,MATCH($B25,COMPOS!$A$4:A$801,0),4))))</f>
        <v>0</v>
      </c>
      <c r="G25" s="320">
        <f>(IF($A25="SINAPI",INDEX(SINAPI_NOV2020_NDES!$A$7:$H$6703,MATCH($B25,SINAPI_NOV2020_NDES!$A$7:$A$6703,0),6),(INDEX(COMPOS!$A$4:$G$801,MATCH($B25,COMPOS!$A$4:A$801,0),5))))</f>
        <v>0</v>
      </c>
      <c r="H25" s="320">
        <f>(IF($A25="SINAPI",INDEX(SINAPI_NOV2020_NDES!$A$7:$H$6703,MATCH($B25,SINAPI_NOV2020_NDES!$A$7:$A$6703,0),7),(INDEX(COMPOS!$A$4:$G$801,MATCH($B25,COMPOS!$A$4:A$801,0),6))))</f>
        <v>1.4094687387061799</v>
      </c>
      <c r="I25" s="326">
        <f t="shared" ref="I25:I40" si="8">SUM(F25:H25)</f>
        <v>1.4094687387061799</v>
      </c>
      <c r="J25" s="316">
        <f t="shared" ref="J25:J40" si="9">+I25*E25</f>
        <v>26107.749217135697</v>
      </c>
      <c r="O25" s="264"/>
      <c r="P25" s="259"/>
    </row>
    <row r="26" spans="1:16" s="168" customFormat="1" ht="12">
      <c r="A26" s="341" t="s">
        <v>6307</v>
      </c>
      <c r="B26" s="341">
        <v>562</v>
      </c>
      <c r="C26" s="393" t="str">
        <f>(IF($A26="SINAPI",INDEX(SINAPI_NOV2020_NDES!$A$7:$H$6703,MATCH($B26,SINAPI_NOV2020_NDES!$A$7:$A$6703,0),2),IF($A26="GOINFRA",INDEX(#REF!,MATCH($B26,#REF!,0),2),(INDEX(COMPOS!$A$4:$G$390,MATCH($B26,COMPOS!$A$4:A$390,0),2)))))</f>
        <v>COMPACTAÇÃO A 100% DO PROCTOR NORMAL</v>
      </c>
      <c r="D26" s="374" t="str">
        <f>(IF($A26="SINAPI",INDEX(SINAPI_NOV2020_NDES!$A$7:$H$6790,MATCH($B26,SINAPI_NOV2020_NDES!$A$7:$A$6790,0),3),(INDEX(COMPOS!$A$4:$G$5000,MATCH($B26,COMPOS!$A$4:$A$5000,0),3))))</f>
        <v>M3</v>
      </c>
      <c r="E26" s="319">
        <v>422.1565920000001</v>
      </c>
      <c r="F26" s="326">
        <f>(IF($A26="SINAPI",INDEX(SINAPI_NOV2020_NDES!$A$7:$H$6703,MATCH($B26,SINAPI_NOV2020_NDES!$A$7:$A$6703,0),5),(INDEX(COMPOS!$A$4:$G$801,MATCH($B26,COMPOS!$A$4:A$801,0),4))))</f>
        <v>0.3874031346501195</v>
      </c>
      <c r="G26" s="320">
        <f>(IF($A26="SINAPI",INDEX(SINAPI_NOV2020_NDES!$A$7:$H$6703,MATCH($B26,SINAPI_NOV2020_NDES!$A$7:$A$6703,0),6),(INDEX(COMPOS!$A$4:$G$801,MATCH($B26,COMPOS!$A$4:A$801,0),5))))</f>
        <v>0</v>
      </c>
      <c r="H26" s="320">
        <f>(IF($A26="SINAPI",INDEX(SINAPI_NOV2020_NDES!$A$7:$H$6703,MATCH($B26,SINAPI_NOV2020_NDES!$A$7:$A$6703,0),7),(INDEX(COMPOS!$A$4:$G$801,MATCH($B26,COMPOS!$A$4:A$801,0),6))))</f>
        <v>2.620127017421197</v>
      </c>
      <c r="I26" s="326">
        <f t="shared" si="8"/>
        <v>3.0075301520713165</v>
      </c>
      <c r="J26" s="316">
        <f t="shared" si="9"/>
        <v>1269.6486793356689</v>
      </c>
      <c r="O26" s="264"/>
      <c r="P26" s="259"/>
    </row>
    <row r="27" spans="1:16" s="168" customFormat="1" ht="12">
      <c r="A27" s="341" t="s">
        <v>6307</v>
      </c>
      <c r="B27" s="341">
        <v>563</v>
      </c>
      <c r="C27" s="393" t="str">
        <f>(IF($A27="SINAPI",INDEX(SINAPI_NOV2020_NDES!$A$7:$H$6703,MATCH($B27,SINAPI_NOV2020_NDES!$A$7:$A$6703,0),2),IF($A27="GOINFRA",INDEX(#REF!,MATCH($B27,#REF!,0),2),(INDEX(COMPOS!$A$4:$G$390,MATCH($B27,COMPOS!$A$4:A$390,0),2)))))</f>
        <v>REGULARIZAÇÃO E COMPACTAÇÃO DO SUB-LEITO (PAV.URB.)</v>
      </c>
      <c r="D27" s="374" t="str">
        <f>(IF($A27="SINAPI",INDEX(SINAPI_NOV2020_NDES!$A$7:$H$6790,MATCH($B27,SINAPI_NOV2020_NDES!$A$7:$A$6790,0),3),(INDEX(COMPOS!$A$4:$G$5000,MATCH($B27,COMPOS!$A$4:$A$5000,0),3))))</f>
        <v>M2</v>
      </c>
      <c r="E27" s="319">
        <v>7863.9122499999994</v>
      </c>
      <c r="F27" s="326">
        <f>(IF($A27="SINAPI",INDEX(SINAPI_NOV2020_NDES!$A$7:$H$6703,MATCH($B27,SINAPI_NOV2020_NDES!$A$7:$A$6703,0),5),(INDEX(COMPOS!$A$4:$G$801,MATCH($B27,COMPOS!$A$4:A$801,0),4))))</f>
        <v>0.23042521994134899</v>
      </c>
      <c r="G27" s="320">
        <f>(IF($A27="SINAPI",INDEX(SINAPI_NOV2020_NDES!$A$7:$H$6703,MATCH($B27,SINAPI_NOV2020_NDES!$A$7:$A$6703,0),6),(INDEX(COMPOS!$A$4:$G$801,MATCH($B27,COMPOS!$A$4:A$801,0),5))))</f>
        <v>0</v>
      </c>
      <c r="H27" s="320">
        <f>(IF($A27="SINAPI",INDEX(SINAPI_NOV2020_NDES!$A$7:$H$6703,MATCH($B27,SINAPI_NOV2020_NDES!$A$7:$A$6703,0),7),(INDEX(COMPOS!$A$4:$G$801,MATCH($B27,COMPOS!$A$4:A$801,0),6))))</f>
        <v>1.3550360703812316</v>
      </c>
      <c r="I27" s="326">
        <f t="shared" si="8"/>
        <v>1.5854612903225807</v>
      </c>
      <c r="J27" s="316">
        <f t="shared" si="9"/>
        <v>12467.928462868547</v>
      </c>
      <c r="O27" s="264"/>
      <c r="P27" s="259"/>
    </row>
    <row r="28" spans="1:16" s="168" customFormat="1" ht="12">
      <c r="A28" s="341" t="s">
        <v>6307</v>
      </c>
      <c r="B28" s="341">
        <v>564</v>
      </c>
      <c r="C28" s="393" t="str">
        <f>(IF($A28="SINAPI",INDEX(SINAPI_NOV2020_NDES!$A$7:$H$6703,MATCH($B28,SINAPI_NOV2020_NDES!$A$7:$A$6703,0),2),IF($A28="GOINFRA",INDEX(#REF!,MATCH($B28,#REF!,0),2),(INDEX(COMPOS!$A$4:$G$390,MATCH($B28,COMPOS!$A$4:A$390,0),2)))))</f>
        <v>ESC. E CARGA DE MAT. DE JAZ-. C/ INDENIZ. (PAV.URB.)</v>
      </c>
      <c r="D28" s="374" t="str">
        <f>(IF($A28="SINAPI",INDEX(SINAPI_NOV2020_NDES!$A$7:$H$6790,MATCH($B28,SINAPI_NOV2020_NDES!$A$7:$A$6790,0),3),(INDEX(COMPOS!$A$4:$G$5000,MATCH($B28,COMPOS!$A$4:$A$5000,0),3))))</f>
        <v>M3</v>
      </c>
      <c r="E28" s="319">
        <v>1506.64</v>
      </c>
      <c r="F28" s="326">
        <f>(IF($A28="SINAPI",INDEX(SINAPI_NOV2020_NDES!$A$7:$H$6703,MATCH($B28,SINAPI_NOV2020_NDES!$A$7:$A$6703,0),5),(INDEX(COMPOS!$A$4:$G$801,MATCH($B28,COMPOS!$A$4:A$801,0),4))))</f>
        <v>0.49454545454545451</v>
      </c>
      <c r="G28" s="320">
        <f>(IF($A28="SINAPI",INDEX(SINAPI_NOV2020_NDES!$A$7:$H$6703,MATCH($B28,SINAPI_NOV2020_NDES!$A$7:$A$6703,0),6),(INDEX(COMPOS!$A$4:$G$801,MATCH($B28,COMPOS!$A$4:A$801,0),5))))</f>
        <v>5</v>
      </c>
      <c r="H28" s="320">
        <f>(IF($A28="SINAPI",INDEX(SINAPI_NOV2020_NDES!$A$7:$H$6703,MATCH($B28,SINAPI_NOV2020_NDES!$A$7:$A$6703,0),7),(INDEX(COMPOS!$A$4:$G$801,MATCH($B28,COMPOS!$A$4:A$801,0),6))))</f>
        <v>3.1886054545454545</v>
      </c>
      <c r="I28" s="326">
        <f t="shared" si="8"/>
        <v>8.6831509090909087</v>
      </c>
      <c r="J28" s="316">
        <f t="shared" si="9"/>
        <v>13082.382485672728</v>
      </c>
      <c r="O28" s="264"/>
      <c r="P28" s="259"/>
    </row>
    <row r="29" spans="1:16" s="168" customFormat="1" ht="12">
      <c r="A29" s="341" t="s">
        <v>6307</v>
      </c>
      <c r="B29" s="341">
        <v>565</v>
      </c>
      <c r="C29" s="393" t="str">
        <f>(IF($A29="SINAPI",INDEX(SINAPI_NOV2020_NDES!$A$7:$H$6703,MATCH($B29,SINAPI_NOV2020_NDES!$A$7:$A$6703,0),2),IF($A29="GOINFRA",INDEX(#REF!,MATCH($B29,#REF!,0),2),(INDEX(COMPOS!$A$4:$G$390,MATCH($B29,COMPOS!$A$4:A$390,0),2)))))</f>
        <v>TRANSPORTE DE MAT. DE JAZIDA-CASCALHO (PAV.URB.)</v>
      </c>
      <c r="D29" s="374" t="str">
        <f>(IF($A29="SINAPI",INDEX(SINAPI_NOV2020_NDES!$A$7:$H$6790,MATCH($B29,SINAPI_NOV2020_NDES!$A$7:$A$6790,0),3),(INDEX(COMPOS!$A$4:$G$5000,MATCH($B29,COMPOS!$A$4:$A$5000,0),3))))</f>
        <v>M3KM</v>
      </c>
      <c r="E29" s="319">
        <v>87357.2</v>
      </c>
      <c r="F29" s="326">
        <f>(IF($A29="SINAPI",INDEX(SINAPI_NOV2020_NDES!$A$7:$H$6703,MATCH($B29,SINAPI_NOV2020_NDES!$A$7:$A$6703,0),5),(INDEX(COMPOS!$A$4:$G$801,MATCH($B29,COMPOS!$A$4:A$801,0),4))))</f>
        <v>0</v>
      </c>
      <c r="G29" s="320">
        <f>(IF($A29="SINAPI",INDEX(SINAPI_NOV2020_NDES!$A$7:$H$6703,MATCH($B29,SINAPI_NOV2020_NDES!$A$7:$A$6703,0),6),(INDEX(COMPOS!$A$4:$G$801,MATCH($B29,COMPOS!$A$4:A$801,0),5))))</f>
        <v>0</v>
      </c>
      <c r="H29" s="320">
        <f>(IF($A29="SINAPI",INDEX(SINAPI_NOV2020_NDES!$A$7:$H$6703,MATCH($B29,SINAPI_NOV2020_NDES!$A$7:$A$6703,0),7),(INDEX(COMPOS!$A$4:$G$801,MATCH($B29,COMPOS!$A$4:A$801,0),6))))</f>
        <v>1.4094687387061799</v>
      </c>
      <c r="I29" s="326">
        <f t="shared" si="8"/>
        <v>1.4094687387061799</v>
      </c>
      <c r="J29" s="316">
        <f t="shared" si="9"/>
        <v>123127.24250090349</v>
      </c>
      <c r="O29" s="264"/>
      <c r="P29" s="259"/>
    </row>
    <row r="30" spans="1:16" s="168" customFormat="1" ht="24">
      <c r="A30" s="341" t="s">
        <v>6307</v>
      </c>
      <c r="B30" s="341">
        <v>566</v>
      </c>
      <c r="C30" s="393" t="str">
        <f>(IF($A30="SINAPI",INDEX(SINAPI_NOV2020_NDES!$A$7:$H$6703,MATCH($B30,SINAPI_NOV2020_NDES!$A$7:$A$6703,0),2),IF($A30="GOINFRA",INDEX(#REF!,MATCH($B30,#REF!,0),2),(INDEX(COMPOS!$A$4:$G$390,MATCH($B30,COMPOS!$A$4:A$390,0),2)))))</f>
        <v>ESTABILIZAÇÃO GRANULOMÉTRICA SEM MISTURA - REF.PROCTOR: 39 GOLPES (100% P.IM.)</v>
      </c>
      <c r="D30" s="374" t="str">
        <f>(IF($A30="SINAPI",INDEX(SINAPI_NOV2020_NDES!$A$7:$H$6790,MATCH($B30,SINAPI_NOV2020_NDES!$A$7:$A$6790,0),3),(INDEX(COMPOS!$A$4:$G$5000,MATCH($B30,COMPOS!$A$4:$A$5000,0),3))))</f>
        <v>M2</v>
      </c>
      <c r="E30" s="319">
        <v>1205.3141499999997</v>
      </c>
      <c r="F30" s="326">
        <f>(IF($A30="SINAPI",INDEX(SINAPI_NOV2020_NDES!$A$7:$H$6703,MATCH($B30,SINAPI_NOV2020_NDES!$A$7:$A$6703,0),5),(INDEX(COMPOS!$A$4:$G$801,MATCH($B30,COMPOS!$A$4:A$801,0),4))))</f>
        <v>2.2793840351979888</v>
      </c>
      <c r="G30" s="320">
        <f>(IF($A30="SINAPI",INDEX(SINAPI_NOV2020_NDES!$A$7:$H$6703,MATCH($B30,SINAPI_NOV2020_NDES!$A$7:$A$6703,0),6),(INDEX(COMPOS!$A$4:$G$801,MATCH($B30,COMPOS!$A$4:A$801,0),5))))</f>
        <v>0</v>
      </c>
      <c r="H30" s="320">
        <f>(IF($A30="SINAPI",INDEX(SINAPI_NOV2020_NDES!$A$7:$H$6703,MATCH($B30,SINAPI_NOV2020_NDES!$A$7:$A$6703,0),7),(INDEX(COMPOS!$A$4:$G$801,MATCH($B30,COMPOS!$A$4:A$801,0),6))))</f>
        <v>7.5818877016551447</v>
      </c>
      <c r="I30" s="326">
        <f t="shared" si="8"/>
        <v>9.8612717368531335</v>
      </c>
      <c r="J30" s="316">
        <f t="shared" si="9"/>
        <v>11885.930361424156</v>
      </c>
      <c r="O30" s="264"/>
      <c r="P30" s="259"/>
    </row>
    <row r="31" spans="1:16" s="168" customFormat="1" ht="12">
      <c r="A31" s="341" t="s">
        <v>6307</v>
      </c>
      <c r="B31" s="341" t="s">
        <v>6968</v>
      </c>
      <c r="C31" s="394" t="s">
        <v>6953</v>
      </c>
      <c r="D31" s="374" t="s">
        <v>404</v>
      </c>
      <c r="E31" s="319">
        <v>22.585117799999999</v>
      </c>
      <c r="F31" s="326"/>
      <c r="G31" s="326">
        <v>161.77814494269666</v>
      </c>
      <c r="H31" s="320">
        <v>0</v>
      </c>
      <c r="I31" s="326">
        <f>SUM(F31:H31)</f>
        <v>161.77814494269666</v>
      </c>
      <c r="J31" s="316">
        <f>+I31*E31</f>
        <v>3653.7784609962782</v>
      </c>
      <c r="O31" s="264"/>
      <c r="P31" s="259"/>
    </row>
    <row r="32" spans="1:16" s="168" customFormat="1" ht="12">
      <c r="A32" s="341" t="s">
        <v>6307</v>
      </c>
      <c r="B32" s="341" t="s">
        <v>6968</v>
      </c>
      <c r="C32" s="394" t="s">
        <v>6954</v>
      </c>
      <c r="D32" s="374" t="s">
        <v>404</v>
      </c>
      <c r="E32" s="319">
        <v>6.4528908000000005</v>
      </c>
      <c r="F32" s="326"/>
      <c r="G32" s="326">
        <v>5935.31</v>
      </c>
      <c r="H32" s="320">
        <v>0</v>
      </c>
      <c r="I32" s="326">
        <f>SUM(F32:H32)</f>
        <v>5935.31</v>
      </c>
      <c r="J32" s="316">
        <f t="shared" si="9"/>
        <v>38299.907294148004</v>
      </c>
      <c r="O32" s="264"/>
      <c r="P32" s="259"/>
    </row>
    <row r="33" spans="1:16" s="168" customFormat="1" ht="12">
      <c r="A33" s="341" t="s">
        <v>6307</v>
      </c>
      <c r="B33" s="341">
        <v>567</v>
      </c>
      <c r="C33" s="393" t="str">
        <f>(IF($A33="SINAPI",INDEX(SINAPI_NOV2020_NDES!$A$7:$H$6703,MATCH($B33,SINAPI_NOV2020_NDES!$A$7:$A$6703,0),2),IF($A33="GOINFRA",INDEX(#REF!,MATCH($B33,#REF!,0),2),(INDEX(COMPOS!$A$4:$G$39000,MATCH($B33,COMPOS!$A$4:A$39000,0),2)))))</f>
        <v>IMPRIMAÇÃO (PAV. URB)</v>
      </c>
      <c r="D33" s="374" t="str">
        <f>(IF($A33="SINAPI",INDEX(SINAPI_NOV2020_NDES!$A$7:$H$6790,MATCH($B33,SINAPI_NOV2020_NDES!$A$7:$A$6790,0),3),(INDEX(COMPOS!$A$4:$G$5000,MATCH($B33,COMPOS!$A$4:$A$5000,0),3))))</f>
        <v>M2</v>
      </c>
      <c r="E33" s="319">
        <v>5377.4089999999997</v>
      </c>
      <c r="F33" s="326">
        <f>(IF($A33="SINAPI",INDEX(SINAPI_NOV2020_NDES!$A$7:$H$6703,MATCH($B33,SINAPI_NOV2020_NDES!$A$7:$A$6703,0),5),(INDEX(COMPOS!$A$4:$G$801,MATCH($B33,COMPOS!$A$4:A$801,0),4))))</f>
        <v>0.1159813596491228</v>
      </c>
      <c r="G33" s="320">
        <f>(IF($A33="SINAPI",INDEX(SINAPI_NOV2020_NDES!$A$7:$H$6703,MATCH($B33,SINAPI_NOV2020_NDES!$A$7:$A$6703,0),6),(INDEX(COMPOS!$A$4:$G$801,MATCH($B33,COMPOS!$A$4:A$801,0),5))))</f>
        <v>0</v>
      </c>
      <c r="H33" s="320">
        <f>(IF($A33="SINAPI",INDEX(SINAPI_NOV2020_NDES!$A$7:$H$6703,MATCH($B33,SINAPI_NOV2020_NDES!$A$7:$A$6703,0),7),(INDEX(COMPOS!$A$4:$G$801,MATCH($B33,COMPOS!$A$4:A$801,0),6))))</f>
        <v>0.37066447368421046</v>
      </c>
      <c r="I33" s="326">
        <f>SUM(F33:H33)</f>
        <v>0.48664583333333328</v>
      </c>
      <c r="J33" s="316">
        <f t="shared" si="9"/>
        <v>2616.8936839791663</v>
      </c>
      <c r="O33" s="264"/>
      <c r="P33" s="259"/>
    </row>
    <row r="34" spans="1:16">
      <c r="A34" s="341" t="s">
        <v>6307</v>
      </c>
      <c r="B34" s="341" t="s">
        <v>6968</v>
      </c>
      <c r="C34" s="394" t="s">
        <v>6969</v>
      </c>
      <c r="D34" s="374" t="s">
        <v>404</v>
      </c>
      <c r="E34" s="319">
        <v>16.132227</v>
      </c>
      <c r="F34" s="326"/>
      <c r="G34" s="326">
        <v>2629.91</v>
      </c>
      <c r="H34" s="320">
        <v>0</v>
      </c>
      <c r="I34" s="326">
        <f>SUM(F34:H34)</f>
        <v>2629.91</v>
      </c>
      <c r="J34" s="316">
        <f t="shared" si="9"/>
        <v>42426.305109569999</v>
      </c>
      <c r="K34" s="168"/>
      <c r="L34" s="168"/>
      <c r="M34" s="168"/>
      <c r="N34" s="168"/>
      <c r="O34" s="264"/>
      <c r="P34" s="259"/>
    </row>
    <row r="35" spans="1:16" s="169" customFormat="1" ht="12">
      <c r="A35" s="341" t="s">
        <v>6307</v>
      </c>
      <c r="B35" s="341">
        <v>568</v>
      </c>
      <c r="C35" s="393" t="str">
        <f>(IF($A35="SINAPI",INDEX(SINAPI_NOV2020_NDES!$A$7:$H$6703,MATCH($B35,SINAPI_NOV2020_NDES!$A$7:$A$6703,0),2),IF($A35="GOINFRA",INDEX(#REF!,MATCH($B35,#REF!,0),2),(INDEX(COMPOS!$A$4:$G$390,MATCH($B35,COMPOS!$A$4:A$390,0),2)))))</f>
        <v>TRANSPORTE COMERCIAL DE AGREGADOS</v>
      </c>
      <c r="D35" s="374" t="str">
        <f>(IF($A35="SINAPI",INDEX(SINAPI_NOV2020_NDES!$A$7:$H$6790,MATCH($B35,SINAPI_NOV2020_NDES!$A$7:$A$6790,0),3),(INDEX(COMPOS!$A$4:$G$5000,MATCH($B35,COMPOS!$A$4:$A$5000,0),3))))</f>
        <v>M3KM</v>
      </c>
      <c r="E35" s="319">
        <v>5426.9725787530006</v>
      </c>
      <c r="F35" s="326">
        <f>(IF($A35="SINAPI",INDEX(SINAPI_NOV2020_NDES!$A$7:$H$6703,MATCH($B35,SINAPI_NOV2020_NDES!$A$7:$A$6703,0),5),(INDEX(COMPOS!$A$4:$G$801,MATCH($B35,COMPOS!$A$4:A$801,0),4))))</f>
        <v>0</v>
      </c>
      <c r="G35" s="320">
        <f>(IF($A35="SINAPI",INDEX(SINAPI_NOV2020_NDES!$A$7:$H$6703,MATCH($B35,SINAPI_NOV2020_NDES!$A$7:$A$6703,0),6),(INDEX(COMPOS!$A$4:$G$801,MATCH($B35,COMPOS!$A$4:A$801,0),5))))</f>
        <v>0</v>
      </c>
      <c r="H35" s="320">
        <f>(IF($A35="SINAPI",INDEX(SINAPI_NOV2020_NDES!$A$7:$H$6703,MATCH($B35,SINAPI_NOV2020_NDES!$A$7:$A$6703,0),7),(INDEX(COMPOS!$A$4:$G$801,MATCH($B35,COMPOS!$A$4:A$801,0),6))))</f>
        <v>0.624</v>
      </c>
      <c r="I35" s="326">
        <f t="shared" si="8"/>
        <v>0.624</v>
      </c>
      <c r="J35" s="316">
        <f t="shared" si="9"/>
        <v>3386.4308891418723</v>
      </c>
      <c r="K35" s="168"/>
      <c r="L35" s="168"/>
      <c r="M35" s="168"/>
      <c r="N35" s="168"/>
      <c r="O35" s="264"/>
      <c r="P35" s="259"/>
    </row>
    <row r="36" spans="1:16" s="168" customFormat="1" ht="12">
      <c r="A36" s="341" t="s">
        <v>6307</v>
      </c>
      <c r="B36" s="341">
        <v>569</v>
      </c>
      <c r="C36" s="393" t="str">
        <f>(IF($A36="SINAPI",INDEX(SINAPI_NOV2020_NDES!$A$7:$H$6703,MATCH($B36,SINAPI_NOV2020_NDES!$A$7:$A$6703,0),2),IF($A36="GOINFRA",INDEX(#REF!,MATCH($B36,#REF!,0),2),(INDEX(COMPOS!$A$4:$G$390,MATCH($B36,COMPOS!$A$4:A$390,0),2)))))</f>
        <v>TRATAMENTO SUPERFICIAL DUPLO - TSD (BC) (PAV.URB.)</v>
      </c>
      <c r="D36" s="374" t="str">
        <f>(IF($A36="SINAPI",INDEX(SINAPI_NOV2020_NDES!$A$7:$H$6790,MATCH($B36,SINAPI_NOV2020_NDES!$A$7:$A$6790,0),3),(INDEX(COMPOS!$A$4:$G$5000,MATCH($B36,COMPOS!$A$4:$A$5000,0),3))))</f>
        <v>M2</v>
      </c>
      <c r="E36" s="319">
        <v>5377.4089999999997</v>
      </c>
      <c r="F36" s="326">
        <f>(IF($A36="SINAPI",INDEX(SINAPI_NOV2020_NDES!$A$7:$H$6703,MATCH($B36,SINAPI_NOV2020_NDES!$A$7:$A$6703,0),5),(INDEX(COMPOS!$A$4:$G$801,MATCH($B36,COMPOS!$A$4:A$801,0),4))))</f>
        <v>0.87000000000000011</v>
      </c>
      <c r="G36" s="320">
        <f>(IF($A36="SINAPI",INDEX(SINAPI_NOV2020_NDES!$A$7:$H$6703,MATCH($B36,SINAPI_NOV2020_NDES!$A$7:$A$6703,0),6),(INDEX(COMPOS!$A$4:$G$801,MATCH($B36,COMPOS!$A$4:A$801,0),5))))</f>
        <v>1.404096</v>
      </c>
      <c r="H36" s="320">
        <f>(IF($A36="SINAPI",INDEX(SINAPI_NOV2020_NDES!$A$7:$H$6703,MATCH($B36,SINAPI_NOV2020_NDES!$A$7:$A$6703,0),7),(INDEX(COMPOS!$A$4:$G$801,MATCH($B36,COMPOS!$A$4:A$801,0),6))))</f>
        <v>2.9476161616161614</v>
      </c>
      <c r="I36" s="326">
        <f t="shared" si="8"/>
        <v>5.2217121616161615</v>
      </c>
      <c r="J36" s="316">
        <f t="shared" si="9"/>
        <v>28079.2819732842</v>
      </c>
      <c r="O36" s="264"/>
      <c r="P36" s="259"/>
    </row>
    <row r="37" spans="1:16" s="168" customFormat="1" ht="12">
      <c r="A37" s="341" t="s">
        <v>6307</v>
      </c>
      <c r="B37" s="341">
        <v>570</v>
      </c>
      <c r="C37" s="393" t="str">
        <f>(IF($A37="SINAPI",INDEX(SINAPI_NOV2020_NDES!$A$7:$H$6703,MATCH($B37,SINAPI_NOV2020_NDES!$A$7:$A$6703,0),2),IF($A37="GOINFRA",INDEX(#REF!,MATCH($B37,#REF!,0),2),(INDEX(COMPOS!$A$4:$G$390,MATCH($B37,COMPOS!$A$4:A$390,0),2)))))</f>
        <v>CAPA SELANTE C/PÓ DE PEDRA (BC)</v>
      </c>
      <c r="D37" s="374" t="str">
        <f>(IF($A37="SINAPI",INDEX(SINAPI_NOV2020_NDES!$A$7:$H$6790,MATCH($B37,SINAPI_NOV2020_NDES!$A$7:$A$6790,0),3),(INDEX(COMPOS!$A$4:$G$5000,MATCH($B37,COMPOS!$A$4:$A$5000,0),3))))</f>
        <v>M2</v>
      </c>
      <c r="E37" s="319">
        <v>5377.4089999999997</v>
      </c>
      <c r="F37" s="326">
        <f>(IF($A37="SINAPI",INDEX(SINAPI_NOV2020_NDES!$A$7:$H$6703,MATCH($B37,SINAPI_NOV2020_NDES!$A$7:$A$6703,0),5),(INDEX(COMPOS!$A$4:$G$801,MATCH($B37,COMPOS!$A$4:A$801,0),4))))</f>
        <v>0.28144124168514412</v>
      </c>
      <c r="G37" s="320">
        <f>(IF($A37="SINAPI",INDEX(SINAPI_NOV2020_NDES!$A$7:$H$6703,MATCH($B37,SINAPI_NOV2020_NDES!$A$7:$A$6703,0),6),(INDEX(COMPOS!$A$4:$G$801,MATCH($B37,COMPOS!$A$4:A$801,0),5))))</f>
        <v>0.19163999999999998</v>
      </c>
      <c r="H37" s="320">
        <f>(IF($A37="SINAPI",INDEX(SINAPI_NOV2020_NDES!$A$7:$H$6703,MATCH($B37,SINAPI_NOV2020_NDES!$A$7:$A$6703,0),7),(INDEX(COMPOS!$A$4:$G$801,MATCH($B37,COMPOS!$A$4:A$801,0),6))))</f>
        <v>1.0291614190687361</v>
      </c>
      <c r="I37" s="326">
        <f t="shared" si="8"/>
        <v>1.5022426607538804</v>
      </c>
      <c r="J37" s="316">
        <f t="shared" si="9"/>
        <v>8078.1732041218629</v>
      </c>
      <c r="O37" s="264"/>
      <c r="P37" s="259"/>
    </row>
    <row r="38" spans="1:16">
      <c r="A38" s="341" t="s">
        <v>6307</v>
      </c>
      <c r="B38" s="341">
        <v>571</v>
      </c>
      <c r="C38" s="393" t="str">
        <f>(IF($A38="SINAPI",INDEX(SINAPI_NOV2020_NDES!$A$7:$H$6703,MATCH($B38,SINAPI_NOV2020_NDES!$A$7:$A$6703,0),2),IF($A38="GOINFRA",INDEX(#REF!,MATCH($B38,#REF!,0),2),(INDEX(COMPOS!$A$4:$G$677,MATCH($B38,COMPOS!$A$4:A$677,0),2)))))</f>
        <v>CALÇADA EM CONCRETO DESEMPENADO 15MPa - ESPESSURA = 5cm (AC/BC)</v>
      </c>
      <c r="D38" s="374" t="str">
        <f>(IF($A38="SINAPI",INDEX(SINAPI_NOV2020_NDES!$A$7:$H$6790,MATCH($B38,SINAPI_NOV2020_NDES!$A$7:$A$6790,0),3),(INDEX(COMPOS!$A$4:$G$5000,MATCH($B38,COMPOS!$A$4:$A$5000,0),3))))</f>
        <v>M2</v>
      </c>
      <c r="E38" s="319">
        <v>1353.0450000000001</v>
      </c>
      <c r="F38" s="326">
        <f>(IF($A38="SINAPI",INDEX(SINAPI_NOV2020_NDES!$A$7:$H$6703,MATCH($B38,SINAPI_NOV2020_NDES!$A$7:$A$6703,0),5),(INDEX(COMPOS!$A$4:$G$801,MATCH($B38,COMPOS!$A$4:A$801,0),4))))</f>
        <v>4.410432000000001</v>
      </c>
      <c r="G38" s="320">
        <f>(IF($A38="SINAPI",INDEX(SINAPI_NOV2020_NDES!$A$7:$H$6703,MATCH($B38,SINAPI_NOV2020_NDES!$A$7:$A$6703,0),6),(INDEX(COMPOS!$A$4:$G$801,MATCH($B38,COMPOS!$A$4:A$801,0),5))))</f>
        <v>24.975486500000002</v>
      </c>
      <c r="H38" s="320">
        <f>(IF($A38="SINAPI",INDEX(SINAPI_NOV2020_NDES!$A$7:$H$6703,MATCH($B38,SINAPI_NOV2020_NDES!$A$7:$A$6703,0),7),(INDEX(COMPOS!$A$4:$G$801,MATCH($B38,COMPOS!$A$4:A$801,0),6))))</f>
        <v>3.2439616000000004</v>
      </c>
      <c r="I38" s="326">
        <f t="shared" si="8"/>
        <v>32.629880100000001</v>
      </c>
      <c r="J38" s="316">
        <f t="shared" si="9"/>
        <v>44149.696119904504</v>
      </c>
      <c r="K38" s="168"/>
      <c r="L38" s="168"/>
      <c r="M38" s="168"/>
      <c r="N38" s="168"/>
      <c r="O38" s="264"/>
      <c r="P38" s="259"/>
    </row>
    <row r="39" spans="1:16" s="168" customFormat="1" ht="12">
      <c r="A39" s="341" t="s">
        <v>6307</v>
      </c>
      <c r="B39" s="341">
        <v>573</v>
      </c>
      <c r="C39" s="393" t="str">
        <f>(IF($A39="SINAPI",INDEX(SINAPI_NOV2020_NDES!$A$7:$H$6703,MATCH($B39,SINAPI_NOV2020_NDES!$A$7:$A$6703,0),2),IF($A39="GOINFRA",INDEX(#REF!,MATCH($B39,#REF!,0),2),(INDEX(COMPOS!$A$4:$G$677,MATCH($B39,COMPOS!$A$4:A$677,0),2)))))</f>
        <v>MEIO FIO COM SARJETA - MFC 03 (AC/BC)</v>
      </c>
      <c r="D39" s="374" t="str">
        <f>(IF($A39="SINAPI",INDEX(SINAPI_NOV2020_NDES!$A$7:$H$6790,MATCH($B39,SINAPI_NOV2020_NDES!$A$7:$A$6790,0),3),(INDEX(COMPOS!$A$4:$G$5000,MATCH($B39,COMPOS!$A$4:$A$5000,0),3))))</f>
        <v>M</v>
      </c>
      <c r="E39" s="319">
        <v>806.45</v>
      </c>
      <c r="F39" s="326">
        <f>(IF($A39="SINAPI",INDEX(SINAPI_NOV2020_NDES!$A$7:$H$6703,MATCH($B39,SINAPI_NOV2020_NDES!$A$7:$A$6703,0),5),(INDEX(COMPOS!$A$4:$G$801,MATCH($B39,COMPOS!$A$4:A$801,0),4))))</f>
        <v>0.82393272088624692</v>
      </c>
      <c r="G39" s="320">
        <f>(IF($A39="SINAPI",INDEX(SINAPI_NOV2020_NDES!$A$7:$H$6703,MATCH($B39,SINAPI_NOV2020_NDES!$A$7:$A$6703,0),6),(INDEX(COMPOS!$A$4:$G$801,MATCH($B39,COMPOS!$A$4:A$801,0),5))))</f>
        <v>19.317123127583997</v>
      </c>
      <c r="H39" s="320">
        <f>(IF($A39="SINAPI",INDEX(SINAPI_NOV2020_NDES!$A$7:$H$6703,MATCH($B39,SINAPI_NOV2020_NDES!$A$7:$A$6703,0),7),(INDEX(COMPOS!$A$4:$G$801,MATCH($B39,COMPOS!$A$4:A$801,0),6))))</f>
        <v>0.16441502296676574</v>
      </c>
      <c r="I39" s="326">
        <f t="shared" si="8"/>
        <v>20.305470871437009</v>
      </c>
      <c r="J39" s="316">
        <f t="shared" si="9"/>
        <v>16375.346984270378</v>
      </c>
      <c r="O39" s="264"/>
      <c r="P39" s="259"/>
    </row>
    <row r="40" spans="1:16" s="168" customFormat="1" ht="12">
      <c r="A40" s="341" t="s">
        <v>6307</v>
      </c>
      <c r="B40" s="341">
        <v>575</v>
      </c>
      <c r="C40" s="393" t="str">
        <f>(IF($A40="SINAPI",INDEX(SINAPI_NOV2020_NDES!$A$7:$H$6703,MATCH($B40,SINAPI_NOV2020_NDES!$A$7:$A$6703,0),2),IF($A40="GOINFRA",INDEX(#REF!,MATCH($B40,#REF!,0),2),(INDEX(COMPOS!$A$4:$G$677,MATCH($B40,COMPOS!$A$4:A$677,0),2)))))</f>
        <v>MEIO FIO SEM SARJETA - MFC05 (AC/BC)</v>
      </c>
      <c r="D40" s="374" t="str">
        <f>(IF($A40="SINAPI",INDEX(SINAPI_NOV2020_NDES!$A$7:$H$6790,MATCH($B40,SINAPI_NOV2020_NDES!$A$7:$A$6790,0),3),(INDEX(COMPOS!$A$4:$G$5000,MATCH($B40,COMPOS!$A$4:$A$5000,0),3))))</f>
        <v>M</v>
      </c>
      <c r="E40" s="319">
        <v>395.84</v>
      </c>
      <c r="F40" s="326">
        <f>(IF($A40="SINAPI",INDEX(SINAPI_NOV2020_NDES!$A$7:$H$6703,MATCH($B40,SINAPI_NOV2020_NDES!$A$7:$A$6703,0),5),(INDEX(COMPOS!$A$4:$G$801,MATCH($B40,COMPOS!$A$4:A$801,0),4))))</f>
        <v>0.66132617653437431</v>
      </c>
      <c r="G40" s="320">
        <f>(IF($A40="SINAPI",INDEX(SINAPI_NOV2020_NDES!$A$7:$H$6703,MATCH($B40,SINAPI_NOV2020_NDES!$A$7:$A$6703,0),6),(INDEX(COMPOS!$A$4:$G$801,MATCH($B40,COMPOS!$A$4:A$801,0),5))))</f>
        <v>15.361916817568</v>
      </c>
      <c r="H40" s="320">
        <f>(IF($A40="SINAPI",INDEX(SINAPI_NOV2020_NDES!$A$7:$H$6703,MATCH($B40,SINAPI_NOV2020_NDES!$A$7:$A$6703,0),7),(INDEX(COMPOS!$A$4:$G$801,MATCH($B40,COMPOS!$A$4:A$801,0),6))))</f>
        <v>0.1319670353502494</v>
      </c>
      <c r="I40" s="326">
        <f t="shared" si="8"/>
        <v>16.155210029452626</v>
      </c>
      <c r="J40" s="316">
        <f t="shared" si="9"/>
        <v>6394.8783380585273</v>
      </c>
      <c r="O40" s="264"/>
      <c r="P40" s="259"/>
    </row>
    <row r="41" spans="1:16" s="169" customFormat="1" ht="11.45" customHeight="1">
      <c r="A41" s="716" t="s">
        <v>6927</v>
      </c>
      <c r="B41" s="716"/>
      <c r="C41" s="716"/>
      <c r="D41" s="716"/>
      <c r="E41" s="716"/>
      <c r="F41" s="716"/>
      <c r="G41" s="716"/>
      <c r="H41" s="716"/>
      <c r="I41" s="716"/>
      <c r="J41" s="390">
        <f>SUM(J24:J40)</f>
        <v>386321.82767999487</v>
      </c>
      <c r="K41" s="168"/>
      <c r="L41" s="168"/>
      <c r="M41" s="168"/>
      <c r="N41" s="168"/>
      <c r="O41" s="168"/>
      <c r="P41" s="259"/>
    </row>
    <row r="42" spans="1:16" s="168" customFormat="1" ht="11.45" customHeight="1">
      <c r="A42" s="385"/>
      <c r="B42" s="386">
        <v>167</v>
      </c>
      <c r="C42" s="387" t="s">
        <v>608</v>
      </c>
      <c r="D42" s="385" t="s">
        <v>6922</v>
      </c>
      <c r="E42" s="388"/>
      <c r="F42" s="317"/>
      <c r="G42" s="316"/>
      <c r="H42" s="319"/>
      <c r="I42" s="319"/>
      <c r="J42" s="319"/>
      <c r="P42" s="259"/>
    </row>
    <row r="43" spans="1:16" s="168" customFormat="1" ht="11.45" customHeight="1">
      <c r="A43" s="341" t="s">
        <v>6307</v>
      </c>
      <c r="B43" s="341">
        <v>171</v>
      </c>
      <c r="C43" s="389" t="str">
        <f>(IF($A43="SINAPI",INDEX(SINAPI_NOV2020_NDES!$A$7:$H$6703,MATCH($B43,SINAPI_NOV2020_NDES!$A$7:$A$6703,0),2),IF($A43="GOINFRA",INDEX(#REF!,MATCH($B43,#REF!,0),2),(INDEX(COMPOS!$A$4:$G$390,MATCH($B43,COMPOS!$A$4:A$390,0),2)))))</f>
        <v>TRAÇO DE CONCRETO</v>
      </c>
      <c r="D43" s="374" t="str">
        <f>(IF($A43="SINAPI",INDEX(SINAPI_NOV2020_NDES!$A$7:$H$6790,MATCH($B43,SINAPI_NOV2020_NDES!$A$7:$A$6790,0),3),(INDEX(COMPOS!$A$4:$G$5000,MATCH($B43,COMPOS!$A$4:$A$5000,0),3))))</f>
        <v>UN</v>
      </c>
      <c r="E43" s="319">
        <v>1</v>
      </c>
      <c r="F43" s="326">
        <f>(IF($A43="SINAPI",INDEX(SINAPI_NOV2020_NDES!$A$7:$H$6703,MATCH($B43,SINAPI_NOV2020_NDES!$A$7:$A$6703,0),5),(INDEX(COMPOS!$A$4:$G$801,MATCH($B43,COMPOS!$A$4:A$801,0),4))))</f>
        <v>0</v>
      </c>
      <c r="G43" s="320">
        <f>(IF($A43="SINAPI",INDEX(SINAPI_NOV2020_NDES!$A$7:$H$6703,MATCH($B43,SINAPI_NOV2020_NDES!$A$7:$A$6703,0),6),(INDEX(COMPOS!$A$4:$G$801,MATCH($B43,COMPOS!$A$4:A$801,0),5))))</f>
        <v>842.24</v>
      </c>
      <c r="H43" s="320">
        <f>(IF($A43="SINAPI",INDEX(SINAPI_NOV2020_NDES!$A$7:$H$6703,MATCH($B43,SINAPI_NOV2020_NDES!$A$7:$A$6703,0),7),(INDEX(COMPOS!$A$4:$G$801,MATCH($B43,COMPOS!$A$4:A$801,0),6))))</f>
        <v>0</v>
      </c>
      <c r="I43" s="326">
        <f t="shared" ref="I43:I44" si="10">SUM(F43:H43)</f>
        <v>842.24</v>
      </c>
      <c r="J43" s="316">
        <f t="shared" ref="J43:J44" si="11">+I43*E43</f>
        <v>842.24</v>
      </c>
      <c r="O43" s="264"/>
      <c r="P43" s="259"/>
    </row>
    <row r="44" spans="1:16" s="168" customFormat="1" ht="11.45" customHeight="1">
      <c r="A44" s="341" t="s">
        <v>6307</v>
      </c>
      <c r="B44" s="341">
        <v>172</v>
      </c>
      <c r="C44" s="391" t="s">
        <v>606</v>
      </c>
      <c r="D44" s="374" t="str">
        <f>(IF($A44="SINAPI",INDEX(SINAPI_NOV2020_NDES!$A$7:$H$6790,MATCH($B44,SINAPI_NOV2020_NDES!$A$7:$A$6790,0),3),(INDEX(COMPOS!$A$4:$G$5000,MATCH($B44,COMPOS!$A$4:$A$5000,0),3))))</f>
        <v>UN</v>
      </c>
      <c r="E44" s="319">
        <v>12</v>
      </c>
      <c r="F44" s="326">
        <f>(IF($A44="SINAPI",INDEX(SINAPI_NOV2020_NDES!$A$7:$H$6703,MATCH($B44,SINAPI_NOV2020_NDES!$A$7:$A$6703,0),5),(INDEX(COMPOS!$A$4:$G$801,MATCH($B44,COMPOS!$A$4:A$801,0),4))))</f>
        <v>0</v>
      </c>
      <c r="G44" s="320">
        <f>(IF($A44="SINAPI",INDEX(SINAPI_NOV2020_NDES!$A$7:$H$6703,MATCH($B44,SINAPI_NOV2020_NDES!$A$7:$A$6703,0),6),(INDEX(COMPOS!$A$4:$G$801,MATCH($B44,COMPOS!$A$4:A$801,0),5))))</f>
        <v>10.8</v>
      </c>
      <c r="H44" s="320">
        <f>(IF($A44="SINAPI",INDEX(SINAPI_NOV2020_NDES!$A$7:$H$6703,MATCH($B44,SINAPI_NOV2020_NDES!$A$7:$A$6703,0),7),(INDEX(COMPOS!$A$4:$G$801,MATCH($B44,COMPOS!$A$4:A$801,0),6))))</f>
        <v>0</v>
      </c>
      <c r="I44" s="326">
        <f t="shared" si="10"/>
        <v>10.8</v>
      </c>
      <c r="J44" s="316">
        <f t="shared" si="11"/>
        <v>129.60000000000002</v>
      </c>
      <c r="O44" s="264"/>
      <c r="P44" s="259"/>
    </row>
    <row r="45" spans="1:16" s="168" customFormat="1" ht="11.45" customHeight="1">
      <c r="A45" s="716" t="s">
        <v>6927</v>
      </c>
      <c r="B45" s="716"/>
      <c r="C45" s="716"/>
      <c r="D45" s="716"/>
      <c r="E45" s="716"/>
      <c r="F45" s="716"/>
      <c r="G45" s="716"/>
      <c r="H45" s="716"/>
      <c r="I45" s="716"/>
      <c r="J45" s="390">
        <f>SUM(J43:J44)</f>
        <v>971.84</v>
      </c>
      <c r="P45" s="259"/>
    </row>
    <row r="46" spans="1:16" s="169" customFormat="1" ht="11.45" customHeight="1">
      <c r="A46" s="385"/>
      <c r="B46" s="386">
        <v>168</v>
      </c>
      <c r="C46" s="387" t="s">
        <v>607</v>
      </c>
      <c r="D46" s="385" t="s">
        <v>6922</v>
      </c>
      <c r="E46" s="388"/>
      <c r="F46" s="317"/>
      <c r="G46" s="316"/>
      <c r="H46" s="319"/>
      <c r="I46" s="319"/>
      <c r="J46" s="319"/>
      <c r="K46" s="168"/>
      <c r="L46" s="168"/>
      <c r="M46" s="168"/>
      <c r="N46" s="168"/>
      <c r="O46" s="168"/>
      <c r="P46" s="259"/>
    </row>
    <row r="47" spans="1:16" s="168" customFormat="1" ht="11.45" customHeight="1">
      <c r="A47" s="341" t="s">
        <v>6307</v>
      </c>
      <c r="B47" s="341">
        <v>171</v>
      </c>
      <c r="C47" s="389" t="str">
        <f>(IF($A47="SINAPI",INDEX(SINAPI_NOV2020_NDES!$A$7:$H$6703,MATCH($B47,SINAPI_NOV2020_NDES!$A$7:$A$6703,0),2),IF($A47="GOINFRA",INDEX(#REF!,MATCH($B47,#REF!,0),2),(INDEX(COMPOS!$A$4:$G$390,MATCH($B47,COMPOS!$A$4:A$390,0),2)))))</f>
        <v>TRAÇO DE CONCRETO</v>
      </c>
      <c r="D47" s="374" t="str">
        <f>(IF($A47="SINAPI",INDEX(SINAPI_NOV2020_NDES!$A$7:$H$6790,MATCH($B47,SINAPI_NOV2020_NDES!$A$7:$A$6790,0),3),(INDEX(COMPOS!$A$4:$G$5000,MATCH($B47,COMPOS!$A$4:$A$5000,0),3))))</f>
        <v>UN</v>
      </c>
      <c r="E47" s="319">
        <v>1</v>
      </c>
      <c r="F47" s="326">
        <f>(IF($A47="SINAPI",INDEX(SINAPI_NOV2020_NDES!$A$7:$H$6703,MATCH($B47,SINAPI_NOV2020_NDES!$A$7:$A$6703,0),5),(INDEX(COMPOS!$A$4:$G$801,MATCH($B47,COMPOS!$A$4:A$801,0),4))))</f>
        <v>0</v>
      </c>
      <c r="G47" s="320">
        <f>(IF($A47="SINAPI",INDEX(SINAPI_NOV2020_NDES!$A$7:$H$6703,MATCH($B47,SINAPI_NOV2020_NDES!$A$7:$A$6703,0),6),(INDEX(COMPOS!$A$4:$G$801,MATCH($B47,COMPOS!$A$4:A$801,0),5))))</f>
        <v>842.24</v>
      </c>
      <c r="H47" s="320">
        <f>(IF($A47="SINAPI",INDEX(SINAPI_NOV2020_NDES!$A$7:$H$6703,MATCH($B47,SINAPI_NOV2020_NDES!$A$7:$A$6703,0),7),(INDEX(COMPOS!$A$4:$G$801,MATCH($B47,COMPOS!$A$4:A$801,0),6))))</f>
        <v>0</v>
      </c>
      <c r="I47" s="326">
        <f t="shared" ref="I47" si="12">SUM(F47:H47)</f>
        <v>842.24</v>
      </c>
      <c r="J47" s="316">
        <f t="shared" ref="J47" si="13">+I47*E47</f>
        <v>842.24</v>
      </c>
      <c r="O47" s="264"/>
      <c r="P47" s="259"/>
    </row>
    <row r="48" spans="1:16" s="168" customFormat="1" ht="12">
      <c r="A48" s="341" t="s">
        <v>6307</v>
      </c>
      <c r="B48" s="341">
        <v>172</v>
      </c>
      <c r="C48" s="391" t="s">
        <v>606</v>
      </c>
      <c r="D48" s="374" t="str">
        <f>(IF($A48="SINAPI",INDEX(SINAPI_NOV2020_NDES!$A$7:$H$6790,MATCH($B48,SINAPI_NOV2020_NDES!$A$7:$A$6790,0),3),(INDEX(COMPOS!$A$4:$G$5000,MATCH($B48,COMPOS!$A$4:$A$5000,0),3))))</f>
        <v>UN</v>
      </c>
      <c r="E48" s="319">
        <v>12</v>
      </c>
      <c r="F48" s="326">
        <f>(IF($A48="SINAPI",INDEX(SINAPI_NOV2020_NDES!$A$7:$H$6703,MATCH($B48,SINAPI_NOV2020_NDES!$A$7:$A$6703,0),5),(INDEX(COMPOS!$A$4:$G$801,MATCH($B48,COMPOS!$A$4:A$801,0),4))))</f>
        <v>0</v>
      </c>
      <c r="G48" s="320">
        <f>(IF($A48="SINAPI",INDEX(SINAPI_NOV2020_NDES!$A$7:$H$6703,MATCH($B48,SINAPI_NOV2020_NDES!$A$7:$A$6703,0),6),(INDEX(COMPOS!$A$4:$G$801,MATCH($B48,COMPOS!$A$4:A$801,0),5))))</f>
        <v>10.8</v>
      </c>
      <c r="H48" s="320">
        <f>(IF($A48="SINAPI",INDEX(SINAPI_NOV2020_NDES!$A$7:$H$6703,MATCH($B48,SINAPI_NOV2020_NDES!$A$7:$A$6703,0),7),(INDEX(COMPOS!$A$4:$G$801,MATCH($B48,COMPOS!$A$4:A$801,0),6))))</f>
        <v>0</v>
      </c>
      <c r="I48" s="326">
        <f t="shared" ref="I48" si="14">SUM(F48:H48)</f>
        <v>10.8</v>
      </c>
      <c r="J48" s="316">
        <f t="shared" ref="J48" si="15">+I48*E48</f>
        <v>129.60000000000002</v>
      </c>
      <c r="O48" s="264"/>
      <c r="P48" s="259"/>
    </row>
    <row r="49" spans="1:16" s="168" customFormat="1" ht="12">
      <c r="A49" s="716" t="s">
        <v>6927</v>
      </c>
      <c r="B49" s="716"/>
      <c r="C49" s="716"/>
      <c r="D49" s="716"/>
      <c r="E49" s="716"/>
      <c r="F49" s="716"/>
      <c r="G49" s="716"/>
      <c r="H49" s="716"/>
      <c r="I49" s="716"/>
      <c r="J49" s="390">
        <f>SUM(J47:J48)</f>
        <v>971.84</v>
      </c>
      <c r="P49" s="259"/>
    </row>
    <row r="50" spans="1:16" s="170" customFormat="1" ht="12">
      <c r="A50" s="385"/>
      <c r="B50" s="386">
        <v>169</v>
      </c>
      <c r="C50" s="387" t="s">
        <v>605</v>
      </c>
      <c r="D50" s="341" t="s">
        <v>6922</v>
      </c>
      <c r="E50" s="388"/>
      <c r="F50" s="317"/>
      <c r="G50" s="316"/>
      <c r="H50" s="319"/>
      <c r="I50" s="319"/>
      <c r="J50" s="319"/>
      <c r="K50" s="168"/>
      <c r="L50" s="168"/>
      <c r="M50" s="168"/>
      <c r="N50" s="168"/>
      <c r="O50" s="168"/>
      <c r="P50" s="259"/>
    </row>
    <row r="51" spans="1:16" s="170" customFormat="1" ht="24">
      <c r="A51" s="341" t="s">
        <v>7</v>
      </c>
      <c r="B51" s="341">
        <v>91927</v>
      </c>
      <c r="C51" s="393" t="str">
        <f>(IF($A51="SINAPI",INDEX(SINAPI_NOV2020_NDES!$A$7:$H$6703,MATCH($B51,SINAPI_NOV2020_NDES!$A$7:$A$6703,0),2),IF($A51="GOINFRA",INDEX(#REF!,MATCH($B51,#REF!,0),2),(INDEX(COMPOS!$A$4:$G$39000,MATCH($B51,COMPOS!$A$4:A$39000,0),2)))))</f>
        <v>CABO DE COBRE FLEXÍVEL ISOLADO, 2,5 MM², ANTI-CHAMA 0,6/1,0 KV, PARA CIRCUITOS TERMINAIS - FORNECIMENTO E INSTALAÇÃO. AF_12/2015</v>
      </c>
      <c r="D51" s="374" t="str">
        <f>(IF($A51="SINAPI",INDEX(SINAPI_NOV2020_NDES!$A$7:$H$6790,MATCH($B51,SINAPI_NOV2020_NDES!$A$7:$A$6790,0),3),(INDEX(COMPOS!$A$4:$G$5000,MATCH($B51,COMPOS!$A$4:$A$5000,0),3))))</f>
        <v>M</v>
      </c>
      <c r="E51" s="319">
        <v>84</v>
      </c>
      <c r="F51" s="326">
        <f>(IF($A51="SINAPI",INDEX(SINAPI_NOV2020_NDES!$A$7:$H$6703,MATCH($B51,SINAPI_NOV2020_NDES!$A$7:$A$6703,0),5),(INDEX(COMPOS!$A$4:$G$801,MATCH($B51,COMPOS!$A$4:A$801,0),4))))</f>
        <v>0.88</v>
      </c>
      <c r="G51" s="320">
        <f>(IF($A51="SINAPI",INDEX(SINAPI_NOV2020_NDES!$A$7:$H$6703,MATCH($B51,SINAPI_NOV2020_NDES!$A$7:$A$6703,0),6),(INDEX(COMPOS!$A$4:$G$801,MATCH($B51,COMPOS!$A$4:A$801,0),5))))</f>
        <v>2.68</v>
      </c>
      <c r="H51" s="320">
        <f>(IF($A51="SINAPI",INDEX(SINAPI_NOV2020_NDES!$A$7:$H$6703,MATCH($B51,SINAPI_NOV2020_NDES!$A$7:$A$6703,0),7),(INDEX(COMPOS!$A$4:$G$801,MATCH($B51,COMPOS!$A$4:A$801,0),6))))</f>
        <v>0</v>
      </c>
      <c r="I51" s="326">
        <f t="shared" ref="I51" si="16">SUM(F51:H51)</f>
        <v>3.56</v>
      </c>
      <c r="J51" s="316">
        <f t="shared" ref="J51" si="17">+I51*E51</f>
        <v>299.04000000000002</v>
      </c>
      <c r="K51" s="168"/>
      <c r="L51" s="168"/>
      <c r="M51" s="168"/>
      <c r="N51" s="168"/>
      <c r="O51" s="264"/>
      <c r="P51" s="259"/>
    </row>
    <row r="52" spans="1:16" s="170" customFormat="1" ht="24">
      <c r="A52" s="341" t="s">
        <v>7</v>
      </c>
      <c r="B52" s="341">
        <v>91931</v>
      </c>
      <c r="C52" s="393" t="str">
        <f>(IF($A52="SINAPI",INDEX(SINAPI_NOV2020_NDES!$A$7:$H$6703,MATCH($B52,SINAPI_NOV2020_NDES!$A$7:$A$6703,0),2),IF($A52="GOINFRA",INDEX(#REF!,MATCH($B52,#REF!,0),2),(INDEX(COMPOS!$A$4:$G$39000,MATCH($B52,COMPOS!$A$4:A$39000,0),2)))))</f>
        <v>CABO DE COBRE FLEXÍVEL ISOLADO, 6 MM², ANTI-CHAMA 0,6/1,0 KV, PARA CIRCUITOS TERMINAIS - FORNECIMENTO E INSTALAÇÃO. AF_12/2015</v>
      </c>
      <c r="D52" s="374" t="str">
        <f>(IF($A52="SINAPI",INDEX(SINAPI_NOV2020_NDES!$A$7:$H$6790,MATCH($B52,SINAPI_NOV2020_NDES!$A$7:$A$6790,0),3),(INDEX(COMPOS!$A$4:$G$5000,MATCH($B52,COMPOS!$A$4:$A$5000,0),3))))</f>
        <v>M</v>
      </c>
      <c r="E52" s="319">
        <v>7706</v>
      </c>
      <c r="F52" s="326">
        <f>(IF($A52="SINAPI",INDEX(SINAPI_NOV2020_NDES!$A$7:$H$6703,MATCH($B52,SINAPI_NOV2020_NDES!$A$7:$A$6703,0),5),(INDEX(COMPOS!$A$4:$G$801,MATCH($B52,COMPOS!$A$4:A$801,0),4))))</f>
        <v>1.52</v>
      </c>
      <c r="G52" s="320">
        <f>(IF($A52="SINAPI",INDEX(SINAPI_NOV2020_NDES!$A$7:$H$6703,MATCH($B52,SINAPI_NOV2020_NDES!$A$7:$A$6703,0),6),(INDEX(COMPOS!$A$4:$G$801,MATCH($B52,COMPOS!$A$4:A$801,0),5))))</f>
        <v>5.18</v>
      </c>
      <c r="H52" s="320">
        <f>(IF($A52="SINAPI",INDEX(SINAPI_NOV2020_NDES!$A$7:$H$6703,MATCH($B52,SINAPI_NOV2020_NDES!$A$7:$A$6703,0),7),(INDEX(COMPOS!$A$4:$G$801,MATCH($B52,COMPOS!$A$4:A$801,0),6))))</f>
        <v>0</v>
      </c>
      <c r="I52" s="326">
        <f t="shared" ref="I52:I94" si="18">SUM(F52:H52)</f>
        <v>6.6999999999999993</v>
      </c>
      <c r="J52" s="316">
        <f t="shared" ref="J52:J94" si="19">+I52*E52</f>
        <v>51630.2</v>
      </c>
      <c r="K52" s="168"/>
      <c r="L52" s="168"/>
      <c r="M52" s="168"/>
      <c r="N52" s="168"/>
      <c r="O52" s="264"/>
      <c r="P52" s="259"/>
    </row>
    <row r="53" spans="1:16" s="170" customFormat="1" ht="24">
      <c r="A53" s="341" t="s">
        <v>7</v>
      </c>
      <c r="B53" s="341">
        <v>92982</v>
      </c>
      <c r="C53" s="393" t="str">
        <f>(IF($A53="SINAPI",INDEX(SINAPI_NOV2020_NDES!$A$7:$H$6703,MATCH($B53,SINAPI_NOV2020_NDES!$A$7:$A$6703,0),2),IF($A53="GOINFRA",INDEX(#REF!,MATCH($B53,#REF!,0),2),(INDEX(COMPOS!$A$4:$G$39000,MATCH($B53,COMPOS!$A$4:A$39000,0),2)))))</f>
        <v>CABO DE COBRE FLEXÍVEL ISOLADO, 16 MM², ANTI-CHAMA 0,6/1,0 KV, PARA DISTRIBUIÇÃO - FORNECIMENTO E INSTALAÇÃO. AF_12/2015</v>
      </c>
      <c r="D53" s="374" t="str">
        <f>(IF($A53="SINAPI",INDEX(SINAPI_NOV2020_NDES!$A$7:$H$6790,MATCH($B53,SINAPI_NOV2020_NDES!$A$7:$A$6790,0),3),(INDEX(COMPOS!$A$4:$G$5000,MATCH($B53,COMPOS!$A$4:$A$5000,0),3))))</f>
        <v>M</v>
      </c>
      <c r="E53" s="319">
        <v>4681</v>
      </c>
      <c r="F53" s="326">
        <f>(IF($A53="SINAPI",INDEX(SINAPI_NOV2020_NDES!$A$7:$H$6703,MATCH($B53,SINAPI_NOV2020_NDES!$A$7:$A$6703,0),5),(INDEX(COMPOS!$A$4:$G$801,MATCH($B53,COMPOS!$A$4:A$801,0),4))))</f>
        <v>0.36</v>
      </c>
      <c r="G53" s="320">
        <f>(IF($A53="SINAPI",INDEX(SINAPI_NOV2020_NDES!$A$7:$H$6703,MATCH($B53,SINAPI_NOV2020_NDES!$A$7:$A$6703,0),6),(INDEX(COMPOS!$A$4:$G$801,MATCH($B53,COMPOS!$A$4:A$801,0),5))))</f>
        <v>10.08</v>
      </c>
      <c r="H53" s="320">
        <f>(IF($A53="SINAPI",INDEX(SINAPI_NOV2020_NDES!$A$7:$H$6703,MATCH($B53,SINAPI_NOV2020_NDES!$A$7:$A$6703,0),7),(INDEX(COMPOS!$A$4:$G$801,MATCH($B53,COMPOS!$A$4:A$801,0),6))))</f>
        <v>0</v>
      </c>
      <c r="I53" s="326">
        <f t="shared" si="18"/>
        <v>10.44</v>
      </c>
      <c r="J53" s="316">
        <f t="shared" si="19"/>
        <v>48869.64</v>
      </c>
      <c r="K53" s="168"/>
      <c r="L53" s="168"/>
      <c r="M53" s="168"/>
      <c r="N53" s="168"/>
      <c r="O53" s="264"/>
      <c r="P53" s="259"/>
    </row>
    <row r="54" spans="1:16" s="170" customFormat="1" ht="24">
      <c r="A54" s="341" t="s">
        <v>7</v>
      </c>
      <c r="B54" s="341">
        <v>92984</v>
      </c>
      <c r="C54" s="393" t="str">
        <f>(IF($A54="SINAPI",INDEX(SINAPI_NOV2020_NDES!$A$7:$H$6703,MATCH($B54,SINAPI_NOV2020_NDES!$A$7:$A$6703,0),2),IF($A54="GOINFRA",INDEX(#REF!,MATCH($B54,#REF!,0),2),(INDEX(COMPOS!$A$4:$G$39000,MATCH($B54,COMPOS!$A$4:A$39000,0),2)))))</f>
        <v>CABO DE COBRE FLEXÍVEL ISOLADO, 25 MM², ANTI-CHAMA 0,6/1,0 KV, PARA DISTRIBUIÇÃO - FORNECIMENTO E INSTALAÇÃO. AF_12/2015</v>
      </c>
      <c r="D54" s="374" t="str">
        <f>(IF($A54="SINAPI",INDEX(SINAPI_NOV2020_NDES!$A$7:$H$6790,MATCH($B54,SINAPI_NOV2020_NDES!$A$7:$A$6790,0),3),(INDEX(COMPOS!$A$4:$G$5000,MATCH($B54,COMPOS!$A$4:$A$5000,0),3))))</f>
        <v>M</v>
      </c>
      <c r="E54" s="319">
        <v>120</v>
      </c>
      <c r="F54" s="326">
        <f>(IF($A54="SINAPI",INDEX(SINAPI_NOV2020_NDES!$A$7:$H$6703,MATCH($B54,SINAPI_NOV2020_NDES!$A$7:$A$6703,0),5),(INDEX(COMPOS!$A$4:$G$801,MATCH($B54,COMPOS!$A$4:A$801,0),4))))</f>
        <v>1.86</v>
      </c>
      <c r="G54" s="320">
        <f>(IF($A54="SINAPI",INDEX(SINAPI_NOV2020_NDES!$A$7:$H$6703,MATCH($B54,SINAPI_NOV2020_NDES!$A$7:$A$6703,0),6),(INDEX(COMPOS!$A$4:$G$801,MATCH($B54,COMPOS!$A$4:A$801,0),5))))</f>
        <v>15.56</v>
      </c>
      <c r="H54" s="320">
        <f>(IF($A54="SINAPI",INDEX(SINAPI_NOV2020_NDES!$A$7:$H$6703,MATCH($B54,SINAPI_NOV2020_NDES!$A$7:$A$6703,0),7),(INDEX(COMPOS!$A$4:$G$801,MATCH($B54,COMPOS!$A$4:A$801,0),6))))</f>
        <v>0</v>
      </c>
      <c r="I54" s="326">
        <f t="shared" si="18"/>
        <v>17.420000000000002</v>
      </c>
      <c r="J54" s="316">
        <f t="shared" si="19"/>
        <v>2090.4</v>
      </c>
      <c r="K54" s="168"/>
      <c r="L54" s="168"/>
      <c r="M54" s="168"/>
      <c r="N54" s="168"/>
      <c r="O54" s="264"/>
      <c r="P54" s="259"/>
    </row>
    <row r="55" spans="1:16" s="170" customFormat="1" ht="24">
      <c r="A55" s="341" t="s">
        <v>7</v>
      </c>
      <c r="B55" s="341">
        <v>92986</v>
      </c>
      <c r="C55" s="393" t="str">
        <f>(IF($A55="SINAPI",INDEX(SINAPI_NOV2020_NDES!$A$7:$H$6703,MATCH($B55,SINAPI_NOV2020_NDES!$A$7:$A$6703,0),2),IF($A55="GOINFRA",INDEX(#REF!,MATCH($B55,#REF!,0),2),(INDEX(COMPOS!$A$4:$G$39000,MATCH($B55,COMPOS!$A$4:A$39000,0),2)))))</f>
        <v>CABO DE COBRE FLEXÍVEL ISOLADO, 35 MM², ANTI-CHAMA 0,6/1,0 KV, PARA DISTRIBUIÇÃO - FORNECIMENTO E INSTALAÇÃO. AF_12/2015</v>
      </c>
      <c r="D55" s="374" t="str">
        <f>(IF($A55="SINAPI",INDEX(SINAPI_NOV2020_NDES!$A$7:$H$6790,MATCH($B55,SINAPI_NOV2020_NDES!$A$7:$A$6790,0),3),(INDEX(COMPOS!$A$4:$G$5000,MATCH($B55,COMPOS!$A$4:$A$5000,0),3))))</f>
        <v>M</v>
      </c>
      <c r="E55" s="319">
        <v>2063</v>
      </c>
      <c r="F55" s="326">
        <f>(IF($A55="SINAPI",INDEX(SINAPI_NOV2020_NDES!$A$7:$H$6703,MATCH($B55,SINAPI_NOV2020_NDES!$A$7:$A$6703,0),5),(INDEX(COMPOS!$A$4:$G$801,MATCH($B55,COMPOS!$A$4:A$801,0),4))))</f>
        <v>2.14</v>
      </c>
      <c r="G55" s="320">
        <f>(IF($A55="SINAPI",INDEX(SINAPI_NOV2020_NDES!$A$7:$H$6703,MATCH($B55,SINAPI_NOV2020_NDES!$A$7:$A$6703,0),6),(INDEX(COMPOS!$A$4:$G$801,MATCH($B55,COMPOS!$A$4:A$801,0),5))))</f>
        <v>21.27</v>
      </c>
      <c r="H55" s="320">
        <f>(IF($A55="SINAPI",INDEX(SINAPI_NOV2020_NDES!$A$7:$H$6703,MATCH($B55,SINAPI_NOV2020_NDES!$A$7:$A$6703,0),7),(INDEX(COMPOS!$A$4:$G$801,MATCH($B55,COMPOS!$A$4:A$801,0),6))))</f>
        <v>0</v>
      </c>
      <c r="I55" s="326">
        <f t="shared" si="18"/>
        <v>23.41</v>
      </c>
      <c r="J55" s="316">
        <f t="shared" si="19"/>
        <v>48294.83</v>
      </c>
      <c r="K55" s="168"/>
      <c r="L55" s="168"/>
      <c r="M55" s="168"/>
      <c r="N55" s="168"/>
      <c r="O55" s="264"/>
      <c r="P55" s="259"/>
    </row>
    <row r="56" spans="1:16" s="170" customFormat="1" ht="24">
      <c r="A56" s="341" t="s">
        <v>7</v>
      </c>
      <c r="B56" s="341">
        <v>92988</v>
      </c>
      <c r="C56" s="393" t="str">
        <f>(IF($A56="SINAPI",INDEX(SINAPI_NOV2020_NDES!$A$7:$H$6703,MATCH($B56,SINAPI_NOV2020_NDES!$A$7:$A$6703,0),2),IF($A56="GOINFRA",INDEX(#REF!,MATCH($B56,#REF!,0),2),(INDEX(COMPOS!$A$4:$G$39000,MATCH($B56,COMPOS!$A$4:A$39000,0),2)))))</f>
        <v>CABO DE COBRE FLEXÍVEL ISOLADO, 50 MM², ANTI-CHAMA 0,6/1,0 KV, PARA DISTRIBUIÇÃO - FORNECIMENTO E INSTALAÇÃO. AF_12/2015</v>
      </c>
      <c r="D56" s="374" t="str">
        <f>(IF($A56="SINAPI",INDEX(SINAPI_NOV2020_NDES!$A$7:$H$6790,MATCH($B56,SINAPI_NOV2020_NDES!$A$7:$A$6790,0),3),(INDEX(COMPOS!$A$4:$G$5000,MATCH($B56,COMPOS!$A$4:$A$5000,0),3))))</f>
        <v>M</v>
      </c>
      <c r="E56" s="319">
        <v>1018</v>
      </c>
      <c r="F56" s="326">
        <f>(IF($A56="SINAPI",INDEX(SINAPI_NOV2020_NDES!$A$7:$H$6703,MATCH($B56,SINAPI_NOV2020_NDES!$A$7:$A$6703,0),5),(INDEX(COMPOS!$A$4:$G$801,MATCH($B56,COMPOS!$A$4:A$801,0),4))))</f>
        <v>2.54</v>
      </c>
      <c r="G56" s="320">
        <f>(IF($A56="SINAPI",INDEX(SINAPI_NOV2020_NDES!$A$7:$H$6703,MATCH($B56,SINAPI_NOV2020_NDES!$A$7:$A$6703,0),6),(INDEX(COMPOS!$A$4:$G$801,MATCH($B56,COMPOS!$A$4:A$801,0),5))))</f>
        <v>30.15</v>
      </c>
      <c r="H56" s="320">
        <f>(IF($A56="SINAPI",INDEX(SINAPI_NOV2020_NDES!$A$7:$H$6703,MATCH($B56,SINAPI_NOV2020_NDES!$A$7:$A$6703,0),7),(INDEX(COMPOS!$A$4:$G$801,MATCH($B56,COMPOS!$A$4:A$801,0),6))))</f>
        <v>0</v>
      </c>
      <c r="I56" s="326">
        <f t="shared" si="18"/>
        <v>32.69</v>
      </c>
      <c r="J56" s="316">
        <f t="shared" si="19"/>
        <v>33278.42</v>
      </c>
      <c r="K56" s="168"/>
      <c r="L56" s="168"/>
      <c r="M56" s="168"/>
      <c r="N56" s="168"/>
      <c r="O56" s="264"/>
      <c r="P56" s="259"/>
    </row>
    <row r="57" spans="1:16" s="170" customFormat="1" ht="24">
      <c r="A57" s="341" t="s">
        <v>7</v>
      </c>
      <c r="B57" s="341">
        <v>92990</v>
      </c>
      <c r="C57" s="393" t="str">
        <f>(IF($A57="SINAPI",INDEX(SINAPI_NOV2020_NDES!$A$7:$H$6703,MATCH($B57,SINAPI_NOV2020_NDES!$A$7:$A$6703,0),2),IF($A57="GOINFRA",INDEX(#REF!,MATCH($B57,#REF!,0),2),(INDEX(COMPOS!$A$4:$G$39000,MATCH($B57,COMPOS!$A$4:A$39000,0),2)))))</f>
        <v>CABO DE COBRE FLEXÍVEL ISOLADO, 70 MM², ANTI-CHAMA 0,6/1,0 KV, PARA DISTRIBUIÇÃO - FORNECIMENTO E INSTALAÇÃO. AF_12/2015</v>
      </c>
      <c r="D57" s="374" t="str">
        <f>(IF($A57="SINAPI",INDEX(SINAPI_NOV2020_NDES!$A$7:$H$6790,MATCH($B57,SINAPI_NOV2020_NDES!$A$7:$A$6790,0),3),(INDEX(COMPOS!$A$4:$G$5000,MATCH($B57,COMPOS!$A$4:$A$5000,0),3))))</f>
        <v>M</v>
      </c>
      <c r="E57" s="319">
        <v>2026</v>
      </c>
      <c r="F57" s="326">
        <f>(IF($A57="SINAPI",INDEX(SINAPI_NOV2020_NDES!$A$7:$H$6703,MATCH($B57,SINAPI_NOV2020_NDES!$A$7:$A$6703,0),5),(INDEX(COMPOS!$A$4:$G$801,MATCH($B57,COMPOS!$A$4:A$801,0),4))))</f>
        <v>3.08</v>
      </c>
      <c r="G57" s="320">
        <f>(IF($A57="SINAPI",INDEX(SINAPI_NOV2020_NDES!$A$7:$H$6703,MATCH($B57,SINAPI_NOV2020_NDES!$A$7:$A$6703,0),6),(INDEX(COMPOS!$A$4:$G$801,MATCH($B57,COMPOS!$A$4:A$801,0),5))))</f>
        <v>41.61</v>
      </c>
      <c r="H57" s="320">
        <f>(IF($A57="SINAPI",INDEX(SINAPI_NOV2020_NDES!$A$7:$H$6703,MATCH($B57,SINAPI_NOV2020_NDES!$A$7:$A$6703,0),7),(INDEX(COMPOS!$A$4:$G$801,MATCH($B57,COMPOS!$A$4:A$801,0),6))))</f>
        <v>0</v>
      </c>
      <c r="I57" s="326">
        <f t="shared" si="18"/>
        <v>44.69</v>
      </c>
      <c r="J57" s="316">
        <f t="shared" si="19"/>
        <v>90541.94</v>
      </c>
      <c r="K57" s="168"/>
      <c r="L57" s="168"/>
      <c r="M57" s="168"/>
      <c r="N57" s="168"/>
      <c r="O57" s="264"/>
      <c r="P57" s="259"/>
    </row>
    <row r="58" spans="1:16" s="170" customFormat="1" ht="36">
      <c r="A58" s="341" t="s">
        <v>7</v>
      </c>
      <c r="B58" s="341">
        <v>101567</v>
      </c>
      <c r="C58" s="393" t="str">
        <f>(IF($A58="SINAPI",INDEX(SINAPI_NOV2020_NDES!$A$7:$H$6703,MATCH($B58,SINAPI_NOV2020_NDES!$A$7:$A$6703,0),2),IF($A58="GOINFRA",INDEX(#REF!,MATCH($B58,#REF!,0),2),(INDEX(COMPOS!$A$4:$G$39000,MATCH($B58,COMPOS!$A$4:A$39000,0),2)))))</f>
        <v>CABO DE COBRE FLEXÍVEL ISOLADO, 95 MM², 0,6/1,0 KV, PARA REDE AÉREA DE DISTRIBUIÇÃO DE ENERGIA ELÉTRICA DE BAIXA TENSÃO - FORNECIMENTO E INSTALAÇÃO. AF_07/2020</v>
      </c>
      <c r="D58" s="374" t="str">
        <f>(IF($A58="SINAPI",INDEX(SINAPI_NOV2020_NDES!$A$7:$H$6790,MATCH($B58,SINAPI_NOV2020_NDES!$A$7:$A$6790,0),3),(INDEX(COMPOS!$A$4:$G$5000,MATCH($B58,COMPOS!$A$4:$A$5000,0),3))))</f>
        <v>M</v>
      </c>
      <c r="E58" s="319">
        <v>2152</v>
      </c>
      <c r="F58" s="326">
        <f>(IF($A58="SINAPI",INDEX(SINAPI_NOV2020_NDES!$A$7:$H$6703,MATCH($B58,SINAPI_NOV2020_NDES!$A$7:$A$6703,0),5),(INDEX(COMPOS!$A$4:$G$801,MATCH($B58,COMPOS!$A$4:A$801,0),4))))</f>
        <v>0.05</v>
      </c>
      <c r="G58" s="320">
        <f>(IF($A58="SINAPI",INDEX(SINAPI_NOV2020_NDES!$A$7:$H$6703,MATCH($B58,SINAPI_NOV2020_NDES!$A$7:$A$6703,0),6),(INDEX(COMPOS!$A$4:$G$801,MATCH($B58,COMPOS!$A$4:A$801,0),5))))</f>
        <v>55.31</v>
      </c>
      <c r="H58" s="320">
        <f>(IF($A58="SINAPI",INDEX(SINAPI_NOV2020_NDES!$A$7:$H$6703,MATCH($B58,SINAPI_NOV2020_NDES!$A$7:$A$6703,0),7),(INDEX(COMPOS!$A$4:$G$801,MATCH($B58,COMPOS!$A$4:A$801,0),6))))</f>
        <v>0</v>
      </c>
      <c r="I58" s="326">
        <f t="shared" si="18"/>
        <v>55.36</v>
      </c>
      <c r="J58" s="316">
        <f t="shared" si="19"/>
        <v>119134.72</v>
      </c>
      <c r="K58" s="168"/>
      <c r="L58" s="168"/>
      <c r="M58" s="168"/>
      <c r="N58" s="168"/>
      <c r="O58" s="264"/>
      <c r="P58" s="259"/>
    </row>
    <row r="59" spans="1:16" s="170" customFormat="1" ht="36">
      <c r="A59" s="341" t="s">
        <v>7</v>
      </c>
      <c r="B59" s="341">
        <v>101568</v>
      </c>
      <c r="C59" s="393" t="str">
        <f>(IF($A59="SINAPI",INDEX(SINAPI_NOV2020_NDES!$A$7:$H$6703,MATCH($B59,SINAPI_NOV2020_NDES!$A$7:$A$6703,0),2),IF($A59="GOINFRA",INDEX(#REF!,MATCH($B59,#REF!,0),2),(INDEX(COMPOS!$A$4:$G$39000,MATCH($B59,COMPOS!$A$4:A$39000,0),2)))))</f>
        <v>CABO DE COBRE FLEXÍVEL ISOLADO, 120 MM², 0,6/1,0 KV, PARA REDE AÉREA DE DISTRIBUIÇÃO DE ENERGIA ELÉTRICA DE BAIXA TENSÃO - FORNECIMENTO E INSTALAÇÃO. AF_07/2020</v>
      </c>
      <c r="D59" s="374" t="str">
        <f>(IF($A59="SINAPI",INDEX(SINAPI_NOV2020_NDES!$A$7:$H$6790,MATCH($B59,SINAPI_NOV2020_NDES!$A$7:$A$6790,0),3),(INDEX(COMPOS!$A$4:$G$5000,MATCH($B59,COMPOS!$A$4:$A$5000,0),3))))</f>
        <v>M</v>
      </c>
      <c r="E59" s="319">
        <v>760</v>
      </c>
      <c r="F59" s="326">
        <f>(IF($A59="SINAPI",INDEX(SINAPI_NOV2020_NDES!$A$7:$H$6703,MATCH($B59,SINAPI_NOV2020_NDES!$A$7:$A$6703,0),5),(INDEX(COMPOS!$A$4:$G$801,MATCH($B59,COMPOS!$A$4:A$801,0),4))))</f>
        <v>0.05</v>
      </c>
      <c r="G59" s="320">
        <f>(IF($A59="SINAPI",INDEX(SINAPI_NOV2020_NDES!$A$7:$H$6703,MATCH($B59,SINAPI_NOV2020_NDES!$A$7:$A$6703,0),6),(INDEX(COMPOS!$A$4:$G$801,MATCH($B59,COMPOS!$A$4:A$801,0),5))))</f>
        <v>71.98</v>
      </c>
      <c r="H59" s="320">
        <f>(IF($A59="SINAPI",INDEX(SINAPI_NOV2020_NDES!$A$7:$H$6703,MATCH($B59,SINAPI_NOV2020_NDES!$A$7:$A$6703,0),7),(INDEX(COMPOS!$A$4:$G$801,MATCH($B59,COMPOS!$A$4:A$801,0),6))))</f>
        <v>0</v>
      </c>
      <c r="I59" s="326">
        <f t="shared" si="18"/>
        <v>72.03</v>
      </c>
      <c r="J59" s="316">
        <f t="shared" si="19"/>
        <v>54742.8</v>
      </c>
      <c r="K59" s="168"/>
      <c r="L59" s="168"/>
      <c r="M59" s="168"/>
      <c r="N59" s="168"/>
      <c r="O59" s="264"/>
      <c r="P59" s="259"/>
    </row>
    <row r="60" spans="1:16" s="170" customFormat="1" ht="36">
      <c r="A60" s="341" t="s">
        <v>7</v>
      </c>
      <c r="B60" s="341">
        <v>101567</v>
      </c>
      <c r="C60" s="393" t="str">
        <f>(IF($A60="SINAPI",INDEX(SINAPI_NOV2020_NDES!$A$7:$H$6703,MATCH($B60,SINAPI_NOV2020_NDES!$A$7:$A$6703,0),2),IF($A60="GOINFRA",INDEX(#REF!,MATCH($B60,#REF!,0),2),(INDEX(COMPOS!$A$4:$G$39000,MATCH($B60,COMPOS!$A$4:A$39000,0),2)))))</f>
        <v>CABO DE COBRE FLEXÍVEL ISOLADO, 95 MM², 0,6/1,0 KV, PARA REDE AÉREA DE DISTRIBUIÇÃO DE ENERGIA ELÉTRICA DE BAIXA TENSÃO - FORNECIMENTO E INSTALAÇÃO. AF_07/2020</v>
      </c>
      <c r="D60" s="374" t="str">
        <f>(IF($A60="SINAPI",INDEX(SINAPI_NOV2020_NDES!$A$7:$H$6790,MATCH($B60,SINAPI_NOV2020_NDES!$A$7:$A$6790,0),3),(INDEX(COMPOS!$A$4:$G$5000,MATCH($B60,COMPOS!$A$4:$A$5000,0),3))))</f>
        <v>M</v>
      </c>
      <c r="E60" s="319">
        <v>78</v>
      </c>
      <c r="F60" s="326">
        <f>(IF($A60="SINAPI",INDEX(SINAPI_NOV2020_NDES!$A$7:$H$6703,MATCH($B60,SINAPI_NOV2020_NDES!$A$7:$A$6703,0),5),(INDEX(COMPOS!$A$4:$G$801,MATCH($B60,COMPOS!$A$4:A$801,0),4))))</f>
        <v>0.05</v>
      </c>
      <c r="G60" s="320">
        <f>(IF($A60="SINAPI",INDEX(SINAPI_NOV2020_NDES!$A$7:$H$6703,MATCH($B60,SINAPI_NOV2020_NDES!$A$7:$A$6703,0),6),(INDEX(COMPOS!$A$4:$G$801,MATCH($B60,COMPOS!$A$4:A$801,0),5))))</f>
        <v>55.31</v>
      </c>
      <c r="H60" s="320">
        <f>(IF($A60="SINAPI",INDEX(SINAPI_NOV2020_NDES!$A$7:$H$6703,MATCH($B60,SINAPI_NOV2020_NDES!$A$7:$A$6703,0),7),(INDEX(COMPOS!$A$4:$G$801,MATCH($B60,COMPOS!$A$4:A$801,0),6))))</f>
        <v>0</v>
      </c>
      <c r="I60" s="326">
        <f t="shared" si="18"/>
        <v>55.36</v>
      </c>
      <c r="J60" s="316">
        <f t="shared" si="19"/>
        <v>4318.08</v>
      </c>
      <c r="K60" s="168"/>
      <c r="L60" s="168"/>
      <c r="M60" s="168"/>
      <c r="N60" s="168"/>
      <c r="O60" s="264"/>
      <c r="P60" s="259"/>
    </row>
    <row r="61" spans="1:16" s="170" customFormat="1" ht="24">
      <c r="A61" s="341" t="s">
        <v>7</v>
      </c>
      <c r="B61" s="341">
        <v>92998</v>
      </c>
      <c r="C61" s="393" t="str">
        <f>(IF($A61="SINAPI",INDEX(SINAPI_NOV2020_NDES!$A$7:$H$6703,MATCH($B61,SINAPI_NOV2020_NDES!$A$7:$A$6703,0),2),IF($A61="GOINFRA",INDEX(#REF!,MATCH($B61,#REF!,0),2),(INDEX(COMPOS!$A$4:$G$39000,MATCH($B61,COMPOS!$A$4:A$39000,0),2)))))</f>
        <v>CABO DE COBRE FLEXÍVEL ISOLADO, 185 MM², ANTI-CHAMA 0,6/1,0 KV, PARA DISTRIBUIÇÃO - FORNECIMENTO E INSTALAÇÃO. AF_12/2015</v>
      </c>
      <c r="D61" s="374" t="str">
        <f>(IF($A61="SINAPI",INDEX(SINAPI_NOV2020_NDES!$A$7:$H$6790,MATCH($B61,SINAPI_NOV2020_NDES!$A$7:$A$6790,0),3),(INDEX(COMPOS!$A$4:$G$5000,MATCH($B61,COMPOS!$A$4:$A$5000,0),3))))</f>
        <v>M</v>
      </c>
      <c r="E61" s="319">
        <v>312</v>
      </c>
      <c r="F61" s="326">
        <f>(IF($A61="SINAPI",INDEX(SINAPI_NOV2020_NDES!$A$7:$H$6703,MATCH($B61,SINAPI_NOV2020_NDES!$A$7:$A$6703,0),5),(INDEX(COMPOS!$A$4:$G$801,MATCH($B61,COMPOS!$A$4:A$801,0),4))))</f>
        <v>6.23</v>
      </c>
      <c r="G61" s="320">
        <f>(IF($A61="SINAPI",INDEX(SINAPI_NOV2020_NDES!$A$7:$H$6703,MATCH($B61,SINAPI_NOV2020_NDES!$A$7:$A$6703,0),6),(INDEX(COMPOS!$A$4:$G$801,MATCH($B61,COMPOS!$A$4:A$801,0),5))))</f>
        <v>108.65</v>
      </c>
      <c r="H61" s="320">
        <f>(IF($A61="SINAPI",INDEX(SINAPI_NOV2020_NDES!$A$7:$H$6703,MATCH($B61,SINAPI_NOV2020_NDES!$A$7:$A$6703,0),7),(INDEX(COMPOS!$A$4:$G$801,MATCH($B61,COMPOS!$A$4:A$801,0),6))))</f>
        <v>0</v>
      </c>
      <c r="I61" s="326">
        <f t="shared" si="18"/>
        <v>114.88000000000001</v>
      </c>
      <c r="J61" s="316">
        <f t="shared" si="19"/>
        <v>35842.560000000005</v>
      </c>
      <c r="K61" s="168"/>
      <c r="L61" s="168"/>
      <c r="M61" s="168"/>
      <c r="N61" s="168"/>
      <c r="O61" s="264"/>
      <c r="P61" s="259"/>
    </row>
    <row r="62" spans="1:16" s="170" customFormat="1" ht="24">
      <c r="A62" s="341" t="s">
        <v>7</v>
      </c>
      <c r="B62" s="341">
        <v>91864</v>
      </c>
      <c r="C62" s="393" t="str">
        <f>(IF($A62="SINAPI",INDEX(SINAPI_NOV2020_NDES!$A$7:$H$6703,MATCH($B62,SINAPI_NOV2020_NDES!$A$7:$A$6703,0),2),IF($A62="GOINFRA",INDEX(#REF!,MATCH($B62,#REF!,0),2),(INDEX(COMPOS!$A$4:$G$39000,MATCH($B62,COMPOS!$A$4:A$39000,0),2)))))</f>
        <v>ELETRODUTO RÍGIDO ROSCÁVEL, PVC, DN 32 MM (1"), PARA CIRCUITOS TERMINAIS, INSTALADO EM FORRO - FORNECIMENTO E INSTALAÇÃO. AF_12/2015</v>
      </c>
      <c r="D62" s="374" t="str">
        <f>(IF($A62="SINAPI",INDEX(SINAPI_NOV2020_NDES!$A$7:$H$6790,MATCH($B62,SINAPI_NOV2020_NDES!$A$7:$A$6790,0),3),(INDEX(COMPOS!$A$4:$G$5000,MATCH($B62,COMPOS!$A$4:$A$5000,0),3))))</f>
        <v>M</v>
      </c>
      <c r="E62" s="319">
        <v>338</v>
      </c>
      <c r="F62" s="326">
        <f>(IF($A62="SINAPI",INDEX(SINAPI_NOV2020_NDES!$A$7:$H$6703,MATCH($B62,SINAPI_NOV2020_NDES!$A$7:$A$6703,0),5),(INDEX(COMPOS!$A$4:$G$801,MATCH($B62,COMPOS!$A$4:A$801,0),4))))</f>
        <v>4.45</v>
      </c>
      <c r="G62" s="320">
        <f>(IF($A62="SINAPI",INDEX(SINAPI_NOV2020_NDES!$A$7:$H$6703,MATCH($B62,SINAPI_NOV2020_NDES!$A$7:$A$6703,0),6),(INDEX(COMPOS!$A$4:$G$801,MATCH($B62,COMPOS!$A$4:A$801,0),5))))</f>
        <v>5.29</v>
      </c>
      <c r="H62" s="320">
        <f>(IF($A62="SINAPI",INDEX(SINAPI_NOV2020_NDES!$A$7:$H$6703,MATCH($B62,SINAPI_NOV2020_NDES!$A$7:$A$6703,0),7),(INDEX(COMPOS!$A$4:$G$801,MATCH($B62,COMPOS!$A$4:A$801,0),6))))</f>
        <v>0</v>
      </c>
      <c r="I62" s="326">
        <f t="shared" si="18"/>
        <v>9.74</v>
      </c>
      <c r="J62" s="316">
        <f t="shared" si="19"/>
        <v>3292.12</v>
      </c>
      <c r="K62" s="168"/>
      <c r="L62" s="168"/>
      <c r="M62" s="168"/>
      <c r="N62" s="168"/>
      <c r="O62" s="264"/>
      <c r="P62" s="259"/>
    </row>
    <row r="63" spans="1:16" s="170" customFormat="1" ht="24">
      <c r="A63" s="341" t="s">
        <v>7</v>
      </c>
      <c r="B63" s="341">
        <v>93009</v>
      </c>
      <c r="C63" s="393" t="str">
        <f>(IF($A63="SINAPI",INDEX(SINAPI_NOV2020_NDES!$A$7:$H$6703,MATCH($B63,SINAPI_NOV2020_NDES!$A$7:$A$6703,0),2),IF($A63="GOINFRA",INDEX(#REF!,MATCH($B63,#REF!,0),2),(INDEX(COMPOS!$A$4:$G$39000,MATCH($B63,COMPOS!$A$4:A$39000,0),2)))))</f>
        <v>ELETRODUTO RÍGIDO ROSCÁVEL, PVC, DN 60 MM (2") - FORNECIMENTO E INSTALAÇÃO. AF_12/2015</v>
      </c>
      <c r="D63" s="374" t="str">
        <f>(IF($A63="SINAPI",INDEX(SINAPI_NOV2020_NDES!$A$7:$H$6790,MATCH($B63,SINAPI_NOV2020_NDES!$A$7:$A$6790,0),3),(INDEX(COMPOS!$A$4:$G$5000,MATCH($B63,COMPOS!$A$4:$A$5000,0),3))))</f>
        <v>M</v>
      </c>
      <c r="E63" s="319">
        <v>2156</v>
      </c>
      <c r="F63" s="326">
        <f>(IF($A63="SINAPI",INDEX(SINAPI_NOV2020_NDES!$A$7:$H$6703,MATCH($B63,SINAPI_NOV2020_NDES!$A$7:$A$6703,0),5),(INDEX(COMPOS!$A$4:$G$801,MATCH($B63,COMPOS!$A$4:A$801,0),4))))</f>
        <v>3.79</v>
      </c>
      <c r="G63" s="320">
        <f>(IF($A63="SINAPI",INDEX(SINAPI_NOV2020_NDES!$A$7:$H$6703,MATCH($B63,SINAPI_NOV2020_NDES!$A$7:$A$6703,0),6),(INDEX(COMPOS!$A$4:$G$801,MATCH($B63,COMPOS!$A$4:A$801,0),5))))</f>
        <v>10.79</v>
      </c>
      <c r="H63" s="320">
        <f>(IF($A63="SINAPI",INDEX(SINAPI_NOV2020_NDES!$A$7:$H$6703,MATCH($B63,SINAPI_NOV2020_NDES!$A$7:$A$6703,0),7),(INDEX(COMPOS!$A$4:$G$801,MATCH($B63,COMPOS!$A$4:A$801,0),6))))</f>
        <v>0</v>
      </c>
      <c r="I63" s="326">
        <f t="shared" si="18"/>
        <v>14.579999999999998</v>
      </c>
      <c r="J63" s="316">
        <f t="shared" si="19"/>
        <v>31434.479999999996</v>
      </c>
      <c r="K63" s="168"/>
      <c r="L63" s="168"/>
      <c r="M63" s="168"/>
      <c r="N63" s="168"/>
      <c r="O63" s="264"/>
      <c r="P63" s="259"/>
    </row>
    <row r="64" spans="1:16" s="170" customFormat="1" ht="24">
      <c r="A64" s="341" t="s">
        <v>7</v>
      </c>
      <c r="B64" s="341">
        <v>93011</v>
      </c>
      <c r="C64" s="393" t="str">
        <f>(IF($A64="SINAPI",INDEX(SINAPI_NOV2020_NDES!$A$7:$H$6703,MATCH($B64,SINAPI_NOV2020_NDES!$A$7:$A$6703,0),2),IF($A64="GOINFRA",INDEX(#REF!,MATCH($B64,#REF!,0),2),(INDEX(COMPOS!$A$4:$G$39000,MATCH($B64,COMPOS!$A$4:A$39000,0),2)))))</f>
        <v>ELETRODUTO RÍGIDO ROSCÁVEL, PVC, DN 85 MM (3") - FORNECIMENTO E INSTALAÇÃO. AF_12/2015</v>
      </c>
      <c r="D64" s="374" t="str">
        <f>(IF($A64="SINAPI",INDEX(SINAPI_NOV2020_NDES!$A$7:$H$6790,MATCH($B64,SINAPI_NOV2020_NDES!$A$7:$A$6790,0),3),(INDEX(COMPOS!$A$4:$G$5000,MATCH($B64,COMPOS!$A$4:$A$5000,0),3))))</f>
        <v>M</v>
      </c>
      <c r="E64" s="319">
        <v>1307</v>
      </c>
      <c r="F64" s="326">
        <f>(IF($A64="SINAPI",INDEX(SINAPI_NOV2020_NDES!$A$7:$H$6703,MATCH($B64,SINAPI_NOV2020_NDES!$A$7:$A$6703,0),5),(INDEX(COMPOS!$A$4:$G$801,MATCH($B64,COMPOS!$A$4:A$801,0),4))))</f>
        <v>5.03</v>
      </c>
      <c r="G64" s="320">
        <f>(IF($A64="SINAPI",INDEX(SINAPI_NOV2020_NDES!$A$7:$H$6703,MATCH($B64,SINAPI_NOV2020_NDES!$A$7:$A$6703,0),6),(INDEX(COMPOS!$A$4:$G$801,MATCH($B64,COMPOS!$A$4:A$801,0),5))))</f>
        <v>19.170000000000002</v>
      </c>
      <c r="H64" s="320">
        <f>(IF($A64="SINAPI",INDEX(SINAPI_NOV2020_NDES!$A$7:$H$6703,MATCH($B64,SINAPI_NOV2020_NDES!$A$7:$A$6703,0),7),(INDEX(COMPOS!$A$4:$G$801,MATCH($B64,COMPOS!$A$4:A$801,0),6))))</f>
        <v>0</v>
      </c>
      <c r="I64" s="326">
        <f t="shared" si="18"/>
        <v>24.200000000000003</v>
      </c>
      <c r="J64" s="316">
        <f t="shared" si="19"/>
        <v>31629.400000000005</v>
      </c>
      <c r="K64" s="168"/>
      <c r="L64" s="168"/>
      <c r="M64" s="168"/>
      <c r="N64" s="168"/>
      <c r="O64" s="264"/>
      <c r="P64" s="259"/>
    </row>
    <row r="65" spans="1:16" s="170" customFormat="1" ht="24">
      <c r="A65" s="341" t="s">
        <v>7</v>
      </c>
      <c r="B65" s="341">
        <v>93012</v>
      </c>
      <c r="C65" s="393" t="str">
        <f>(IF($A65="SINAPI",INDEX(SINAPI_NOV2020_NDES!$A$7:$H$6703,MATCH($B65,SINAPI_NOV2020_NDES!$A$7:$A$6703,0),2),IF($A65="GOINFRA",INDEX(#REF!,MATCH($B65,#REF!,0),2),(INDEX(COMPOS!$A$4:$G$39000,MATCH($B65,COMPOS!$A$4:A$39000,0),2)))))</f>
        <v>ELETRODUTO RÍGIDO ROSCÁVEL, PVC, DN 110 MM (4") - FORNECIMENTO E INSTALAÇÃO. AF_12/2015</v>
      </c>
      <c r="D65" s="374" t="str">
        <f>(IF($A65="SINAPI",INDEX(SINAPI_NOV2020_NDES!$A$7:$H$6790,MATCH($B65,SINAPI_NOV2020_NDES!$A$7:$A$6790,0),3),(INDEX(COMPOS!$A$4:$G$5000,MATCH($B65,COMPOS!$A$4:$A$5000,0),3))))</f>
        <v>M</v>
      </c>
      <c r="E65" s="319">
        <v>78</v>
      </c>
      <c r="F65" s="326">
        <f>(IF($A65="SINAPI",INDEX(SINAPI_NOV2020_NDES!$A$7:$H$6703,MATCH($B65,SINAPI_NOV2020_NDES!$A$7:$A$6703,0),5),(INDEX(COMPOS!$A$4:$G$801,MATCH($B65,COMPOS!$A$4:A$801,0),4))))</f>
        <v>6.27</v>
      </c>
      <c r="G65" s="320">
        <f>(IF($A65="SINAPI",INDEX(SINAPI_NOV2020_NDES!$A$7:$H$6703,MATCH($B65,SINAPI_NOV2020_NDES!$A$7:$A$6703,0),6),(INDEX(COMPOS!$A$4:$G$801,MATCH($B65,COMPOS!$A$4:A$801,0),5))))</f>
        <v>29.69</v>
      </c>
      <c r="H65" s="320">
        <f>(IF($A65="SINAPI",INDEX(SINAPI_NOV2020_NDES!$A$7:$H$6703,MATCH($B65,SINAPI_NOV2020_NDES!$A$7:$A$6703,0),7),(INDEX(COMPOS!$A$4:$G$801,MATCH($B65,COMPOS!$A$4:A$801,0),6))))</f>
        <v>0</v>
      </c>
      <c r="I65" s="326">
        <f t="shared" si="18"/>
        <v>35.96</v>
      </c>
      <c r="J65" s="316">
        <f t="shared" si="19"/>
        <v>2804.88</v>
      </c>
      <c r="K65" s="168"/>
      <c r="L65" s="168"/>
      <c r="M65" s="168"/>
      <c r="N65" s="168"/>
      <c r="O65" s="264"/>
      <c r="P65" s="259"/>
    </row>
    <row r="66" spans="1:16" s="170" customFormat="1" ht="12">
      <c r="A66" s="341" t="s">
        <v>6307</v>
      </c>
      <c r="B66" s="341">
        <v>819</v>
      </c>
      <c r="C66" s="393" t="str">
        <f>(IF($A66="SINAPI",INDEX(SINAPI_NOV2020_NDES!$A$7:$H$6703,MATCH($B66,SINAPI_NOV2020_NDES!$A$7:$A$6703,0),2),IF($A66="GOINFRA",INDEX(#REF!,MATCH($B66,#REF!,0),2),(INDEX(COMPOS!$A$4:$G$39000,MATCH($B66,COMPOS!$A$4:A$39000,0),2)))))</f>
        <v>LUVA PVC ROSQUEAVEL DIAMETRO 1"</v>
      </c>
      <c r="D66" s="374" t="str">
        <f>(IF($A66="SINAPI",INDEX(SINAPI_NOV2020_NDES!$A$7:$H$6790,MATCH($B66,SINAPI_NOV2020_NDES!$A$7:$A$6790,0),3),(INDEX(COMPOS!$A$4:$G$5000,MATCH($B66,COMPOS!$A$4:$A$5000,0),3))))</f>
        <v>UN</v>
      </c>
      <c r="E66" s="319">
        <v>112</v>
      </c>
      <c r="F66" s="326">
        <f>(IF($A66="SINAPI",INDEX(SINAPI_NOV2020_NDES!$A$7:$H$6703,MATCH($B66,SINAPI_NOV2020_NDES!$A$7:$A$6703,0),5),(INDEX(COMPOS!$A$4:$G$801,MATCH($B66,COMPOS!$A$4:A$801,0),4))))</f>
        <v>1.9315</v>
      </c>
      <c r="G66" s="320">
        <f>(IF($A66="SINAPI",INDEX(SINAPI_NOV2020_NDES!$A$7:$H$6703,MATCH($B66,SINAPI_NOV2020_NDES!$A$7:$A$6703,0),6),(INDEX(COMPOS!$A$4:$G$801,MATCH($B66,COMPOS!$A$4:A$801,0),5))))</f>
        <v>0.7</v>
      </c>
      <c r="H66" s="320">
        <f>(IF($A66="SINAPI",INDEX(SINAPI_NOV2020_NDES!$A$7:$H$6703,MATCH($B66,SINAPI_NOV2020_NDES!$A$7:$A$6703,0),7),(INDEX(COMPOS!$A$4:$G$801,MATCH($B66,COMPOS!$A$4:A$801,0),6))))</f>
        <v>0</v>
      </c>
      <c r="I66" s="326">
        <f t="shared" si="18"/>
        <v>2.6315</v>
      </c>
      <c r="J66" s="316">
        <f t="shared" si="19"/>
        <v>294.72800000000001</v>
      </c>
      <c r="K66" s="168"/>
      <c r="L66" s="168"/>
      <c r="M66" s="168"/>
      <c r="N66" s="168"/>
      <c r="O66" s="264"/>
      <c r="P66" s="259"/>
    </row>
    <row r="67" spans="1:16" s="170" customFormat="1" ht="24">
      <c r="A67" s="341" t="s">
        <v>7</v>
      </c>
      <c r="B67" s="341">
        <v>93014</v>
      </c>
      <c r="C67" s="393" t="str">
        <f>(IF($A67="SINAPI",INDEX(SINAPI_NOV2020_NDES!$A$7:$H$6703,MATCH($B67,SINAPI_NOV2020_NDES!$A$7:$A$6703,0),2),IF($A67="GOINFRA",INDEX(#REF!,MATCH($B67,#REF!,0),2),(INDEX(COMPOS!$A$4:$G$39000,MATCH($B67,COMPOS!$A$4:A$39000,0),2)))))</f>
        <v>LUVA PARA ELETRODUTO, PVC, ROSCÁVEL, DN 60 MM (2") - FORNECIMENTO E INSTALAÇÃO. AF_12/2015</v>
      </c>
      <c r="D67" s="374" t="str">
        <f>(IF($A67="SINAPI",INDEX(SINAPI_NOV2020_NDES!$A$7:$H$6790,MATCH($B67,SINAPI_NOV2020_NDES!$A$7:$A$6790,0),3),(INDEX(COMPOS!$A$4:$G$5000,MATCH($B67,COMPOS!$A$4:$A$5000,0),3))))</f>
        <v>UN</v>
      </c>
      <c r="E67" s="319">
        <v>718</v>
      </c>
      <c r="F67" s="326">
        <f>(IF($A67="SINAPI",INDEX(SINAPI_NOV2020_NDES!$A$7:$H$6703,MATCH($B67,SINAPI_NOV2020_NDES!$A$7:$A$6703,0),5),(INDEX(COMPOS!$A$4:$G$801,MATCH($B67,COMPOS!$A$4:A$801,0),4))))</f>
        <v>7.63</v>
      </c>
      <c r="G67" s="320">
        <f>(IF($A67="SINAPI",INDEX(SINAPI_NOV2020_NDES!$A$7:$H$6703,MATCH($B67,SINAPI_NOV2020_NDES!$A$7:$A$6703,0),6),(INDEX(COMPOS!$A$4:$G$801,MATCH($B67,COMPOS!$A$4:A$801,0),5))))</f>
        <v>4.59</v>
      </c>
      <c r="H67" s="320">
        <f>(IF($A67="SINAPI",INDEX(SINAPI_NOV2020_NDES!$A$7:$H$6703,MATCH($B67,SINAPI_NOV2020_NDES!$A$7:$A$6703,0),7),(INDEX(COMPOS!$A$4:$G$801,MATCH($B67,COMPOS!$A$4:A$801,0),6))))</f>
        <v>0</v>
      </c>
      <c r="I67" s="326">
        <f t="shared" si="18"/>
        <v>12.219999999999999</v>
      </c>
      <c r="J67" s="316">
        <f t="shared" si="19"/>
        <v>8773.9599999999991</v>
      </c>
      <c r="K67" s="168"/>
      <c r="L67" s="168"/>
      <c r="M67" s="168"/>
      <c r="N67" s="168"/>
      <c r="O67" s="264"/>
      <c r="P67" s="259"/>
    </row>
    <row r="68" spans="1:16" s="170" customFormat="1" ht="24">
      <c r="A68" s="341" t="s">
        <v>7</v>
      </c>
      <c r="B68" s="341">
        <v>93016</v>
      </c>
      <c r="C68" s="393" t="str">
        <f>(IF($A68="SINAPI",INDEX(SINAPI_NOV2020_NDES!$A$7:$H$6703,MATCH($B68,SINAPI_NOV2020_NDES!$A$7:$A$6703,0),2),IF($A68="GOINFRA",INDEX(#REF!,MATCH($B68,#REF!,0),2),(INDEX(COMPOS!$A$4:$G$39000,MATCH($B68,COMPOS!$A$4:A$39000,0),2)))))</f>
        <v>LUVA PARA ELETRODUTO, PVC, ROSCÁVEL, DN 85 MM (3") - FORNECIMENTO E INSTALAÇÃO. AF_12/2015</v>
      </c>
      <c r="D68" s="374" t="str">
        <f>(IF($A68="SINAPI",INDEX(SINAPI_NOV2020_NDES!$A$7:$H$6790,MATCH($B68,SINAPI_NOV2020_NDES!$A$7:$A$6790,0),3),(INDEX(COMPOS!$A$4:$G$5000,MATCH($B68,COMPOS!$A$4:$A$5000,0),3))))</f>
        <v>UN</v>
      </c>
      <c r="E68" s="319">
        <v>436</v>
      </c>
      <c r="F68" s="326">
        <f>(IF($A68="SINAPI",INDEX(SINAPI_NOV2020_NDES!$A$7:$H$6703,MATCH($B68,SINAPI_NOV2020_NDES!$A$7:$A$6703,0),5),(INDEX(COMPOS!$A$4:$G$801,MATCH($B68,COMPOS!$A$4:A$801,0),4))))</f>
        <v>10.09</v>
      </c>
      <c r="G68" s="320">
        <f>(IF($A68="SINAPI",INDEX(SINAPI_NOV2020_NDES!$A$7:$H$6703,MATCH($B68,SINAPI_NOV2020_NDES!$A$7:$A$6703,0),6),(INDEX(COMPOS!$A$4:$G$801,MATCH($B68,COMPOS!$A$4:A$801,0),5))))</f>
        <v>9.89</v>
      </c>
      <c r="H68" s="320">
        <f>(IF($A68="SINAPI",INDEX(SINAPI_NOV2020_NDES!$A$7:$H$6703,MATCH($B68,SINAPI_NOV2020_NDES!$A$7:$A$6703,0),7),(INDEX(COMPOS!$A$4:$G$801,MATCH($B68,COMPOS!$A$4:A$801,0),6))))</f>
        <v>0</v>
      </c>
      <c r="I68" s="326">
        <f t="shared" si="18"/>
        <v>19.98</v>
      </c>
      <c r="J68" s="316">
        <f t="shared" si="19"/>
        <v>8711.2800000000007</v>
      </c>
      <c r="K68" s="168"/>
      <c r="L68" s="168"/>
      <c r="M68" s="168"/>
      <c r="N68" s="168"/>
      <c r="O68" s="264"/>
      <c r="P68" s="259"/>
    </row>
    <row r="69" spans="1:16" s="170" customFormat="1" ht="24">
      <c r="A69" s="341" t="s">
        <v>7</v>
      </c>
      <c r="B69" s="341">
        <v>93017</v>
      </c>
      <c r="C69" s="393" t="str">
        <f>(IF($A69="SINAPI",INDEX(SINAPI_NOV2020_NDES!$A$7:$H$6703,MATCH($B69,SINAPI_NOV2020_NDES!$A$7:$A$6703,0),2),IF($A69="GOINFRA",INDEX(#REF!,MATCH($B69,#REF!,0),2),(INDEX(COMPOS!$A$4:$G$39000,MATCH($B69,COMPOS!$A$4:A$39000,0),2)))))</f>
        <v>LUVA PARA ELETRODUTO, PVC, ROSCÁVEL, DN 110 MM (4") - FORNECIMENTO E INSTALAÇÃO. AF_12/2015</v>
      </c>
      <c r="D69" s="374" t="str">
        <f>(IF($A69="SINAPI",INDEX(SINAPI_NOV2020_NDES!$A$7:$H$6790,MATCH($B69,SINAPI_NOV2020_NDES!$A$7:$A$6790,0),3),(INDEX(COMPOS!$A$4:$G$5000,MATCH($B69,COMPOS!$A$4:$A$5000,0),3))))</f>
        <v>UN</v>
      </c>
      <c r="E69" s="319">
        <v>26</v>
      </c>
      <c r="F69" s="326">
        <f>(IF($A69="SINAPI",INDEX(SINAPI_NOV2020_NDES!$A$7:$H$6703,MATCH($B69,SINAPI_NOV2020_NDES!$A$7:$A$6703,0),5),(INDEX(COMPOS!$A$4:$G$801,MATCH($B69,COMPOS!$A$4:A$801,0),4))))</f>
        <v>12.56</v>
      </c>
      <c r="G69" s="320">
        <f>(IF($A69="SINAPI",INDEX(SINAPI_NOV2020_NDES!$A$7:$H$6703,MATCH($B69,SINAPI_NOV2020_NDES!$A$7:$A$6703,0),6),(INDEX(COMPOS!$A$4:$G$801,MATCH($B69,COMPOS!$A$4:A$801,0),5))))</f>
        <v>15.82</v>
      </c>
      <c r="H69" s="320">
        <f>(IF($A69="SINAPI",INDEX(SINAPI_NOV2020_NDES!$A$7:$H$6703,MATCH($B69,SINAPI_NOV2020_NDES!$A$7:$A$6703,0),7),(INDEX(COMPOS!$A$4:$G$801,MATCH($B69,COMPOS!$A$4:A$801,0),6))))</f>
        <v>0</v>
      </c>
      <c r="I69" s="326">
        <f t="shared" si="18"/>
        <v>28.380000000000003</v>
      </c>
      <c r="J69" s="316">
        <f t="shared" si="19"/>
        <v>737.88000000000011</v>
      </c>
      <c r="K69" s="168"/>
      <c r="L69" s="168"/>
      <c r="M69" s="168"/>
      <c r="N69" s="168"/>
      <c r="O69" s="264"/>
      <c r="P69" s="259"/>
    </row>
    <row r="70" spans="1:16" s="170" customFormat="1" ht="36">
      <c r="A70" s="341" t="s">
        <v>7</v>
      </c>
      <c r="B70" s="341">
        <v>91905</v>
      </c>
      <c r="C70" s="393" t="str">
        <f>(IF($A70="SINAPI",INDEX(SINAPI_NOV2020_NDES!$A$7:$H$6703,MATCH($B70,SINAPI_NOV2020_NDES!$A$7:$A$6703,0),2),IF($A70="GOINFRA",INDEX(#REF!,MATCH($B70,#REF!,0),2),(INDEX(COMPOS!$A$4:$G$39000,MATCH($B70,COMPOS!$A$4:A$39000,0),2)))))</f>
        <v>CURVA 90 GRAUS PARA ELETRODUTO, PVC, ROSCÁVEL, DN 32 MM (1"), PARA CIRCUITOS TERMINAIS, INSTALADA EM LAJE - FORNECIMENTO E INSTALAÇÃO. AF_12/2015</v>
      </c>
      <c r="D70" s="374" t="str">
        <f>(IF($A70="SINAPI",INDEX(SINAPI_NOV2020_NDES!$A$7:$H$6790,MATCH($B70,SINAPI_NOV2020_NDES!$A$7:$A$6790,0),3),(INDEX(COMPOS!$A$4:$G$5000,MATCH($B70,COMPOS!$A$4:$A$5000,0),3))))</f>
        <v>UN</v>
      </c>
      <c r="E70" s="319">
        <v>36</v>
      </c>
      <c r="F70" s="326">
        <f>(IF($A70="SINAPI",INDEX(SINAPI_NOV2020_NDES!$A$7:$H$6703,MATCH($B70,SINAPI_NOV2020_NDES!$A$7:$A$6703,0),5),(INDEX(COMPOS!$A$4:$G$801,MATCH($B70,COMPOS!$A$4:A$801,0),4))))</f>
        <v>7.44</v>
      </c>
      <c r="G70" s="320">
        <f>(IF($A70="SINAPI",INDEX(SINAPI_NOV2020_NDES!$A$7:$H$6703,MATCH($B70,SINAPI_NOV2020_NDES!$A$7:$A$6703,0),6),(INDEX(COMPOS!$A$4:$G$801,MATCH($B70,COMPOS!$A$4:A$801,0),5))))</f>
        <v>4.09</v>
      </c>
      <c r="H70" s="320">
        <f>(IF($A70="SINAPI",INDEX(SINAPI_NOV2020_NDES!$A$7:$H$6703,MATCH($B70,SINAPI_NOV2020_NDES!$A$7:$A$6703,0),7),(INDEX(COMPOS!$A$4:$G$801,MATCH($B70,COMPOS!$A$4:A$801,0),6))))</f>
        <v>0</v>
      </c>
      <c r="I70" s="326">
        <f t="shared" si="18"/>
        <v>11.530000000000001</v>
      </c>
      <c r="J70" s="316">
        <f t="shared" si="19"/>
        <v>415.08000000000004</v>
      </c>
      <c r="K70" s="168"/>
      <c r="L70" s="168"/>
      <c r="M70" s="168"/>
      <c r="N70" s="168"/>
      <c r="O70" s="264"/>
      <c r="P70" s="259"/>
    </row>
    <row r="71" spans="1:16" s="170" customFormat="1" ht="24">
      <c r="A71" s="341" t="s">
        <v>7</v>
      </c>
      <c r="B71" s="341">
        <v>93020</v>
      </c>
      <c r="C71" s="393" t="str">
        <f>(IF($A71="SINAPI",INDEX(SINAPI_NOV2020_NDES!$A$7:$H$6703,MATCH($B71,SINAPI_NOV2020_NDES!$A$7:$A$6703,0),2),IF($A71="GOINFRA",INDEX(#REF!,MATCH($B71,#REF!,0),2),(INDEX(COMPOS!$A$4:$G$39000,MATCH($B71,COMPOS!$A$4:A$39000,0),2)))))</f>
        <v>CURVA 90 GRAUS PARA ELETRODUTO, PVC, ROSCÁVEL, DN 60 MM (2") - FORNECIMENTO E INSTALAÇÃO. AF_12/2015</v>
      </c>
      <c r="D71" s="374" t="str">
        <f>(IF($A71="SINAPI",INDEX(SINAPI_NOV2020_NDES!$A$7:$H$6790,MATCH($B71,SINAPI_NOV2020_NDES!$A$7:$A$6790,0),3),(INDEX(COMPOS!$A$4:$G$5000,MATCH($B71,COMPOS!$A$4:$A$5000,0),3))))</f>
        <v>UN</v>
      </c>
      <c r="E71" s="319">
        <v>25</v>
      </c>
      <c r="F71" s="326">
        <f>(IF($A71="SINAPI",INDEX(SINAPI_NOV2020_NDES!$A$7:$H$6703,MATCH($B71,SINAPI_NOV2020_NDES!$A$7:$A$6703,0),5),(INDEX(COMPOS!$A$4:$G$801,MATCH($B71,COMPOS!$A$4:A$801,0),4))))</f>
        <v>11.43</v>
      </c>
      <c r="G71" s="320">
        <f>(IF($A71="SINAPI",INDEX(SINAPI_NOV2020_NDES!$A$7:$H$6703,MATCH($B71,SINAPI_NOV2020_NDES!$A$7:$A$6703,0),6),(INDEX(COMPOS!$A$4:$G$801,MATCH($B71,COMPOS!$A$4:A$801,0),5))))</f>
        <v>7.6</v>
      </c>
      <c r="H71" s="320">
        <f>(IF($A71="SINAPI",INDEX(SINAPI_NOV2020_NDES!$A$7:$H$6703,MATCH($B71,SINAPI_NOV2020_NDES!$A$7:$A$6703,0),7),(INDEX(COMPOS!$A$4:$G$801,MATCH($B71,COMPOS!$A$4:A$801,0),6))))</f>
        <v>0</v>
      </c>
      <c r="I71" s="326">
        <f t="shared" si="18"/>
        <v>19.03</v>
      </c>
      <c r="J71" s="316">
        <f t="shared" si="19"/>
        <v>475.75</v>
      </c>
      <c r="K71" s="168"/>
      <c r="L71" s="168"/>
      <c r="M71" s="168"/>
      <c r="N71" s="168"/>
      <c r="O71" s="264"/>
      <c r="P71" s="259"/>
    </row>
    <row r="72" spans="1:16" s="170" customFormat="1" ht="24">
      <c r="A72" s="341" t="s">
        <v>7</v>
      </c>
      <c r="B72" s="341">
        <v>93024</v>
      </c>
      <c r="C72" s="393" t="str">
        <f>(IF($A72="SINAPI",INDEX(SINAPI_NOV2020_NDES!$A$7:$H$6703,MATCH($B72,SINAPI_NOV2020_NDES!$A$7:$A$6703,0),2),IF($A72="GOINFRA",INDEX(#REF!,MATCH($B72,#REF!,0),2),(INDEX(COMPOS!$A$4:$G$39000,MATCH($B72,COMPOS!$A$4:A$39000,0),2)))))</f>
        <v>CURVA 90 GRAUS PARA ELETRODUTO, PVC, ROSCÁVEL, DN 85 MM (3") - FORNECIMENTO E INSTALAÇÃO. AF_12/2015</v>
      </c>
      <c r="D72" s="374" t="str">
        <f>(IF($A72="SINAPI",INDEX(SINAPI_NOV2020_NDES!$A$7:$H$6790,MATCH($B72,SINAPI_NOV2020_NDES!$A$7:$A$6790,0),3),(INDEX(COMPOS!$A$4:$G$5000,MATCH($B72,COMPOS!$A$4:$A$5000,0),3))))</f>
        <v>UN</v>
      </c>
      <c r="E72" s="319">
        <v>20</v>
      </c>
      <c r="F72" s="326">
        <f>(IF($A72="SINAPI",INDEX(SINAPI_NOV2020_NDES!$A$7:$H$6703,MATCH($B72,SINAPI_NOV2020_NDES!$A$7:$A$6703,0),5),(INDEX(COMPOS!$A$4:$G$801,MATCH($B72,COMPOS!$A$4:A$801,0),4))))</f>
        <v>15.11</v>
      </c>
      <c r="G72" s="320">
        <f>(IF($A72="SINAPI",INDEX(SINAPI_NOV2020_NDES!$A$7:$H$6703,MATCH($B72,SINAPI_NOV2020_NDES!$A$7:$A$6703,0),6),(INDEX(COMPOS!$A$4:$G$801,MATCH($B72,COMPOS!$A$4:A$801,0),5))))</f>
        <v>15.13</v>
      </c>
      <c r="H72" s="320">
        <f>(IF($A72="SINAPI",INDEX(SINAPI_NOV2020_NDES!$A$7:$H$6703,MATCH($B72,SINAPI_NOV2020_NDES!$A$7:$A$6703,0),7),(INDEX(COMPOS!$A$4:$G$801,MATCH($B72,COMPOS!$A$4:A$801,0),6))))</f>
        <v>0</v>
      </c>
      <c r="I72" s="326">
        <f t="shared" si="18"/>
        <v>30.240000000000002</v>
      </c>
      <c r="J72" s="316">
        <f t="shared" si="19"/>
        <v>604.80000000000007</v>
      </c>
      <c r="K72" s="168"/>
      <c r="L72" s="168"/>
      <c r="M72" s="168"/>
      <c r="N72" s="168"/>
      <c r="O72" s="264"/>
      <c r="P72" s="259"/>
    </row>
    <row r="73" spans="1:16" s="170" customFormat="1" ht="24">
      <c r="A73" s="341" t="s">
        <v>7</v>
      </c>
      <c r="B73" s="341">
        <v>93020</v>
      </c>
      <c r="C73" s="393" t="str">
        <f>(IF($A73="SINAPI",INDEX(SINAPI_NOV2020_NDES!$A$7:$H$6703,MATCH($B73,SINAPI_NOV2020_NDES!$A$7:$A$6703,0),2),IF($A73="GOINFRA",INDEX(#REF!,MATCH($B73,#REF!,0),2),(INDEX(COMPOS!$A$4:$G$39000,MATCH($B73,COMPOS!$A$4:A$39000,0),2)))))</f>
        <v>CURVA 90 GRAUS PARA ELETRODUTO, PVC, ROSCÁVEL, DN 60 MM (2") - FORNECIMENTO E INSTALAÇÃO. AF_12/2015</v>
      </c>
      <c r="D73" s="374" t="str">
        <f>(IF($A73="SINAPI",INDEX(SINAPI_NOV2020_NDES!$A$7:$H$6790,MATCH($B73,SINAPI_NOV2020_NDES!$A$7:$A$6790,0),3),(INDEX(COMPOS!$A$4:$G$5000,MATCH($B73,COMPOS!$A$4:$A$5000,0),3))))</f>
        <v>UN</v>
      </c>
      <c r="E73" s="319">
        <v>2</v>
      </c>
      <c r="F73" s="326">
        <f>(IF($A73="SINAPI",INDEX(SINAPI_NOV2020_NDES!$A$7:$H$6703,MATCH($B73,SINAPI_NOV2020_NDES!$A$7:$A$6703,0),5),(INDEX(COMPOS!$A$4:$G$801,MATCH($B73,COMPOS!$A$4:A$801,0),4))))</f>
        <v>11.43</v>
      </c>
      <c r="G73" s="320">
        <f>(IF($A73="SINAPI",INDEX(SINAPI_NOV2020_NDES!$A$7:$H$6703,MATCH($B73,SINAPI_NOV2020_NDES!$A$7:$A$6703,0),6),(INDEX(COMPOS!$A$4:$G$801,MATCH($B73,COMPOS!$A$4:A$801,0),5))))</f>
        <v>7.6</v>
      </c>
      <c r="H73" s="320">
        <f>(IF($A73="SINAPI",INDEX(SINAPI_NOV2020_NDES!$A$7:$H$6703,MATCH($B73,SINAPI_NOV2020_NDES!$A$7:$A$6703,0),7),(INDEX(COMPOS!$A$4:$G$801,MATCH($B73,COMPOS!$A$4:A$801,0),6))))</f>
        <v>0</v>
      </c>
      <c r="I73" s="326">
        <f t="shared" si="18"/>
        <v>19.03</v>
      </c>
      <c r="J73" s="316">
        <f t="shared" si="19"/>
        <v>38.06</v>
      </c>
      <c r="K73" s="168"/>
      <c r="L73" s="168"/>
      <c r="M73" s="168"/>
      <c r="N73" s="168"/>
      <c r="O73" s="264"/>
      <c r="P73" s="259"/>
    </row>
    <row r="74" spans="1:16" s="170" customFormat="1" ht="12">
      <c r="A74" s="341" t="s">
        <v>6307</v>
      </c>
      <c r="B74" s="341">
        <v>710</v>
      </c>
      <c r="C74" s="393" t="str">
        <f>(IF($A74="SINAPI",INDEX(SINAPI_NOV2020_NDES!$A$7:$H$6703,MATCH($B74,SINAPI_NOV2020_NDES!$A$7:$A$6703,0),2),IF($A74="GOINFRA",INDEX(#REF!,MATCH($B74,#REF!,0),2),(INDEX(COMPOS!$A$4:$G$39000,MATCH($B74,COMPOS!$A$4:A$39000,0),2)))))</f>
        <v>CAIXA DE PASSAGEM 80X80X110 CM FUNDO DE BRITA SEM TAMPA</v>
      </c>
      <c r="D74" s="374" t="str">
        <f>(IF($A74="SINAPI",INDEX(SINAPI_NOV2020_NDES!$A$7:$H$6790,MATCH($B74,SINAPI_NOV2020_NDES!$A$7:$A$6790,0),3),(INDEX(COMPOS!$A$4:$G$5000,MATCH($B74,COMPOS!$A$4:$A$5000,0),3))))</f>
        <v>UN</v>
      </c>
      <c r="E74" s="319">
        <v>42</v>
      </c>
      <c r="F74" s="326">
        <f>(IF($A74="SINAPI",INDEX(SINAPI_NOV2020_NDES!$A$7:$H$6703,MATCH($B74,SINAPI_NOV2020_NDES!$A$7:$A$6703,0),5),(INDEX(COMPOS!$A$4:$G$801,MATCH($B74,COMPOS!$A$4:A$801,0),4))))</f>
        <v>456.45756499999993</v>
      </c>
      <c r="G74" s="320">
        <f>(IF($A74="SINAPI",INDEX(SINAPI_NOV2020_NDES!$A$7:$H$6703,MATCH($B74,SINAPI_NOV2020_NDES!$A$7:$A$6703,0),6),(INDEX(COMPOS!$A$4:$G$801,MATCH($B74,COMPOS!$A$4:A$801,0),5))))</f>
        <v>274.25307299999997</v>
      </c>
      <c r="H74" s="320">
        <f>(IF($A74="SINAPI",INDEX(SINAPI_NOV2020_NDES!$A$7:$H$6703,MATCH($B74,SINAPI_NOV2020_NDES!$A$7:$A$6703,0),7),(INDEX(COMPOS!$A$4:$G$801,MATCH($B74,COMPOS!$A$4:A$801,0),6))))</f>
        <v>0</v>
      </c>
      <c r="I74" s="326">
        <f t="shared" si="18"/>
        <v>730.7106379999999</v>
      </c>
      <c r="J74" s="316">
        <f t="shared" si="19"/>
        <v>30689.846795999994</v>
      </c>
      <c r="K74" s="168"/>
      <c r="L74" s="168"/>
      <c r="M74" s="168"/>
      <c r="N74" s="168"/>
      <c r="O74" s="264"/>
      <c r="P74" s="259"/>
    </row>
    <row r="75" spans="1:16" s="170" customFormat="1" ht="12">
      <c r="A75" s="341" t="s">
        <v>6307</v>
      </c>
      <c r="B75" s="341">
        <v>576</v>
      </c>
      <c r="C75" s="393" t="str">
        <f>(IF($A75="SINAPI",INDEX(SINAPI_NOV2020_NDES!$A$7:$H$6703,MATCH($B75,SINAPI_NOV2020_NDES!$A$7:$A$6703,0),2),IF($A75="GOINFRA",INDEX(#REF!,MATCH($B75,#REF!,0),2),(INDEX(COMPOS!$A$4:$G$39000,MATCH($B75,COMPOS!$A$4:A$39000,0),2)))))</f>
        <v>CAIXA DE PASSAGEM 30X30X40CM COM TAMPA E DRENO BRITA</v>
      </c>
      <c r="D75" s="374" t="str">
        <f>(IF($A75="SINAPI",INDEX(SINAPI_NOV2020_NDES!$A$7:$H$6790,MATCH($B75,SINAPI_NOV2020_NDES!$A$7:$A$6790,0),3),(INDEX(COMPOS!$A$4:$G$5000,MATCH($B75,COMPOS!$A$4:$A$5000,0),3))))</f>
        <v>UN</v>
      </c>
      <c r="E75" s="319">
        <v>68</v>
      </c>
      <c r="F75" s="326">
        <f>(IF($A75="SINAPI",INDEX(SINAPI_NOV2020_NDES!$A$7:$H$6703,MATCH($B75,SINAPI_NOV2020_NDES!$A$7:$A$6703,0),5),(INDEX(COMPOS!$A$4:$G$801,MATCH($B75,COMPOS!$A$4:A$801,0),4))))</f>
        <v>81.742997000000003</v>
      </c>
      <c r="G75" s="320">
        <f>(IF($A75="SINAPI",INDEX(SINAPI_NOV2020_NDES!$A$7:$H$6703,MATCH($B75,SINAPI_NOV2020_NDES!$A$7:$A$6703,0),6),(INDEX(COMPOS!$A$4:$G$801,MATCH($B75,COMPOS!$A$4:A$801,0),5))))</f>
        <v>65.410209000000009</v>
      </c>
      <c r="H75" s="320">
        <f>(IF($A75="SINAPI",INDEX(SINAPI_NOV2020_NDES!$A$7:$H$6703,MATCH($B75,SINAPI_NOV2020_NDES!$A$7:$A$6703,0),7),(INDEX(COMPOS!$A$4:$G$801,MATCH($B75,COMPOS!$A$4:A$801,0),6))))</f>
        <v>0</v>
      </c>
      <c r="I75" s="326">
        <f t="shared" si="18"/>
        <v>147.15320600000001</v>
      </c>
      <c r="J75" s="316">
        <f t="shared" si="19"/>
        <v>10006.418008000001</v>
      </c>
      <c r="K75" s="168"/>
      <c r="L75" s="168"/>
      <c r="M75" s="168"/>
      <c r="N75" s="168"/>
      <c r="O75" s="264"/>
      <c r="P75" s="259"/>
    </row>
    <row r="76" spans="1:16" s="170" customFormat="1" ht="12">
      <c r="A76" s="341" t="s">
        <v>6307</v>
      </c>
      <c r="B76" s="341">
        <v>705</v>
      </c>
      <c r="C76" s="393" t="str">
        <f>(IF($A76="SINAPI",INDEX(SINAPI_NOV2020_NDES!$A$7:$H$6703,MATCH($B76,SINAPI_NOV2020_NDES!$A$7:$A$6703,0),2),IF($A76="GOINFRA",INDEX(#REF!,MATCH($B76,#REF!,0),2),(INDEX(COMPOS!$A$4:$G$39000,MATCH($B76,COMPOS!$A$4:A$39000,0),2)))))</f>
        <v>CAIXA DE PASSAGEM - TAMPA EM CONCRETO ARMADO 25 MPA E=5CM</v>
      </c>
      <c r="D76" s="374" t="str">
        <f>(IF($A76="SINAPI",INDEX(SINAPI_NOV2020_NDES!$A$7:$H$6790,MATCH($B76,SINAPI_NOV2020_NDES!$A$7:$A$6790,0),3),(INDEX(COMPOS!$A$4:$G$5000,MATCH($B76,COMPOS!$A$4:$A$5000,0),3))))</f>
        <v>m2</v>
      </c>
      <c r="E76" s="319">
        <v>41.17</v>
      </c>
      <c r="F76" s="326">
        <f>(IF($A76="SINAPI",INDEX(SINAPI_NOV2020_NDES!$A$7:$H$6703,MATCH($B76,SINAPI_NOV2020_NDES!$A$7:$A$6703,0),5),(INDEX(COMPOS!$A$4:$G$801,MATCH($B76,COMPOS!$A$4:A$801,0),4))))</f>
        <v>20.327442000000001</v>
      </c>
      <c r="G76" s="320">
        <f>(IF($A76="SINAPI",INDEX(SINAPI_NOV2020_NDES!$A$7:$H$6703,MATCH($B76,SINAPI_NOV2020_NDES!$A$7:$A$6703,0),6),(INDEX(COMPOS!$A$4:$G$801,MATCH($B76,COMPOS!$A$4:A$801,0),5))))</f>
        <v>51.395687694214885</v>
      </c>
      <c r="H76" s="320">
        <f>(IF($A76="SINAPI",INDEX(SINAPI_NOV2020_NDES!$A$7:$H$6703,MATCH($B76,SINAPI_NOV2020_NDES!$A$7:$A$6703,0),7),(INDEX(COMPOS!$A$4:$G$801,MATCH($B76,COMPOS!$A$4:A$801,0),6))))</f>
        <v>0</v>
      </c>
      <c r="I76" s="326">
        <f t="shared" si="18"/>
        <v>71.72312969421489</v>
      </c>
      <c r="J76" s="316">
        <f t="shared" si="19"/>
        <v>2952.8412495108273</v>
      </c>
      <c r="K76" s="168"/>
      <c r="L76" s="168"/>
      <c r="M76" s="168"/>
      <c r="N76" s="168"/>
      <c r="O76" s="264"/>
      <c r="P76" s="259"/>
    </row>
    <row r="77" spans="1:16" s="170" customFormat="1" ht="24">
      <c r="A77" s="341" t="s">
        <v>7</v>
      </c>
      <c r="B77" s="341">
        <v>101659</v>
      </c>
      <c r="C77" s="393" t="str">
        <f>(IF($A77="SINAPI",INDEX(SINAPI_NOV2020_NDES!$A$7:$H$6703,MATCH($B77,SINAPI_NOV2020_NDES!$A$7:$A$6703,0),2),IF($A77="GOINFRA",INDEX(#REF!,MATCH($B77,#REF!,0),2),(INDEX(COMPOS!$A$4:$G$39000,MATCH($B77,COMPOS!$A$4:A$39000,0),2)))))</f>
        <v>LUMINÁRIA DE LED PARA ILUMINAÇÃO PÚBLICA, DE 181 W ATÉ 239 W - FORNECIMENTO E INSTALAÇÃO. AF_08/2020</v>
      </c>
      <c r="D77" s="374" t="str">
        <f>(IF($A77="SINAPI",INDEX(SINAPI_NOV2020_NDES!$A$7:$H$6790,MATCH($B77,SINAPI_NOV2020_NDES!$A$7:$A$6790,0),3),(INDEX(COMPOS!$A$4:$G$5000,MATCH($B77,COMPOS!$A$4:$A$5000,0),3))))</f>
        <v>UN</v>
      </c>
      <c r="E77" s="319">
        <v>144</v>
      </c>
      <c r="F77" s="326">
        <f>(IF($A77="SINAPI",INDEX(SINAPI_NOV2020_NDES!$A$7:$H$6703,MATCH($B77,SINAPI_NOV2020_NDES!$A$7:$A$6703,0),5),(INDEX(COMPOS!$A$4:$G$801,MATCH($B77,COMPOS!$A$4:A$801,0),4))))</f>
        <v>12.88</v>
      </c>
      <c r="G77" s="320">
        <f>(IF($A77="SINAPI",INDEX(SINAPI_NOV2020_NDES!$A$7:$H$6703,MATCH($B77,SINAPI_NOV2020_NDES!$A$7:$A$6703,0),6),(INDEX(COMPOS!$A$4:$G$801,MATCH($B77,COMPOS!$A$4:A$801,0),5))))</f>
        <v>914.9</v>
      </c>
      <c r="H77" s="320">
        <f>(IF($A77="SINAPI",INDEX(SINAPI_NOV2020_NDES!$A$7:$H$6703,MATCH($B77,SINAPI_NOV2020_NDES!$A$7:$A$6703,0),7),(INDEX(COMPOS!$A$4:$G$801,MATCH($B77,COMPOS!$A$4:A$801,0),6))))</f>
        <v>7.55</v>
      </c>
      <c r="I77" s="326">
        <f t="shared" si="18"/>
        <v>935.32999999999993</v>
      </c>
      <c r="J77" s="316">
        <f t="shared" si="19"/>
        <v>134687.51999999999</v>
      </c>
      <c r="K77" s="168"/>
      <c r="L77" s="168"/>
      <c r="M77" s="168"/>
      <c r="N77" s="168"/>
      <c r="O77" s="264"/>
      <c r="P77" s="259"/>
    </row>
    <row r="78" spans="1:16" s="170" customFormat="1" ht="24">
      <c r="A78" s="341" t="s">
        <v>6307</v>
      </c>
      <c r="B78" s="341">
        <v>755</v>
      </c>
      <c r="C78" s="393" t="str">
        <f>(IF($A78="SINAPI",INDEX(SINAPI_NOV2020_NDES!$A$7:$H$6703,MATCH($B78,SINAPI_NOV2020_NDES!$A$7:$A$6703,0),2),IF($A78="GOINFRA",INDEX(#REF!,MATCH($B78,#REF!,0),2),(INDEX(COMPOS!$A$4:$G$39000,MATCH($B78,COMPOS!$A$4:A$39000,0),2)))))</f>
        <v>POSTE CONICO CONTINUO EM ACO GALVANIZADO, RETO, ENGASTADO, H = 9 M, DIAMETRO INFERIOR = *145* MM</v>
      </c>
      <c r="D78" s="374" t="str">
        <f>(IF($A78="SINAPI",INDEX(SINAPI_NOV2020_NDES!$A$7:$H$6790,MATCH($B78,SINAPI_NOV2020_NDES!$A$7:$A$6790,0),3),(INDEX(COMPOS!$A$4:$G$5000,MATCH($B78,COMPOS!$A$4:$A$5000,0),3))))</f>
        <v>UN</v>
      </c>
      <c r="E78" s="319">
        <v>36</v>
      </c>
      <c r="F78" s="326">
        <f>(IF($A78="SINAPI",INDEX(SINAPI_NOV2020_NDES!$A$7:$H$6703,MATCH($B78,SINAPI_NOV2020_NDES!$A$7:$A$6703,0),5),(INDEX(COMPOS!$A$4:$G$801,MATCH($B78,COMPOS!$A$4:A$801,0),4))))</f>
        <v>24.250617999999999</v>
      </c>
      <c r="G78" s="320">
        <f>(IF($A78="SINAPI",INDEX(SINAPI_NOV2020_NDES!$A$7:$H$6703,MATCH($B78,SINAPI_NOV2020_NDES!$A$7:$A$6703,0),6),(INDEX(COMPOS!$A$4:$G$801,MATCH($B78,COMPOS!$A$4:A$801,0),5))))</f>
        <v>1355.796724</v>
      </c>
      <c r="H78" s="320">
        <f>(IF($A78="SINAPI",INDEX(SINAPI_NOV2020_NDES!$A$7:$H$6703,MATCH($B78,SINAPI_NOV2020_NDES!$A$7:$A$6703,0),7),(INDEX(COMPOS!$A$4:$G$801,MATCH($B78,COMPOS!$A$4:A$801,0),6))))</f>
        <v>0</v>
      </c>
      <c r="I78" s="326">
        <f t="shared" si="18"/>
        <v>1380.0473420000001</v>
      </c>
      <c r="J78" s="316">
        <f t="shared" si="19"/>
        <v>49681.704312000002</v>
      </c>
      <c r="K78" s="168"/>
      <c r="L78" s="168"/>
      <c r="M78" s="168"/>
      <c r="N78" s="168"/>
      <c r="O78" s="264"/>
      <c r="P78" s="259"/>
    </row>
    <row r="79" spans="1:16" s="170" customFormat="1" ht="12">
      <c r="A79" s="341" t="s">
        <v>6307</v>
      </c>
      <c r="B79" s="341">
        <v>466</v>
      </c>
      <c r="C79" s="393" t="str">
        <f>(IF($A79="SINAPI",INDEX(SINAPI_NOV2020_NDES!$A$7:$H$6703,MATCH($B79,SINAPI_NOV2020_NDES!$A$7:$A$6703,0),2),IF($A79="GOINFRA",INDEX(#REF!,MATCH($B79,#REF!,0),2),(INDEX(COMPOS!$A$4:$G$39000,MATCH($B79,COMPOS!$A$4:A$39000,0),2)))))</f>
        <v>SUPORTE PARA 4 PÉTALAS PARA LUMINÁRIA DE ILUMINAÇÃO PÚBLICA</v>
      </c>
      <c r="D79" s="374" t="str">
        <f>(IF($A79="SINAPI",INDEX(SINAPI_NOV2020_NDES!$A$7:$H$6790,MATCH($B79,SINAPI_NOV2020_NDES!$A$7:$A$6790,0),3),(INDEX(COMPOS!$A$4:$G$5000,MATCH($B79,COMPOS!$A$4:$A$5000,0),3))))</f>
        <v>UN</v>
      </c>
      <c r="E79" s="319">
        <v>36</v>
      </c>
      <c r="F79" s="326">
        <f>(IF($A79="SINAPI",INDEX(SINAPI_NOV2020_NDES!$A$7:$H$6703,MATCH($B79,SINAPI_NOV2020_NDES!$A$7:$A$6703,0),5),(INDEX(COMPOS!$A$4:$G$801,MATCH($B79,COMPOS!$A$4:A$801,0),4))))</f>
        <v>9.6574999999999989</v>
      </c>
      <c r="G79" s="320">
        <f>(IF($A79="SINAPI",INDEX(SINAPI_NOV2020_NDES!$A$7:$H$6703,MATCH($B79,SINAPI_NOV2020_NDES!$A$7:$A$6703,0),6),(INDEX(COMPOS!$A$4:$G$801,MATCH($B79,COMPOS!$A$4:A$801,0),5))))</f>
        <v>133.33000000000001</v>
      </c>
      <c r="H79" s="320">
        <f>(IF($A79="SINAPI",INDEX(SINAPI_NOV2020_NDES!$A$7:$H$6703,MATCH($B79,SINAPI_NOV2020_NDES!$A$7:$A$6703,0),7),(INDEX(COMPOS!$A$4:$G$801,MATCH($B79,COMPOS!$A$4:A$801,0),6))))</f>
        <v>0</v>
      </c>
      <c r="I79" s="326">
        <f t="shared" si="18"/>
        <v>142.98750000000001</v>
      </c>
      <c r="J79" s="316">
        <f t="shared" si="19"/>
        <v>5147.55</v>
      </c>
      <c r="K79" s="168"/>
      <c r="L79" s="168"/>
      <c r="M79" s="168"/>
      <c r="N79" s="168"/>
      <c r="O79" s="264"/>
      <c r="P79" s="259"/>
    </row>
    <row r="80" spans="1:16" s="170" customFormat="1" ht="12">
      <c r="A80" s="341" t="s">
        <v>6307</v>
      </c>
      <c r="B80" s="341">
        <v>518</v>
      </c>
      <c r="C80" s="393" t="str">
        <f>(IF($A80="SINAPI",INDEX(SINAPI_NOV2020_NDES!$A$7:$H$6703,MATCH($B80,SINAPI_NOV2020_NDES!$A$7:$A$6703,0),2),IF($A80="GOINFRA",INDEX(#REF!,MATCH($B80,#REF!,0),2),(INDEX(COMPOS!$A$4:$G$39000,MATCH($B80,COMPOS!$A$4:A$39000,0),2)))))</f>
        <v>DISJUNTOR MONOPOLAR DE 10 A 32A</v>
      </c>
      <c r="D80" s="374" t="str">
        <f>(IF($A80="SINAPI",INDEX(SINAPI_NOV2020_NDES!$A$7:$H$6790,MATCH($B80,SINAPI_NOV2020_NDES!$A$7:$A$6790,0),3),(INDEX(COMPOS!$A$4:$G$5000,MATCH($B80,COMPOS!$A$4:$A$5000,0),3))))</f>
        <v>UN</v>
      </c>
      <c r="E80" s="319">
        <v>8</v>
      </c>
      <c r="F80" s="326">
        <f>(IF($A80="SINAPI",INDEX(SINAPI_NOV2020_NDES!$A$7:$H$6703,MATCH($B80,SINAPI_NOV2020_NDES!$A$7:$A$6703,0),5),(INDEX(COMPOS!$A$4:$G$801,MATCH($B80,COMPOS!$A$4:A$801,0),4))))</f>
        <v>11.588999999999999</v>
      </c>
      <c r="G80" s="320">
        <f>(IF($A80="SINAPI",INDEX(SINAPI_NOV2020_NDES!$A$7:$H$6703,MATCH($B80,SINAPI_NOV2020_NDES!$A$7:$A$6703,0),6),(INDEX(COMPOS!$A$4:$G$801,MATCH($B80,COMPOS!$A$4:A$801,0),5))))</f>
        <v>8.41</v>
      </c>
      <c r="H80" s="320">
        <f>(IF($A80="SINAPI",INDEX(SINAPI_NOV2020_NDES!$A$7:$H$6703,MATCH($B80,SINAPI_NOV2020_NDES!$A$7:$A$6703,0),7),(INDEX(COMPOS!$A$4:$G$801,MATCH($B80,COMPOS!$A$4:A$801,0),6))))</f>
        <v>0</v>
      </c>
      <c r="I80" s="326">
        <f t="shared" si="18"/>
        <v>19.998999999999999</v>
      </c>
      <c r="J80" s="316">
        <f t="shared" si="19"/>
        <v>159.99199999999999</v>
      </c>
      <c r="K80" s="168"/>
      <c r="L80" s="168"/>
      <c r="M80" s="168"/>
      <c r="N80" s="168"/>
      <c r="O80" s="264"/>
      <c r="P80" s="259"/>
    </row>
    <row r="81" spans="1:16" s="170" customFormat="1" ht="24">
      <c r="A81" s="341" t="s">
        <v>7</v>
      </c>
      <c r="B81" s="341">
        <v>101893</v>
      </c>
      <c r="C81" s="393" t="str">
        <f>(IF($A81="SINAPI",INDEX(SINAPI_NOV2020_NDES!$A$7:$H$6703,MATCH($B81,SINAPI_NOV2020_NDES!$A$7:$A$6703,0),2),IF($A81="GOINFRA",INDEX(#REF!,MATCH($B81,#REF!,0),2),(INDEX(COMPOS!$A$4:$G$39000,MATCH($B81,COMPOS!$A$4:A$39000,0),2)))))</f>
        <v>DISJUNTOR TRIPOLAR TIPO NEMA, CORRENTE NOMINAL DE 10 ATÉ 50A - FORNECIMENTO E INSTALAÇÃO. AF_10/2020</v>
      </c>
      <c r="D81" s="374" t="str">
        <f>(IF($A81="SINAPI",INDEX(SINAPI_NOV2020_NDES!$A$7:$H$6790,MATCH($B81,SINAPI_NOV2020_NDES!$A$7:$A$6790,0),3),(INDEX(COMPOS!$A$4:$G$5000,MATCH($B81,COMPOS!$A$4:$A$5000,0),3))))</f>
        <v>UN</v>
      </c>
      <c r="E81" s="319">
        <v>8</v>
      </c>
      <c r="F81" s="326">
        <f>(IF($A81="SINAPI",INDEX(SINAPI_NOV2020_NDES!$A$7:$H$6703,MATCH($B81,SINAPI_NOV2020_NDES!$A$7:$A$6703,0),5),(INDEX(COMPOS!$A$4:$G$801,MATCH($B81,COMPOS!$A$4:A$801,0),4))))</f>
        <v>5.84</v>
      </c>
      <c r="G81" s="320">
        <f>(IF($A81="SINAPI",INDEX(SINAPI_NOV2020_NDES!$A$7:$H$6703,MATCH($B81,SINAPI_NOV2020_NDES!$A$7:$A$6703,0),6),(INDEX(COMPOS!$A$4:$G$801,MATCH($B81,COMPOS!$A$4:A$801,0),5))))</f>
        <v>77.22</v>
      </c>
      <c r="H81" s="320">
        <f>(IF($A81="SINAPI",INDEX(SINAPI_NOV2020_NDES!$A$7:$H$6703,MATCH($B81,SINAPI_NOV2020_NDES!$A$7:$A$6703,0),7),(INDEX(COMPOS!$A$4:$G$801,MATCH($B81,COMPOS!$A$4:A$801,0),6))))</f>
        <v>0</v>
      </c>
      <c r="I81" s="326">
        <f t="shared" si="18"/>
        <v>83.06</v>
      </c>
      <c r="J81" s="316">
        <f t="shared" si="19"/>
        <v>664.48</v>
      </c>
      <c r="K81" s="168"/>
      <c r="L81" s="168"/>
      <c r="M81" s="168"/>
      <c r="N81" s="168"/>
      <c r="O81" s="264"/>
      <c r="P81" s="259"/>
    </row>
    <row r="82" spans="1:16" s="170" customFormat="1" ht="24">
      <c r="A82" s="341" t="s">
        <v>7</v>
      </c>
      <c r="B82" s="341">
        <v>101893</v>
      </c>
      <c r="C82" s="393" t="str">
        <f>(IF($A82="SINAPI",INDEX(SINAPI_NOV2020_NDES!$A$7:$H$6703,MATCH($B82,SINAPI_NOV2020_NDES!$A$7:$A$6703,0),2),IF($A82="GOINFRA",INDEX(#REF!,MATCH($B82,#REF!,0),2),(INDEX(COMPOS!$A$4:$G$39000,MATCH($B82,COMPOS!$A$4:A$39000,0),2)))))</f>
        <v>DISJUNTOR TRIPOLAR TIPO NEMA, CORRENTE NOMINAL DE 10 ATÉ 50A - FORNECIMENTO E INSTALAÇÃO. AF_10/2020</v>
      </c>
      <c r="D82" s="374" t="str">
        <f>(IF($A82="SINAPI",INDEX(SINAPI_NOV2020_NDES!$A$7:$H$6790,MATCH($B82,SINAPI_NOV2020_NDES!$A$7:$A$6790,0),3),(INDEX(COMPOS!$A$4:$G$5000,MATCH($B82,COMPOS!$A$4:$A$5000,0),3))))</f>
        <v>UN</v>
      </c>
      <c r="E82" s="319">
        <v>2</v>
      </c>
      <c r="F82" s="326">
        <f>(IF($A82="SINAPI",INDEX(SINAPI_NOV2020_NDES!$A$7:$H$6703,MATCH($B82,SINAPI_NOV2020_NDES!$A$7:$A$6703,0),5),(INDEX(COMPOS!$A$4:$G$801,MATCH($B82,COMPOS!$A$4:A$801,0),4))))</f>
        <v>5.84</v>
      </c>
      <c r="G82" s="320">
        <f>(IF($A82="SINAPI",INDEX(SINAPI_NOV2020_NDES!$A$7:$H$6703,MATCH($B82,SINAPI_NOV2020_NDES!$A$7:$A$6703,0),6),(INDEX(COMPOS!$A$4:$G$801,MATCH($B82,COMPOS!$A$4:A$801,0),5))))</f>
        <v>77.22</v>
      </c>
      <c r="H82" s="320">
        <f>(IF($A82="SINAPI",INDEX(SINAPI_NOV2020_NDES!$A$7:$H$6703,MATCH($B82,SINAPI_NOV2020_NDES!$A$7:$A$6703,0),7),(INDEX(COMPOS!$A$4:$G$801,MATCH($B82,COMPOS!$A$4:A$801,0),6))))</f>
        <v>0</v>
      </c>
      <c r="I82" s="326">
        <f t="shared" si="18"/>
        <v>83.06</v>
      </c>
      <c r="J82" s="316">
        <f t="shared" si="19"/>
        <v>166.12</v>
      </c>
      <c r="K82" s="168"/>
      <c r="L82" s="168"/>
      <c r="M82" s="168"/>
      <c r="N82" s="168"/>
      <c r="O82" s="264"/>
      <c r="P82" s="259"/>
    </row>
    <row r="83" spans="1:16" s="170" customFormat="1" ht="24">
      <c r="A83" s="341" t="s">
        <v>7</v>
      </c>
      <c r="B83" s="341">
        <v>101894</v>
      </c>
      <c r="C83" s="393" t="str">
        <f>(IF($A83="SINAPI",INDEX(SINAPI_NOV2020_NDES!$A$7:$H$6703,MATCH($B83,SINAPI_NOV2020_NDES!$A$7:$A$6703,0),2),IF($A83="GOINFRA",INDEX(#REF!,MATCH($B83,#REF!,0),2),(INDEX(COMPOS!$A$4:$G$39000,MATCH($B83,COMPOS!$A$4:A$39000,0),2)))))</f>
        <v>DISJUNTOR TRIPOLAR TIPO NEMA, CORRENTE NOMINAL DE 60 ATÉ 100A - FORNECIMENTO E INSTALAÇÃO. AF_10/2020</v>
      </c>
      <c r="D83" s="374" t="str">
        <f>(IF($A83="SINAPI",INDEX(SINAPI_NOV2020_NDES!$A$7:$H$6790,MATCH($B83,SINAPI_NOV2020_NDES!$A$7:$A$6790,0),3),(INDEX(COMPOS!$A$4:$G$5000,MATCH($B83,COMPOS!$A$4:$A$5000,0),3))))</f>
        <v>UN</v>
      </c>
      <c r="E83" s="319">
        <v>7</v>
      </c>
      <c r="F83" s="326">
        <f>(IF($A83="SINAPI",INDEX(SINAPI_NOV2020_NDES!$A$7:$H$6703,MATCH($B83,SINAPI_NOV2020_NDES!$A$7:$A$6703,0),5),(INDEX(COMPOS!$A$4:$G$801,MATCH($B83,COMPOS!$A$4:A$801,0),4))))</f>
        <v>23.06</v>
      </c>
      <c r="G83" s="320">
        <f>(IF($A83="SINAPI",INDEX(SINAPI_NOV2020_NDES!$A$7:$H$6703,MATCH($B83,SINAPI_NOV2020_NDES!$A$7:$A$6703,0),6),(INDEX(COMPOS!$A$4:$G$801,MATCH($B83,COMPOS!$A$4:A$801,0),5))))</f>
        <v>114.94</v>
      </c>
      <c r="H83" s="320">
        <f>(IF($A83="SINAPI",INDEX(SINAPI_NOV2020_NDES!$A$7:$H$6703,MATCH($B83,SINAPI_NOV2020_NDES!$A$7:$A$6703,0),7),(INDEX(COMPOS!$A$4:$G$801,MATCH($B83,COMPOS!$A$4:A$801,0),6))))</f>
        <v>0</v>
      </c>
      <c r="I83" s="326">
        <f t="shared" si="18"/>
        <v>138</v>
      </c>
      <c r="J83" s="316">
        <f t="shared" si="19"/>
        <v>966</v>
      </c>
      <c r="K83" s="168"/>
      <c r="L83" s="168"/>
      <c r="M83" s="168"/>
      <c r="N83" s="168"/>
      <c r="O83" s="264"/>
      <c r="P83" s="259"/>
    </row>
    <row r="84" spans="1:16" s="170" customFormat="1" ht="24">
      <c r="A84" s="341" t="s">
        <v>7</v>
      </c>
      <c r="B84" s="341">
        <v>101895</v>
      </c>
      <c r="C84" s="393" t="str">
        <f>(IF($A84="SINAPI",INDEX(SINAPI_NOV2020_NDES!$A$7:$H$6703,MATCH($B84,SINAPI_NOV2020_NDES!$A$7:$A$6703,0),2),IF($A84="GOINFRA",INDEX(#REF!,MATCH($B84,#REF!,0),2),(INDEX(COMPOS!$A$4:$G$39000,MATCH($B84,COMPOS!$A$4:A$39000,0),2)))))</f>
        <v>DISJUNTOR TERMOMAGNÉTICO TRIPOLAR , CORRENTE NOMINAL DE 125A - FORNECIMENTO E INSTALAÇÃO. AF_10/2020</v>
      </c>
      <c r="D84" s="374" t="str">
        <f>(IF($A84="SINAPI",INDEX(SINAPI_NOV2020_NDES!$A$7:$H$6790,MATCH($B84,SINAPI_NOV2020_NDES!$A$7:$A$6790,0),3),(INDEX(COMPOS!$A$4:$G$5000,MATCH($B84,COMPOS!$A$4:$A$5000,0),3))))</f>
        <v>UN</v>
      </c>
      <c r="E84" s="319">
        <v>1</v>
      </c>
      <c r="F84" s="326">
        <f>(IF($A84="SINAPI",INDEX(SINAPI_NOV2020_NDES!$A$7:$H$6703,MATCH($B84,SINAPI_NOV2020_NDES!$A$7:$A$6703,0),5),(INDEX(COMPOS!$A$4:$G$801,MATCH($B84,COMPOS!$A$4:A$801,0),4))))</f>
        <v>38.979999999999997</v>
      </c>
      <c r="G84" s="320">
        <f>(IF($A84="SINAPI",INDEX(SINAPI_NOV2020_NDES!$A$7:$H$6703,MATCH($B84,SINAPI_NOV2020_NDES!$A$7:$A$6703,0),6),(INDEX(COMPOS!$A$4:$G$801,MATCH($B84,COMPOS!$A$4:A$801,0),5))))</f>
        <v>343.7</v>
      </c>
      <c r="H84" s="320">
        <f>(IF($A84="SINAPI",INDEX(SINAPI_NOV2020_NDES!$A$7:$H$6703,MATCH($B84,SINAPI_NOV2020_NDES!$A$7:$A$6703,0),7),(INDEX(COMPOS!$A$4:$G$801,MATCH($B84,COMPOS!$A$4:A$801,0),6))))</f>
        <v>0</v>
      </c>
      <c r="I84" s="326">
        <f t="shared" si="18"/>
        <v>382.68</v>
      </c>
      <c r="J84" s="316">
        <f t="shared" si="19"/>
        <v>382.68</v>
      </c>
      <c r="K84" s="168"/>
      <c r="L84" s="168"/>
      <c r="M84" s="168"/>
      <c r="N84" s="168"/>
      <c r="O84" s="264"/>
      <c r="P84" s="259"/>
    </row>
    <row r="85" spans="1:16" s="170" customFormat="1" ht="24">
      <c r="A85" s="341" t="s">
        <v>7</v>
      </c>
      <c r="B85" s="341">
        <v>101897</v>
      </c>
      <c r="C85" s="393" t="str">
        <f>(IF($A85="SINAPI",INDEX(SINAPI_NOV2020_NDES!$A$7:$H$6703,MATCH($B85,SINAPI_NOV2020_NDES!$A$7:$A$6703,0),2),IF($A85="GOINFRA",INDEX(#REF!,MATCH($B85,#REF!,0),2),(INDEX(COMPOS!$A$4:$G$39000,MATCH($B85,COMPOS!$A$4:A$39000,0),2)))))</f>
        <v>DISJUNTOR TERMOMAGNÉTICO TRIPOLAR , CORRENTE NOMINAL DE 250A - FORNECIMENTO E INSTALAÇÃO. AF_10/2020</v>
      </c>
      <c r="D85" s="374" t="str">
        <f>(IF($A85="SINAPI",INDEX(SINAPI_NOV2020_NDES!$A$7:$H$6790,MATCH($B85,SINAPI_NOV2020_NDES!$A$7:$A$6790,0),3),(INDEX(COMPOS!$A$4:$G$5000,MATCH($B85,COMPOS!$A$4:$A$5000,0),3))))</f>
        <v>UN</v>
      </c>
      <c r="E85" s="319">
        <v>2</v>
      </c>
      <c r="F85" s="326">
        <f>(IF($A85="SINAPI",INDEX(SINAPI_NOV2020_NDES!$A$7:$H$6703,MATCH($B85,SINAPI_NOV2020_NDES!$A$7:$A$6703,0),5),(INDEX(COMPOS!$A$4:$G$801,MATCH($B85,COMPOS!$A$4:A$801,0),4))))</f>
        <v>38.979999999999997</v>
      </c>
      <c r="G85" s="320">
        <f>(IF($A85="SINAPI",INDEX(SINAPI_NOV2020_NDES!$A$7:$H$6703,MATCH($B85,SINAPI_NOV2020_NDES!$A$7:$A$6703,0),6),(INDEX(COMPOS!$A$4:$G$801,MATCH($B85,COMPOS!$A$4:A$801,0),5))))</f>
        <v>891.5</v>
      </c>
      <c r="H85" s="320">
        <f>(IF($A85="SINAPI",INDEX(SINAPI_NOV2020_NDES!$A$7:$H$6703,MATCH($B85,SINAPI_NOV2020_NDES!$A$7:$A$6703,0),7),(INDEX(COMPOS!$A$4:$G$801,MATCH($B85,COMPOS!$A$4:A$801,0),6))))</f>
        <v>0</v>
      </c>
      <c r="I85" s="326">
        <f t="shared" si="18"/>
        <v>930.48</v>
      </c>
      <c r="J85" s="316">
        <f t="shared" si="19"/>
        <v>1860.96</v>
      </c>
      <c r="K85" s="168"/>
      <c r="L85" s="168"/>
      <c r="M85" s="168"/>
      <c r="N85" s="168"/>
      <c r="O85" s="264"/>
      <c r="P85" s="259"/>
    </row>
    <row r="86" spans="1:16" s="170" customFormat="1" ht="12">
      <c r="A86" s="341" t="s">
        <v>6307</v>
      </c>
      <c r="B86" s="341">
        <v>175</v>
      </c>
      <c r="C86" s="393" t="str">
        <f>(IF($A86="SINAPI",INDEX(SINAPI_NOV2020_NDES!$A$7:$H$6703,MATCH($B86,SINAPI_NOV2020_NDES!$A$7:$A$6703,0),2),IF($A86="GOINFRA",INDEX(#REF!,MATCH($B86,#REF!,0),2),(INDEX(COMPOS!$A$4:$G$39000,MATCH($B86,COMPOS!$A$4:A$39000,0),2)))))</f>
        <v>DISJUNTOR TRIPOLAR DE 300 A 350A</v>
      </c>
      <c r="D86" s="374" t="str">
        <f>(IF($A86="SINAPI",INDEX(SINAPI_NOV2020_NDES!$A$7:$H$6790,MATCH($B86,SINAPI_NOV2020_NDES!$A$7:$A$6790,0),3),(INDEX(COMPOS!$A$4:$G$5000,MATCH($B86,COMPOS!$A$4:$A$5000,0),3))))</f>
        <v>UN</v>
      </c>
      <c r="E86" s="319">
        <v>2</v>
      </c>
      <c r="F86" s="326">
        <f>(IF($A86="SINAPI",INDEX(SINAPI_NOV2020_NDES!$A$7:$H$6703,MATCH($B86,SINAPI_NOV2020_NDES!$A$7:$A$6703,0),5),(INDEX(COMPOS!$A$4:$G$801,MATCH($B86,COMPOS!$A$4:A$801,0),4))))</f>
        <v>34.766999999999996</v>
      </c>
      <c r="G86" s="320">
        <f>(IF($A86="SINAPI",INDEX(SINAPI_NOV2020_NDES!$A$7:$H$6703,MATCH($B86,SINAPI_NOV2020_NDES!$A$7:$A$6703,0),6),(INDEX(COMPOS!$A$4:$G$801,MATCH($B86,COMPOS!$A$4:A$801,0),5))))</f>
        <v>1180.74</v>
      </c>
      <c r="H86" s="320">
        <f>(IF($A86="SINAPI",INDEX(SINAPI_NOV2020_NDES!$A$7:$H$6703,MATCH($B86,SINAPI_NOV2020_NDES!$A$7:$A$6703,0),7),(INDEX(COMPOS!$A$4:$G$801,MATCH($B86,COMPOS!$A$4:A$801,0),6))))</f>
        <v>0</v>
      </c>
      <c r="I86" s="326">
        <f t="shared" si="18"/>
        <v>1215.5070000000001</v>
      </c>
      <c r="J86" s="316">
        <f t="shared" si="19"/>
        <v>2431.0140000000001</v>
      </c>
      <c r="K86" s="168"/>
      <c r="L86" s="168"/>
      <c r="M86" s="168"/>
      <c r="N86" s="168"/>
      <c r="O86" s="264"/>
      <c r="P86" s="259"/>
    </row>
    <row r="87" spans="1:16" s="170" customFormat="1" ht="12">
      <c r="A87" s="341" t="s">
        <v>6307</v>
      </c>
      <c r="B87" s="341">
        <v>761</v>
      </c>
      <c r="C87" s="393" t="str">
        <f>(IF($A87="SINAPI",INDEX(SINAPI_NOV2020_NDES!$A$7:$H$6703,MATCH($B87,SINAPI_NOV2020_NDES!$A$7:$A$6703,0),2),IF($A87="GOINFRA",INDEX(#REF!,MATCH($B87,#REF!,0),2),(INDEX(COMPOS!$A$4:$G$39000,MATCH($B87,COMPOS!$A$4:A$39000,0),2)))))</f>
        <v>DISJUNTOR TRIPOLAR 500A</v>
      </c>
      <c r="D87" s="374" t="str">
        <f>(IF($A87="SINAPI",INDEX(SINAPI_NOV2020_NDES!$A$7:$H$6790,MATCH($B87,SINAPI_NOV2020_NDES!$A$7:$A$6790,0),3),(INDEX(COMPOS!$A$4:$G$5000,MATCH($B87,COMPOS!$A$4:$A$5000,0),3))))</f>
        <v>UN</v>
      </c>
      <c r="E87" s="319">
        <v>1</v>
      </c>
      <c r="F87" s="326">
        <f>(IF($A87="SINAPI",INDEX(SINAPI_NOV2020_NDES!$A$7:$H$6703,MATCH($B87,SINAPI_NOV2020_NDES!$A$7:$A$6703,0),5),(INDEX(COMPOS!$A$4:$G$801,MATCH($B87,COMPOS!$A$4:A$801,0),4))))</f>
        <v>34.766999999999996</v>
      </c>
      <c r="G87" s="320">
        <f>(IF($A87="SINAPI",INDEX(SINAPI_NOV2020_NDES!$A$7:$H$6703,MATCH($B87,SINAPI_NOV2020_NDES!$A$7:$A$6703,0),6),(INDEX(COMPOS!$A$4:$G$801,MATCH($B87,COMPOS!$A$4:A$801,0),5))))</f>
        <v>2358.81</v>
      </c>
      <c r="H87" s="320">
        <f>(IF($A87="SINAPI",INDEX(SINAPI_NOV2020_NDES!$A$7:$H$6703,MATCH($B87,SINAPI_NOV2020_NDES!$A$7:$A$6703,0),7),(INDEX(COMPOS!$A$4:$G$801,MATCH($B87,COMPOS!$A$4:A$801,0),6))))</f>
        <v>0</v>
      </c>
      <c r="I87" s="326">
        <f t="shared" si="18"/>
        <v>2393.5769999999998</v>
      </c>
      <c r="J87" s="316">
        <f t="shared" si="19"/>
        <v>2393.5769999999998</v>
      </c>
      <c r="K87" s="168"/>
      <c r="L87" s="168"/>
      <c r="M87" s="168"/>
      <c r="N87" s="168"/>
      <c r="O87" s="264"/>
      <c r="P87" s="259"/>
    </row>
    <row r="88" spans="1:16" s="170" customFormat="1" ht="12">
      <c r="A88" s="341" t="s">
        <v>6307</v>
      </c>
      <c r="B88" s="341">
        <v>724</v>
      </c>
      <c r="C88" s="393" t="str">
        <f>(IF($A88="SINAPI",INDEX(SINAPI_NOV2020_NDES!$A$7:$H$6703,MATCH($B88,SINAPI_NOV2020_NDES!$A$7:$A$6703,0),2),IF($A88="GOINFRA",INDEX(#REF!,MATCH($B88,#REF!,0),2),(INDEX(COMPOS!$A$4:$G$39000,MATCH($B88,COMPOS!$A$4:A$39000,0),2)))))</f>
        <v>INTERRUPTOR DIFERENCIAL RESIDUAL (D.R.) TETRAPOLAR DE 40A-30mA</v>
      </c>
      <c r="D88" s="374" t="str">
        <f>(IF($A88="SINAPI",INDEX(SINAPI_NOV2020_NDES!$A$7:$H$6790,MATCH($B88,SINAPI_NOV2020_NDES!$A$7:$A$6790,0),3),(INDEX(COMPOS!$A$4:$G$5000,MATCH($B88,COMPOS!$A$4:$A$5000,0),3))))</f>
        <v>UN</v>
      </c>
      <c r="E88" s="319">
        <v>1</v>
      </c>
      <c r="F88" s="326">
        <f>(IF($A88="SINAPI",INDEX(SINAPI_NOV2020_NDES!$A$7:$H$6703,MATCH($B88,SINAPI_NOV2020_NDES!$A$7:$A$6703,0),5),(INDEX(COMPOS!$A$4:$G$801,MATCH($B88,COMPOS!$A$4:A$801,0),4))))</f>
        <v>38.629999999999995</v>
      </c>
      <c r="G88" s="320">
        <f>(IF($A88="SINAPI",INDEX(SINAPI_NOV2020_NDES!$A$7:$H$6703,MATCH($B88,SINAPI_NOV2020_NDES!$A$7:$A$6703,0),6),(INDEX(COMPOS!$A$4:$G$801,MATCH($B88,COMPOS!$A$4:A$801,0),5))))</f>
        <v>147.75</v>
      </c>
      <c r="H88" s="320">
        <f>(IF($A88="SINAPI",INDEX(SINAPI_NOV2020_NDES!$A$7:$H$6703,MATCH($B88,SINAPI_NOV2020_NDES!$A$7:$A$6703,0),7),(INDEX(COMPOS!$A$4:$G$801,MATCH($B88,COMPOS!$A$4:A$801,0),6))))</f>
        <v>0</v>
      </c>
      <c r="I88" s="326">
        <f t="shared" si="18"/>
        <v>186.38</v>
      </c>
      <c r="J88" s="316">
        <f t="shared" si="19"/>
        <v>186.38</v>
      </c>
      <c r="K88" s="168"/>
      <c r="L88" s="168"/>
      <c r="M88" s="168"/>
      <c r="N88" s="168"/>
      <c r="O88" s="264"/>
      <c r="P88" s="259"/>
    </row>
    <row r="89" spans="1:16" s="170" customFormat="1" ht="12">
      <c r="A89" s="341" t="s">
        <v>6307</v>
      </c>
      <c r="B89" s="341">
        <v>740</v>
      </c>
      <c r="C89" s="393" t="str">
        <f>(IF($A89="SINAPI",INDEX(SINAPI_NOV2020_NDES!$A$7:$H$6703,MATCH($B89,SINAPI_NOV2020_NDES!$A$7:$A$6703,0),2),IF($A89="GOINFRA",INDEX(#REF!,MATCH($B89,#REF!,0),2),(INDEX(COMPOS!$A$4:$G$39000,MATCH($B89,COMPOS!$A$4:A$39000,0),2)))))</f>
        <v>QUADRO DE DISTRIBUIÇÃO DE EMBUTIR METÁLICO CB-24E - 150A</v>
      </c>
      <c r="D89" s="374" t="str">
        <f>(IF($A89="SINAPI",INDEX(SINAPI_NOV2020_NDES!$A$7:$H$6790,MATCH($B89,SINAPI_NOV2020_NDES!$A$7:$A$6790,0),3),(INDEX(COMPOS!$A$4:$G$5000,MATCH($B89,COMPOS!$A$4:$A$5000,0),3))))</f>
        <v>UN</v>
      </c>
      <c r="E89" s="319">
        <v>1</v>
      </c>
      <c r="F89" s="326">
        <f>(IF($A89="SINAPI",INDEX(SINAPI_NOV2020_NDES!$A$7:$H$6703,MATCH($B89,SINAPI_NOV2020_NDES!$A$7:$A$6703,0),5),(INDEX(COMPOS!$A$4:$G$801,MATCH($B89,COMPOS!$A$4:A$801,0),4))))</f>
        <v>115.89</v>
      </c>
      <c r="G89" s="320">
        <f>(IF($A89="SINAPI",INDEX(SINAPI_NOV2020_NDES!$A$7:$H$6703,MATCH($B89,SINAPI_NOV2020_NDES!$A$7:$A$6703,0),6),(INDEX(COMPOS!$A$4:$G$801,MATCH($B89,COMPOS!$A$4:A$801,0),5))))</f>
        <v>422.04</v>
      </c>
      <c r="H89" s="320">
        <f>(IF($A89="SINAPI",INDEX(SINAPI_NOV2020_NDES!$A$7:$H$6703,MATCH($B89,SINAPI_NOV2020_NDES!$A$7:$A$6703,0),7),(INDEX(COMPOS!$A$4:$G$801,MATCH($B89,COMPOS!$A$4:A$801,0),6))))</f>
        <v>0</v>
      </c>
      <c r="I89" s="326">
        <f t="shared" si="18"/>
        <v>537.93000000000006</v>
      </c>
      <c r="J89" s="316">
        <f t="shared" si="19"/>
        <v>537.93000000000006</v>
      </c>
      <c r="K89" s="168"/>
      <c r="L89" s="168"/>
      <c r="M89" s="168"/>
      <c r="N89" s="168"/>
      <c r="O89" s="264"/>
      <c r="P89" s="259"/>
    </row>
    <row r="90" spans="1:16" s="170" customFormat="1" ht="12">
      <c r="A90" s="341" t="s">
        <v>6307</v>
      </c>
      <c r="B90" s="341">
        <v>174</v>
      </c>
      <c r="C90" s="393" t="str">
        <f>(IF($A90="SINAPI",INDEX(SINAPI_NOV2020_NDES!$A$7:$H$6703,MATCH($B90,SINAPI_NOV2020_NDES!$A$7:$A$6703,0),2),IF($A90="GOINFRA",INDEX(#REF!,MATCH($B90,#REF!,0),2),(INDEX(COMPOS!$A$4:$G$39000,MATCH($B90,COMPOS!$A$4:A$39000,0),2)))))</f>
        <v>CAIXA P/QUADRO DE COMANDO METÁLICA DE SOBREPOR 80 X70 X 20CM</v>
      </c>
      <c r="D90" s="374" t="str">
        <f>(IF($A90="SINAPI",INDEX(SINAPI_NOV2020_NDES!$A$7:$H$6790,MATCH($B90,SINAPI_NOV2020_NDES!$A$7:$A$6790,0),3),(INDEX(COMPOS!$A$4:$G$5000,MATCH($B90,COMPOS!$A$4:$A$5000,0),3))))</f>
        <v>UN</v>
      </c>
      <c r="E90" s="319">
        <v>2</v>
      </c>
      <c r="F90" s="326">
        <f>(IF($A90="SINAPI",INDEX(SINAPI_NOV2020_NDES!$A$7:$H$6703,MATCH($B90,SINAPI_NOV2020_NDES!$A$7:$A$6703,0),5),(INDEX(COMPOS!$A$4:$G$801,MATCH($B90,COMPOS!$A$4:A$801,0),4))))</f>
        <v>13.365979999999999</v>
      </c>
      <c r="G90" s="320">
        <f>(IF($A90="SINAPI",INDEX(SINAPI_NOV2020_NDES!$A$7:$H$6703,MATCH($B90,SINAPI_NOV2020_NDES!$A$7:$A$6703,0),6),(INDEX(COMPOS!$A$4:$G$801,MATCH($B90,COMPOS!$A$4:A$801,0),5))))</f>
        <v>265.54000000000002</v>
      </c>
      <c r="H90" s="320">
        <f>(IF($A90="SINAPI",INDEX(SINAPI_NOV2020_NDES!$A$7:$H$6703,MATCH($B90,SINAPI_NOV2020_NDES!$A$7:$A$6703,0),7),(INDEX(COMPOS!$A$4:$G$801,MATCH($B90,COMPOS!$A$4:A$801,0),6))))</f>
        <v>0</v>
      </c>
      <c r="I90" s="326">
        <f t="shared" si="18"/>
        <v>278.90598</v>
      </c>
      <c r="J90" s="316">
        <f t="shared" si="19"/>
        <v>557.81196</v>
      </c>
      <c r="K90" s="168"/>
      <c r="L90" s="168"/>
      <c r="M90" s="168"/>
      <c r="N90" s="168"/>
      <c r="O90" s="264"/>
      <c r="P90" s="259"/>
    </row>
    <row r="91" spans="1:16" s="170" customFormat="1" ht="12">
      <c r="A91" s="341" t="s">
        <v>6307</v>
      </c>
      <c r="B91" s="341">
        <v>180</v>
      </c>
      <c r="C91" s="393" t="str">
        <f>(IF($A91="SINAPI",INDEX(SINAPI_NOV2020_NDES!$A$7:$H$6703,MATCH($B91,SINAPI_NOV2020_NDES!$A$7:$A$6703,0),2),IF($A91="GOINFRA",INDEX(#REF!,MATCH($B91,#REF!,0),2),(INDEX(COMPOS!$A$4:$G$39000,MATCH($B91,COMPOS!$A$4:A$39000,0),2)))))</f>
        <v>CAIXA P/QUADRO DE COMANDO METÁLICA DE SOBREPOR 40 X 40 X 15 CM</v>
      </c>
      <c r="D91" s="374" t="str">
        <f>(IF($A91="SINAPI",INDEX(SINAPI_NOV2020_NDES!$A$7:$H$6790,MATCH($B91,SINAPI_NOV2020_NDES!$A$7:$A$6790,0),3),(INDEX(COMPOS!$A$4:$G$5000,MATCH($B91,COMPOS!$A$4:$A$5000,0),3))))</f>
        <v>UN</v>
      </c>
      <c r="E91" s="319">
        <v>1</v>
      </c>
      <c r="F91" s="326">
        <f>(IF($A91="SINAPI",INDEX(SINAPI_NOV2020_NDES!$A$7:$H$6703,MATCH($B91,SINAPI_NOV2020_NDES!$A$7:$A$6703,0),5),(INDEX(COMPOS!$A$4:$G$801,MATCH($B91,COMPOS!$A$4:A$801,0),4))))</f>
        <v>13.365979999999999</v>
      </c>
      <c r="G91" s="320">
        <f>(IF($A91="SINAPI",INDEX(SINAPI_NOV2020_NDES!$A$7:$H$6703,MATCH($B91,SINAPI_NOV2020_NDES!$A$7:$A$6703,0),6),(INDEX(COMPOS!$A$4:$G$801,MATCH($B91,COMPOS!$A$4:A$801,0),5))))</f>
        <v>86.84</v>
      </c>
      <c r="H91" s="320">
        <f>(IF($A91="SINAPI",INDEX(SINAPI_NOV2020_NDES!$A$7:$H$6703,MATCH($B91,SINAPI_NOV2020_NDES!$A$7:$A$6703,0),7),(INDEX(COMPOS!$A$4:$G$801,MATCH($B91,COMPOS!$A$4:A$801,0),6))))</f>
        <v>0</v>
      </c>
      <c r="I91" s="326">
        <f t="shared" si="18"/>
        <v>100.20598</v>
      </c>
      <c r="J91" s="316">
        <f t="shared" si="19"/>
        <v>100.20598</v>
      </c>
      <c r="K91" s="168"/>
      <c r="L91" s="168"/>
      <c r="M91" s="168"/>
      <c r="N91" s="168"/>
      <c r="O91" s="264"/>
      <c r="P91" s="259"/>
    </row>
    <row r="92" spans="1:16" s="170" customFormat="1" ht="12">
      <c r="A92" s="341" t="s">
        <v>6307</v>
      </c>
      <c r="B92" s="341">
        <v>762</v>
      </c>
      <c r="C92" s="393" t="str">
        <f>(IF($A92="SINAPI",INDEX(SINAPI_NOV2020_NDES!$A$7:$H$6703,MATCH($B92,SINAPI_NOV2020_NDES!$A$7:$A$6703,0),2),IF($A92="GOINFRA",INDEX(#REF!,MATCH($B92,#REF!,0),2),(INDEX(COMPOS!$A$4:$G$39000,MATCH($B92,COMPOS!$A$4:A$39000,0),2)))))</f>
        <v>BARRA DE COBRE 2 1/2" X 3/16"</v>
      </c>
      <c r="D92" s="374" t="str">
        <f>(IF($A92="SINAPI",INDEX(SINAPI_NOV2020_NDES!$A$7:$H$6790,MATCH($B92,SINAPI_NOV2020_NDES!$A$7:$A$6790,0),3),(INDEX(COMPOS!$A$4:$G$5000,MATCH($B92,COMPOS!$A$4:$A$5000,0),3))))</f>
        <v>M</v>
      </c>
      <c r="E92" s="319">
        <v>1.2</v>
      </c>
      <c r="F92" s="326">
        <f>(IF($A92="SINAPI",INDEX(SINAPI_NOV2020_NDES!$A$7:$H$6703,MATCH($B92,SINAPI_NOV2020_NDES!$A$7:$A$6703,0),5),(INDEX(COMPOS!$A$4:$G$801,MATCH($B92,COMPOS!$A$4:A$801,0),4))))</f>
        <v>25.882100000000001</v>
      </c>
      <c r="G92" s="320">
        <f>(IF($A92="SINAPI",INDEX(SINAPI_NOV2020_NDES!$A$7:$H$6703,MATCH($B92,SINAPI_NOV2020_NDES!$A$7:$A$6703,0),6),(INDEX(COMPOS!$A$4:$G$801,MATCH($B92,COMPOS!$A$4:A$801,0),5))))</f>
        <v>271.39409999999998</v>
      </c>
      <c r="H92" s="320">
        <f>(IF($A92="SINAPI",INDEX(SINAPI_NOV2020_NDES!$A$7:$H$6703,MATCH($B92,SINAPI_NOV2020_NDES!$A$7:$A$6703,0),7),(INDEX(COMPOS!$A$4:$G$801,MATCH($B92,COMPOS!$A$4:A$801,0),6))))</f>
        <v>0</v>
      </c>
      <c r="I92" s="326">
        <f t="shared" si="18"/>
        <v>297.27619999999996</v>
      </c>
      <c r="J92" s="316">
        <f t="shared" si="19"/>
        <v>356.73143999999996</v>
      </c>
      <c r="K92" s="168"/>
      <c r="L92" s="168"/>
      <c r="M92" s="168"/>
      <c r="N92" s="168"/>
      <c r="O92" s="264"/>
      <c r="P92" s="259"/>
    </row>
    <row r="93" spans="1:16" s="170" customFormat="1" ht="12">
      <c r="A93" s="341" t="s">
        <v>6307</v>
      </c>
      <c r="B93" s="341">
        <v>763</v>
      </c>
      <c r="C93" s="393" t="str">
        <f>(IF($A93="SINAPI",INDEX(SINAPI_NOV2020_NDES!$A$7:$H$6703,MATCH($B93,SINAPI_NOV2020_NDES!$A$7:$A$6703,0),2),IF($A93="GOINFRA",INDEX(#REF!,MATCH($B93,#REF!,0),2),(INDEX(COMPOS!$A$4:$G$39000,MATCH($B93,COMPOS!$A$4:A$39000,0),2)))))</f>
        <v>BARRA DE COBRE 1.1/2" X 1/4"</v>
      </c>
      <c r="D93" s="374" t="str">
        <f>(IF($A93="SINAPI",INDEX(SINAPI_NOV2020_NDES!$A$7:$H$6790,MATCH($B93,SINAPI_NOV2020_NDES!$A$7:$A$6790,0),3),(INDEX(COMPOS!$A$4:$G$5000,MATCH($B93,COMPOS!$A$4:$A$5000,0),3))))</f>
        <v>M</v>
      </c>
      <c r="E93" s="319">
        <v>0.9</v>
      </c>
      <c r="F93" s="326">
        <f>(IF($A93="SINAPI",INDEX(SINAPI_NOV2020_NDES!$A$7:$H$6703,MATCH($B93,SINAPI_NOV2020_NDES!$A$7:$A$6703,0),5),(INDEX(COMPOS!$A$4:$G$801,MATCH($B93,COMPOS!$A$4:A$801,0),4))))</f>
        <v>25.882100000000001</v>
      </c>
      <c r="G93" s="320">
        <f>(IF($A93="SINAPI",INDEX(SINAPI_NOV2020_NDES!$A$7:$H$6703,MATCH($B93,SINAPI_NOV2020_NDES!$A$7:$A$6703,0),6),(INDEX(COMPOS!$A$4:$G$801,MATCH($B93,COMPOS!$A$4:A$801,0),5))))</f>
        <v>216.9135</v>
      </c>
      <c r="H93" s="320">
        <f>(IF($A93="SINAPI",INDEX(SINAPI_NOV2020_NDES!$A$7:$H$6703,MATCH($B93,SINAPI_NOV2020_NDES!$A$7:$A$6703,0),7),(INDEX(COMPOS!$A$4:$G$801,MATCH($B93,COMPOS!$A$4:A$801,0),6))))</f>
        <v>0</v>
      </c>
      <c r="I93" s="326">
        <f t="shared" si="18"/>
        <v>242.79560000000001</v>
      </c>
      <c r="J93" s="316">
        <f t="shared" si="19"/>
        <v>218.51604</v>
      </c>
      <c r="K93" s="168"/>
      <c r="L93" s="168"/>
      <c r="M93" s="168"/>
      <c r="N93" s="168"/>
      <c r="O93" s="264"/>
      <c r="P93" s="259"/>
    </row>
    <row r="94" spans="1:16" s="170" customFormat="1" ht="12">
      <c r="A94" s="341" t="s">
        <v>6307</v>
      </c>
      <c r="B94" s="341">
        <v>764</v>
      </c>
      <c r="C94" s="393" t="str">
        <f>(IF($A94="SINAPI",INDEX(SINAPI_NOV2020_NDES!$A$7:$H$6703,MATCH($B94,SINAPI_NOV2020_NDES!$A$7:$A$6703,0),2),IF($A94="GOINFRA",INDEX(#REF!,MATCH($B94,#REF!,0),2),(INDEX(COMPOS!$A$4:$G$39000,MATCH($B94,COMPOS!$A$4:A$39000,0),2)))))</f>
        <v>BARRA DE COBRE 4" X 1/4"</v>
      </c>
      <c r="D94" s="374" t="str">
        <f>(IF($A94="SINAPI",INDEX(SINAPI_NOV2020_NDES!$A$7:$H$6790,MATCH($B94,SINAPI_NOV2020_NDES!$A$7:$A$6790,0),3),(INDEX(COMPOS!$A$4:$G$5000,MATCH($B94,COMPOS!$A$4:$A$5000,0),3))))</f>
        <v>M</v>
      </c>
      <c r="E94" s="319">
        <v>0.9</v>
      </c>
      <c r="F94" s="326">
        <f>(IF($A94="SINAPI",INDEX(SINAPI_NOV2020_NDES!$A$7:$H$6703,MATCH($B94,SINAPI_NOV2020_NDES!$A$7:$A$6703,0),5),(INDEX(COMPOS!$A$4:$G$801,MATCH($B94,COMPOS!$A$4:A$801,0),4))))</f>
        <v>25.882100000000001</v>
      </c>
      <c r="G94" s="320">
        <f>(IF($A94="SINAPI",INDEX(SINAPI_NOV2020_NDES!$A$7:$H$6703,MATCH($B94,SINAPI_NOV2020_NDES!$A$7:$A$6703,0),6),(INDEX(COMPOS!$A$4:$G$801,MATCH($B94,COMPOS!$A$4:A$801,0),5))))</f>
        <v>579.10860000000002</v>
      </c>
      <c r="H94" s="320">
        <f>(IF($A94="SINAPI",INDEX(SINAPI_NOV2020_NDES!$A$7:$H$6703,MATCH($B94,SINAPI_NOV2020_NDES!$A$7:$A$6703,0),7),(INDEX(COMPOS!$A$4:$G$801,MATCH($B94,COMPOS!$A$4:A$801,0),6))))</f>
        <v>0</v>
      </c>
      <c r="I94" s="326">
        <f t="shared" si="18"/>
        <v>604.99070000000006</v>
      </c>
      <c r="J94" s="316">
        <f t="shared" si="19"/>
        <v>544.4916300000001</v>
      </c>
      <c r="K94" s="168"/>
      <c r="L94" s="168"/>
      <c r="M94" s="168"/>
      <c r="N94" s="168"/>
      <c r="O94" s="264"/>
      <c r="P94" s="259"/>
    </row>
    <row r="95" spans="1:16">
      <c r="A95" s="716" t="s">
        <v>6927</v>
      </c>
      <c r="B95" s="716"/>
      <c r="C95" s="716"/>
      <c r="D95" s="716"/>
      <c r="E95" s="716"/>
      <c r="F95" s="716"/>
      <c r="G95" s="716"/>
      <c r="H95" s="716"/>
      <c r="I95" s="716"/>
      <c r="J95" s="390">
        <f>SUM(J51:J94)</f>
        <v>822947.81841551082</v>
      </c>
      <c r="K95" s="168"/>
      <c r="L95" s="168"/>
      <c r="M95" s="168"/>
      <c r="N95" s="168"/>
      <c r="O95" s="168"/>
      <c r="P95" s="259"/>
    </row>
    <row r="96" spans="1:16" s="168" customFormat="1" ht="12">
      <c r="A96" s="385"/>
      <c r="B96" s="386">
        <v>170</v>
      </c>
      <c r="C96" s="387" t="s">
        <v>604</v>
      </c>
      <c r="D96" s="385" t="s">
        <v>6922</v>
      </c>
      <c r="E96" s="388"/>
      <c r="F96" s="317"/>
      <c r="G96" s="316"/>
      <c r="H96" s="319"/>
      <c r="I96" s="319"/>
      <c r="J96" s="319"/>
      <c r="P96" s="259"/>
    </row>
    <row r="97" spans="1:16" s="168" customFormat="1" ht="12">
      <c r="A97" s="385"/>
      <c r="B97" s="386"/>
      <c r="C97" s="387" t="s">
        <v>7018</v>
      </c>
      <c r="D97" s="385"/>
      <c r="E97" s="388"/>
      <c r="F97" s="317"/>
      <c r="G97" s="316"/>
      <c r="H97" s="319"/>
      <c r="I97" s="319"/>
      <c r="J97" s="319"/>
      <c r="P97" s="259"/>
    </row>
    <row r="98" spans="1:16" s="170" customFormat="1" ht="36">
      <c r="A98" s="341" t="s">
        <v>6307</v>
      </c>
      <c r="B98" s="341">
        <v>858</v>
      </c>
      <c r="C98" s="393" t="str">
        <f>(IF($A98="SINAPI",INDEX(SINAPI_NOV2020_NDES!$A$7:$H$6703,MATCH($B98,SINAPI_NOV2020_NDES!$A$7:$A$6703,0),2),IF($A98="GOINFRA",INDEX(#REF!,MATCH($B98,#REF!,0),2),(INDEX(COMPOS!$A$4:$G$39000,MATCH($B98,COMPOS!$A$4:A$39000,0),2)))))</f>
        <v>PERFURAÇÃO DE POÇO TUBULAR PROFUNDO (INCLUSO OUTORGA, TESTE DE VAZÃO, ANÁLISE FÍSICO-QUÍMICA, CONFORME PROJETO, PARA VAZÃO 12 M3/H, ATÉ 100M DE PROFUNDIDADE)</v>
      </c>
      <c r="D98" s="374" t="str">
        <f>(IF($A98="SINAPI",INDEX(SINAPI_NOV2020_NDES!$A$7:$H$6790,MATCH($B98,SINAPI_NOV2020_NDES!$A$7:$A$6790,0),3),(INDEX(COMPOS!$A$4:$G$5000,MATCH($B98,COMPOS!$A$4:$A$5000,0),3))))</f>
        <v>M</v>
      </c>
      <c r="E98" s="395">
        <v>100</v>
      </c>
      <c r="F98" s="326">
        <f>(IF($A98="SINAPI",INDEX(SINAPI_NOV2020_NDES!$A$7:$H$6703,MATCH($B98,SINAPI_NOV2020_NDES!$A$7:$A$6703,0),5),(INDEX(COMPOS!$A$4:$G$801,MATCH($B98,COMPOS!$A$4:A$801,0),4))))</f>
        <v>8.8385439999999988</v>
      </c>
      <c r="G98" s="320">
        <f>(IF($A98="SINAPI",INDEX(SINAPI_NOV2020_NDES!$A$7:$H$6703,MATCH($B98,SINAPI_NOV2020_NDES!$A$7:$A$6703,0),6),(INDEX(COMPOS!$A$4:$G$801,MATCH($B98,COMPOS!$A$4:A$801,0),5))))</f>
        <v>415.05997666666656</v>
      </c>
      <c r="H98" s="320">
        <f>(IF($A98="SINAPI",INDEX(SINAPI_NOV2020_NDES!$A$7:$H$6703,MATCH($B98,SINAPI_NOV2020_NDES!$A$7:$A$6703,0),7),(INDEX(COMPOS!$A$4:$G$801,MATCH($B98,COMPOS!$A$4:A$801,0),6))))</f>
        <v>0</v>
      </c>
      <c r="I98" s="326">
        <f t="shared" ref="I98" si="20">SUM(F98:H98)</f>
        <v>423.89852066666657</v>
      </c>
      <c r="J98" s="316">
        <f t="shared" ref="J98" si="21">+I98*E98</f>
        <v>42389.852066666659</v>
      </c>
      <c r="K98" s="168"/>
      <c r="L98" s="168"/>
      <c r="M98" s="168"/>
      <c r="N98" s="168"/>
      <c r="O98" s="264"/>
      <c r="P98" s="259"/>
    </row>
    <row r="99" spans="1:16" s="170" customFormat="1" ht="24">
      <c r="A99" s="341" t="s">
        <v>7</v>
      </c>
      <c r="B99" s="341">
        <v>89449</v>
      </c>
      <c r="C99" s="389" t="str">
        <f>(IF($A99="SINAPI",INDEX(SINAPI_NOV2020_NDES!$A$7:$H$6703,MATCH($B99,SINAPI_NOV2020_NDES!$A$7:$A$6703,0),2),IF($A99="GOINFRA",INDEX(#REF!,MATCH($B99,#REF!,0),2),(INDEX(COMPOS!$A$4:$G$39000,MATCH($B99,COMPOS!$A$4:A$39000,0),2)))))</f>
        <v>TUBO, PVC, SOLDÁVEL, DN 50MM, INSTALADO EM PRUMADA DE ÁGUA - FORNECIMENTO E INSTALAÇÃO. AF_12/2014</v>
      </c>
      <c r="D99" s="374" t="str">
        <f>(IF($A99="SINAPI",INDEX(SINAPI_NOV2020_NDES!$A$7:$H$6790,MATCH($B99,SINAPI_NOV2020_NDES!$A$7:$A$6790,0),3),(INDEX(COMPOS!$A$4:$G$5000,MATCH($B99,COMPOS!$A$4:$A$5000,0),3))))</f>
        <v>M</v>
      </c>
      <c r="E99" s="395">
        <v>75.599999999999994</v>
      </c>
      <c r="F99" s="326">
        <f>(IF($A99="SINAPI",INDEX(SINAPI_NOV2020_NDES!$A$7:$H$6703,MATCH($B99,SINAPI_NOV2020_NDES!$A$7:$A$6703,0),5),(INDEX(COMPOS!$A$4:$G$801,MATCH($B99,COMPOS!$A$4:A$801,0),4))))</f>
        <v>0.82</v>
      </c>
      <c r="G99" s="320">
        <f>(IF($A99="SINAPI",INDEX(SINAPI_NOV2020_NDES!$A$7:$H$6703,MATCH($B99,SINAPI_NOV2020_NDES!$A$7:$A$6703,0),6),(INDEX(COMPOS!$A$4:$G$801,MATCH($B99,COMPOS!$A$4:A$801,0),5))))</f>
        <v>12.26</v>
      </c>
      <c r="H99" s="320">
        <f>(IF($A99="SINAPI",INDEX(SINAPI_NOV2020_NDES!$A$7:$H$6703,MATCH($B99,SINAPI_NOV2020_NDES!$A$7:$A$6703,0),7),(INDEX(COMPOS!$A$4:$G$801,MATCH($B99,COMPOS!$A$4:A$801,0),6))))</f>
        <v>0</v>
      </c>
      <c r="I99" s="326">
        <f t="shared" ref="I99:I113" si="22">SUM(F99:H99)</f>
        <v>13.08</v>
      </c>
      <c r="J99" s="316">
        <f t="shared" ref="J99:J113" si="23">+I99*E99</f>
        <v>988.84799999999996</v>
      </c>
      <c r="K99" s="168"/>
      <c r="L99" s="168"/>
      <c r="M99" s="168"/>
      <c r="N99" s="168"/>
      <c r="O99" s="264"/>
      <c r="P99" s="259"/>
    </row>
    <row r="100" spans="1:16" s="170" customFormat="1" ht="36">
      <c r="A100" s="341" t="s">
        <v>7</v>
      </c>
      <c r="B100" s="341">
        <v>94702</v>
      </c>
      <c r="C100" s="389" t="str">
        <f>(IF($A100="SINAPI",INDEX(SINAPI_NOV2020_NDES!$A$7:$H$6703,MATCH($B100,SINAPI_NOV2020_NDES!$A$7:$A$6703,0),2),IF($A100="GOINFRA",INDEX(#REF!,MATCH($B100,#REF!,0),2),(INDEX(COMPOS!$A$4:$G$39000,MATCH($B100,COMPOS!$A$4:A$39000,0),2)))))</f>
        <v>TÊ DE REDUÇÃO, PVC, SOLDÁVEL, DN 110 MM X 60 MM, INSTALADO EM RESERVAÇÃO DE ÁGUA DE EDIFICAÇÃO QUE POSSUA RESERVATÓRIO DE FIBRA/FIBROCIMENTO   FORNECIMENTO E INSTALAÇÃO. AF_06/2016</v>
      </c>
      <c r="D100" s="374" t="str">
        <f>(IF($A100="SINAPI",INDEX(SINAPI_NOV2020_NDES!$A$7:$H$6790,MATCH($B100,SINAPI_NOV2020_NDES!$A$7:$A$6790,0),3),(INDEX(COMPOS!$A$4:$G$5000,MATCH($B100,COMPOS!$A$4:$A$5000,0),3))))</f>
        <v>UN</v>
      </c>
      <c r="E100" s="395">
        <v>1</v>
      </c>
      <c r="F100" s="326">
        <f>(IF($A100="SINAPI",INDEX(SINAPI_NOV2020_NDES!$A$7:$H$6703,MATCH($B100,SINAPI_NOV2020_NDES!$A$7:$A$6703,0),5),(INDEX(COMPOS!$A$4:$G$801,MATCH($B100,COMPOS!$A$4:A$801,0),4))))</f>
        <v>18.829999999999998</v>
      </c>
      <c r="G100" s="320">
        <f>(IF($A100="SINAPI",INDEX(SINAPI_NOV2020_NDES!$A$7:$H$6703,MATCH($B100,SINAPI_NOV2020_NDES!$A$7:$A$6703,0),6),(INDEX(COMPOS!$A$4:$G$801,MATCH($B100,COMPOS!$A$4:A$801,0),5))))</f>
        <v>147.13</v>
      </c>
      <c r="H100" s="320">
        <f>(IF($A100="SINAPI",INDEX(SINAPI_NOV2020_NDES!$A$7:$H$6703,MATCH($B100,SINAPI_NOV2020_NDES!$A$7:$A$6703,0),7),(INDEX(COMPOS!$A$4:$G$801,MATCH($B100,COMPOS!$A$4:A$801,0),6))))</f>
        <v>0</v>
      </c>
      <c r="I100" s="326">
        <f t="shared" si="22"/>
        <v>165.95999999999998</v>
      </c>
      <c r="J100" s="316">
        <f t="shared" si="23"/>
        <v>165.95999999999998</v>
      </c>
      <c r="K100" s="168"/>
      <c r="L100" s="168"/>
      <c r="M100" s="168"/>
      <c r="N100" s="168"/>
      <c r="O100" s="264"/>
      <c r="P100" s="259"/>
    </row>
    <row r="101" spans="1:16" s="170" customFormat="1" ht="24">
      <c r="A101" s="341" t="s">
        <v>7</v>
      </c>
      <c r="B101" s="341">
        <v>89501</v>
      </c>
      <c r="C101" s="389" t="str">
        <f>(IF($A101="SINAPI",INDEX(SINAPI_NOV2020_NDES!$A$7:$H$6703,MATCH($B101,SINAPI_NOV2020_NDES!$A$7:$A$6703,0),2),IF($A101="GOINFRA",INDEX(#REF!,MATCH($B101,#REF!,0),2),(INDEX(COMPOS!$A$4:$G$39000,MATCH($B101,COMPOS!$A$4:A$39000,0),2)))))</f>
        <v>JOELHO 90 GRAUS, PVC, SOLDÁVEL, DN 50MM, INSTALADO EM PRUMADA DE ÁGUA - FORNECIMENTO E INSTALAÇÃO. AF_12/2014</v>
      </c>
      <c r="D101" s="374" t="str">
        <f>(IF($A101="SINAPI",INDEX(SINAPI_NOV2020_NDES!$A$7:$H$6790,MATCH($B101,SINAPI_NOV2020_NDES!$A$7:$A$6790,0),3),(INDEX(COMPOS!$A$4:$G$5000,MATCH($B101,COMPOS!$A$4:$A$5000,0),3))))</f>
        <v>UN</v>
      </c>
      <c r="E101" s="395">
        <v>5</v>
      </c>
      <c r="F101" s="326">
        <f>(IF($A101="SINAPI",INDEX(SINAPI_NOV2020_NDES!$A$7:$H$6703,MATCH($B101,SINAPI_NOV2020_NDES!$A$7:$A$6703,0),5),(INDEX(COMPOS!$A$4:$G$801,MATCH($B101,COMPOS!$A$4:A$801,0),4))))</f>
        <v>3.16</v>
      </c>
      <c r="G101" s="320">
        <f>(IF($A101="SINAPI",INDEX(SINAPI_NOV2020_NDES!$A$7:$H$6703,MATCH($B101,SINAPI_NOV2020_NDES!$A$7:$A$6703,0),6),(INDEX(COMPOS!$A$4:$G$801,MATCH($B101,COMPOS!$A$4:A$801,0),5))))</f>
        <v>7.73</v>
      </c>
      <c r="H101" s="320">
        <f>(IF($A101="SINAPI",INDEX(SINAPI_NOV2020_NDES!$A$7:$H$6703,MATCH($B101,SINAPI_NOV2020_NDES!$A$7:$A$6703,0),7),(INDEX(COMPOS!$A$4:$G$801,MATCH($B101,COMPOS!$A$4:A$801,0),6))))</f>
        <v>0</v>
      </c>
      <c r="I101" s="326">
        <f t="shared" si="22"/>
        <v>10.89</v>
      </c>
      <c r="J101" s="316">
        <f t="shared" si="23"/>
        <v>54.45</v>
      </c>
      <c r="K101" s="168"/>
      <c r="L101" s="168"/>
      <c r="M101" s="168"/>
      <c r="N101" s="168"/>
      <c r="O101" s="264"/>
      <c r="P101" s="259"/>
    </row>
    <row r="102" spans="1:16" s="170" customFormat="1" ht="24">
      <c r="A102" s="341" t="s">
        <v>7</v>
      </c>
      <c r="B102" s="341">
        <v>89502</v>
      </c>
      <c r="C102" s="389" t="str">
        <f>(IF($A102="SINAPI",INDEX(SINAPI_NOV2020_NDES!$A$7:$H$6703,MATCH($B102,SINAPI_NOV2020_NDES!$A$7:$A$6703,0),2),IF($A102="GOINFRA",INDEX(#REF!,MATCH($B102,#REF!,0),2),(INDEX(COMPOS!$A$4:$G$39000,MATCH($B102,COMPOS!$A$4:A$39000,0),2)))))</f>
        <v>JOELHO 45 GRAUS, PVC, SOLDÁVEL, DN 50MM, INSTALADO EM PRUMADA DE ÁGUA - FORNECIMENTO E INSTALAÇÃO. AF_12/2014</v>
      </c>
      <c r="D102" s="374" t="str">
        <f>(IF($A102="SINAPI",INDEX(SINAPI_NOV2020_NDES!$A$7:$H$6790,MATCH($B102,SINAPI_NOV2020_NDES!$A$7:$A$6790,0),3),(INDEX(COMPOS!$A$4:$G$5000,MATCH($B102,COMPOS!$A$4:$A$5000,0),3))))</f>
        <v>UN</v>
      </c>
      <c r="E102" s="395">
        <v>4</v>
      </c>
      <c r="F102" s="326">
        <f>(IF($A102="SINAPI",INDEX(SINAPI_NOV2020_NDES!$A$7:$H$6703,MATCH($B102,SINAPI_NOV2020_NDES!$A$7:$A$6703,0),5),(INDEX(COMPOS!$A$4:$G$801,MATCH($B102,COMPOS!$A$4:A$801,0),4))))</f>
        <v>3.16</v>
      </c>
      <c r="G102" s="320">
        <f>(IF($A102="SINAPI",INDEX(SINAPI_NOV2020_NDES!$A$7:$H$6703,MATCH($B102,SINAPI_NOV2020_NDES!$A$7:$A$6703,0),6),(INDEX(COMPOS!$A$4:$G$801,MATCH($B102,COMPOS!$A$4:A$801,0),5))))</f>
        <v>9.17</v>
      </c>
      <c r="H102" s="320">
        <f>(IF($A102="SINAPI",INDEX(SINAPI_NOV2020_NDES!$A$7:$H$6703,MATCH($B102,SINAPI_NOV2020_NDES!$A$7:$A$6703,0),7),(INDEX(COMPOS!$A$4:$G$801,MATCH($B102,COMPOS!$A$4:A$801,0),6))))</f>
        <v>0</v>
      </c>
      <c r="I102" s="326">
        <f t="shared" si="22"/>
        <v>12.33</v>
      </c>
      <c r="J102" s="316">
        <f t="shared" si="23"/>
        <v>49.32</v>
      </c>
      <c r="K102" s="168"/>
      <c r="L102" s="168"/>
      <c r="M102" s="168"/>
      <c r="N102" s="168"/>
      <c r="O102" s="264"/>
      <c r="P102" s="259"/>
    </row>
    <row r="103" spans="1:16" s="170" customFormat="1" ht="24">
      <c r="A103" s="341" t="s">
        <v>7</v>
      </c>
      <c r="B103" s="341">
        <v>89627</v>
      </c>
      <c r="C103" s="389" t="str">
        <f>(IF($A103="SINAPI",INDEX(SINAPI_NOV2020_NDES!$A$7:$H$6703,MATCH($B103,SINAPI_NOV2020_NDES!$A$7:$A$6703,0),2),IF($A103="GOINFRA",INDEX(#REF!,MATCH($B103,#REF!,0),2),(INDEX(COMPOS!$A$4:$G$39000,MATCH($B103,COMPOS!$A$4:A$39000,0),2)))))</f>
        <v>TÊ DE REDUÇÃO, PVC, SOLDÁVEL, DN 50MM X 25MM, INSTALADO EM PRUMADA DE ÁGUA - FORNECIMENTO E INSTALAÇÃO. AF_12/2014</v>
      </c>
      <c r="D103" s="374" t="str">
        <f>(IF($A103="SINAPI",INDEX(SINAPI_NOV2020_NDES!$A$7:$H$6790,MATCH($B103,SINAPI_NOV2020_NDES!$A$7:$A$6790,0),3),(INDEX(COMPOS!$A$4:$G$5000,MATCH($B103,COMPOS!$A$4:$A$5000,0),3))))</f>
        <v>UN</v>
      </c>
      <c r="E103" s="395">
        <v>2</v>
      </c>
      <c r="F103" s="326">
        <f>(IF($A103="SINAPI",INDEX(SINAPI_NOV2020_NDES!$A$7:$H$6703,MATCH($B103,SINAPI_NOV2020_NDES!$A$7:$A$6703,0),5),(INDEX(COMPOS!$A$4:$G$801,MATCH($B103,COMPOS!$A$4:A$801,0),4))))</f>
        <v>4.2</v>
      </c>
      <c r="G103" s="320">
        <f>(IF($A103="SINAPI",INDEX(SINAPI_NOV2020_NDES!$A$7:$H$6703,MATCH($B103,SINAPI_NOV2020_NDES!$A$7:$A$6703,0),6),(INDEX(COMPOS!$A$4:$G$801,MATCH($B103,COMPOS!$A$4:A$801,0),5))))</f>
        <v>11.83</v>
      </c>
      <c r="H103" s="320">
        <f>(IF($A103="SINAPI",INDEX(SINAPI_NOV2020_NDES!$A$7:$H$6703,MATCH($B103,SINAPI_NOV2020_NDES!$A$7:$A$6703,0),7),(INDEX(COMPOS!$A$4:$G$801,MATCH($B103,COMPOS!$A$4:A$801,0),6))))</f>
        <v>0</v>
      </c>
      <c r="I103" s="326">
        <f t="shared" si="22"/>
        <v>16.03</v>
      </c>
      <c r="J103" s="316">
        <f t="shared" si="23"/>
        <v>32.06</v>
      </c>
      <c r="K103" s="168"/>
      <c r="L103" s="168"/>
      <c r="M103" s="168"/>
      <c r="N103" s="168"/>
      <c r="O103" s="264"/>
      <c r="P103" s="259"/>
    </row>
    <row r="104" spans="1:16" s="170" customFormat="1" ht="24">
      <c r="A104" s="341" t="s">
        <v>7</v>
      </c>
      <c r="B104" s="341">
        <v>89408</v>
      </c>
      <c r="C104" s="389" t="str">
        <f>(IF($A104="SINAPI",INDEX(SINAPI_NOV2020_NDES!$A$7:$H$6703,MATCH($B104,SINAPI_NOV2020_NDES!$A$7:$A$6703,0),2),IF($A104="GOINFRA",INDEX(#REF!,MATCH($B104,#REF!,0),2),(INDEX(COMPOS!$A$4:$G$39000,MATCH($B104,COMPOS!$A$4:A$39000,0),2)))))</f>
        <v>JOELHO 90 GRAUS, PVC, SOLDÁVEL, DN 25MM, INSTALADO EM RAMAL DE DISTRIBUIÇÃO DE ÁGUA - FORNECIMENTO E INSTALAÇÃO. AF_12/2014</v>
      </c>
      <c r="D104" s="374" t="str">
        <f>(IF($A104="SINAPI",INDEX(SINAPI_NOV2020_NDES!$A$7:$H$6790,MATCH($B104,SINAPI_NOV2020_NDES!$A$7:$A$6790,0),3),(INDEX(COMPOS!$A$4:$G$5000,MATCH($B104,COMPOS!$A$4:$A$5000,0),3))))</f>
        <v>UN</v>
      </c>
      <c r="E104" s="395">
        <v>2</v>
      </c>
      <c r="F104" s="326">
        <f>(IF($A104="SINAPI",INDEX(SINAPI_NOV2020_NDES!$A$7:$H$6703,MATCH($B104,SINAPI_NOV2020_NDES!$A$7:$A$6703,0),5),(INDEX(COMPOS!$A$4:$G$801,MATCH($B104,COMPOS!$A$4:A$801,0),4))))</f>
        <v>2.65</v>
      </c>
      <c r="G104" s="320">
        <f>(IF($A104="SINAPI",INDEX(SINAPI_NOV2020_NDES!$A$7:$H$6703,MATCH($B104,SINAPI_NOV2020_NDES!$A$7:$A$6703,0),6),(INDEX(COMPOS!$A$4:$G$801,MATCH($B104,COMPOS!$A$4:A$801,0),5))))</f>
        <v>2.19</v>
      </c>
      <c r="H104" s="320">
        <f>(IF($A104="SINAPI",INDEX(SINAPI_NOV2020_NDES!$A$7:$H$6703,MATCH($B104,SINAPI_NOV2020_NDES!$A$7:$A$6703,0),7),(INDEX(COMPOS!$A$4:$G$801,MATCH($B104,COMPOS!$A$4:A$801,0),6))))</f>
        <v>0</v>
      </c>
      <c r="I104" s="326">
        <f t="shared" si="22"/>
        <v>4.84</v>
      </c>
      <c r="J104" s="316">
        <f t="shared" si="23"/>
        <v>9.68</v>
      </c>
      <c r="K104" s="168"/>
      <c r="L104" s="168"/>
      <c r="M104" s="168"/>
      <c r="N104" s="168"/>
      <c r="O104" s="264"/>
      <c r="P104" s="259"/>
    </row>
    <row r="105" spans="1:16" s="170" customFormat="1" ht="36">
      <c r="A105" s="341" t="s">
        <v>7</v>
      </c>
      <c r="B105" s="341">
        <v>99253</v>
      </c>
      <c r="C105" s="389" t="str">
        <f>(IF($A105="SINAPI",INDEX(SINAPI_NOV2020_NDES!$A$7:$H$6703,MATCH($B105,SINAPI_NOV2020_NDES!$A$7:$A$6703,0),2),IF($A105="GOINFRA",INDEX(#REF!,MATCH($B105,#REF!,0),2),(INDEX(COMPOS!$A$4:$G$39000,MATCH($B105,COMPOS!$A$4:A$39000,0),2)))))</f>
        <v>CAIXA ENTERRADA HIDRÁULICA RETANGULAR EM ALVENARIA COM TIJOLOS CERÂMICOS MACIÇOS, DIMENSÕES INTERNAS: 0,6X0,6X0,6 M PARA REDE DE DRENAGEM. AF_05/2018</v>
      </c>
      <c r="D105" s="374" t="str">
        <f>(IF($A105="SINAPI",INDEX(SINAPI_NOV2020_NDES!$A$7:$H$6790,MATCH($B105,SINAPI_NOV2020_NDES!$A$7:$A$6790,0),3),(INDEX(COMPOS!$A$4:$G$5000,MATCH($B105,COMPOS!$A$4:$A$5000,0),3))))</f>
        <v>UN</v>
      </c>
      <c r="E105" s="395">
        <v>2</v>
      </c>
      <c r="F105" s="326">
        <f>(IF($A105="SINAPI",INDEX(SINAPI_NOV2020_NDES!$A$7:$H$6703,MATCH($B105,SINAPI_NOV2020_NDES!$A$7:$A$6703,0),5),(INDEX(COMPOS!$A$4:$G$801,MATCH($B105,COMPOS!$A$4:A$801,0),4))))</f>
        <v>227.81</v>
      </c>
      <c r="G105" s="320">
        <f>(IF($A105="SINAPI",INDEX(SINAPI_NOV2020_NDES!$A$7:$H$6703,MATCH($B105,SINAPI_NOV2020_NDES!$A$7:$A$6703,0),6),(INDEX(COMPOS!$A$4:$G$801,MATCH($B105,COMPOS!$A$4:A$801,0),5))))</f>
        <v>258.16000000000003</v>
      </c>
      <c r="H105" s="320">
        <f>(IF($A105="SINAPI",INDEX(SINAPI_NOV2020_NDES!$A$7:$H$6703,MATCH($B105,SINAPI_NOV2020_NDES!$A$7:$A$6703,0),7),(INDEX(COMPOS!$A$4:$G$801,MATCH($B105,COMPOS!$A$4:A$801,0),6))))</f>
        <v>1.43</v>
      </c>
      <c r="I105" s="326">
        <f t="shared" si="22"/>
        <v>487.40000000000003</v>
      </c>
      <c r="J105" s="316">
        <f t="shared" si="23"/>
        <v>974.80000000000007</v>
      </c>
      <c r="K105" s="168"/>
      <c r="L105" s="168"/>
      <c r="M105" s="168"/>
      <c r="N105" s="168"/>
      <c r="O105" s="264"/>
      <c r="P105" s="259"/>
    </row>
    <row r="106" spans="1:16" s="170" customFormat="1" ht="12">
      <c r="A106" s="341" t="s">
        <v>7</v>
      </c>
      <c r="B106" s="341">
        <v>6171</v>
      </c>
      <c r="C106" s="389" t="str">
        <f>(IF($A106="SINAPI",INDEX(SINAPI_NOV2020_NDES!$A$7:$H$6703,MATCH($B106,SINAPI_NOV2020_NDES!$A$7:$A$6703,0),2),IF($A106="GOINFRA",INDEX(#REF!,MATCH($B106,#REF!,0),2),(INDEX(COMPOS!$A$4:$G$39000,MATCH($B106,COMPOS!$A$4:A$39000,0),2)))))</f>
        <v>TAMPA DE CONCRETO ARMADO 60X60X5CM PARA CAIXA</v>
      </c>
      <c r="D106" s="374" t="str">
        <f>(IF($A106="SINAPI",INDEX(SINAPI_NOV2020_NDES!$A$7:$H$6790,MATCH($B106,SINAPI_NOV2020_NDES!$A$7:$A$6790,0),3),(INDEX(COMPOS!$A$4:$G$5000,MATCH($B106,COMPOS!$A$4:$A$5000,0),3))))</f>
        <v>UN</v>
      </c>
      <c r="E106" s="395">
        <v>2</v>
      </c>
      <c r="F106" s="326">
        <f>(IF($A106="SINAPI",INDEX(SINAPI_NOV2020_NDES!$A$7:$H$6703,MATCH($B106,SINAPI_NOV2020_NDES!$A$7:$A$6703,0),5),(INDEX(COMPOS!$A$4:$G$801,MATCH($B106,COMPOS!$A$4:A$801,0),4))))</f>
        <v>5.51</v>
      </c>
      <c r="G106" s="320">
        <f>(IF($A106="SINAPI",INDEX(SINAPI_NOV2020_NDES!$A$7:$H$6703,MATCH($B106,SINAPI_NOV2020_NDES!$A$7:$A$6703,0),6),(INDEX(COMPOS!$A$4:$G$801,MATCH($B106,COMPOS!$A$4:A$801,0),5))))</f>
        <v>21.21</v>
      </c>
      <c r="H106" s="320">
        <f>(IF($A106="SINAPI",INDEX(SINAPI_NOV2020_NDES!$A$7:$H$6703,MATCH($B106,SINAPI_NOV2020_NDES!$A$7:$A$6703,0),7),(INDEX(COMPOS!$A$4:$G$801,MATCH($B106,COMPOS!$A$4:A$801,0),6))))</f>
        <v>0</v>
      </c>
      <c r="I106" s="326">
        <f t="shared" si="22"/>
        <v>26.72</v>
      </c>
      <c r="J106" s="316">
        <f t="shared" si="23"/>
        <v>53.44</v>
      </c>
      <c r="K106" s="168"/>
      <c r="L106" s="168"/>
      <c r="M106" s="168"/>
      <c r="N106" s="168"/>
      <c r="O106" s="264"/>
      <c r="P106" s="259"/>
    </row>
    <row r="107" spans="1:16" s="170" customFormat="1" ht="12">
      <c r="A107" s="341" t="s">
        <v>6307</v>
      </c>
      <c r="B107" s="341">
        <v>784</v>
      </c>
      <c r="C107" s="389" t="str">
        <f>(IF($A107="SINAPI",INDEX(SINAPI_NOV2020_NDES!$A$7:$H$6703,MATCH($B107,SINAPI_NOV2020_NDES!$A$7:$A$6703,0),2),IF($A107="GOINFRA",INDEX(#REF!,MATCH($B107,#REF!,0),2),(INDEX(COMPOS!$A$4:$G$39000,MATCH($B107,COMPOS!$A$4:A$39000,0),2)))))</f>
        <v>TORNEIRA DE JARDIM COM BICO PARA MANGUEIRA DIÂMETRO DE 1/2" E 3/4"</v>
      </c>
      <c r="D107" s="374" t="str">
        <f>(IF($A107="SINAPI",INDEX(SINAPI_NOV2020_NDES!$A$7:$H$6790,MATCH($B107,SINAPI_NOV2020_NDES!$A$7:$A$6790,0),3),(INDEX(COMPOS!$A$4:$G$5000,MATCH($B107,COMPOS!$A$4:$A$5000,0),3))))</f>
        <v>UN</v>
      </c>
      <c r="E107" s="395">
        <v>2</v>
      </c>
      <c r="F107" s="326">
        <f>(IF($A107="SINAPI",INDEX(SINAPI_NOV2020_NDES!$A$7:$H$6703,MATCH($B107,SINAPI_NOV2020_NDES!$A$7:$A$6703,0),5),(INDEX(COMPOS!$A$4:$G$801,MATCH($B107,COMPOS!$A$4:A$801,0),4))))</f>
        <v>7.4880000000000004</v>
      </c>
      <c r="G107" s="320">
        <f>(IF($A107="SINAPI",INDEX(SINAPI_NOV2020_NDES!$A$7:$H$6703,MATCH($B107,SINAPI_NOV2020_NDES!$A$7:$A$6703,0),6),(INDEX(COMPOS!$A$4:$G$801,MATCH($B107,COMPOS!$A$4:A$801,0),5))))</f>
        <v>47.52</v>
      </c>
      <c r="H107" s="320">
        <f>(IF($A107="SINAPI",INDEX(SINAPI_NOV2020_NDES!$A$7:$H$6703,MATCH($B107,SINAPI_NOV2020_NDES!$A$7:$A$6703,0),7),(INDEX(COMPOS!$A$4:$G$801,MATCH($B107,COMPOS!$A$4:A$801,0),6))))</f>
        <v>0</v>
      </c>
      <c r="I107" s="326">
        <f t="shared" si="22"/>
        <v>55.008000000000003</v>
      </c>
      <c r="J107" s="316">
        <f t="shared" si="23"/>
        <v>110.01600000000001</v>
      </c>
      <c r="K107" s="168"/>
      <c r="L107" s="168"/>
      <c r="M107" s="168"/>
      <c r="N107" s="168"/>
      <c r="O107" s="264"/>
      <c r="P107" s="259"/>
    </row>
    <row r="108" spans="1:16" s="170" customFormat="1" ht="24">
      <c r="A108" s="341" t="s">
        <v>7</v>
      </c>
      <c r="B108" s="341">
        <v>89628</v>
      </c>
      <c r="C108" s="389" t="str">
        <f>(IF($A108="SINAPI",INDEX(SINAPI_NOV2020_NDES!$A$7:$H$6703,MATCH($B108,SINAPI_NOV2020_NDES!$A$7:$A$6703,0),2),IF($A108="GOINFRA",INDEX(#REF!,MATCH($B108,#REF!,0),2),(INDEX(COMPOS!$A$4:$G$39000,MATCH($B108,COMPOS!$A$4:A$39000,0),2)))))</f>
        <v>TE, PVC, SOLDÁVEL, DN 60MM, INSTALADO EM PRUMADA DE ÁGUA - FORNECIMENTO E INSTALAÇÃO. AF_12/2014</v>
      </c>
      <c r="D108" s="374" t="str">
        <f>(IF($A108="SINAPI",INDEX(SINAPI_NOV2020_NDES!$A$7:$H$6790,MATCH($B108,SINAPI_NOV2020_NDES!$A$7:$A$6790,0),3),(INDEX(COMPOS!$A$4:$G$5000,MATCH($B108,COMPOS!$A$4:$A$5000,0),3))))</f>
        <v>UN</v>
      </c>
      <c r="E108" s="395">
        <v>1</v>
      </c>
      <c r="F108" s="326">
        <f>(IF($A108="SINAPI",INDEX(SINAPI_NOV2020_NDES!$A$7:$H$6703,MATCH($B108,SINAPI_NOV2020_NDES!$A$7:$A$6703,0),5),(INDEX(COMPOS!$A$4:$G$801,MATCH($B108,COMPOS!$A$4:A$801,0),4))))</f>
        <v>4.9400000000000004</v>
      </c>
      <c r="G108" s="320">
        <f>(IF($A108="SINAPI",INDEX(SINAPI_NOV2020_NDES!$A$7:$H$6703,MATCH($B108,SINAPI_NOV2020_NDES!$A$7:$A$6703,0),6),(INDEX(COMPOS!$A$4:$G$801,MATCH($B108,COMPOS!$A$4:A$801,0),5))))</f>
        <v>30.48</v>
      </c>
      <c r="H108" s="320">
        <f>(IF($A108="SINAPI",INDEX(SINAPI_NOV2020_NDES!$A$7:$H$6703,MATCH($B108,SINAPI_NOV2020_NDES!$A$7:$A$6703,0),7),(INDEX(COMPOS!$A$4:$G$801,MATCH($B108,COMPOS!$A$4:A$801,0),6))))</f>
        <v>0</v>
      </c>
      <c r="I108" s="326">
        <f t="shared" si="22"/>
        <v>35.42</v>
      </c>
      <c r="J108" s="316">
        <f t="shared" si="23"/>
        <v>35.42</v>
      </c>
      <c r="K108" s="168"/>
      <c r="L108" s="168"/>
      <c r="M108" s="168"/>
      <c r="N108" s="168"/>
      <c r="O108" s="264"/>
      <c r="P108" s="259"/>
    </row>
    <row r="109" spans="1:16" s="170" customFormat="1" ht="36">
      <c r="A109" s="341" t="s">
        <v>7</v>
      </c>
      <c r="B109" s="341">
        <v>94694</v>
      </c>
      <c r="C109" s="389" t="str">
        <f>(IF($A109="SINAPI",INDEX(SINAPI_NOV2020_NDES!$A$7:$H$6703,MATCH($B109,SINAPI_NOV2020_NDES!$A$7:$A$6703,0),2),IF($A109="GOINFRA",INDEX(#REF!,MATCH($B109,#REF!,0),2),(INDEX(COMPOS!$A$4:$G$39000,MATCH($B109,COMPOS!$A$4:A$39000,0),2)))))</f>
        <v>TÊ, PVC, SOLDÁVEL, DN 50 MM INSTALADO EM RESERVAÇÃO DE ÁGUA DE EDIFICAÇÃO QUE POSSUA RESERVATÓRIO DE FIBRA/FIBROCIMENTO   FORNECIMENTO E INSTALAÇÃO. AF_06/2016</v>
      </c>
      <c r="D109" s="374" t="str">
        <f>(IF($A109="SINAPI",INDEX(SINAPI_NOV2020_NDES!$A$7:$H$6790,MATCH($B109,SINAPI_NOV2020_NDES!$A$7:$A$6790,0),3),(INDEX(COMPOS!$A$4:$G$5000,MATCH($B109,COMPOS!$A$4:$A$5000,0),3))))</f>
        <v>UN</v>
      </c>
      <c r="E109" s="395">
        <v>1</v>
      </c>
      <c r="F109" s="326">
        <f>(IF($A109="SINAPI",INDEX(SINAPI_NOV2020_NDES!$A$7:$H$6703,MATCH($B109,SINAPI_NOV2020_NDES!$A$7:$A$6703,0),5),(INDEX(COMPOS!$A$4:$G$801,MATCH($B109,COMPOS!$A$4:A$801,0),4))))</f>
        <v>6.62</v>
      </c>
      <c r="G109" s="320">
        <f>(IF($A109="SINAPI",INDEX(SINAPI_NOV2020_NDES!$A$7:$H$6703,MATCH($B109,SINAPI_NOV2020_NDES!$A$7:$A$6703,0),6),(INDEX(COMPOS!$A$4:$G$801,MATCH($B109,COMPOS!$A$4:A$801,0),5))))</f>
        <v>13.62</v>
      </c>
      <c r="H109" s="320">
        <f>(IF($A109="SINAPI",INDEX(SINAPI_NOV2020_NDES!$A$7:$H$6703,MATCH($B109,SINAPI_NOV2020_NDES!$A$7:$A$6703,0),7),(INDEX(COMPOS!$A$4:$G$801,MATCH($B109,COMPOS!$A$4:A$801,0),6))))</f>
        <v>0</v>
      </c>
      <c r="I109" s="326">
        <f t="shared" si="22"/>
        <v>20.239999999999998</v>
      </c>
      <c r="J109" s="316">
        <f t="shared" si="23"/>
        <v>20.239999999999998</v>
      </c>
      <c r="K109" s="168"/>
      <c r="L109" s="168"/>
      <c r="M109" s="168"/>
      <c r="N109" s="168"/>
      <c r="O109" s="264"/>
      <c r="P109" s="259"/>
    </row>
    <row r="110" spans="1:16" s="170" customFormat="1" ht="24">
      <c r="A110" s="341" t="s">
        <v>7</v>
      </c>
      <c r="B110" s="341">
        <v>93358</v>
      </c>
      <c r="C110" s="389" t="str">
        <f>(IF($A110="SINAPI",INDEX(SINAPI_NOV2020_NDES!$A$7:$H$6703,MATCH($B110,SINAPI_NOV2020_NDES!$A$7:$A$6703,0),2),IF($A110="GOINFRA",INDEX(#REF!,MATCH($B110,#REF!,0),2),(INDEX(COMPOS!$A$4:$G$39000,MATCH($B110,COMPOS!$A$4:A$39000,0),2)))))</f>
        <v>ESCAVAÇÃO MANUAL DE VALA COM PROFUNDIDADE MENOR OU IGUAL A 1,30 M. AF_03/2016</v>
      </c>
      <c r="D110" s="374" t="str">
        <f>(IF($A110="SINAPI",INDEX(SINAPI_NOV2020_NDES!$A$7:$H$6790,MATCH($B110,SINAPI_NOV2020_NDES!$A$7:$A$6790,0),3),(INDEX(COMPOS!$A$4:$G$5000,MATCH($B110,COMPOS!$A$4:$A$5000,0),3))))</f>
        <v>M3</v>
      </c>
      <c r="E110" s="395">
        <v>18.899999999999999</v>
      </c>
      <c r="F110" s="326">
        <f>(IF($A110="SINAPI",INDEX(SINAPI_NOV2020_NDES!$A$7:$H$6703,MATCH($B110,SINAPI_NOV2020_NDES!$A$7:$A$6703,0),5),(INDEX(COMPOS!$A$4:$G$801,MATCH($B110,COMPOS!$A$4:A$801,0),4))))</f>
        <v>42.11</v>
      </c>
      <c r="G110" s="320">
        <f>(IF($A110="SINAPI",INDEX(SINAPI_NOV2020_NDES!$A$7:$H$6703,MATCH($B110,SINAPI_NOV2020_NDES!$A$7:$A$6703,0),6),(INDEX(COMPOS!$A$4:$G$801,MATCH($B110,COMPOS!$A$4:A$801,0),5))))</f>
        <v>17.66</v>
      </c>
      <c r="H110" s="320">
        <f>(IF($A110="SINAPI",INDEX(SINAPI_NOV2020_NDES!$A$7:$H$6703,MATCH($B110,SINAPI_NOV2020_NDES!$A$7:$A$6703,0),7),(INDEX(COMPOS!$A$4:$G$801,MATCH($B110,COMPOS!$A$4:A$801,0),6))))</f>
        <v>0</v>
      </c>
      <c r="I110" s="326">
        <f t="shared" si="22"/>
        <v>59.769999999999996</v>
      </c>
      <c r="J110" s="316">
        <f t="shared" si="23"/>
        <v>1129.6529999999998</v>
      </c>
      <c r="K110" s="168"/>
      <c r="L110" s="168"/>
      <c r="M110" s="168"/>
      <c r="N110" s="168"/>
      <c r="O110" s="264"/>
      <c r="P110" s="259"/>
    </row>
    <row r="111" spans="1:16" s="170" customFormat="1" ht="12">
      <c r="A111" s="341" t="s">
        <v>7</v>
      </c>
      <c r="B111" s="341">
        <v>96995</v>
      </c>
      <c r="C111" s="389" t="str">
        <f>(IF($A111="SINAPI",INDEX(SINAPI_NOV2020_NDES!$A$7:$H$6703,MATCH($B111,SINAPI_NOV2020_NDES!$A$7:$A$6703,0),2),IF($A111="GOINFRA",INDEX(#REF!,MATCH($B111,#REF!,0),2),(INDEX(COMPOS!$A$4:$G$39000,MATCH($B111,COMPOS!$A$4:A$39000,0),2)))))</f>
        <v>REATERRO MANUAL APILOADO COM SOQUETE. AF_10/2017</v>
      </c>
      <c r="D111" s="374" t="str">
        <f>(IF($A111="SINAPI",INDEX(SINAPI_NOV2020_NDES!$A$7:$H$6790,MATCH($B111,SINAPI_NOV2020_NDES!$A$7:$A$6790,0),3),(INDEX(COMPOS!$A$4:$G$5000,MATCH($B111,COMPOS!$A$4:$A$5000,0),3))))</f>
        <v>M3</v>
      </c>
      <c r="E111" s="395">
        <v>18.899999999999999</v>
      </c>
      <c r="F111" s="326">
        <f>(IF($A111="SINAPI",INDEX(SINAPI_NOV2020_NDES!$A$7:$H$6703,MATCH($B111,SINAPI_NOV2020_NDES!$A$7:$A$6703,0),5),(INDEX(COMPOS!$A$4:$G$801,MATCH($B111,COMPOS!$A$4:A$801,0),4))))</f>
        <v>25.54</v>
      </c>
      <c r="G111" s="320">
        <f>(IF($A111="SINAPI",INDEX(SINAPI_NOV2020_NDES!$A$7:$H$6703,MATCH($B111,SINAPI_NOV2020_NDES!$A$7:$A$6703,0),6),(INDEX(COMPOS!$A$4:$G$801,MATCH($B111,COMPOS!$A$4:A$801,0),5))))</f>
        <v>10.7</v>
      </c>
      <c r="H111" s="320">
        <f>(IF($A111="SINAPI",INDEX(SINAPI_NOV2020_NDES!$A$7:$H$6703,MATCH($B111,SINAPI_NOV2020_NDES!$A$7:$A$6703,0),7),(INDEX(COMPOS!$A$4:$G$801,MATCH($B111,COMPOS!$A$4:A$801,0),6))))</f>
        <v>0</v>
      </c>
      <c r="I111" s="326">
        <f t="shared" si="22"/>
        <v>36.239999999999995</v>
      </c>
      <c r="J111" s="316">
        <f t="shared" si="23"/>
        <v>684.93599999999981</v>
      </c>
      <c r="K111" s="168"/>
      <c r="L111" s="168"/>
      <c r="M111" s="168"/>
      <c r="N111" s="168"/>
      <c r="O111" s="264"/>
      <c r="P111" s="259"/>
    </row>
    <row r="112" spans="1:16" s="170" customFormat="1" ht="12">
      <c r="A112" s="341" t="s">
        <v>7</v>
      </c>
      <c r="B112" s="341">
        <v>6171</v>
      </c>
      <c r="C112" s="389" t="str">
        <f>(IF($A112="SINAPI",INDEX(SINAPI_NOV2020_NDES!$A$7:$H$6703,MATCH($B112,SINAPI_NOV2020_NDES!$A$7:$A$6703,0),2),IF($A112="GOINFRA",INDEX(#REF!,MATCH($B112,#REF!,0),2),(INDEX(COMPOS!$A$4:$G$39000,MATCH($B112,COMPOS!$A$4:A$39000,0),2)))))</f>
        <v>TAMPA DE CONCRETO ARMADO 60X60X5CM PARA CAIXA</v>
      </c>
      <c r="D112" s="374" t="str">
        <f>(IF($A112="SINAPI",INDEX(SINAPI_NOV2020_NDES!$A$7:$H$6790,MATCH($B112,SINAPI_NOV2020_NDES!$A$7:$A$6790,0),3),(INDEX(COMPOS!$A$4:$G$5000,MATCH($B112,COMPOS!$A$4:$A$5000,0),3))))</f>
        <v>UN</v>
      </c>
      <c r="E112" s="395">
        <v>2</v>
      </c>
      <c r="F112" s="326">
        <f>(IF($A112="SINAPI",INDEX(SINAPI_NOV2020_NDES!$A$7:$H$6703,MATCH($B112,SINAPI_NOV2020_NDES!$A$7:$A$6703,0),5),(INDEX(COMPOS!$A$4:$G$801,MATCH($B112,COMPOS!$A$4:A$801,0),4))))</f>
        <v>5.51</v>
      </c>
      <c r="G112" s="320">
        <f>(IF($A112="SINAPI",INDEX(SINAPI_NOV2020_NDES!$A$7:$H$6703,MATCH($B112,SINAPI_NOV2020_NDES!$A$7:$A$6703,0),6),(INDEX(COMPOS!$A$4:$G$801,MATCH($B112,COMPOS!$A$4:A$801,0),5))))</f>
        <v>21.21</v>
      </c>
      <c r="H112" s="320">
        <f>(IF($A112="SINAPI",INDEX(SINAPI_NOV2020_NDES!$A$7:$H$6703,MATCH($B112,SINAPI_NOV2020_NDES!$A$7:$A$6703,0),7),(INDEX(COMPOS!$A$4:$G$801,MATCH($B112,COMPOS!$A$4:A$801,0),6))))</f>
        <v>0</v>
      </c>
      <c r="I112" s="326">
        <f t="shared" si="22"/>
        <v>26.72</v>
      </c>
      <c r="J112" s="316">
        <f t="shared" si="23"/>
        <v>53.44</v>
      </c>
      <c r="K112" s="168"/>
      <c r="L112" s="168"/>
      <c r="M112" s="168"/>
      <c r="N112" s="168"/>
      <c r="O112" s="264"/>
      <c r="P112" s="259"/>
    </row>
    <row r="113" spans="1:16" s="170" customFormat="1" ht="36">
      <c r="A113" s="341" t="s">
        <v>7</v>
      </c>
      <c r="B113" s="341">
        <v>99253</v>
      </c>
      <c r="C113" s="389" t="str">
        <f>(IF($A113="SINAPI",INDEX(SINAPI_NOV2020_NDES!$A$7:$H$6703,MATCH($B113,SINAPI_NOV2020_NDES!$A$7:$A$6703,0),2),IF($A113="GOINFRA",INDEX(#REF!,MATCH($B113,#REF!,0),2),(INDEX(COMPOS!$A$4:$G$39000,MATCH($B113,COMPOS!$A$4:A$39000,0),2)))))</f>
        <v>CAIXA ENTERRADA HIDRÁULICA RETANGULAR EM ALVENARIA COM TIJOLOS CERÂMICOS MACIÇOS, DIMENSÕES INTERNAS: 0,6X0,6X0,6 M PARA REDE DE DRENAGEM. AF_05/2018</v>
      </c>
      <c r="D113" s="374" t="str">
        <f>(IF($A113="SINAPI",INDEX(SINAPI_NOV2020_NDES!$A$7:$H$6790,MATCH($B113,SINAPI_NOV2020_NDES!$A$7:$A$6790,0),3),(INDEX(COMPOS!$A$4:$G$5000,MATCH($B113,COMPOS!$A$4:$A$5000,0),3))))</f>
        <v>UN</v>
      </c>
      <c r="E113" s="395">
        <v>2</v>
      </c>
      <c r="F113" s="326">
        <f>(IF($A113="SINAPI",INDEX(SINAPI_NOV2020_NDES!$A$7:$H$6703,MATCH($B113,SINAPI_NOV2020_NDES!$A$7:$A$6703,0),5),(INDEX(COMPOS!$A$4:$G$801,MATCH($B113,COMPOS!$A$4:A$801,0),4))))</f>
        <v>227.81</v>
      </c>
      <c r="G113" s="320">
        <f>(IF($A113="SINAPI",INDEX(SINAPI_NOV2020_NDES!$A$7:$H$6703,MATCH($B113,SINAPI_NOV2020_NDES!$A$7:$A$6703,0),6),(INDEX(COMPOS!$A$4:$G$801,MATCH($B113,COMPOS!$A$4:A$801,0),5))))</f>
        <v>258.16000000000003</v>
      </c>
      <c r="H113" s="320">
        <f>(IF($A113="SINAPI",INDEX(SINAPI_NOV2020_NDES!$A$7:$H$6703,MATCH($B113,SINAPI_NOV2020_NDES!$A$7:$A$6703,0),7),(INDEX(COMPOS!$A$4:$G$801,MATCH($B113,COMPOS!$A$4:A$801,0),6))))</f>
        <v>1.43</v>
      </c>
      <c r="I113" s="326">
        <f t="shared" si="22"/>
        <v>487.40000000000003</v>
      </c>
      <c r="J113" s="316">
        <f t="shared" si="23"/>
        <v>974.80000000000007</v>
      </c>
      <c r="K113" s="168"/>
      <c r="L113" s="168"/>
      <c r="M113" s="168"/>
      <c r="N113" s="168"/>
      <c r="O113" s="264"/>
      <c r="P113" s="259"/>
    </row>
    <row r="114" spans="1:16" s="168" customFormat="1" ht="12">
      <c r="A114" s="385"/>
      <c r="B114" s="386"/>
      <c r="C114" s="387" t="s">
        <v>6963</v>
      </c>
      <c r="D114" s="385"/>
      <c r="E114" s="388"/>
      <c r="F114" s="326"/>
      <c r="G114" s="320"/>
      <c r="H114" s="320"/>
      <c r="I114" s="326"/>
      <c r="J114" s="316"/>
      <c r="P114" s="259"/>
    </row>
    <row r="115" spans="1:16" s="168" customFormat="1" ht="12">
      <c r="A115" s="341" t="s">
        <v>6307</v>
      </c>
      <c r="B115" s="341">
        <v>881</v>
      </c>
      <c r="C115" s="389" t="str">
        <f>(IF($A115="SINAPI",INDEX(SINAPI_NOV2020_NDES!$A$7:$H$6703,MATCH($B115,SINAPI_NOV2020_NDES!$A$7:$A$6703,0),2),IF($A115="GOINFRA",INDEX(#REF!,MATCH($B115,#REF!,0),2),(INDEX(COMPOS!$A$4:$G$3900,MATCH($B115,COMPOS!$A$4:A$3900,0),2)))))</f>
        <v>FOSSA SEPTICA 4500 LITROS COM IMPERMEABILIZAÇÃO</v>
      </c>
      <c r="D115" s="374" t="str">
        <f>(IF($A115="SINAPI",INDEX(SINAPI_NOV2020_NDES!$A$7:$H$6790,MATCH($B115,SINAPI_NOV2020_NDES!$A$7:$A$6790,0),3),(INDEX(COMPOS!$A$4:$G$5000,MATCH($B115,COMPOS!$A$4:$A$5000,0),3))))</f>
        <v>UN</v>
      </c>
      <c r="E115" s="316">
        <v>1</v>
      </c>
      <c r="F115" s="326">
        <f>(IF($A115="SINAPI",INDEX(SINAPI_NOV2020_NDES!$A$7:$H$6703,MATCH($B115,SINAPI_NOV2020_NDES!$A$7:$A$6703,0),5),(INDEX(COMPOS!$A$4:$G$801,MATCH($B115,COMPOS!$A$4:A$801,0),4))))</f>
        <v>4254.359117</v>
      </c>
      <c r="G115" s="320">
        <f>(IF($A115="SINAPI",INDEX(SINAPI_NOV2020_NDES!$A$7:$H$6703,MATCH($B115,SINAPI_NOV2020_NDES!$A$7:$A$6703,0),6),(INDEX(COMPOS!$A$4:$G$801,MATCH($B115,COMPOS!$A$4:A$801,0),5))))</f>
        <v>3549.3622920000003</v>
      </c>
      <c r="H115" s="320">
        <f>(IF($A115="SINAPI",INDEX(SINAPI_NOV2020_NDES!$A$7:$H$6703,MATCH($B115,SINAPI_NOV2020_NDES!$A$7:$A$6703,0),7),(INDEX(COMPOS!$A$4:$G$801,MATCH($B115,COMPOS!$A$4:A$801,0),6))))</f>
        <v>0</v>
      </c>
      <c r="I115" s="326">
        <f t="shared" ref="I115" si="24">SUM(F115:H115)</f>
        <v>7803.7214089999998</v>
      </c>
      <c r="J115" s="316">
        <f t="shared" ref="J115" si="25">+I115*E115</f>
        <v>7803.7214089999998</v>
      </c>
      <c r="O115" s="264"/>
      <c r="P115" s="259"/>
    </row>
    <row r="116" spans="1:16" s="168" customFormat="1" ht="12">
      <c r="A116" s="341" t="s">
        <v>6307</v>
      </c>
      <c r="B116" s="341">
        <v>882</v>
      </c>
      <c r="C116" s="389" t="str">
        <f>(IF($A116="SINAPI",INDEX(SINAPI_NOV2020_NDES!$A$7:$H$6703,MATCH($B116,SINAPI_NOV2020_NDES!$A$7:$A$6703,0),2),IF($A116="GOINFRA",INDEX(#REF!,MATCH($B116,#REF!,0),2),(INDEX(COMPOS!$A$4:$G$3900,MATCH($B116,COMPOS!$A$4:A$3900,0),2)))))</f>
        <v>FOSSA SEPTICA 3500 LITROS COM IMPERMEABILIZAÇÃO</v>
      </c>
      <c r="D116" s="374" t="str">
        <f>(IF($A116="SINAPI",INDEX(SINAPI_NOV2020_NDES!$A$7:$H$6790,MATCH($B116,SINAPI_NOV2020_NDES!$A$7:$A$6790,0),3),(INDEX(COMPOS!$A$4:$G$5000,MATCH($B116,COMPOS!$A$4:$A$5000,0),3))))</f>
        <v>UN</v>
      </c>
      <c r="E116" s="316">
        <v>2</v>
      </c>
      <c r="F116" s="326">
        <f>(IF($A116="SINAPI",INDEX(SINAPI_NOV2020_NDES!$A$7:$H$6703,MATCH($B116,SINAPI_NOV2020_NDES!$A$7:$A$6703,0),5),(INDEX(COMPOS!$A$4:$G$801,MATCH($B116,COMPOS!$A$4:A$801,0),4))))</f>
        <v>3163.8520503333339</v>
      </c>
      <c r="G116" s="320">
        <f>(IF($A116="SINAPI",INDEX(SINAPI_NOV2020_NDES!$A$7:$H$6703,MATCH($B116,SINAPI_NOV2020_NDES!$A$7:$A$6703,0),6),(INDEX(COMPOS!$A$4:$G$801,MATCH($B116,COMPOS!$A$4:A$801,0),5))))</f>
        <v>2748.9663646666668</v>
      </c>
      <c r="H116" s="320">
        <f>(IF($A116="SINAPI",INDEX(SINAPI_NOV2020_NDES!$A$7:$H$6703,MATCH($B116,SINAPI_NOV2020_NDES!$A$7:$A$6703,0),7),(INDEX(COMPOS!$A$4:$G$801,MATCH($B116,COMPOS!$A$4:A$801,0),6))))</f>
        <v>0</v>
      </c>
      <c r="I116" s="326">
        <f t="shared" ref="I116:I117" si="26">SUM(F116:H116)</f>
        <v>5912.8184150000006</v>
      </c>
      <c r="J116" s="316">
        <f t="shared" ref="J116:J117" si="27">+I116*E116</f>
        <v>11825.636830000001</v>
      </c>
      <c r="O116" s="264"/>
      <c r="P116" s="259"/>
    </row>
    <row r="117" spans="1:16" s="168" customFormat="1" ht="12">
      <c r="A117" s="341" t="s">
        <v>6307</v>
      </c>
      <c r="B117" s="341">
        <v>883</v>
      </c>
      <c r="C117" s="389" t="str">
        <f>(IF($A117="SINAPI",INDEX(SINAPI_NOV2020_NDES!$A$7:$H$6703,MATCH($B117,SINAPI_NOV2020_NDES!$A$7:$A$6703,0),2),IF($A117="GOINFRA",INDEX(#REF!,MATCH($B117,#REF!,0),2),(INDEX(COMPOS!$A$4:$G$3900,MATCH($B117,COMPOS!$A$4:A$3900,0),2)))))</f>
        <v>FOSSA SEPTICA 2000 LITROS COM IMPERMEABILIZAÇÃO</v>
      </c>
      <c r="D117" s="374" t="str">
        <f>(IF($A117="SINAPI",INDEX(SINAPI_NOV2020_NDES!$A$7:$H$6790,MATCH($B117,SINAPI_NOV2020_NDES!$A$7:$A$6790,0),3),(INDEX(COMPOS!$A$4:$G$5000,MATCH($B117,COMPOS!$A$4:$A$5000,0),3))))</f>
        <v>UN</v>
      </c>
      <c r="E117" s="316">
        <v>2</v>
      </c>
      <c r="F117" s="326">
        <f>(IF($A117="SINAPI",INDEX(SINAPI_NOV2020_NDES!$A$7:$H$6703,MATCH($B117,SINAPI_NOV2020_NDES!$A$7:$A$6703,0),5),(INDEX(COMPOS!$A$4:$G$801,MATCH($B117,COMPOS!$A$4:A$801,0),4))))</f>
        <v>1686.0887264</v>
      </c>
      <c r="G117" s="320">
        <f>(IF($A117="SINAPI",INDEX(SINAPI_NOV2020_NDES!$A$7:$H$6703,MATCH($B117,SINAPI_NOV2020_NDES!$A$7:$A$6703,0),6),(INDEX(COMPOS!$A$4:$G$801,MATCH($B117,COMPOS!$A$4:A$801,0),5))))</f>
        <v>1535.0273655999999</v>
      </c>
      <c r="H117" s="320">
        <f>(IF($A117="SINAPI",INDEX(SINAPI_NOV2020_NDES!$A$7:$H$6703,MATCH($B117,SINAPI_NOV2020_NDES!$A$7:$A$6703,0),7),(INDEX(COMPOS!$A$4:$G$801,MATCH($B117,COMPOS!$A$4:A$801,0),6))))</f>
        <v>0</v>
      </c>
      <c r="I117" s="326">
        <f t="shared" si="26"/>
        <v>3221.1160920000002</v>
      </c>
      <c r="J117" s="316">
        <f t="shared" si="27"/>
        <v>6442.2321840000004</v>
      </c>
      <c r="O117" s="264"/>
      <c r="P117" s="259"/>
    </row>
    <row r="118" spans="1:16" s="168" customFormat="1" ht="12">
      <c r="A118" s="385"/>
      <c r="B118" s="386"/>
      <c r="C118" s="387" t="s">
        <v>6966</v>
      </c>
      <c r="D118" s="385"/>
      <c r="E118" s="388"/>
      <c r="F118" s="317"/>
      <c r="G118" s="316"/>
      <c r="H118" s="319"/>
      <c r="I118" s="319"/>
      <c r="J118" s="319"/>
      <c r="P118" s="259"/>
    </row>
    <row r="119" spans="1:16" s="168" customFormat="1" ht="12">
      <c r="A119" s="341" t="s">
        <v>6307</v>
      </c>
      <c r="B119" s="341">
        <v>557</v>
      </c>
      <c r="C119" s="393" t="str">
        <f>(IF($A119="SINAPI",INDEX(SINAPI_NOV2020_NDES!$A$7:$H$6703,MATCH($B119,SINAPI_NOV2020_NDES!$A$7:$A$6703,0),2),IF($A119="GOINFRA",INDEX(#REF!,MATCH($B119,#REF!,0),2),(INDEX(COMPOS!$A$4:$G$390,MATCH($B119,COMPOS!$A$4:A$390,0),2)))))</f>
        <v>CANALETA DE CONCRETO COM GRELHA DE CONCRETO</v>
      </c>
      <c r="D119" s="374" t="str">
        <f>(IF($A119="SINAPI",INDEX(SINAPI_NOV2020_NDES!$A$7:$H$6790,MATCH($B119,SINAPI_NOV2020_NDES!$A$7:$A$6790,0),3),(INDEX(COMPOS!$A$4:$G$5000,MATCH($B119,COMPOS!$A$4:$A$5000,0),3))))</f>
        <v>M</v>
      </c>
      <c r="E119" s="319">
        <v>360</v>
      </c>
      <c r="F119" s="326">
        <f>(IF($A119="SINAPI",INDEX(SINAPI_NOV2020_NDES!$A$7:$H$6703,MATCH($B119,SINAPI_NOV2020_NDES!$A$7:$A$6703,0),5),(INDEX(COMPOS!$A$4:$G$801,MATCH($B119,COMPOS!$A$4:A$801,0),4))))</f>
        <v>222.58093199999999</v>
      </c>
      <c r="G119" s="320">
        <f>(IF($A119="SINAPI",INDEX(SINAPI_NOV2020_NDES!$A$7:$H$6703,MATCH($B119,SINAPI_NOV2020_NDES!$A$7:$A$6703,0),6),(INDEX(COMPOS!$A$4:$G$801,MATCH($B119,COMPOS!$A$4:A$801,0),5))))</f>
        <v>200.40692099999998</v>
      </c>
      <c r="H119" s="320">
        <f>(IF($A119="SINAPI",INDEX(SINAPI_NOV2020_NDES!$A$7:$H$6703,MATCH($B119,SINAPI_NOV2020_NDES!$A$7:$A$6703,0),7),(INDEX(COMPOS!$A$4:$G$801,MATCH($B119,COMPOS!$A$4:A$801,0),6))))</f>
        <v>0</v>
      </c>
      <c r="I119" s="326">
        <f t="shared" ref="I119" si="28">SUM(F119:H119)</f>
        <v>422.98785299999997</v>
      </c>
      <c r="J119" s="316">
        <f t="shared" ref="J119" si="29">+I119*E119</f>
        <v>152275.62707999998</v>
      </c>
      <c r="O119" s="264"/>
      <c r="P119" s="259"/>
    </row>
    <row r="120" spans="1:16" s="168" customFormat="1" ht="12">
      <c r="A120" s="341" t="s">
        <v>6307</v>
      </c>
      <c r="B120" s="341">
        <v>556</v>
      </c>
      <c r="C120" s="389" t="str">
        <f>(IF($A120="SINAPI",INDEX(SINAPI_NOV2020_NDES!$A$7:$H$6703,MATCH($B120,SINAPI_NOV2020_NDES!$A$7:$A$6703,0),2),IF($A120="GOINFRA",INDEX(#REF!,MATCH($B120,#REF!,0),2),(INDEX(COMPOS!$A$4:$G$390,MATCH($B120,COMPOS!$A$4:A$390,0),2)))))</f>
        <v>CANALETA DE CONCRETO SEM GRELHA</v>
      </c>
      <c r="D120" s="374" t="str">
        <f>(IF($A120="SINAPI",INDEX(SINAPI_NOV2020_NDES!$A$7:$H$6790,MATCH($B120,SINAPI_NOV2020_NDES!$A$7:$A$6790,0),3),(INDEX(COMPOS!$A$4:$G$5000,MATCH($B120,COMPOS!$A$4:$A$5000,0),3))))</f>
        <v>M</v>
      </c>
      <c r="E120" s="319">
        <v>187</v>
      </c>
      <c r="F120" s="326">
        <f>(IF($A120="SINAPI",INDEX(SINAPI_NOV2020_NDES!$A$7:$H$6703,MATCH($B120,SINAPI_NOV2020_NDES!$A$7:$A$6703,0),5),(INDEX(COMPOS!$A$4:$G$801,MATCH($B120,COMPOS!$A$4:A$801,0),4))))</f>
        <v>197.67820800000004</v>
      </c>
      <c r="G120" s="320">
        <f>(IF($A120="SINAPI",INDEX(SINAPI_NOV2020_NDES!$A$7:$H$6703,MATCH($B120,SINAPI_NOV2020_NDES!$A$7:$A$6703,0),6),(INDEX(COMPOS!$A$4:$G$801,MATCH($B120,COMPOS!$A$4:A$801,0),5))))</f>
        <v>179.99077359999998</v>
      </c>
      <c r="H120" s="320">
        <f>(IF($A120="SINAPI",INDEX(SINAPI_NOV2020_NDES!$A$7:$H$6703,MATCH($B120,SINAPI_NOV2020_NDES!$A$7:$A$6703,0),7),(INDEX(COMPOS!$A$4:$G$801,MATCH($B120,COMPOS!$A$4:A$801,0),6))))</f>
        <v>0</v>
      </c>
      <c r="I120" s="326">
        <f t="shared" ref="I120:I128" si="30">SUM(F120:H120)</f>
        <v>377.66898160000005</v>
      </c>
      <c r="J120" s="316">
        <f t="shared" ref="J120:J128" si="31">+I120*E120</f>
        <v>70624.099559200011</v>
      </c>
      <c r="O120" s="264"/>
      <c r="P120" s="259"/>
    </row>
    <row r="121" spans="1:16" s="168" customFormat="1" ht="36">
      <c r="A121" s="341" t="s">
        <v>7</v>
      </c>
      <c r="B121" s="341">
        <v>89535</v>
      </c>
      <c r="C121" s="393" t="str">
        <f>(IF($A121="SINAPI",INDEX(SINAPI_NOV2020_NDES!$A$7:$H$6703,MATCH($B121,SINAPI_NOV2020_NDES!$A$7:$A$6703,0),2),IF($A121="GOINFRA",INDEX(#REF!,MATCH($B121,#REF!,0),2),(INDEX(COMPOS!$A$4:$G$390,MATCH($B121,COMPOS!$A$4:A$390,0),2)))))</f>
        <v>CURVA 87 GRAUS E 30 MINUTOS, PVC, SERIE R, ÁGUA PLUVIAL, DN 100 MM, JUNTA ELÁSTICA, FORNECIDO E INSTALADO EM RAMAL DE ENCAMINHAMENTO. AF_12/2014</v>
      </c>
      <c r="D121" s="374" t="str">
        <f>(IF($A121="SINAPI",INDEX(SINAPI_NOV2020_NDES!$A$7:$H$6790,MATCH($B121,SINAPI_NOV2020_NDES!$A$7:$A$6790,0),3),(INDEX(COMPOS!$A$4:$G$5000,MATCH($B121,COMPOS!$A$4:$A$5000,0),3))))</f>
        <v>UN</v>
      </c>
      <c r="E121" s="319">
        <v>61</v>
      </c>
      <c r="F121" s="326">
        <f>(IF($A121="SINAPI",INDEX(SINAPI_NOV2020_NDES!$A$7:$H$6703,MATCH($B121,SINAPI_NOV2020_NDES!$A$7:$A$6703,0),5),(INDEX(COMPOS!$A$4:$G$801,MATCH($B121,COMPOS!$A$4:A$801,0),4))))</f>
        <v>4.07</v>
      </c>
      <c r="G121" s="320">
        <f>(IF($A121="SINAPI",INDEX(SINAPI_NOV2020_NDES!$A$7:$H$6703,MATCH($B121,SINAPI_NOV2020_NDES!$A$7:$A$6703,0),6),(INDEX(COMPOS!$A$4:$G$801,MATCH($B121,COMPOS!$A$4:A$801,0),5))))</f>
        <v>34.82</v>
      </c>
      <c r="H121" s="320">
        <f>(IF($A121="SINAPI",INDEX(SINAPI_NOV2020_NDES!$A$7:$H$6703,MATCH($B121,SINAPI_NOV2020_NDES!$A$7:$A$6703,0),7),(INDEX(COMPOS!$A$4:$G$801,MATCH($B121,COMPOS!$A$4:A$801,0),6))))</f>
        <v>0</v>
      </c>
      <c r="I121" s="326">
        <f t="shared" si="30"/>
        <v>38.89</v>
      </c>
      <c r="J121" s="316">
        <f t="shared" si="31"/>
        <v>2372.29</v>
      </c>
      <c r="O121" s="264"/>
      <c r="P121" s="259"/>
    </row>
    <row r="122" spans="1:16" s="168" customFormat="1" ht="12">
      <c r="A122" s="341" t="s">
        <v>7</v>
      </c>
      <c r="B122" s="341">
        <v>72285</v>
      </c>
      <c r="C122" s="393" t="str">
        <f>(IF($A122="SINAPI",INDEX(SINAPI_NOV2020_NDES!$A$7:$H$6703,MATCH($B122,SINAPI_NOV2020_NDES!$A$7:$A$6703,0),2),IF($A122="GOINFRA",INDEX(#REF!,MATCH($B122,#REF!,0),2),(INDEX(COMPOS!$A$4:$G$390,MATCH($B122,COMPOS!$A$4:A$390,0),2)))))</f>
        <v>CAIXA DE AREIA 40X40X40CM EM ALVENARIA - EXECUÇÃO</v>
      </c>
      <c r="D122" s="374" t="str">
        <f>(IF($A122="SINAPI",INDEX(SINAPI_NOV2020_NDES!$A$7:$H$6790,MATCH($B122,SINAPI_NOV2020_NDES!$A$7:$A$6790,0),3),(INDEX(COMPOS!$A$4:$G$5000,MATCH($B122,COMPOS!$A$4:$A$5000,0),3))))</f>
        <v>UN</v>
      </c>
      <c r="E122" s="319">
        <v>10</v>
      </c>
      <c r="F122" s="326">
        <f>(IF($A122="SINAPI",INDEX(SINAPI_NOV2020_NDES!$A$7:$H$6703,MATCH($B122,SINAPI_NOV2020_NDES!$A$7:$A$6703,0),5),(INDEX(COMPOS!$A$4:$G$801,MATCH($B122,COMPOS!$A$4:A$801,0),4))))</f>
        <v>38.81</v>
      </c>
      <c r="G122" s="320">
        <f>(IF($A122="SINAPI",INDEX(SINAPI_NOV2020_NDES!$A$7:$H$6703,MATCH($B122,SINAPI_NOV2020_NDES!$A$7:$A$6703,0),6),(INDEX(COMPOS!$A$4:$G$801,MATCH($B122,COMPOS!$A$4:A$801,0),5))))</f>
        <v>51.77</v>
      </c>
      <c r="H122" s="320">
        <f>(IF($A122="SINAPI",INDEX(SINAPI_NOV2020_NDES!$A$7:$H$6703,MATCH($B122,SINAPI_NOV2020_NDES!$A$7:$A$6703,0),7),(INDEX(COMPOS!$A$4:$G$801,MATCH($B122,COMPOS!$A$4:A$801,0),6))))</f>
        <v>0</v>
      </c>
      <c r="I122" s="326">
        <f t="shared" si="30"/>
        <v>90.580000000000013</v>
      </c>
      <c r="J122" s="316">
        <f t="shared" si="31"/>
        <v>905.80000000000018</v>
      </c>
      <c r="O122" s="264"/>
      <c r="P122" s="259"/>
    </row>
    <row r="123" spans="1:16" s="168" customFormat="1" ht="36">
      <c r="A123" s="341" t="s">
        <v>7</v>
      </c>
      <c r="B123" s="341">
        <v>89744</v>
      </c>
      <c r="C123" s="393" t="str">
        <f>(IF($A123="SINAPI",INDEX(SINAPI_NOV2020_NDES!$A$7:$H$6703,MATCH($B123,SINAPI_NOV2020_NDES!$A$7:$A$6703,0),2),IF($A123="GOINFRA",INDEX(#REF!,MATCH($B123,#REF!,0),2),(INDEX(COMPOS!$A$4:$G$390,MATCH($B123,COMPOS!$A$4:A$390,0),2)))))</f>
        <v>JOELHO 90 GRAUS, PVC, SERIE NORMAL, ESGOTO PREDIAL, DN 100 MM, JUNTA ELÁSTICA, FORNECIDO E INSTALADO EM RAMAL DE DESCARGA OU RAMAL DE ESGOTO SANITÁRIO. AF_12/2014</v>
      </c>
      <c r="D123" s="374" t="str">
        <f>(IF($A123="SINAPI",INDEX(SINAPI_NOV2020_NDES!$A$7:$H$6790,MATCH($B123,SINAPI_NOV2020_NDES!$A$7:$A$6790,0),3),(INDEX(COMPOS!$A$4:$G$5000,MATCH($B123,COMPOS!$A$4:$A$5000,0),3))))</f>
        <v>UN</v>
      </c>
      <c r="E123" s="319">
        <v>36</v>
      </c>
      <c r="F123" s="326">
        <f>(IF($A123="SINAPI",INDEX(SINAPI_NOV2020_NDES!$A$7:$H$6703,MATCH($B123,SINAPI_NOV2020_NDES!$A$7:$A$6703,0),5),(INDEX(COMPOS!$A$4:$G$801,MATCH($B123,COMPOS!$A$4:A$801,0),4))))</f>
        <v>7.29</v>
      </c>
      <c r="G123" s="320">
        <f>(IF($A123="SINAPI",INDEX(SINAPI_NOV2020_NDES!$A$7:$H$6703,MATCH($B123,SINAPI_NOV2020_NDES!$A$7:$A$6703,0),6),(INDEX(COMPOS!$A$4:$G$801,MATCH($B123,COMPOS!$A$4:A$801,0),5))))</f>
        <v>11.68</v>
      </c>
      <c r="H123" s="320">
        <f>(IF($A123="SINAPI",INDEX(SINAPI_NOV2020_NDES!$A$7:$H$6703,MATCH($B123,SINAPI_NOV2020_NDES!$A$7:$A$6703,0),7),(INDEX(COMPOS!$A$4:$G$801,MATCH($B123,COMPOS!$A$4:A$801,0),6))))</f>
        <v>0</v>
      </c>
      <c r="I123" s="326">
        <f t="shared" si="30"/>
        <v>18.97</v>
      </c>
      <c r="J123" s="316">
        <f t="shared" si="31"/>
        <v>682.92</v>
      </c>
      <c r="O123" s="264"/>
      <c r="P123" s="259"/>
    </row>
    <row r="124" spans="1:16" s="168" customFormat="1" ht="36">
      <c r="A124" s="341" t="s">
        <v>7</v>
      </c>
      <c r="B124" s="341">
        <v>99245</v>
      </c>
      <c r="C124" s="393" t="str">
        <f>(IF($A124="SINAPI",INDEX(SINAPI_NOV2020_NDES!$A$7:$H$6703,MATCH($B124,SINAPI_NOV2020_NDES!$A$7:$A$6703,0),2),IF($A124="GOINFRA",INDEX(#REF!,MATCH($B124,#REF!,0),2),(INDEX(COMPOS!$A$4:$G$390,MATCH($B124,COMPOS!$A$4:A$390,0),2)))))</f>
        <v>BASE PARA POÇO DE VISITA CIRCULAR PARA DRENAGEM, EM CONCRETO PRÉ-MOLDADO, DIÂMETRO INTERNO = 1,5 M, PROFUNDIDADE = 1,95 M, EXCLUINDO TAMPÃO. AF_05/2018</v>
      </c>
      <c r="D124" s="374" t="str">
        <f>(IF($A124="SINAPI",INDEX(SINAPI_NOV2020_NDES!$A$7:$H$6790,MATCH($B124,SINAPI_NOV2020_NDES!$A$7:$A$6790,0),3),(INDEX(COMPOS!$A$4:$G$5000,MATCH($B124,COMPOS!$A$4:$A$5000,0),3))))</f>
        <v>UN</v>
      </c>
      <c r="E124" s="319">
        <v>15</v>
      </c>
      <c r="F124" s="326">
        <f>(IF($A124="SINAPI",INDEX(SINAPI_NOV2020_NDES!$A$7:$H$6703,MATCH($B124,SINAPI_NOV2020_NDES!$A$7:$A$6703,0),5),(INDEX(COMPOS!$A$4:$G$801,MATCH($B124,COMPOS!$A$4:A$801,0),4))))</f>
        <v>428.38</v>
      </c>
      <c r="G124" s="320">
        <f>(IF($A124="SINAPI",INDEX(SINAPI_NOV2020_NDES!$A$7:$H$6703,MATCH($B124,SINAPI_NOV2020_NDES!$A$7:$A$6703,0),6),(INDEX(COMPOS!$A$4:$G$801,MATCH($B124,COMPOS!$A$4:A$801,0),5))))</f>
        <v>1241.78</v>
      </c>
      <c r="H124" s="320">
        <f>(IF($A124="SINAPI",INDEX(SINAPI_NOV2020_NDES!$A$7:$H$6703,MATCH($B124,SINAPI_NOV2020_NDES!$A$7:$A$6703,0),7),(INDEX(COMPOS!$A$4:$G$801,MATCH($B124,COMPOS!$A$4:A$801,0),6))))</f>
        <v>101.09</v>
      </c>
      <c r="I124" s="326">
        <f t="shared" si="30"/>
        <v>1771.2499999999998</v>
      </c>
      <c r="J124" s="316">
        <f t="shared" si="31"/>
        <v>26568.749999999996</v>
      </c>
      <c r="O124" s="264"/>
      <c r="P124" s="259"/>
    </row>
    <row r="125" spans="1:16" s="168" customFormat="1" ht="24">
      <c r="A125" s="341" t="s">
        <v>7</v>
      </c>
      <c r="B125" s="341">
        <v>99246</v>
      </c>
      <c r="C125" s="393" t="str">
        <f>(IF($A125="SINAPI",INDEX(SINAPI_NOV2020_NDES!$A$7:$H$6703,MATCH($B125,SINAPI_NOV2020_NDES!$A$7:$A$6703,0),2),IF($A125="GOINFRA",INDEX(#REF!,MATCH($B125,#REF!,0),2),(INDEX(COMPOS!$A$4:$G$390,MATCH($B125,COMPOS!$A$4:A$390,0),2)))))</f>
        <v>ACRÉSCIMO PARA POÇO DE VISITA CIRCULAR PARA DRENAGEM, EM CONCRETO PRÉ-MOLDADO, DIÂMETRO INTERNO = 1,5 M. AF_05/2018</v>
      </c>
      <c r="D125" s="374" t="str">
        <f>(IF($A125="SINAPI",INDEX(SINAPI_NOV2020_NDES!$A$7:$H$6790,MATCH($B125,SINAPI_NOV2020_NDES!$A$7:$A$6790,0),3),(INDEX(COMPOS!$A$4:$G$5000,MATCH($B125,COMPOS!$A$4:$A$5000,0),3))))</f>
        <v>M</v>
      </c>
      <c r="E125" s="319">
        <v>7.5</v>
      </c>
      <c r="F125" s="326">
        <f>(IF($A125="SINAPI",INDEX(SINAPI_NOV2020_NDES!$A$7:$H$6703,MATCH($B125,SINAPI_NOV2020_NDES!$A$7:$A$6703,0),5),(INDEX(COMPOS!$A$4:$G$801,MATCH($B125,COMPOS!$A$4:A$801,0),4))))</f>
        <v>78.28</v>
      </c>
      <c r="G125" s="320">
        <f>(IF($A125="SINAPI",INDEX(SINAPI_NOV2020_NDES!$A$7:$H$6703,MATCH($B125,SINAPI_NOV2020_NDES!$A$7:$A$6703,0),6),(INDEX(COMPOS!$A$4:$G$801,MATCH($B125,COMPOS!$A$4:A$801,0),5))))</f>
        <v>431.01</v>
      </c>
      <c r="H125" s="320">
        <f>(IF($A125="SINAPI",INDEX(SINAPI_NOV2020_NDES!$A$7:$H$6703,MATCH($B125,SINAPI_NOV2020_NDES!$A$7:$A$6703,0),7),(INDEX(COMPOS!$A$4:$G$801,MATCH($B125,COMPOS!$A$4:A$801,0),6))))</f>
        <v>41.26</v>
      </c>
      <c r="I125" s="326">
        <f t="shared" si="30"/>
        <v>550.54999999999995</v>
      </c>
      <c r="J125" s="316">
        <f t="shared" si="31"/>
        <v>4129.125</v>
      </c>
      <c r="O125" s="264"/>
      <c r="P125" s="259"/>
    </row>
    <row r="126" spans="1:16" s="168" customFormat="1" ht="24">
      <c r="A126" s="341" t="s">
        <v>7</v>
      </c>
      <c r="B126" s="341">
        <v>89578</v>
      </c>
      <c r="C126" s="393" t="str">
        <f>(IF($A126="SINAPI",INDEX(SINAPI_NOV2020_NDES!$A$7:$H$6703,MATCH($B126,SINAPI_NOV2020_NDES!$A$7:$A$6703,0),2),IF($A126="GOINFRA",INDEX(#REF!,MATCH($B126,#REF!,0),2),(INDEX(COMPOS!$A$4:$G$390,MATCH($B126,COMPOS!$A$4:A$390,0),2)))))</f>
        <v>TUBO PVC, SÉRIE R, ÁGUA PLUVIAL, DN 100 MM, FORNECIDO E INSTALADO EM CONDUTORES VERTICAIS DE ÁGUAS PLUVIAIS. AF_12/2014</v>
      </c>
      <c r="D126" s="374" t="str">
        <f>(IF($A126="SINAPI",INDEX(SINAPI_NOV2020_NDES!$A$7:$H$6790,MATCH($B126,SINAPI_NOV2020_NDES!$A$7:$A$6790,0),3),(INDEX(COMPOS!$A$4:$G$5000,MATCH($B126,COMPOS!$A$4:$A$5000,0),3))))</f>
        <v>M</v>
      </c>
      <c r="E126" s="319">
        <v>630</v>
      </c>
      <c r="F126" s="326">
        <f>(IF($A126="SINAPI",INDEX(SINAPI_NOV2020_NDES!$A$7:$H$6703,MATCH($B126,SINAPI_NOV2020_NDES!$A$7:$A$6703,0),5),(INDEX(COMPOS!$A$4:$G$801,MATCH($B126,COMPOS!$A$4:A$801,0),4))))</f>
        <v>3.19</v>
      </c>
      <c r="G126" s="320">
        <f>(IF($A126="SINAPI",INDEX(SINAPI_NOV2020_NDES!$A$7:$H$6703,MATCH($B126,SINAPI_NOV2020_NDES!$A$7:$A$6703,0),6),(INDEX(COMPOS!$A$4:$G$801,MATCH($B126,COMPOS!$A$4:A$801,0),5))))</f>
        <v>27.13</v>
      </c>
      <c r="H126" s="320">
        <f>(IF($A126="SINAPI",INDEX(SINAPI_NOV2020_NDES!$A$7:$H$6703,MATCH($B126,SINAPI_NOV2020_NDES!$A$7:$A$6703,0),7),(INDEX(COMPOS!$A$4:$G$801,MATCH($B126,COMPOS!$A$4:A$801,0),6))))</f>
        <v>0</v>
      </c>
      <c r="I126" s="326">
        <f t="shared" si="30"/>
        <v>30.32</v>
      </c>
      <c r="J126" s="316">
        <f t="shared" si="31"/>
        <v>19101.599999999999</v>
      </c>
      <c r="O126" s="264"/>
      <c r="P126" s="259"/>
    </row>
    <row r="127" spans="1:16" s="168" customFormat="1" ht="24">
      <c r="A127" s="341" t="s">
        <v>7</v>
      </c>
      <c r="B127" s="341">
        <v>89580</v>
      </c>
      <c r="C127" s="393" t="str">
        <f>(IF($A127="SINAPI",INDEX(SINAPI_NOV2020_NDES!$A$7:$H$6703,MATCH($B127,SINAPI_NOV2020_NDES!$A$7:$A$6703,0),2),IF($A127="GOINFRA",INDEX(#REF!,MATCH($B127,#REF!,0),2),(INDEX(COMPOS!$A$4:$G$390,MATCH($B127,COMPOS!$A$4:A$390,0),2)))))</f>
        <v>TUBO PVC, SÉRIE R, ÁGUA PLUVIAL, DN 150 MM, FORNECIDO E INSTALADO EM CONDUTORES VERTICAIS DE ÁGUAS PLUVIAIS. AF_12/2014</v>
      </c>
      <c r="D127" s="374" t="str">
        <f>(IF($A127="SINAPI",INDEX(SINAPI_NOV2020_NDES!$A$7:$H$6790,MATCH($B127,SINAPI_NOV2020_NDES!$A$7:$A$6790,0),3),(INDEX(COMPOS!$A$4:$G$5000,MATCH($B127,COMPOS!$A$4:$A$5000,0),3))))</f>
        <v>M</v>
      </c>
      <c r="E127" s="319">
        <v>102</v>
      </c>
      <c r="F127" s="326">
        <f>(IF($A127="SINAPI",INDEX(SINAPI_NOV2020_NDES!$A$7:$H$6703,MATCH($B127,SINAPI_NOV2020_NDES!$A$7:$A$6703,0),5),(INDEX(COMPOS!$A$4:$G$801,MATCH($B127,COMPOS!$A$4:A$801,0),4))))</f>
        <v>5.23</v>
      </c>
      <c r="G127" s="320">
        <f>(IF($A127="SINAPI",INDEX(SINAPI_NOV2020_NDES!$A$7:$H$6703,MATCH($B127,SINAPI_NOV2020_NDES!$A$7:$A$6703,0),6),(INDEX(COMPOS!$A$4:$G$801,MATCH($B127,COMPOS!$A$4:A$801,0),5))))</f>
        <v>54.22</v>
      </c>
      <c r="H127" s="320">
        <f>(IF($A127="SINAPI",INDEX(SINAPI_NOV2020_NDES!$A$7:$H$6703,MATCH($B127,SINAPI_NOV2020_NDES!$A$7:$A$6703,0),7),(INDEX(COMPOS!$A$4:$G$801,MATCH($B127,COMPOS!$A$4:A$801,0),6))))</f>
        <v>0</v>
      </c>
      <c r="I127" s="326">
        <f t="shared" si="30"/>
        <v>59.45</v>
      </c>
      <c r="J127" s="316">
        <f t="shared" si="31"/>
        <v>6063.9000000000005</v>
      </c>
      <c r="O127" s="264"/>
      <c r="P127" s="259"/>
    </row>
    <row r="128" spans="1:16" s="168" customFormat="1" ht="12">
      <c r="A128" s="385" t="s">
        <v>6307</v>
      </c>
      <c r="B128" s="341">
        <v>558</v>
      </c>
      <c r="C128" s="393" t="str">
        <f>(IF($A128="SINAPI",INDEX(SINAPI_NOV2020_NDES!$A$7:$H$6703,MATCH($B128,SINAPI_NOV2020_NDES!$A$7:$A$6703,0),2),IF($A128="GOINFRA",INDEX(#REF!,MATCH($B128,#REF!,0),2),(INDEX(COMPOS!$A$4:$G$390,MATCH($B128,COMPOS!$A$4:A$390,0),2)))))</f>
        <v>GRELHA METÁLICA PARA POÇO DE INFILTRAÇÃO</v>
      </c>
      <c r="D128" s="374" t="str">
        <f>(IF($A128="SINAPI",INDEX(SINAPI_NOV2020_NDES!$A$7:$H$6790,MATCH($B128,SINAPI_NOV2020_NDES!$A$7:$A$6790,0),3),(INDEX(COMPOS!$A$4:$G$5000,MATCH($B128,COMPOS!$A$4:$A$5000,0),3))))</f>
        <v>M</v>
      </c>
      <c r="E128" s="319">
        <v>15</v>
      </c>
      <c r="F128" s="326">
        <f>(IF($A128="SINAPI",INDEX(SINAPI_NOV2020_NDES!$A$7:$H$6703,MATCH($B128,SINAPI_NOV2020_NDES!$A$7:$A$6703,0),5),(INDEX(COMPOS!$A$4:$G$801,MATCH($B128,COMPOS!$A$4:A$801,0),4))))</f>
        <v>5.5214999999999996</v>
      </c>
      <c r="G128" s="320">
        <f>(IF($A128="SINAPI",INDEX(SINAPI_NOV2020_NDES!$A$7:$H$6703,MATCH($B128,SINAPI_NOV2020_NDES!$A$7:$A$6703,0),6),(INDEX(COMPOS!$A$4:$G$801,MATCH($B128,COMPOS!$A$4:A$801,0),5))))</f>
        <v>80.705725999999999</v>
      </c>
      <c r="H128" s="320">
        <f>(IF($A128="SINAPI",INDEX(SINAPI_NOV2020_NDES!$A$7:$H$6703,MATCH($B128,SINAPI_NOV2020_NDES!$A$7:$A$6703,0),7),(INDEX(COMPOS!$A$4:$G$801,MATCH($B128,COMPOS!$A$4:A$801,0),6))))</f>
        <v>0</v>
      </c>
      <c r="I128" s="326">
        <f t="shared" si="30"/>
        <v>86.227226000000002</v>
      </c>
      <c r="J128" s="316">
        <f t="shared" si="31"/>
        <v>1293.4083900000001</v>
      </c>
      <c r="O128" s="264"/>
      <c r="P128" s="259"/>
    </row>
    <row r="129" spans="1:16" s="168" customFormat="1" ht="12">
      <c r="A129" s="250" t="s">
        <v>6307</v>
      </c>
      <c r="B129" s="250">
        <v>514</v>
      </c>
      <c r="C129" s="393" t="str">
        <f>(IF($A129="SINAPI",INDEX(SINAPI_NOV2020_NDES!$A$7:$H$6703,MATCH($B129,SINAPI_NOV2020_NDES!$A$7:$A$6703,0),2),IF($A129="GOINFRA",INDEX(#REF!,MATCH($B129,#REF!,0),2),(INDEX(COMPOS!$A$4:$G$390,MATCH($B129,COMPOS!$A$4:A$390,0),2)))))</f>
        <v>ENVELOPAMENTO EM ALVERNARIA DE TUBOS DE DESCIDA 100MM</v>
      </c>
      <c r="D129" s="374" t="str">
        <f>(IF($A129="SINAPI",INDEX(SINAPI_NOV2020_NDES!$A$7:$H$6790,MATCH($B129,SINAPI_NOV2020_NDES!$A$7:$A$6790,0),3),(INDEX(COMPOS!$A$4:$G$5000,MATCH($B129,COMPOS!$A$4:$A$5000,0),3))))</f>
        <v>M</v>
      </c>
      <c r="E129" s="319">
        <v>141</v>
      </c>
      <c r="F129" s="326">
        <f>(IF($A129="SINAPI",INDEX(SINAPI_NOV2020_NDES!$A$7:$H$6703,MATCH($B129,SINAPI_NOV2020_NDES!$A$7:$A$6703,0),5),(INDEX(COMPOS!$A$4:$G$801,MATCH($B129,COMPOS!$A$4:A$801,0),4))))</f>
        <v>31.100598400000003</v>
      </c>
      <c r="G129" s="320">
        <f>(IF($A129="SINAPI",INDEX(SINAPI_NOV2020_NDES!$A$7:$H$6703,MATCH($B129,SINAPI_NOV2020_NDES!$A$7:$A$6703,0),6),(INDEX(COMPOS!$A$4:$G$801,MATCH($B129,COMPOS!$A$4:A$801,0),5))))</f>
        <v>14.166440000000001</v>
      </c>
      <c r="H129" s="320">
        <f>(IF($A129="SINAPI",INDEX(SINAPI_NOV2020_NDES!$A$7:$H$6703,MATCH($B129,SINAPI_NOV2020_NDES!$A$7:$A$6703,0),7),(INDEX(COMPOS!$A$4:$G$801,MATCH($B129,COMPOS!$A$4:A$801,0),6))))</f>
        <v>0</v>
      </c>
      <c r="I129" s="326">
        <f t="shared" ref="I129" si="32">SUM(F129:H129)</f>
        <v>45.267038400000004</v>
      </c>
      <c r="J129" s="316">
        <f t="shared" ref="J129" si="33">+I129*E129</f>
        <v>6382.6524144000005</v>
      </c>
      <c r="O129" s="264"/>
      <c r="P129" s="259"/>
    </row>
    <row r="130" spans="1:16" s="168" customFormat="1" ht="12">
      <c r="A130" s="716" t="s">
        <v>6927</v>
      </c>
      <c r="B130" s="716"/>
      <c r="C130" s="716"/>
      <c r="D130" s="716"/>
      <c r="E130" s="716"/>
      <c r="F130" s="716"/>
      <c r="G130" s="716"/>
      <c r="H130" s="716"/>
      <c r="I130" s="716"/>
      <c r="J130" s="390">
        <f>SUM(J98:J129)</f>
        <v>364198.67793326662</v>
      </c>
      <c r="P130" s="259"/>
    </row>
    <row r="131" spans="1:16" s="168" customFormat="1" ht="12">
      <c r="A131" s="385"/>
      <c r="B131" s="386">
        <v>172</v>
      </c>
      <c r="C131" s="387" t="s">
        <v>6293</v>
      </c>
      <c r="D131" s="385" t="s">
        <v>6922</v>
      </c>
      <c r="E131" s="396"/>
      <c r="F131" s="392"/>
      <c r="G131" s="316"/>
      <c r="H131" s="319"/>
      <c r="I131" s="319"/>
      <c r="J131" s="319"/>
      <c r="P131" s="259"/>
    </row>
    <row r="132" spans="1:16" s="168" customFormat="1" ht="24">
      <c r="A132" s="385" t="s">
        <v>6307</v>
      </c>
      <c r="B132" s="341">
        <v>533</v>
      </c>
      <c r="C132" s="393" t="str">
        <f>(IF($A132="SINAPI",INDEX(SINAPI_NOV2020_NDES!$A$7:$H$6703,MATCH($B132,SINAPI_NOV2020_NDES!$A$7:$A$6703,0),2),IF($A132="GOINFRA",INDEX(#REF!,MATCH($B132,#REF!,0),2),(INDEX(COMPOS!$A$4:$G$3900,MATCH($B132,COMPOS!$A$4:A$3900,0),2)))))</f>
        <v>BOMBA INCÊNDIO 7,5 CV TRIFÁSICA 220/380V BPI-22 R 2.1/2 POL 155 MM IR-3 SCHNEIDER</v>
      </c>
      <c r="D132" s="374" t="str">
        <f>(IF($A132="SINAPI",INDEX(SINAPI_NOV2020_NDES!$A$7:$H$6790,MATCH($B132,SINAPI_NOV2020_NDES!$A$7:$A$6790,0),3),(INDEX(COMPOS!$A$4:$G$5000,MATCH($B132,COMPOS!$A$4:$A$5000,0),3))))</f>
        <v>UN</v>
      </c>
      <c r="E132" s="397">
        <v>1</v>
      </c>
      <c r="F132" s="326">
        <f>(IF($A132="SINAPI",INDEX(SINAPI_NOV2020_NDES!$A$7:$H$6703,MATCH($B132,SINAPI_NOV2020_NDES!$A$7:$A$6703,0),5),(INDEX(COMPOS!$A$4:$G$801,MATCH($B132,COMPOS!$A$4:A$801,0),4))))</f>
        <v>299.52</v>
      </c>
      <c r="G132" s="320">
        <f>(IF($A132="SINAPI",INDEX(SINAPI_NOV2020_NDES!$A$7:$H$6703,MATCH($B132,SINAPI_NOV2020_NDES!$A$7:$A$6703,0),6),(INDEX(COMPOS!$A$4:$G$801,MATCH($B132,COMPOS!$A$4:A$801,0),5))))</f>
        <v>4588.42</v>
      </c>
      <c r="H132" s="320">
        <f>(IF($A132="SINAPI",INDEX(SINAPI_NOV2020_NDES!$A$7:$H$6703,MATCH($B132,SINAPI_NOV2020_NDES!$A$7:$A$6703,0),7),(INDEX(COMPOS!$A$4:$G$801,MATCH($B132,COMPOS!$A$4:A$801,0),6))))</f>
        <v>0</v>
      </c>
      <c r="I132" s="326">
        <f t="shared" ref="I132" si="34">SUM(F132:H132)</f>
        <v>4887.9400000000005</v>
      </c>
      <c r="J132" s="316">
        <f t="shared" ref="J132" si="35">+I132*E132</f>
        <v>4887.9400000000005</v>
      </c>
      <c r="O132" s="264"/>
      <c r="P132" s="259"/>
    </row>
    <row r="133" spans="1:16" s="168" customFormat="1" ht="12">
      <c r="A133" s="385" t="s">
        <v>7</v>
      </c>
      <c r="B133" s="398">
        <v>83486</v>
      </c>
      <c r="C133" s="393" t="str">
        <f>(IF($A133="SINAPI",INDEX(SINAPI_NOV2020_NDES!$A$7:$H$6703,MATCH($B133,SINAPI_NOV2020_NDES!$A$7:$A$6703,0),2),IF($A133="GOINFRA",INDEX(#REF!,MATCH($B133,#REF!,0),2),(INDEX(COMPOS!$A$4:$G$3900,MATCH($B133,COMPOS!$A$4:A$3900,0),2)))))</f>
        <v>BOMBA CENTRIFUGA C/ MOTOR ELETRICO TRIFASICO 1CV</v>
      </c>
      <c r="D133" s="374" t="str">
        <f>(IF($A133="SINAPI",INDEX(SINAPI_NOV2020_NDES!$A$7:$H$6790,MATCH($B133,SINAPI_NOV2020_NDES!$A$7:$A$6790,0),3),(INDEX(COMPOS!$A$4:$G$5000,MATCH($B133,COMPOS!$A$4:$A$5000,0),3))))</f>
        <v>UN</v>
      </c>
      <c r="E133" s="397">
        <v>1</v>
      </c>
      <c r="F133" s="326">
        <f>(IF($A133="SINAPI",INDEX(SINAPI_NOV2020_NDES!$A$7:$H$6703,MATCH($B133,SINAPI_NOV2020_NDES!$A$7:$A$6703,0),5),(INDEX(COMPOS!$A$4:$G$801,MATCH($B133,COMPOS!$A$4:A$801,0),4))))</f>
        <v>233.44</v>
      </c>
      <c r="G133" s="320">
        <f>(IF($A133="SINAPI",INDEX(SINAPI_NOV2020_NDES!$A$7:$H$6703,MATCH($B133,SINAPI_NOV2020_NDES!$A$7:$A$6703,0),6),(INDEX(COMPOS!$A$4:$G$801,MATCH($B133,COMPOS!$A$4:A$801,0),5))))</f>
        <v>66.08</v>
      </c>
      <c r="H133" s="320">
        <f>(IF($A133="SINAPI",INDEX(SINAPI_NOV2020_NDES!$A$7:$H$6703,MATCH($B133,SINAPI_NOV2020_NDES!$A$7:$A$6703,0),7),(INDEX(COMPOS!$A$4:$G$801,MATCH($B133,COMPOS!$A$4:A$801,0),6))))</f>
        <v>1043.4000000000001</v>
      </c>
      <c r="I133" s="326">
        <f t="shared" ref="I133:I156" si="36">SUM(F133:H133)</f>
        <v>1342.92</v>
      </c>
      <c r="J133" s="316">
        <f t="shared" ref="J133:J156" si="37">+I133*E133</f>
        <v>1342.92</v>
      </c>
      <c r="O133" s="264"/>
      <c r="P133" s="259"/>
    </row>
    <row r="134" spans="1:16" s="168" customFormat="1" ht="48">
      <c r="A134" s="385" t="s">
        <v>7</v>
      </c>
      <c r="B134" s="341">
        <v>94789</v>
      </c>
      <c r="C134" s="393" t="str">
        <f>(IF($A134="SINAPI",INDEX(SINAPI_NOV2020_NDES!$A$7:$H$6703,MATCH($B134,SINAPI_NOV2020_NDES!$A$7:$A$6703,0),2),IF($A134="GOINFRA",INDEX(#REF!,MATCH($B134,#REF!,0),2),(INDEX(COMPOS!$A$4:$G$3900,MATCH($B134,COMPOS!$A$4:A$3900,0),2)))))</f>
        <v>ADAPTADOR COM FLANGES LIVRES, PVC, SOLDÁVEL LONGO, DN 75 MM X 2 1/2 , INSTALADO EM RESERVAÇÃO DE ÁGUA DE EDIFICAÇÃO QUE POSSUA RESERVATÓRIO DE FIBRA/FIBROCIMENTO   FORNECIMENTO E INSTALAÇÃO. AF_06/2016</v>
      </c>
      <c r="D134" s="374" t="str">
        <f>(IF($A134="SINAPI",INDEX(SINAPI_NOV2020_NDES!$A$7:$H$6790,MATCH($B134,SINAPI_NOV2020_NDES!$A$7:$A$6790,0),3),(INDEX(COMPOS!$A$4:$G$5000,MATCH($B134,COMPOS!$A$4:$A$5000,0),3))))</f>
        <v>UN</v>
      </c>
      <c r="E134" s="397">
        <v>2</v>
      </c>
      <c r="F134" s="326">
        <f>(IF($A134="SINAPI",INDEX(SINAPI_NOV2020_NDES!$A$7:$H$6703,MATCH($B134,SINAPI_NOV2020_NDES!$A$7:$A$6703,0),5),(INDEX(COMPOS!$A$4:$G$801,MATCH($B134,COMPOS!$A$4:A$801,0),4))))</f>
        <v>8.9700000000000006</v>
      </c>
      <c r="G134" s="320">
        <f>(IF($A134="SINAPI",INDEX(SINAPI_NOV2020_NDES!$A$7:$H$6703,MATCH($B134,SINAPI_NOV2020_NDES!$A$7:$A$6703,0),6),(INDEX(COMPOS!$A$4:$G$801,MATCH($B134,COMPOS!$A$4:A$801,0),5))))</f>
        <v>188.79</v>
      </c>
      <c r="H134" s="320">
        <f>(IF($A134="SINAPI",INDEX(SINAPI_NOV2020_NDES!$A$7:$H$6703,MATCH($B134,SINAPI_NOV2020_NDES!$A$7:$A$6703,0),7),(INDEX(COMPOS!$A$4:$G$801,MATCH($B134,COMPOS!$A$4:A$801,0),6))))</f>
        <v>0</v>
      </c>
      <c r="I134" s="326">
        <f t="shared" si="36"/>
        <v>197.76</v>
      </c>
      <c r="J134" s="316">
        <f t="shared" si="37"/>
        <v>395.52</v>
      </c>
      <c r="O134" s="264"/>
      <c r="P134" s="259"/>
    </row>
    <row r="135" spans="1:16" ht="48">
      <c r="A135" s="385" t="s">
        <v>7</v>
      </c>
      <c r="B135" s="341">
        <v>94473</v>
      </c>
      <c r="C135" s="393" t="str">
        <f>(IF($A135="SINAPI",INDEX(SINAPI_NOV2020_NDES!$A$7:$H$6703,MATCH($B135,SINAPI_NOV2020_NDES!$A$7:$A$6703,0),2),IF($A135="GOINFRA",INDEX(#REF!,MATCH($B135,#REF!,0),2),(INDEX(COMPOS!$A$4:$G$3900,MATCH($B135,COMPOS!$A$4:A$3900,0),2)))))</f>
        <v>COTOVELO 90 GRAUS, EM FERRO GALVANIZADO, CONEXÃO ROSQUEADA, DN 65 (2 1/2), INSTALADO EM RESERVAÇÃO DE ÁGUA DE EDIFICAÇÃO QUE POSSUA RESERVATÓRIO DE FIBRA/FIBROCIMENTO  FORNECIMENTO E INSTALAÇÃO. AF_06/2016</v>
      </c>
      <c r="D135" s="374" t="str">
        <f>(IF($A135="SINAPI",INDEX(SINAPI_NOV2020_NDES!$A$7:$H$6790,MATCH($B135,SINAPI_NOV2020_NDES!$A$7:$A$6790,0),3),(INDEX(COMPOS!$A$4:$G$5000,MATCH($B135,COMPOS!$A$4:$A$5000,0),3))))</f>
        <v>UN</v>
      </c>
      <c r="E135" s="397">
        <v>42</v>
      </c>
      <c r="F135" s="326">
        <f>(IF($A135="SINAPI",INDEX(SINAPI_NOV2020_NDES!$A$7:$H$6703,MATCH($B135,SINAPI_NOV2020_NDES!$A$7:$A$6703,0),5),(INDEX(COMPOS!$A$4:$G$801,MATCH($B135,COMPOS!$A$4:A$801,0),4))))</f>
        <v>15.21</v>
      </c>
      <c r="G135" s="320">
        <f>(IF($A135="SINAPI",INDEX(SINAPI_NOV2020_NDES!$A$7:$H$6703,MATCH($B135,SINAPI_NOV2020_NDES!$A$7:$A$6703,0),6),(INDEX(COMPOS!$A$4:$G$801,MATCH($B135,COMPOS!$A$4:A$801,0),5))))</f>
        <v>67.84</v>
      </c>
      <c r="H135" s="320">
        <f>(IF($A135="SINAPI",INDEX(SINAPI_NOV2020_NDES!$A$7:$H$6703,MATCH($B135,SINAPI_NOV2020_NDES!$A$7:$A$6703,0),7),(INDEX(COMPOS!$A$4:$G$801,MATCH($B135,COMPOS!$A$4:A$801,0),6))))</f>
        <v>0</v>
      </c>
      <c r="I135" s="326">
        <f t="shared" si="36"/>
        <v>83.050000000000011</v>
      </c>
      <c r="J135" s="316">
        <f t="shared" si="37"/>
        <v>3488.1000000000004</v>
      </c>
      <c r="K135" s="168"/>
      <c r="L135" s="168"/>
      <c r="M135" s="168"/>
      <c r="N135" s="168"/>
      <c r="O135" s="264"/>
      <c r="P135" s="259"/>
    </row>
    <row r="136" spans="1:16" s="168" customFormat="1" ht="12">
      <c r="A136" s="385" t="s">
        <v>6307</v>
      </c>
      <c r="B136" s="341">
        <v>526</v>
      </c>
      <c r="C136" s="393" t="str">
        <f>(IF($A136="SINAPI",INDEX(SINAPI_NOV2020_NDES!$A$7:$H$6703,MATCH($B136,SINAPI_NOV2020_NDES!$A$7:$A$6703,0),2),IF($A136="GOINFRA",INDEX(#REF!,MATCH($B136,#REF!,0),2),(INDEX(COMPOS!$A$4:$G$3900,MATCH($B136,COMPOS!$A$4:A$3900,0),2)))))</f>
        <v>CURVA 45 GRAUS DE FERRO GALVANIZADO, COM ROSCA BSP FEMEA, DE 2 1/2"</v>
      </c>
      <c r="D136" s="374" t="str">
        <f>(IF($A136="SINAPI",INDEX(SINAPI_NOV2020_NDES!$A$7:$H$6790,MATCH($B136,SINAPI_NOV2020_NDES!$A$7:$A$6790,0),3),(INDEX(COMPOS!$A$4:$G$5000,MATCH($B136,COMPOS!$A$4:$A$5000,0),3))))</f>
        <v>UN</v>
      </c>
      <c r="E136" s="397">
        <v>1</v>
      </c>
      <c r="F136" s="326">
        <f>(IF($A136="SINAPI",INDEX(SINAPI_NOV2020_NDES!$A$7:$H$6703,MATCH($B136,SINAPI_NOV2020_NDES!$A$7:$A$6703,0),5),(INDEX(COMPOS!$A$4:$G$801,MATCH($B136,COMPOS!$A$4:A$801,0),4))))</f>
        <v>23.175359999999998</v>
      </c>
      <c r="G136" s="320">
        <f>(IF($A136="SINAPI",INDEX(SINAPI_NOV2020_NDES!$A$7:$H$6703,MATCH($B136,SINAPI_NOV2020_NDES!$A$7:$A$6703,0),6),(INDEX(COMPOS!$A$4:$G$801,MATCH($B136,COMPOS!$A$4:A$801,0),5))))</f>
        <v>139.41</v>
      </c>
      <c r="H136" s="320">
        <f>(IF($A136="SINAPI",INDEX(SINAPI_NOV2020_NDES!$A$7:$H$6703,MATCH($B136,SINAPI_NOV2020_NDES!$A$7:$A$6703,0),7),(INDEX(COMPOS!$A$4:$G$801,MATCH($B136,COMPOS!$A$4:A$801,0),6))))</f>
        <v>0</v>
      </c>
      <c r="I136" s="326">
        <f t="shared" si="36"/>
        <v>162.58535999999998</v>
      </c>
      <c r="J136" s="316">
        <f t="shared" si="37"/>
        <v>162.58535999999998</v>
      </c>
      <c r="O136" s="264"/>
      <c r="P136" s="259"/>
    </row>
    <row r="137" spans="1:16" s="168" customFormat="1" ht="12">
      <c r="A137" s="385" t="s">
        <v>6307</v>
      </c>
      <c r="B137" s="341">
        <v>527</v>
      </c>
      <c r="C137" s="393" t="str">
        <f>(IF($A137="SINAPI",INDEX(SINAPI_NOV2020_NDES!$A$7:$H$6703,MATCH($B137,SINAPI_NOV2020_NDES!$A$7:$A$6703,0),2),IF($A137="GOINFRA",INDEX(#REF!,MATCH($B137,#REF!,0),2),(INDEX(COMPOS!$A$4:$G$3900,MATCH($B137,COMPOS!$A$4:A$3900,0),2)))))</f>
        <v>NIPLE DE REDUCAO DE FERRO GALVANIZADO, COM ROSCA BSP, DE 2" X 1 1/2"</v>
      </c>
      <c r="D137" s="374" t="str">
        <f>(IF($A137="SINAPI",INDEX(SINAPI_NOV2020_NDES!$A$7:$H$6790,MATCH($B137,SINAPI_NOV2020_NDES!$A$7:$A$6790,0),3),(INDEX(COMPOS!$A$4:$G$5000,MATCH($B137,COMPOS!$A$4:$A$5000,0),3))))</f>
        <v>UN</v>
      </c>
      <c r="E137" s="397">
        <v>13</v>
      </c>
      <c r="F137" s="326">
        <f>(IF($A137="SINAPI",INDEX(SINAPI_NOV2020_NDES!$A$7:$H$6703,MATCH($B137,SINAPI_NOV2020_NDES!$A$7:$A$6703,0),5),(INDEX(COMPOS!$A$4:$G$801,MATCH($B137,COMPOS!$A$4:A$801,0),4))))</f>
        <v>23.175359999999998</v>
      </c>
      <c r="G137" s="320">
        <f>(IF($A137="SINAPI",INDEX(SINAPI_NOV2020_NDES!$A$7:$H$6703,MATCH($B137,SINAPI_NOV2020_NDES!$A$7:$A$6703,0),6),(INDEX(COMPOS!$A$4:$G$801,MATCH($B137,COMPOS!$A$4:A$801,0),5))))</f>
        <v>31.855</v>
      </c>
      <c r="H137" s="320">
        <f>(IF($A137="SINAPI",INDEX(SINAPI_NOV2020_NDES!$A$7:$H$6703,MATCH($B137,SINAPI_NOV2020_NDES!$A$7:$A$6703,0),7),(INDEX(COMPOS!$A$4:$G$801,MATCH($B137,COMPOS!$A$4:A$801,0),6))))</f>
        <v>0</v>
      </c>
      <c r="I137" s="326">
        <f t="shared" si="36"/>
        <v>55.030360000000002</v>
      </c>
      <c r="J137" s="316">
        <f t="shared" si="37"/>
        <v>715.39467999999999</v>
      </c>
      <c r="O137" s="264"/>
      <c r="P137" s="259"/>
    </row>
    <row r="138" spans="1:16" s="168" customFormat="1" ht="36">
      <c r="A138" s="385" t="s">
        <v>7</v>
      </c>
      <c r="B138" s="398">
        <v>92337</v>
      </c>
      <c r="C138" s="393" t="str">
        <f>(IF($A138="SINAPI",INDEX(SINAPI_NOV2020_NDES!$A$7:$H$6703,MATCH($B138,SINAPI_NOV2020_NDES!$A$7:$A$6703,0),2),IF($A138="GOINFRA",INDEX(#REF!,MATCH($B138,#REF!,0),2),(INDEX(COMPOS!$A$4:$G$3900,MATCH($B138,COMPOS!$A$4:A$3900,0),2)))))</f>
        <v>TUBO DE AÇO GALVANIZADO COM COSTURA, CLASSE MÉDIA, CONEXÃO RANHURADA, DN 80 (3"), INSTALADO EM PRUMADAS - FORNECIMENTO E INSTALAÇÃO. AF_10/2020</v>
      </c>
      <c r="D138" s="374" t="str">
        <f>(IF($A138="SINAPI",INDEX(SINAPI_NOV2020_NDES!$A$7:$H$6790,MATCH($B138,SINAPI_NOV2020_NDES!$A$7:$A$6790,0),3),(INDEX(COMPOS!$A$4:$G$5000,MATCH($B138,COMPOS!$A$4:$A$5000,0),3))))</f>
        <v>M</v>
      </c>
      <c r="E138" s="397">
        <v>116.37</v>
      </c>
      <c r="F138" s="326">
        <f>(IF($A138="SINAPI",INDEX(SINAPI_NOV2020_NDES!$A$7:$H$6703,MATCH($B138,SINAPI_NOV2020_NDES!$A$7:$A$6703,0),5),(INDEX(COMPOS!$A$4:$G$801,MATCH($B138,COMPOS!$A$4:A$801,0),4))))</f>
        <v>10.08</v>
      </c>
      <c r="G138" s="320">
        <f>(IF($A138="SINAPI",INDEX(SINAPI_NOV2020_NDES!$A$7:$H$6703,MATCH($B138,SINAPI_NOV2020_NDES!$A$7:$A$6703,0),6),(INDEX(COMPOS!$A$4:$G$801,MATCH($B138,COMPOS!$A$4:A$801,0),5))))</f>
        <v>106.85</v>
      </c>
      <c r="H138" s="320">
        <f>(IF($A138="SINAPI",INDEX(SINAPI_NOV2020_NDES!$A$7:$H$6703,MATCH($B138,SINAPI_NOV2020_NDES!$A$7:$A$6703,0),7),(INDEX(COMPOS!$A$4:$G$801,MATCH($B138,COMPOS!$A$4:A$801,0),6))))</f>
        <v>0</v>
      </c>
      <c r="I138" s="326">
        <f t="shared" si="36"/>
        <v>116.92999999999999</v>
      </c>
      <c r="J138" s="316">
        <f t="shared" si="37"/>
        <v>13607.1441</v>
      </c>
      <c r="O138" s="264"/>
      <c r="P138" s="259"/>
    </row>
    <row r="139" spans="1:16" s="168" customFormat="1" ht="12">
      <c r="A139" s="385" t="s">
        <v>6307</v>
      </c>
      <c r="B139" s="398">
        <v>534</v>
      </c>
      <c r="C139" s="393" t="str">
        <f>(IF($A139="SINAPI",INDEX(SINAPI_NOV2020_NDES!$A$7:$H$6703,MATCH($B139,SINAPI_NOV2020_NDES!$A$7:$A$6703,0),2),IF($A139="GOINFRA",INDEX(#REF!,MATCH($B139,#REF!,0),2),(INDEX(COMPOS!$A$4:$G$3900,MATCH($B139,COMPOS!$A$4:A$3900,0),2)))))</f>
        <v>TE 45 GRAUS DE FERRO GALVANIZADO, COM ROSCA BSP, DE 2 1/2"</v>
      </c>
      <c r="D139" s="374" t="str">
        <f>(IF($A139="SINAPI",INDEX(SINAPI_NOV2020_NDES!$A$7:$H$6790,MATCH($B139,SINAPI_NOV2020_NDES!$A$7:$A$6790,0),3),(INDEX(COMPOS!$A$4:$G$5000,MATCH($B139,COMPOS!$A$4:$A$5000,0),3))))</f>
        <v>UN</v>
      </c>
      <c r="E139" s="397">
        <v>15</v>
      </c>
      <c r="F139" s="326">
        <f>(IF($A139="SINAPI",INDEX(SINAPI_NOV2020_NDES!$A$7:$H$6703,MATCH($B139,SINAPI_NOV2020_NDES!$A$7:$A$6703,0),5),(INDEX(COMPOS!$A$4:$G$801,MATCH($B139,COMPOS!$A$4:A$801,0),4))))</f>
        <v>34.819200000000002</v>
      </c>
      <c r="G139" s="320">
        <f>(IF($A139="SINAPI",INDEX(SINAPI_NOV2020_NDES!$A$7:$H$6703,MATCH($B139,SINAPI_NOV2020_NDES!$A$7:$A$6703,0),6),(INDEX(COMPOS!$A$4:$G$801,MATCH($B139,COMPOS!$A$4:A$801,0),5))))</f>
        <v>180.001</v>
      </c>
      <c r="H139" s="320">
        <f>(IF($A139="SINAPI",INDEX(SINAPI_NOV2020_NDES!$A$7:$H$6703,MATCH($B139,SINAPI_NOV2020_NDES!$A$7:$A$6703,0),7),(INDEX(COMPOS!$A$4:$G$801,MATCH($B139,COMPOS!$A$4:A$801,0),6))))</f>
        <v>0</v>
      </c>
      <c r="I139" s="326">
        <f t="shared" si="36"/>
        <v>214.8202</v>
      </c>
      <c r="J139" s="316">
        <f t="shared" si="37"/>
        <v>3222.3029999999999</v>
      </c>
      <c r="O139" s="264"/>
      <c r="P139" s="259"/>
    </row>
    <row r="140" spans="1:16" s="168" customFormat="1" ht="12">
      <c r="A140" s="385" t="s">
        <v>6307</v>
      </c>
      <c r="B140" s="398">
        <v>535</v>
      </c>
      <c r="C140" s="393" t="str">
        <f>(IF($A140="SINAPI",INDEX(SINAPI_NOV2020_NDES!$A$7:$H$6703,MATCH($B140,SINAPI_NOV2020_NDES!$A$7:$A$6703,0),2),IF($A140="GOINFRA",INDEX(#REF!,MATCH($B140,#REF!,0),2),(INDEX(COMPOS!$A$4:$G$3900,MATCH($B140,COMPOS!$A$4:A$3900,0),2)))))</f>
        <v>UNIAO COM ASSENTO CONICO DE BRONZE, DIAMETRO 2 1/2"</v>
      </c>
      <c r="D140" s="374" t="str">
        <f>(IF($A140="SINAPI",INDEX(SINAPI_NOV2020_NDES!$A$7:$H$6790,MATCH($B140,SINAPI_NOV2020_NDES!$A$7:$A$6790,0),3),(INDEX(COMPOS!$A$4:$G$5000,MATCH($B140,COMPOS!$A$4:$A$5000,0),3))))</f>
        <v>UN</v>
      </c>
      <c r="E140" s="397">
        <v>6</v>
      </c>
      <c r="F140" s="326">
        <f>(IF($A140="SINAPI",INDEX(SINAPI_NOV2020_NDES!$A$7:$H$6703,MATCH($B140,SINAPI_NOV2020_NDES!$A$7:$A$6703,0),5),(INDEX(COMPOS!$A$4:$G$801,MATCH($B140,COMPOS!$A$4:A$801,0),4))))</f>
        <v>34.819200000000002</v>
      </c>
      <c r="G140" s="320">
        <f>(IF($A140="SINAPI",INDEX(SINAPI_NOV2020_NDES!$A$7:$H$6703,MATCH($B140,SINAPI_NOV2020_NDES!$A$7:$A$6703,0),6),(INDEX(COMPOS!$A$4:$G$801,MATCH($B140,COMPOS!$A$4:A$801,0),5))))</f>
        <v>180.15771999999998</v>
      </c>
      <c r="H140" s="320">
        <f>(IF($A140="SINAPI",INDEX(SINAPI_NOV2020_NDES!$A$7:$H$6703,MATCH($B140,SINAPI_NOV2020_NDES!$A$7:$A$6703,0),7),(INDEX(COMPOS!$A$4:$G$801,MATCH($B140,COMPOS!$A$4:A$801,0),6))))</f>
        <v>0</v>
      </c>
      <c r="I140" s="326">
        <f t="shared" si="36"/>
        <v>214.97691999999998</v>
      </c>
      <c r="J140" s="316">
        <f t="shared" si="37"/>
        <v>1289.8615199999999</v>
      </c>
      <c r="O140" s="264"/>
      <c r="P140" s="259"/>
    </row>
    <row r="141" spans="1:16" s="168" customFormat="1" ht="36">
      <c r="A141" s="385" t="s">
        <v>6307</v>
      </c>
      <c r="B141" s="398">
        <v>524</v>
      </c>
      <c r="C141" s="393" t="str">
        <f>(IF($A141="SINAPI",INDEX(SINAPI_NOV2020_NDES!$A$7:$H$6703,MATCH($B141,SINAPI_NOV2020_NDES!$A$7:$A$6703,0),2),IF($A141="GOINFRA",INDEX(#REF!,MATCH($B141,#REF!,0),2),(INDEX(COMPOS!$A$4:$G$3900,MATCH($B141,COMPOS!$A$4:A$3900,0),2)))))</f>
        <v>ABRIGO PARA HIDRANTE, 90X60X17CM, COM REGISTRO GLOBO ANGULAR 45 GRAUS 2 1/2", ADAPTADOR STORZ 2 1/2", MANGUEIRA DE INCÊNDIO 15M, REDUÇÃO 2 1/2" X 1 1/2" E ESGUICHO EM LATÃO 1 1/2"</v>
      </c>
      <c r="D141" s="374" t="str">
        <f>(IF($A141="SINAPI",INDEX(SINAPI_NOV2020_NDES!$A$7:$H$6790,MATCH($B141,SINAPI_NOV2020_NDES!$A$7:$A$6790,0),3),(INDEX(COMPOS!$A$4:$G$5000,MATCH($B141,COMPOS!$A$4:$A$5000,0),3))))</f>
        <v>UN</v>
      </c>
      <c r="E141" s="397">
        <v>1</v>
      </c>
      <c r="F141" s="326">
        <f>(IF($A141="SINAPI",INDEX(SINAPI_NOV2020_NDES!$A$7:$H$6703,MATCH($B141,SINAPI_NOV2020_NDES!$A$7:$A$6703,0),5),(INDEX(COMPOS!$A$4:$G$801,MATCH($B141,COMPOS!$A$4:A$801,0),4))))</f>
        <v>113.70528</v>
      </c>
      <c r="G141" s="320">
        <f>(IF($A141="SINAPI",INDEX(SINAPI_NOV2020_NDES!$A$7:$H$6703,MATCH($B141,SINAPI_NOV2020_NDES!$A$7:$A$6703,0),6),(INDEX(COMPOS!$A$4:$G$801,MATCH($B141,COMPOS!$A$4:A$801,0),5))))</f>
        <v>1778.98</v>
      </c>
      <c r="H141" s="320">
        <f>(IF($A141="SINAPI",INDEX(SINAPI_NOV2020_NDES!$A$7:$H$6703,MATCH($B141,SINAPI_NOV2020_NDES!$A$7:$A$6703,0),7),(INDEX(COMPOS!$A$4:$G$801,MATCH($B141,COMPOS!$A$4:A$801,0),6))))</f>
        <v>0</v>
      </c>
      <c r="I141" s="326">
        <f t="shared" si="36"/>
        <v>1892.6852799999999</v>
      </c>
      <c r="J141" s="316">
        <f t="shared" si="37"/>
        <v>1892.6852799999999</v>
      </c>
      <c r="O141" s="264"/>
      <c r="P141" s="259"/>
    </row>
    <row r="142" spans="1:16" s="168" customFormat="1" ht="36">
      <c r="A142" s="385" t="s">
        <v>6307</v>
      </c>
      <c r="B142" s="341">
        <v>525</v>
      </c>
      <c r="C142" s="393" t="str">
        <f>(IF($A142="SINAPI",INDEX(SINAPI_NOV2020_NDES!$A$7:$H$6703,MATCH($B142,SINAPI_NOV2020_NDES!$A$7:$A$6703,0),2),IF($A142="GOINFRA",INDEX(#REF!,MATCH($B142,#REF!,0),2),(INDEX(COMPOS!$A$4:$G$3900,MATCH($B142,COMPOS!$A$4:A$3900,0),2)))))</f>
        <v>ADEQUAÇÃO DO ABRIGO PARA HIDRANTE, 90X60X17CM, ADAPTADOR STORZ 2 1/2", MANGUEIRAS DE INCÊNDIO 15M, REDUÇÃO 2 1/2" X 1 1/2" E ESGUICHO EM LATÃO 1 1/2"</v>
      </c>
      <c r="D142" s="374" t="str">
        <f>(IF($A142="SINAPI",INDEX(SINAPI_NOV2020_NDES!$A$7:$H$6790,MATCH($B142,SINAPI_NOV2020_NDES!$A$7:$A$6790,0),3),(INDEX(COMPOS!$A$4:$G$5000,MATCH($B142,COMPOS!$A$4:$A$5000,0),3))))</f>
        <v>UN</v>
      </c>
      <c r="E142" s="397">
        <v>11</v>
      </c>
      <c r="F142" s="326">
        <f>(IF($A142="SINAPI",INDEX(SINAPI_NOV2020_NDES!$A$7:$H$6703,MATCH($B142,SINAPI_NOV2020_NDES!$A$7:$A$6703,0),5),(INDEX(COMPOS!$A$4:$G$801,MATCH($B142,COMPOS!$A$4:A$801,0),4))))</f>
        <v>83.476224000000002</v>
      </c>
      <c r="G142" s="320">
        <f>(IF($A142="SINAPI",INDEX(SINAPI_NOV2020_NDES!$A$7:$H$6703,MATCH($B142,SINAPI_NOV2020_NDES!$A$7:$A$6703,0),6),(INDEX(COMPOS!$A$4:$G$801,MATCH($B142,COMPOS!$A$4:A$801,0),5))))</f>
        <v>1306.4099999999999</v>
      </c>
      <c r="H142" s="320">
        <f>(IF($A142="SINAPI",INDEX(SINAPI_NOV2020_NDES!$A$7:$H$6703,MATCH($B142,SINAPI_NOV2020_NDES!$A$7:$A$6703,0),7),(INDEX(COMPOS!$A$4:$G$801,MATCH($B142,COMPOS!$A$4:A$801,0),6))))</f>
        <v>0</v>
      </c>
      <c r="I142" s="326">
        <f t="shared" si="36"/>
        <v>1389.8862239999999</v>
      </c>
      <c r="J142" s="316">
        <f t="shared" si="37"/>
        <v>15288.748463999998</v>
      </c>
      <c r="O142" s="264"/>
      <c r="P142" s="259"/>
    </row>
    <row r="143" spans="1:16" s="169" customFormat="1" ht="36">
      <c r="A143" s="385" t="s">
        <v>7</v>
      </c>
      <c r="B143" s="398">
        <v>92377</v>
      </c>
      <c r="C143" s="393" t="str">
        <f>(IF($A143="SINAPI",INDEX(SINAPI_NOV2020_NDES!$A$7:$H$6703,MATCH($B143,SINAPI_NOV2020_NDES!$A$7:$A$6703,0),2),IF($A143="GOINFRA",INDEX(#REF!,MATCH($B143,#REF!,0),2),(INDEX(COMPOS!$A$4:$G$3900,MATCH($B143,COMPOS!$A$4:A$3900,0),2)))))</f>
        <v>NIPLE, EM FERRO GALVANIZADO, DN 65 (2 1/2"), CONEXÃO ROSQUEADA, INSTALADO EM REDE DE ALIMENTAÇÃO PARA HIDRANTE - FORNECIMENTO E INSTALAÇÃO. AF_10/2020</v>
      </c>
      <c r="D143" s="374" t="str">
        <f>(IF($A143="SINAPI",INDEX(SINAPI_NOV2020_NDES!$A$7:$H$6790,MATCH($B143,SINAPI_NOV2020_NDES!$A$7:$A$6790,0),3),(INDEX(COMPOS!$A$4:$G$5000,MATCH($B143,COMPOS!$A$4:$A$5000,0),3))))</f>
        <v>UN</v>
      </c>
      <c r="E143" s="397">
        <v>12</v>
      </c>
      <c r="F143" s="326">
        <f>(IF($A143="SINAPI",INDEX(SINAPI_NOV2020_NDES!$A$7:$H$6703,MATCH($B143,SINAPI_NOV2020_NDES!$A$7:$A$6703,0),5),(INDEX(COMPOS!$A$4:$G$801,MATCH($B143,COMPOS!$A$4:A$801,0),4))))</f>
        <v>21.48</v>
      </c>
      <c r="G143" s="320">
        <f>(IF($A143="SINAPI",INDEX(SINAPI_NOV2020_NDES!$A$7:$H$6703,MATCH($B143,SINAPI_NOV2020_NDES!$A$7:$A$6703,0),6),(INDEX(COMPOS!$A$4:$G$801,MATCH($B143,COMPOS!$A$4:A$801,0),5))))</f>
        <v>44.03</v>
      </c>
      <c r="H143" s="320">
        <f>(IF($A143="SINAPI",INDEX(SINAPI_NOV2020_NDES!$A$7:$H$6703,MATCH($B143,SINAPI_NOV2020_NDES!$A$7:$A$6703,0),7),(INDEX(COMPOS!$A$4:$G$801,MATCH($B143,COMPOS!$A$4:A$801,0),6))))</f>
        <v>0</v>
      </c>
      <c r="I143" s="326">
        <f t="shared" si="36"/>
        <v>65.510000000000005</v>
      </c>
      <c r="J143" s="316">
        <f t="shared" si="37"/>
        <v>786.12000000000012</v>
      </c>
      <c r="K143" s="168"/>
      <c r="L143" s="168"/>
      <c r="M143" s="168"/>
      <c r="N143" s="168"/>
      <c r="O143" s="264"/>
      <c r="P143" s="259"/>
    </row>
    <row r="144" spans="1:16" s="169" customFormat="1" ht="24">
      <c r="A144" s="385" t="s">
        <v>6307</v>
      </c>
      <c r="B144" s="398">
        <v>530</v>
      </c>
      <c r="C144" s="393" t="str">
        <f>(IF($A144="SINAPI",INDEX(SINAPI_NOV2020_NDES!$A$7:$H$6703,MATCH($B144,SINAPI_NOV2020_NDES!$A$7:$A$6703,0),2),IF($A144="GOINFRA",INDEX(#REF!,MATCH($B144,#REF!,0),2),(INDEX(COMPOS!$A$4:$G$3900,MATCH($B144,COMPOS!$A$4:A$3900,0),2)))))</f>
        <v>REDUCAO FIXA TIPO STORZ, ENGATE RAPIDO 2.1/2" X 1.1/2", EM LATAO, PARA INSTALACAO PREDIAL COMBATE A INCENDIO PREDIAL</v>
      </c>
      <c r="D144" s="374" t="str">
        <f>(IF($A144="SINAPI",INDEX(SINAPI_NOV2020_NDES!$A$7:$H$6790,MATCH($B144,SINAPI_NOV2020_NDES!$A$7:$A$6790,0),3),(INDEX(COMPOS!$A$4:$G$5000,MATCH($B144,COMPOS!$A$4:$A$5000,0),3))))</f>
        <v>UN</v>
      </c>
      <c r="E144" s="397">
        <v>12</v>
      </c>
      <c r="F144" s="326">
        <f>(IF($A144="SINAPI",INDEX(SINAPI_NOV2020_NDES!$A$7:$H$6703,MATCH($B144,SINAPI_NOV2020_NDES!$A$7:$A$6703,0),5),(INDEX(COMPOS!$A$4:$G$801,MATCH($B144,COMPOS!$A$4:A$801,0),4))))</f>
        <v>5.6159999999999997</v>
      </c>
      <c r="G144" s="320">
        <f>(IF($A144="SINAPI",INDEX(SINAPI_NOV2020_NDES!$A$7:$H$6703,MATCH($B144,SINAPI_NOV2020_NDES!$A$7:$A$6703,0),6),(INDEX(COMPOS!$A$4:$G$801,MATCH($B144,COMPOS!$A$4:A$801,0),5))))</f>
        <v>128.95999999999998</v>
      </c>
      <c r="H144" s="320">
        <f>(IF($A144="SINAPI",INDEX(SINAPI_NOV2020_NDES!$A$7:$H$6703,MATCH($B144,SINAPI_NOV2020_NDES!$A$7:$A$6703,0),7),(INDEX(COMPOS!$A$4:$G$801,MATCH($B144,COMPOS!$A$4:A$801,0),6))))</f>
        <v>0</v>
      </c>
      <c r="I144" s="326">
        <f t="shared" si="36"/>
        <v>134.57599999999996</v>
      </c>
      <c r="J144" s="316">
        <f t="shared" si="37"/>
        <v>1614.9119999999996</v>
      </c>
      <c r="K144" s="168"/>
      <c r="L144" s="168"/>
      <c r="M144" s="168"/>
      <c r="N144" s="168"/>
      <c r="O144" s="264"/>
      <c r="P144" s="259"/>
    </row>
    <row r="145" spans="1:16" s="169" customFormat="1" ht="36">
      <c r="A145" s="385" t="s">
        <v>7</v>
      </c>
      <c r="B145" s="341">
        <v>94499</v>
      </c>
      <c r="C145" s="393" t="str">
        <f>(IF($A145="SINAPI",INDEX(SINAPI_NOV2020_NDES!$A$7:$H$6703,MATCH($B145,SINAPI_NOV2020_NDES!$A$7:$A$6703,0),2),IF($A145="GOINFRA",INDEX(#REF!,MATCH($B145,#REF!,0),2),(INDEX(COMPOS!$A$4:$G$3900,MATCH($B145,COMPOS!$A$4:A$3900,0),2)))))</f>
        <v>REGISTRO DE GAVETA BRUTO, LATÃO, ROSCÁVEL, 2 1/2, INSTALADO EM RESERVAÇÃO DE ÁGUA DE EDIFICAÇÃO QUE POSSUA RESERVATÓRIO DE FIBRA/FIBROCIMENTO  FORNECIMENTO E INSTALAÇÃO. AF_06/2016</v>
      </c>
      <c r="D145" s="374" t="str">
        <f>(IF($A145="SINAPI",INDEX(SINAPI_NOV2020_NDES!$A$7:$H$6790,MATCH($B145,SINAPI_NOV2020_NDES!$A$7:$A$6790,0),3),(INDEX(COMPOS!$A$4:$G$5000,MATCH($B145,COMPOS!$A$4:$A$5000,0),3))))</f>
        <v>UN</v>
      </c>
      <c r="E145" s="397">
        <v>6</v>
      </c>
      <c r="F145" s="326">
        <f>(IF($A145="SINAPI",INDEX(SINAPI_NOV2020_NDES!$A$7:$H$6703,MATCH($B145,SINAPI_NOV2020_NDES!$A$7:$A$6703,0),5),(INDEX(COMPOS!$A$4:$G$801,MATCH($B145,COMPOS!$A$4:A$801,0),4))))</f>
        <v>23.86</v>
      </c>
      <c r="G145" s="320">
        <f>(IF($A145="SINAPI",INDEX(SINAPI_NOV2020_NDES!$A$7:$H$6703,MATCH($B145,SINAPI_NOV2020_NDES!$A$7:$A$6703,0),6),(INDEX(COMPOS!$A$4:$G$801,MATCH($B145,COMPOS!$A$4:A$801,0),5))))</f>
        <v>163.66999999999999</v>
      </c>
      <c r="H145" s="320">
        <f>(IF($A145="SINAPI",INDEX(SINAPI_NOV2020_NDES!$A$7:$H$6703,MATCH($B145,SINAPI_NOV2020_NDES!$A$7:$A$6703,0),7),(INDEX(COMPOS!$A$4:$G$801,MATCH($B145,COMPOS!$A$4:A$801,0),6))))</f>
        <v>0</v>
      </c>
      <c r="I145" s="326">
        <f t="shared" si="36"/>
        <v>187.52999999999997</v>
      </c>
      <c r="J145" s="316">
        <f t="shared" si="37"/>
        <v>1125.1799999999998</v>
      </c>
      <c r="K145" s="168"/>
      <c r="L145" s="168"/>
      <c r="M145" s="168"/>
      <c r="N145" s="168"/>
      <c r="O145" s="264"/>
      <c r="P145" s="259"/>
    </row>
    <row r="146" spans="1:16" ht="24">
      <c r="A146" s="385" t="s">
        <v>7</v>
      </c>
      <c r="B146" s="341">
        <v>99624</v>
      </c>
      <c r="C146" s="393" t="str">
        <f>(IF($A146="SINAPI",INDEX(SINAPI_NOV2020_NDES!$A$7:$H$6703,MATCH($B146,SINAPI_NOV2020_NDES!$A$7:$A$6703,0),2),IF($A146="GOINFRA",INDEX(#REF!,MATCH($B146,#REF!,0),2),(INDEX(COMPOS!$A$4:$G$3900,MATCH($B146,COMPOS!$A$4:A$3900,0),2)))))</f>
        <v>VÁLVULA DE RETENÇÃO HORIZONTAL, DE BRONZE, ROSCÁVEL, 2 1/2" - FORNECIMENTO E INSTALAÇÃO. AF_01/2019</v>
      </c>
      <c r="D146" s="374" t="str">
        <f>(IF($A146="SINAPI",INDEX(SINAPI_NOV2020_NDES!$A$7:$H$6790,MATCH($B146,SINAPI_NOV2020_NDES!$A$7:$A$6790,0),3),(INDEX(COMPOS!$A$4:$G$5000,MATCH($B146,COMPOS!$A$4:$A$5000,0),3))))</f>
        <v>UN</v>
      </c>
      <c r="E146" s="397">
        <v>1</v>
      </c>
      <c r="F146" s="326">
        <f>(IF($A146="SINAPI",INDEX(SINAPI_NOV2020_NDES!$A$7:$H$6703,MATCH($B146,SINAPI_NOV2020_NDES!$A$7:$A$6703,0),5),(INDEX(COMPOS!$A$4:$G$801,MATCH($B146,COMPOS!$A$4:A$801,0),4))))</f>
        <v>23.85</v>
      </c>
      <c r="G146" s="320">
        <f>(IF($A146="SINAPI",INDEX(SINAPI_NOV2020_NDES!$A$7:$H$6703,MATCH($B146,SINAPI_NOV2020_NDES!$A$7:$A$6703,0),6),(INDEX(COMPOS!$A$4:$G$801,MATCH($B146,COMPOS!$A$4:A$801,0),5))))</f>
        <v>265.79000000000002</v>
      </c>
      <c r="H146" s="320">
        <f>(IF($A146="SINAPI",INDEX(SINAPI_NOV2020_NDES!$A$7:$H$6703,MATCH($B146,SINAPI_NOV2020_NDES!$A$7:$A$6703,0),7),(INDEX(COMPOS!$A$4:$G$801,MATCH($B146,COMPOS!$A$4:A$801,0),6))))</f>
        <v>0</v>
      </c>
      <c r="I146" s="326">
        <f t="shared" si="36"/>
        <v>289.64000000000004</v>
      </c>
      <c r="J146" s="316">
        <f t="shared" si="37"/>
        <v>289.64000000000004</v>
      </c>
      <c r="K146" s="168"/>
      <c r="L146" s="168"/>
      <c r="M146" s="168"/>
      <c r="N146" s="168"/>
      <c r="O146" s="264"/>
      <c r="P146" s="259"/>
    </row>
    <row r="147" spans="1:16" s="168" customFormat="1" ht="12">
      <c r="A147" s="385" t="s">
        <v>6307</v>
      </c>
      <c r="B147" s="341">
        <v>273</v>
      </c>
      <c r="C147" s="393" t="str">
        <f>(IF($A147="SINAPI",INDEX(SINAPI_NOV2020_NDES!$A$7:$H$6703,MATCH($B147,SINAPI_NOV2020_NDES!$A$7:$A$6703,0),2),IF($A147="GOINFRA",INDEX(#REF!,MATCH($B147,#REF!,0),2),(INDEX(COMPOS!$A$4:$G$3900,MATCH($B147,COMPOS!$A$4:A$3900,0),2)))))</f>
        <v>VÁLVULA DE RETENÇÃO VERTICAL 2.1/2"</v>
      </c>
      <c r="D147" s="374" t="str">
        <f>(IF($A147="SINAPI",INDEX(SINAPI_NOV2020_NDES!$A$7:$H$6790,MATCH($B147,SINAPI_NOV2020_NDES!$A$7:$A$6790,0),3),(INDEX(COMPOS!$A$4:$G$5000,MATCH($B147,COMPOS!$A$4:$A$5000,0),3))))</f>
        <v>UN</v>
      </c>
      <c r="E147" s="397">
        <v>2</v>
      </c>
      <c r="F147" s="326">
        <f>(IF($A147="SINAPI",INDEX(SINAPI_NOV2020_NDES!$A$7:$H$6703,MATCH($B147,SINAPI_NOV2020_NDES!$A$7:$A$6703,0),5),(INDEX(COMPOS!$A$4:$G$801,MATCH($B147,COMPOS!$A$4:A$801,0),4))))</f>
        <v>43.055999999999997</v>
      </c>
      <c r="G147" s="320">
        <f>(IF($A147="SINAPI",INDEX(SINAPI_NOV2020_NDES!$A$7:$H$6703,MATCH($B147,SINAPI_NOV2020_NDES!$A$7:$A$6703,0),6),(INDEX(COMPOS!$A$4:$G$801,MATCH($B147,COMPOS!$A$4:A$801,0),5))))</f>
        <v>164.27</v>
      </c>
      <c r="H147" s="320">
        <f>(IF($A147="SINAPI",INDEX(SINAPI_NOV2020_NDES!$A$7:$H$6703,MATCH($B147,SINAPI_NOV2020_NDES!$A$7:$A$6703,0),7),(INDEX(COMPOS!$A$4:$G$801,MATCH($B147,COMPOS!$A$4:A$801,0),6))))</f>
        <v>0</v>
      </c>
      <c r="I147" s="326">
        <f t="shared" si="36"/>
        <v>207.32600000000002</v>
      </c>
      <c r="J147" s="316">
        <f t="shared" si="37"/>
        <v>414.65200000000004</v>
      </c>
      <c r="O147" s="264"/>
      <c r="P147" s="259"/>
    </row>
    <row r="148" spans="1:16" s="168" customFormat="1" ht="12">
      <c r="A148" s="385" t="s">
        <v>6307</v>
      </c>
      <c r="B148" s="341">
        <v>526</v>
      </c>
      <c r="C148" s="393" t="str">
        <f>(IF($A148="SINAPI",INDEX(SINAPI_NOV2020_NDES!$A$7:$H$6703,MATCH($B148,SINAPI_NOV2020_NDES!$A$7:$A$6703,0),2),IF($A148="GOINFRA",INDEX(#REF!,MATCH($B148,#REF!,0),2),(INDEX(COMPOS!$A$4:$G$3900,MATCH($B148,COMPOS!$A$4:A$3900,0),2)))))</f>
        <v>CURVA 45 GRAUS DE FERRO GALVANIZADO, COM ROSCA BSP FEMEA, DE 2 1/2"</v>
      </c>
      <c r="D148" s="374" t="str">
        <f>(IF($A148="SINAPI",INDEX(SINAPI_NOV2020_NDES!$A$7:$H$6790,MATCH($B148,SINAPI_NOV2020_NDES!$A$7:$A$6790,0),3),(INDEX(COMPOS!$A$4:$G$5000,MATCH($B148,COMPOS!$A$4:$A$5000,0),3))))</f>
        <v>UN</v>
      </c>
      <c r="E148" s="397">
        <v>1</v>
      </c>
      <c r="F148" s="326">
        <f>(IF($A148="SINAPI",INDEX(SINAPI_NOV2020_NDES!$A$7:$H$6703,MATCH($B148,SINAPI_NOV2020_NDES!$A$7:$A$6703,0),5),(INDEX(COMPOS!$A$4:$G$801,MATCH($B148,COMPOS!$A$4:A$801,0),4))))</f>
        <v>23.175359999999998</v>
      </c>
      <c r="G148" s="320">
        <f>(IF($A148="SINAPI",INDEX(SINAPI_NOV2020_NDES!$A$7:$H$6703,MATCH($B148,SINAPI_NOV2020_NDES!$A$7:$A$6703,0),6),(INDEX(COMPOS!$A$4:$G$801,MATCH($B148,COMPOS!$A$4:A$801,0),5))))</f>
        <v>139.41</v>
      </c>
      <c r="H148" s="320">
        <f>(IF($A148="SINAPI",INDEX(SINAPI_NOV2020_NDES!$A$7:$H$6703,MATCH($B148,SINAPI_NOV2020_NDES!$A$7:$A$6703,0),7),(INDEX(COMPOS!$A$4:$G$801,MATCH($B148,COMPOS!$A$4:A$801,0),6))))</f>
        <v>0</v>
      </c>
      <c r="I148" s="326">
        <f t="shared" si="36"/>
        <v>162.58535999999998</v>
      </c>
      <c r="J148" s="316">
        <f t="shared" si="37"/>
        <v>162.58535999999998</v>
      </c>
      <c r="O148" s="264"/>
      <c r="P148" s="259"/>
    </row>
    <row r="149" spans="1:16" s="168" customFormat="1" ht="12">
      <c r="A149" s="385" t="s">
        <v>6307</v>
      </c>
      <c r="B149" s="341">
        <v>527</v>
      </c>
      <c r="C149" s="393" t="str">
        <f>(IF($A149="SINAPI",INDEX(SINAPI_NOV2020_NDES!$A$7:$H$6703,MATCH($B149,SINAPI_NOV2020_NDES!$A$7:$A$6703,0),2),IF($A149="GOINFRA",INDEX(#REF!,MATCH($B149,#REF!,0),2),(INDEX(COMPOS!$A$4:$G$3900,MATCH($B149,COMPOS!$A$4:A$3900,0),2)))))</f>
        <v>NIPLE DE REDUCAO DE FERRO GALVANIZADO, COM ROSCA BSP, DE 2" X 1 1/2"</v>
      </c>
      <c r="D149" s="374" t="str">
        <f>(IF($A149="SINAPI",INDEX(SINAPI_NOV2020_NDES!$A$7:$H$6790,MATCH($B149,SINAPI_NOV2020_NDES!$A$7:$A$6790,0),3),(INDEX(COMPOS!$A$4:$G$5000,MATCH($B149,COMPOS!$A$4:$A$5000,0),3))))</f>
        <v>UN</v>
      </c>
      <c r="E149" s="397">
        <v>13</v>
      </c>
      <c r="F149" s="326">
        <f>(IF($A149="SINAPI",INDEX(SINAPI_NOV2020_NDES!$A$7:$H$6703,MATCH($B149,SINAPI_NOV2020_NDES!$A$7:$A$6703,0),5),(INDEX(COMPOS!$A$4:$G$801,MATCH($B149,COMPOS!$A$4:A$801,0),4))))</f>
        <v>23.175359999999998</v>
      </c>
      <c r="G149" s="320">
        <f>(IF($A149="SINAPI",INDEX(SINAPI_NOV2020_NDES!$A$7:$H$6703,MATCH($B149,SINAPI_NOV2020_NDES!$A$7:$A$6703,0),6),(INDEX(COMPOS!$A$4:$G$801,MATCH($B149,COMPOS!$A$4:A$801,0),5))))</f>
        <v>31.855</v>
      </c>
      <c r="H149" s="320">
        <f>(IF($A149="SINAPI",INDEX(SINAPI_NOV2020_NDES!$A$7:$H$6703,MATCH($B149,SINAPI_NOV2020_NDES!$A$7:$A$6703,0),7),(INDEX(COMPOS!$A$4:$G$801,MATCH($B149,COMPOS!$A$4:A$801,0),6))))</f>
        <v>0</v>
      </c>
      <c r="I149" s="326">
        <f t="shared" si="36"/>
        <v>55.030360000000002</v>
      </c>
      <c r="J149" s="316">
        <f t="shared" si="37"/>
        <v>715.39467999999999</v>
      </c>
      <c r="O149" s="264"/>
      <c r="P149" s="259"/>
    </row>
    <row r="150" spans="1:16" s="168" customFormat="1" ht="24">
      <c r="A150" s="385" t="s">
        <v>6307</v>
      </c>
      <c r="B150" s="341">
        <v>531</v>
      </c>
      <c r="C150" s="393" t="str">
        <f>(IF($A150="SINAPI",INDEX(SINAPI_NOV2020_NDES!$A$7:$H$6703,MATCH($B150,SINAPI_NOV2020_NDES!$A$7:$A$6703,0),2),IF($A150="GOINFRA",INDEX(#REF!,MATCH($B150,#REF!,0),2),(INDEX(COMPOS!$A$4:$G$3900,MATCH($B150,COMPOS!$A$4:A$3900,0),2)))))</f>
        <v>TAMPAO COM CORRENTE, EM LATAO, ENGATE RAPIDO 1 1/2", PARA INSTALACAO PREDIAL DE COMBATE A INCENDIO</v>
      </c>
      <c r="D150" s="374" t="str">
        <f>(IF($A150="SINAPI",INDEX(SINAPI_NOV2020_NDES!$A$7:$H$6790,MATCH($B150,SINAPI_NOV2020_NDES!$A$7:$A$6790,0),3),(INDEX(COMPOS!$A$4:$G$5000,MATCH($B150,COMPOS!$A$4:$A$5000,0),3))))</f>
        <v>UN</v>
      </c>
      <c r="E150" s="397">
        <v>12</v>
      </c>
      <c r="F150" s="326">
        <f>(IF($A150="SINAPI",INDEX(SINAPI_NOV2020_NDES!$A$7:$H$6703,MATCH($B150,SINAPI_NOV2020_NDES!$A$7:$A$6703,0),5),(INDEX(COMPOS!$A$4:$G$801,MATCH($B150,COMPOS!$A$4:A$801,0),4))))</f>
        <v>5.6159999999999997</v>
      </c>
      <c r="G150" s="320">
        <f>(IF($A150="SINAPI",INDEX(SINAPI_NOV2020_NDES!$A$7:$H$6703,MATCH($B150,SINAPI_NOV2020_NDES!$A$7:$A$6703,0),6),(INDEX(COMPOS!$A$4:$G$801,MATCH($B150,COMPOS!$A$4:A$801,0),5))))</f>
        <v>70.28</v>
      </c>
      <c r="H150" s="320">
        <f>(IF($A150="SINAPI",INDEX(SINAPI_NOV2020_NDES!$A$7:$H$6703,MATCH($B150,SINAPI_NOV2020_NDES!$A$7:$A$6703,0),7),(INDEX(COMPOS!$A$4:$G$801,MATCH($B150,COMPOS!$A$4:A$801,0),6))))</f>
        <v>0</v>
      </c>
      <c r="I150" s="326">
        <f t="shared" si="36"/>
        <v>75.896000000000001</v>
      </c>
      <c r="J150" s="316">
        <f t="shared" si="37"/>
        <v>910.75199999999995</v>
      </c>
      <c r="O150" s="264"/>
      <c r="P150" s="259"/>
    </row>
    <row r="151" spans="1:16" s="168" customFormat="1" ht="24">
      <c r="A151" s="385" t="s">
        <v>6307</v>
      </c>
      <c r="B151" s="341">
        <v>529</v>
      </c>
      <c r="C151" s="393" t="str">
        <f>(IF($A151="SINAPI",INDEX(SINAPI_NOV2020_NDES!$A$7:$H$6703,MATCH($B151,SINAPI_NOV2020_NDES!$A$7:$A$6703,0),2),IF($A151="GOINFRA",INDEX(#REF!,MATCH($B151,#REF!,0),2),(INDEX(COMPOS!$A$4:$G$3900,MATCH($B151,COMPOS!$A$4:A$3900,0),2)))))</f>
        <v>TAMPAO COM CORRENTE, EM LATAO, ENGATE RAPIDO 2 1/2", PARA INSTALACAO PREDIAL DE COMBATE A INCENDIO</v>
      </c>
      <c r="D151" s="374" t="str">
        <f>(IF($A151="SINAPI",INDEX(SINAPI_NOV2020_NDES!$A$7:$H$6790,MATCH($B151,SINAPI_NOV2020_NDES!$A$7:$A$6790,0),3),(INDEX(COMPOS!$A$4:$G$5000,MATCH($B151,COMPOS!$A$4:$A$5000,0),3))))</f>
        <v>UN</v>
      </c>
      <c r="E151" s="397">
        <v>1</v>
      </c>
      <c r="F151" s="326">
        <f>(IF($A151="SINAPI",INDEX(SINAPI_NOV2020_NDES!$A$7:$H$6703,MATCH($B151,SINAPI_NOV2020_NDES!$A$7:$A$6703,0),5),(INDEX(COMPOS!$A$4:$G$801,MATCH($B151,COMPOS!$A$4:A$801,0),4))))</f>
        <v>5.6159999999999997</v>
      </c>
      <c r="G151" s="320">
        <f>(IF($A151="SINAPI",INDEX(SINAPI_NOV2020_NDES!$A$7:$H$6703,MATCH($B151,SINAPI_NOV2020_NDES!$A$7:$A$6703,0),6),(INDEX(COMPOS!$A$4:$G$801,MATCH($B151,COMPOS!$A$4:A$801,0),5))))</f>
        <v>94.28</v>
      </c>
      <c r="H151" s="320">
        <f>(IF($A151="SINAPI",INDEX(SINAPI_NOV2020_NDES!$A$7:$H$6703,MATCH($B151,SINAPI_NOV2020_NDES!$A$7:$A$6703,0),7),(INDEX(COMPOS!$A$4:$G$801,MATCH($B151,COMPOS!$A$4:A$801,0),6))))</f>
        <v>0</v>
      </c>
      <c r="I151" s="326">
        <f t="shared" si="36"/>
        <v>99.896000000000001</v>
      </c>
      <c r="J151" s="316">
        <f t="shared" si="37"/>
        <v>99.896000000000001</v>
      </c>
      <c r="O151" s="264"/>
      <c r="P151" s="259"/>
    </row>
    <row r="152" spans="1:16" s="168" customFormat="1" ht="12">
      <c r="A152" s="385" t="s">
        <v>6307</v>
      </c>
      <c r="B152" s="341">
        <v>532</v>
      </c>
      <c r="C152" s="393" t="str">
        <f>(IF($A152="SINAPI",INDEX(SINAPI_NOV2020_NDES!$A$7:$H$6703,MATCH($B152,SINAPI_NOV2020_NDES!$A$7:$A$6703,0),2),IF($A152="GOINFRA",INDEX(#REF!,MATCH($B152,#REF!,0),2),(INDEX(COMPOS!$A$4:$G$3900,MATCH($B152,COMPOS!$A$4:A$3900,0),2)))))</f>
        <v>TAMPA FERRO FUNDIDO (INCENDIO) 40 X 60 CM</v>
      </c>
      <c r="D152" s="374" t="str">
        <f>(IF($A152="SINAPI",INDEX(SINAPI_NOV2020_NDES!$A$7:$H$6790,MATCH($B152,SINAPI_NOV2020_NDES!$A$7:$A$6790,0),3),(INDEX(COMPOS!$A$4:$G$5000,MATCH($B152,COMPOS!$A$4:$A$5000,0),3))))</f>
        <v>UN</v>
      </c>
      <c r="E152" s="397">
        <v>1</v>
      </c>
      <c r="F152" s="326">
        <f>(IF($A152="SINAPI",INDEX(SINAPI_NOV2020_NDES!$A$7:$H$6703,MATCH($B152,SINAPI_NOV2020_NDES!$A$7:$A$6703,0),5),(INDEX(COMPOS!$A$4:$G$801,MATCH($B152,COMPOS!$A$4:A$801,0),4))))</f>
        <v>53.43127097</v>
      </c>
      <c r="G152" s="320">
        <f>(IF($A152="SINAPI",INDEX(SINAPI_NOV2020_NDES!$A$7:$H$6703,MATCH($B152,SINAPI_NOV2020_NDES!$A$7:$A$6703,0),6),(INDEX(COMPOS!$A$4:$G$801,MATCH($B152,COMPOS!$A$4:A$801,0),5))))</f>
        <v>260.05094918600003</v>
      </c>
      <c r="H152" s="320">
        <f>(IF($A152="SINAPI",INDEX(SINAPI_NOV2020_NDES!$A$7:$H$6703,MATCH($B152,SINAPI_NOV2020_NDES!$A$7:$A$6703,0),7),(INDEX(COMPOS!$A$4:$G$801,MATCH($B152,COMPOS!$A$4:A$801,0),6))))</f>
        <v>0</v>
      </c>
      <c r="I152" s="326">
        <f t="shared" si="36"/>
        <v>313.48222015600004</v>
      </c>
      <c r="J152" s="316">
        <f t="shared" si="37"/>
        <v>313.48222015600004</v>
      </c>
      <c r="O152" s="264"/>
      <c r="P152" s="259"/>
    </row>
    <row r="153" spans="1:16">
      <c r="A153" s="385" t="s">
        <v>6307</v>
      </c>
      <c r="B153" s="341">
        <v>267</v>
      </c>
      <c r="C153" s="393" t="str">
        <f>(IF($A153="SINAPI",INDEX(SINAPI_NOV2020_NDES!$A$7:$H$6703,MATCH($B153,SINAPI_NOV2020_NDES!$A$7:$A$6703,0),2),IF($A153="GOINFRA",INDEX(#REF!,MATCH($B153,#REF!,0),2),(INDEX(COMPOS!$A$4:$G$3900,MATCH($B153,COMPOS!$A$4:A$3900,0),2)))))</f>
        <v>REGISTRO GLOBO ANGULAR 2.1/2"</v>
      </c>
      <c r="D153" s="374" t="str">
        <f>(IF($A153="SINAPI",INDEX(SINAPI_NOV2020_NDES!$A$7:$H$6790,MATCH($B153,SINAPI_NOV2020_NDES!$A$7:$A$6790,0),3),(INDEX(COMPOS!$A$4:$G$5000,MATCH($B153,COMPOS!$A$4:$A$5000,0),3))))</f>
        <v>UN</v>
      </c>
      <c r="E153" s="397">
        <v>1</v>
      </c>
      <c r="F153" s="326">
        <f>(IF($A153="SINAPI",INDEX(SINAPI_NOV2020_NDES!$A$7:$H$6703,MATCH($B153,SINAPI_NOV2020_NDES!$A$7:$A$6703,0),5),(INDEX(COMPOS!$A$4:$G$801,MATCH($B153,COMPOS!$A$4:A$801,0),4))))</f>
        <v>18.72</v>
      </c>
      <c r="G153" s="320">
        <f>(IF($A153="SINAPI",INDEX(SINAPI_NOV2020_NDES!$A$7:$H$6703,MATCH($B153,SINAPI_NOV2020_NDES!$A$7:$A$6703,0),6),(INDEX(COMPOS!$A$4:$G$801,MATCH($B153,COMPOS!$A$4:A$801,0),5))))</f>
        <v>183.9</v>
      </c>
      <c r="H153" s="320">
        <f>(IF($A153="SINAPI",INDEX(SINAPI_NOV2020_NDES!$A$7:$H$6703,MATCH($B153,SINAPI_NOV2020_NDES!$A$7:$A$6703,0),7),(INDEX(COMPOS!$A$4:$G$801,MATCH($B153,COMPOS!$A$4:A$801,0),6))))</f>
        <v>0</v>
      </c>
      <c r="I153" s="326">
        <f t="shared" si="36"/>
        <v>202.62</v>
      </c>
      <c r="J153" s="316">
        <f t="shared" si="37"/>
        <v>202.62</v>
      </c>
      <c r="K153" s="168"/>
      <c r="L153" s="168"/>
      <c r="M153" s="168"/>
      <c r="N153" s="168"/>
      <c r="O153" s="264"/>
      <c r="P153" s="259"/>
    </row>
    <row r="154" spans="1:16" s="168" customFormat="1" ht="48">
      <c r="A154" s="385" t="s">
        <v>7</v>
      </c>
      <c r="B154" s="341">
        <v>87495</v>
      </c>
      <c r="C154" s="393" t="str">
        <f>(IF($A154="SINAPI",INDEX(SINAPI_NOV2020_NDES!$A$7:$H$6703,MATCH($B154,SINAPI_NOV2020_NDES!$A$7:$A$6703,0),2),IF($A154="GOINFRA",INDEX(#REF!,MATCH($B154,#REF!,0),2),(INDEX(COMPOS!$A$4:$G$3900,MATCH($B154,COMPOS!$A$4:A$3900,0),2)))))</f>
        <v>ALVENARIA DE VEDAÇÃO DE BLOCOS CERÂMICOS FURADOS NA HORIZONTAL DE 9X19X19CM (ESPESSURA 9CM) DE PAREDES COM ÁREA LÍQUIDA MENOR QUE 6M² SEM VÃOS E ARGAMASSA DE ASSENTAMENTO COM PREPARO EM BETONEIRA. AF_06/2014</v>
      </c>
      <c r="D154" s="374" t="str">
        <f>(IF($A154="SINAPI",INDEX(SINAPI_NOV2020_NDES!$A$7:$H$6790,MATCH($B154,SINAPI_NOV2020_NDES!$A$7:$A$6790,0),3),(INDEX(COMPOS!$A$4:$G$5000,MATCH($B154,COMPOS!$A$4:$A$5000,0),3))))</f>
        <v>M2</v>
      </c>
      <c r="E154" s="397">
        <f>12*2</f>
        <v>24</v>
      </c>
      <c r="F154" s="326">
        <f>(IF($A154="SINAPI",INDEX(SINAPI_NOV2020_NDES!$A$7:$H$6703,MATCH($B154,SINAPI_NOV2020_NDES!$A$7:$A$6703,0),5),(INDEX(COMPOS!$A$4:$G$801,MATCH($B154,COMPOS!$A$4:A$801,0),4))))</f>
        <v>38.869999999999997</v>
      </c>
      <c r="G154" s="320">
        <f>(IF($A154="SINAPI",INDEX(SINAPI_NOV2020_NDES!$A$7:$H$6703,MATCH($B154,SINAPI_NOV2020_NDES!$A$7:$A$6703,0),6),(INDEX(COMPOS!$A$4:$G$801,MATCH($B154,COMPOS!$A$4:A$801,0),5))))</f>
        <v>35.06</v>
      </c>
      <c r="H154" s="320">
        <f>(IF($A154="SINAPI",INDEX(SINAPI_NOV2020_NDES!$A$7:$H$6703,MATCH($B154,SINAPI_NOV2020_NDES!$A$7:$A$6703,0),7),(INDEX(COMPOS!$A$4:$G$801,MATCH($B154,COMPOS!$A$4:A$801,0),6))))</f>
        <v>0</v>
      </c>
      <c r="I154" s="326">
        <f t="shared" si="36"/>
        <v>73.930000000000007</v>
      </c>
      <c r="J154" s="316">
        <f t="shared" si="37"/>
        <v>1774.3200000000002</v>
      </c>
      <c r="O154" s="264"/>
      <c r="P154" s="259"/>
    </row>
    <row r="155" spans="1:16" s="168" customFormat="1" ht="36">
      <c r="A155" s="385" t="s">
        <v>7</v>
      </c>
      <c r="B155" s="341">
        <v>87879</v>
      </c>
      <c r="C155" s="393" t="str">
        <f>(IF($A155="SINAPI",INDEX(SINAPI_NOV2020_NDES!$A$7:$H$6703,MATCH($B155,SINAPI_NOV2020_NDES!$A$7:$A$6703,0),2),IF($A155="GOINFRA",INDEX(#REF!,MATCH($B155,#REF!,0),2),(INDEX(COMPOS!$A$4:$G$3900,MATCH($B155,COMPOS!$A$4:A$3900,0),2)))))</f>
        <v>CHAPISCO APLICADO EM ALVENARIAS E ESTRUTURAS DE CONCRETO INTERNAS, COM COLHER DE PEDREIRO.  ARGAMASSA TRAÇO 1:3 COM PREPARO EM BETONEIRA 400L. AF_06/2014</v>
      </c>
      <c r="D155" s="374" t="str">
        <f>(IF($A155="SINAPI",INDEX(SINAPI_NOV2020_NDES!$A$7:$H$6790,MATCH($B155,SINAPI_NOV2020_NDES!$A$7:$A$6790,0),3),(INDEX(COMPOS!$A$4:$G$5000,MATCH($B155,COMPOS!$A$4:$A$5000,0),3))))</f>
        <v>M2</v>
      </c>
      <c r="E155" s="397">
        <f>12*2</f>
        <v>24</v>
      </c>
      <c r="F155" s="326">
        <f>(IF($A155="SINAPI",INDEX(SINAPI_NOV2020_NDES!$A$7:$H$6703,MATCH($B155,SINAPI_NOV2020_NDES!$A$7:$A$6703,0),5),(INDEX(COMPOS!$A$4:$G$801,MATCH($B155,COMPOS!$A$4:A$801,0),4))))</f>
        <v>1.67</v>
      </c>
      <c r="G155" s="320">
        <f>(IF($A155="SINAPI",INDEX(SINAPI_NOV2020_NDES!$A$7:$H$6703,MATCH($B155,SINAPI_NOV2020_NDES!$A$7:$A$6703,0),6),(INDEX(COMPOS!$A$4:$G$801,MATCH($B155,COMPOS!$A$4:A$801,0),5))))</f>
        <v>1.74</v>
      </c>
      <c r="H155" s="320">
        <f>(IF($A155="SINAPI",INDEX(SINAPI_NOV2020_NDES!$A$7:$H$6703,MATCH($B155,SINAPI_NOV2020_NDES!$A$7:$A$6703,0),7),(INDEX(COMPOS!$A$4:$G$801,MATCH($B155,COMPOS!$A$4:A$801,0),6))))</f>
        <v>0</v>
      </c>
      <c r="I155" s="326">
        <f t="shared" si="36"/>
        <v>3.41</v>
      </c>
      <c r="J155" s="316">
        <f t="shared" si="37"/>
        <v>81.84</v>
      </c>
      <c r="O155" s="264"/>
      <c r="P155" s="259"/>
    </row>
    <row r="156" spans="1:16" s="168" customFormat="1" ht="36">
      <c r="A156" s="385" t="s">
        <v>7</v>
      </c>
      <c r="B156" s="398">
        <v>87530</v>
      </c>
      <c r="C156" s="393" t="str">
        <f>(IF($A156="SINAPI",INDEX(SINAPI_NOV2020_NDES!$A$7:$H$6703,MATCH($B156,SINAPI_NOV2020_NDES!$A$7:$A$6703,0),2),IF($A156="GOINFRA",INDEX(#REF!,MATCH($B156,#REF!,0),2),(INDEX(COMPOS!$A$4:$G$3900,MATCH($B156,COMPOS!$A$4:A$3900,0),2)))))</f>
        <v>MASSA ÚNICA, PARA RECEBIMENTO DE PINTURA, EM ARGAMASSA TRAÇO 1:2:8, PREPARO MANUAL, APLICADA MANUALMENTE EM FACES INTERNAS DE PAREDES, ESPESSURA DE 20MM, COM EXECUÇÃO DE TALISCAS. AF_06/2014</v>
      </c>
      <c r="D156" s="374" t="str">
        <f>(IF($A156="SINAPI",INDEX(SINAPI_NOV2020_NDES!$A$7:$H$6790,MATCH($B156,SINAPI_NOV2020_NDES!$A$7:$A$6790,0),3),(INDEX(COMPOS!$A$4:$G$5000,MATCH($B156,COMPOS!$A$4:$A$5000,0),3))))</f>
        <v>M2</v>
      </c>
      <c r="E156" s="397">
        <f>12*2</f>
        <v>24</v>
      </c>
      <c r="F156" s="326">
        <f>(IF($A156="SINAPI",INDEX(SINAPI_NOV2020_NDES!$A$7:$H$6703,MATCH($B156,SINAPI_NOV2020_NDES!$A$7:$A$6703,0),5),(INDEX(COMPOS!$A$4:$G$801,MATCH($B156,COMPOS!$A$4:A$801,0),4))))</f>
        <v>14.31</v>
      </c>
      <c r="G156" s="320">
        <f>(IF($A156="SINAPI",INDEX(SINAPI_NOV2020_NDES!$A$7:$H$6703,MATCH($B156,SINAPI_NOV2020_NDES!$A$7:$A$6703,0),6),(INDEX(COMPOS!$A$4:$G$801,MATCH($B156,COMPOS!$A$4:A$801,0),5))))</f>
        <v>18.489999999999998</v>
      </c>
      <c r="H156" s="320">
        <f>(IF($A156="SINAPI",INDEX(SINAPI_NOV2020_NDES!$A$7:$H$6703,MATCH($B156,SINAPI_NOV2020_NDES!$A$7:$A$6703,0),7),(INDEX(COMPOS!$A$4:$G$801,MATCH($B156,COMPOS!$A$4:A$801,0),6))))</f>
        <v>0</v>
      </c>
      <c r="I156" s="326">
        <f t="shared" si="36"/>
        <v>32.799999999999997</v>
      </c>
      <c r="J156" s="316">
        <f t="shared" si="37"/>
        <v>787.19999999999993</v>
      </c>
      <c r="O156" s="264"/>
      <c r="P156" s="259"/>
    </row>
    <row r="157" spans="1:16" s="168" customFormat="1" ht="12">
      <c r="A157" s="716" t="s">
        <v>6927</v>
      </c>
      <c r="B157" s="716"/>
      <c r="C157" s="716"/>
      <c r="D157" s="716"/>
      <c r="E157" s="716"/>
      <c r="F157" s="716"/>
      <c r="G157" s="716"/>
      <c r="H157" s="716"/>
      <c r="I157" s="716"/>
      <c r="J157" s="390">
        <f>SUM(J132:J156)</f>
        <v>55571.796664155991</v>
      </c>
      <c r="P157" s="259"/>
    </row>
    <row r="158" spans="1:16" s="168" customFormat="1" ht="12">
      <c r="A158" s="385"/>
      <c r="B158" s="386">
        <v>180</v>
      </c>
      <c r="C158" s="387" t="s">
        <v>595</v>
      </c>
      <c r="D158" s="385" t="s">
        <v>6922</v>
      </c>
      <c r="E158" s="388"/>
      <c r="F158" s="317"/>
      <c r="G158" s="316"/>
      <c r="H158" s="319"/>
      <c r="I158" s="319"/>
      <c r="J158" s="319"/>
      <c r="P158" s="259"/>
    </row>
    <row r="159" spans="1:16" s="168" customFormat="1" ht="36">
      <c r="A159" s="341" t="s">
        <v>6307</v>
      </c>
      <c r="B159" s="341">
        <v>63</v>
      </c>
      <c r="C159" s="393" t="str">
        <f>(IF($A159="SINAPI",INDEX(SINAPI_NOV2020_NDES!$A$7:$H$6703,MATCH($B159,SINAPI_NOV2020_NDES!$A$7:$A$6703,0),2),IF($A159="GOINFRA",INDEX(#REF!,MATCH($B159,#REF!,0),2),(INDEX(COMPOS!$A$4:$G$3900,MATCH($B159,COMPOS!$A$4:A$3900,0),2)))))</f>
        <v>PORTÃO METÁLICO DO TIPO NYLOFOR 3D OU EQUIVALENTE (3,50X 2,03 M) DE CORRER COM MOTOR SEMI INDUSTRIAL/ CREMALHEIRA / 2 CONTROLES REMOTOS</v>
      </c>
      <c r="D159" s="374" t="str">
        <f>(IF($A159="SINAPI",INDEX(SINAPI_NOV2020_NDES!$A$7:$H$6790,MATCH($B159,SINAPI_NOV2020_NDES!$A$7:$A$6790,0),3),(INDEX(COMPOS!$A$4:$G$5000,MATCH($B159,COMPOS!$A$4:$A$5000,0),3))))</f>
        <v>UN</v>
      </c>
      <c r="E159" s="399">
        <v>1</v>
      </c>
      <c r="F159" s="326">
        <f>(IF($A159="SINAPI",INDEX(SINAPI_NOV2020_NDES!$A$7:$H$6703,MATCH($B159,SINAPI_NOV2020_NDES!$A$7:$A$6703,0),5),(INDEX(COMPOS!$A$4:$G$801,MATCH($B159,COMPOS!$A$4:A$801,0),4))))</f>
        <v>205.22735899999998</v>
      </c>
      <c r="G159" s="320">
        <f>(IF($A159="SINAPI",INDEX(SINAPI_NOV2020_NDES!$A$7:$H$6703,MATCH($B159,SINAPI_NOV2020_NDES!$A$7:$A$6703,0),6),(INDEX(COMPOS!$A$4:$G$801,MATCH($B159,COMPOS!$A$4:A$801,0),5))))</f>
        <v>5581.5300000000007</v>
      </c>
      <c r="H159" s="320">
        <f>(IF($A159="SINAPI",INDEX(SINAPI_NOV2020_NDES!$A$7:$H$6703,MATCH($B159,SINAPI_NOV2020_NDES!$A$7:$A$6703,0),7),(INDEX(COMPOS!$A$4:$G$801,MATCH($B159,COMPOS!$A$4:A$801,0),6))))</f>
        <v>0</v>
      </c>
      <c r="I159" s="326">
        <f t="shared" ref="I159" si="38">SUM(F159:H159)</f>
        <v>5786.7573590000011</v>
      </c>
      <c r="J159" s="316">
        <f t="shared" ref="J159" si="39">+I159*E159</f>
        <v>5786.7573590000011</v>
      </c>
      <c r="O159" s="264"/>
      <c r="P159" s="259"/>
    </row>
    <row r="160" spans="1:16" ht="24">
      <c r="A160" s="341" t="s">
        <v>6307</v>
      </c>
      <c r="B160" s="341">
        <v>64</v>
      </c>
      <c r="C160" s="393" t="str">
        <f>(IF($A160="SINAPI",INDEX(SINAPI_NOV2020_NDES!$A$7:$H$6703,MATCH($B160,SINAPI_NOV2020_NDES!$A$7:$A$6703,0),2),IF($A160="GOINFRA",INDEX(#REF!,MATCH($B160,#REF!,0),2),(INDEX(COMPOS!$A$4:$G$3900,MATCH($B160,COMPOS!$A$4:A$3900,0),2)))))</f>
        <v>PORTÃO METÁLICO DO TIPO NYLOFOR 3D OU EQUIVALENTE (1,00 X 2,03 M) DE ABRIR</v>
      </c>
      <c r="D160" s="374" t="str">
        <f>(IF($A160="SINAPI",INDEX(SINAPI_NOV2020_NDES!$A$7:$H$6790,MATCH($B160,SINAPI_NOV2020_NDES!$A$7:$A$6790,0),3),(INDEX(COMPOS!$A$4:$G$5000,MATCH($B160,COMPOS!$A$4:$A$5000,0),3))))</f>
        <v>UN</v>
      </c>
      <c r="E160" s="399">
        <v>2</v>
      </c>
      <c r="F160" s="326">
        <f>(IF($A160="SINAPI",INDEX(SINAPI_NOV2020_NDES!$A$7:$H$6703,MATCH($B160,SINAPI_NOV2020_NDES!$A$7:$A$6703,0),5),(INDEX(COMPOS!$A$4:$G$801,MATCH($B160,COMPOS!$A$4:A$801,0),4))))</f>
        <v>0</v>
      </c>
      <c r="G160" s="320">
        <f>(IF($A160="SINAPI",INDEX(SINAPI_NOV2020_NDES!$A$7:$H$6703,MATCH($B160,SINAPI_NOV2020_NDES!$A$7:$A$6703,0),6),(INDEX(COMPOS!$A$4:$G$801,MATCH($B160,COMPOS!$A$4:A$801,0),5))))</f>
        <v>1101.8666666666666</v>
      </c>
      <c r="H160" s="320">
        <f>(IF($A160="SINAPI",INDEX(SINAPI_NOV2020_NDES!$A$7:$H$6703,MATCH($B160,SINAPI_NOV2020_NDES!$A$7:$A$6703,0),7),(INDEX(COMPOS!$A$4:$G$801,MATCH($B160,COMPOS!$A$4:A$801,0),6))))</f>
        <v>0</v>
      </c>
      <c r="I160" s="326">
        <f t="shared" ref="I160:I161" si="40">SUM(F160:H160)</f>
        <v>1101.8666666666666</v>
      </c>
      <c r="J160" s="316">
        <f t="shared" ref="J160:J161" si="41">+I160*E160</f>
        <v>2203.7333333333331</v>
      </c>
      <c r="K160" s="168"/>
      <c r="L160" s="168"/>
      <c r="M160" s="168"/>
      <c r="N160" s="168"/>
      <c r="O160" s="264"/>
      <c r="P160" s="259"/>
    </row>
    <row r="161" spans="1:16" s="168" customFormat="1" ht="12">
      <c r="A161" s="341" t="s">
        <v>6307</v>
      </c>
      <c r="B161" s="341">
        <v>65</v>
      </c>
      <c r="C161" s="393" t="str">
        <f>(IF($A161="SINAPI",INDEX(SINAPI_NOV2020_NDES!$A$7:$H$6703,MATCH($B161,SINAPI_NOV2020_NDES!$A$7:$A$6703,0),2),IF($A161="GOINFRA",INDEX(#REF!,MATCH($B161,#REF!,0),2),(INDEX(COMPOS!$A$4:$G$3900,MATCH($B161,COMPOS!$A$4:A$3900,0),2)))))</f>
        <v>GRADIL METÁLICO TIPO NYLOFOR 3D H=2,03 M</v>
      </c>
      <c r="D161" s="374" t="str">
        <f>(IF($A161="SINAPI",INDEX(SINAPI_NOV2020_NDES!$A$7:$H$6790,MATCH($B161,SINAPI_NOV2020_NDES!$A$7:$A$6790,0),3),(INDEX(COMPOS!$A$4:$G$5000,MATCH($B161,COMPOS!$A$4:$A$5000,0),3))))</f>
        <v>M</v>
      </c>
      <c r="E161" s="399">
        <v>301.2</v>
      </c>
      <c r="F161" s="326">
        <f>(IF($A161="SINAPI",INDEX(SINAPI_NOV2020_NDES!$A$7:$H$6703,MATCH($B161,SINAPI_NOV2020_NDES!$A$7:$A$6703,0),5),(INDEX(COMPOS!$A$4:$G$801,MATCH($B161,COMPOS!$A$4:A$801,0),4))))</f>
        <v>64.198791999999997</v>
      </c>
      <c r="G161" s="320">
        <f>(IF($A161="SINAPI",INDEX(SINAPI_NOV2020_NDES!$A$7:$H$6703,MATCH($B161,SINAPI_NOV2020_NDES!$A$7:$A$6703,0),6),(INDEX(COMPOS!$A$4:$G$801,MATCH($B161,COMPOS!$A$4:A$801,0),5))))</f>
        <v>893.09490399999981</v>
      </c>
      <c r="H161" s="320">
        <f>(IF($A161="SINAPI",INDEX(SINAPI_NOV2020_NDES!$A$7:$H$6703,MATCH($B161,SINAPI_NOV2020_NDES!$A$7:$A$6703,0),7),(INDEX(COMPOS!$A$4:$G$801,MATCH($B161,COMPOS!$A$4:A$801,0),6))))</f>
        <v>0</v>
      </c>
      <c r="I161" s="326">
        <f t="shared" si="40"/>
        <v>957.29369599999984</v>
      </c>
      <c r="J161" s="316">
        <f t="shared" si="41"/>
        <v>288336.86123519996</v>
      </c>
      <c r="O161" s="264"/>
      <c r="P161" s="259"/>
    </row>
    <row r="162" spans="1:16" s="168" customFormat="1" ht="12">
      <c r="A162" s="716" t="s">
        <v>6927</v>
      </c>
      <c r="B162" s="716"/>
      <c r="C162" s="716"/>
      <c r="D162" s="716"/>
      <c r="E162" s="716"/>
      <c r="F162" s="716"/>
      <c r="G162" s="716"/>
      <c r="H162" s="716"/>
      <c r="I162" s="716"/>
      <c r="J162" s="390">
        <f>SUM(J159:J161)</f>
        <v>296327.35192753328</v>
      </c>
      <c r="P162" s="259"/>
    </row>
    <row r="163" spans="1:16" s="168" customFormat="1" ht="12">
      <c r="A163" s="385"/>
      <c r="B163" s="386">
        <v>184</v>
      </c>
      <c r="C163" s="387" t="s">
        <v>591</v>
      </c>
      <c r="D163" s="385" t="s">
        <v>6922</v>
      </c>
      <c r="E163" s="388"/>
      <c r="F163" s="317"/>
      <c r="G163" s="316"/>
      <c r="H163" s="319"/>
      <c r="I163" s="319"/>
      <c r="J163" s="319"/>
      <c r="P163" s="259"/>
    </row>
    <row r="164" spans="1:16" s="168" customFormat="1" ht="12">
      <c r="A164" s="341" t="s">
        <v>6307</v>
      </c>
      <c r="B164" s="341">
        <v>349</v>
      </c>
      <c r="C164" s="393" t="str">
        <f>(IF($A164="SINAPI",INDEX(SINAPI_NOV2020_NDES!$A$7:$H$6703,MATCH($B164,SINAPI_NOV2020_NDES!$A$7:$A$6703,0),2),IF($A164="GOINFRA",INDEX(#REF!,MATCH($B164,#REF!,0),2),(INDEX(COMPOS!$A$4:$G$3900,MATCH($B164,COMPOS!$A$4:A$3900,0),2)))))</f>
        <v>PISO EM CONCRETO DESEMPENADO 5CM (1:2,5:3,5)</v>
      </c>
      <c r="D164" s="374" t="str">
        <f>(IF($A164="SINAPI",INDEX(SINAPI_NOV2020_NDES!$A$7:$H$6790,MATCH($B164,SINAPI_NOV2020_NDES!$A$7:$A$6790,0),3),(INDEX(COMPOS!$A$4:$G$5000,MATCH($B164,COMPOS!$A$4:$A$5000,0),3))))</f>
        <v>M2</v>
      </c>
      <c r="E164" s="319">
        <v>2565.7399999999998</v>
      </c>
      <c r="F164" s="326">
        <f>(IF($A164="SINAPI",INDEX(SINAPI_NOV2020_NDES!$A$7:$H$6703,MATCH($B164,SINAPI_NOV2020_NDES!$A$7:$A$6703,0),5),(INDEX(COMPOS!$A$4:$G$801,MATCH($B164,COMPOS!$A$4:A$801,0),4))))</f>
        <v>14.561212999999999</v>
      </c>
      <c r="G164" s="320">
        <f>(IF($A164="SINAPI",INDEX(SINAPI_NOV2020_NDES!$A$7:$H$6703,MATCH($B164,SINAPI_NOV2020_NDES!$A$7:$A$6703,0),6),(INDEX(COMPOS!$A$4:$G$801,MATCH($B164,COMPOS!$A$4:A$801,0),5))))</f>
        <v>15.349762</v>
      </c>
      <c r="H164" s="320">
        <f>(IF($A164="SINAPI",INDEX(SINAPI_NOV2020_NDES!$A$7:$H$6703,MATCH($B164,SINAPI_NOV2020_NDES!$A$7:$A$6703,0),7),(INDEX(COMPOS!$A$4:$G$801,MATCH($B164,COMPOS!$A$4:A$801,0),6))))</f>
        <v>0</v>
      </c>
      <c r="I164" s="326">
        <f t="shared" ref="I164" si="42">SUM(F164:H164)</f>
        <v>29.910975000000001</v>
      </c>
      <c r="J164" s="316">
        <f t="shared" ref="J164" si="43">+I164*E164</f>
        <v>76743.784996499991</v>
      </c>
      <c r="O164" s="264"/>
      <c r="P164" s="259"/>
    </row>
    <row r="165" spans="1:16">
      <c r="A165" s="341" t="s">
        <v>6307</v>
      </c>
      <c r="B165" s="341">
        <v>482</v>
      </c>
      <c r="C165" s="393" t="str">
        <f>(IF($A165="SINAPI",INDEX(SINAPI_NOV2020_NDES!$A$7:$H$6703,MATCH($B165,SINAPI_NOV2020_NDES!$A$7:$A$6703,0),2),IF($A165="GOINFRA",INDEX(#REF!,MATCH($B165,#REF!,0),2),(INDEX(COMPOS!$A$4:$G$3900,MATCH($B165,COMPOS!$A$4:A$3900,0),2)))))</f>
        <v>PISO PODOTÁTIL CONCRETO 25X25 DIRECIONAL</v>
      </c>
      <c r="D165" s="374" t="str">
        <f>(IF($A165="SINAPI",INDEX(SINAPI_NOV2020_NDES!$A$7:$H$6790,MATCH($B165,SINAPI_NOV2020_NDES!$A$7:$A$6790,0),3),(INDEX(COMPOS!$A$4:$G$5000,MATCH($B165,COMPOS!$A$4:$A$5000,0),3))))</f>
        <v>M2</v>
      </c>
      <c r="E165" s="319">
        <v>60.02</v>
      </c>
      <c r="F165" s="326">
        <f>(IF($A165="SINAPI",INDEX(SINAPI_NOV2020_NDES!$A$7:$H$6703,MATCH($B165,SINAPI_NOV2020_NDES!$A$7:$A$6703,0),5),(INDEX(COMPOS!$A$4:$G$801,MATCH($B165,COMPOS!$A$4:A$801,0),4))))</f>
        <v>26.110093999999997</v>
      </c>
      <c r="G165" s="320">
        <f>(IF($A165="SINAPI",INDEX(SINAPI_NOV2020_NDES!$A$7:$H$6703,MATCH($B165,SINAPI_NOV2020_NDES!$A$7:$A$6703,0),6),(INDEX(COMPOS!$A$4:$G$801,MATCH($B165,COMPOS!$A$4:A$801,0),5))))</f>
        <v>65.552500000000009</v>
      </c>
      <c r="H165" s="320">
        <f>(IF($A165="SINAPI",INDEX(SINAPI_NOV2020_NDES!$A$7:$H$6703,MATCH($B165,SINAPI_NOV2020_NDES!$A$7:$A$6703,0),7),(INDEX(COMPOS!$A$4:$G$801,MATCH($B165,COMPOS!$A$4:A$801,0),6))))</f>
        <v>0</v>
      </c>
      <c r="I165" s="326">
        <f t="shared" ref="I165" si="44">SUM(F165:H165)</f>
        <v>91.662594000000013</v>
      </c>
      <c r="J165" s="316">
        <f t="shared" ref="J165" si="45">+I165*E165</f>
        <v>5501.588891880001</v>
      </c>
      <c r="K165" s="168"/>
      <c r="L165" s="168"/>
      <c r="M165" s="168"/>
      <c r="N165" s="168"/>
      <c r="O165" s="264"/>
      <c r="P165" s="259"/>
    </row>
    <row r="166" spans="1:16" s="168" customFormat="1" ht="12">
      <c r="A166" s="716" t="s">
        <v>6927</v>
      </c>
      <c r="B166" s="716"/>
      <c r="C166" s="716"/>
      <c r="D166" s="716"/>
      <c r="E166" s="716"/>
      <c r="F166" s="716"/>
      <c r="G166" s="716"/>
      <c r="H166" s="716"/>
      <c r="I166" s="716"/>
      <c r="J166" s="390">
        <f>SUM(J164:J165)</f>
        <v>82245.373888379996</v>
      </c>
      <c r="P166" s="259"/>
    </row>
    <row r="167" spans="1:16" s="168" customFormat="1" ht="12">
      <c r="A167" s="385"/>
      <c r="B167" s="386">
        <v>186</v>
      </c>
      <c r="C167" s="387" t="s">
        <v>588</v>
      </c>
      <c r="D167" s="385" t="s">
        <v>6922</v>
      </c>
      <c r="E167" s="388"/>
      <c r="F167" s="317"/>
      <c r="G167" s="316"/>
      <c r="H167" s="319"/>
      <c r="I167" s="319"/>
      <c r="J167" s="319"/>
      <c r="P167" s="259"/>
    </row>
    <row r="168" spans="1:16" s="168" customFormat="1" ht="12">
      <c r="A168" s="341" t="s">
        <v>7</v>
      </c>
      <c r="B168" s="250">
        <v>93567</v>
      </c>
      <c r="C168" s="393" t="str">
        <f>(IF($A168="SINAPI",INDEX(SINAPI_NOV2020_NDES!$A$7:$H$6703,MATCH($B168,SINAPI_NOV2020_NDES!$A$7:$A$6703,0),2),IF($A168="GOINFRA",INDEX(#REF!,MATCH($B168,#REF!,0),2),(INDEX(COMPOS!$A$4:$G$3900,MATCH($B168,COMPOS!$A$4:A$3900,0),2)))))</f>
        <v>ENGENHEIRO CIVIL DE OBRA PLENO COM ENCARGOS COMPLEMENTARES</v>
      </c>
      <c r="D168" s="374" t="str">
        <f>(IF($A168="SINAPI",INDEX(SINAPI_NOV2020_NDES!$A$7:$H$6790,MATCH($B168,SINAPI_NOV2020_NDES!$A$7:$A$6790,0),3),(INDEX(COMPOS!$A$4:$G$5000,MATCH($B168,COMPOS!$A$4:$A$5000,0),3))))</f>
        <v>MES</v>
      </c>
      <c r="E168" s="315">
        <v>10</v>
      </c>
      <c r="F168" s="326">
        <f>(IF($A168="SINAPI",INDEX(SINAPI_NOV2020_NDES!$A$7:$H$67003,MATCH($B168,SINAPI_NOV2020_NDES!$A$7:$A$67003,0),5),(INDEX(COMPOS!$A$4:$G$801,MATCH($B168,COMPOS!$A$4:A$801,0),4))))</f>
        <v>17734.8</v>
      </c>
      <c r="G168" s="320">
        <f>(IF($A168="SINAPI",INDEX(SINAPI_NOV2020_NDES!$A$7:$H$67003,MATCH($B168,SINAPI_NOV2020_NDES!$A$7:$A$67003,0),6),(INDEX(COMPOS!$A$4:$G$801,MATCH($B168,COMPOS!$A$4:A$801,0),5))))</f>
        <v>219.65</v>
      </c>
      <c r="H168" s="320">
        <f>(IF($A168="SINAPI",INDEX(SINAPI_NOV2020_NDES!$A$7:$H$67003,MATCH($B168,SINAPI_NOV2020_NDES!$A$7:$A$67003,0),7),(INDEX(COMPOS!$A$4:$G$801,MATCH($B168,COMPOS!$A$4:A$801,0),6))))</f>
        <v>0</v>
      </c>
      <c r="I168" s="326">
        <f t="shared" ref="I168" si="46">SUM(F168:H168)</f>
        <v>17954.45</v>
      </c>
      <c r="J168" s="316">
        <f t="shared" ref="J168" si="47">+I168*E168</f>
        <v>179544.5</v>
      </c>
      <c r="O168" s="264"/>
      <c r="P168" s="259"/>
    </row>
    <row r="169" spans="1:16" s="168" customFormat="1" ht="12">
      <c r="A169" s="341" t="s">
        <v>7</v>
      </c>
      <c r="B169" s="250">
        <v>91677</v>
      </c>
      <c r="C169" s="393" t="str">
        <f>(IF($A169="SINAPI",INDEX(SINAPI_NOV2020_NDES!$A$7:$H$67003,MATCH($B169,SINAPI_NOV2020_NDES!$A$7:$A$67003,0),2),IF($A169="GOINFRA",INDEX(#REF!,MATCH($B169,#REF!,0),2),(INDEX(COMPOS!$A$4:$G$3900,MATCH($B169,COMPOS!$A$4:A$3900,0),2)))))</f>
        <v>ENGENHEIRO ELETRICISTA COM ENCARGOS COMPLEMENTARES</v>
      </c>
      <c r="D169" s="374" t="str">
        <f>(IF($A169="SINAPI",INDEX(SINAPI_NOV2020_NDES!$A$7:$H$6790,MATCH($B169,SINAPI_NOV2020_NDES!$A$7:$A$6790,0),3),(INDEX(COMPOS!$A$4:$G$5000,MATCH($B169,COMPOS!$A$4:$A$5000,0),3))))</f>
        <v>H</v>
      </c>
      <c r="E169" s="315">
        <v>110</v>
      </c>
      <c r="F169" s="326">
        <f>(IF($A169="SINAPI",INDEX(SINAPI_NOV2020_NDES!$A$7:$H$67003,MATCH($B169,SINAPI_NOV2020_NDES!$A$7:$A$67003,0),5),(INDEX(COMPOS!$A$4:$G$801,MATCH($B169,COMPOS!$A$4:A$801,0),4))))</f>
        <v>89.48</v>
      </c>
      <c r="G169" s="320">
        <f>(IF($A169="SINAPI",INDEX(SINAPI_NOV2020_NDES!$A$7:$H$67003,MATCH($B169,SINAPI_NOV2020_NDES!$A$7:$A$67003,0),6),(INDEX(COMPOS!$A$4:$G$801,MATCH($B169,COMPOS!$A$4:A$801,0),5))))</f>
        <v>1.17</v>
      </c>
      <c r="H169" s="320">
        <f>(IF($A169="SINAPI",INDEX(SINAPI_NOV2020_NDES!$A$7:$H$67003,MATCH($B169,SINAPI_NOV2020_NDES!$A$7:$A$67003,0),7),(INDEX(COMPOS!$A$4:$G$801,MATCH($B169,COMPOS!$A$4:A$801,0),6))))</f>
        <v>0</v>
      </c>
      <c r="I169" s="326">
        <f t="shared" ref="I169:I177" si="48">SUM(F169:H169)</f>
        <v>90.65</v>
      </c>
      <c r="J169" s="316">
        <f t="shared" ref="J169:J177" si="49">+I169*E169</f>
        <v>9971.5</v>
      </c>
      <c r="O169" s="264"/>
      <c r="P169" s="259"/>
    </row>
    <row r="170" spans="1:16" s="168" customFormat="1" ht="12">
      <c r="A170" s="341" t="s">
        <v>7</v>
      </c>
      <c r="B170" s="250">
        <v>101401</v>
      </c>
      <c r="C170" s="393" t="str">
        <f>(IF($A170="SINAPI",INDEX(SINAPI_NOV2020_NDES!$A$7:$H$67003,MATCH($B170,SINAPI_NOV2020_NDES!$A$7:$A$67003,0),2),IF($A170="GOINFRA",INDEX(#REF!,MATCH($B170,#REF!,0),2),(INDEX(COMPOS!$A$4:$G$3900,MATCH($B170,COMPOS!$A$4:A$3900,0),2)))))</f>
        <v>ELETROTÉCNICO COM ENCARGOS COMPLEMENTARES</v>
      </c>
      <c r="D170" s="374" t="str">
        <f>(IF($A170="SINAPI",INDEX(SINAPI_NOV2020_NDES!$A$7:$H$6790,MATCH($B170,SINAPI_NOV2020_NDES!$A$7:$A$6790,0),3),(INDEX(COMPOS!$A$4:$G$5000,MATCH($B170,COMPOS!$A$4:$A$5000,0),3))))</f>
        <v>MES</v>
      </c>
      <c r="E170" s="315">
        <v>4</v>
      </c>
      <c r="F170" s="326">
        <f>(IF($A170="SINAPI",INDEX(SINAPI_NOV2020_NDES!$A$7:$H$67003,MATCH($B170,SINAPI_NOV2020_NDES!$A$7:$A$67003,0),5),(INDEX(COMPOS!$A$4:$G$801,MATCH($B170,COMPOS!$A$4:A$801,0),4))))</f>
        <v>4005.98</v>
      </c>
      <c r="G170" s="320">
        <f>(IF($A170="SINAPI",INDEX(SINAPI_NOV2020_NDES!$A$7:$H$67003,MATCH($B170,SINAPI_NOV2020_NDES!$A$7:$A$67003,0),6),(INDEX(COMPOS!$A$4:$G$801,MATCH($B170,COMPOS!$A$4:A$801,0),5))))</f>
        <v>863.99</v>
      </c>
      <c r="H170" s="320">
        <f>(IF($A170="SINAPI",INDEX(SINAPI_NOV2020_NDES!$A$7:$H$67003,MATCH($B170,SINAPI_NOV2020_NDES!$A$7:$A$67003,0),7),(INDEX(COMPOS!$A$4:$G$801,MATCH($B170,COMPOS!$A$4:A$801,0),6))))</f>
        <v>0</v>
      </c>
      <c r="I170" s="326">
        <f t="shared" si="48"/>
        <v>4869.97</v>
      </c>
      <c r="J170" s="316">
        <f t="shared" si="49"/>
        <v>19479.88</v>
      </c>
      <c r="O170" s="264"/>
      <c r="P170" s="259"/>
    </row>
    <row r="171" spans="1:16" s="168" customFormat="1" ht="12">
      <c r="A171" s="341" t="s">
        <v>7</v>
      </c>
      <c r="B171" s="250">
        <v>94295</v>
      </c>
      <c r="C171" s="393" t="str">
        <f>(IF($A171="SINAPI",INDEX(SINAPI_NOV2020_NDES!$A$7:$H$67003,MATCH($B171,SINAPI_NOV2020_NDES!$A$7:$A$67003,0),2),IF($A171="GOINFRA",INDEX(#REF!,MATCH($B171,#REF!,0),2),(INDEX(COMPOS!$A$4:$G$3900,MATCH($B171,COMPOS!$A$4:A$3900,0),2)))))</f>
        <v>MESTRE DE OBRAS COM ENCARGOS COMPLEMENTARES</v>
      </c>
      <c r="D171" s="374" t="str">
        <f>(IF($A171="SINAPI",INDEX(SINAPI_NOV2020_NDES!$A$7:$H$6790,MATCH($B171,SINAPI_NOV2020_NDES!$A$7:$A$6790,0),3),(INDEX(COMPOS!$A$4:$G$5000,MATCH($B171,COMPOS!$A$4:$A$5000,0),3))))</f>
        <v>MES</v>
      </c>
      <c r="E171" s="315">
        <v>10</v>
      </c>
      <c r="F171" s="326">
        <f>(IF($A171="SINAPI",INDEX(SINAPI_NOV2020_NDES!$A$7:$H$67003,MATCH($B171,SINAPI_NOV2020_NDES!$A$7:$A$67003,0),5),(INDEX(COMPOS!$A$4:$G$801,MATCH($B171,COMPOS!$A$4:A$801,0),4))))</f>
        <v>9272.98</v>
      </c>
      <c r="G171" s="320">
        <f>(IF($A171="SINAPI",INDEX(SINAPI_NOV2020_NDES!$A$7:$H$67003,MATCH($B171,SINAPI_NOV2020_NDES!$A$7:$A$67003,0),6),(INDEX(COMPOS!$A$4:$G$801,MATCH($B171,COMPOS!$A$4:A$801,0),5))))</f>
        <v>307.04000000000002</v>
      </c>
      <c r="H171" s="320">
        <f>(IF($A171="SINAPI",INDEX(SINAPI_NOV2020_NDES!$A$7:$H$67003,MATCH($B171,SINAPI_NOV2020_NDES!$A$7:$A$67003,0),7),(INDEX(COMPOS!$A$4:$G$801,MATCH($B171,COMPOS!$A$4:A$801,0),6))))</f>
        <v>0</v>
      </c>
      <c r="I171" s="326">
        <f t="shared" si="48"/>
        <v>9580.02</v>
      </c>
      <c r="J171" s="316">
        <f t="shared" si="49"/>
        <v>95800.200000000012</v>
      </c>
      <c r="O171" s="264"/>
      <c r="P171" s="259"/>
    </row>
    <row r="172" spans="1:16" s="168" customFormat="1" ht="12">
      <c r="A172" s="341" t="s">
        <v>7</v>
      </c>
      <c r="B172" s="250">
        <v>93572</v>
      </c>
      <c r="C172" s="393" t="str">
        <f>(IF($A172="SINAPI",INDEX(SINAPI_NOV2020_NDES!$A$7:$H$67003,MATCH($B172,SINAPI_NOV2020_NDES!$A$7:$A$67003,0),2),IF($A172="GOINFRA",INDEX(#REF!,MATCH($B172,#REF!,0),2),(INDEX(COMPOS!$A$4:$G$3900,MATCH($B172,COMPOS!$A$4:A$3900,0),2)))))</f>
        <v>ENCARREGADO GERAL DE OBRAS COM ENCARGOS COMPLEMENTARES</v>
      </c>
      <c r="D172" s="374" t="str">
        <f>(IF($A172="SINAPI",INDEX(SINAPI_NOV2020_NDES!$A$7:$H$6790,MATCH($B172,SINAPI_NOV2020_NDES!$A$7:$A$6790,0),3),(INDEX(COMPOS!$A$4:$G$5000,MATCH($B172,COMPOS!$A$4:$A$5000,0),3))))</f>
        <v>MES</v>
      </c>
      <c r="E172" s="315">
        <v>10</v>
      </c>
      <c r="F172" s="326">
        <f>(IF($A172="SINAPI",INDEX(SINAPI_NOV2020_NDES!$A$7:$H$67003,MATCH($B172,SINAPI_NOV2020_NDES!$A$7:$A$67003,0),5),(INDEX(COMPOS!$A$4:$G$801,MATCH($B172,COMPOS!$A$4:A$801,0),4))))</f>
        <v>6109.69</v>
      </c>
      <c r="G172" s="320">
        <f>(IF($A172="SINAPI",INDEX(SINAPI_NOV2020_NDES!$A$7:$H$67003,MATCH($B172,SINAPI_NOV2020_NDES!$A$7:$A$67003,0),6),(INDEX(COMPOS!$A$4:$G$801,MATCH($B172,COMPOS!$A$4:A$801,0),5))))</f>
        <v>307.04000000000002</v>
      </c>
      <c r="H172" s="320">
        <f>(IF($A172="SINAPI",INDEX(SINAPI_NOV2020_NDES!$A$7:$H$67003,MATCH($B172,SINAPI_NOV2020_NDES!$A$7:$A$67003,0),7),(INDEX(COMPOS!$A$4:$G$801,MATCH($B172,COMPOS!$A$4:A$801,0),6))))</f>
        <v>0</v>
      </c>
      <c r="I172" s="326">
        <f t="shared" si="48"/>
        <v>6416.73</v>
      </c>
      <c r="J172" s="316">
        <f t="shared" si="49"/>
        <v>64167.299999999996</v>
      </c>
      <c r="O172" s="264"/>
      <c r="P172" s="259"/>
    </row>
    <row r="173" spans="1:16" s="168" customFormat="1" ht="12">
      <c r="A173" s="341" t="s">
        <v>7</v>
      </c>
      <c r="B173" s="250">
        <v>93563</v>
      </c>
      <c r="C173" s="393" t="str">
        <f>(IF($A173="SINAPI",INDEX(SINAPI_NOV2020_NDES!$A$7:$H$67003,MATCH($B173,SINAPI_NOV2020_NDES!$A$7:$A$67003,0),2),IF($A173="GOINFRA",INDEX(#REF!,MATCH($B173,#REF!,0),2),(INDEX(COMPOS!$A$4:$G$3900,MATCH($B173,COMPOS!$A$4:A$3900,0),2)))))</f>
        <v>ALMOXARIFE COM ENCARGOS COMPLEMENTARES</v>
      </c>
      <c r="D173" s="374" t="str">
        <f>(IF($A173="SINAPI",INDEX(SINAPI_NOV2020_NDES!$A$7:$H$6790,MATCH($B173,SINAPI_NOV2020_NDES!$A$7:$A$6790,0),3),(INDEX(COMPOS!$A$4:$G$5000,MATCH($B173,COMPOS!$A$4:$A$5000,0),3))))</f>
        <v>MES</v>
      </c>
      <c r="E173" s="315">
        <v>10</v>
      </c>
      <c r="F173" s="326">
        <f>(IF($A173="SINAPI",INDEX(SINAPI_NOV2020_NDES!$A$7:$H$67003,MATCH($B173,SINAPI_NOV2020_NDES!$A$7:$A$67003,0),5),(INDEX(COMPOS!$A$4:$G$801,MATCH($B173,COMPOS!$A$4:A$801,0),4))))</f>
        <v>3725.35</v>
      </c>
      <c r="G173" s="320">
        <f>(IF($A173="SINAPI",INDEX(SINAPI_NOV2020_NDES!$A$7:$H$67003,MATCH($B173,SINAPI_NOV2020_NDES!$A$7:$A$67003,0),6),(INDEX(COMPOS!$A$4:$G$801,MATCH($B173,COMPOS!$A$4:A$801,0),5))))</f>
        <v>231.53</v>
      </c>
      <c r="H173" s="320">
        <f>(IF($A173="SINAPI",INDEX(SINAPI_NOV2020_NDES!$A$7:$H$67003,MATCH($B173,SINAPI_NOV2020_NDES!$A$7:$A$67003,0),7),(INDEX(COMPOS!$A$4:$G$801,MATCH($B173,COMPOS!$A$4:A$801,0),6))))</f>
        <v>0</v>
      </c>
      <c r="I173" s="326">
        <f t="shared" si="48"/>
        <v>3956.88</v>
      </c>
      <c r="J173" s="316">
        <f t="shared" si="49"/>
        <v>39568.800000000003</v>
      </c>
      <c r="O173" s="264"/>
      <c r="P173" s="259"/>
    </row>
    <row r="174" spans="1:16" s="168" customFormat="1" ht="12">
      <c r="A174" s="341" t="s">
        <v>7</v>
      </c>
      <c r="B174" s="250">
        <v>93564</v>
      </c>
      <c r="C174" s="393" t="str">
        <f>(IF($A174="SINAPI",INDEX(SINAPI_NOV2020_NDES!$A$7:$H$67003,MATCH($B174,SINAPI_NOV2020_NDES!$A$7:$A$67003,0),2),IF($A174="GOINFRA",INDEX(#REF!,MATCH($B174,#REF!,0),2),(INDEX(COMPOS!$A$4:$G$3900,MATCH($B174,COMPOS!$A$4:A$3900,0),2)))))</f>
        <v>APONTADOR OU APROPRIADOR COM ENCARGOS COMPLEMENTARES</v>
      </c>
      <c r="D174" s="374" t="str">
        <f>(IF($A174="SINAPI",INDEX(SINAPI_NOV2020_NDES!$A$7:$H$6790,MATCH($B174,SINAPI_NOV2020_NDES!$A$7:$A$6790,0),3),(INDEX(COMPOS!$A$4:$G$5000,MATCH($B174,COMPOS!$A$4:$A$5000,0),3))))</f>
        <v>MES</v>
      </c>
      <c r="E174" s="315">
        <v>10</v>
      </c>
      <c r="F174" s="326">
        <f>(IF($A174="SINAPI",INDEX(SINAPI_NOV2020_NDES!$A$7:$H$67003,MATCH($B174,SINAPI_NOV2020_NDES!$A$7:$A$67003,0),5),(INDEX(COMPOS!$A$4:$G$801,MATCH($B174,COMPOS!$A$4:A$801,0),4))))</f>
        <v>3758.04</v>
      </c>
      <c r="G174" s="320">
        <f>(IF($A174="SINAPI",INDEX(SINAPI_NOV2020_NDES!$A$7:$H$67003,MATCH($B174,SINAPI_NOV2020_NDES!$A$7:$A$67003,0),6),(INDEX(COMPOS!$A$4:$G$801,MATCH($B174,COMPOS!$A$4:A$801,0),5))))</f>
        <v>231.53</v>
      </c>
      <c r="H174" s="320">
        <f>(IF($A174="SINAPI",INDEX(SINAPI_NOV2020_NDES!$A$7:$H$67003,MATCH($B174,SINAPI_NOV2020_NDES!$A$7:$A$67003,0),7),(INDEX(COMPOS!$A$4:$G$801,MATCH($B174,COMPOS!$A$4:A$801,0),6))))</f>
        <v>0</v>
      </c>
      <c r="I174" s="326">
        <f t="shared" si="48"/>
        <v>3989.57</v>
      </c>
      <c r="J174" s="316">
        <f t="shared" si="49"/>
        <v>39895.700000000004</v>
      </c>
      <c r="O174" s="264"/>
      <c r="P174" s="259"/>
    </row>
    <row r="175" spans="1:16" s="168" customFormat="1" ht="12">
      <c r="A175" s="341" t="s">
        <v>7</v>
      </c>
      <c r="B175" s="250">
        <v>90781</v>
      </c>
      <c r="C175" s="393" t="str">
        <f>(IF($A175="SINAPI",INDEX(SINAPI_NOV2020_NDES!$A$7:$H$67003,MATCH($B175,SINAPI_NOV2020_NDES!$A$7:$A$67003,0),2),IF($A175="GOINFRA",INDEX(#REF!,MATCH($B175,#REF!,0),2),(INDEX(COMPOS!$A$4:$G$3900,MATCH($B175,COMPOS!$A$4:A$3900,0),2)))))</f>
        <v>TOPOGRAFO COM ENCARGOS COMPLEMENTARES</v>
      </c>
      <c r="D175" s="374" t="str">
        <f>(IF($A175="SINAPI",INDEX(SINAPI_NOV2020_NDES!$A$7:$H$6790,MATCH($B175,SINAPI_NOV2020_NDES!$A$7:$A$6790,0),3),(INDEX(COMPOS!$A$4:$G$5000,MATCH($B175,COMPOS!$A$4:$A$5000,0),3))))</f>
        <v>H</v>
      </c>
      <c r="E175" s="315">
        <v>220</v>
      </c>
      <c r="F175" s="326">
        <f>(IF($A175="SINAPI",INDEX(SINAPI_NOV2020_NDES!$A$7:$H$67003,MATCH($B175,SINAPI_NOV2020_NDES!$A$7:$A$67003,0),5),(INDEX(COMPOS!$A$4:$G$801,MATCH($B175,COMPOS!$A$4:A$801,0),4))))</f>
        <v>17.79</v>
      </c>
      <c r="G175" s="320">
        <f>(IF($A175="SINAPI",INDEX(SINAPI_NOV2020_NDES!$A$7:$H$67003,MATCH($B175,SINAPI_NOV2020_NDES!$A$7:$A$67003,0),6),(INDEX(COMPOS!$A$4:$G$801,MATCH($B175,COMPOS!$A$4:A$801,0),5))))</f>
        <v>1.19</v>
      </c>
      <c r="H175" s="320">
        <f>(IF($A175="SINAPI",INDEX(SINAPI_NOV2020_NDES!$A$7:$H$67003,MATCH($B175,SINAPI_NOV2020_NDES!$A$7:$A$67003,0),7),(INDEX(COMPOS!$A$4:$G$801,MATCH($B175,COMPOS!$A$4:A$801,0),6))))</f>
        <v>0</v>
      </c>
      <c r="I175" s="326">
        <f t="shared" si="48"/>
        <v>18.98</v>
      </c>
      <c r="J175" s="316">
        <f t="shared" si="49"/>
        <v>4175.6000000000004</v>
      </c>
      <c r="O175" s="264"/>
      <c r="P175" s="259"/>
    </row>
    <row r="176" spans="1:16" s="168" customFormat="1" ht="12">
      <c r="A176" s="341" t="s">
        <v>7</v>
      </c>
      <c r="B176" s="250">
        <v>101460</v>
      </c>
      <c r="C176" s="393" t="str">
        <f>(IF($A176="SINAPI",INDEX(SINAPI_NOV2020_NDES!$A$7:$H$67003,MATCH($B176,SINAPI_NOV2020_NDES!$A$7:$A$67003,0),2),IF($A176="GOINFRA",INDEX(#REF!,MATCH($B176,#REF!,0),2),(INDEX(COMPOS!$A$4:$G$3900,MATCH($B176,COMPOS!$A$4:A$3900,0),2)))))</f>
        <v>VIGIA DIURNO COM ENCARGOS COMPLEMENTARES</v>
      </c>
      <c r="D176" s="374" t="str">
        <f>(IF($A176="SINAPI",INDEX(SINAPI_NOV2020_NDES!$A$7:$H$6790,MATCH($B176,SINAPI_NOV2020_NDES!$A$7:$A$6790,0),3),(INDEX(COMPOS!$A$4:$G$5000,MATCH($B176,COMPOS!$A$4:$A$5000,0),3))))</f>
        <v>MES</v>
      </c>
      <c r="E176" s="315">
        <v>10</v>
      </c>
      <c r="F176" s="326">
        <f>(IF($A176="SINAPI",INDEX(SINAPI_NOV2020_NDES!$A$7:$H$67003,MATCH($B176,SINAPI_NOV2020_NDES!$A$7:$A$67003,0),5),(INDEX(COMPOS!$A$4:$G$801,MATCH($B176,COMPOS!$A$4:A$801,0),4))))</f>
        <v>1941.92</v>
      </c>
      <c r="G176" s="320">
        <f>(IF($A176="SINAPI",INDEX(SINAPI_NOV2020_NDES!$A$7:$H$67003,MATCH($B176,SINAPI_NOV2020_NDES!$A$7:$A$67003,0),6),(INDEX(COMPOS!$A$4:$G$801,MATCH($B176,COMPOS!$A$4:A$801,0),5))))</f>
        <v>842.96</v>
      </c>
      <c r="H176" s="320">
        <f>(IF($A176="SINAPI",INDEX(SINAPI_NOV2020_NDES!$A$7:$H$67003,MATCH($B176,SINAPI_NOV2020_NDES!$A$7:$A$67003,0),7),(INDEX(COMPOS!$A$4:$G$801,MATCH($B176,COMPOS!$A$4:A$801,0),6))))</f>
        <v>0</v>
      </c>
      <c r="I176" s="326">
        <f t="shared" si="48"/>
        <v>2784.88</v>
      </c>
      <c r="J176" s="316">
        <f t="shared" si="49"/>
        <v>27848.800000000003</v>
      </c>
      <c r="O176" s="264"/>
      <c r="P176" s="259"/>
    </row>
    <row r="177" spans="1:16" s="168" customFormat="1" ht="12">
      <c r="A177" s="341" t="s">
        <v>7</v>
      </c>
      <c r="B177" s="250">
        <v>88326</v>
      </c>
      <c r="C177" s="393" t="str">
        <f>(IF($A177="SINAPI",INDEX(SINAPI_NOV2020_NDES!$A$7:$H$67003,MATCH($B177,SINAPI_NOV2020_NDES!$A$7:$A$67003,0),2),IF($A177="GOINFRA",INDEX(#REF!,MATCH($B177,#REF!,0),2),(INDEX(COMPOS!$A$4:$G$3900,MATCH($B177,COMPOS!$A$4:A$3900,0),2)))))</f>
        <v>VIGIA NOTURNO COM ENCARGOS COMPLEMENTARES</v>
      </c>
      <c r="D177" s="374" t="str">
        <f>(IF($A177="SINAPI",INDEX(SINAPI_NOV2020_NDES!$A$7:$H$6790,MATCH($B177,SINAPI_NOV2020_NDES!$A$7:$A$6790,0),3),(INDEX(COMPOS!$A$4:$G$5000,MATCH($B177,COMPOS!$A$4:$A$5000,0),3))))</f>
        <v>H</v>
      </c>
      <c r="E177" s="315">
        <v>2100</v>
      </c>
      <c r="F177" s="326">
        <f>(IF($A177="SINAPI",INDEX(SINAPI_NOV2020_NDES!$A$7:$H$67003,MATCH($B177,SINAPI_NOV2020_NDES!$A$7:$A$67003,0),5),(INDEX(COMPOS!$A$4:$G$801,MATCH($B177,COMPOS!$A$4:A$801,0),4))))</f>
        <v>15.03</v>
      </c>
      <c r="G177" s="320">
        <f>(IF($A177="SINAPI",INDEX(SINAPI_NOV2020_NDES!$A$7:$H$67003,MATCH($B177,SINAPI_NOV2020_NDES!$A$7:$A$67003,0),6),(INDEX(COMPOS!$A$4:$G$801,MATCH($B177,COMPOS!$A$4:A$801,0),5))))</f>
        <v>4.47</v>
      </c>
      <c r="H177" s="320">
        <f>(IF($A177="SINAPI",INDEX(SINAPI_NOV2020_NDES!$A$7:$H$67003,MATCH($B177,SINAPI_NOV2020_NDES!$A$7:$A$67003,0),7),(INDEX(COMPOS!$A$4:$G$801,MATCH($B177,COMPOS!$A$4:A$801,0),6))))</f>
        <v>0</v>
      </c>
      <c r="I177" s="326">
        <f t="shared" si="48"/>
        <v>19.5</v>
      </c>
      <c r="J177" s="316">
        <f t="shared" si="49"/>
        <v>40950</v>
      </c>
      <c r="O177" s="264"/>
      <c r="P177" s="259"/>
    </row>
    <row r="178" spans="1:16" s="168" customFormat="1" ht="12">
      <c r="A178" s="716" t="s">
        <v>6927</v>
      </c>
      <c r="B178" s="716"/>
      <c r="C178" s="716"/>
      <c r="D178" s="716"/>
      <c r="E178" s="716"/>
      <c r="F178" s="716"/>
      <c r="G178" s="716"/>
      <c r="H178" s="716"/>
      <c r="I178" s="716"/>
      <c r="J178" s="390">
        <f>SUM(J168:J177)</f>
        <v>521402.27999999997</v>
      </c>
      <c r="P178" s="259"/>
    </row>
    <row r="179" spans="1:16">
      <c r="A179" s="385"/>
      <c r="B179" s="386">
        <v>188</v>
      </c>
      <c r="C179" s="387" t="s">
        <v>587</v>
      </c>
      <c r="D179" s="400" t="s">
        <v>6922</v>
      </c>
      <c r="E179" s="396"/>
      <c r="F179" s="317"/>
      <c r="G179" s="316"/>
      <c r="H179" s="319"/>
      <c r="I179" s="319"/>
      <c r="J179" s="319"/>
      <c r="K179" s="168"/>
      <c r="L179" s="168"/>
      <c r="M179" s="168"/>
      <c r="N179" s="168"/>
      <c r="O179" s="168"/>
      <c r="P179" s="259"/>
    </row>
    <row r="180" spans="1:16">
      <c r="A180" s="341" t="s">
        <v>7</v>
      </c>
      <c r="B180" s="341">
        <v>83693</v>
      </c>
      <c r="C180" s="393" t="str">
        <f>(IF($A180="SINAPI",INDEX(SINAPI_NOV2020_NDES!$A$7:$H$67003,MATCH($B180,SINAPI_NOV2020_NDES!$A$7:$A$67003,0),2),IF($A180="GOINFRA",INDEX(#REF!,MATCH($B180,#REF!,0),2),(INDEX(COMPOS!$A$4:$G$3900,MATCH($B180,COMPOS!$A$4:A$3900,0),2)))))</f>
        <v>CAIACAO EM MEIO FIO</v>
      </c>
      <c r="D180" s="374" t="str">
        <f>(IF($A180="SINAPI",INDEX(SINAPI_NOV2020_NDES!$A$7:$H$6790,MATCH($B180,SINAPI_NOV2020_NDES!$A$7:$A$6790,0),3),(INDEX(COMPOS!$A$4:$G$5000,MATCH($B180,COMPOS!$A$4:$A$5000,0),3))))</f>
        <v>M2</v>
      </c>
      <c r="E180" s="319">
        <v>345.73280000000005</v>
      </c>
      <c r="F180" s="326">
        <f>(IF($A180="SINAPI",INDEX(SINAPI_NOV2020_NDES!$A$7:$H$6703,MATCH($B180,SINAPI_NOV2020_NDES!$A$7:$A$6703,0),5),(INDEX(COMPOS!$A$4:$G$801,MATCH($B180,COMPOS!$A$4:A$801,0),4))))</f>
        <v>2.67</v>
      </c>
      <c r="G180" s="320">
        <f>(IF($A180="SINAPI",INDEX(SINAPI_NOV2020_NDES!$A$7:$H$6703,MATCH($B180,SINAPI_NOV2020_NDES!$A$7:$A$6703,0),6),(INDEX(COMPOS!$A$4:$G$801,MATCH($B180,COMPOS!$A$4:A$801,0),5))))</f>
        <v>1.23</v>
      </c>
      <c r="H180" s="320">
        <f>(IF($A180="SINAPI",INDEX(SINAPI_NOV2020_NDES!$A$7:$H$6703,MATCH($B180,SINAPI_NOV2020_NDES!$A$7:$A$6703,0),7),(INDEX(COMPOS!$A$4:$G$801,MATCH($B180,COMPOS!$A$4:A$801,0),6))))</f>
        <v>0</v>
      </c>
      <c r="I180" s="326">
        <f t="shared" ref="I180" si="50">SUM(F180:H180)</f>
        <v>3.9</v>
      </c>
      <c r="J180" s="316">
        <f t="shared" ref="J180" si="51">+I180*E180</f>
        <v>1348.3579200000001</v>
      </c>
      <c r="K180" s="168"/>
      <c r="L180" s="168"/>
      <c r="M180" s="168"/>
      <c r="N180" s="168"/>
      <c r="O180" s="264"/>
      <c r="P180" s="259"/>
    </row>
    <row r="181" spans="1:16" ht="45.75" customHeight="1">
      <c r="A181" s="341" t="s">
        <v>7</v>
      </c>
      <c r="B181" s="341">
        <v>100739</v>
      </c>
      <c r="C181" s="393" t="str">
        <f>(IF($A181="SINAPI",INDEX(SINAPI_NOV2020_NDES!$A$7:$H$67003,MATCH($B181,SINAPI_NOV2020_NDES!$A$7:$A$67003,0),2),IF($A181="GOINFRA",INDEX(#REF!,MATCH($B181,#REF!,0),2),(INDEX(COMPOS!$A$4:$G$3900,MATCH($B181,COMPOS!$A$4:A$3900,0),2)))))</f>
        <v>PINTURA COM TINTA ALQUÍDICA DE ACABAMENTO (ESMALTE SINTÉTICO ACETINADO) PULVERIZADA SOBRE PERFIL METÁLICO EXECUTADO EM FÁBRICA (POR DEMÃO). AF_01/2020</v>
      </c>
      <c r="D181" s="374" t="str">
        <f>(IF($A181="SINAPI",INDEX(SINAPI_NOV2020_NDES!$A$7:$H$6790,MATCH($B181,SINAPI_NOV2020_NDES!$A$7:$A$6790,0),3),(INDEX(COMPOS!$A$4:$G$5000,MATCH($B181,COMPOS!$A$4:$A$5000,0),3))))</f>
        <v>M2</v>
      </c>
      <c r="E181" s="319">
        <v>88.263000000000005</v>
      </c>
      <c r="F181" s="326">
        <f>(IF($A181="SINAPI",INDEX(SINAPI_NOV2020_NDES!$A$7:$H$6703,MATCH($B181,SINAPI_NOV2020_NDES!$A$7:$A$6703,0),5),(INDEX(COMPOS!$A$4:$G$801,MATCH($B181,COMPOS!$A$4:A$801,0),4))))</f>
        <v>1.08</v>
      </c>
      <c r="G181" s="320">
        <f>(IF($A181="SINAPI",INDEX(SINAPI_NOV2020_NDES!$A$7:$H$6703,MATCH($B181,SINAPI_NOV2020_NDES!$A$7:$A$6703,0),6),(INDEX(COMPOS!$A$4:$G$801,MATCH($B181,COMPOS!$A$4:A$801,0),5))))</f>
        <v>5.34</v>
      </c>
      <c r="H181" s="320">
        <f>(IF($A181="SINAPI",INDEX(SINAPI_NOV2020_NDES!$A$7:$H$6703,MATCH($B181,SINAPI_NOV2020_NDES!$A$7:$A$6703,0),7),(INDEX(COMPOS!$A$4:$G$801,MATCH($B181,COMPOS!$A$4:A$801,0),6))))</f>
        <v>0</v>
      </c>
      <c r="I181" s="326">
        <f t="shared" ref="I181:I185" si="52">SUM(F181:H181)</f>
        <v>6.42</v>
      </c>
      <c r="J181" s="316">
        <f t="shared" ref="J181:J185" si="53">+I181*E181</f>
        <v>566.64846</v>
      </c>
      <c r="K181" s="168"/>
      <c r="L181" s="168"/>
      <c r="M181" s="168"/>
      <c r="N181" s="168"/>
      <c r="O181" s="264"/>
      <c r="P181" s="259"/>
    </row>
    <row r="182" spans="1:16" ht="24">
      <c r="A182" s="341" t="s">
        <v>7</v>
      </c>
      <c r="B182" s="341">
        <v>72947</v>
      </c>
      <c r="C182" s="393" t="str">
        <f>(IF($A182="SINAPI",INDEX(SINAPI_NOV2020_NDES!$A$7:$H$67003,MATCH($B182,SINAPI_NOV2020_NDES!$A$7:$A$67003,0),2),IF($A182="GOINFRA",INDEX(#REF!,MATCH($B182,#REF!,0),2),(INDEX(COMPOS!$A$4:$G$3900,MATCH($B182,COMPOS!$A$4:A$3900,0),2)))))</f>
        <v>SINALIZACAO HORIZONTAL COM TINTA RETRORREFLETIVA A BASE DE RESINA ACRILICA COM MICROESFERAS DE VIDRO</v>
      </c>
      <c r="D182" s="374" t="str">
        <f>(IF($A182="SINAPI",INDEX(SINAPI_NOV2020_NDES!$A$7:$H$6790,MATCH($B182,SINAPI_NOV2020_NDES!$A$7:$A$6790,0),3),(INDEX(COMPOS!$A$4:$G$5000,MATCH($B182,COMPOS!$A$4:$A$5000,0),3))))</f>
        <v>M2</v>
      </c>
      <c r="E182" s="319">
        <v>171.84</v>
      </c>
      <c r="F182" s="326">
        <f>(IF($A182="SINAPI",INDEX(SINAPI_NOV2020_NDES!$A$7:$H$6703,MATCH($B182,SINAPI_NOV2020_NDES!$A$7:$A$6703,0),5),(INDEX(COMPOS!$A$4:$G$801,MATCH($B182,COMPOS!$A$4:A$801,0),4))))</f>
        <v>0.49</v>
      </c>
      <c r="G182" s="320">
        <f>(IF($A182="SINAPI",INDEX(SINAPI_NOV2020_NDES!$A$7:$H$6703,MATCH($B182,SINAPI_NOV2020_NDES!$A$7:$A$6703,0),6),(INDEX(COMPOS!$A$4:$G$801,MATCH($B182,COMPOS!$A$4:A$801,0),5))))</f>
        <v>15.46</v>
      </c>
      <c r="H182" s="320">
        <f>(IF($A182="SINAPI",INDEX(SINAPI_NOV2020_NDES!$A$7:$H$6703,MATCH($B182,SINAPI_NOV2020_NDES!$A$7:$A$6703,0),7),(INDEX(COMPOS!$A$4:$G$801,MATCH($B182,COMPOS!$A$4:A$801,0),6))))</f>
        <v>0.25</v>
      </c>
      <c r="I182" s="326">
        <f t="shared" si="52"/>
        <v>16.200000000000003</v>
      </c>
      <c r="J182" s="316">
        <f t="shared" si="53"/>
        <v>2783.8080000000004</v>
      </c>
      <c r="K182" s="168"/>
      <c r="L182" s="168"/>
      <c r="M182" s="168"/>
      <c r="N182" s="168"/>
      <c r="O182" s="264"/>
      <c r="P182" s="259"/>
    </row>
    <row r="183" spans="1:16">
      <c r="A183" s="341" t="s">
        <v>6307</v>
      </c>
      <c r="B183" s="341">
        <v>559</v>
      </c>
      <c r="C183" s="393" t="str">
        <f>(IF($A183="SINAPI",INDEX(SINAPI_NOV2020_NDES!$A$7:$H$67003,MATCH($B183,SINAPI_NOV2020_NDES!$A$7:$A$67003,0),2),IF($A183="GOINFRA",INDEX(#REF!,MATCH($B183,#REF!,0),2),(INDEX(COMPOS!$A$4:$G$3900,MATCH($B183,COMPOS!$A$4:A$3900,0),2)))))</f>
        <v>PINTURA DE LOGOTIPO GOINFRA EM RESERVATÓRIO METÁLICO</v>
      </c>
      <c r="D183" s="374" t="str">
        <f>(IF($A183="SINAPI",INDEX(SINAPI_NOV2020_NDES!$A$7:$H$6790,MATCH($B183,SINAPI_NOV2020_NDES!$A$7:$A$6790,0),3),(INDEX(COMPOS!$A$4:$G$5000,MATCH($B183,COMPOS!$A$4:$A$5000,0),3))))</f>
        <v>UN</v>
      </c>
      <c r="E183" s="319">
        <v>1</v>
      </c>
      <c r="F183" s="326">
        <f>(IF($A183="SINAPI",INDEX(SINAPI_NOV2020_NDES!$A$7:$H$6703,MATCH($B183,SINAPI_NOV2020_NDES!$A$7:$A$6703,0),5),(INDEX(COMPOS!$A$4:$G$801,MATCH($B183,COMPOS!$A$4:A$801,0),4))))</f>
        <v>655.33666960000005</v>
      </c>
      <c r="G183" s="320">
        <f>(IF($A183="SINAPI",INDEX(SINAPI_NOV2020_NDES!$A$7:$H$6703,MATCH($B183,SINAPI_NOV2020_NDES!$A$7:$A$6703,0),6),(INDEX(COMPOS!$A$4:$G$801,MATCH($B183,COMPOS!$A$4:A$801,0),5))))</f>
        <v>108.89622159999999</v>
      </c>
      <c r="H183" s="320">
        <f>(IF($A183="SINAPI",INDEX(SINAPI_NOV2020_NDES!$A$7:$H$6703,MATCH($B183,SINAPI_NOV2020_NDES!$A$7:$A$6703,0),7),(INDEX(COMPOS!$A$4:$G$801,MATCH($B183,COMPOS!$A$4:A$801,0),6))))</f>
        <v>0</v>
      </c>
      <c r="I183" s="326">
        <f t="shared" si="52"/>
        <v>764.23289120000004</v>
      </c>
      <c r="J183" s="316">
        <f t="shared" si="53"/>
        <v>764.23289120000004</v>
      </c>
      <c r="K183" s="168"/>
      <c r="L183" s="168"/>
      <c r="M183" s="168"/>
      <c r="N183" s="168"/>
      <c r="O183" s="264"/>
      <c r="P183" s="259"/>
    </row>
    <row r="184" spans="1:16" s="168" customFormat="1" ht="24">
      <c r="A184" s="341" t="s">
        <v>7</v>
      </c>
      <c r="B184" s="341">
        <v>88415</v>
      </c>
      <c r="C184" s="393" t="str">
        <f>(IF($A184="SINAPI",INDEX(SINAPI_NOV2020_NDES!$A$7:$H$67003,MATCH($B184,SINAPI_NOV2020_NDES!$A$7:$A$67003,0),2),IF($A184="GOINFRA",INDEX(#REF!,MATCH($B184,#REF!,0),2),(INDEX(COMPOS!$A$4:$G$3900,MATCH($B184,COMPOS!$A$4:A$3900,0),2)))))</f>
        <v>APLICAÇÃO MANUAL DE FUNDO SELADOR ACRÍLICO EM PAREDES EXTERNAS DE CASAS. AF_06/2014</v>
      </c>
      <c r="D184" s="374" t="str">
        <f>(IF($A184="SINAPI",INDEX(SINAPI_NOV2020_NDES!$A$7:$H$6790,MATCH($B184,SINAPI_NOV2020_NDES!$A$7:$A$6790,0),3),(INDEX(COMPOS!$A$4:$G$5000,MATCH($B184,COMPOS!$A$4:$A$5000,0),3))))</f>
        <v>M2</v>
      </c>
      <c r="E184" s="319">
        <v>7146</v>
      </c>
      <c r="F184" s="326">
        <f>(IF($A184="SINAPI",INDEX(SINAPI_NOV2020_NDES!$A$7:$H$6703,MATCH($B184,SINAPI_NOV2020_NDES!$A$7:$A$6703,0),5),(INDEX(COMPOS!$A$4:$G$801,MATCH($B184,COMPOS!$A$4:A$801,0),4))))</f>
        <v>1.07</v>
      </c>
      <c r="G184" s="320">
        <f>(IF($A184="SINAPI",INDEX(SINAPI_NOV2020_NDES!$A$7:$H$6703,MATCH($B184,SINAPI_NOV2020_NDES!$A$7:$A$6703,0),6),(INDEX(COMPOS!$A$4:$G$801,MATCH($B184,COMPOS!$A$4:A$801,0),5))))</f>
        <v>1.51</v>
      </c>
      <c r="H184" s="320">
        <f>(IF($A184="SINAPI",INDEX(SINAPI_NOV2020_NDES!$A$7:$H$6703,MATCH($B184,SINAPI_NOV2020_NDES!$A$7:$A$6703,0),7),(INDEX(COMPOS!$A$4:$G$801,MATCH($B184,COMPOS!$A$4:A$801,0),6))))</f>
        <v>0</v>
      </c>
      <c r="I184" s="326">
        <f t="shared" si="52"/>
        <v>2.58</v>
      </c>
      <c r="J184" s="316">
        <f t="shared" si="53"/>
        <v>18436.68</v>
      </c>
      <c r="O184" s="264"/>
      <c r="P184" s="259"/>
    </row>
    <row r="185" spans="1:16" s="168" customFormat="1" ht="24">
      <c r="A185" s="341" t="s">
        <v>7</v>
      </c>
      <c r="B185" s="341">
        <v>88423</v>
      </c>
      <c r="C185" s="393" t="str">
        <f>(IF($A185="SINAPI",INDEX(SINAPI_NOV2020_NDES!$A$7:$H$67003,MATCH($B185,SINAPI_NOV2020_NDES!$A$7:$A$67003,0),2),IF($A185="GOINFRA",INDEX(#REF!,MATCH($B185,#REF!,0),2),(INDEX(COMPOS!$A$4:$G$3900,MATCH($B185,COMPOS!$A$4:A$3900,0),2)))))</f>
        <v>APLICAÇÃO MANUAL DE PINTURA COM TINTA TEXTURIZADA ACRÍLICA EM PAREDES EXTERNAS DE CASAS, UMA COR. AF_06/2014</v>
      </c>
      <c r="D185" s="374" t="str">
        <f>(IF($A185="SINAPI",INDEX(SINAPI_NOV2020_NDES!$A$7:$H$6790,MATCH($B185,SINAPI_NOV2020_NDES!$A$7:$A$6790,0),3),(INDEX(COMPOS!$A$4:$G$5000,MATCH($B185,COMPOS!$A$4:$A$5000,0),3))))</f>
        <v>M2</v>
      </c>
      <c r="E185" s="399">
        <v>7146</v>
      </c>
      <c r="F185" s="326">
        <f>(IF($A185="SINAPI",INDEX(SINAPI_NOV2020_NDES!$A$7:$H$6703,MATCH($B185,SINAPI_NOV2020_NDES!$A$7:$A$6703,0),5),(INDEX(COMPOS!$A$4:$G$801,MATCH($B185,COMPOS!$A$4:A$801,0),4))))</f>
        <v>3.45</v>
      </c>
      <c r="G185" s="320">
        <f>(IF($A185="SINAPI",INDEX(SINAPI_NOV2020_NDES!$A$7:$H$6703,MATCH($B185,SINAPI_NOV2020_NDES!$A$7:$A$6703,0),6),(INDEX(COMPOS!$A$4:$G$801,MATCH($B185,COMPOS!$A$4:A$801,0),5))))</f>
        <v>14.24</v>
      </c>
      <c r="H185" s="320">
        <f>(IF($A185="SINAPI",INDEX(SINAPI_NOV2020_NDES!$A$7:$H$6703,MATCH($B185,SINAPI_NOV2020_NDES!$A$7:$A$6703,0),7),(INDEX(COMPOS!$A$4:$G$801,MATCH($B185,COMPOS!$A$4:A$801,0),6))))</f>
        <v>0</v>
      </c>
      <c r="I185" s="326">
        <f t="shared" si="52"/>
        <v>17.690000000000001</v>
      </c>
      <c r="J185" s="316">
        <f t="shared" si="53"/>
        <v>126412.74</v>
      </c>
      <c r="O185" s="264"/>
      <c r="P185" s="259"/>
    </row>
    <row r="186" spans="1:16" s="168" customFormat="1" ht="12">
      <c r="A186" s="716" t="s">
        <v>6927</v>
      </c>
      <c r="B186" s="716"/>
      <c r="C186" s="716"/>
      <c r="D186" s="716"/>
      <c r="E186" s="716"/>
      <c r="F186" s="716"/>
      <c r="G186" s="716"/>
      <c r="H186" s="716"/>
      <c r="I186" s="716"/>
      <c r="J186" s="390">
        <f>SUM(J180:J185)</f>
        <v>150312.4672712</v>
      </c>
      <c r="P186" s="259"/>
    </row>
    <row r="187" spans="1:16" s="168" customFormat="1" ht="12">
      <c r="A187" s="401"/>
      <c r="B187" s="386">
        <v>189</v>
      </c>
      <c r="C187" s="402" t="s">
        <v>2</v>
      </c>
      <c r="D187" s="401" t="s">
        <v>6922</v>
      </c>
      <c r="E187" s="401"/>
      <c r="F187" s="401"/>
      <c r="G187" s="401"/>
      <c r="H187" s="401"/>
      <c r="I187" s="401"/>
      <c r="J187" s="401"/>
      <c r="P187" s="259"/>
    </row>
    <row r="188" spans="1:16" s="168" customFormat="1" ht="27.75" customHeight="1">
      <c r="A188" s="341" t="s">
        <v>6307</v>
      </c>
      <c r="B188" s="341">
        <v>231</v>
      </c>
      <c r="C188" s="389" t="str">
        <f>(IF($A188="SINAPI",INDEX(SINAPI_NOV2020_NDES!$A$7:$H$6703,MATCH($B188,SINAPI_NOV2020_NDES!$A$7:$A$6703,0),2),IF($A188="GOINFRA",INDEX(#REF!,MATCH($B188,#REF!,0),2),(INDEX(COMPOS!$A$4:$G$3900,MATCH($B188,COMPOS!$A$4:A$3900,0),2)))))</f>
        <v>MASTROS PARA BANDEIRAS EM FERRO GALVANIZADO (ASSENTADOS/PINTADOS) - 3 UNIDADES</v>
      </c>
      <c r="D188" s="374" t="str">
        <f>(IF($A188="SINAPI",INDEX(SINAPI_NOV2020_NDES!$A$7:$H$6790,MATCH($B188,SINAPI_NOV2020_NDES!$A$7:$A$6790,0),3),(INDEX(COMPOS!$A$4:$G$5000,MATCH($B188,COMPOS!$A$4:$A$5000,0),3))))</f>
        <v>CJ</v>
      </c>
      <c r="E188" s="399">
        <v>1</v>
      </c>
      <c r="F188" s="326">
        <f>(IF($A188="SINAPI",INDEX(SINAPI_NOV2020_NDES!$A$7:$H$6703,MATCH($B188,SINAPI_NOV2020_NDES!$A$7:$A$6703,0),5),(INDEX(COMPOS!$A$4:$G$801,MATCH($B188,COMPOS!$A$4:A$801,0),4))))</f>
        <v>104.94967700000001</v>
      </c>
      <c r="G188" s="320">
        <f>(IF($A188="SINAPI",INDEX(SINAPI_NOV2020_NDES!$A$7:$H$6703,MATCH($B188,SINAPI_NOV2020_NDES!$A$7:$A$6703,0),6),(INDEX(COMPOS!$A$4:$G$801,MATCH($B188,COMPOS!$A$4:A$801,0),5))))</f>
        <v>922.46763899999985</v>
      </c>
      <c r="H188" s="320">
        <f>(IF($A188="SINAPI",INDEX(SINAPI_NOV2020_NDES!$A$7:$H$6703,MATCH($B188,SINAPI_NOV2020_NDES!$A$7:$A$6703,0),7),(INDEX(COMPOS!$A$4:$G$801,MATCH($B188,COMPOS!$A$4:A$801,0),6))))</f>
        <v>0</v>
      </c>
      <c r="I188" s="326">
        <f t="shared" ref="I188" si="54">SUM(F188:H188)</f>
        <v>1027.4173159999998</v>
      </c>
      <c r="J188" s="316">
        <f t="shared" ref="J188" si="55">+I188*E188</f>
        <v>1027.4173159999998</v>
      </c>
      <c r="O188" s="264"/>
      <c r="P188" s="259"/>
    </row>
    <row r="189" spans="1:16" s="168" customFormat="1" ht="12">
      <c r="A189" s="341" t="s">
        <v>6307</v>
      </c>
      <c r="B189" s="341">
        <v>232</v>
      </c>
      <c r="C189" s="389" t="str">
        <f>(IF($A189="SINAPI",INDEX(SINAPI_NOV2020_NDES!$A$7:$H$6703,MATCH($B189,SINAPI_NOV2020_NDES!$A$7:$A$6703,0),2),IF($A189="GOINFRA",INDEX(#REF!,MATCH($B189,#REF!,0),2),(INDEX(COMPOS!$A$4:$G$3900,MATCH($B189,COMPOS!$A$4:A$3900,0),2)))))</f>
        <v>PLACA DE INAUGURAÇÃO AÇO ESCOVADO 60 X 120 CM</v>
      </c>
      <c r="D189" s="374" t="str">
        <f>(IF($A189="SINAPI",INDEX(SINAPI_NOV2020_NDES!$A$7:$H$6790,MATCH($B189,SINAPI_NOV2020_NDES!$A$7:$A$6790,0),3),(INDEX(COMPOS!$A$4:$G$5000,MATCH($B189,COMPOS!$A$4:$A$5000,0),3))))</f>
        <v>UN</v>
      </c>
      <c r="E189" s="399">
        <v>1</v>
      </c>
      <c r="F189" s="326">
        <f>(IF($A189="SINAPI",INDEX(SINAPI_NOV2020_NDES!$A$7:$H$6703,MATCH($B189,SINAPI_NOV2020_NDES!$A$7:$A$6703,0),5),(INDEX(COMPOS!$A$4:$G$801,MATCH($B189,COMPOS!$A$4:A$801,0),4))))</f>
        <v>5.4249999999999998</v>
      </c>
      <c r="G189" s="320">
        <f>(IF($A189="SINAPI",INDEX(SINAPI_NOV2020_NDES!$A$7:$H$6703,MATCH($B189,SINAPI_NOV2020_NDES!$A$7:$A$6703,0),6),(INDEX(COMPOS!$A$4:$G$801,MATCH($B189,COMPOS!$A$4:A$801,0),5))))</f>
        <v>1058.8400000000001</v>
      </c>
      <c r="H189" s="320">
        <f>(IF($A189="SINAPI",INDEX(SINAPI_NOV2020_NDES!$A$7:$H$6703,MATCH($B189,SINAPI_NOV2020_NDES!$A$7:$A$6703,0),7),(INDEX(COMPOS!$A$4:$G$801,MATCH($B189,COMPOS!$A$4:A$801,0),6))))</f>
        <v>0</v>
      </c>
      <c r="I189" s="326">
        <f t="shared" ref="I189:I200" si="56">SUM(F189:H189)</f>
        <v>1064.2650000000001</v>
      </c>
      <c r="J189" s="316">
        <f t="shared" ref="J189:J200" si="57">+I189*E189</f>
        <v>1064.2650000000001</v>
      </c>
      <c r="O189" s="264"/>
      <c r="P189" s="259"/>
    </row>
    <row r="190" spans="1:16" s="168" customFormat="1" ht="12">
      <c r="A190" s="341" t="s">
        <v>7</v>
      </c>
      <c r="B190" s="341">
        <v>98504</v>
      </c>
      <c r="C190" s="389" t="str">
        <f>(IF($A190="SINAPI",INDEX(SINAPI_NOV2020_NDES!$A$7:$H$6703,MATCH($B190,SINAPI_NOV2020_NDES!$A$7:$A$6703,0),2),IF($A190="GOINFRA",INDEX(#REF!,MATCH($B190,#REF!,0),2),(INDEX(COMPOS!$A$4:$G$3900,MATCH($B190,COMPOS!$A$4:A$3900,0),2)))))</f>
        <v>PLANTIO DE GRAMA EM PLACAS. AF_05/2018</v>
      </c>
      <c r="D190" s="374" t="str">
        <f>(IF($A190="SINAPI",INDEX(SINAPI_NOV2020_NDES!$A$7:$H$6790,MATCH($B190,SINAPI_NOV2020_NDES!$A$7:$A$6790,0),3),(INDEX(COMPOS!$A$4:$G$5000,MATCH($B190,COMPOS!$A$4:$A$5000,0),3))))</f>
        <v>M2</v>
      </c>
      <c r="E190" s="399">
        <v>21298.53</v>
      </c>
      <c r="F190" s="326">
        <f>(IF($A190="SINAPI",INDEX(SINAPI_NOV2020_NDES!$A$7:$H$6703,MATCH($B190,SINAPI_NOV2020_NDES!$A$7:$A$6703,0),5),(INDEX(COMPOS!$A$4:$G$801,MATCH($B190,COMPOS!$A$4:A$801,0),4))))</f>
        <v>2.2999999999999998</v>
      </c>
      <c r="G190" s="320">
        <f>(IF($A190="SINAPI",INDEX(SINAPI_NOV2020_NDES!$A$7:$H$6703,MATCH($B190,SINAPI_NOV2020_NDES!$A$7:$A$6703,0),6),(INDEX(COMPOS!$A$4:$G$801,MATCH($B190,COMPOS!$A$4:A$801,0),5))))</f>
        <v>5.44</v>
      </c>
      <c r="H190" s="320">
        <f>(IF($A190="SINAPI",INDEX(SINAPI_NOV2020_NDES!$A$7:$H$6703,MATCH($B190,SINAPI_NOV2020_NDES!$A$7:$A$6703,0),7),(INDEX(COMPOS!$A$4:$G$801,MATCH($B190,COMPOS!$A$4:A$801,0),6))))</f>
        <v>0</v>
      </c>
      <c r="I190" s="326">
        <f t="shared" si="56"/>
        <v>7.74</v>
      </c>
      <c r="J190" s="316">
        <f t="shared" si="57"/>
        <v>164850.62219999998</v>
      </c>
      <c r="O190" s="264"/>
      <c r="P190" s="259"/>
    </row>
    <row r="191" spans="1:16" s="168" customFormat="1" ht="12">
      <c r="A191" s="341" t="s">
        <v>6307</v>
      </c>
      <c r="B191" s="341">
        <v>31</v>
      </c>
      <c r="C191" s="389" t="str">
        <f>(IF($A191="SINAPI",INDEX(SINAPI_NOV2020_NDES!$A$7:$H$6703,MATCH($B191,SINAPI_NOV2020_NDES!$A$7:$A$6703,0),2),IF($A191="GOINFRA",INDEX(#REF!,MATCH($B191,#REF!,0),2),(INDEX(COMPOS!$A$4:$G$3900,MATCH($B191,COMPOS!$A$4:A$3900,0),2)))))</f>
        <v>MUDAS DE OITI H=1,50 M</v>
      </c>
      <c r="D191" s="374" t="str">
        <f>(IF($A191="SINAPI",INDEX(SINAPI_NOV2020_NDES!$A$7:$H$6790,MATCH($B191,SINAPI_NOV2020_NDES!$A$7:$A$6790,0),3),(INDEX(COMPOS!$A$4:$G$5000,MATCH($B191,COMPOS!$A$4:$A$5000,0),3))))</f>
        <v>UN</v>
      </c>
      <c r="E191" s="399">
        <v>50</v>
      </c>
      <c r="F191" s="326">
        <f>(IF($A191="SINAPI",INDEX(SINAPI_NOV2020_NDES!$A$7:$H$6703,MATCH($B191,SINAPI_NOV2020_NDES!$A$7:$A$6703,0),5),(INDEX(COMPOS!$A$4:$G$801,MATCH($B191,COMPOS!$A$4:A$801,0),4))))</f>
        <v>14.794883999999998</v>
      </c>
      <c r="G191" s="320">
        <f>(IF($A191="SINAPI",INDEX(SINAPI_NOV2020_NDES!$A$7:$H$6703,MATCH($B191,SINAPI_NOV2020_NDES!$A$7:$A$6703,0),6),(INDEX(COMPOS!$A$4:$G$801,MATCH($B191,COMPOS!$A$4:A$801,0),5))))</f>
        <v>25.51</v>
      </c>
      <c r="H191" s="320">
        <f>(IF($A191="SINAPI",INDEX(SINAPI_NOV2020_NDES!$A$7:$H$6703,MATCH($B191,SINAPI_NOV2020_NDES!$A$7:$A$6703,0),7),(INDEX(COMPOS!$A$4:$G$801,MATCH($B191,COMPOS!$A$4:A$801,0),6))))</f>
        <v>0</v>
      </c>
      <c r="I191" s="326">
        <f t="shared" si="56"/>
        <v>40.304884000000001</v>
      </c>
      <c r="J191" s="316">
        <f t="shared" si="57"/>
        <v>2015.2442000000001</v>
      </c>
      <c r="O191" s="264"/>
      <c r="P191" s="259"/>
    </row>
    <row r="192" spans="1:16" s="168" customFormat="1" ht="14.25" customHeight="1">
      <c r="A192" s="341" t="s">
        <v>6307</v>
      </c>
      <c r="B192" s="341">
        <v>30</v>
      </c>
      <c r="C192" s="389" t="str">
        <f>(IF($A192="SINAPI",INDEX(SINAPI_NOV2020_NDES!$A$7:$H$6703,MATCH($B192,SINAPI_NOV2020_NDES!$A$7:$A$6703,0),2),IF($A192="GOINFRA",INDEX(#REF!,MATCH($B192,#REF!,0),2),(INDEX(COMPOS!$A$4:$G$3900,MATCH($B192,COMPOS!$A$4:A$3900,0),2)))))</f>
        <v>MUDAS DE PALMEIRA REAL H=1,50 M</v>
      </c>
      <c r="D192" s="374" t="str">
        <f>(IF($A192="SINAPI",INDEX(SINAPI_NOV2020_NDES!$A$7:$H$6790,MATCH($B192,SINAPI_NOV2020_NDES!$A$7:$A$6790,0),3),(INDEX(COMPOS!$A$4:$G$5000,MATCH($B192,COMPOS!$A$4:$A$5000,0),3))))</f>
        <v>UN</v>
      </c>
      <c r="E192" s="399">
        <v>38</v>
      </c>
      <c r="F192" s="326">
        <f>(IF($A192="SINAPI",INDEX(SINAPI_NOV2020_NDES!$A$7:$H$6703,MATCH($B192,SINAPI_NOV2020_NDES!$A$7:$A$6703,0),5),(INDEX(COMPOS!$A$4:$G$801,MATCH($B192,COMPOS!$A$4:A$801,0),4))))</f>
        <v>90.255889999999994</v>
      </c>
      <c r="G192" s="320">
        <f>(IF($A192="SINAPI",INDEX(SINAPI_NOV2020_NDES!$A$7:$H$6703,MATCH($B192,SINAPI_NOV2020_NDES!$A$7:$A$6703,0),6),(INDEX(COMPOS!$A$4:$G$801,MATCH($B192,COMPOS!$A$4:A$801,0),5))))</f>
        <v>51.72</v>
      </c>
      <c r="H192" s="320">
        <f>(IF($A192="SINAPI",INDEX(SINAPI_NOV2020_NDES!$A$7:$H$6703,MATCH($B192,SINAPI_NOV2020_NDES!$A$7:$A$6703,0),7),(INDEX(COMPOS!$A$4:$G$801,MATCH($B192,COMPOS!$A$4:A$801,0),6))))</f>
        <v>0</v>
      </c>
      <c r="I192" s="326">
        <f t="shared" si="56"/>
        <v>141.97588999999999</v>
      </c>
      <c r="J192" s="316">
        <f t="shared" si="57"/>
        <v>5395.0838199999998</v>
      </c>
      <c r="O192" s="264"/>
      <c r="P192" s="259"/>
    </row>
    <row r="193" spans="1:1001" s="168" customFormat="1" ht="12">
      <c r="A193" s="341" t="s">
        <v>6307</v>
      </c>
      <c r="B193" s="341">
        <v>32</v>
      </c>
      <c r="C193" s="389" t="str">
        <f>(IF($A193="SINAPI",INDEX(SINAPI_NOV2020_NDES!$A$7:$H$6703,MATCH($B193,SINAPI_NOV2020_NDES!$A$7:$A$6703,0),2),IF($A193="GOINFRA",INDEX(#REF!,MATCH($B193,#REF!,0),2),(INDEX(COMPOS!$A$4:$G$3900,MATCH($B193,COMPOS!$A$4:A$3900,0),2)))))</f>
        <v>MUDAS DE PINGO DE OURO</v>
      </c>
      <c r="D193" s="374" t="str">
        <f>(IF($A193="SINAPI",INDEX(SINAPI_NOV2020_NDES!$A$7:$H$6790,MATCH($B193,SINAPI_NOV2020_NDES!$A$7:$A$6790,0),3),(INDEX(COMPOS!$A$4:$G$5000,MATCH($B193,COMPOS!$A$4:$A$5000,0),3))))</f>
        <v>UN</v>
      </c>
      <c r="E193" s="399">
        <v>8</v>
      </c>
      <c r="F193" s="326">
        <f>(IF($A193="SINAPI",INDEX(SINAPI_NOV2020_NDES!$A$7:$H$6703,MATCH($B193,SINAPI_NOV2020_NDES!$A$7:$A$6703,0),5),(INDEX(COMPOS!$A$4:$G$801,MATCH($B193,COMPOS!$A$4:A$801,0),4))))</f>
        <v>2.072168</v>
      </c>
      <c r="G193" s="320">
        <f>(IF($A193="SINAPI",INDEX(SINAPI_NOV2020_NDES!$A$7:$H$6703,MATCH($B193,SINAPI_NOV2020_NDES!$A$7:$A$6703,0),6),(INDEX(COMPOS!$A$4:$G$801,MATCH($B193,COMPOS!$A$4:A$801,0),5))))</f>
        <v>1.24</v>
      </c>
      <c r="H193" s="320">
        <f>(IF($A193="SINAPI",INDEX(SINAPI_NOV2020_NDES!$A$7:$H$6703,MATCH($B193,SINAPI_NOV2020_NDES!$A$7:$A$6703,0),7),(INDEX(COMPOS!$A$4:$G$801,MATCH($B193,COMPOS!$A$4:A$801,0),6))))</f>
        <v>0</v>
      </c>
      <c r="I193" s="326">
        <f t="shared" si="56"/>
        <v>3.3121679999999998</v>
      </c>
      <c r="J193" s="316">
        <f t="shared" si="57"/>
        <v>26.497343999999998</v>
      </c>
      <c r="O193" s="264"/>
      <c r="P193" s="259"/>
    </row>
    <row r="194" spans="1:1001" s="168" customFormat="1" ht="12">
      <c r="A194" s="341" t="s">
        <v>6307</v>
      </c>
      <c r="B194" s="341">
        <v>235</v>
      </c>
      <c r="C194" s="389" t="str">
        <f>(IF($A194="SINAPI",INDEX(SINAPI_NOV2020_NDES!$A$7:$H$6703,MATCH($B194,SINAPI_NOV2020_NDES!$A$7:$A$6703,0),2),IF($A194="GOINFRA",INDEX(#REF!,MATCH($B194,#REF!,0),2),(INDEX(COMPOS!$A$4:$G$3900,MATCH($B194,COMPOS!$A$4:A$3900,0),2)))))</f>
        <v>PALMEIRA ARECA BAMBÚ – H 3,00 MT</v>
      </c>
      <c r="D194" s="374" t="str">
        <f>(IF($A194="SINAPI",INDEX(SINAPI_NOV2020_NDES!$A$7:$H$6790,MATCH($B194,SINAPI_NOV2020_NDES!$A$7:$A$6790,0),3),(INDEX(COMPOS!$A$4:$G$5000,MATCH($B194,COMPOS!$A$4:$A$5000,0),3))))</f>
        <v>UN</v>
      </c>
      <c r="E194" s="399">
        <v>7</v>
      </c>
      <c r="F194" s="326">
        <f>(IF($A194="SINAPI",INDEX(SINAPI_NOV2020_NDES!$A$7:$H$6703,MATCH($B194,SINAPI_NOV2020_NDES!$A$7:$A$6703,0),5),(INDEX(COMPOS!$A$4:$G$801,MATCH($B194,COMPOS!$A$4:A$801,0),4))))</f>
        <v>88.744889999999998</v>
      </c>
      <c r="G194" s="320">
        <f>(IF($A194="SINAPI",INDEX(SINAPI_NOV2020_NDES!$A$7:$H$6703,MATCH($B194,SINAPI_NOV2020_NDES!$A$7:$A$6703,0),6),(INDEX(COMPOS!$A$4:$G$801,MATCH($B194,COMPOS!$A$4:A$801,0),5))))</f>
        <v>102.5</v>
      </c>
      <c r="H194" s="320">
        <f>(IF($A194="SINAPI",INDEX(SINAPI_NOV2020_NDES!$A$7:$H$6703,MATCH($B194,SINAPI_NOV2020_NDES!$A$7:$A$6703,0),7),(INDEX(COMPOS!$A$4:$G$801,MATCH($B194,COMPOS!$A$4:A$801,0),6))))</f>
        <v>0</v>
      </c>
      <c r="I194" s="326">
        <f t="shared" si="56"/>
        <v>191.24489</v>
      </c>
      <c r="J194" s="316">
        <f t="shared" si="57"/>
        <v>1338.71423</v>
      </c>
      <c r="O194" s="264"/>
      <c r="P194" s="259"/>
    </row>
    <row r="195" spans="1:1001" s="168" customFormat="1" ht="12">
      <c r="A195" s="341" t="s">
        <v>7</v>
      </c>
      <c r="B195" s="341">
        <v>98509</v>
      </c>
      <c r="C195" s="389" t="str">
        <f>(IF($A195="SINAPI",INDEX(SINAPI_NOV2020_NDES!$A$7:$H$6703,MATCH($B195,SINAPI_NOV2020_NDES!$A$7:$A$6703,0),2),IF($A195="GOINFRA",INDEX(#REF!,MATCH($B195,#REF!,0),2),(INDEX(COMPOS!$A$4:$G$3900,MATCH($B195,COMPOS!$A$4:A$3900,0),2)))))</f>
        <v>PLANTIO DE ARBUSTO OU  CERCA VIVA. AF_05/2018</v>
      </c>
      <c r="D195" s="374" t="str">
        <f>(IF($A195="SINAPI",INDEX(SINAPI_NOV2020_NDES!$A$7:$H$6790,MATCH($B195,SINAPI_NOV2020_NDES!$A$7:$A$6790,0),3),(INDEX(COMPOS!$A$4:$G$5000,MATCH($B195,COMPOS!$A$4:$A$5000,0),3))))</f>
        <v>UN</v>
      </c>
      <c r="E195" s="399">
        <v>103</v>
      </c>
      <c r="F195" s="326">
        <f>(IF($A195="SINAPI",INDEX(SINAPI_NOV2020_NDES!$A$7:$H$6703,MATCH($B195,SINAPI_NOV2020_NDES!$A$7:$A$6703,0),5),(INDEX(COMPOS!$A$4:$G$801,MATCH($B195,COMPOS!$A$4:A$801,0),4))))</f>
        <v>1.48</v>
      </c>
      <c r="G195" s="320">
        <f>(IF($A195="SINAPI",INDEX(SINAPI_NOV2020_NDES!$A$7:$H$6703,MATCH($B195,SINAPI_NOV2020_NDES!$A$7:$A$6703,0),6),(INDEX(COMPOS!$A$4:$G$801,MATCH($B195,COMPOS!$A$4:A$801,0),5))))</f>
        <v>21.95</v>
      </c>
      <c r="H195" s="320">
        <f>(IF($A195="SINAPI",INDEX(SINAPI_NOV2020_NDES!$A$7:$H$6703,MATCH($B195,SINAPI_NOV2020_NDES!$A$7:$A$6703,0),7),(INDEX(COMPOS!$A$4:$G$801,MATCH($B195,COMPOS!$A$4:A$801,0),6))))</f>
        <v>0</v>
      </c>
      <c r="I195" s="326">
        <f t="shared" si="56"/>
        <v>23.43</v>
      </c>
      <c r="J195" s="316">
        <f t="shared" si="57"/>
        <v>2413.29</v>
      </c>
      <c r="O195" s="264"/>
      <c r="P195" s="259"/>
    </row>
    <row r="196" spans="1:1001" s="168" customFormat="1" ht="12">
      <c r="A196" s="341" t="s">
        <v>6307</v>
      </c>
      <c r="B196" s="341">
        <v>40</v>
      </c>
      <c r="C196" s="389" t="str">
        <f>(IF($A196="SINAPI",INDEX(SINAPI_NOV2020_NDES!$A$7:$H$6703,MATCH($B196,SINAPI_NOV2020_NDES!$A$7:$A$6703,0),2),IF($A196="GOINFRA",INDEX(#REF!,MATCH($B196,#REF!,0),2),(INDEX(COMPOS!$A$4:$G$3900,MATCH($B196,COMPOS!$A$4:A$3900,0),2)))))</f>
        <v>MURO DE CANALETA H=3 M</v>
      </c>
      <c r="D196" s="374" t="str">
        <f>(IF($A196="SINAPI",INDEX(SINAPI_NOV2020_NDES!$A$7:$H$6790,MATCH($B196,SINAPI_NOV2020_NDES!$A$7:$A$6790,0),3),(INDEX(COMPOS!$A$4:$G$5000,MATCH($B196,COMPOS!$A$4:$A$5000,0),3))))</f>
        <v>M</v>
      </c>
      <c r="E196" s="399">
        <v>91</v>
      </c>
      <c r="F196" s="326">
        <f>(IF($A196="SINAPI",INDEX(SINAPI_NOV2020_NDES!$A$7:$H$6703,MATCH($B196,SINAPI_NOV2020_NDES!$A$7:$A$6703,0),5),(INDEX(COMPOS!$A$4:$G$801,MATCH($B196,COMPOS!$A$4:A$801,0),4))))</f>
        <v>395.41216799999995</v>
      </c>
      <c r="G196" s="320">
        <f>(IF($A196="SINAPI",INDEX(SINAPI_NOV2020_NDES!$A$7:$H$6703,MATCH($B196,SINAPI_NOV2020_NDES!$A$7:$A$6703,0),6),(INDEX(COMPOS!$A$4:$G$801,MATCH($B196,COMPOS!$A$4:A$801,0),5))))</f>
        <v>675.8391170000001</v>
      </c>
      <c r="H196" s="320">
        <f>(IF($A196="SINAPI",INDEX(SINAPI_NOV2020_NDES!$A$7:$H$6703,MATCH($B196,SINAPI_NOV2020_NDES!$A$7:$A$6703,0),7),(INDEX(COMPOS!$A$4:$G$801,MATCH($B196,COMPOS!$A$4:A$801,0),6))))</f>
        <v>291.79666100000003</v>
      </c>
      <c r="I196" s="326">
        <f t="shared" si="56"/>
        <v>1363.0479460000001</v>
      </c>
      <c r="J196" s="316">
        <f t="shared" si="57"/>
        <v>124037.36308600001</v>
      </c>
      <c r="O196" s="264"/>
      <c r="P196" s="259"/>
    </row>
    <row r="197" spans="1:1001">
      <c r="A197" s="385" t="s">
        <v>6307</v>
      </c>
      <c r="B197" s="341">
        <v>870</v>
      </c>
      <c r="C197" s="389" t="str">
        <f>(IF($A197="SINAPI",INDEX(SINAPI_NOV2020_NDES!$A$7:$H$6703,MATCH($B197,SINAPI_NOV2020_NDES!$A$7:$A$6703,0),2),IF($A197="GOINFRA",INDEX(#REF!,MATCH($B197,#REF!,0),2),(INDEX(COMPOS!$A$4:$G$3900,MATCH($B197,COMPOS!$A$4:A$3900,0),2)))))</f>
        <v>ANDAIME METALICO TORRE (ALUGUEL/MES)</v>
      </c>
      <c r="D197" s="374" t="str">
        <f>(IF($A197="SINAPI",INDEX(SINAPI_NOV2020_NDES!$A$7:$H$6790,MATCH($B197,SINAPI_NOV2020_NDES!$A$7:$A$6790,0),3),(INDEX(COMPOS!$A$4:$G$5000,MATCH($B197,COMPOS!$A$4:$A$5000,0),3))))</f>
        <v>M</v>
      </c>
      <c r="E197" s="399">
        <v>25</v>
      </c>
      <c r="F197" s="326">
        <f>(IF($A197="SINAPI",INDEX(SINAPI_NOV2020_NDES!$A$7:$H$6703,MATCH($B197,SINAPI_NOV2020_NDES!$A$7:$A$6703,0),5),(INDEX(COMPOS!$A$4:$G$801,MATCH($B197,COMPOS!$A$4:A$801,0),4))))</f>
        <v>3.6238000000000001</v>
      </c>
      <c r="G197" s="320">
        <f>(IF($A197="SINAPI",INDEX(SINAPI_NOV2020_NDES!$A$7:$H$6703,MATCH($B197,SINAPI_NOV2020_NDES!$A$7:$A$6703,0),6),(INDEX(COMPOS!$A$4:$G$801,MATCH($B197,COMPOS!$A$4:A$801,0),5))))</f>
        <v>12</v>
      </c>
      <c r="H197" s="320">
        <f>(IF($A197="SINAPI",INDEX(SINAPI_NOV2020_NDES!$A$7:$H$6703,MATCH($B197,SINAPI_NOV2020_NDES!$A$7:$A$6703,0),7),(INDEX(COMPOS!$A$4:$G$801,MATCH($B197,COMPOS!$A$4:A$801,0),6))))</f>
        <v>0</v>
      </c>
      <c r="I197" s="326">
        <f t="shared" si="56"/>
        <v>15.623799999999999</v>
      </c>
      <c r="J197" s="316">
        <f t="shared" si="57"/>
        <v>390.59499999999997</v>
      </c>
      <c r="K197" s="168"/>
      <c r="L197" s="168"/>
      <c r="M197" s="168"/>
      <c r="N197" s="168"/>
      <c r="O197" s="264"/>
      <c r="P197" s="259"/>
    </row>
    <row r="198" spans="1:1001" ht="24">
      <c r="A198" s="385" t="s">
        <v>6307</v>
      </c>
      <c r="B198" s="341">
        <v>73</v>
      </c>
      <c r="C198" s="389" t="str">
        <f>(IF($A198="SINAPI",INDEX(SINAPI_NOV2020_NDES!$A$7:$H$6703,MATCH($B198,SINAPI_NOV2020_NDES!$A$7:$A$6703,0),2),IF($A198="GOINFRA",INDEX(#REF!,MATCH($B198,#REF!,0),2),(INDEX(COMPOS!$A$4:$G$3900,MATCH($B198,COMPOS!$A$4:A$3900,0),2)))))</f>
        <v>TRAVES EM FERRO GALVANIZADO PARA CAMPO DE FUTEBOL (ASSENT/PINTADAS) - 7,56X2,56M</v>
      </c>
      <c r="D198" s="374" t="str">
        <f>(IF($A198="SINAPI",INDEX(SINAPI_NOV2020_NDES!$A$7:$H$6790,MATCH($B198,SINAPI_NOV2020_NDES!$A$7:$A$6790,0),3),(INDEX(COMPOS!$A$4:$G$5000,MATCH($B198,COMPOS!$A$4:$A$5000,0),3))))</f>
        <v>CJ</v>
      </c>
      <c r="E198" s="399">
        <v>1</v>
      </c>
      <c r="F198" s="326">
        <f>(IF($A198="SINAPI",INDEX(SINAPI_NOV2020_NDES!$A$7:$H$6703,MATCH($B198,SINAPI_NOV2020_NDES!$A$7:$A$6703,0),5),(INDEX(COMPOS!$A$4:$G$801,MATCH($B198,COMPOS!$A$4:A$801,0),4))))</f>
        <v>713.47351800000001</v>
      </c>
      <c r="G198" s="320">
        <f>(IF($A198="SINAPI",INDEX(SINAPI_NOV2020_NDES!$A$7:$H$6703,MATCH($B198,SINAPI_NOV2020_NDES!$A$7:$A$6703,0),6),(INDEX(COMPOS!$A$4:$G$801,MATCH($B198,COMPOS!$A$4:A$801,0),5))))</f>
        <v>6204.8318659999986</v>
      </c>
      <c r="H198" s="320">
        <f>(IF($A198="SINAPI",INDEX(SINAPI_NOV2020_NDES!$A$7:$H$6703,MATCH($B198,SINAPI_NOV2020_NDES!$A$7:$A$6703,0),7),(INDEX(COMPOS!$A$4:$G$801,MATCH($B198,COMPOS!$A$4:A$801,0),6))))</f>
        <v>0</v>
      </c>
      <c r="I198" s="326">
        <f t="shared" si="56"/>
        <v>6918.3053839999984</v>
      </c>
      <c r="J198" s="316">
        <f t="shared" si="57"/>
        <v>6918.3053839999984</v>
      </c>
      <c r="K198" s="168"/>
      <c r="L198" s="168"/>
      <c r="M198" s="168"/>
      <c r="N198" s="168"/>
      <c r="O198" s="264"/>
      <c r="P198" s="259"/>
    </row>
    <row r="199" spans="1:1001" ht="36">
      <c r="A199" s="385" t="s">
        <v>7</v>
      </c>
      <c r="B199" s="341" t="s">
        <v>5240</v>
      </c>
      <c r="C199" s="389" t="str">
        <f>(IF($A199="SINAPI",INDEX(SINAPI_NOV2020_NDES!$A$7:$H$6703,MATCH($B199,SINAPI_NOV2020_NDES!$A$7:$A$6703,0),2),IF($A199="GOINFRA",INDEX(#REF!,MATCH($B199,#REF!,0),2),(INDEX(COMPOS!$A$4:$G$3900,MATCH($B199,COMPOS!$A$4:A$3900,0),2)))))</f>
        <v>ALAMBRADO PARA QUADRA POLIESPORTIVA, ESTRUTURADO POR TUBOS DE ACO GALVANIZADO, COM COSTURA, DIN 2440, DIAMETRO 2", COM TELA DE ARAME GALVANIZADO, FIO 14 BWG E MALHA QUADRADA 5X5CM</v>
      </c>
      <c r="D199" s="374" t="str">
        <f>(IF($A199="SINAPI",INDEX(SINAPI_NOV2020_NDES!$A$7:$H$6790,MATCH($B199,SINAPI_NOV2020_NDES!$A$7:$A$6790,0),3),(INDEX(COMPOS!$A$4:$G$5000,MATCH($B199,COMPOS!$A$4:$A$5000,0),3))))</f>
        <v>M2</v>
      </c>
      <c r="E199" s="399">
        <v>260</v>
      </c>
      <c r="F199" s="326">
        <f>(IF($A199="SINAPI",INDEX(SINAPI_NOV2020_NDES!$A$7:$H$6703,MATCH($B199,SINAPI_NOV2020_NDES!$A$7:$A$6703,0),5),(INDEX(COMPOS!$A$4:$G$801,MATCH($B199,COMPOS!$A$4:A$801,0),4))))</f>
        <v>19.13</v>
      </c>
      <c r="G199" s="320">
        <f>(IF($A199="SINAPI",INDEX(SINAPI_NOV2020_NDES!$A$7:$H$6703,MATCH($B199,SINAPI_NOV2020_NDES!$A$7:$A$6703,0),6),(INDEX(COMPOS!$A$4:$G$801,MATCH($B199,COMPOS!$A$4:A$801,0),5))))</f>
        <v>133.16</v>
      </c>
      <c r="H199" s="320">
        <f>(IF($A199="SINAPI",INDEX(SINAPI_NOV2020_NDES!$A$7:$H$6703,MATCH($B199,SINAPI_NOV2020_NDES!$A$7:$A$6703,0),7),(INDEX(COMPOS!$A$4:$G$801,MATCH($B199,COMPOS!$A$4:A$801,0),6))))</f>
        <v>0</v>
      </c>
      <c r="I199" s="326">
        <f t="shared" si="56"/>
        <v>152.29</v>
      </c>
      <c r="J199" s="316">
        <f t="shared" si="57"/>
        <v>39595.4</v>
      </c>
      <c r="K199" s="168"/>
      <c r="L199" s="168"/>
      <c r="M199" s="168"/>
      <c r="N199" s="168"/>
      <c r="O199" s="264"/>
      <c r="P199" s="259"/>
    </row>
    <row r="200" spans="1:1001">
      <c r="A200" s="385" t="s">
        <v>6307</v>
      </c>
      <c r="B200" s="341">
        <v>21</v>
      </c>
      <c r="C200" s="389" t="str">
        <f>(IF($A200="SINAPI",INDEX(SINAPI_NOV2020_NDES!$A$7:$H$6703,MATCH($B200,SINAPI_NOV2020_NDES!$A$7:$A$6703,0),2),IF($A200="GOINFRA",INDEX(#REF!,MATCH($B200,#REF!,0),2),(INDEX(COMPOS!$A$4:$G$3900,MATCH($B200,COMPOS!$A$4:A$3900,0),2)))))</f>
        <v>ALAMBRADO PARA BOLA (MISTO) PADRÃO</v>
      </c>
      <c r="D200" s="374" t="str">
        <f>(IF($A200="SINAPI",INDEX(SINAPI_NOV2020_NDES!$A$7:$H$6790,MATCH($B200,SINAPI_NOV2020_NDES!$A$7:$A$6790,0),3),(INDEX(COMPOS!$A$4:$G$5000,MATCH($B200,COMPOS!$A$4:$A$5000,0),3))))</f>
        <v>M2</v>
      </c>
      <c r="E200" s="399">
        <v>560</v>
      </c>
      <c r="F200" s="326">
        <f>(IF($A200="SINAPI",INDEX(SINAPI_NOV2020_NDES!$A$7:$H$6703,MATCH($B200,SINAPI_NOV2020_NDES!$A$7:$A$6703,0),5),(INDEX(COMPOS!$A$4:$G$801,MATCH($B200,COMPOS!$A$4:A$801,0),4))))</f>
        <v>2.7208919999999996</v>
      </c>
      <c r="G200" s="320">
        <f>(IF($A200="SINAPI",INDEX(SINAPI_NOV2020_NDES!$A$7:$H$6703,MATCH($B200,SINAPI_NOV2020_NDES!$A$7:$A$6703,0),6),(INDEX(COMPOS!$A$4:$G$801,MATCH($B200,COMPOS!$A$4:A$801,0),5))))</f>
        <v>57.019657999999993</v>
      </c>
      <c r="H200" s="320">
        <f>(IF($A200="SINAPI",INDEX(SINAPI_NOV2020_NDES!$A$7:$H$6703,MATCH($B200,SINAPI_NOV2020_NDES!$A$7:$A$6703,0),7),(INDEX(COMPOS!$A$4:$G$801,MATCH($B200,COMPOS!$A$4:A$801,0),6))))</f>
        <v>0</v>
      </c>
      <c r="I200" s="326">
        <f t="shared" si="56"/>
        <v>59.740549999999992</v>
      </c>
      <c r="J200" s="316">
        <f t="shared" si="57"/>
        <v>33454.707999999999</v>
      </c>
      <c r="K200" s="168"/>
      <c r="L200" s="168"/>
      <c r="M200" s="168"/>
      <c r="N200" s="168"/>
      <c r="O200" s="264"/>
      <c r="P200" s="259"/>
    </row>
    <row r="201" spans="1:1001">
      <c r="A201" s="716" t="s">
        <v>6927</v>
      </c>
      <c r="B201" s="716"/>
      <c r="C201" s="716"/>
      <c r="D201" s="716"/>
      <c r="E201" s="716"/>
      <c r="F201" s="716"/>
      <c r="G201" s="716"/>
      <c r="H201" s="716"/>
      <c r="I201" s="716"/>
      <c r="J201" s="390">
        <f>SUM(J188:J200)</f>
        <v>382527.50558</v>
      </c>
      <c r="K201" s="168"/>
      <c r="L201" s="168"/>
      <c r="M201" s="168"/>
      <c r="N201" s="168"/>
      <c r="O201" s="168"/>
      <c r="P201" s="259"/>
    </row>
    <row r="202" spans="1:1001" s="191" customFormat="1" ht="12.75" customHeight="1">
      <c r="A202" s="680" t="s">
        <v>7104</v>
      </c>
      <c r="B202" s="680"/>
      <c r="C202" s="680"/>
      <c r="D202" s="680"/>
      <c r="E202" s="680"/>
      <c r="F202" s="680"/>
      <c r="G202" s="680"/>
      <c r="H202" s="680"/>
      <c r="I202" s="680"/>
      <c r="J202" s="577">
        <f>SUMPRODUCT($E$11:$E$200,$F$11:$F$200)</f>
        <v>948495.22738254606</v>
      </c>
      <c r="K202" s="255"/>
      <c r="L202" s="255"/>
      <c r="M202" s="255"/>
      <c r="N202" s="255"/>
      <c r="O202" s="255"/>
      <c r="P202" s="257"/>
      <c r="Q202" s="255"/>
      <c r="R202" s="255"/>
      <c r="S202" s="255"/>
      <c r="T202" s="255"/>
      <c r="U202" s="255"/>
      <c r="V202" s="255"/>
      <c r="W202" s="255"/>
      <c r="X202" s="255"/>
      <c r="Y202" s="255"/>
      <c r="Z202" s="255"/>
      <c r="AA202" s="255"/>
      <c r="AB202" s="255"/>
      <c r="AC202" s="255"/>
      <c r="AD202" s="255"/>
      <c r="AE202" s="255"/>
      <c r="AF202" s="255"/>
      <c r="AG202" s="255"/>
      <c r="AH202" s="255"/>
      <c r="AI202" s="255"/>
      <c r="AJ202" s="255"/>
      <c r="AK202" s="255"/>
      <c r="AL202" s="255"/>
      <c r="AM202" s="255"/>
      <c r="AN202" s="255"/>
      <c r="AO202" s="255"/>
      <c r="AP202" s="255"/>
      <c r="AQ202" s="255"/>
      <c r="AR202" s="255"/>
      <c r="AS202" s="255"/>
      <c r="AT202" s="255"/>
      <c r="AU202" s="255"/>
      <c r="AV202" s="255"/>
      <c r="AW202" s="255"/>
      <c r="AX202" s="255"/>
      <c r="AY202" s="255"/>
      <c r="AZ202" s="255"/>
      <c r="BA202" s="255"/>
      <c r="BB202" s="255"/>
      <c r="BC202" s="255"/>
      <c r="BD202" s="255"/>
      <c r="BE202" s="255"/>
      <c r="BF202" s="255"/>
      <c r="BG202" s="255"/>
      <c r="BH202" s="255"/>
      <c r="BI202" s="255"/>
      <c r="BJ202" s="255"/>
      <c r="BK202" s="255"/>
      <c r="BL202" s="255"/>
      <c r="BM202" s="255"/>
      <c r="BN202" s="255"/>
      <c r="BO202" s="255"/>
      <c r="BP202" s="255"/>
      <c r="BQ202" s="255"/>
      <c r="BR202" s="255"/>
      <c r="BS202" s="255"/>
      <c r="BT202" s="255"/>
      <c r="BU202" s="255"/>
      <c r="BV202" s="255"/>
      <c r="BW202" s="255"/>
      <c r="BX202" s="255"/>
      <c r="BY202" s="255"/>
      <c r="BZ202" s="255"/>
      <c r="CA202" s="255"/>
      <c r="CB202" s="255"/>
      <c r="CC202" s="255"/>
      <c r="CD202" s="255"/>
      <c r="CE202" s="255"/>
      <c r="CF202" s="255"/>
      <c r="CG202" s="255"/>
      <c r="CH202" s="255"/>
      <c r="CI202" s="255"/>
      <c r="CJ202" s="255"/>
      <c r="CK202" s="255"/>
      <c r="CL202" s="255"/>
      <c r="CM202" s="255"/>
      <c r="CN202" s="255"/>
      <c r="CO202" s="255"/>
      <c r="CP202" s="255"/>
      <c r="CQ202" s="255"/>
      <c r="CR202" s="255"/>
      <c r="CS202" s="255"/>
      <c r="CT202" s="255"/>
      <c r="CU202" s="255"/>
      <c r="CV202" s="255"/>
      <c r="CW202" s="255"/>
      <c r="CX202" s="255"/>
      <c r="CY202" s="255"/>
      <c r="CZ202" s="255"/>
      <c r="DA202" s="255"/>
      <c r="DB202" s="255"/>
      <c r="DC202" s="255"/>
      <c r="DD202" s="255"/>
      <c r="DE202" s="255"/>
      <c r="DF202" s="255"/>
      <c r="DG202" s="255"/>
      <c r="DH202" s="255"/>
      <c r="DI202" s="255"/>
      <c r="DJ202" s="255"/>
      <c r="DK202" s="255"/>
      <c r="DL202" s="255"/>
      <c r="DM202" s="255"/>
      <c r="DN202" s="255"/>
      <c r="DO202" s="255"/>
      <c r="DP202" s="255"/>
      <c r="DQ202" s="255"/>
      <c r="DR202" s="255"/>
      <c r="DS202" s="255"/>
      <c r="DT202" s="255"/>
      <c r="DU202" s="255"/>
      <c r="DV202" s="255"/>
      <c r="DW202" s="255"/>
      <c r="DX202" s="255"/>
      <c r="DY202" s="255"/>
      <c r="DZ202" s="255"/>
      <c r="EA202" s="255"/>
      <c r="EB202" s="255"/>
      <c r="EC202" s="255"/>
      <c r="ED202" s="255"/>
      <c r="EE202" s="255"/>
      <c r="EF202" s="255"/>
      <c r="EG202" s="255"/>
      <c r="EH202" s="255"/>
      <c r="EI202" s="255"/>
      <c r="EJ202" s="255"/>
      <c r="EK202" s="255"/>
      <c r="EL202" s="255"/>
      <c r="EM202" s="255"/>
      <c r="EN202" s="255"/>
      <c r="EO202" s="255"/>
      <c r="EP202" s="255"/>
      <c r="EQ202" s="255"/>
      <c r="ER202" s="255"/>
      <c r="ES202" s="255"/>
      <c r="ET202" s="255"/>
      <c r="EU202" s="255"/>
      <c r="EV202" s="255"/>
      <c r="EW202" s="255"/>
      <c r="EX202" s="255"/>
      <c r="EY202" s="255"/>
      <c r="EZ202" s="255"/>
      <c r="FA202" s="255"/>
      <c r="FB202" s="255"/>
      <c r="FC202" s="255"/>
      <c r="FD202" s="255"/>
      <c r="FE202" s="255"/>
      <c r="FF202" s="255"/>
      <c r="FG202" s="255"/>
      <c r="FH202" s="255"/>
      <c r="FI202" s="255"/>
      <c r="FJ202" s="255"/>
      <c r="FK202" s="255"/>
      <c r="FL202" s="255"/>
      <c r="FM202" s="255"/>
      <c r="FN202" s="255"/>
      <c r="FO202" s="255"/>
      <c r="FP202" s="255"/>
      <c r="FQ202" s="255"/>
      <c r="FR202" s="255"/>
      <c r="FS202" s="255"/>
      <c r="FT202" s="255"/>
      <c r="FU202" s="255"/>
      <c r="FV202" s="255"/>
      <c r="FW202" s="255"/>
      <c r="FX202" s="255"/>
      <c r="FY202" s="255"/>
      <c r="FZ202" s="255"/>
      <c r="GA202" s="255"/>
      <c r="GB202" s="255"/>
      <c r="GC202" s="255"/>
      <c r="GD202" s="255"/>
      <c r="GE202" s="255"/>
      <c r="GF202" s="255"/>
      <c r="GG202" s="255"/>
      <c r="GH202" s="255"/>
      <c r="GI202" s="255"/>
      <c r="GJ202" s="255"/>
      <c r="GK202" s="255"/>
      <c r="GL202" s="255"/>
      <c r="GM202" s="255"/>
      <c r="GN202" s="255"/>
      <c r="GO202" s="255"/>
      <c r="GP202" s="255"/>
      <c r="GQ202" s="255"/>
      <c r="GR202" s="255"/>
      <c r="GS202" s="255"/>
      <c r="GT202" s="255"/>
      <c r="GU202" s="255"/>
      <c r="GV202" s="255"/>
      <c r="GW202" s="255"/>
      <c r="GX202" s="255"/>
      <c r="GY202" s="255"/>
      <c r="GZ202" s="255"/>
      <c r="HA202" s="255"/>
      <c r="HB202" s="255"/>
      <c r="HC202" s="255"/>
      <c r="HD202" s="255"/>
      <c r="HE202" s="255"/>
      <c r="HF202" s="255"/>
      <c r="HG202" s="255"/>
      <c r="HH202" s="255"/>
      <c r="HI202" s="255"/>
      <c r="HJ202" s="255"/>
      <c r="HK202" s="255"/>
      <c r="HL202" s="255"/>
      <c r="HM202" s="255"/>
      <c r="HN202" s="255"/>
      <c r="HO202" s="255"/>
      <c r="HP202" s="255"/>
      <c r="HQ202" s="255"/>
      <c r="HR202" s="255"/>
      <c r="HS202" s="255"/>
      <c r="HT202" s="255"/>
      <c r="HU202" s="255"/>
      <c r="HV202" s="255"/>
      <c r="HW202" s="255"/>
      <c r="HX202" s="255"/>
      <c r="HY202" s="255"/>
      <c r="HZ202" s="255"/>
      <c r="IA202" s="255"/>
      <c r="IB202" s="255"/>
      <c r="IC202" s="255"/>
      <c r="ID202" s="255"/>
      <c r="IE202" s="255"/>
      <c r="IF202" s="255"/>
      <c r="IG202" s="255"/>
      <c r="IH202" s="255"/>
      <c r="II202" s="255"/>
      <c r="IJ202" s="255"/>
      <c r="IK202" s="255"/>
      <c r="IL202" s="255"/>
      <c r="IM202" s="255"/>
      <c r="IN202" s="255"/>
      <c r="IO202" s="255"/>
      <c r="IP202" s="255"/>
      <c r="IQ202" s="255"/>
      <c r="IR202" s="255"/>
      <c r="IS202" s="255"/>
      <c r="IT202" s="255"/>
      <c r="IU202" s="255"/>
      <c r="IV202" s="255"/>
      <c r="IW202" s="255"/>
      <c r="IX202" s="255"/>
      <c r="IY202" s="255"/>
      <c r="IZ202" s="255"/>
      <c r="JA202" s="255"/>
      <c r="JB202" s="255"/>
      <c r="JC202" s="255"/>
      <c r="JD202" s="255"/>
      <c r="JE202" s="255"/>
      <c r="JF202" s="255"/>
      <c r="JG202" s="255"/>
      <c r="JH202" s="255"/>
      <c r="JI202" s="255"/>
      <c r="JJ202" s="255"/>
      <c r="JK202" s="255"/>
      <c r="JL202" s="255"/>
      <c r="JM202" s="255"/>
      <c r="JN202" s="255"/>
      <c r="JO202" s="255"/>
      <c r="JP202" s="255"/>
      <c r="JQ202" s="255"/>
      <c r="JR202" s="255"/>
      <c r="JS202" s="255"/>
      <c r="JT202" s="255"/>
      <c r="JU202" s="255"/>
      <c r="JV202" s="255"/>
      <c r="JW202" s="255"/>
      <c r="JX202" s="255"/>
      <c r="JY202" s="255"/>
      <c r="JZ202" s="255"/>
      <c r="KA202" s="255"/>
      <c r="KB202" s="255"/>
      <c r="KC202" s="255"/>
      <c r="KD202" s="255"/>
      <c r="KE202" s="255"/>
      <c r="KF202" s="255"/>
      <c r="KG202" s="255"/>
      <c r="KH202" s="255"/>
      <c r="KI202" s="255"/>
      <c r="KJ202" s="255"/>
      <c r="KK202" s="255"/>
      <c r="KL202" s="255"/>
      <c r="KM202" s="255"/>
      <c r="KN202" s="255"/>
      <c r="KO202" s="255"/>
      <c r="KP202" s="255"/>
      <c r="KQ202" s="255"/>
      <c r="KR202" s="255"/>
      <c r="KS202" s="255"/>
      <c r="KT202" s="255"/>
      <c r="KU202" s="255"/>
      <c r="KV202" s="255"/>
      <c r="KW202" s="255"/>
      <c r="KX202" s="255"/>
      <c r="KY202" s="255"/>
      <c r="KZ202" s="255"/>
      <c r="LA202" s="255"/>
      <c r="LB202" s="255"/>
      <c r="LC202" s="255"/>
      <c r="LD202" s="255"/>
      <c r="LE202" s="255"/>
      <c r="LF202" s="255"/>
      <c r="LG202" s="255"/>
      <c r="LH202" s="255"/>
      <c r="LI202" s="255"/>
      <c r="LJ202" s="255"/>
      <c r="LK202" s="255"/>
      <c r="LL202" s="255"/>
      <c r="LM202" s="255"/>
      <c r="LN202" s="255"/>
      <c r="LO202" s="255"/>
      <c r="LP202" s="255"/>
      <c r="LQ202" s="255"/>
      <c r="LR202" s="255"/>
      <c r="LS202" s="255"/>
      <c r="LT202" s="255"/>
      <c r="LU202" s="255"/>
      <c r="LV202" s="255"/>
      <c r="LW202" s="255"/>
      <c r="LX202" s="255"/>
      <c r="LY202" s="255"/>
      <c r="LZ202" s="255"/>
      <c r="MA202" s="255"/>
      <c r="MB202" s="255"/>
      <c r="MC202" s="255"/>
      <c r="MD202" s="255"/>
      <c r="ME202" s="255"/>
      <c r="MF202" s="255"/>
      <c r="MG202" s="255"/>
      <c r="MH202" s="255"/>
      <c r="MI202" s="255"/>
      <c r="MJ202" s="255"/>
      <c r="MK202" s="255"/>
      <c r="ML202" s="255"/>
      <c r="MM202" s="255"/>
      <c r="MN202" s="255"/>
      <c r="MO202" s="255"/>
      <c r="MP202" s="255"/>
      <c r="MQ202" s="255"/>
      <c r="MR202" s="255"/>
      <c r="MS202" s="255"/>
      <c r="MT202" s="255"/>
      <c r="MU202" s="255"/>
      <c r="MV202" s="255"/>
      <c r="MW202" s="255"/>
      <c r="MX202" s="255"/>
      <c r="MY202" s="255"/>
      <c r="MZ202" s="255"/>
      <c r="NA202" s="255"/>
      <c r="NB202" s="255"/>
      <c r="NC202" s="255"/>
      <c r="ND202" s="255"/>
      <c r="NE202" s="255"/>
      <c r="NF202" s="255"/>
      <c r="NG202" s="255"/>
      <c r="NH202" s="255"/>
      <c r="NI202" s="255"/>
      <c r="NJ202" s="255"/>
      <c r="NK202" s="255"/>
      <c r="NL202" s="255"/>
      <c r="NM202" s="255"/>
      <c r="NN202" s="255"/>
      <c r="NO202" s="255"/>
      <c r="NP202" s="255"/>
      <c r="NQ202" s="255"/>
      <c r="NR202" s="255"/>
      <c r="NS202" s="255"/>
      <c r="NT202" s="255"/>
      <c r="NU202" s="255"/>
      <c r="NV202" s="255"/>
      <c r="NW202" s="255"/>
      <c r="NX202" s="255"/>
      <c r="NY202" s="255"/>
      <c r="NZ202" s="255"/>
      <c r="OA202" s="255"/>
      <c r="OB202" s="255"/>
      <c r="OC202" s="255"/>
      <c r="OD202" s="255"/>
      <c r="OE202" s="255"/>
      <c r="OF202" s="255"/>
      <c r="OG202" s="255"/>
      <c r="OH202" s="255"/>
      <c r="OI202" s="255"/>
      <c r="OJ202" s="255"/>
      <c r="OK202" s="255"/>
      <c r="OL202" s="255"/>
      <c r="OM202" s="255"/>
      <c r="ON202" s="255"/>
      <c r="OO202" s="255"/>
      <c r="OP202" s="255"/>
      <c r="OQ202" s="255"/>
      <c r="OR202" s="255"/>
      <c r="OS202" s="255"/>
      <c r="OT202" s="255"/>
      <c r="OU202" s="255"/>
      <c r="OV202" s="255"/>
      <c r="OW202" s="255"/>
      <c r="OX202" s="255"/>
      <c r="OY202" s="255"/>
      <c r="OZ202" s="255"/>
      <c r="PA202" s="255"/>
      <c r="PB202" s="255"/>
      <c r="PC202" s="255"/>
      <c r="PD202" s="255"/>
      <c r="PE202" s="255"/>
      <c r="PF202" s="255"/>
      <c r="PG202" s="255"/>
      <c r="PH202" s="255"/>
      <c r="PI202" s="255"/>
      <c r="PJ202" s="255"/>
      <c r="PK202" s="255"/>
      <c r="PL202" s="255"/>
      <c r="PM202" s="255"/>
      <c r="PN202" s="255"/>
      <c r="PO202" s="255"/>
      <c r="PP202" s="255"/>
      <c r="PQ202" s="255"/>
      <c r="PR202" s="255"/>
      <c r="PS202" s="255"/>
      <c r="PT202" s="255"/>
      <c r="PU202" s="255"/>
      <c r="PV202" s="255"/>
      <c r="PW202" s="255"/>
      <c r="PX202" s="255"/>
      <c r="PY202" s="255"/>
      <c r="PZ202" s="255"/>
      <c r="QA202" s="255"/>
      <c r="QB202" s="255"/>
      <c r="QC202" s="255"/>
      <c r="QD202" s="255"/>
      <c r="QE202" s="255"/>
      <c r="QF202" s="255"/>
      <c r="QG202" s="255"/>
      <c r="QH202" s="255"/>
      <c r="QI202" s="255"/>
      <c r="QJ202" s="255"/>
      <c r="QK202" s="255"/>
      <c r="QL202" s="255"/>
      <c r="QM202" s="255"/>
      <c r="QN202" s="255"/>
      <c r="QO202" s="255"/>
      <c r="QP202" s="255"/>
      <c r="QQ202" s="255"/>
      <c r="QR202" s="255"/>
      <c r="QS202" s="255"/>
      <c r="QT202" s="255"/>
      <c r="QU202" s="255"/>
      <c r="QV202" s="255"/>
      <c r="QW202" s="255"/>
      <c r="QX202" s="255"/>
      <c r="QY202" s="255"/>
      <c r="QZ202" s="255"/>
      <c r="RA202" s="255"/>
      <c r="RB202" s="255"/>
      <c r="RC202" s="255"/>
      <c r="RD202" s="255"/>
      <c r="RE202" s="255"/>
      <c r="RF202" s="255"/>
      <c r="RG202" s="255"/>
      <c r="RH202" s="255"/>
      <c r="RI202" s="255"/>
      <c r="RJ202" s="255"/>
      <c r="RK202" s="255"/>
      <c r="RL202" s="255"/>
      <c r="RM202" s="255"/>
      <c r="RN202" s="255"/>
      <c r="RO202" s="255"/>
      <c r="RP202" s="255"/>
      <c r="RQ202" s="255"/>
      <c r="RR202" s="255"/>
      <c r="RS202" s="255"/>
      <c r="RT202" s="255"/>
      <c r="RU202" s="255"/>
      <c r="RV202" s="255"/>
      <c r="RW202" s="255"/>
      <c r="RX202" s="255"/>
      <c r="RY202" s="255"/>
      <c r="RZ202" s="255"/>
      <c r="SA202" s="255"/>
      <c r="SB202" s="255"/>
      <c r="SC202" s="255"/>
      <c r="SD202" s="255"/>
      <c r="SE202" s="255"/>
      <c r="SF202" s="255"/>
      <c r="SG202" s="255"/>
      <c r="SH202" s="255"/>
      <c r="SI202" s="255"/>
      <c r="SJ202" s="255"/>
      <c r="SK202" s="255"/>
      <c r="SL202" s="255"/>
      <c r="SM202" s="255"/>
      <c r="SN202" s="255"/>
      <c r="SO202" s="255"/>
      <c r="SP202" s="255"/>
      <c r="SQ202" s="255"/>
      <c r="SR202" s="255"/>
      <c r="SS202" s="255"/>
      <c r="ST202" s="255"/>
      <c r="SU202" s="255"/>
      <c r="SV202" s="255"/>
      <c r="SW202" s="255"/>
      <c r="SX202" s="255"/>
      <c r="SY202" s="255"/>
      <c r="SZ202" s="255"/>
      <c r="TA202" s="255"/>
      <c r="TB202" s="255"/>
      <c r="TC202" s="255"/>
      <c r="TD202" s="255"/>
      <c r="TE202" s="255"/>
      <c r="TF202" s="255"/>
      <c r="TG202" s="255"/>
      <c r="TH202" s="255"/>
      <c r="TI202" s="255"/>
      <c r="TJ202" s="255"/>
      <c r="TK202" s="255"/>
      <c r="TL202" s="255"/>
      <c r="TM202" s="255"/>
      <c r="TN202" s="255"/>
      <c r="TO202" s="255"/>
      <c r="TP202" s="255"/>
      <c r="TQ202" s="255"/>
      <c r="TR202" s="255"/>
      <c r="TS202" s="255"/>
      <c r="TT202" s="255"/>
      <c r="TU202" s="255"/>
      <c r="TV202" s="255"/>
      <c r="TW202" s="255"/>
      <c r="TX202" s="255"/>
      <c r="TY202" s="255"/>
      <c r="TZ202" s="255"/>
      <c r="UA202" s="255"/>
      <c r="UB202" s="255"/>
      <c r="UC202" s="255"/>
      <c r="UD202" s="255"/>
      <c r="UE202" s="255"/>
      <c r="UF202" s="255"/>
      <c r="UG202" s="255"/>
      <c r="UH202" s="255"/>
      <c r="UI202" s="255"/>
      <c r="UJ202" s="255"/>
      <c r="UK202" s="255"/>
      <c r="UL202" s="255"/>
      <c r="UM202" s="255"/>
      <c r="UN202" s="255"/>
      <c r="UO202" s="255"/>
      <c r="UP202" s="255"/>
      <c r="UQ202" s="255"/>
      <c r="UR202" s="255"/>
      <c r="US202" s="255"/>
      <c r="UT202" s="255"/>
      <c r="UU202" s="255"/>
      <c r="UV202" s="255"/>
      <c r="UW202" s="255"/>
      <c r="UX202" s="255"/>
      <c r="UY202" s="255"/>
      <c r="UZ202" s="255"/>
      <c r="VA202" s="255"/>
      <c r="VB202" s="255"/>
      <c r="VC202" s="255"/>
      <c r="VD202" s="255"/>
      <c r="VE202" s="255"/>
      <c r="VF202" s="255"/>
      <c r="VG202" s="255"/>
      <c r="VH202" s="255"/>
      <c r="VI202" s="255"/>
      <c r="VJ202" s="255"/>
      <c r="VK202" s="255"/>
      <c r="VL202" s="255"/>
      <c r="VM202" s="255"/>
      <c r="VN202" s="255"/>
      <c r="VO202" s="255"/>
      <c r="VP202" s="255"/>
      <c r="VQ202" s="255"/>
      <c r="VR202" s="255"/>
      <c r="VS202" s="255"/>
      <c r="VT202" s="255"/>
      <c r="VU202" s="255"/>
      <c r="VV202" s="255"/>
      <c r="VW202" s="255"/>
      <c r="VX202" s="255"/>
      <c r="VY202" s="255"/>
      <c r="VZ202" s="255"/>
      <c r="WA202" s="255"/>
      <c r="WB202" s="255"/>
      <c r="WC202" s="255"/>
      <c r="WD202" s="255"/>
      <c r="WE202" s="255"/>
      <c r="WF202" s="255"/>
      <c r="WG202" s="255"/>
      <c r="WH202" s="255"/>
      <c r="WI202" s="255"/>
      <c r="WJ202" s="255"/>
      <c r="WK202" s="255"/>
      <c r="WL202" s="255"/>
      <c r="WM202" s="255"/>
      <c r="WN202" s="255"/>
      <c r="WO202" s="255"/>
      <c r="WP202" s="255"/>
      <c r="WQ202" s="255"/>
      <c r="WR202" s="255"/>
      <c r="WS202" s="255"/>
      <c r="WT202" s="255"/>
      <c r="WU202" s="255"/>
      <c r="WV202" s="255"/>
      <c r="WW202" s="255"/>
      <c r="WX202" s="255"/>
      <c r="WY202" s="255"/>
      <c r="WZ202" s="255"/>
      <c r="XA202" s="255"/>
      <c r="XB202" s="255"/>
      <c r="XC202" s="255"/>
      <c r="XD202" s="255"/>
      <c r="XE202" s="255"/>
      <c r="XF202" s="255"/>
      <c r="XG202" s="255"/>
      <c r="XH202" s="255"/>
      <c r="XI202" s="255"/>
      <c r="XJ202" s="255"/>
      <c r="XK202" s="255"/>
      <c r="XL202" s="255"/>
      <c r="XM202" s="255"/>
      <c r="XN202" s="255"/>
      <c r="XO202" s="255"/>
      <c r="XP202" s="255"/>
      <c r="XQ202" s="255"/>
      <c r="XR202" s="255"/>
      <c r="XS202" s="255"/>
      <c r="XT202" s="255"/>
      <c r="XU202" s="255"/>
      <c r="XV202" s="255"/>
      <c r="XW202" s="255"/>
      <c r="XX202" s="255"/>
      <c r="XY202" s="255"/>
      <c r="XZ202" s="255"/>
      <c r="YA202" s="255"/>
      <c r="YB202" s="255"/>
      <c r="YC202" s="255"/>
      <c r="YD202" s="255"/>
      <c r="YE202" s="255"/>
      <c r="YF202" s="255"/>
      <c r="YG202" s="255"/>
      <c r="YH202" s="255"/>
      <c r="YI202" s="255"/>
      <c r="YJ202" s="255"/>
      <c r="YK202" s="255"/>
      <c r="YL202" s="255"/>
      <c r="YM202" s="255"/>
      <c r="YN202" s="255"/>
      <c r="YO202" s="255"/>
      <c r="YP202" s="255"/>
      <c r="YQ202" s="255"/>
      <c r="YR202" s="255"/>
      <c r="YS202" s="255"/>
      <c r="YT202" s="255"/>
      <c r="YU202" s="255"/>
      <c r="YV202" s="255"/>
      <c r="YW202" s="255"/>
      <c r="YX202" s="255"/>
      <c r="YY202" s="255"/>
      <c r="YZ202" s="255"/>
      <c r="ZA202" s="255"/>
      <c r="ZB202" s="255"/>
      <c r="ZC202" s="255"/>
      <c r="ZD202" s="255"/>
      <c r="ZE202" s="255"/>
      <c r="ZF202" s="255"/>
      <c r="ZG202" s="255"/>
      <c r="ZH202" s="255"/>
      <c r="ZI202" s="255"/>
      <c r="ZJ202" s="255"/>
      <c r="ZK202" s="255"/>
      <c r="ZL202" s="255"/>
      <c r="ZM202" s="255"/>
      <c r="ZN202" s="255"/>
      <c r="ZO202" s="255"/>
      <c r="ZP202" s="255"/>
      <c r="ZQ202" s="255"/>
      <c r="ZR202" s="255"/>
      <c r="ZS202" s="255"/>
      <c r="ZT202" s="255"/>
      <c r="ZU202" s="255"/>
      <c r="ZV202" s="255"/>
      <c r="ZW202" s="255"/>
      <c r="ZX202" s="255"/>
      <c r="ZY202" s="255"/>
      <c r="ZZ202" s="255"/>
      <c r="AAA202" s="255"/>
      <c r="AAB202" s="255"/>
      <c r="AAC202" s="255"/>
      <c r="AAD202" s="255"/>
      <c r="AAE202" s="255"/>
      <c r="AAF202" s="255"/>
      <c r="AAG202" s="255"/>
      <c r="AAH202" s="255"/>
      <c r="AAI202" s="255"/>
      <c r="AAJ202" s="255"/>
      <c r="AAK202" s="255"/>
      <c r="AAL202" s="255"/>
      <c r="AAM202" s="255"/>
      <c r="AAN202" s="255"/>
      <c r="AAO202" s="255"/>
      <c r="AAP202" s="255"/>
      <c r="AAQ202" s="255"/>
      <c r="AAR202" s="255"/>
      <c r="AAS202" s="255"/>
      <c r="AAT202" s="255"/>
      <c r="AAU202" s="255"/>
      <c r="AAV202" s="255"/>
      <c r="AAW202" s="255"/>
      <c r="AAX202" s="255"/>
      <c r="AAY202" s="255"/>
      <c r="AAZ202" s="255"/>
      <c r="ABA202" s="255"/>
      <c r="ABB202" s="255"/>
      <c r="ABC202" s="255"/>
      <c r="ABD202" s="255"/>
      <c r="ABE202" s="255"/>
      <c r="ABF202" s="255"/>
      <c r="ABG202" s="255"/>
      <c r="ABH202" s="255"/>
      <c r="ABI202" s="255"/>
      <c r="ABJ202" s="255"/>
      <c r="ABK202" s="255"/>
      <c r="ABL202" s="255"/>
      <c r="ABM202" s="255"/>
      <c r="ABN202" s="255"/>
      <c r="ABO202" s="255"/>
      <c r="ABP202" s="255"/>
      <c r="ABQ202" s="255"/>
      <c r="ABR202" s="255"/>
      <c r="ABS202" s="255"/>
      <c r="ABT202" s="255"/>
      <c r="ABU202" s="255"/>
      <c r="ABV202" s="255"/>
      <c r="ABW202" s="255"/>
      <c r="ABX202" s="255"/>
      <c r="ABY202" s="255"/>
      <c r="ABZ202" s="255"/>
      <c r="ACA202" s="255"/>
      <c r="ACB202" s="255"/>
      <c r="ACC202" s="255"/>
      <c r="ACD202" s="255"/>
      <c r="ACE202" s="255"/>
      <c r="ACF202" s="255"/>
      <c r="ACG202" s="255"/>
      <c r="ACH202" s="255"/>
      <c r="ACI202" s="255"/>
      <c r="ACJ202" s="255"/>
      <c r="ACK202" s="255"/>
      <c r="ACL202" s="255"/>
      <c r="ACM202" s="255"/>
      <c r="ACN202" s="255"/>
      <c r="ACO202" s="255"/>
      <c r="ACP202" s="255"/>
      <c r="ACQ202" s="255"/>
      <c r="ACR202" s="255"/>
      <c r="ACS202" s="255"/>
      <c r="ACT202" s="255"/>
      <c r="ACU202" s="255"/>
      <c r="ACV202" s="255"/>
      <c r="ACW202" s="255"/>
      <c r="ACX202" s="255"/>
      <c r="ACY202" s="255"/>
      <c r="ACZ202" s="255"/>
      <c r="ADA202" s="255"/>
      <c r="ADB202" s="255"/>
      <c r="ADC202" s="255"/>
      <c r="ADD202" s="255"/>
      <c r="ADE202" s="255"/>
      <c r="ADF202" s="255"/>
      <c r="ADG202" s="255"/>
      <c r="ADH202" s="255"/>
      <c r="ADI202" s="255"/>
      <c r="ADJ202" s="255"/>
      <c r="ADK202" s="255"/>
      <c r="ADL202" s="255"/>
      <c r="ADM202" s="255"/>
      <c r="ADN202" s="255"/>
      <c r="ADO202" s="255"/>
      <c r="ADP202" s="255"/>
      <c r="ADQ202" s="255"/>
      <c r="ADR202" s="255"/>
      <c r="ADS202" s="255"/>
      <c r="ADT202" s="255"/>
      <c r="ADU202" s="255"/>
      <c r="ADV202" s="255"/>
      <c r="ADW202" s="255"/>
      <c r="ADX202" s="255"/>
      <c r="ADY202" s="255"/>
      <c r="ADZ202" s="255"/>
      <c r="AEA202" s="255"/>
      <c r="AEB202" s="255"/>
      <c r="AEC202" s="255"/>
      <c r="AED202" s="255"/>
      <c r="AEE202" s="255"/>
      <c r="AEF202" s="255"/>
      <c r="AEG202" s="255"/>
      <c r="AEH202" s="255"/>
      <c r="AEI202" s="255"/>
      <c r="AEJ202" s="255"/>
      <c r="AEK202" s="255"/>
      <c r="AEL202" s="255"/>
      <c r="AEM202" s="255"/>
      <c r="AEN202" s="255"/>
      <c r="AEO202" s="255"/>
      <c r="AEP202" s="255"/>
      <c r="AEQ202" s="255"/>
      <c r="AER202" s="255"/>
      <c r="AES202" s="255"/>
      <c r="AET202" s="255"/>
      <c r="AEU202" s="255"/>
      <c r="AEV202" s="255"/>
      <c r="AEW202" s="255"/>
      <c r="AEX202" s="255"/>
      <c r="AEY202" s="255"/>
      <c r="AEZ202" s="255"/>
      <c r="AFA202" s="255"/>
      <c r="AFB202" s="255"/>
      <c r="AFC202" s="255"/>
      <c r="AFD202" s="255"/>
      <c r="AFE202" s="255"/>
      <c r="AFF202" s="255"/>
      <c r="AFG202" s="255"/>
      <c r="AFH202" s="255"/>
      <c r="AFI202" s="255"/>
      <c r="AFJ202" s="255"/>
      <c r="AFK202" s="255"/>
      <c r="AFL202" s="255"/>
      <c r="AFM202" s="255"/>
      <c r="AFN202" s="255"/>
      <c r="AFO202" s="255"/>
      <c r="AFP202" s="255"/>
      <c r="AFQ202" s="255"/>
      <c r="AFR202" s="255"/>
      <c r="AFS202" s="255"/>
      <c r="AFT202" s="255"/>
      <c r="AFU202" s="255"/>
      <c r="AFV202" s="255"/>
      <c r="AFW202" s="255"/>
      <c r="AFX202" s="255"/>
      <c r="AFY202" s="255"/>
      <c r="AFZ202" s="255"/>
      <c r="AGA202" s="255"/>
      <c r="AGB202" s="255"/>
      <c r="AGC202" s="255"/>
      <c r="AGD202" s="255"/>
      <c r="AGE202" s="255"/>
      <c r="AGF202" s="255"/>
      <c r="AGG202" s="255"/>
      <c r="AGH202" s="255"/>
      <c r="AGI202" s="255"/>
      <c r="AGJ202" s="255"/>
      <c r="AGK202" s="255"/>
      <c r="AGL202" s="255"/>
      <c r="AGM202" s="255"/>
      <c r="AGN202" s="255"/>
      <c r="AGO202" s="255"/>
      <c r="AGP202" s="255"/>
      <c r="AGQ202" s="255"/>
      <c r="AGR202" s="255"/>
      <c r="AGS202" s="255"/>
      <c r="AGT202" s="255"/>
      <c r="AGU202" s="255"/>
      <c r="AGV202" s="255"/>
      <c r="AGW202" s="255"/>
      <c r="AGX202" s="255"/>
      <c r="AGY202" s="255"/>
      <c r="AGZ202" s="255"/>
      <c r="AHA202" s="255"/>
      <c r="AHB202" s="255"/>
      <c r="AHC202" s="255"/>
      <c r="AHD202" s="255"/>
      <c r="AHE202" s="255"/>
      <c r="AHF202" s="255"/>
      <c r="AHG202" s="255"/>
      <c r="AHH202" s="255"/>
      <c r="AHI202" s="255"/>
      <c r="AHJ202" s="255"/>
      <c r="AHK202" s="255"/>
      <c r="AHL202" s="255"/>
      <c r="AHM202" s="255"/>
      <c r="AHN202" s="255"/>
      <c r="AHO202" s="255"/>
      <c r="AHP202" s="255"/>
      <c r="AHQ202" s="255"/>
      <c r="AHR202" s="255"/>
      <c r="AHS202" s="255"/>
      <c r="AHT202" s="255"/>
      <c r="AHU202" s="255"/>
      <c r="AHV202" s="255"/>
      <c r="AHW202" s="255"/>
      <c r="AHX202" s="255"/>
      <c r="AHY202" s="255"/>
      <c r="AHZ202" s="255"/>
      <c r="AIA202" s="255"/>
      <c r="AIB202" s="255"/>
      <c r="AIC202" s="255"/>
      <c r="AID202" s="255"/>
      <c r="AIE202" s="255"/>
      <c r="AIF202" s="255"/>
      <c r="AIG202" s="255"/>
      <c r="AIH202" s="255"/>
      <c r="AII202" s="255"/>
      <c r="AIJ202" s="255"/>
      <c r="AIK202" s="255"/>
      <c r="AIL202" s="255"/>
      <c r="AIM202" s="255"/>
      <c r="AIN202" s="255"/>
      <c r="AIO202" s="255"/>
      <c r="AIP202" s="255"/>
      <c r="AIQ202" s="255"/>
      <c r="AIR202" s="255"/>
      <c r="AIS202" s="255"/>
      <c r="AIT202" s="255"/>
      <c r="AIU202" s="255"/>
      <c r="AIV202" s="255"/>
      <c r="AIW202" s="255"/>
      <c r="AIX202" s="255"/>
      <c r="AIY202" s="255"/>
      <c r="AIZ202" s="255"/>
      <c r="AJA202" s="255"/>
      <c r="AJB202" s="255"/>
      <c r="AJC202" s="255"/>
      <c r="AJD202" s="255"/>
      <c r="AJE202" s="255"/>
      <c r="AJF202" s="255"/>
      <c r="AJG202" s="255"/>
      <c r="AJH202" s="255"/>
      <c r="AJI202" s="255"/>
      <c r="AJJ202" s="255"/>
      <c r="AJK202" s="255"/>
      <c r="AJL202" s="255"/>
      <c r="AJM202" s="255"/>
      <c r="AJN202" s="255"/>
      <c r="AJO202" s="255"/>
      <c r="AJP202" s="255"/>
      <c r="AJQ202" s="255"/>
      <c r="AJR202" s="255"/>
      <c r="AJS202" s="255"/>
      <c r="AJT202" s="255"/>
      <c r="AJU202" s="255"/>
      <c r="AJV202" s="255"/>
      <c r="AJW202" s="255"/>
      <c r="AJX202" s="255"/>
      <c r="AJY202" s="255"/>
      <c r="AJZ202" s="255"/>
      <c r="AKA202" s="255"/>
      <c r="AKB202" s="255"/>
      <c r="AKC202" s="255"/>
      <c r="AKD202" s="255"/>
      <c r="AKE202" s="255"/>
      <c r="AKF202" s="255"/>
      <c r="AKG202" s="255"/>
      <c r="AKH202" s="255"/>
      <c r="AKI202" s="255"/>
      <c r="AKJ202" s="255"/>
      <c r="AKK202" s="255"/>
      <c r="AKL202" s="255"/>
      <c r="AKM202" s="255"/>
      <c r="AKN202" s="255"/>
      <c r="AKO202" s="255"/>
      <c r="AKP202" s="255"/>
      <c r="AKQ202" s="255"/>
      <c r="AKR202" s="255"/>
      <c r="AKS202" s="255"/>
      <c r="AKT202" s="255"/>
      <c r="AKU202" s="255"/>
      <c r="AKV202" s="255"/>
      <c r="AKW202" s="255"/>
      <c r="AKX202" s="255"/>
      <c r="AKY202" s="255"/>
      <c r="AKZ202" s="255"/>
      <c r="ALA202" s="255"/>
      <c r="ALB202" s="255"/>
      <c r="ALC202" s="255"/>
      <c r="ALD202" s="255"/>
      <c r="ALE202" s="42"/>
      <c r="ALF202" s="42"/>
      <c r="ALG202" s="42"/>
      <c r="ALH202" s="42"/>
      <c r="ALI202" s="42"/>
      <c r="ALJ202" s="42"/>
      <c r="ALK202" s="42"/>
      <c r="ALL202" s="42"/>
      <c r="ALM202" s="42"/>
    </row>
    <row r="203" spans="1:1001" s="191" customFormat="1" ht="12.75" customHeight="1">
      <c r="A203" s="680" t="s">
        <v>7103</v>
      </c>
      <c r="B203" s="680"/>
      <c r="C203" s="680"/>
      <c r="D203" s="680"/>
      <c r="E203" s="680"/>
      <c r="F203" s="680"/>
      <c r="G203" s="680"/>
      <c r="H203" s="680"/>
      <c r="I203" s="680"/>
      <c r="J203" s="577">
        <f>SUMPRODUCT($E$11:$E$200,$G$11:$G$200)+SUMPRODUCT($E$11:$E$200,$H$11:$H$200)</f>
        <v>2145732.927378024</v>
      </c>
      <c r="K203" s="255"/>
      <c r="L203" s="255"/>
      <c r="M203" s="255"/>
      <c r="N203" s="255"/>
      <c r="O203" s="255"/>
      <c r="P203" s="255"/>
      <c r="Q203" s="255"/>
      <c r="R203" s="255"/>
      <c r="S203" s="255"/>
      <c r="T203" s="255"/>
      <c r="U203" s="255"/>
      <c r="V203" s="255"/>
      <c r="W203" s="255"/>
      <c r="X203" s="255"/>
      <c r="Y203" s="255"/>
      <c r="Z203" s="255"/>
      <c r="AA203" s="255"/>
      <c r="AB203" s="255"/>
      <c r="AC203" s="255"/>
      <c r="AD203" s="255"/>
      <c r="AE203" s="255"/>
      <c r="AF203" s="255"/>
      <c r="AG203" s="255"/>
      <c r="AH203" s="255"/>
      <c r="AI203" s="255"/>
      <c r="AJ203" s="255"/>
      <c r="AK203" s="255"/>
      <c r="AL203" s="255"/>
      <c r="AM203" s="255"/>
      <c r="AN203" s="255"/>
      <c r="AO203" s="255"/>
      <c r="AP203" s="255"/>
      <c r="AQ203" s="255"/>
      <c r="AR203" s="255"/>
      <c r="AS203" s="255"/>
      <c r="AT203" s="255"/>
      <c r="AU203" s="255"/>
      <c r="AV203" s="255"/>
      <c r="AW203" s="255"/>
      <c r="AX203" s="255"/>
      <c r="AY203" s="255"/>
      <c r="AZ203" s="255"/>
      <c r="BA203" s="255"/>
      <c r="BB203" s="255"/>
      <c r="BC203" s="255"/>
      <c r="BD203" s="255"/>
      <c r="BE203" s="255"/>
      <c r="BF203" s="255"/>
      <c r="BG203" s="255"/>
      <c r="BH203" s="255"/>
      <c r="BI203" s="255"/>
      <c r="BJ203" s="255"/>
      <c r="BK203" s="255"/>
      <c r="BL203" s="255"/>
      <c r="BM203" s="255"/>
      <c r="BN203" s="255"/>
      <c r="BO203" s="255"/>
      <c r="BP203" s="255"/>
      <c r="BQ203" s="255"/>
      <c r="BR203" s="255"/>
      <c r="BS203" s="255"/>
      <c r="BT203" s="255"/>
      <c r="BU203" s="255"/>
      <c r="BV203" s="255"/>
      <c r="BW203" s="255"/>
      <c r="BX203" s="255"/>
      <c r="BY203" s="255"/>
      <c r="BZ203" s="255"/>
      <c r="CA203" s="255"/>
      <c r="CB203" s="255"/>
      <c r="CC203" s="255"/>
      <c r="CD203" s="255"/>
      <c r="CE203" s="255"/>
      <c r="CF203" s="255"/>
      <c r="CG203" s="255"/>
      <c r="CH203" s="255"/>
      <c r="CI203" s="255"/>
      <c r="CJ203" s="255"/>
      <c r="CK203" s="255"/>
      <c r="CL203" s="255"/>
      <c r="CM203" s="255"/>
      <c r="CN203" s="255"/>
      <c r="CO203" s="255"/>
      <c r="CP203" s="255"/>
      <c r="CQ203" s="255"/>
      <c r="CR203" s="255"/>
      <c r="CS203" s="255"/>
      <c r="CT203" s="255"/>
      <c r="CU203" s="255"/>
      <c r="CV203" s="255"/>
      <c r="CW203" s="255"/>
      <c r="CX203" s="255"/>
      <c r="CY203" s="255"/>
      <c r="CZ203" s="255"/>
      <c r="DA203" s="255"/>
      <c r="DB203" s="255"/>
      <c r="DC203" s="255"/>
      <c r="DD203" s="255"/>
      <c r="DE203" s="255"/>
      <c r="DF203" s="255"/>
      <c r="DG203" s="255"/>
      <c r="DH203" s="255"/>
      <c r="DI203" s="255"/>
      <c r="DJ203" s="255"/>
      <c r="DK203" s="255"/>
      <c r="DL203" s="255"/>
      <c r="DM203" s="255"/>
      <c r="DN203" s="255"/>
      <c r="DO203" s="255"/>
      <c r="DP203" s="255"/>
      <c r="DQ203" s="255"/>
      <c r="DR203" s="255"/>
      <c r="DS203" s="255"/>
      <c r="DT203" s="255"/>
      <c r="DU203" s="255"/>
      <c r="DV203" s="255"/>
      <c r="DW203" s="255"/>
      <c r="DX203" s="255"/>
      <c r="DY203" s="255"/>
      <c r="DZ203" s="255"/>
      <c r="EA203" s="255"/>
      <c r="EB203" s="255"/>
      <c r="EC203" s="255"/>
      <c r="ED203" s="255"/>
      <c r="EE203" s="255"/>
      <c r="EF203" s="255"/>
      <c r="EG203" s="255"/>
      <c r="EH203" s="255"/>
      <c r="EI203" s="255"/>
      <c r="EJ203" s="255"/>
      <c r="EK203" s="255"/>
      <c r="EL203" s="255"/>
      <c r="EM203" s="255"/>
      <c r="EN203" s="255"/>
      <c r="EO203" s="255"/>
      <c r="EP203" s="255"/>
      <c r="EQ203" s="255"/>
      <c r="ER203" s="255"/>
      <c r="ES203" s="255"/>
      <c r="ET203" s="255"/>
      <c r="EU203" s="255"/>
      <c r="EV203" s="255"/>
      <c r="EW203" s="255"/>
      <c r="EX203" s="255"/>
      <c r="EY203" s="255"/>
      <c r="EZ203" s="255"/>
      <c r="FA203" s="255"/>
      <c r="FB203" s="255"/>
      <c r="FC203" s="255"/>
      <c r="FD203" s="255"/>
      <c r="FE203" s="255"/>
      <c r="FF203" s="255"/>
      <c r="FG203" s="255"/>
      <c r="FH203" s="255"/>
      <c r="FI203" s="255"/>
      <c r="FJ203" s="255"/>
      <c r="FK203" s="255"/>
      <c r="FL203" s="255"/>
      <c r="FM203" s="255"/>
      <c r="FN203" s="255"/>
      <c r="FO203" s="255"/>
      <c r="FP203" s="255"/>
      <c r="FQ203" s="255"/>
      <c r="FR203" s="255"/>
      <c r="FS203" s="255"/>
      <c r="FT203" s="255"/>
      <c r="FU203" s="255"/>
      <c r="FV203" s="255"/>
      <c r="FW203" s="255"/>
      <c r="FX203" s="255"/>
      <c r="FY203" s="255"/>
      <c r="FZ203" s="255"/>
      <c r="GA203" s="255"/>
      <c r="GB203" s="255"/>
      <c r="GC203" s="255"/>
      <c r="GD203" s="255"/>
      <c r="GE203" s="255"/>
      <c r="GF203" s="255"/>
      <c r="GG203" s="255"/>
      <c r="GH203" s="255"/>
      <c r="GI203" s="255"/>
      <c r="GJ203" s="255"/>
      <c r="GK203" s="255"/>
      <c r="GL203" s="255"/>
      <c r="GM203" s="255"/>
      <c r="GN203" s="255"/>
      <c r="GO203" s="255"/>
      <c r="GP203" s="255"/>
      <c r="GQ203" s="255"/>
      <c r="GR203" s="255"/>
      <c r="GS203" s="255"/>
      <c r="GT203" s="255"/>
      <c r="GU203" s="255"/>
      <c r="GV203" s="255"/>
      <c r="GW203" s="255"/>
      <c r="GX203" s="255"/>
      <c r="GY203" s="255"/>
      <c r="GZ203" s="255"/>
      <c r="HA203" s="255"/>
      <c r="HB203" s="255"/>
      <c r="HC203" s="255"/>
      <c r="HD203" s="255"/>
      <c r="HE203" s="255"/>
      <c r="HF203" s="255"/>
      <c r="HG203" s="255"/>
      <c r="HH203" s="255"/>
      <c r="HI203" s="255"/>
      <c r="HJ203" s="255"/>
      <c r="HK203" s="255"/>
      <c r="HL203" s="255"/>
      <c r="HM203" s="255"/>
      <c r="HN203" s="255"/>
      <c r="HO203" s="255"/>
      <c r="HP203" s="255"/>
      <c r="HQ203" s="255"/>
      <c r="HR203" s="255"/>
      <c r="HS203" s="255"/>
      <c r="HT203" s="255"/>
      <c r="HU203" s="255"/>
      <c r="HV203" s="255"/>
      <c r="HW203" s="255"/>
      <c r="HX203" s="255"/>
      <c r="HY203" s="255"/>
      <c r="HZ203" s="255"/>
      <c r="IA203" s="255"/>
      <c r="IB203" s="255"/>
      <c r="IC203" s="255"/>
      <c r="ID203" s="255"/>
      <c r="IE203" s="255"/>
      <c r="IF203" s="255"/>
      <c r="IG203" s="255"/>
      <c r="IH203" s="255"/>
      <c r="II203" s="255"/>
      <c r="IJ203" s="255"/>
      <c r="IK203" s="255"/>
      <c r="IL203" s="255"/>
      <c r="IM203" s="255"/>
      <c r="IN203" s="255"/>
      <c r="IO203" s="255"/>
      <c r="IP203" s="255"/>
      <c r="IQ203" s="255"/>
      <c r="IR203" s="255"/>
      <c r="IS203" s="255"/>
      <c r="IT203" s="255"/>
      <c r="IU203" s="255"/>
      <c r="IV203" s="255"/>
      <c r="IW203" s="255"/>
      <c r="IX203" s="255"/>
      <c r="IY203" s="255"/>
      <c r="IZ203" s="255"/>
      <c r="JA203" s="255"/>
      <c r="JB203" s="255"/>
      <c r="JC203" s="255"/>
      <c r="JD203" s="255"/>
      <c r="JE203" s="255"/>
      <c r="JF203" s="255"/>
      <c r="JG203" s="255"/>
      <c r="JH203" s="255"/>
      <c r="JI203" s="255"/>
      <c r="JJ203" s="255"/>
      <c r="JK203" s="255"/>
      <c r="JL203" s="255"/>
      <c r="JM203" s="255"/>
      <c r="JN203" s="255"/>
      <c r="JO203" s="255"/>
      <c r="JP203" s="255"/>
      <c r="JQ203" s="255"/>
      <c r="JR203" s="255"/>
      <c r="JS203" s="255"/>
      <c r="JT203" s="255"/>
      <c r="JU203" s="255"/>
      <c r="JV203" s="255"/>
      <c r="JW203" s="255"/>
      <c r="JX203" s="255"/>
      <c r="JY203" s="255"/>
      <c r="JZ203" s="255"/>
      <c r="KA203" s="255"/>
      <c r="KB203" s="255"/>
      <c r="KC203" s="255"/>
      <c r="KD203" s="255"/>
      <c r="KE203" s="255"/>
      <c r="KF203" s="255"/>
      <c r="KG203" s="255"/>
      <c r="KH203" s="255"/>
      <c r="KI203" s="255"/>
      <c r="KJ203" s="255"/>
      <c r="KK203" s="255"/>
      <c r="KL203" s="255"/>
      <c r="KM203" s="255"/>
      <c r="KN203" s="255"/>
      <c r="KO203" s="255"/>
      <c r="KP203" s="255"/>
      <c r="KQ203" s="255"/>
      <c r="KR203" s="255"/>
      <c r="KS203" s="255"/>
      <c r="KT203" s="255"/>
      <c r="KU203" s="255"/>
      <c r="KV203" s="255"/>
      <c r="KW203" s="255"/>
      <c r="KX203" s="255"/>
      <c r="KY203" s="255"/>
      <c r="KZ203" s="255"/>
      <c r="LA203" s="255"/>
      <c r="LB203" s="255"/>
      <c r="LC203" s="255"/>
      <c r="LD203" s="255"/>
      <c r="LE203" s="255"/>
      <c r="LF203" s="255"/>
      <c r="LG203" s="255"/>
      <c r="LH203" s="255"/>
      <c r="LI203" s="255"/>
      <c r="LJ203" s="255"/>
      <c r="LK203" s="255"/>
      <c r="LL203" s="255"/>
      <c r="LM203" s="255"/>
      <c r="LN203" s="255"/>
      <c r="LO203" s="255"/>
      <c r="LP203" s="255"/>
      <c r="LQ203" s="255"/>
      <c r="LR203" s="255"/>
      <c r="LS203" s="255"/>
      <c r="LT203" s="255"/>
      <c r="LU203" s="255"/>
      <c r="LV203" s="255"/>
      <c r="LW203" s="255"/>
      <c r="LX203" s="255"/>
      <c r="LY203" s="255"/>
      <c r="LZ203" s="255"/>
      <c r="MA203" s="255"/>
      <c r="MB203" s="255"/>
      <c r="MC203" s="255"/>
      <c r="MD203" s="255"/>
      <c r="ME203" s="255"/>
      <c r="MF203" s="255"/>
      <c r="MG203" s="255"/>
      <c r="MH203" s="255"/>
      <c r="MI203" s="255"/>
      <c r="MJ203" s="255"/>
      <c r="MK203" s="255"/>
      <c r="ML203" s="255"/>
      <c r="MM203" s="255"/>
      <c r="MN203" s="255"/>
      <c r="MO203" s="255"/>
      <c r="MP203" s="255"/>
      <c r="MQ203" s="255"/>
      <c r="MR203" s="255"/>
      <c r="MS203" s="255"/>
      <c r="MT203" s="255"/>
      <c r="MU203" s="255"/>
      <c r="MV203" s="255"/>
      <c r="MW203" s="255"/>
      <c r="MX203" s="255"/>
      <c r="MY203" s="255"/>
      <c r="MZ203" s="255"/>
      <c r="NA203" s="255"/>
      <c r="NB203" s="255"/>
      <c r="NC203" s="255"/>
      <c r="ND203" s="255"/>
      <c r="NE203" s="255"/>
      <c r="NF203" s="255"/>
      <c r="NG203" s="255"/>
      <c r="NH203" s="255"/>
      <c r="NI203" s="255"/>
      <c r="NJ203" s="255"/>
      <c r="NK203" s="255"/>
      <c r="NL203" s="255"/>
      <c r="NM203" s="255"/>
      <c r="NN203" s="255"/>
      <c r="NO203" s="255"/>
      <c r="NP203" s="255"/>
      <c r="NQ203" s="255"/>
      <c r="NR203" s="255"/>
      <c r="NS203" s="255"/>
      <c r="NT203" s="255"/>
      <c r="NU203" s="255"/>
      <c r="NV203" s="255"/>
      <c r="NW203" s="255"/>
      <c r="NX203" s="255"/>
      <c r="NY203" s="255"/>
      <c r="NZ203" s="255"/>
      <c r="OA203" s="255"/>
      <c r="OB203" s="255"/>
      <c r="OC203" s="255"/>
      <c r="OD203" s="255"/>
      <c r="OE203" s="255"/>
      <c r="OF203" s="255"/>
      <c r="OG203" s="255"/>
      <c r="OH203" s="255"/>
      <c r="OI203" s="255"/>
      <c r="OJ203" s="255"/>
      <c r="OK203" s="255"/>
      <c r="OL203" s="255"/>
      <c r="OM203" s="255"/>
      <c r="ON203" s="255"/>
      <c r="OO203" s="255"/>
      <c r="OP203" s="255"/>
      <c r="OQ203" s="255"/>
      <c r="OR203" s="255"/>
      <c r="OS203" s="255"/>
      <c r="OT203" s="255"/>
      <c r="OU203" s="255"/>
      <c r="OV203" s="255"/>
      <c r="OW203" s="255"/>
      <c r="OX203" s="255"/>
      <c r="OY203" s="255"/>
      <c r="OZ203" s="255"/>
      <c r="PA203" s="255"/>
      <c r="PB203" s="255"/>
      <c r="PC203" s="255"/>
      <c r="PD203" s="255"/>
      <c r="PE203" s="255"/>
      <c r="PF203" s="255"/>
      <c r="PG203" s="255"/>
      <c r="PH203" s="255"/>
      <c r="PI203" s="255"/>
      <c r="PJ203" s="255"/>
      <c r="PK203" s="255"/>
      <c r="PL203" s="255"/>
      <c r="PM203" s="255"/>
      <c r="PN203" s="255"/>
      <c r="PO203" s="255"/>
      <c r="PP203" s="255"/>
      <c r="PQ203" s="255"/>
      <c r="PR203" s="255"/>
      <c r="PS203" s="255"/>
      <c r="PT203" s="255"/>
      <c r="PU203" s="255"/>
      <c r="PV203" s="255"/>
      <c r="PW203" s="255"/>
      <c r="PX203" s="255"/>
      <c r="PY203" s="255"/>
      <c r="PZ203" s="255"/>
      <c r="QA203" s="255"/>
      <c r="QB203" s="255"/>
      <c r="QC203" s="255"/>
      <c r="QD203" s="255"/>
      <c r="QE203" s="255"/>
      <c r="QF203" s="255"/>
      <c r="QG203" s="255"/>
      <c r="QH203" s="255"/>
      <c r="QI203" s="255"/>
      <c r="QJ203" s="255"/>
      <c r="QK203" s="255"/>
      <c r="QL203" s="255"/>
      <c r="QM203" s="255"/>
      <c r="QN203" s="255"/>
      <c r="QO203" s="255"/>
      <c r="QP203" s="255"/>
      <c r="QQ203" s="255"/>
      <c r="QR203" s="255"/>
      <c r="QS203" s="255"/>
      <c r="QT203" s="255"/>
      <c r="QU203" s="255"/>
      <c r="QV203" s="255"/>
      <c r="QW203" s="255"/>
      <c r="QX203" s="255"/>
      <c r="QY203" s="255"/>
      <c r="QZ203" s="255"/>
      <c r="RA203" s="255"/>
      <c r="RB203" s="255"/>
      <c r="RC203" s="255"/>
      <c r="RD203" s="255"/>
      <c r="RE203" s="255"/>
      <c r="RF203" s="255"/>
      <c r="RG203" s="255"/>
      <c r="RH203" s="255"/>
      <c r="RI203" s="255"/>
      <c r="RJ203" s="255"/>
      <c r="RK203" s="255"/>
      <c r="RL203" s="255"/>
      <c r="RM203" s="255"/>
      <c r="RN203" s="255"/>
      <c r="RO203" s="255"/>
      <c r="RP203" s="255"/>
      <c r="RQ203" s="255"/>
      <c r="RR203" s="255"/>
      <c r="RS203" s="255"/>
      <c r="RT203" s="255"/>
      <c r="RU203" s="255"/>
      <c r="RV203" s="255"/>
      <c r="RW203" s="255"/>
      <c r="RX203" s="255"/>
      <c r="RY203" s="255"/>
      <c r="RZ203" s="255"/>
      <c r="SA203" s="255"/>
      <c r="SB203" s="255"/>
      <c r="SC203" s="255"/>
      <c r="SD203" s="255"/>
      <c r="SE203" s="255"/>
      <c r="SF203" s="255"/>
      <c r="SG203" s="255"/>
      <c r="SH203" s="255"/>
      <c r="SI203" s="255"/>
      <c r="SJ203" s="255"/>
      <c r="SK203" s="255"/>
      <c r="SL203" s="255"/>
      <c r="SM203" s="255"/>
      <c r="SN203" s="255"/>
      <c r="SO203" s="255"/>
      <c r="SP203" s="255"/>
      <c r="SQ203" s="255"/>
      <c r="SR203" s="255"/>
      <c r="SS203" s="255"/>
      <c r="ST203" s="255"/>
      <c r="SU203" s="255"/>
      <c r="SV203" s="255"/>
      <c r="SW203" s="255"/>
      <c r="SX203" s="255"/>
      <c r="SY203" s="255"/>
      <c r="SZ203" s="255"/>
      <c r="TA203" s="255"/>
      <c r="TB203" s="255"/>
      <c r="TC203" s="255"/>
      <c r="TD203" s="255"/>
      <c r="TE203" s="255"/>
      <c r="TF203" s="255"/>
      <c r="TG203" s="255"/>
      <c r="TH203" s="255"/>
      <c r="TI203" s="255"/>
      <c r="TJ203" s="255"/>
      <c r="TK203" s="255"/>
      <c r="TL203" s="255"/>
      <c r="TM203" s="255"/>
      <c r="TN203" s="255"/>
      <c r="TO203" s="255"/>
      <c r="TP203" s="255"/>
      <c r="TQ203" s="255"/>
      <c r="TR203" s="255"/>
      <c r="TS203" s="255"/>
      <c r="TT203" s="255"/>
      <c r="TU203" s="255"/>
      <c r="TV203" s="255"/>
      <c r="TW203" s="255"/>
      <c r="TX203" s="255"/>
      <c r="TY203" s="255"/>
      <c r="TZ203" s="255"/>
      <c r="UA203" s="255"/>
      <c r="UB203" s="255"/>
      <c r="UC203" s="255"/>
      <c r="UD203" s="255"/>
      <c r="UE203" s="255"/>
      <c r="UF203" s="255"/>
      <c r="UG203" s="255"/>
      <c r="UH203" s="255"/>
      <c r="UI203" s="255"/>
      <c r="UJ203" s="255"/>
      <c r="UK203" s="255"/>
      <c r="UL203" s="255"/>
      <c r="UM203" s="255"/>
      <c r="UN203" s="255"/>
      <c r="UO203" s="255"/>
      <c r="UP203" s="255"/>
      <c r="UQ203" s="255"/>
      <c r="UR203" s="255"/>
      <c r="US203" s="255"/>
      <c r="UT203" s="255"/>
      <c r="UU203" s="255"/>
      <c r="UV203" s="255"/>
      <c r="UW203" s="255"/>
      <c r="UX203" s="255"/>
      <c r="UY203" s="255"/>
      <c r="UZ203" s="255"/>
      <c r="VA203" s="255"/>
      <c r="VB203" s="255"/>
      <c r="VC203" s="255"/>
      <c r="VD203" s="255"/>
      <c r="VE203" s="255"/>
      <c r="VF203" s="255"/>
      <c r="VG203" s="255"/>
      <c r="VH203" s="255"/>
      <c r="VI203" s="255"/>
      <c r="VJ203" s="255"/>
      <c r="VK203" s="255"/>
      <c r="VL203" s="255"/>
      <c r="VM203" s="255"/>
      <c r="VN203" s="255"/>
      <c r="VO203" s="255"/>
      <c r="VP203" s="255"/>
      <c r="VQ203" s="255"/>
      <c r="VR203" s="255"/>
      <c r="VS203" s="255"/>
      <c r="VT203" s="255"/>
      <c r="VU203" s="255"/>
      <c r="VV203" s="255"/>
      <c r="VW203" s="255"/>
      <c r="VX203" s="255"/>
      <c r="VY203" s="255"/>
      <c r="VZ203" s="255"/>
      <c r="WA203" s="255"/>
      <c r="WB203" s="255"/>
      <c r="WC203" s="255"/>
      <c r="WD203" s="255"/>
      <c r="WE203" s="255"/>
      <c r="WF203" s="255"/>
      <c r="WG203" s="255"/>
      <c r="WH203" s="255"/>
      <c r="WI203" s="255"/>
      <c r="WJ203" s="255"/>
      <c r="WK203" s="255"/>
      <c r="WL203" s="255"/>
      <c r="WM203" s="255"/>
      <c r="WN203" s="255"/>
      <c r="WO203" s="255"/>
      <c r="WP203" s="255"/>
      <c r="WQ203" s="255"/>
      <c r="WR203" s="255"/>
      <c r="WS203" s="255"/>
      <c r="WT203" s="255"/>
      <c r="WU203" s="255"/>
      <c r="WV203" s="255"/>
      <c r="WW203" s="255"/>
      <c r="WX203" s="255"/>
      <c r="WY203" s="255"/>
      <c r="WZ203" s="255"/>
      <c r="XA203" s="255"/>
      <c r="XB203" s="255"/>
      <c r="XC203" s="255"/>
      <c r="XD203" s="255"/>
      <c r="XE203" s="255"/>
      <c r="XF203" s="255"/>
      <c r="XG203" s="255"/>
      <c r="XH203" s="255"/>
      <c r="XI203" s="255"/>
      <c r="XJ203" s="255"/>
      <c r="XK203" s="255"/>
      <c r="XL203" s="255"/>
      <c r="XM203" s="255"/>
      <c r="XN203" s="255"/>
      <c r="XO203" s="255"/>
      <c r="XP203" s="255"/>
      <c r="XQ203" s="255"/>
      <c r="XR203" s="255"/>
      <c r="XS203" s="255"/>
      <c r="XT203" s="255"/>
      <c r="XU203" s="255"/>
      <c r="XV203" s="255"/>
      <c r="XW203" s="255"/>
      <c r="XX203" s="255"/>
      <c r="XY203" s="255"/>
      <c r="XZ203" s="255"/>
      <c r="YA203" s="255"/>
      <c r="YB203" s="255"/>
      <c r="YC203" s="255"/>
      <c r="YD203" s="255"/>
      <c r="YE203" s="255"/>
      <c r="YF203" s="255"/>
      <c r="YG203" s="255"/>
      <c r="YH203" s="255"/>
      <c r="YI203" s="255"/>
      <c r="YJ203" s="255"/>
      <c r="YK203" s="255"/>
      <c r="YL203" s="255"/>
      <c r="YM203" s="255"/>
      <c r="YN203" s="255"/>
      <c r="YO203" s="255"/>
      <c r="YP203" s="255"/>
      <c r="YQ203" s="255"/>
      <c r="YR203" s="255"/>
      <c r="YS203" s="255"/>
      <c r="YT203" s="255"/>
      <c r="YU203" s="255"/>
      <c r="YV203" s="255"/>
      <c r="YW203" s="255"/>
      <c r="YX203" s="255"/>
      <c r="YY203" s="255"/>
      <c r="YZ203" s="255"/>
      <c r="ZA203" s="255"/>
      <c r="ZB203" s="255"/>
      <c r="ZC203" s="255"/>
      <c r="ZD203" s="255"/>
      <c r="ZE203" s="255"/>
      <c r="ZF203" s="255"/>
      <c r="ZG203" s="255"/>
      <c r="ZH203" s="255"/>
      <c r="ZI203" s="255"/>
      <c r="ZJ203" s="255"/>
      <c r="ZK203" s="255"/>
      <c r="ZL203" s="255"/>
      <c r="ZM203" s="255"/>
      <c r="ZN203" s="255"/>
      <c r="ZO203" s="255"/>
      <c r="ZP203" s="255"/>
      <c r="ZQ203" s="255"/>
      <c r="ZR203" s="255"/>
      <c r="ZS203" s="255"/>
      <c r="ZT203" s="255"/>
      <c r="ZU203" s="255"/>
      <c r="ZV203" s="255"/>
      <c r="ZW203" s="255"/>
      <c r="ZX203" s="255"/>
      <c r="ZY203" s="255"/>
      <c r="ZZ203" s="255"/>
      <c r="AAA203" s="255"/>
      <c r="AAB203" s="255"/>
      <c r="AAC203" s="255"/>
      <c r="AAD203" s="255"/>
      <c r="AAE203" s="255"/>
      <c r="AAF203" s="255"/>
      <c r="AAG203" s="255"/>
      <c r="AAH203" s="255"/>
      <c r="AAI203" s="255"/>
      <c r="AAJ203" s="255"/>
      <c r="AAK203" s="255"/>
      <c r="AAL203" s="255"/>
      <c r="AAM203" s="255"/>
      <c r="AAN203" s="255"/>
      <c r="AAO203" s="255"/>
      <c r="AAP203" s="255"/>
      <c r="AAQ203" s="255"/>
      <c r="AAR203" s="255"/>
      <c r="AAS203" s="255"/>
      <c r="AAT203" s="255"/>
      <c r="AAU203" s="255"/>
      <c r="AAV203" s="255"/>
      <c r="AAW203" s="255"/>
      <c r="AAX203" s="255"/>
      <c r="AAY203" s="255"/>
      <c r="AAZ203" s="255"/>
      <c r="ABA203" s="255"/>
      <c r="ABB203" s="255"/>
      <c r="ABC203" s="255"/>
      <c r="ABD203" s="255"/>
      <c r="ABE203" s="255"/>
      <c r="ABF203" s="255"/>
      <c r="ABG203" s="255"/>
      <c r="ABH203" s="255"/>
      <c r="ABI203" s="255"/>
      <c r="ABJ203" s="255"/>
      <c r="ABK203" s="255"/>
      <c r="ABL203" s="255"/>
      <c r="ABM203" s="255"/>
      <c r="ABN203" s="255"/>
      <c r="ABO203" s="255"/>
      <c r="ABP203" s="255"/>
      <c r="ABQ203" s="255"/>
      <c r="ABR203" s="255"/>
      <c r="ABS203" s="255"/>
      <c r="ABT203" s="255"/>
      <c r="ABU203" s="255"/>
      <c r="ABV203" s="255"/>
      <c r="ABW203" s="255"/>
      <c r="ABX203" s="255"/>
      <c r="ABY203" s="255"/>
      <c r="ABZ203" s="255"/>
      <c r="ACA203" s="255"/>
      <c r="ACB203" s="255"/>
      <c r="ACC203" s="255"/>
      <c r="ACD203" s="255"/>
      <c r="ACE203" s="255"/>
      <c r="ACF203" s="255"/>
      <c r="ACG203" s="255"/>
      <c r="ACH203" s="255"/>
      <c r="ACI203" s="255"/>
      <c r="ACJ203" s="255"/>
      <c r="ACK203" s="255"/>
      <c r="ACL203" s="255"/>
      <c r="ACM203" s="255"/>
      <c r="ACN203" s="255"/>
      <c r="ACO203" s="255"/>
      <c r="ACP203" s="255"/>
      <c r="ACQ203" s="255"/>
      <c r="ACR203" s="255"/>
      <c r="ACS203" s="255"/>
      <c r="ACT203" s="255"/>
      <c r="ACU203" s="255"/>
      <c r="ACV203" s="255"/>
      <c r="ACW203" s="255"/>
      <c r="ACX203" s="255"/>
      <c r="ACY203" s="255"/>
      <c r="ACZ203" s="255"/>
      <c r="ADA203" s="255"/>
      <c r="ADB203" s="255"/>
      <c r="ADC203" s="255"/>
      <c r="ADD203" s="255"/>
      <c r="ADE203" s="255"/>
      <c r="ADF203" s="255"/>
      <c r="ADG203" s="255"/>
      <c r="ADH203" s="255"/>
      <c r="ADI203" s="255"/>
      <c r="ADJ203" s="255"/>
      <c r="ADK203" s="255"/>
      <c r="ADL203" s="255"/>
      <c r="ADM203" s="255"/>
      <c r="ADN203" s="255"/>
      <c r="ADO203" s="255"/>
      <c r="ADP203" s="255"/>
      <c r="ADQ203" s="255"/>
      <c r="ADR203" s="255"/>
      <c r="ADS203" s="255"/>
      <c r="ADT203" s="255"/>
      <c r="ADU203" s="255"/>
      <c r="ADV203" s="255"/>
      <c r="ADW203" s="255"/>
      <c r="ADX203" s="255"/>
      <c r="ADY203" s="255"/>
      <c r="ADZ203" s="255"/>
      <c r="AEA203" s="255"/>
      <c r="AEB203" s="255"/>
      <c r="AEC203" s="255"/>
      <c r="AED203" s="255"/>
      <c r="AEE203" s="255"/>
      <c r="AEF203" s="255"/>
      <c r="AEG203" s="255"/>
      <c r="AEH203" s="255"/>
      <c r="AEI203" s="255"/>
      <c r="AEJ203" s="255"/>
      <c r="AEK203" s="255"/>
      <c r="AEL203" s="255"/>
      <c r="AEM203" s="255"/>
      <c r="AEN203" s="255"/>
      <c r="AEO203" s="255"/>
      <c r="AEP203" s="255"/>
      <c r="AEQ203" s="255"/>
      <c r="AER203" s="255"/>
      <c r="AES203" s="255"/>
      <c r="AET203" s="255"/>
      <c r="AEU203" s="255"/>
      <c r="AEV203" s="255"/>
      <c r="AEW203" s="255"/>
      <c r="AEX203" s="255"/>
      <c r="AEY203" s="255"/>
      <c r="AEZ203" s="255"/>
      <c r="AFA203" s="255"/>
      <c r="AFB203" s="255"/>
      <c r="AFC203" s="255"/>
      <c r="AFD203" s="255"/>
      <c r="AFE203" s="255"/>
      <c r="AFF203" s="255"/>
      <c r="AFG203" s="255"/>
      <c r="AFH203" s="255"/>
      <c r="AFI203" s="255"/>
      <c r="AFJ203" s="255"/>
      <c r="AFK203" s="255"/>
      <c r="AFL203" s="255"/>
      <c r="AFM203" s="255"/>
      <c r="AFN203" s="255"/>
      <c r="AFO203" s="255"/>
      <c r="AFP203" s="255"/>
      <c r="AFQ203" s="255"/>
      <c r="AFR203" s="255"/>
      <c r="AFS203" s="255"/>
      <c r="AFT203" s="255"/>
      <c r="AFU203" s="255"/>
      <c r="AFV203" s="255"/>
      <c r="AFW203" s="255"/>
      <c r="AFX203" s="255"/>
      <c r="AFY203" s="255"/>
      <c r="AFZ203" s="255"/>
      <c r="AGA203" s="255"/>
      <c r="AGB203" s="255"/>
      <c r="AGC203" s="255"/>
      <c r="AGD203" s="255"/>
      <c r="AGE203" s="255"/>
      <c r="AGF203" s="255"/>
      <c r="AGG203" s="255"/>
      <c r="AGH203" s="255"/>
      <c r="AGI203" s="255"/>
      <c r="AGJ203" s="255"/>
      <c r="AGK203" s="255"/>
      <c r="AGL203" s="255"/>
      <c r="AGM203" s="255"/>
      <c r="AGN203" s="255"/>
      <c r="AGO203" s="255"/>
      <c r="AGP203" s="255"/>
      <c r="AGQ203" s="255"/>
      <c r="AGR203" s="255"/>
      <c r="AGS203" s="255"/>
      <c r="AGT203" s="255"/>
      <c r="AGU203" s="255"/>
      <c r="AGV203" s="255"/>
      <c r="AGW203" s="255"/>
      <c r="AGX203" s="255"/>
      <c r="AGY203" s="255"/>
      <c r="AGZ203" s="255"/>
      <c r="AHA203" s="255"/>
      <c r="AHB203" s="255"/>
      <c r="AHC203" s="255"/>
      <c r="AHD203" s="255"/>
      <c r="AHE203" s="255"/>
      <c r="AHF203" s="255"/>
      <c r="AHG203" s="255"/>
      <c r="AHH203" s="255"/>
      <c r="AHI203" s="255"/>
      <c r="AHJ203" s="255"/>
      <c r="AHK203" s="255"/>
      <c r="AHL203" s="255"/>
      <c r="AHM203" s="255"/>
      <c r="AHN203" s="255"/>
      <c r="AHO203" s="255"/>
      <c r="AHP203" s="255"/>
      <c r="AHQ203" s="255"/>
      <c r="AHR203" s="255"/>
      <c r="AHS203" s="255"/>
      <c r="AHT203" s="255"/>
      <c r="AHU203" s="255"/>
      <c r="AHV203" s="255"/>
      <c r="AHW203" s="255"/>
      <c r="AHX203" s="255"/>
      <c r="AHY203" s="255"/>
      <c r="AHZ203" s="255"/>
      <c r="AIA203" s="255"/>
      <c r="AIB203" s="255"/>
      <c r="AIC203" s="255"/>
      <c r="AID203" s="255"/>
      <c r="AIE203" s="255"/>
      <c r="AIF203" s="255"/>
      <c r="AIG203" s="255"/>
      <c r="AIH203" s="255"/>
      <c r="AII203" s="255"/>
      <c r="AIJ203" s="255"/>
      <c r="AIK203" s="255"/>
      <c r="AIL203" s="255"/>
      <c r="AIM203" s="255"/>
      <c r="AIN203" s="255"/>
      <c r="AIO203" s="255"/>
      <c r="AIP203" s="255"/>
      <c r="AIQ203" s="255"/>
      <c r="AIR203" s="255"/>
      <c r="AIS203" s="255"/>
      <c r="AIT203" s="255"/>
      <c r="AIU203" s="255"/>
      <c r="AIV203" s="255"/>
      <c r="AIW203" s="255"/>
      <c r="AIX203" s="255"/>
      <c r="AIY203" s="255"/>
      <c r="AIZ203" s="255"/>
      <c r="AJA203" s="255"/>
      <c r="AJB203" s="255"/>
      <c r="AJC203" s="255"/>
      <c r="AJD203" s="255"/>
      <c r="AJE203" s="255"/>
      <c r="AJF203" s="255"/>
      <c r="AJG203" s="255"/>
      <c r="AJH203" s="255"/>
      <c r="AJI203" s="255"/>
      <c r="AJJ203" s="255"/>
      <c r="AJK203" s="255"/>
      <c r="AJL203" s="255"/>
      <c r="AJM203" s="255"/>
      <c r="AJN203" s="255"/>
      <c r="AJO203" s="255"/>
      <c r="AJP203" s="255"/>
      <c r="AJQ203" s="255"/>
      <c r="AJR203" s="255"/>
      <c r="AJS203" s="255"/>
      <c r="AJT203" s="255"/>
      <c r="AJU203" s="255"/>
      <c r="AJV203" s="255"/>
      <c r="AJW203" s="255"/>
      <c r="AJX203" s="255"/>
      <c r="AJY203" s="255"/>
      <c r="AJZ203" s="255"/>
      <c r="AKA203" s="255"/>
      <c r="AKB203" s="255"/>
      <c r="AKC203" s="255"/>
      <c r="AKD203" s="255"/>
      <c r="AKE203" s="255"/>
      <c r="AKF203" s="255"/>
      <c r="AKG203" s="255"/>
      <c r="AKH203" s="255"/>
      <c r="AKI203" s="255"/>
      <c r="AKJ203" s="255"/>
      <c r="AKK203" s="255"/>
      <c r="AKL203" s="255"/>
      <c r="AKM203" s="255"/>
      <c r="AKN203" s="255"/>
      <c r="AKO203" s="255"/>
      <c r="AKP203" s="255"/>
      <c r="AKQ203" s="255"/>
      <c r="AKR203" s="255"/>
      <c r="AKS203" s="255"/>
      <c r="AKT203" s="255"/>
      <c r="AKU203" s="255"/>
      <c r="AKV203" s="255"/>
      <c r="AKW203" s="255"/>
      <c r="AKX203" s="255"/>
      <c r="AKY203" s="255"/>
      <c r="AKZ203" s="255"/>
      <c r="ALA203" s="255"/>
      <c r="ALB203" s="255"/>
      <c r="ALC203" s="255"/>
      <c r="ALD203" s="255"/>
      <c r="ALE203" s="42"/>
      <c r="ALF203" s="42"/>
      <c r="ALG203" s="42"/>
      <c r="ALH203" s="42"/>
      <c r="ALI203" s="42"/>
      <c r="ALJ203" s="42"/>
      <c r="ALK203" s="42"/>
      <c r="ALL203" s="42"/>
      <c r="ALM203" s="42"/>
    </row>
    <row r="204" spans="1:1001">
      <c r="A204" s="716" t="s">
        <v>6928</v>
      </c>
      <c r="B204" s="716"/>
      <c r="C204" s="716"/>
      <c r="D204" s="716"/>
      <c r="E204" s="716"/>
      <c r="F204" s="716"/>
      <c r="G204" s="716"/>
      <c r="H204" s="716"/>
      <c r="I204" s="716"/>
      <c r="J204" s="390">
        <f>J201+J186+J178+J166+J162+J157+J130+J95+J49+J45+J41+J18+J22</f>
        <v>3094228.1547605703</v>
      </c>
      <c r="K204" s="168"/>
      <c r="L204" s="168"/>
      <c r="M204" s="168"/>
      <c r="N204" s="168"/>
      <c r="O204" s="168"/>
      <c r="P204" s="259"/>
    </row>
    <row r="205" spans="1:1001">
      <c r="A205" s="171"/>
      <c r="B205" s="172"/>
      <c r="C205" s="173"/>
      <c r="D205" s="163"/>
      <c r="E205" s="163"/>
      <c r="F205" s="163"/>
      <c r="G205" s="163"/>
      <c r="H205" s="163"/>
      <c r="I205" s="163"/>
      <c r="J205" s="163"/>
      <c r="K205" s="168"/>
      <c r="L205" s="168"/>
      <c r="M205" s="168"/>
      <c r="N205" s="168"/>
      <c r="O205" s="168"/>
      <c r="P205" s="259"/>
    </row>
    <row r="206" spans="1:1001">
      <c r="A206" s="171"/>
      <c r="B206" s="172"/>
      <c r="C206" s="173"/>
      <c r="D206" s="163"/>
      <c r="E206" s="163"/>
      <c r="F206" s="163"/>
      <c r="G206" s="163"/>
      <c r="H206" s="163"/>
      <c r="I206" s="163"/>
      <c r="J206" s="163"/>
      <c r="K206" s="168"/>
      <c r="L206" s="168"/>
      <c r="M206" s="168"/>
      <c r="N206" s="168"/>
      <c r="O206" s="168"/>
      <c r="P206" s="259"/>
    </row>
    <row r="207" spans="1:1001">
      <c r="A207" s="171"/>
      <c r="B207" s="172"/>
      <c r="C207" s="173"/>
      <c r="K207" s="168"/>
      <c r="L207" s="168"/>
      <c r="M207" s="168"/>
      <c r="N207" s="168"/>
      <c r="O207" s="168"/>
      <c r="P207" s="259"/>
    </row>
    <row r="208" spans="1:1001">
      <c r="K208" s="168"/>
      <c r="L208" s="168"/>
      <c r="M208" s="168"/>
      <c r="N208" s="168"/>
      <c r="O208" s="168"/>
      <c r="P208" s="259"/>
    </row>
    <row r="209" spans="11:16">
      <c r="K209" s="168"/>
      <c r="L209" s="168"/>
      <c r="M209" s="168"/>
      <c r="N209" s="168"/>
      <c r="O209" s="168"/>
      <c r="P209" s="259"/>
    </row>
    <row r="210" spans="11:16">
      <c r="K210" s="168"/>
      <c r="L210" s="168"/>
      <c r="M210" s="168"/>
      <c r="N210" s="168"/>
      <c r="O210" s="168"/>
      <c r="P210" s="259"/>
    </row>
    <row r="211" spans="11:16">
      <c r="K211" s="168"/>
      <c r="L211" s="168"/>
      <c r="M211" s="168"/>
      <c r="N211" s="168"/>
      <c r="O211" s="168"/>
      <c r="P211" s="259"/>
    </row>
    <row r="212" spans="11:16">
      <c r="K212" s="168"/>
      <c r="L212" s="168"/>
      <c r="M212" s="168"/>
      <c r="N212" s="168"/>
      <c r="O212" s="168"/>
      <c r="P212" s="259"/>
    </row>
    <row r="213" spans="11:16">
      <c r="K213" s="168"/>
      <c r="L213" s="168"/>
      <c r="M213" s="168"/>
      <c r="N213" s="168"/>
      <c r="O213" s="168"/>
      <c r="P213" s="259"/>
    </row>
    <row r="214" spans="11:16">
      <c r="K214" s="168"/>
      <c r="L214" s="168"/>
      <c r="M214" s="168"/>
      <c r="N214" s="168"/>
      <c r="O214" s="168"/>
      <c r="P214" s="259"/>
    </row>
    <row r="215" spans="11:16">
      <c r="K215" s="168"/>
      <c r="L215" s="168"/>
      <c r="M215" s="168"/>
      <c r="N215" s="168"/>
      <c r="O215" s="168"/>
      <c r="P215" s="259"/>
    </row>
  </sheetData>
  <autoFilter ref="A12:J201" xr:uid="{00000000-0009-0000-0000-00000E000000}"/>
  <customSheetViews>
    <customSheetView guid="{F0B59077-E91F-4902-BAF3-E980CE858A35}" scale="70" showPageBreaks="1" showGridLines="0" fitToPage="1" printArea="1" view="pageBreakPreview" topLeftCell="A476">
      <selection activeCell="C493" sqref="C493"/>
      <pageMargins left="0.511811024" right="0.511811024" top="0.78740157499999996" bottom="0.78740157499999996" header="0.31496062000000002" footer="0.31496062000000002"/>
      <printOptions horizontalCentered="1"/>
      <pageSetup paperSize="9" scale="47" fitToHeight="0" orientation="portrait"/>
      <headerFooter>
        <oddFooter>&amp;R&amp;"Verdana,Negrito itálico"&amp;10Página &amp;P de &amp;N</oddFooter>
      </headerFooter>
    </customSheetView>
    <customSheetView guid="{CC0EDFEC-6A25-4030-ADA1-F73311A7C09A}" showPageBreaks="1" showGridLines="0" fitToPage="1" printArea="1" topLeftCell="A406">
      <selection activeCell="D415" sqref="D415"/>
      <pageMargins left="0.511811024" right="0.511811024" top="0.78740157499999996" bottom="0.78740157499999996" header="0.31496062000000002" footer="0.31496062000000002"/>
      <printOptions horizontalCentered="1"/>
      <pageSetup paperSize="9" scale="53" fitToHeight="0" orientation="portrait"/>
      <headerFooter>
        <oddFooter>&amp;R&amp;"Verdana,Negrito itálico"&amp;10Página &amp;P de &amp;N</oddFooter>
      </headerFooter>
    </customSheetView>
    <customSheetView guid="{75F89B85-68FF-4815-939D-125F7FA00154}" scale="75" showPageBreaks="1" showGridLines="0" fitToPage="1" printArea="1" view="pageBreakPreview" topLeftCell="A190">
      <selection activeCell="A202" sqref="A202:I202"/>
      <pageMargins left="0.511811024" right="0.511811024" top="0.78740157499999996" bottom="0.78740157499999996" header="0.31496062000000002" footer="0.31496062000000002"/>
      <printOptions horizontalCentered="1"/>
      <pageSetup paperSize="9" scale="53" fitToHeight="0" orientation="portrait"/>
      <headerFooter>
        <oddFooter>&amp;R&amp;"Verdana,Negrito itálico"&amp;10Página &amp;P de &amp;N</oddFooter>
      </headerFooter>
    </customSheetView>
  </customSheetViews>
  <mergeCells count="18">
    <mergeCell ref="A49:I49"/>
    <mergeCell ref="A204:I204"/>
    <mergeCell ref="A162:I162"/>
    <mergeCell ref="A166:I166"/>
    <mergeCell ref="A178:I178"/>
    <mergeCell ref="A186:I186"/>
    <mergeCell ref="A201:I201"/>
    <mergeCell ref="A157:I157"/>
    <mergeCell ref="A130:I130"/>
    <mergeCell ref="A95:I95"/>
    <mergeCell ref="A202:I202"/>
    <mergeCell ref="A203:I203"/>
    <mergeCell ref="A1:J3"/>
    <mergeCell ref="A22:I22"/>
    <mergeCell ref="A18:I18"/>
    <mergeCell ref="A41:I41"/>
    <mergeCell ref="A45:I45"/>
    <mergeCell ref="C4:J4"/>
  </mergeCells>
  <phoneticPr fontId="49" type="noConversion"/>
  <dataValidations disablePrompts="1" xWindow="49" yWindow="375" count="2">
    <dataValidation showInputMessage="1" showErrorMessage="1" sqref="A182 A50 A167:B177 A115:A117 B42:B44 B46:B48 A46 B131:B156 B96:B129 B158:B161 A158 A163 B187:B200 B179:B185 B50:B79 B23:B40 A195 B163:B165 A119:A127 A129" xr:uid="{00000000-0002-0000-0E00-000000000000}"/>
    <dataValidation allowBlank="1" showInputMessage="1" showErrorMessage="1" sqref="A208:A1048576 A10:A12" xr:uid="{00000000-0002-0000-0E00-000001000000}"/>
  </dataValidations>
  <pageMargins left="0.43307086614173229" right="0.23622047244094488" top="0.31496062992125984" bottom="0.39370078740157483" header="0.31496062992125984" footer="0.15748031496062992"/>
  <pageSetup paperSize="9" scale="80" fitToHeight="0" orientation="landscape" r:id="rId1"/>
  <headerFooter>
    <oddFooter>&amp;CPágina &amp;P  de &amp;N</oddFooter>
  </headerFooter>
  <ignoredErrors>
    <ignoredError sqref="I31:I32 I34" formulaRange="1"/>
  </ignoredErrors>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R622"/>
  <sheetViews>
    <sheetView showGridLines="0" view="pageBreakPreview" zoomScale="85" zoomScaleNormal="85" zoomScaleSheetLayoutView="85" workbookViewId="0">
      <selection activeCell="B619" sqref="B619"/>
    </sheetView>
  </sheetViews>
  <sheetFormatPr defaultRowHeight="15"/>
  <cols>
    <col min="1" max="1" width="38.42578125" style="192" customWidth="1"/>
    <col min="2" max="2" width="13.5703125" style="61" customWidth="1"/>
    <col min="3" max="3" width="8.42578125" style="192" bestFit="1" customWidth="1"/>
    <col min="4" max="4" width="12.42578125" style="192" customWidth="1"/>
    <col min="5" max="13" width="12.42578125" style="192" bestFit="1" customWidth="1"/>
    <col min="14" max="15" width="12.42578125" style="192" hidden="1" customWidth="1"/>
    <col min="16" max="16" width="13.140625" style="192" bestFit="1" customWidth="1"/>
    <col min="17" max="17" width="2.85546875" style="192" customWidth="1"/>
    <col min="18" max="18" width="11.7109375" style="192" hidden="1" customWidth="1"/>
    <col min="19" max="16384" width="9.140625" style="192"/>
  </cols>
  <sheetData>
    <row r="1" spans="1:16">
      <c r="A1" s="8"/>
      <c r="B1" s="193"/>
      <c r="C1" s="8"/>
      <c r="D1" s="8"/>
      <c r="E1" s="8"/>
      <c r="F1" s="8"/>
    </row>
    <row r="2" spans="1:16">
      <c r="A2" s="8"/>
      <c r="B2" s="193"/>
      <c r="C2" s="8"/>
      <c r="D2" s="8"/>
      <c r="E2" s="8"/>
      <c r="F2" s="8"/>
    </row>
    <row r="3" spans="1:16">
      <c r="A3" s="8"/>
      <c r="B3" s="193"/>
      <c r="C3" s="8"/>
      <c r="D3" s="8"/>
      <c r="E3" s="8"/>
      <c r="F3" s="8"/>
    </row>
    <row r="4" spans="1:16">
      <c r="A4" s="8"/>
      <c r="B4" s="193"/>
      <c r="C4" s="8"/>
      <c r="D4" s="8"/>
      <c r="E4" s="8"/>
      <c r="F4" s="8"/>
    </row>
    <row r="5" spans="1:16">
      <c r="A5" s="8"/>
      <c r="B5" s="193"/>
      <c r="C5" s="8"/>
      <c r="D5" s="8"/>
      <c r="E5" s="8"/>
      <c r="F5" s="8"/>
    </row>
    <row r="6" spans="1:16" s="100" customFormat="1" ht="20.25">
      <c r="A6" s="720" t="s">
        <v>7019</v>
      </c>
      <c r="B6" s="720"/>
      <c r="C6" s="720"/>
      <c r="D6" s="720"/>
      <c r="E6" s="720"/>
      <c r="F6" s="720"/>
      <c r="G6" s="720"/>
      <c r="H6" s="720"/>
      <c r="I6" s="720"/>
      <c r="J6" s="720"/>
      <c r="K6" s="720"/>
      <c r="L6" s="720"/>
      <c r="M6" s="720"/>
      <c r="N6" s="720"/>
      <c r="O6" s="720"/>
      <c r="P6" s="720"/>
    </row>
    <row r="7" spans="1:16" s="100" customFormat="1" ht="6.75" customHeight="1">
      <c r="B7" s="194"/>
      <c r="C7" s="195"/>
      <c r="D7" s="195"/>
      <c r="E7" s="195"/>
      <c r="F7" s="195"/>
      <c r="G7" s="195"/>
      <c r="H7" s="195"/>
      <c r="I7" s="195"/>
      <c r="P7" s="196"/>
    </row>
    <row r="8" spans="1:16" s="100" customFormat="1">
      <c r="A8" s="197" t="s">
        <v>6932</v>
      </c>
      <c r="B8" s="198" t="s">
        <v>6296</v>
      </c>
      <c r="C8" s="199"/>
      <c r="D8" s="199"/>
      <c r="E8" s="199"/>
      <c r="F8" s="199"/>
      <c r="G8" s="200"/>
      <c r="H8" s="200"/>
      <c r="I8" s="200"/>
      <c r="J8" s="200"/>
      <c r="K8" s="200"/>
      <c r="L8" s="200"/>
      <c r="M8" s="201"/>
      <c r="N8" s="201"/>
      <c r="O8" s="201"/>
      <c r="P8" s="201"/>
    </row>
    <row r="9" spans="1:16" s="100" customFormat="1">
      <c r="A9" s="197" t="s">
        <v>6297</v>
      </c>
      <c r="B9" s="198" t="s">
        <v>7063</v>
      </c>
      <c r="C9" s="199"/>
      <c r="D9" s="199"/>
      <c r="E9" s="199"/>
      <c r="F9" s="199"/>
      <c r="G9" s="200"/>
      <c r="H9" s="200"/>
      <c r="I9" s="200"/>
      <c r="J9" s="201"/>
      <c r="K9" s="201"/>
      <c r="L9" s="201"/>
      <c r="M9" s="201"/>
      <c r="N9" s="201"/>
      <c r="O9" s="200"/>
      <c r="P9" s="201"/>
    </row>
    <row r="10" spans="1:16" s="100" customFormat="1">
      <c r="A10" s="202" t="s">
        <v>5545</v>
      </c>
      <c r="B10" s="203" t="s">
        <v>6926</v>
      </c>
      <c r="C10" s="204"/>
      <c r="D10" s="204"/>
      <c r="E10" s="204"/>
      <c r="F10" s="204"/>
      <c r="G10" s="200"/>
      <c r="H10" s="200"/>
      <c r="I10" s="201"/>
      <c r="J10" s="201"/>
      <c r="K10" s="201"/>
      <c r="L10" s="201"/>
      <c r="M10" s="200"/>
      <c r="N10" s="200"/>
      <c r="O10" s="200"/>
      <c r="P10" s="201"/>
    </row>
    <row r="11" spans="1:16" s="100" customFormat="1" ht="12.75">
      <c r="A11" s="202" t="s">
        <v>6298</v>
      </c>
      <c r="B11" s="721">
        <v>202000036012687</v>
      </c>
      <c r="C11" s="722"/>
      <c r="D11" s="722"/>
      <c r="E11" s="722"/>
      <c r="F11" s="722"/>
      <c r="G11" s="722"/>
      <c r="H11" s="722"/>
      <c r="I11" s="722"/>
      <c r="J11" s="722"/>
      <c r="K11" s="722"/>
      <c r="L11" s="722"/>
      <c r="M11" s="201"/>
      <c r="N11" s="201"/>
      <c r="O11" s="201"/>
      <c r="P11" s="201"/>
    </row>
    <row r="12" spans="1:16" s="100" customFormat="1" ht="12.75">
      <c r="B12" s="201"/>
    </row>
    <row r="13" spans="1:16" s="100" customFormat="1" ht="12.75">
      <c r="A13" s="723" t="s">
        <v>7020</v>
      </c>
      <c r="B13" s="725" t="s">
        <v>7021</v>
      </c>
      <c r="C13" s="531" t="s">
        <v>7022</v>
      </c>
      <c r="D13" s="532">
        <v>30</v>
      </c>
      <c r="E13" s="532">
        <v>60</v>
      </c>
      <c r="F13" s="532">
        <v>90</v>
      </c>
      <c r="G13" s="532">
        <v>120</v>
      </c>
      <c r="H13" s="532">
        <v>150</v>
      </c>
      <c r="I13" s="532">
        <v>180</v>
      </c>
      <c r="J13" s="532">
        <v>210</v>
      </c>
      <c r="K13" s="532">
        <v>240</v>
      </c>
      <c r="L13" s="532">
        <v>270</v>
      </c>
      <c r="M13" s="532">
        <v>300</v>
      </c>
      <c r="N13" s="532">
        <v>330</v>
      </c>
      <c r="O13" s="532">
        <v>360</v>
      </c>
      <c r="P13" s="727" t="s">
        <v>3</v>
      </c>
    </row>
    <row r="14" spans="1:16" s="100" customFormat="1" ht="12.75">
      <c r="A14" s="724"/>
      <c r="B14" s="726"/>
      <c r="C14" s="533" t="s">
        <v>7023</v>
      </c>
      <c r="D14" s="534" t="s">
        <v>7024</v>
      </c>
      <c r="E14" s="534" t="s">
        <v>7025</v>
      </c>
      <c r="F14" s="534" t="s">
        <v>7026</v>
      </c>
      <c r="G14" s="534" t="s">
        <v>7027</v>
      </c>
      <c r="H14" s="534" t="s">
        <v>7028</v>
      </c>
      <c r="I14" s="534" t="s">
        <v>7029</v>
      </c>
      <c r="J14" s="534" t="s">
        <v>7030</v>
      </c>
      <c r="K14" s="534" t="s">
        <v>7031</v>
      </c>
      <c r="L14" s="534" t="s">
        <v>7032</v>
      </c>
      <c r="M14" s="534" t="s">
        <v>7033</v>
      </c>
      <c r="N14" s="534" t="s">
        <v>7034</v>
      </c>
      <c r="O14" s="534" t="s">
        <v>7035</v>
      </c>
      <c r="P14" s="728"/>
    </row>
    <row r="15" spans="1:16" s="100" customFormat="1" ht="12.75">
      <c r="A15" s="729" t="s">
        <v>7036</v>
      </c>
      <c r="B15" s="730"/>
      <c r="C15" s="731"/>
      <c r="D15" s="731"/>
      <c r="E15" s="731"/>
      <c r="F15" s="731"/>
      <c r="G15" s="731"/>
      <c r="H15" s="731"/>
      <c r="I15" s="731"/>
      <c r="J15" s="731"/>
      <c r="K15" s="731"/>
      <c r="L15" s="731"/>
      <c r="M15" s="731"/>
      <c r="N15" s="731"/>
      <c r="O15" s="732"/>
      <c r="P15" s="535"/>
    </row>
    <row r="16" spans="1:16" s="100" customFormat="1" ht="12.75">
      <c r="A16" s="742" t="s">
        <v>612</v>
      </c>
      <c r="B16" s="736">
        <f>UNID_ADMINISTRATIVA!J16</f>
        <v>2130.1924867799999</v>
      </c>
      <c r="C16" s="739">
        <f>B16/B58</f>
        <v>4.1393256817463999E-3</v>
      </c>
      <c r="D16" s="536">
        <f t="shared" ref="D16:O16" si="0">$B16*D18</f>
        <v>2130.1924867799999</v>
      </c>
      <c r="E16" s="537">
        <f t="shared" si="0"/>
        <v>0</v>
      </c>
      <c r="F16" s="537">
        <f t="shared" si="0"/>
        <v>0</v>
      </c>
      <c r="G16" s="537">
        <f t="shared" si="0"/>
        <v>0</v>
      </c>
      <c r="H16" s="537">
        <f t="shared" si="0"/>
        <v>0</v>
      </c>
      <c r="I16" s="537">
        <f t="shared" si="0"/>
        <v>0</v>
      </c>
      <c r="J16" s="537">
        <f t="shared" si="0"/>
        <v>0</v>
      </c>
      <c r="K16" s="537">
        <f t="shared" si="0"/>
        <v>0</v>
      </c>
      <c r="L16" s="537">
        <f t="shared" si="0"/>
        <v>0</v>
      </c>
      <c r="M16" s="537">
        <f t="shared" si="0"/>
        <v>0</v>
      </c>
      <c r="N16" s="537">
        <f t="shared" si="0"/>
        <v>0</v>
      </c>
      <c r="O16" s="537">
        <f t="shared" si="0"/>
        <v>0</v>
      </c>
      <c r="P16" s="538">
        <f>SUM(D16:O16)</f>
        <v>2130.1924867799999</v>
      </c>
    </row>
    <row r="17" spans="1:18" s="100" customFormat="1" ht="5.0999999999999996" customHeight="1">
      <c r="A17" s="743"/>
      <c r="B17" s="737"/>
      <c r="C17" s="740"/>
      <c r="D17" s="539">
        <f>+D18</f>
        <v>1</v>
      </c>
      <c r="E17" s="539">
        <f t="shared" ref="E17:O17" si="1">+E18</f>
        <v>0</v>
      </c>
      <c r="F17" s="539">
        <f t="shared" si="1"/>
        <v>0</v>
      </c>
      <c r="G17" s="539">
        <f t="shared" si="1"/>
        <v>0</v>
      </c>
      <c r="H17" s="539">
        <f t="shared" si="1"/>
        <v>0</v>
      </c>
      <c r="I17" s="539">
        <f t="shared" si="1"/>
        <v>0</v>
      </c>
      <c r="J17" s="539">
        <f t="shared" si="1"/>
        <v>0</v>
      </c>
      <c r="K17" s="539">
        <f t="shared" si="1"/>
        <v>0</v>
      </c>
      <c r="L17" s="539">
        <f t="shared" si="1"/>
        <v>0</v>
      </c>
      <c r="M17" s="539">
        <f t="shared" si="1"/>
        <v>0</v>
      </c>
      <c r="N17" s="539">
        <f t="shared" si="1"/>
        <v>0</v>
      </c>
      <c r="O17" s="539">
        <f t="shared" si="1"/>
        <v>0</v>
      </c>
      <c r="P17" s="538"/>
    </row>
    <row r="18" spans="1:18" s="100" customFormat="1" ht="12.75">
      <c r="A18" s="744"/>
      <c r="B18" s="738"/>
      <c r="C18" s="741"/>
      <c r="D18" s="540">
        <v>1</v>
      </c>
      <c r="E18" s="540"/>
      <c r="F18" s="540"/>
      <c r="G18" s="540"/>
      <c r="H18" s="540"/>
      <c r="I18" s="540"/>
      <c r="J18" s="540"/>
      <c r="K18" s="540"/>
      <c r="L18" s="540"/>
      <c r="M18" s="540"/>
      <c r="N18" s="540"/>
      <c r="O18" s="540"/>
      <c r="P18" s="541">
        <f>C16</f>
        <v>4.1393256817463999E-3</v>
      </c>
      <c r="R18" s="205">
        <f>+SUM(D18:O18)</f>
        <v>1</v>
      </c>
    </row>
    <row r="19" spans="1:18" s="100" customFormat="1" ht="12.75">
      <c r="A19" s="745" t="s">
        <v>6336</v>
      </c>
      <c r="B19" s="736">
        <f>UNID_ADMINISTRATIVA!$J$20</f>
        <v>1628.9773424499999</v>
      </c>
      <c r="C19" s="739">
        <f>B19/B58</f>
        <v>3.1653795562760654E-3</v>
      </c>
      <c r="D19" s="537">
        <f t="shared" ref="D19:O19" si="2">$B19*D21</f>
        <v>814.48867122499996</v>
      </c>
      <c r="E19" s="537">
        <f t="shared" si="2"/>
        <v>814.48867122499996</v>
      </c>
      <c r="F19" s="537">
        <f t="shared" si="2"/>
        <v>0</v>
      </c>
      <c r="G19" s="537">
        <f t="shared" si="2"/>
        <v>0</v>
      </c>
      <c r="H19" s="537">
        <f t="shared" si="2"/>
        <v>0</v>
      </c>
      <c r="I19" s="537">
        <f t="shared" si="2"/>
        <v>0</v>
      </c>
      <c r="J19" s="537">
        <f t="shared" si="2"/>
        <v>0</v>
      </c>
      <c r="K19" s="537">
        <f t="shared" si="2"/>
        <v>0</v>
      </c>
      <c r="L19" s="537">
        <f t="shared" si="2"/>
        <v>0</v>
      </c>
      <c r="M19" s="537">
        <f t="shared" si="2"/>
        <v>0</v>
      </c>
      <c r="N19" s="537">
        <f t="shared" si="2"/>
        <v>0</v>
      </c>
      <c r="O19" s="537">
        <f t="shared" si="2"/>
        <v>0</v>
      </c>
      <c r="P19" s="538">
        <f>SUM(D19:O19)</f>
        <v>1628.9773424499999</v>
      </c>
      <c r="R19" s="205"/>
    </row>
    <row r="20" spans="1:18" s="100" customFormat="1" ht="5.0999999999999996" customHeight="1">
      <c r="A20" s="746"/>
      <c r="B20" s="737"/>
      <c r="C20" s="740"/>
      <c r="D20" s="539">
        <f>+D21</f>
        <v>0.5</v>
      </c>
      <c r="E20" s="539">
        <f t="shared" ref="E20:O20" si="3">+E21</f>
        <v>0.5</v>
      </c>
      <c r="F20" s="539">
        <f t="shared" si="3"/>
        <v>0</v>
      </c>
      <c r="G20" s="539">
        <f t="shared" si="3"/>
        <v>0</v>
      </c>
      <c r="H20" s="539">
        <f t="shared" si="3"/>
        <v>0</v>
      </c>
      <c r="I20" s="539">
        <f t="shared" si="3"/>
        <v>0</v>
      </c>
      <c r="J20" s="539">
        <f t="shared" si="3"/>
        <v>0</v>
      </c>
      <c r="K20" s="539">
        <f t="shared" si="3"/>
        <v>0</v>
      </c>
      <c r="L20" s="539">
        <f t="shared" si="3"/>
        <v>0</v>
      </c>
      <c r="M20" s="539">
        <f t="shared" si="3"/>
        <v>0</v>
      </c>
      <c r="N20" s="539">
        <f t="shared" si="3"/>
        <v>0</v>
      </c>
      <c r="O20" s="539">
        <f t="shared" si="3"/>
        <v>0</v>
      </c>
      <c r="P20" s="538"/>
      <c r="R20" s="205"/>
    </row>
    <row r="21" spans="1:18" s="100" customFormat="1" ht="12.75">
      <c r="A21" s="747"/>
      <c r="B21" s="738"/>
      <c r="C21" s="741"/>
      <c r="D21" s="540">
        <v>0.5</v>
      </c>
      <c r="E21" s="540">
        <v>0.5</v>
      </c>
      <c r="F21" s="540"/>
      <c r="G21" s="540"/>
      <c r="H21" s="540"/>
      <c r="I21" s="540"/>
      <c r="J21" s="540"/>
      <c r="K21" s="540"/>
      <c r="L21" s="540"/>
      <c r="M21" s="540"/>
      <c r="N21" s="540"/>
      <c r="O21" s="540"/>
      <c r="P21" s="541">
        <f>C19</f>
        <v>3.1653795562760654E-3</v>
      </c>
      <c r="R21" s="205">
        <f t="shared" ref="R21:R82" si="4">+SUM(D21:O21)</f>
        <v>1</v>
      </c>
    </row>
    <row r="22" spans="1:18" s="100" customFormat="1" ht="12.75">
      <c r="A22" s="733" t="s">
        <v>605</v>
      </c>
      <c r="B22" s="736">
        <f>UNID_ADMINISTRATIVA!$J$117</f>
        <v>147386.47111785735</v>
      </c>
      <c r="C22" s="739">
        <f>B22/B58</f>
        <v>0.28639693775388303</v>
      </c>
      <c r="D22" s="537">
        <f t="shared" ref="D22:O22" si="5">$B22*D24</f>
        <v>0</v>
      </c>
      <c r="E22" s="537">
        <f t="shared" si="5"/>
        <v>22107.970667678601</v>
      </c>
      <c r="F22" s="537">
        <f t="shared" si="5"/>
        <v>22107.970667678601</v>
      </c>
      <c r="G22" s="537">
        <f t="shared" si="5"/>
        <v>0</v>
      </c>
      <c r="H22" s="537">
        <f t="shared" si="5"/>
        <v>0</v>
      </c>
      <c r="I22" s="537">
        <f t="shared" si="5"/>
        <v>44215.941335357202</v>
      </c>
      <c r="J22" s="537">
        <f t="shared" si="5"/>
        <v>44215.941335357202</v>
      </c>
      <c r="K22" s="537">
        <f t="shared" si="5"/>
        <v>14738.647111785736</v>
      </c>
      <c r="L22" s="537">
        <f t="shared" si="5"/>
        <v>0</v>
      </c>
      <c r="M22" s="537">
        <f t="shared" si="5"/>
        <v>0</v>
      </c>
      <c r="N22" s="537">
        <f t="shared" si="5"/>
        <v>0</v>
      </c>
      <c r="O22" s="537">
        <f t="shared" si="5"/>
        <v>0</v>
      </c>
      <c r="P22" s="538">
        <f>SUM(D22:O22)</f>
        <v>147386.47111785735</v>
      </c>
      <c r="R22" s="205"/>
    </row>
    <row r="23" spans="1:18" s="100" customFormat="1" ht="5.0999999999999996" customHeight="1">
      <c r="A23" s="734"/>
      <c r="B23" s="737"/>
      <c r="C23" s="740"/>
      <c r="D23" s="539">
        <f>+D24</f>
        <v>0</v>
      </c>
      <c r="E23" s="539">
        <f t="shared" ref="E23:O23" si="6">+E24</f>
        <v>0.15</v>
      </c>
      <c r="F23" s="539">
        <f t="shared" si="6"/>
        <v>0.15</v>
      </c>
      <c r="G23" s="539">
        <f t="shared" si="6"/>
        <v>0</v>
      </c>
      <c r="H23" s="539">
        <f t="shared" si="6"/>
        <v>0</v>
      </c>
      <c r="I23" s="539">
        <f t="shared" si="6"/>
        <v>0.3</v>
      </c>
      <c r="J23" s="539">
        <f t="shared" si="6"/>
        <v>0.3</v>
      </c>
      <c r="K23" s="539">
        <f t="shared" si="6"/>
        <v>0.1</v>
      </c>
      <c r="L23" s="539">
        <f t="shared" si="6"/>
        <v>0</v>
      </c>
      <c r="M23" s="539">
        <f t="shared" si="6"/>
        <v>0</v>
      </c>
      <c r="N23" s="539">
        <f t="shared" si="6"/>
        <v>0</v>
      </c>
      <c r="O23" s="539">
        <f t="shared" si="6"/>
        <v>0</v>
      </c>
      <c r="P23" s="538"/>
      <c r="R23" s="205"/>
    </row>
    <row r="24" spans="1:18" s="100" customFormat="1" ht="12.75">
      <c r="A24" s="735"/>
      <c r="B24" s="738"/>
      <c r="C24" s="741"/>
      <c r="D24" s="540"/>
      <c r="E24" s="540">
        <v>0.15</v>
      </c>
      <c r="F24" s="540">
        <v>0.15</v>
      </c>
      <c r="G24" s="540"/>
      <c r="H24" s="540"/>
      <c r="I24" s="540">
        <v>0.3</v>
      </c>
      <c r="J24" s="540">
        <v>0.3</v>
      </c>
      <c r="K24" s="540">
        <v>0.1</v>
      </c>
      <c r="L24" s="540"/>
      <c r="M24" s="540"/>
      <c r="N24" s="540"/>
      <c r="O24" s="540"/>
      <c r="P24" s="541">
        <f>C22</f>
        <v>0.28639693775388303</v>
      </c>
      <c r="R24" s="205">
        <f t="shared" si="4"/>
        <v>0.99999999999999989</v>
      </c>
    </row>
    <row r="25" spans="1:18" s="100" customFormat="1" ht="12.75">
      <c r="A25" s="733" t="s">
        <v>604</v>
      </c>
      <c r="B25" s="736">
        <f>UNID_ADMINISTRATIVA!$J$147</f>
        <v>13301.338903999998</v>
      </c>
      <c r="C25" s="739">
        <f>B25/B58</f>
        <v>2.5846759890776946E-2</v>
      </c>
      <c r="D25" s="537">
        <f t="shared" ref="D25:O25" si="7">$B25*D27</f>
        <v>0</v>
      </c>
      <c r="E25" s="537">
        <f t="shared" si="7"/>
        <v>0</v>
      </c>
      <c r="F25" s="537">
        <f t="shared" si="7"/>
        <v>1995.2008355999997</v>
      </c>
      <c r="G25" s="537">
        <f t="shared" si="7"/>
        <v>1995.2008355999997</v>
      </c>
      <c r="H25" s="537">
        <f t="shared" si="7"/>
        <v>0</v>
      </c>
      <c r="I25" s="537">
        <f t="shared" si="7"/>
        <v>0</v>
      </c>
      <c r="J25" s="537">
        <f t="shared" si="7"/>
        <v>5320.5355615999997</v>
      </c>
      <c r="K25" s="537">
        <f t="shared" si="7"/>
        <v>3990.4016711999993</v>
      </c>
      <c r="L25" s="537">
        <f t="shared" si="7"/>
        <v>0</v>
      </c>
      <c r="M25" s="537">
        <f t="shared" si="7"/>
        <v>0</v>
      </c>
      <c r="N25" s="537">
        <f t="shared" si="7"/>
        <v>0</v>
      </c>
      <c r="O25" s="537">
        <f t="shared" si="7"/>
        <v>0</v>
      </c>
      <c r="P25" s="538">
        <f>SUM(D25:O25)</f>
        <v>13301.338903999998</v>
      </c>
      <c r="R25" s="205"/>
    </row>
    <row r="26" spans="1:18" s="100" customFormat="1" ht="5.0999999999999996" customHeight="1">
      <c r="A26" s="734"/>
      <c r="B26" s="737"/>
      <c r="C26" s="740"/>
      <c r="D26" s="539">
        <f>+D27</f>
        <v>0</v>
      </c>
      <c r="E26" s="539">
        <f t="shared" ref="E26:O26" si="8">+E27</f>
        <v>0</v>
      </c>
      <c r="F26" s="539">
        <f t="shared" si="8"/>
        <v>0.15</v>
      </c>
      <c r="G26" s="539">
        <f t="shared" si="8"/>
        <v>0.15</v>
      </c>
      <c r="H26" s="539">
        <f t="shared" si="8"/>
        <v>0</v>
      </c>
      <c r="I26" s="539">
        <f t="shared" si="8"/>
        <v>0</v>
      </c>
      <c r="J26" s="539">
        <f t="shared" si="8"/>
        <v>0.4</v>
      </c>
      <c r="K26" s="539">
        <f t="shared" si="8"/>
        <v>0.3</v>
      </c>
      <c r="L26" s="539">
        <f t="shared" si="8"/>
        <v>0</v>
      </c>
      <c r="M26" s="539">
        <f t="shared" si="8"/>
        <v>0</v>
      </c>
      <c r="N26" s="539">
        <f t="shared" si="8"/>
        <v>0</v>
      </c>
      <c r="O26" s="539">
        <f t="shared" si="8"/>
        <v>0</v>
      </c>
      <c r="P26" s="538"/>
      <c r="R26" s="205"/>
    </row>
    <row r="27" spans="1:18" s="100" customFormat="1" ht="12.75">
      <c r="A27" s="735"/>
      <c r="B27" s="738"/>
      <c r="C27" s="741"/>
      <c r="D27" s="540"/>
      <c r="E27" s="540"/>
      <c r="F27" s="540">
        <v>0.15</v>
      </c>
      <c r="G27" s="540">
        <v>0.15</v>
      </c>
      <c r="H27" s="540"/>
      <c r="I27" s="540"/>
      <c r="J27" s="540">
        <v>0.4</v>
      </c>
      <c r="K27" s="540">
        <v>0.3</v>
      </c>
      <c r="L27" s="540"/>
      <c r="M27" s="540"/>
      <c r="N27" s="540"/>
      <c r="O27" s="540"/>
      <c r="P27" s="541">
        <f>C25</f>
        <v>2.5846759890776946E-2</v>
      </c>
      <c r="R27" s="205">
        <f t="shared" si="4"/>
        <v>1</v>
      </c>
    </row>
    <row r="28" spans="1:18" s="100" customFormat="1" ht="12.75">
      <c r="A28" s="733" t="s">
        <v>601</v>
      </c>
      <c r="B28" s="736">
        <f>UNID_ADMINISTRATIVA!$J$150</f>
        <v>1465.1616000000001</v>
      </c>
      <c r="C28" s="739">
        <f>B28/B58</f>
        <v>2.8470577548398795E-3</v>
      </c>
      <c r="D28" s="537">
        <f t="shared" ref="D28:O28" si="9">$B28*D30</f>
        <v>0</v>
      </c>
      <c r="E28" s="537">
        <f t="shared" si="9"/>
        <v>0</v>
      </c>
      <c r="F28" s="537">
        <f t="shared" si="9"/>
        <v>0</v>
      </c>
      <c r="G28" s="537">
        <f t="shared" si="9"/>
        <v>0</v>
      </c>
      <c r="H28" s="537">
        <f t="shared" si="9"/>
        <v>0</v>
      </c>
      <c r="I28" s="537">
        <f t="shared" si="9"/>
        <v>1465.1616000000001</v>
      </c>
      <c r="J28" s="537">
        <f t="shared" si="9"/>
        <v>0</v>
      </c>
      <c r="K28" s="537">
        <f t="shared" si="9"/>
        <v>0</v>
      </c>
      <c r="L28" s="537">
        <f t="shared" si="9"/>
        <v>0</v>
      </c>
      <c r="M28" s="537">
        <f t="shared" si="9"/>
        <v>0</v>
      </c>
      <c r="N28" s="537">
        <f t="shared" si="9"/>
        <v>0</v>
      </c>
      <c r="O28" s="537">
        <f t="shared" si="9"/>
        <v>0</v>
      </c>
      <c r="P28" s="538">
        <f>SUM(D28:O28)</f>
        <v>1465.1616000000001</v>
      </c>
      <c r="R28" s="205"/>
    </row>
    <row r="29" spans="1:18" s="100" customFormat="1" ht="5.0999999999999996" customHeight="1">
      <c r="A29" s="734"/>
      <c r="B29" s="737"/>
      <c r="C29" s="740"/>
      <c r="D29" s="539">
        <f>+D30</f>
        <v>0</v>
      </c>
      <c r="E29" s="539">
        <f t="shared" ref="E29:O29" si="10">+E30</f>
        <v>0</v>
      </c>
      <c r="F29" s="539">
        <f t="shared" si="10"/>
        <v>0</v>
      </c>
      <c r="G29" s="539">
        <f t="shared" si="10"/>
        <v>0</v>
      </c>
      <c r="H29" s="539">
        <f t="shared" si="10"/>
        <v>0</v>
      </c>
      <c r="I29" s="539">
        <f t="shared" si="10"/>
        <v>1</v>
      </c>
      <c r="J29" s="539">
        <f t="shared" si="10"/>
        <v>0</v>
      </c>
      <c r="K29" s="539">
        <f t="shared" si="10"/>
        <v>0</v>
      </c>
      <c r="L29" s="539">
        <f t="shared" si="10"/>
        <v>0</v>
      </c>
      <c r="M29" s="539">
        <f t="shared" si="10"/>
        <v>0</v>
      </c>
      <c r="N29" s="539">
        <f t="shared" si="10"/>
        <v>0</v>
      </c>
      <c r="O29" s="539">
        <f t="shared" si="10"/>
        <v>0</v>
      </c>
      <c r="P29" s="538"/>
      <c r="R29" s="205"/>
    </row>
    <row r="30" spans="1:18" s="100" customFormat="1" ht="12.75">
      <c r="A30" s="735"/>
      <c r="B30" s="738"/>
      <c r="C30" s="741"/>
      <c r="D30" s="540"/>
      <c r="E30" s="540"/>
      <c r="F30" s="540"/>
      <c r="G30" s="540"/>
      <c r="H30" s="540"/>
      <c r="I30" s="540">
        <v>1</v>
      </c>
      <c r="J30" s="540"/>
      <c r="K30" s="540"/>
      <c r="L30" s="540"/>
      <c r="M30" s="540"/>
      <c r="N30" s="540"/>
      <c r="O30" s="540"/>
      <c r="P30" s="541">
        <f>C28</f>
        <v>2.8470577548398795E-3</v>
      </c>
      <c r="R30" s="205">
        <f t="shared" si="4"/>
        <v>1</v>
      </c>
    </row>
    <row r="31" spans="1:18" s="100" customFormat="1" ht="12.75">
      <c r="A31" s="733" t="s">
        <v>596</v>
      </c>
      <c r="B31" s="736">
        <f>UNID_ADMINISTRATIVA!$J$158</f>
        <v>19169.917883999999</v>
      </c>
      <c r="C31" s="739">
        <f>B31/B58</f>
        <v>3.7250405259928926E-2</v>
      </c>
      <c r="D31" s="537">
        <f t="shared" ref="D31:O31" si="11">$B31*D33</f>
        <v>0</v>
      </c>
      <c r="E31" s="537">
        <f t="shared" si="11"/>
        <v>0</v>
      </c>
      <c r="F31" s="537">
        <f t="shared" si="11"/>
        <v>0</v>
      </c>
      <c r="G31" s="537">
        <f t="shared" si="11"/>
        <v>0</v>
      </c>
      <c r="H31" s="537">
        <f t="shared" si="11"/>
        <v>0</v>
      </c>
      <c r="I31" s="537">
        <f t="shared" si="11"/>
        <v>9584.9589419999993</v>
      </c>
      <c r="J31" s="537">
        <f t="shared" si="11"/>
        <v>9584.9589419999993</v>
      </c>
      <c r="K31" s="537">
        <f t="shared" si="11"/>
        <v>0</v>
      </c>
      <c r="L31" s="537">
        <f t="shared" si="11"/>
        <v>0</v>
      </c>
      <c r="M31" s="537">
        <f t="shared" si="11"/>
        <v>0</v>
      </c>
      <c r="N31" s="537">
        <f t="shared" si="11"/>
        <v>0</v>
      </c>
      <c r="O31" s="537">
        <f t="shared" si="11"/>
        <v>0</v>
      </c>
      <c r="P31" s="538">
        <f>SUM(D31:O31)</f>
        <v>19169.917883999999</v>
      </c>
      <c r="R31" s="205"/>
    </row>
    <row r="32" spans="1:18" s="100" customFormat="1" ht="5.0999999999999996" customHeight="1">
      <c r="A32" s="734"/>
      <c r="B32" s="737"/>
      <c r="C32" s="740"/>
      <c r="D32" s="539">
        <f>+D33</f>
        <v>0</v>
      </c>
      <c r="E32" s="539">
        <f t="shared" ref="E32:O32" si="12">+E33</f>
        <v>0</v>
      </c>
      <c r="F32" s="539">
        <f t="shared" si="12"/>
        <v>0</v>
      </c>
      <c r="G32" s="539">
        <f t="shared" si="12"/>
        <v>0</v>
      </c>
      <c r="H32" s="539">
        <f t="shared" si="12"/>
        <v>0</v>
      </c>
      <c r="I32" s="539">
        <f t="shared" si="12"/>
        <v>0.5</v>
      </c>
      <c r="J32" s="539">
        <f t="shared" si="12"/>
        <v>0.5</v>
      </c>
      <c r="K32" s="539">
        <f t="shared" si="12"/>
        <v>0</v>
      </c>
      <c r="L32" s="539">
        <f t="shared" si="12"/>
        <v>0</v>
      </c>
      <c r="M32" s="539">
        <f t="shared" si="12"/>
        <v>0</v>
      </c>
      <c r="N32" s="539">
        <f t="shared" si="12"/>
        <v>0</v>
      </c>
      <c r="O32" s="539">
        <f t="shared" si="12"/>
        <v>0</v>
      </c>
      <c r="P32" s="538"/>
      <c r="R32" s="205"/>
    </row>
    <row r="33" spans="1:18" s="100" customFormat="1" ht="12.75">
      <c r="A33" s="735"/>
      <c r="B33" s="738"/>
      <c r="C33" s="741"/>
      <c r="D33" s="540"/>
      <c r="E33" s="540"/>
      <c r="F33" s="540"/>
      <c r="G33" s="540"/>
      <c r="H33" s="540"/>
      <c r="I33" s="540">
        <v>0.5</v>
      </c>
      <c r="J33" s="540">
        <v>0.5</v>
      </c>
      <c r="K33" s="540"/>
      <c r="L33" s="540"/>
      <c r="M33" s="540"/>
      <c r="N33" s="540"/>
      <c r="O33" s="540"/>
      <c r="P33" s="541">
        <f>C31</f>
        <v>3.7250405259928926E-2</v>
      </c>
      <c r="R33" s="205">
        <f t="shared" si="4"/>
        <v>1</v>
      </c>
    </row>
    <row r="34" spans="1:18" s="100" customFormat="1" ht="12.75">
      <c r="A34" s="733" t="s">
        <v>595</v>
      </c>
      <c r="B34" s="736">
        <f>UNID_ADMINISTRATIVA!$J$171</f>
        <v>58902.668455060877</v>
      </c>
      <c r="C34" s="739">
        <f>B34/B58</f>
        <v>0.11445788574157513</v>
      </c>
      <c r="D34" s="537">
        <f t="shared" ref="D34:O34" si="13">$B34*D36</f>
        <v>0</v>
      </c>
      <c r="E34" s="537">
        <f t="shared" si="13"/>
        <v>0</v>
      </c>
      <c r="F34" s="537">
        <f t="shared" si="13"/>
        <v>0</v>
      </c>
      <c r="G34" s="537">
        <f t="shared" si="13"/>
        <v>0</v>
      </c>
      <c r="H34" s="537">
        <f t="shared" si="13"/>
        <v>29451.334227530439</v>
      </c>
      <c r="I34" s="537">
        <f t="shared" si="13"/>
        <v>29451.334227530439</v>
      </c>
      <c r="J34" s="537">
        <f t="shared" si="13"/>
        <v>0</v>
      </c>
      <c r="K34" s="537">
        <f t="shared" si="13"/>
        <v>0</v>
      </c>
      <c r="L34" s="537">
        <f t="shared" si="13"/>
        <v>0</v>
      </c>
      <c r="M34" s="537">
        <f t="shared" si="13"/>
        <v>0</v>
      </c>
      <c r="N34" s="537">
        <f t="shared" si="13"/>
        <v>0</v>
      </c>
      <c r="O34" s="537">
        <f t="shared" si="13"/>
        <v>0</v>
      </c>
      <c r="P34" s="538">
        <f>SUM(D34:O34)</f>
        <v>58902.668455060877</v>
      </c>
      <c r="R34" s="205"/>
    </row>
    <row r="35" spans="1:18" s="100" customFormat="1" ht="5.0999999999999996" customHeight="1">
      <c r="A35" s="734"/>
      <c r="B35" s="737"/>
      <c r="C35" s="740"/>
      <c r="D35" s="539">
        <f>+D36</f>
        <v>0</v>
      </c>
      <c r="E35" s="539">
        <f t="shared" ref="E35:O35" si="14">+E36</f>
        <v>0</v>
      </c>
      <c r="F35" s="539">
        <f t="shared" si="14"/>
        <v>0</v>
      </c>
      <c r="G35" s="539">
        <f t="shared" si="14"/>
        <v>0</v>
      </c>
      <c r="H35" s="539">
        <f t="shared" si="14"/>
        <v>0.5</v>
      </c>
      <c r="I35" s="539">
        <f t="shared" si="14"/>
        <v>0.5</v>
      </c>
      <c r="J35" s="539">
        <f t="shared" si="14"/>
        <v>0</v>
      </c>
      <c r="K35" s="539">
        <f t="shared" si="14"/>
        <v>0</v>
      </c>
      <c r="L35" s="539">
        <f t="shared" si="14"/>
        <v>0</v>
      </c>
      <c r="M35" s="539">
        <f t="shared" si="14"/>
        <v>0</v>
      </c>
      <c r="N35" s="539">
        <f t="shared" si="14"/>
        <v>0</v>
      </c>
      <c r="O35" s="539">
        <f t="shared" si="14"/>
        <v>0</v>
      </c>
      <c r="P35" s="538"/>
      <c r="R35" s="205"/>
    </row>
    <row r="36" spans="1:18" s="100" customFormat="1" ht="12.75">
      <c r="A36" s="735"/>
      <c r="B36" s="738"/>
      <c r="C36" s="741"/>
      <c r="D36" s="540"/>
      <c r="E36" s="540"/>
      <c r="F36" s="540"/>
      <c r="G36" s="540"/>
      <c r="H36" s="540">
        <v>0.5</v>
      </c>
      <c r="I36" s="540">
        <v>0.5</v>
      </c>
      <c r="J36" s="540"/>
      <c r="K36" s="540"/>
      <c r="L36" s="540"/>
      <c r="M36" s="540"/>
      <c r="N36" s="540"/>
      <c r="O36" s="540"/>
      <c r="P36" s="541">
        <f>C34</f>
        <v>0.11445788574157513</v>
      </c>
      <c r="R36" s="205">
        <f t="shared" si="4"/>
        <v>1</v>
      </c>
    </row>
    <row r="37" spans="1:18" s="100" customFormat="1" ht="12.75">
      <c r="A37" s="733" t="s">
        <v>594</v>
      </c>
      <c r="B37" s="736">
        <f>UNID_ADMINISTRATIVA!$J$174</f>
        <v>16455.738699999998</v>
      </c>
      <c r="C37" s="739">
        <f>B37/B58</f>
        <v>3.1976294271876704E-2</v>
      </c>
      <c r="D37" s="537">
        <f t="shared" ref="D37:M37" si="15">$B37*D39</f>
        <v>0</v>
      </c>
      <c r="E37" s="537">
        <f t="shared" si="15"/>
        <v>0</v>
      </c>
      <c r="F37" s="537">
        <f t="shared" si="15"/>
        <v>0</v>
      </c>
      <c r="G37" s="537">
        <f t="shared" si="15"/>
        <v>0</v>
      </c>
      <c r="H37" s="537">
        <f t="shared" si="15"/>
        <v>0</v>
      </c>
      <c r="I37" s="537">
        <f t="shared" si="15"/>
        <v>0</v>
      </c>
      <c r="J37" s="537">
        <f t="shared" si="15"/>
        <v>0</v>
      </c>
      <c r="K37" s="537">
        <f t="shared" si="15"/>
        <v>16455.738699999998</v>
      </c>
      <c r="L37" s="537">
        <f t="shared" si="15"/>
        <v>0</v>
      </c>
      <c r="M37" s="537">
        <f t="shared" si="15"/>
        <v>0</v>
      </c>
      <c r="N37" s="537">
        <f>$B37*N39</f>
        <v>0</v>
      </c>
      <c r="O37" s="537">
        <f>$B37*O39</f>
        <v>0</v>
      </c>
      <c r="P37" s="538">
        <f>SUM(D37:O37)</f>
        <v>16455.738699999998</v>
      </c>
      <c r="R37" s="205"/>
    </row>
    <row r="38" spans="1:18" s="100" customFormat="1" ht="5.0999999999999996" customHeight="1">
      <c r="A38" s="734"/>
      <c r="B38" s="737"/>
      <c r="C38" s="740"/>
      <c r="D38" s="539">
        <f>+D39</f>
        <v>0</v>
      </c>
      <c r="E38" s="539">
        <f t="shared" ref="E38:O38" si="16">+E39</f>
        <v>0</v>
      </c>
      <c r="F38" s="539">
        <f t="shared" si="16"/>
        <v>0</v>
      </c>
      <c r="G38" s="539">
        <f t="shared" si="16"/>
        <v>0</v>
      </c>
      <c r="H38" s="539">
        <f t="shared" si="16"/>
        <v>0</v>
      </c>
      <c r="I38" s="539">
        <f t="shared" si="16"/>
        <v>0</v>
      </c>
      <c r="J38" s="539">
        <f t="shared" si="16"/>
        <v>0</v>
      </c>
      <c r="K38" s="539">
        <f t="shared" si="16"/>
        <v>1</v>
      </c>
      <c r="L38" s="539">
        <f t="shared" si="16"/>
        <v>0</v>
      </c>
      <c r="M38" s="539">
        <f t="shared" si="16"/>
        <v>0</v>
      </c>
      <c r="N38" s="539">
        <f t="shared" si="16"/>
        <v>0</v>
      </c>
      <c r="O38" s="539">
        <f t="shared" si="16"/>
        <v>0</v>
      </c>
      <c r="P38" s="538"/>
      <c r="R38" s="205"/>
    </row>
    <row r="39" spans="1:18" s="100" customFormat="1" ht="12.75">
      <c r="A39" s="735"/>
      <c r="B39" s="738"/>
      <c r="C39" s="741"/>
      <c r="D39" s="540"/>
      <c r="E39" s="540"/>
      <c r="F39" s="540"/>
      <c r="G39" s="540"/>
      <c r="H39" s="540"/>
      <c r="I39" s="540"/>
      <c r="J39" s="540"/>
      <c r="K39" s="540">
        <v>1</v>
      </c>
      <c r="L39" s="540"/>
      <c r="M39" s="540"/>
      <c r="N39" s="540"/>
      <c r="O39" s="540"/>
      <c r="P39" s="541">
        <f>C37</f>
        <v>3.1976294271876704E-2</v>
      </c>
      <c r="R39" s="205">
        <f t="shared" si="4"/>
        <v>1</v>
      </c>
    </row>
    <row r="40" spans="1:18" s="100" customFormat="1" ht="12.75">
      <c r="A40" s="733" t="s">
        <v>593</v>
      </c>
      <c r="B40" s="736">
        <f>UNID_ADMINISTRATIVA!$J$177</f>
        <v>15673.625999999998</v>
      </c>
      <c r="C40" s="739">
        <f>B40/B58</f>
        <v>3.0456516502862178E-2</v>
      </c>
      <c r="D40" s="537">
        <f t="shared" ref="D40:O40" si="17">$B40*D42</f>
        <v>0</v>
      </c>
      <c r="E40" s="537">
        <f t="shared" si="17"/>
        <v>0</v>
      </c>
      <c r="F40" s="537">
        <f t="shared" si="17"/>
        <v>3134.7251999999999</v>
      </c>
      <c r="G40" s="537">
        <f t="shared" si="17"/>
        <v>6269.4503999999997</v>
      </c>
      <c r="H40" s="537">
        <f t="shared" si="17"/>
        <v>6269.4503999999997</v>
      </c>
      <c r="I40" s="537">
        <f t="shared" si="17"/>
        <v>0</v>
      </c>
      <c r="J40" s="537">
        <f t="shared" si="17"/>
        <v>0</v>
      </c>
      <c r="K40" s="537">
        <f t="shared" si="17"/>
        <v>0</v>
      </c>
      <c r="L40" s="537">
        <f t="shared" si="17"/>
        <v>0</v>
      </c>
      <c r="M40" s="537">
        <f t="shared" si="17"/>
        <v>0</v>
      </c>
      <c r="N40" s="537">
        <f t="shared" si="17"/>
        <v>0</v>
      </c>
      <c r="O40" s="537">
        <f t="shared" si="17"/>
        <v>0</v>
      </c>
      <c r="P40" s="538">
        <f>SUM(D40:O40)</f>
        <v>15673.625999999998</v>
      </c>
      <c r="R40" s="205"/>
    </row>
    <row r="41" spans="1:18" s="100" customFormat="1" ht="5.0999999999999996" customHeight="1">
      <c r="A41" s="734"/>
      <c r="B41" s="737"/>
      <c r="C41" s="740"/>
      <c r="D41" s="539">
        <f>+D42</f>
        <v>0</v>
      </c>
      <c r="E41" s="539">
        <f t="shared" ref="E41:O41" si="18">+E42</f>
        <v>0</v>
      </c>
      <c r="F41" s="539">
        <f t="shared" si="18"/>
        <v>0.2</v>
      </c>
      <c r="G41" s="539">
        <f t="shared" si="18"/>
        <v>0.4</v>
      </c>
      <c r="H41" s="539">
        <f t="shared" si="18"/>
        <v>0.4</v>
      </c>
      <c r="I41" s="539">
        <f t="shared" si="18"/>
        <v>0</v>
      </c>
      <c r="J41" s="539">
        <f t="shared" si="18"/>
        <v>0</v>
      </c>
      <c r="K41" s="539">
        <f t="shared" si="18"/>
        <v>0</v>
      </c>
      <c r="L41" s="539">
        <f t="shared" si="18"/>
        <v>0</v>
      </c>
      <c r="M41" s="539">
        <f t="shared" si="18"/>
        <v>0</v>
      </c>
      <c r="N41" s="539">
        <f t="shared" si="18"/>
        <v>0</v>
      </c>
      <c r="O41" s="539">
        <f t="shared" si="18"/>
        <v>0</v>
      </c>
      <c r="P41" s="538"/>
      <c r="R41" s="205"/>
    </row>
    <row r="42" spans="1:18" s="100" customFormat="1" ht="12.75">
      <c r="A42" s="735"/>
      <c r="B42" s="738"/>
      <c r="C42" s="741"/>
      <c r="D42" s="540"/>
      <c r="E42" s="540"/>
      <c r="F42" s="540">
        <v>0.2</v>
      </c>
      <c r="G42" s="540">
        <v>0.4</v>
      </c>
      <c r="H42" s="540">
        <v>0.4</v>
      </c>
      <c r="I42" s="540"/>
      <c r="J42" s="540"/>
      <c r="K42" s="540"/>
      <c r="L42" s="540"/>
      <c r="M42" s="540"/>
      <c r="N42" s="540"/>
      <c r="O42" s="540"/>
      <c r="P42" s="541">
        <f>C40</f>
        <v>3.0456516502862178E-2</v>
      </c>
      <c r="R42" s="205">
        <f t="shared" si="4"/>
        <v>1</v>
      </c>
    </row>
    <row r="43" spans="1:18" s="100" customFormat="1" ht="12.75">
      <c r="A43" s="733" t="s">
        <v>591</v>
      </c>
      <c r="B43" s="736">
        <f>UNID_ADMINISTRATIVA!$J$185</f>
        <v>120931.01039674401</v>
      </c>
      <c r="C43" s="739">
        <f>B43/B58</f>
        <v>0.23498948576776246</v>
      </c>
      <c r="D43" s="537">
        <f t="shared" ref="D43:O43" si="19">$B43*D45</f>
        <v>0</v>
      </c>
      <c r="E43" s="537">
        <f t="shared" si="19"/>
        <v>0</v>
      </c>
      <c r="F43" s="537">
        <f t="shared" si="19"/>
        <v>0</v>
      </c>
      <c r="G43" s="537">
        <f t="shared" si="19"/>
        <v>0</v>
      </c>
      <c r="H43" s="537">
        <f t="shared" si="19"/>
        <v>0</v>
      </c>
      <c r="I43" s="537">
        <f t="shared" si="19"/>
        <v>0</v>
      </c>
      <c r="J43" s="537">
        <f t="shared" si="19"/>
        <v>24186.202079348805</v>
      </c>
      <c r="K43" s="537">
        <f t="shared" si="19"/>
        <v>60465.505198372004</v>
      </c>
      <c r="L43" s="537">
        <f t="shared" si="19"/>
        <v>36279.3031190232</v>
      </c>
      <c r="M43" s="537">
        <f t="shared" si="19"/>
        <v>0</v>
      </c>
      <c r="N43" s="537">
        <f t="shared" si="19"/>
        <v>0</v>
      </c>
      <c r="O43" s="537">
        <f t="shared" si="19"/>
        <v>0</v>
      </c>
      <c r="P43" s="538">
        <f>SUM(D43:O43)</f>
        <v>120931.01039674401</v>
      </c>
      <c r="R43" s="205"/>
    </row>
    <row r="44" spans="1:18" s="100" customFormat="1" ht="5.0999999999999996" customHeight="1">
      <c r="A44" s="734"/>
      <c r="B44" s="737"/>
      <c r="C44" s="740"/>
      <c r="D44" s="539">
        <f>+D45</f>
        <v>0</v>
      </c>
      <c r="E44" s="539">
        <f t="shared" ref="E44:O44" si="20">+E45</f>
        <v>0</v>
      </c>
      <c r="F44" s="539">
        <f t="shared" si="20"/>
        <v>0</v>
      </c>
      <c r="G44" s="539">
        <f t="shared" si="20"/>
        <v>0</v>
      </c>
      <c r="H44" s="539">
        <f t="shared" si="20"/>
        <v>0</v>
      </c>
      <c r="I44" s="539">
        <f t="shared" si="20"/>
        <v>0</v>
      </c>
      <c r="J44" s="539">
        <f t="shared" si="20"/>
        <v>0.2</v>
      </c>
      <c r="K44" s="539">
        <f t="shared" si="20"/>
        <v>0.5</v>
      </c>
      <c r="L44" s="539">
        <f t="shared" si="20"/>
        <v>0.3</v>
      </c>
      <c r="M44" s="539">
        <f t="shared" si="20"/>
        <v>0</v>
      </c>
      <c r="N44" s="539">
        <f t="shared" si="20"/>
        <v>0</v>
      </c>
      <c r="O44" s="539">
        <f t="shared" si="20"/>
        <v>0</v>
      </c>
      <c r="P44" s="538"/>
      <c r="R44" s="205"/>
    </row>
    <row r="45" spans="1:18" s="100" customFormat="1" ht="12.75">
      <c r="A45" s="735"/>
      <c r="B45" s="738"/>
      <c r="C45" s="741"/>
      <c r="D45" s="540"/>
      <c r="E45" s="540"/>
      <c r="F45" s="540"/>
      <c r="G45" s="540"/>
      <c r="H45" s="540"/>
      <c r="I45" s="540"/>
      <c r="J45" s="540">
        <v>0.2</v>
      </c>
      <c r="K45" s="540">
        <v>0.5</v>
      </c>
      <c r="L45" s="540">
        <v>0.3</v>
      </c>
      <c r="M45" s="540"/>
      <c r="N45" s="540"/>
      <c r="O45" s="540"/>
      <c r="P45" s="541">
        <f>C43</f>
        <v>0.23498948576776246</v>
      </c>
      <c r="R45" s="205">
        <f t="shared" si="4"/>
        <v>1</v>
      </c>
    </row>
    <row r="46" spans="1:18" s="100" customFormat="1" ht="12.75">
      <c r="A46" s="748" t="s">
        <v>590</v>
      </c>
      <c r="B46" s="736">
        <f>UNID_ADMINISTRATIVA!$J$188</f>
        <v>1279.1999999999998</v>
      </c>
      <c r="C46" s="739">
        <f>B46/B58</f>
        <v>2.485702792095543E-3</v>
      </c>
      <c r="D46" s="537">
        <f t="shared" ref="D46:O46" si="21">$B46*D48</f>
        <v>0</v>
      </c>
      <c r="E46" s="537">
        <f t="shared" si="21"/>
        <v>0</v>
      </c>
      <c r="F46" s="537">
        <f t="shared" si="21"/>
        <v>0</v>
      </c>
      <c r="G46" s="537">
        <f t="shared" si="21"/>
        <v>0</v>
      </c>
      <c r="H46" s="537">
        <f t="shared" si="21"/>
        <v>0</v>
      </c>
      <c r="I46" s="537">
        <f t="shared" si="21"/>
        <v>0</v>
      </c>
      <c r="J46" s="537">
        <f t="shared" si="21"/>
        <v>0</v>
      </c>
      <c r="K46" s="537">
        <f t="shared" si="21"/>
        <v>1279.1999999999998</v>
      </c>
      <c r="L46" s="537">
        <f t="shared" si="21"/>
        <v>0</v>
      </c>
      <c r="M46" s="537">
        <f t="shared" si="21"/>
        <v>0</v>
      </c>
      <c r="N46" s="537">
        <f t="shared" si="21"/>
        <v>0</v>
      </c>
      <c r="O46" s="537">
        <f t="shared" si="21"/>
        <v>0</v>
      </c>
      <c r="P46" s="538">
        <f>SUM(D46:O46)</f>
        <v>1279.1999999999998</v>
      </c>
      <c r="R46" s="205"/>
    </row>
    <row r="47" spans="1:18" s="100" customFormat="1" ht="5.0999999999999996" customHeight="1">
      <c r="A47" s="749"/>
      <c r="B47" s="737"/>
      <c r="C47" s="740"/>
      <c r="D47" s="539">
        <f>+D48</f>
        <v>0</v>
      </c>
      <c r="E47" s="539">
        <f t="shared" ref="E47:O47" si="22">+E48</f>
        <v>0</v>
      </c>
      <c r="F47" s="539">
        <f t="shared" si="22"/>
        <v>0</v>
      </c>
      <c r="G47" s="539">
        <f t="shared" si="22"/>
        <v>0</v>
      </c>
      <c r="H47" s="539">
        <f t="shared" si="22"/>
        <v>0</v>
      </c>
      <c r="I47" s="539">
        <f t="shared" si="22"/>
        <v>0</v>
      </c>
      <c r="J47" s="539">
        <f t="shared" si="22"/>
        <v>0</v>
      </c>
      <c r="K47" s="539">
        <f t="shared" si="22"/>
        <v>1</v>
      </c>
      <c r="L47" s="539">
        <f t="shared" si="22"/>
        <v>0</v>
      </c>
      <c r="M47" s="539">
        <f t="shared" si="22"/>
        <v>0</v>
      </c>
      <c r="N47" s="539">
        <f t="shared" si="22"/>
        <v>0</v>
      </c>
      <c r="O47" s="539">
        <f t="shared" si="22"/>
        <v>0</v>
      </c>
      <c r="P47" s="538"/>
      <c r="R47" s="205"/>
    </row>
    <row r="48" spans="1:18" s="100" customFormat="1" ht="12.75">
      <c r="A48" s="750"/>
      <c r="B48" s="738"/>
      <c r="C48" s="741"/>
      <c r="D48" s="540"/>
      <c r="E48" s="540"/>
      <c r="F48" s="540"/>
      <c r="G48" s="540"/>
      <c r="H48" s="540"/>
      <c r="I48" s="540"/>
      <c r="J48" s="540"/>
      <c r="K48" s="540">
        <v>1</v>
      </c>
      <c r="L48" s="540"/>
      <c r="M48" s="540"/>
      <c r="N48" s="540"/>
      <c r="O48" s="540"/>
      <c r="P48" s="541">
        <f>C46</f>
        <v>2.485702792095543E-3</v>
      </c>
      <c r="R48" s="205">
        <f t="shared" si="4"/>
        <v>1</v>
      </c>
    </row>
    <row r="49" spans="1:18" s="100" customFormat="1" ht="12.75">
      <c r="A49" s="733" t="s">
        <v>589</v>
      </c>
      <c r="B49" s="736">
        <f>UNID_ADMINISTRATIVA!$J$194</f>
        <v>10804.133324640001</v>
      </c>
      <c r="C49" s="739">
        <f>B49/B58</f>
        <v>2.0994265455933518E-2</v>
      </c>
      <c r="D49" s="537">
        <f t="shared" ref="D49:O49" si="23">$B49*D51</f>
        <v>0</v>
      </c>
      <c r="E49" s="537">
        <f t="shared" si="23"/>
        <v>0</v>
      </c>
      <c r="F49" s="537">
        <f t="shared" si="23"/>
        <v>0</v>
      </c>
      <c r="G49" s="537">
        <f t="shared" si="23"/>
        <v>0</v>
      </c>
      <c r="H49" s="537">
        <f t="shared" si="23"/>
        <v>0</v>
      </c>
      <c r="I49" s="537">
        <f t="shared" si="23"/>
        <v>0</v>
      </c>
      <c r="J49" s="537">
        <f t="shared" si="23"/>
        <v>0</v>
      </c>
      <c r="K49" s="537">
        <f t="shared" si="23"/>
        <v>0</v>
      </c>
      <c r="L49" s="537">
        <f t="shared" si="23"/>
        <v>5402.0666623200004</v>
      </c>
      <c r="M49" s="537">
        <f t="shared" si="23"/>
        <v>5402.0666623200004</v>
      </c>
      <c r="N49" s="537">
        <f t="shared" si="23"/>
        <v>0</v>
      </c>
      <c r="O49" s="537">
        <f t="shared" si="23"/>
        <v>0</v>
      </c>
      <c r="P49" s="538">
        <f>SUM(D49:O49)</f>
        <v>10804.133324640001</v>
      </c>
      <c r="R49" s="205"/>
    </row>
    <row r="50" spans="1:18" s="100" customFormat="1" ht="5.0999999999999996" customHeight="1">
      <c r="A50" s="734"/>
      <c r="B50" s="737"/>
      <c r="C50" s="740"/>
      <c r="D50" s="539">
        <f>+D51</f>
        <v>0</v>
      </c>
      <c r="E50" s="539">
        <f t="shared" ref="E50:O50" si="24">+E51</f>
        <v>0</v>
      </c>
      <c r="F50" s="539">
        <f t="shared" si="24"/>
        <v>0</v>
      </c>
      <c r="G50" s="539">
        <f t="shared" si="24"/>
        <v>0</v>
      </c>
      <c r="H50" s="539">
        <f t="shared" si="24"/>
        <v>0</v>
      </c>
      <c r="I50" s="539">
        <f t="shared" si="24"/>
        <v>0</v>
      </c>
      <c r="J50" s="539">
        <f t="shared" si="24"/>
        <v>0</v>
      </c>
      <c r="K50" s="539">
        <f t="shared" si="24"/>
        <v>0</v>
      </c>
      <c r="L50" s="539">
        <f t="shared" si="24"/>
        <v>0.5</v>
      </c>
      <c r="M50" s="539">
        <f t="shared" si="24"/>
        <v>0.5</v>
      </c>
      <c r="N50" s="539">
        <f t="shared" si="24"/>
        <v>0</v>
      </c>
      <c r="O50" s="539">
        <f t="shared" si="24"/>
        <v>0</v>
      </c>
      <c r="P50" s="538"/>
      <c r="R50" s="205"/>
    </row>
    <row r="51" spans="1:18" s="100" customFormat="1" ht="12.75">
      <c r="A51" s="735"/>
      <c r="B51" s="738"/>
      <c r="C51" s="741"/>
      <c r="D51" s="540"/>
      <c r="E51" s="540"/>
      <c r="F51" s="540"/>
      <c r="G51" s="540"/>
      <c r="H51" s="540"/>
      <c r="I51" s="540"/>
      <c r="J51" s="540"/>
      <c r="K51" s="540"/>
      <c r="L51" s="540">
        <v>0.5</v>
      </c>
      <c r="M51" s="540">
        <v>0.5</v>
      </c>
      <c r="N51" s="540"/>
      <c r="O51" s="540"/>
      <c r="P51" s="541">
        <f>C49</f>
        <v>2.0994265455933518E-2</v>
      </c>
      <c r="R51" s="205">
        <f t="shared" si="4"/>
        <v>1</v>
      </c>
    </row>
    <row r="52" spans="1:18" s="100" customFormat="1" ht="12.75">
      <c r="A52" s="733" t="s">
        <v>587</v>
      </c>
      <c r="B52" s="736">
        <f>UNID_ADMINISTRATIVA!$J$207</f>
        <v>91333.935908519998</v>
      </c>
      <c r="C52" s="739">
        <f>B52/B58</f>
        <v>0.17747734482558128</v>
      </c>
      <c r="D52" s="537">
        <f t="shared" ref="D52:O52" si="25">$B52*D54</f>
        <v>0</v>
      </c>
      <c r="E52" s="537">
        <f t="shared" si="25"/>
        <v>0</v>
      </c>
      <c r="F52" s="537">
        <f t="shared" si="25"/>
        <v>0</v>
      </c>
      <c r="G52" s="537">
        <f t="shared" si="25"/>
        <v>0</v>
      </c>
      <c r="H52" s="537">
        <f t="shared" si="25"/>
        <v>0</v>
      </c>
      <c r="I52" s="537">
        <f t="shared" si="25"/>
        <v>0</v>
      </c>
      <c r="J52" s="537">
        <f t="shared" si="25"/>
        <v>0</v>
      </c>
      <c r="K52" s="537">
        <f t="shared" si="25"/>
        <v>0</v>
      </c>
      <c r="L52" s="537">
        <f t="shared" si="25"/>
        <v>45666.967954259999</v>
      </c>
      <c r="M52" s="537">
        <f t="shared" si="25"/>
        <v>45666.967954259999</v>
      </c>
      <c r="N52" s="537">
        <f t="shared" si="25"/>
        <v>0</v>
      </c>
      <c r="O52" s="537">
        <f t="shared" si="25"/>
        <v>0</v>
      </c>
      <c r="P52" s="538">
        <f>SUM(D52:O52)</f>
        <v>91333.935908519998</v>
      </c>
      <c r="R52" s="205"/>
    </row>
    <row r="53" spans="1:18" s="100" customFormat="1" ht="5.0999999999999996" customHeight="1">
      <c r="A53" s="734"/>
      <c r="B53" s="737"/>
      <c r="C53" s="740"/>
      <c r="D53" s="539">
        <f>+D54</f>
        <v>0</v>
      </c>
      <c r="E53" s="539">
        <f t="shared" ref="E53:O53" si="26">+E54</f>
        <v>0</v>
      </c>
      <c r="F53" s="539">
        <f t="shared" si="26"/>
        <v>0</v>
      </c>
      <c r="G53" s="539">
        <f t="shared" si="26"/>
        <v>0</v>
      </c>
      <c r="H53" s="539">
        <f t="shared" si="26"/>
        <v>0</v>
      </c>
      <c r="I53" s="539">
        <f t="shared" si="26"/>
        <v>0</v>
      </c>
      <c r="J53" s="539">
        <f t="shared" si="26"/>
        <v>0</v>
      </c>
      <c r="K53" s="539">
        <f t="shared" si="26"/>
        <v>0</v>
      </c>
      <c r="L53" s="539">
        <f t="shared" si="26"/>
        <v>0.5</v>
      </c>
      <c r="M53" s="539">
        <f t="shared" si="26"/>
        <v>0.5</v>
      </c>
      <c r="N53" s="539">
        <f t="shared" si="26"/>
        <v>0</v>
      </c>
      <c r="O53" s="539">
        <f t="shared" si="26"/>
        <v>0</v>
      </c>
      <c r="P53" s="538"/>
      <c r="R53" s="205"/>
    </row>
    <row r="54" spans="1:18" s="100" customFormat="1" ht="12.75">
      <c r="A54" s="735"/>
      <c r="B54" s="738"/>
      <c r="C54" s="741"/>
      <c r="D54" s="540"/>
      <c r="E54" s="540"/>
      <c r="F54" s="540"/>
      <c r="G54" s="540"/>
      <c r="H54" s="540"/>
      <c r="I54" s="540"/>
      <c r="J54" s="540"/>
      <c r="K54" s="540"/>
      <c r="L54" s="540">
        <v>0.5</v>
      </c>
      <c r="M54" s="540">
        <v>0.5</v>
      </c>
      <c r="N54" s="540"/>
      <c r="O54" s="540"/>
      <c r="P54" s="541">
        <f>C52</f>
        <v>0.17747734482558128</v>
      </c>
      <c r="R54" s="205">
        <f t="shared" si="4"/>
        <v>1</v>
      </c>
    </row>
    <row r="55" spans="1:18" s="100" customFormat="1" ht="12.75">
      <c r="A55" s="748" t="s">
        <v>2</v>
      </c>
      <c r="B55" s="736">
        <f>UNID_ADMINISTRATIVA!$J$212</f>
        <v>14160.69708509</v>
      </c>
      <c r="C55" s="739">
        <f>B55/B58</f>
        <v>2.751663874486197E-2</v>
      </c>
      <c r="D55" s="537">
        <f t="shared" ref="D55:O55" si="27">$B55*D57</f>
        <v>0</v>
      </c>
      <c r="E55" s="537">
        <f t="shared" si="27"/>
        <v>0</v>
      </c>
      <c r="F55" s="537">
        <f t="shared" si="27"/>
        <v>0</v>
      </c>
      <c r="G55" s="537">
        <f t="shared" si="27"/>
        <v>0</v>
      </c>
      <c r="H55" s="537">
        <f t="shared" si="27"/>
        <v>0</v>
      </c>
      <c r="I55" s="537">
        <f t="shared" si="27"/>
        <v>0</v>
      </c>
      <c r="J55" s="537">
        <f t="shared" si="27"/>
        <v>0</v>
      </c>
      <c r="K55" s="537">
        <f t="shared" si="27"/>
        <v>0</v>
      </c>
      <c r="L55" s="537">
        <f t="shared" si="27"/>
        <v>9912.4879595629991</v>
      </c>
      <c r="M55" s="537">
        <f t="shared" si="27"/>
        <v>4248.2091255269997</v>
      </c>
      <c r="N55" s="537">
        <f t="shared" si="27"/>
        <v>0</v>
      </c>
      <c r="O55" s="537">
        <f t="shared" si="27"/>
        <v>0</v>
      </c>
      <c r="P55" s="538">
        <f>SUM(D55:O55)</f>
        <v>14160.69708509</v>
      </c>
      <c r="R55" s="205"/>
    </row>
    <row r="56" spans="1:18" s="100" customFormat="1" ht="5.0999999999999996" customHeight="1">
      <c r="A56" s="749"/>
      <c r="B56" s="737"/>
      <c r="C56" s="740"/>
      <c r="D56" s="539">
        <f>+D57</f>
        <v>0</v>
      </c>
      <c r="E56" s="539">
        <f t="shared" ref="E56:O56" si="28">+E57</f>
        <v>0</v>
      </c>
      <c r="F56" s="539">
        <f t="shared" si="28"/>
        <v>0</v>
      </c>
      <c r="G56" s="539">
        <f t="shared" si="28"/>
        <v>0</v>
      </c>
      <c r="H56" s="539">
        <f t="shared" si="28"/>
        <v>0</v>
      </c>
      <c r="I56" s="539">
        <f t="shared" si="28"/>
        <v>0</v>
      </c>
      <c r="J56" s="539">
        <f t="shared" si="28"/>
        <v>0</v>
      </c>
      <c r="K56" s="539">
        <f t="shared" si="28"/>
        <v>0</v>
      </c>
      <c r="L56" s="539">
        <f t="shared" si="28"/>
        <v>0.7</v>
      </c>
      <c r="M56" s="539">
        <f t="shared" si="28"/>
        <v>0.3</v>
      </c>
      <c r="N56" s="539">
        <f t="shared" si="28"/>
        <v>0</v>
      </c>
      <c r="O56" s="539">
        <f t="shared" si="28"/>
        <v>0</v>
      </c>
      <c r="P56" s="538"/>
      <c r="R56" s="205"/>
    </row>
    <row r="57" spans="1:18" s="100" customFormat="1" ht="12.75">
      <c r="A57" s="750"/>
      <c r="B57" s="738"/>
      <c r="C57" s="741"/>
      <c r="D57" s="540"/>
      <c r="E57" s="540"/>
      <c r="F57" s="540"/>
      <c r="G57" s="540"/>
      <c r="H57" s="540"/>
      <c r="I57" s="540"/>
      <c r="J57" s="540"/>
      <c r="K57" s="540"/>
      <c r="L57" s="540">
        <v>0.7</v>
      </c>
      <c r="M57" s="540">
        <v>0.3</v>
      </c>
      <c r="N57" s="540"/>
      <c r="O57" s="540"/>
      <c r="P57" s="541">
        <f>C55</f>
        <v>2.751663874486197E-2</v>
      </c>
      <c r="R57" s="205">
        <f t="shared" si="4"/>
        <v>1</v>
      </c>
    </row>
    <row r="58" spans="1:18" s="100" customFormat="1" ht="12.75">
      <c r="A58" s="751" t="s">
        <v>7098</v>
      </c>
      <c r="B58" s="206">
        <f>SUM(B16:B57)</f>
        <v>514623.06920514221</v>
      </c>
      <c r="C58" s="542">
        <f>SUM(C16:C57)</f>
        <v>1.0000000000000002</v>
      </c>
      <c r="D58" s="543">
        <f t="shared" ref="D58:O58" si="29">(D16+D19+D22+D25+D28+D31+D34+D37+D40+D43+D46+D49+D52+D55)</f>
        <v>2944.6811580049998</v>
      </c>
      <c r="E58" s="543">
        <f t="shared" si="29"/>
        <v>22922.459338903602</v>
      </c>
      <c r="F58" s="543">
        <f t="shared" si="29"/>
        <v>27237.896703278602</v>
      </c>
      <c r="G58" s="543">
        <f t="shared" si="29"/>
        <v>8264.6512355999985</v>
      </c>
      <c r="H58" s="543">
        <f t="shared" si="29"/>
        <v>35720.78462753044</v>
      </c>
      <c r="I58" s="543">
        <f t="shared" si="29"/>
        <v>84717.396104887637</v>
      </c>
      <c r="J58" s="543">
        <f t="shared" si="29"/>
        <v>83307.637918306005</v>
      </c>
      <c r="K58" s="543">
        <f t="shared" si="29"/>
        <v>96929.492681357733</v>
      </c>
      <c r="L58" s="543">
        <f t="shared" si="29"/>
        <v>97260.825695166204</v>
      </c>
      <c r="M58" s="543">
        <f t="shared" si="29"/>
        <v>55317.243742106999</v>
      </c>
      <c r="N58" s="543">
        <f t="shared" si="29"/>
        <v>0</v>
      </c>
      <c r="O58" s="543">
        <f t="shared" si="29"/>
        <v>0</v>
      </c>
      <c r="P58" s="544">
        <f>SUM(D58:O58)</f>
        <v>514623.06920514221</v>
      </c>
      <c r="R58" s="205"/>
    </row>
    <row r="59" spans="1:18" s="100" customFormat="1" ht="12.75">
      <c r="A59" s="752"/>
      <c r="B59" s="207"/>
      <c r="C59" s="581"/>
      <c r="D59" s="582">
        <f t="shared" ref="D59:O59" si="30">D58/$B$58</f>
        <v>5.7220154598844322E-3</v>
      </c>
      <c r="E59" s="582">
        <f t="shared" si="30"/>
        <v>4.4542230441220486E-2</v>
      </c>
      <c r="F59" s="582">
        <f t="shared" si="30"/>
        <v>5.292785794727143E-2</v>
      </c>
      <c r="G59" s="582">
        <f t="shared" si="30"/>
        <v>1.6059620584761413E-2</v>
      </c>
      <c r="H59" s="582">
        <f t="shared" si="30"/>
        <v>6.9411549471932441E-2</v>
      </c>
      <c r="I59" s="582">
        <f t="shared" si="30"/>
        <v>0.16462028458175682</v>
      </c>
      <c r="J59" s="582">
        <f t="shared" si="30"/>
        <v>0.16188088506599266</v>
      </c>
      <c r="K59" s="582">
        <f t="shared" si="30"/>
        <v>0.18835046169047487</v>
      </c>
      <c r="L59" s="582">
        <f t="shared" si="30"/>
        <v>0.18899429799248951</v>
      </c>
      <c r="M59" s="582">
        <f t="shared" si="30"/>
        <v>0.10749079676421598</v>
      </c>
      <c r="N59" s="582">
        <f t="shared" si="30"/>
        <v>0</v>
      </c>
      <c r="O59" s="582">
        <f t="shared" si="30"/>
        <v>0</v>
      </c>
      <c r="P59" s="583">
        <f>SUM(D59:O59)</f>
        <v>1</v>
      </c>
      <c r="R59" s="205">
        <f t="shared" si="4"/>
        <v>1</v>
      </c>
    </row>
    <row r="60" spans="1:18" s="61" customFormat="1" ht="36" customHeight="1">
      <c r="R60" s="580"/>
    </row>
    <row r="61" spans="1:18" s="100" customFormat="1" ht="12.75">
      <c r="A61" s="753" t="s">
        <v>7037</v>
      </c>
      <c r="B61" s="730"/>
      <c r="C61" s="754"/>
      <c r="D61" s="754"/>
      <c r="E61" s="754"/>
      <c r="F61" s="754"/>
      <c r="G61" s="754"/>
      <c r="H61" s="754"/>
      <c r="I61" s="754"/>
      <c r="J61" s="754"/>
      <c r="K61" s="754"/>
      <c r="L61" s="754"/>
      <c r="M61" s="754"/>
      <c r="N61" s="754"/>
      <c r="O61" s="755"/>
      <c r="P61" s="579"/>
      <c r="R61" s="205"/>
    </row>
    <row r="62" spans="1:18" s="100" customFormat="1" ht="12.75">
      <c r="A62" s="733" t="s">
        <v>611</v>
      </c>
      <c r="B62" s="756">
        <f>VISITA_ÍNTIMA!$J$15</f>
        <v>96.584766880000004</v>
      </c>
      <c r="C62" s="739">
        <f>B62/B110</f>
        <v>1.4445026207920756E-3</v>
      </c>
      <c r="D62" s="536">
        <f>$B62*D64</f>
        <v>12.07309586</v>
      </c>
      <c r="E62" s="537">
        <f t="shared" ref="E62:O62" si="31">$B62*E64</f>
        <v>12.07309586</v>
      </c>
      <c r="F62" s="537">
        <f t="shared" si="31"/>
        <v>12.07309586</v>
      </c>
      <c r="G62" s="537">
        <f t="shared" si="31"/>
        <v>12.07309586</v>
      </c>
      <c r="H62" s="537">
        <f t="shared" si="31"/>
        <v>12.07309586</v>
      </c>
      <c r="I62" s="537">
        <f t="shared" si="31"/>
        <v>12.07309586</v>
      </c>
      <c r="J62" s="537">
        <f t="shared" si="31"/>
        <v>12.07309586</v>
      </c>
      <c r="K62" s="537">
        <f t="shared" si="31"/>
        <v>12.07309586</v>
      </c>
      <c r="L62" s="537">
        <f t="shared" si="31"/>
        <v>0</v>
      </c>
      <c r="M62" s="537">
        <f t="shared" si="31"/>
        <v>0</v>
      </c>
      <c r="N62" s="537">
        <f t="shared" si="31"/>
        <v>0</v>
      </c>
      <c r="O62" s="537">
        <f t="shared" si="31"/>
        <v>0</v>
      </c>
      <c r="P62" s="538">
        <f>SUM(D62:O62)</f>
        <v>96.584766879999989</v>
      </c>
      <c r="R62" s="205"/>
    </row>
    <row r="63" spans="1:18" s="100" customFormat="1" ht="5.0999999999999996" customHeight="1">
      <c r="A63" s="743"/>
      <c r="B63" s="757"/>
      <c r="C63" s="740"/>
      <c r="D63" s="539">
        <f>+D64</f>
        <v>0.125</v>
      </c>
      <c r="E63" s="539">
        <f t="shared" ref="E63:O63" si="32">+E64</f>
        <v>0.125</v>
      </c>
      <c r="F63" s="539">
        <f t="shared" si="32"/>
        <v>0.125</v>
      </c>
      <c r="G63" s="539">
        <f t="shared" si="32"/>
        <v>0.125</v>
      </c>
      <c r="H63" s="539">
        <f t="shared" si="32"/>
        <v>0.125</v>
      </c>
      <c r="I63" s="539">
        <f t="shared" si="32"/>
        <v>0.125</v>
      </c>
      <c r="J63" s="539">
        <f t="shared" si="32"/>
        <v>0.125</v>
      </c>
      <c r="K63" s="539">
        <f t="shared" si="32"/>
        <v>0.125</v>
      </c>
      <c r="L63" s="539">
        <f t="shared" si="32"/>
        <v>0</v>
      </c>
      <c r="M63" s="539">
        <f t="shared" si="32"/>
        <v>0</v>
      </c>
      <c r="N63" s="539">
        <f t="shared" si="32"/>
        <v>0</v>
      </c>
      <c r="O63" s="539">
        <f t="shared" si="32"/>
        <v>0</v>
      </c>
      <c r="P63" s="538"/>
      <c r="R63" s="205"/>
    </row>
    <row r="64" spans="1:18" s="100" customFormat="1" ht="12.75">
      <c r="A64" s="744"/>
      <c r="B64" s="758"/>
      <c r="C64" s="741"/>
      <c r="D64" s="540">
        <v>0.125</v>
      </c>
      <c r="E64" s="540">
        <v>0.125</v>
      </c>
      <c r="F64" s="540">
        <v>0.125</v>
      </c>
      <c r="G64" s="540">
        <v>0.125</v>
      </c>
      <c r="H64" s="540">
        <v>0.125</v>
      </c>
      <c r="I64" s="540">
        <v>0.125</v>
      </c>
      <c r="J64" s="540">
        <v>0.125</v>
      </c>
      <c r="K64" s="540">
        <v>0.125</v>
      </c>
      <c r="L64" s="540"/>
      <c r="M64" s="540"/>
      <c r="N64" s="540"/>
      <c r="O64" s="540"/>
      <c r="P64" s="541">
        <f>C62</f>
        <v>1.4445026207920756E-3</v>
      </c>
      <c r="R64" s="205">
        <f t="shared" si="4"/>
        <v>1</v>
      </c>
    </row>
    <row r="65" spans="1:18" s="100" customFormat="1" ht="12.75">
      <c r="A65" s="748" t="s">
        <v>609</v>
      </c>
      <c r="B65" s="756">
        <f>VISITA_ÍNTIMA!$J$20</f>
        <v>795.16471883999998</v>
      </c>
      <c r="C65" s="739">
        <f>B65/B110</f>
        <v>1.1892325854581737E-2</v>
      </c>
      <c r="D65" s="537">
        <f t="shared" ref="D65:O65" si="33">$B65*D67</f>
        <v>795.16471883999998</v>
      </c>
      <c r="E65" s="537">
        <f t="shared" si="33"/>
        <v>0</v>
      </c>
      <c r="F65" s="537">
        <f t="shared" si="33"/>
        <v>0</v>
      </c>
      <c r="G65" s="537">
        <f t="shared" si="33"/>
        <v>0</v>
      </c>
      <c r="H65" s="537">
        <f t="shared" si="33"/>
        <v>0</v>
      </c>
      <c r="I65" s="537">
        <f t="shared" si="33"/>
        <v>0</v>
      </c>
      <c r="J65" s="537">
        <f t="shared" si="33"/>
        <v>0</v>
      </c>
      <c r="K65" s="537">
        <f t="shared" si="33"/>
        <v>0</v>
      </c>
      <c r="L65" s="537">
        <f t="shared" si="33"/>
        <v>0</v>
      </c>
      <c r="M65" s="537">
        <f t="shared" si="33"/>
        <v>0</v>
      </c>
      <c r="N65" s="537">
        <f t="shared" si="33"/>
        <v>0</v>
      </c>
      <c r="O65" s="537">
        <f t="shared" si="33"/>
        <v>0</v>
      </c>
      <c r="P65" s="538">
        <f>SUM(D65:O65)</f>
        <v>795.16471883999998</v>
      </c>
      <c r="R65" s="205"/>
    </row>
    <row r="66" spans="1:18" s="100" customFormat="1" ht="5.0999999999999996" customHeight="1">
      <c r="A66" s="746"/>
      <c r="B66" s="757"/>
      <c r="C66" s="740"/>
      <c r="D66" s="539">
        <f>+D67</f>
        <v>1</v>
      </c>
      <c r="E66" s="539">
        <f t="shared" ref="E66:O66" si="34">+E67</f>
        <v>0</v>
      </c>
      <c r="F66" s="539">
        <f t="shared" si="34"/>
        <v>0</v>
      </c>
      <c r="G66" s="539">
        <f t="shared" si="34"/>
        <v>0</v>
      </c>
      <c r="H66" s="539">
        <f t="shared" si="34"/>
        <v>0</v>
      </c>
      <c r="I66" s="539">
        <f t="shared" si="34"/>
        <v>0</v>
      </c>
      <c r="J66" s="539">
        <f t="shared" si="34"/>
        <v>0</v>
      </c>
      <c r="K66" s="539">
        <f t="shared" si="34"/>
        <v>0</v>
      </c>
      <c r="L66" s="539">
        <f t="shared" si="34"/>
        <v>0</v>
      </c>
      <c r="M66" s="539">
        <f t="shared" si="34"/>
        <v>0</v>
      </c>
      <c r="N66" s="539">
        <f t="shared" si="34"/>
        <v>0</v>
      </c>
      <c r="O66" s="539">
        <f t="shared" si="34"/>
        <v>0</v>
      </c>
      <c r="P66" s="538"/>
      <c r="R66" s="205"/>
    </row>
    <row r="67" spans="1:18" s="100" customFormat="1" ht="12.75">
      <c r="A67" s="747"/>
      <c r="B67" s="758"/>
      <c r="C67" s="741"/>
      <c r="D67" s="540">
        <v>1</v>
      </c>
      <c r="E67" s="540"/>
      <c r="F67" s="540"/>
      <c r="G67" s="540"/>
      <c r="H67" s="540"/>
      <c r="I67" s="540"/>
      <c r="J67" s="540"/>
      <c r="K67" s="540"/>
      <c r="L67" s="540"/>
      <c r="M67" s="540"/>
      <c r="N67" s="540"/>
      <c r="O67" s="540"/>
      <c r="P67" s="541">
        <f>C65</f>
        <v>1.1892325854581737E-2</v>
      </c>
      <c r="R67" s="205">
        <f t="shared" si="4"/>
        <v>1</v>
      </c>
    </row>
    <row r="68" spans="1:18" s="100" customFormat="1" ht="12.75">
      <c r="A68" s="733" t="s">
        <v>607</v>
      </c>
      <c r="B68" s="756">
        <f>VISITA_ÍNTIMA!$J$27</f>
        <v>1988.7801062809917</v>
      </c>
      <c r="C68" s="739">
        <f>B68/B110</f>
        <v>2.9743800896380391E-2</v>
      </c>
      <c r="D68" s="537">
        <f t="shared" ref="D68:O68" si="35">$B68*D70</f>
        <v>397.75602125619838</v>
      </c>
      <c r="E68" s="537">
        <f t="shared" si="35"/>
        <v>1591.0240850247935</v>
      </c>
      <c r="F68" s="537">
        <f t="shared" si="35"/>
        <v>0</v>
      </c>
      <c r="G68" s="537">
        <f t="shared" si="35"/>
        <v>0</v>
      </c>
      <c r="H68" s="537">
        <f t="shared" si="35"/>
        <v>0</v>
      </c>
      <c r="I68" s="537">
        <f t="shared" si="35"/>
        <v>0</v>
      </c>
      <c r="J68" s="537">
        <f t="shared" si="35"/>
        <v>0</v>
      </c>
      <c r="K68" s="537">
        <f t="shared" si="35"/>
        <v>0</v>
      </c>
      <c r="L68" s="537">
        <f t="shared" si="35"/>
        <v>0</v>
      </c>
      <c r="M68" s="537">
        <f t="shared" si="35"/>
        <v>0</v>
      </c>
      <c r="N68" s="537">
        <f t="shared" si="35"/>
        <v>0</v>
      </c>
      <c r="O68" s="537">
        <f t="shared" si="35"/>
        <v>0</v>
      </c>
      <c r="P68" s="538">
        <f>SUM(D68:O68)</f>
        <v>1988.780106280992</v>
      </c>
      <c r="R68" s="205"/>
    </row>
    <row r="69" spans="1:18" s="100" customFormat="1" ht="5.0999999999999996" customHeight="1">
      <c r="A69" s="734"/>
      <c r="B69" s="757"/>
      <c r="C69" s="740"/>
      <c r="D69" s="539">
        <f>+D70</f>
        <v>0.2</v>
      </c>
      <c r="E69" s="539">
        <f t="shared" ref="E69:O69" si="36">+E70</f>
        <v>0.8</v>
      </c>
      <c r="F69" s="539">
        <f t="shared" si="36"/>
        <v>0</v>
      </c>
      <c r="G69" s="539">
        <f t="shared" si="36"/>
        <v>0</v>
      </c>
      <c r="H69" s="539">
        <f t="shared" si="36"/>
        <v>0</v>
      </c>
      <c r="I69" s="539">
        <f t="shared" si="36"/>
        <v>0</v>
      </c>
      <c r="J69" s="539">
        <f t="shared" si="36"/>
        <v>0</v>
      </c>
      <c r="K69" s="539">
        <f t="shared" si="36"/>
        <v>0</v>
      </c>
      <c r="L69" s="539">
        <f t="shared" si="36"/>
        <v>0</v>
      </c>
      <c r="M69" s="539">
        <f t="shared" si="36"/>
        <v>0</v>
      </c>
      <c r="N69" s="539">
        <f t="shared" si="36"/>
        <v>0</v>
      </c>
      <c r="O69" s="539">
        <f t="shared" si="36"/>
        <v>0</v>
      </c>
      <c r="P69" s="538"/>
      <c r="R69" s="205"/>
    </row>
    <row r="70" spans="1:18" s="100" customFormat="1" ht="12.75">
      <c r="A70" s="735"/>
      <c r="B70" s="758"/>
      <c r="C70" s="741"/>
      <c r="D70" s="540">
        <v>0.2</v>
      </c>
      <c r="E70" s="540">
        <v>0.8</v>
      </c>
      <c r="F70" s="540"/>
      <c r="G70" s="540"/>
      <c r="H70" s="540"/>
      <c r="I70" s="540"/>
      <c r="J70" s="540"/>
      <c r="K70" s="540"/>
      <c r="L70" s="540"/>
      <c r="M70" s="540"/>
      <c r="N70" s="540"/>
      <c r="O70" s="540"/>
      <c r="P70" s="541">
        <f>C68</f>
        <v>2.9743800896380391E-2</v>
      </c>
      <c r="R70" s="205">
        <f t="shared" si="4"/>
        <v>1</v>
      </c>
    </row>
    <row r="71" spans="1:18" s="100" customFormat="1" ht="12.75">
      <c r="A71" s="733" t="s">
        <v>605</v>
      </c>
      <c r="B71" s="756">
        <f>VISITA_ÍNTIMA!$J$43</f>
        <v>3079.9189999999999</v>
      </c>
      <c r="C71" s="739">
        <f>B71/B110</f>
        <v>4.6062657819061957E-2</v>
      </c>
      <c r="D71" s="537">
        <f t="shared" ref="D71:O71" si="37">$B71*D73</f>
        <v>0</v>
      </c>
      <c r="E71" s="537">
        <f t="shared" si="37"/>
        <v>0</v>
      </c>
      <c r="F71" s="537">
        <f t="shared" si="37"/>
        <v>923.97569999999996</v>
      </c>
      <c r="G71" s="537">
        <f t="shared" si="37"/>
        <v>0</v>
      </c>
      <c r="H71" s="537">
        <f t="shared" si="37"/>
        <v>923.97569999999996</v>
      </c>
      <c r="I71" s="537">
        <f t="shared" si="37"/>
        <v>1231.9675999999999</v>
      </c>
      <c r="J71" s="537">
        <f t="shared" si="37"/>
        <v>0</v>
      </c>
      <c r="K71" s="537">
        <f t="shared" si="37"/>
        <v>0</v>
      </c>
      <c r="L71" s="537">
        <f t="shared" si="37"/>
        <v>0</v>
      </c>
      <c r="M71" s="537">
        <f t="shared" si="37"/>
        <v>0</v>
      </c>
      <c r="N71" s="537">
        <f t="shared" si="37"/>
        <v>0</v>
      </c>
      <c r="O71" s="537">
        <f t="shared" si="37"/>
        <v>0</v>
      </c>
      <c r="P71" s="538">
        <f>SUM(D71:O71)</f>
        <v>3079.9189999999999</v>
      </c>
      <c r="R71" s="205"/>
    </row>
    <row r="72" spans="1:18" s="100" customFormat="1" ht="5.0999999999999996" customHeight="1">
      <c r="A72" s="734"/>
      <c r="B72" s="757"/>
      <c r="C72" s="740"/>
      <c r="D72" s="539">
        <f>+D73</f>
        <v>0</v>
      </c>
      <c r="E72" s="539">
        <f t="shared" ref="E72:O72" si="38">+E73</f>
        <v>0</v>
      </c>
      <c r="F72" s="539">
        <f t="shared" si="38"/>
        <v>0.3</v>
      </c>
      <c r="G72" s="539">
        <f t="shared" si="38"/>
        <v>0</v>
      </c>
      <c r="H72" s="539">
        <f t="shared" si="38"/>
        <v>0.3</v>
      </c>
      <c r="I72" s="539">
        <f t="shared" si="38"/>
        <v>0.4</v>
      </c>
      <c r="J72" s="539">
        <f t="shared" si="38"/>
        <v>0</v>
      </c>
      <c r="K72" s="539">
        <f t="shared" si="38"/>
        <v>0</v>
      </c>
      <c r="L72" s="539">
        <f t="shared" si="38"/>
        <v>0</v>
      </c>
      <c r="M72" s="539">
        <f t="shared" si="38"/>
        <v>0</v>
      </c>
      <c r="N72" s="539">
        <f t="shared" si="38"/>
        <v>0</v>
      </c>
      <c r="O72" s="539">
        <f t="shared" si="38"/>
        <v>0</v>
      </c>
      <c r="P72" s="538"/>
      <c r="R72" s="205"/>
    </row>
    <row r="73" spans="1:18" s="100" customFormat="1" ht="12.75">
      <c r="A73" s="735"/>
      <c r="B73" s="758"/>
      <c r="C73" s="741"/>
      <c r="D73" s="540"/>
      <c r="E73" s="540"/>
      <c r="F73" s="540">
        <v>0.3</v>
      </c>
      <c r="G73" s="540"/>
      <c r="H73" s="540">
        <v>0.3</v>
      </c>
      <c r="I73" s="540">
        <v>0.4</v>
      </c>
      <c r="J73" s="540"/>
      <c r="K73" s="540"/>
      <c r="L73" s="540"/>
      <c r="M73" s="540"/>
      <c r="N73" s="540"/>
      <c r="O73" s="540"/>
      <c r="P73" s="541">
        <f>C71</f>
        <v>4.6062657819061957E-2</v>
      </c>
      <c r="R73" s="205">
        <f t="shared" si="4"/>
        <v>1</v>
      </c>
    </row>
    <row r="74" spans="1:18" s="100" customFormat="1" ht="12.75">
      <c r="A74" s="733" t="s">
        <v>604</v>
      </c>
      <c r="B74" s="756">
        <f>VISITA_ÍNTIMA!$J$94</f>
        <v>4411.4098000000013</v>
      </c>
      <c r="C74" s="739">
        <f>B74/B110</f>
        <v>6.5976170190533132E-2</v>
      </c>
      <c r="D74" s="537">
        <f t="shared" ref="D74:O74" si="39">$B74*D76</f>
        <v>0</v>
      </c>
      <c r="E74" s="537">
        <f t="shared" si="39"/>
        <v>0</v>
      </c>
      <c r="F74" s="537">
        <f t="shared" si="39"/>
        <v>1323.4229400000004</v>
      </c>
      <c r="G74" s="537">
        <f t="shared" si="39"/>
        <v>0</v>
      </c>
      <c r="H74" s="537">
        <f t="shared" si="39"/>
        <v>1323.4229400000004</v>
      </c>
      <c r="I74" s="537">
        <f t="shared" si="39"/>
        <v>1764.5639200000005</v>
      </c>
      <c r="J74" s="537">
        <f t="shared" si="39"/>
        <v>0</v>
      </c>
      <c r="K74" s="537">
        <f t="shared" si="39"/>
        <v>0</v>
      </c>
      <c r="L74" s="537">
        <f t="shared" si="39"/>
        <v>0</v>
      </c>
      <c r="M74" s="537">
        <f t="shared" si="39"/>
        <v>0</v>
      </c>
      <c r="N74" s="537">
        <f t="shared" si="39"/>
        <v>0</v>
      </c>
      <c r="O74" s="537">
        <f t="shared" si="39"/>
        <v>0</v>
      </c>
      <c r="P74" s="538">
        <f>SUM(D74:O74)</f>
        <v>4411.4098000000013</v>
      </c>
      <c r="R74" s="205"/>
    </row>
    <row r="75" spans="1:18" s="100" customFormat="1" ht="5.0999999999999996" customHeight="1">
      <c r="A75" s="734"/>
      <c r="B75" s="757"/>
      <c r="C75" s="740"/>
      <c r="D75" s="539">
        <f>+D76</f>
        <v>0</v>
      </c>
      <c r="E75" s="539">
        <f t="shared" ref="E75:O75" si="40">+E76</f>
        <v>0</v>
      </c>
      <c r="F75" s="539">
        <f t="shared" si="40"/>
        <v>0.3</v>
      </c>
      <c r="G75" s="539">
        <f t="shared" si="40"/>
        <v>0</v>
      </c>
      <c r="H75" s="539">
        <f t="shared" si="40"/>
        <v>0.3</v>
      </c>
      <c r="I75" s="539">
        <f t="shared" si="40"/>
        <v>0.4</v>
      </c>
      <c r="J75" s="539">
        <f t="shared" si="40"/>
        <v>0</v>
      </c>
      <c r="K75" s="539">
        <f t="shared" si="40"/>
        <v>0</v>
      </c>
      <c r="L75" s="539">
        <f t="shared" si="40"/>
        <v>0</v>
      </c>
      <c r="M75" s="539">
        <f t="shared" si="40"/>
        <v>0</v>
      </c>
      <c r="N75" s="539">
        <f t="shared" si="40"/>
        <v>0</v>
      </c>
      <c r="O75" s="539">
        <f t="shared" si="40"/>
        <v>0</v>
      </c>
      <c r="P75" s="538"/>
      <c r="R75" s="205"/>
    </row>
    <row r="76" spans="1:18" s="100" customFormat="1" ht="12.75">
      <c r="A76" s="735"/>
      <c r="B76" s="758"/>
      <c r="C76" s="741"/>
      <c r="D76" s="540"/>
      <c r="E76" s="540"/>
      <c r="F76" s="540">
        <v>0.3</v>
      </c>
      <c r="G76" s="540"/>
      <c r="H76" s="540">
        <v>0.3</v>
      </c>
      <c r="I76" s="540">
        <v>0.4</v>
      </c>
      <c r="J76" s="540"/>
      <c r="K76" s="540"/>
      <c r="L76" s="540"/>
      <c r="M76" s="540"/>
      <c r="N76" s="540"/>
      <c r="O76" s="540"/>
      <c r="P76" s="541">
        <f>C74</f>
        <v>6.5976170190533132E-2</v>
      </c>
      <c r="R76" s="205">
        <f t="shared" si="4"/>
        <v>1</v>
      </c>
    </row>
    <row r="77" spans="1:18" s="100" customFormat="1" ht="12.75">
      <c r="A77" s="733" t="s">
        <v>602</v>
      </c>
      <c r="B77" s="756">
        <f>VISITA_ÍNTIMA!$J$98</f>
        <v>3053.5451000000003</v>
      </c>
      <c r="C77" s="739">
        <f>B77/B110</f>
        <v>4.5668215000580645E-2</v>
      </c>
      <c r="D77" s="537">
        <f t="shared" ref="D77:O77" si="41">$B77*D79</f>
        <v>0</v>
      </c>
      <c r="E77" s="537">
        <f t="shared" si="41"/>
        <v>0</v>
      </c>
      <c r="F77" s="537">
        <f t="shared" si="41"/>
        <v>3053.5451000000003</v>
      </c>
      <c r="G77" s="537">
        <f t="shared" si="41"/>
        <v>0</v>
      </c>
      <c r="H77" s="537">
        <f t="shared" si="41"/>
        <v>0</v>
      </c>
      <c r="I77" s="537">
        <f t="shared" si="41"/>
        <v>0</v>
      </c>
      <c r="J77" s="537">
        <f t="shared" si="41"/>
        <v>0</v>
      </c>
      <c r="K77" s="537">
        <f t="shared" si="41"/>
        <v>0</v>
      </c>
      <c r="L77" s="537">
        <f t="shared" si="41"/>
        <v>0</v>
      </c>
      <c r="M77" s="537">
        <f t="shared" si="41"/>
        <v>0</v>
      </c>
      <c r="N77" s="537">
        <f t="shared" si="41"/>
        <v>0</v>
      </c>
      <c r="O77" s="537">
        <f t="shared" si="41"/>
        <v>0</v>
      </c>
      <c r="P77" s="538">
        <f>SUM(D77:O77)</f>
        <v>3053.5451000000003</v>
      </c>
      <c r="R77" s="205"/>
    </row>
    <row r="78" spans="1:18" s="100" customFormat="1" ht="5.0999999999999996" customHeight="1">
      <c r="A78" s="734"/>
      <c r="B78" s="757"/>
      <c r="C78" s="740"/>
      <c r="D78" s="539">
        <f>+D79</f>
        <v>0</v>
      </c>
      <c r="E78" s="539">
        <f t="shared" ref="E78:O78" si="42">+E79</f>
        <v>0</v>
      </c>
      <c r="F78" s="539">
        <f t="shared" si="42"/>
        <v>1</v>
      </c>
      <c r="G78" s="539">
        <f t="shared" si="42"/>
        <v>0</v>
      </c>
      <c r="H78" s="539">
        <f t="shared" si="42"/>
        <v>0</v>
      </c>
      <c r="I78" s="539">
        <f t="shared" si="42"/>
        <v>0</v>
      </c>
      <c r="J78" s="539">
        <f t="shared" si="42"/>
        <v>0</v>
      </c>
      <c r="K78" s="539">
        <f t="shared" si="42"/>
        <v>0</v>
      </c>
      <c r="L78" s="539">
        <f t="shared" si="42"/>
        <v>0</v>
      </c>
      <c r="M78" s="539">
        <f t="shared" si="42"/>
        <v>0</v>
      </c>
      <c r="N78" s="539">
        <f t="shared" si="42"/>
        <v>0</v>
      </c>
      <c r="O78" s="539">
        <f t="shared" si="42"/>
        <v>0</v>
      </c>
      <c r="P78" s="538"/>
      <c r="R78" s="205"/>
    </row>
    <row r="79" spans="1:18" s="100" customFormat="1" ht="12.75">
      <c r="A79" s="735"/>
      <c r="B79" s="758"/>
      <c r="C79" s="741"/>
      <c r="D79" s="540"/>
      <c r="E79" s="540"/>
      <c r="F79" s="540">
        <v>1</v>
      </c>
      <c r="G79" s="540"/>
      <c r="H79" s="540"/>
      <c r="I79" s="540"/>
      <c r="J79" s="540"/>
      <c r="K79" s="540"/>
      <c r="L79" s="540"/>
      <c r="M79" s="540"/>
      <c r="N79" s="540"/>
      <c r="O79" s="540"/>
      <c r="P79" s="541">
        <f>C77</f>
        <v>4.5668215000580645E-2</v>
      </c>
      <c r="R79" s="205">
        <f t="shared" si="4"/>
        <v>1</v>
      </c>
    </row>
    <row r="80" spans="1:18" s="100" customFormat="1" ht="12.75">
      <c r="A80" s="733" t="s">
        <v>598</v>
      </c>
      <c r="B80" s="756">
        <f>VISITA_ÍNTIMA!$J$101</f>
        <v>5590.7029199999997</v>
      </c>
      <c r="C80" s="739">
        <f>B80/B110</f>
        <v>8.3613444240575971E-2</v>
      </c>
      <c r="D80" s="537">
        <f t="shared" ref="D80:O80" si="43">$B80*D82</f>
        <v>0</v>
      </c>
      <c r="E80" s="537">
        <f t="shared" si="43"/>
        <v>0</v>
      </c>
      <c r="F80" s="537">
        <f t="shared" si="43"/>
        <v>0</v>
      </c>
      <c r="G80" s="537">
        <f t="shared" si="43"/>
        <v>2795.3514599999999</v>
      </c>
      <c r="H80" s="537">
        <f t="shared" si="43"/>
        <v>2795.3514599999999</v>
      </c>
      <c r="I80" s="537">
        <f t="shared" si="43"/>
        <v>0</v>
      </c>
      <c r="J80" s="537">
        <f t="shared" si="43"/>
        <v>0</v>
      </c>
      <c r="K80" s="537">
        <f t="shared" si="43"/>
        <v>0</v>
      </c>
      <c r="L80" s="537">
        <f t="shared" si="43"/>
        <v>0</v>
      </c>
      <c r="M80" s="537">
        <f t="shared" si="43"/>
        <v>0</v>
      </c>
      <c r="N80" s="537">
        <f t="shared" si="43"/>
        <v>0</v>
      </c>
      <c r="O80" s="537">
        <f t="shared" si="43"/>
        <v>0</v>
      </c>
      <c r="P80" s="538">
        <f>SUM(D80:O80)</f>
        <v>5590.7029199999997</v>
      </c>
      <c r="R80" s="205"/>
    </row>
    <row r="81" spans="1:18" s="100" customFormat="1" ht="5.0999999999999996" customHeight="1">
      <c r="A81" s="734"/>
      <c r="B81" s="757"/>
      <c r="C81" s="740"/>
      <c r="D81" s="539">
        <f>+D82</f>
        <v>0</v>
      </c>
      <c r="E81" s="539">
        <f t="shared" ref="E81:O81" si="44">+E82</f>
        <v>0</v>
      </c>
      <c r="F81" s="539">
        <f t="shared" si="44"/>
        <v>0</v>
      </c>
      <c r="G81" s="539">
        <f t="shared" si="44"/>
        <v>0.5</v>
      </c>
      <c r="H81" s="539">
        <f t="shared" si="44"/>
        <v>0.5</v>
      </c>
      <c r="I81" s="539">
        <f t="shared" si="44"/>
        <v>0</v>
      </c>
      <c r="J81" s="539">
        <f t="shared" si="44"/>
        <v>0</v>
      </c>
      <c r="K81" s="539">
        <f t="shared" si="44"/>
        <v>0</v>
      </c>
      <c r="L81" s="539">
        <f t="shared" si="44"/>
        <v>0</v>
      </c>
      <c r="M81" s="539">
        <f t="shared" si="44"/>
        <v>0</v>
      </c>
      <c r="N81" s="539">
        <f t="shared" si="44"/>
        <v>0</v>
      </c>
      <c r="O81" s="539">
        <f t="shared" si="44"/>
        <v>0</v>
      </c>
      <c r="P81" s="538"/>
      <c r="R81" s="205"/>
    </row>
    <row r="82" spans="1:18" s="100" customFormat="1" ht="12.75">
      <c r="A82" s="735"/>
      <c r="B82" s="758"/>
      <c r="C82" s="741"/>
      <c r="D82" s="540"/>
      <c r="E82" s="540"/>
      <c r="F82" s="540"/>
      <c r="G82" s="540">
        <v>0.5</v>
      </c>
      <c r="H82" s="540">
        <v>0.5</v>
      </c>
      <c r="I82" s="540"/>
      <c r="J82" s="540"/>
      <c r="K82" s="540"/>
      <c r="L82" s="540"/>
      <c r="M82" s="540"/>
      <c r="N82" s="540"/>
      <c r="O82" s="540"/>
      <c r="P82" s="541">
        <f>C80</f>
        <v>8.3613444240575971E-2</v>
      </c>
      <c r="R82" s="205">
        <f t="shared" si="4"/>
        <v>1</v>
      </c>
    </row>
    <row r="83" spans="1:18" s="100" customFormat="1" ht="12.75">
      <c r="A83" s="733" t="s">
        <v>596</v>
      </c>
      <c r="B83" s="756">
        <f>VISITA_ÍNTIMA!$J$104</f>
        <v>1528.8400000000001</v>
      </c>
      <c r="C83" s="739">
        <f>B83/B110</f>
        <v>2.2865027872517003E-2</v>
      </c>
      <c r="D83" s="537">
        <f t="shared" ref="D83:L83" si="45">$B83*D85</f>
        <v>0</v>
      </c>
      <c r="E83" s="537">
        <f t="shared" si="45"/>
        <v>0</v>
      </c>
      <c r="F83" s="537">
        <f t="shared" si="45"/>
        <v>0</v>
      </c>
      <c r="G83" s="537">
        <f t="shared" si="45"/>
        <v>0</v>
      </c>
      <c r="H83" s="537">
        <f t="shared" si="45"/>
        <v>0</v>
      </c>
      <c r="I83" s="537">
        <f t="shared" si="45"/>
        <v>1528.8400000000001</v>
      </c>
      <c r="J83" s="537">
        <f t="shared" si="45"/>
        <v>0</v>
      </c>
      <c r="K83" s="537">
        <f t="shared" si="45"/>
        <v>0</v>
      </c>
      <c r="L83" s="537">
        <f t="shared" si="45"/>
        <v>0</v>
      </c>
      <c r="M83" s="546"/>
      <c r="N83" s="537">
        <f>$B83*N85</f>
        <v>0</v>
      </c>
      <c r="O83" s="537">
        <f>$B83*O85</f>
        <v>0</v>
      </c>
      <c r="P83" s="538">
        <f>SUM(D83:O83)</f>
        <v>1528.8400000000001</v>
      </c>
      <c r="R83" s="205"/>
    </row>
    <row r="84" spans="1:18" s="100" customFormat="1" ht="5.0999999999999996" customHeight="1">
      <c r="A84" s="734"/>
      <c r="B84" s="757"/>
      <c r="C84" s="740"/>
      <c r="D84" s="539">
        <f>+D85</f>
        <v>0</v>
      </c>
      <c r="E84" s="539">
        <f t="shared" ref="E84:O84" si="46">+E85</f>
        <v>0</v>
      </c>
      <c r="F84" s="539">
        <f t="shared" si="46"/>
        <v>0</v>
      </c>
      <c r="G84" s="539">
        <f t="shared" si="46"/>
        <v>0</v>
      </c>
      <c r="H84" s="539">
        <f t="shared" si="46"/>
        <v>0</v>
      </c>
      <c r="I84" s="539">
        <f t="shared" si="46"/>
        <v>1</v>
      </c>
      <c r="J84" s="539">
        <f t="shared" si="46"/>
        <v>0</v>
      </c>
      <c r="K84" s="539">
        <f t="shared" si="46"/>
        <v>0</v>
      </c>
      <c r="L84" s="539">
        <f t="shared" si="46"/>
        <v>0</v>
      </c>
      <c r="M84" s="539">
        <f t="shared" si="46"/>
        <v>0</v>
      </c>
      <c r="N84" s="539">
        <f t="shared" si="46"/>
        <v>0</v>
      </c>
      <c r="O84" s="539">
        <f t="shared" si="46"/>
        <v>0</v>
      </c>
      <c r="P84" s="538"/>
      <c r="R84" s="205"/>
    </row>
    <row r="85" spans="1:18" s="100" customFormat="1" ht="12.75">
      <c r="A85" s="735"/>
      <c r="B85" s="758"/>
      <c r="C85" s="741"/>
      <c r="D85" s="540"/>
      <c r="E85" s="540"/>
      <c r="F85" s="540"/>
      <c r="G85" s="540"/>
      <c r="H85" s="540"/>
      <c r="I85" s="540">
        <v>1</v>
      </c>
      <c r="J85" s="540"/>
      <c r="K85" s="540"/>
      <c r="L85" s="540"/>
      <c r="M85" s="540"/>
      <c r="N85" s="540"/>
      <c r="O85" s="540"/>
      <c r="P85" s="541">
        <f>C83</f>
        <v>2.2865027872517003E-2</v>
      </c>
      <c r="R85" s="205">
        <f t="shared" ref="R85:R143" si="47">+SUM(D85:O85)</f>
        <v>1</v>
      </c>
    </row>
    <row r="86" spans="1:18" s="100" customFormat="1" ht="12.75">
      <c r="A86" s="733" t="s">
        <v>597</v>
      </c>
      <c r="B86" s="756">
        <f>VISITA_ÍNTIMA!$J$110</f>
        <v>3104.1180880000006</v>
      </c>
      <c r="C86" s="739">
        <f>B86/B110</f>
        <v>4.6424574580534388E-2</v>
      </c>
      <c r="D86" s="537">
        <f t="shared" ref="D86:O86" si="48">$B86*D88</f>
        <v>0</v>
      </c>
      <c r="E86" s="537">
        <f t="shared" si="48"/>
        <v>0</v>
      </c>
      <c r="F86" s="537">
        <f t="shared" si="48"/>
        <v>0</v>
      </c>
      <c r="G86" s="537">
        <f t="shared" si="48"/>
        <v>0</v>
      </c>
      <c r="H86" s="537">
        <f t="shared" si="48"/>
        <v>3104.1180880000006</v>
      </c>
      <c r="I86" s="537">
        <f t="shared" si="48"/>
        <v>0</v>
      </c>
      <c r="J86" s="537">
        <f t="shared" si="48"/>
        <v>0</v>
      </c>
      <c r="K86" s="537">
        <f t="shared" si="48"/>
        <v>0</v>
      </c>
      <c r="L86" s="537">
        <f t="shared" si="48"/>
        <v>0</v>
      </c>
      <c r="M86" s="537">
        <f t="shared" si="48"/>
        <v>0</v>
      </c>
      <c r="N86" s="537">
        <f t="shared" si="48"/>
        <v>0</v>
      </c>
      <c r="O86" s="537">
        <f t="shared" si="48"/>
        <v>0</v>
      </c>
      <c r="P86" s="538">
        <f>SUM(D86:O86)</f>
        <v>3104.1180880000006</v>
      </c>
      <c r="R86" s="205"/>
    </row>
    <row r="87" spans="1:18" s="100" customFormat="1" ht="5.0999999999999996" customHeight="1">
      <c r="A87" s="734"/>
      <c r="B87" s="757"/>
      <c r="C87" s="740"/>
      <c r="D87" s="539">
        <f>+D88</f>
        <v>0</v>
      </c>
      <c r="E87" s="539">
        <f t="shared" ref="E87:O87" si="49">+E88</f>
        <v>0</v>
      </c>
      <c r="F87" s="539">
        <f t="shared" si="49"/>
        <v>0</v>
      </c>
      <c r="G87" s="539">
        <f t="shared" si="49"/>
        <v>0</v>
      </c>
      <c r="H87" s="539">
        <f t="shared" si="49"/>
        <v>1</v>
      </c>
      <c r="I87" s="539">
        <f t="shared" si="49"/>
        <v>0</v>
      </c>
      <c r="J87" s="539">
        <f t="shared" si="49"/>
        <v>0</v>
      </c>
      <c r="K87" s="539">
        <f t="shared" si="49"/>
        <v>0</v>
      </c>
      <c r="L87" s="539">
        <f t="shared" si="49"/>
        <v>0</v>
      </c>
      <c r="M87" s="539">
        <f t="shared" si="49"/>
        <v>0</v>
      </c>
      <c r="N87" s="539">
        <f t="shared" si="49"/>
        <v>0</v>
      </c>
      <c r="O87" s="539">
        <f t="shared" si="49"/>
        <v>0</v>
      </c>
      <c r="P87" s="538"/>
      <c r="R87" s="205"/>
    </row>
    <row r="88" spans="1:18" s="100" customFormat="1" ht="12.75">
      <c r="A88" s="735"/>
      <c r="B88" s="758"/>
      <c r="C88" s="741"/>
      <c r="D88" s="540"/>
      <c r="E88" s="540"/>
      <c r="F88" s="540"/>
      <c r="G88" s="540"/>
      <c r="H88" s="540">
        <v>1</v>
      </c>
      <c r="I88" s="540"/>
      <c r="J88" s="540"/>
      <c r="K88" s="540"/>
      <c r="L88" s="540"/>
      <c r="M88" s="540"/>
      <c r="N88" s="540"/>
      <c r="O88" s="540"/>
      <c r="P88" s="541">
        <f>C86</f>
        <v>4.6424574580534388E-2</v>
      </c>
      <c r="R88" s="205">
        <f t="shared" si="47"/>
        <v>1</v>
      </c>
    </row>
    <row r="89" spans="1:18" s="100" customFormat="1" ht="12.75">
      <c r="A89" s="733" t="s">
        <v>595</v>
      </c>
      <c r="B89" s="756">
        <f>VISITA_ÍNTIMA!$J$117</f>
        <v>6688.8698458399995</v>
      </c>
      <c r="C89" s="739">
        <f>B89/B110</f>
        <v>0.10003741101800716</v>
      </c>
      <c r="D89" s="537">
        <f t="shared" ref="D89:O89" si="50">$B89*D91</f>
        <v>0</v>
      </c>
      <c r="E89" s="537">
        <f t="shared" si="50"/>
        <v>0</v>
      </c>
      <c r="F89" s="537">
        <f t="shared" si="50"/>
        <v>0</v>
      </c>
      <c r="G89" s="537">
        <f t="shared" si="50"/>
        <v>0</v>
      </c>
      <c r="H89" s="537">
        <f t="shared" si="50"/>
        <v>2006.6609537519998</v>
      </c>
      <c r="I89" s="537">
        <f t="shared" si="50"/>
        <v>4682.2088920879996</v>
      </c>
      <c r="J89" s="537">
        <f t="shared" si="50"/>
        <v>0</v>
      </c>
      <c r="K89" s="537">
        <f t="shared" si="50"/>
        <v>0</v>
      </c>
      <c r="L89" s="537">
        <f t="shared" si="50"/>
        <v>0</v>
      </c>
      <c r="M89" s="537">
        <f t="shared" si="50"/>
        <v>0</v>
      </c>
      <c r="N89" s="537">
        <f t="shared" si="50"/>
        <v>0</v>
      </c>
      <c r="O89" s="537">
        <f t="shared" si="50"/>
        <v>0</v>
      </c>
      <c r="P89" s="538">
        <f>SUM(D89:O89)</f>
        <v>6688.8698458399995</v>
      </c>
      <c r="R89" s="205"/>
    </row>
    <row r="90" spans="1:18" s="100" customFormat="1" ht="5.0999999999999996" customHeight="1">
      <c r="A90" s="734"/>
      <c r="B90" s="757"/>
      <c r="C90" s="740"/>
      <c r="D90" s="539">
        <f>+D91</f>
        <v>0</v>
      </c>
      <c r="E90" s="539">
        <f t="shared" ref="E90:O90" si="51">+E91</f>
        <v>0</v>
      </c>
      <c r="F90" s="539">
        <f t="shared" si="51"/>
        <v>0</v>
      </c>
      <c r="G90" s="539">
        <f t="shared" si="51"/>
        <v>0</v>
      </c>
      <c r="H90" s="539">
        <f t="shared" si="51"/>
        <v>0.3</v>
      </c>
      <c r="I90" s="539">
        <f t="shared" si="51"/>
        <v>0.7</v>
      </c>
      <c r="J90" s="539">
        <f t="shared" si="51"/>
        <v>0</v>
      </c>
      <c r="K90" s="539">
        <f t="shared" si="51"/>
        <v>0</v>
      </c>
      <c r="L90" s="539">
        <f t="shared" si="51"/>
        <v>0</v>
      </c>
      <c r="M90" s="539">
        <f t="shared" si="51"/>
        <v>0</v>
      </c>
      <c r="N90" s="539">
        <f t="shared" si="51"/>
        <v>0</v>
      </c>
      <c r="O90" s="539">
        <f t="shared" si="51"/>
        <v>0</v>
      </c>
      <c r="P90" s="538"/>
      <c r="R90" s="205"/>
    </row>
    <row r="91" spans="1:18" s="100" customFormat="1" ht="12.75">
      <c r="A91" s="735"/>
      <c r="B91" s="758"/>
      <c r="C91" s="741"/>
      <c r="D91" s="540"/>
      <c r="E91" s="540"/>
      <c r="F91" s="540"/>
      <c r="G91" s="540"/>
      <c r="H91" s="540">
        <v>0.3</v>
      </c>
      <c r="I91" s="540">
        <v>0.7</v>
      </c>
      <c r="J91" s="540"/>
      <c r="K91" s="540"/>
      <c r="L91" s="540"/>
      <c r="M91" s="540"/>
      <c r="N91" s="540"/>
      <c r="O91" s="540"/>
      <c r="P91" s="541">
        <f>C89</f>
        <v>0.10003741101800716</v>
      </c>
      <c r="R91" s="205">
        <f t="shared" si="47"/>
        <v>1</v>
      </c>
    </row>
    <row r="92" spans="1:18" s="100" customFormat="1" ht="12.75">
      <c r="A92" s="748" t="s">
        <v>594</v>
      </c>
      <c r="B92" s="757">
        <f>VISITA_ÍNTIMA!$J$120</f>
        <v>883.55420000000004</v>
      </c>
      <c r="C92" s="739">
        <f>B92/$B$110</f>
        <v>1.3214261407262669E-2</v>
      </c>
      <c r="D92" s="537">
        <f t="shared" ref="D92:O92" si="52">$B92*D94</f>
        <v>0</v>
      </c>
      <c r="E92" s="537">
        <f t="shared" si="52"/>
        <v>0</v>
      </c>
      <c r="F92" s="537">
        <f t="shared" si="52"/>
        <v>0</v>
      </c>
      <c r="G92" s="537">
        <f t="shared" si="52"/>
        <v>0</v>
      </c>
      <c r="H92" s="537">
        <f t="shared" si="52"/>
        <v>0</v>
      </c>
      <c r="I92" s="537">
        <f t="shared" si="52"/>
        <v>0</v>
      </c>
      <c r="J92" s="537">
        <f t="shared" si="52"/>
        <v>883.55420000000004</v>
      </c>
      <c r="K92" s="537">
        <f t="shared" si="52"/>
        <v>0</v>
      </c>
      <c r="L92" s="537">
        <f t="shared" si="52"/>
        <v>0</v>
      </c>
      <c r="M92" s="537">
        <f t="shared" si="52"/>
        <v>0</v>
      </c>
      <c r="N92" s="537">
        <f t="shared" si="52"/>
        <v>0</v>
      </c>
      <c r="O92" s="537">
        <f t="shared" si="52"/>
        <v>0</v>
      </c>
      <c r="P92" s="538">
        <f>SUM(D92:O92)</f>
        <v>883.55420000000004</v>
      </c>
      <c r="R92" s="205"/>
    </row>
    <row r="93" spans="1:18" s="100" customFormat="1" ht="5.0999999999999996" customHeight="1">
      <c r="A93" s="749"/>
      <c r="B93" s="757"/>
      <c r="C93" s="740"/>
      <c r="D93" s="539">
        <f>+D94</f>
        <v>0</v>
      </c>
      <c r="E93" s="539">
        <f t="shared" ref="E93:O93" si="53">+E94</f>
        <v>0</v>
      </c>
      <c r="F93" s="539">
        <f t="shared" si="53"/>
        <v>0</v>
      </c>
      <c r="G93" s="539">
        <f t="shared" si="53"/>
        <v>0</v>
      </c>
      <c r="H93" s="539">
        <f t="shared" si="53"/>
        <v>0</v>
      </c>
      <c r="I93" s="539">
        <f t="shared" si="53"/>
        <v>0</v>
      </c>
      <c r="J93" s="539">
        <f t="shared" si="53"/>
        <v>1</v>
      </c>
      <c r="K93" s="539">
        <f t="shared" si="53"/>
        <v>0</v>
      </c>
      <c r="L93" s="539">
        <f t="shared" si="53"/>
        <v>0</v>
      </c>
      <c r="M93" s="539">
        <f t="shared" si="53"/>
        <v>0</v>
      </c>
      <c r="N93" s="539">
        <f t="shared" si="53"/>
        <v>0</v>
      </c>
      <c r="O93" s="539">
        <f t="shared" si="53"/>
        <v>0</v>
      </c>
      <c r="P93" s="538"/>
      <c r="R93" s="205"/>
    </row>
    <row r="94" spans="1:18" s="100" customFormat="1" ht="12.75">
      <c r="A94" s="750"/>
      <c r="B94" s="757"/>
      <c r="C94" s="741"/>
      <c r="D94" s="540"/>
      <c r="E94" s="540"/>
      <c r="F94" s="540"/>
      <c r="G94" s="540"/>
      <c r="H94" s="540"/>
      <c r="I94" s="540"/>
      <c r="J94" s="540">
        <v>1</v>
      </c>
      <c r="K94" s="540"/>
      <c r="L94" s="540"/>
      <c r="M94" s="540"/>
      <c r="N94" s="540"/>
      <c r="O94" s="540"/>
      <c r="P94" s="541">
        <f>C92</f>
        <v>1.3214261407262669E-2</v>
      </c>
      <c r="R94" s="205">
        <f t="shared" si="47"/>
        <v>1</v>
      </c>
    </row>
    <row r="95" spans="1:18" s="100" customFormat="1" ht="12.75">
      <c r="A95" s="733" t="s">
        <v>593</v>
      </c>
      <c r="B95" s="756">
        <f>VISITA_ÍNTIMA!$J$128</f>
        <v>14790.461120200001</v>
      </c>
      <c r="C95" s="739">
        <f>B95/$B$110</f>
        <v>0.2212032035796761</v>
      </c>
      <c r="D95" s="537">
        <f t="shared" ref="D95:O95" si="54">$B95*D97</f>
        <v>0</v>
      </c>
      <c r="E95" s="537">
        <f t="shared" si="54"/>
        <v>0</v>
      </c>
      <c r="F95" s="537">
        <f t="shared" si="54"/>
        <v>0</v>
      </c>
      <c r="G95" s="537">
        <f t="shared" si="54"/>
        <v>2958.0922240400005</v>
      </c>
      <c r="H95" s="537">
        <f t="shared" si="54"/>
        <v>4437.1383360600003</v>
      </c>
      <c r="I95" s="537">
        <f t="shared" si="54"/>
        <v>7395.2305601000007</v>
      </c>
      <c r="J95" s="537">
        <f t="shared" si="54"/>
        <v>0</v>
      </c>
      <c r="K95" s="537">
        <f t="shared" si="54"/>
        <v>0</v>
      </c>
      <c r="L95" s="537">
        <f t="shared" si="54"/>
        <v>0</v>
      </c>
      <c r="M95" s="537">
        <f t="shared" si="54"/>
        <v>0</v>
      </c>
      <c r="N95" s="537">
        <f t="shared" si="54"/>
        <v>0</v>
      </c>
      <c r="O95" s="537">
        <f t="shared" si="54"/>
        <v>0</v>
      </c>
      <c r="P95" s="538">
        <f>SUM(D95:O95)</f>
        <v>14790.461120200001</v>
      </c>
      <c r="R95" s="205"/>
    </row>
    <row r="96" spans="1:18" s="100" customFormat="1" ht="5.0999999999999996" customHeight="1">
      <c r="A96" s="734"/>
      <c r="B96" s="757"/>
      <c r="C96" s="740"/>
      <c r="D96" s="539">
        <f>+D97</f>
        <v>0</v>
      </c>
      <c r="E96" s="539">
        <f t="shared" ref="E96:O96" si="55">+E97</f>
        <v>0</v>
      </c>
      <c r="F96" s="539">
        <f t="shared" si="55"/>
        <v>0</v>
      </c>
      <c r="G96" s="539">
        <f t="shared" si="55"/>
        <v>0.2</v>
      </c>
      <c r="H96" s="539">
        <f t="shared" si="55"/>
        <v>0.3</v>
      </c>
      <c r="I96" s="539">
        <f t="shared" si="55"/>
        <v>0.5</v>
      </c>
      <c r="J96" s="539">
        <f t="shared" si="55"/>
        <v>0</v>
      </c>
      <c r="K96" s="539">
        <f t="shared" si="55"/>
        <v>0</v>
      </c>
      <c r="L96" s="539">
        <f t="shared" si="55"/>
        <v>0</v>
      </c>
      <c r="M96" s="539">
        <f t="shared" si="55"/>
        <v>0</v>
      </c>
      <c r="N96" s="539">
        <f t="shared" si="55"/>
        <v>0</v>
      </c>
      <c r="O96" s="539">
        <f t="shared" si="55"/>
        <v>0</v>
      </c>
      <c r="P96" s="538"/>
      <c r="R96" s="205"/>
    </row>
    <row r="97" spans="1:18" s="100" customFormat="1" ht="12.75">
      <c r="A97" s="735"/>
      <c r="B97" s="758"/>
      <c r="C97" s="741"/>
      <c r="D97" s="540"/>
      <c r="E97" s="540"/>
      <c r="F97" s="540"/>
      <c r="G97" s="540">
        <v>0.2</v>
      </c>
      <c r="H97" s="540">
        <v>0.3</v>
      </c>
      <c r="I97" s="540">
        <v>0.5</v>
      </c>
      <c r="J97" s="540"/>
      <c r="K97" s="540"/>
      <c r="L97" s="540"/>
      <c r="M97" s="540"/>
      <c r="N97" s="540"/>
      <c r="O97" s="540"/>
      <c r="P97" s="541">
        <f>C95</f>
        <v>0.2212032035796761</v>
      </c>
      <c r="R97" s="205">
        <f t="shared" si="47"/>
        <v>1</v>
      </c>
    </row>
    <row r="98" spans="1:18" s="100" customFormat="1" ht="12.75">
      <c r="A98" s="733" t="s">
        <v>592</v>
      </c>
      <c r="B98" s="756">
        <f>VISITA_ÍNTIMA!$J$132</f>
        <v>1687.6104</v>
      </c>
      <c r="C98" s="739">
        <f>B98/$B$110</f>
        <v>2.5239566490901311E-2</v>
      </c>
      <c r="D98" s="537">
        <f t="shared" ref="D98:O98" si="56">$B98*D100</f>
        <v>0</v>
      </c>
      <c r="E98" s="537">
        <f t="shared" si="56"/>
        <v>0</v>
      </c>
      <c r="F98" s="537">
        <f t="shared" si="56"/>
        <v>0</v>
      </c>
      <c r="G98" s="537">
        <f t="shared" si="56"/>
        <v>337.52208000000002</v>
      </c>
      <c r="H98" s="537">
        <f t="shared" si="56"/>
        <v>506.28312</v>
      </c>
      <c r="I98" s="537">
        <f t="shared" si="56"/>
        <v>843.80520000000001</v>
      </c>
      <c r="J98" s="537">
        <f t="shared" si="56"/>
        <v>0</v>
      </c>
      <c r="K98" s="537">
        <f t="shared" si="56"/>
        <v>0</v>
      </c>
      <c r="L98" s="537">
        <f t="shared" si="56"/>
        <v>0</v>
      </c>
      <c r="M98" s="537">
        <f t="shared" si="56"/>
        <v>0</v>
      </c>
      <c r="N98" s="537">
        <f t="shared" si="56"/>
        <v>0</v>
      </c>
      <c r="O98" s="537">
        <f t="shared" si="56"/>
        <v>0</v>
      </c>
      <c r="P98" s="538">
        <f>SUM(D98:O98)</f>
        <v>1687.6104</v>
      </c>
      <c r="R98" s="205"/>
    </row>
    <row r="99" spans="1:18" s="100" customFormat="1" ht="5.0999999999999996" customHeight="1">
      <c r="A99" s="734"/>
      <c r="B99" s="757"/>
      <c r="C99" s="740"/>
      <c r="D99" s="539">
        <f>+D100</f>
        <v>0</v>
      </c>
      <c r="E99" s="539">
        <f t="shared" ref="E99:O99" si="57">+E100</f>
        <v>0</v>
      </c>
      <c r="F99" s="539">
        <f t="shared" si="57"/>
        <v>0</v>
      </c>
      <c r="G99" s="539">
        <f t="shared" si="57"/>
        <v>0.2</v>
      </c>
      <c r="H99" s="539">
        <f t="shared" si="57"/>
        <v>0.3</v>
      </c>
      <c r="I99" s="539">
        <f t="shared" si="57"/>
        <v>0.5</v>
      </c>
      <c r="J99" s="539">
        <f t="shared" si="57"/>
        <v>0</v>
      </c>
      <c r="K99" s="539">
        <f t="shared" si="57"/>
        <v>0</v>
      </c>
      <c r="L99" s="539">
        <f t="shared" si="57"/>
        <v>0</v>
      </c>
      <c r="M99" s="539">
        <f t="shared" si="57"/>
        <v>0</v>
      </c>
      <c r="N99" s="539">
        <f t="shared" si="57"/>
        <v>0</v>
      </c>
      <c r="O99" s="539">
        <f t="shared" si="57"/>
        <v>0</v>
      </c>
      <c r="P99" s="538"/>
      <c r="R99" s="205"/>
    </row>
    <row r="100" spans="1:18" s="100" customFormat="1" ht="12.75">
      <c r="A100" s="735"/>
      <c r="B100" s="758"/>
      <c r="C100" s="741"/>
      <c r="D100" s="540"/>
      <c r="E100" s="540"/>
      <c r="F100" s="540"/>
      <c r="G100" s="540">
        <v>0.2</v>
      </c>
      <c r="H100" s="540">
        <v>0.3</v>
      </c>
      <c r="I100" s="540">
        <v>0.5</v>
      </c>
      <c r="J100" s="540"/>
      <c r="K100" s="540"/>
      <c r="L100" s="540"/>
      <c r="M100" s="540"/>
      <c r="N100" s="540"/>
      <c r="O100" s="540"/>
      <c r="P100" s="541">
        <f>C98</f>
        <v>2.5239566490901311E-2</v>
      </c>
      <c r="R100" s="205">
        <f t="shared" si="47"/>
        <v>1</v>
      </c>
    </row>
    <row r="101" spans="1:18" s="100" customFormat="1" ht="12.75">
      <c r="A101" s="733" t="s">
        <v>591</v>
      </c>
      <c r="B101" s="756">
        <f>VISITA_ÍNTIMA!$J$138</f>
        <v>9514.6553193599993</v>
      </c>
      <c r="C101" s="739">
        <f>B101/$B$110</f>
        <v>0.14229929820946502</v>
      </c>
      <c r="D101" s="537">
        <f t="shared" ref="D101:O101" si="58">$B101*D103</f>
        <v>0</v>
      </c>
      <c r="E101" s="537">
        <f t="shared" si="58"/>
        <v>0</v>
      </c>
      <c r="F101" s="537">
        <f t="shared" si="58"/>
        <v>0</v>
      </c>
      <c r="G101" s="537">
        <f t="shared" si="58"/>
        <v>0</v>
      </c>
      <c r="H101" s="537">
        <f t="shared" si="58"/>
        <v>3805.8621277439997</v>
      </c>
      <c r="I101" s="537">
        <f t="shared" si="58"/>
        <v>5708.7931916159996</v>
      </c>
      <c r="J101" s="537">
        <f t="shared" si="58"/>
        <v>0</v>
      </c>
      <c r="K101" s="537">
        <f t="shared" si="58"/>
        <v>0</v>
      </c>
      <c r="L101" s="537">
        <f t="shared" si="58"/>
        <v>0</v>
      </c>
      <c r="M101" s="537">
        <f t="shared" si="58"/>
        <v>0</v>
      </c>
      <c r="N101" s="537">
        <f t="shared" si="58"/>
        <v>0</v>
      </c>
      <c r="O101" s="537">
        <f t="shared" si="58"/>
        <v>0</v>
      </c>
      <c r="P101" s="538">
        <f>SUM(D101:O101)</f>
        <v>9514.6553193599993</v>
      </c>
      <c r="R101" s="205"/>
    </row>
    <row r="102" spans="1:18" s="100" customFormat="1" ht="5.0999999999999996" customHeight="1">
      <c r="A102" s="734"/>
      <c r="B102" s="757"/>
      <c r="C102" s="740"/>
      <c r="D102" s="539">
        <f>+D103</f>
        <v>0</v>
      </c>
      <c r="E102" s="539">
        <f t="shared" ref="E102:O102" si="59">+E103</f>
        <v>0</v>
      </c>
      <c r="F102" s="539">
        <f t="shared" si="59"/>
        <v>0</v>
      </c>
      <c r="G102" s="539">
        <f t="shared" si="59"/>
        <v>0</v>
      </c>
      <c r="H102" s="539">
        <f t="shared" si="59"/>
        <v>0.4</v>
      </c>
      <c r="I102" s="539">
        <f t="shared" si="59"/>
        <v>0.6</v>
      </c>
      <c r="J102" s="539">
        <f t="shared" si="59"/>
        <v>0</v>
      </c>
      <c r="K102" s="539">
        <f t="shared" si="59"/>
        <v>0</v>
      </c>
      <c r="L102" s="539">
        <f t="shared" si="59"/>
        <v>0</v>
      </c>
      <c r="M102" s="539">
        <f t="shared" si="59"/>
        <v>0</v>
      </c>
      <c r="N102" s="539">
        <f t="shared" si="59"/>
        <v>0</v>
      </c>
      <c r="O102" s="539">
        <f t="shared" si="59"/>
        <v>0</v>
      </c>
      <c r="P102" s="538"/>
      <c r="R102" s="205"/>
    </row>
    <row r="103" spans="1:18" s="100" customFormat="1" ht="12.75">
      <c r="A103" s="735"/>
      <c r="B103" s="758"/>
      <c r="C103" s="741"/>
      <c r="D103" s="540"/>
      <c r="E103" s="540"/>
      <c r="F103" s="540"/>
      <c r="G103" s="540"/>
      <c r="H103" s="540">
        <v>0.4</v>
      </c>
      <c r="I103" s="540">
        <v>0.6</v>
      </c>
      <c r="J103" s="540"/>
      <c r="K103" s="540"/>
      <c r="L103" s="540"/>
      <c r="M103" s="540"/>
      <c r="N103" s="540"/>
      <c r="O103" s="540"/>
      <c r="P103" s="541">
        <f>C101</f>
        <v>0.14229929820946502</v>
      </c>
      <c r="R103" s="205">
        <f t="shared" si="47"/>
        <v>1</v>
      </c>
    </row>
    <row r="104" spans="1:18" s="100" customFormat="1" ht="12.75">
      <c r="A104" s="733" t="s">
        <v>587</v>
      </c>
      <c r="B104" s="756">
        <f>VISITA_ÍNTIMA!$J$149</f>
        <v>8666.97924298</v>
      </c>
      <c r="C104" s="739">
        <f>B104/$B$110</f>
        <v>0.12962162290446611</v>
      </c>
      <c r="D104" s="537">
        <f t="shared" ref="D104:O104" si="60">$B104*D106</f>
        <v>0</v>
      </c>
      <c r="E104" s="537">
        <f t="shared" si="60"/>
        <v>0</v>
      </c>
      <c r="F104" s="537">
        <f t="shared" si="60"/>
        <v>0</v>
      </c>
      <c r="G104" s="537">
        <f t="shared" si="60"/>
        <v>0</v>
      </c>
      <c r="H104" s="537">
        <f t="shared" si="60"/>
        <v>0</v>
      </c>
      <c r="I104" s="537">
        <f t="shared" si="60"/>
        <v>0</v>
      </c>
      <c r="J104" s="537">
        <f t="shared" si="60"/>
        <v>2600.0937728939998</v>
      </c>
      <c r="K104" s="537">
        <f t="shared" si="60"/>
        <v>2600.0937728939998</v>
      </c>
      <c r="L104" s="537">
        <f t="shared" si="60"/>
        <v>3466.7916971920004</v>
      </c>
      <c r="M104" s="537">
        <f t="shared" si="60"/>
        <v>0</v>
      </c>
      <c r="N104" s="537">
        <f t="shared" si="60"/>
        <v>0</v>
      </c>
      <c r="O104" s="537">
        <f t="shared" si="60"/>
        <v>0</v>
      </c>
      <c r="P104" s="538">
        <f>SUM(D104:O104)</f>
        <v>8666.97924298</v>
      </c>
      <c r="R104" s="205"/>
    </row>
    <row r="105" spans="1:18" s="100" customFormat="1" ht="5.0999999999999996" customHeight="1">
      <c r="A105" s="734"/>
      <c r="B105" s="757"/>
      <c r="C105" s="740"/>
      <c r="D105" s="539">
        <f>+D106</f>
        <v>0</v>
      </c>
      <c r="E105" s="539">
        <f t="shared" ref="E105:O105" si="61">+E106</f>
        <v>0</v>
      </c>
      <c r="F105" s="539">
        <f t="shared" si="61"/>
        <v>0</v>
      </c>
      <c r="G105" s="539">
        <f t="shared" si="61"/>
        <v>0</v>
      </c>
      <c r="H105" s="539">
        <f t="shared" si="61"/>
        <v>0</v>
      </c>
      <c r="I105" s="539">
        <f t="shared" si="61"/>
        <v>0</v>
      </c>
      <c r="J105" s="539">
        <f t="shared" si="61"/>
        <v>0.3</v>
      </c>
      <c r="K105" s="539">
        <f t="shared" si="61"/>
        <v>0.3</v>
      </c>
      <c r="L105" s="539">
        <f t="shared" si="61"/>
        <v>0.4</v>
      </c>
      <c r="M105" s="539">
        <f t="shared" si="61"/>
        <v>0</v>
      </c>
      <c r="N105" s="539">
        <f t="shared" si="61"/>
        <v>0</v>
      </c>
      <c r="O105" s="539">
        <f t="shared" si="61"/>
        <v>0</v>
      </c>
      <c r="P105" s="538"/>
      <c r="R105" s="205"/>
    </row>
    <row r="106" spans="1:18" s="100" customFormat="1" ht="12.75">
      <c r="A106" s="735"/>
      <c r="B106" s="758"/>
      <c r="C106" s="741"/>
      <c r="D106" s="540"/>
      <c r="E106" s="540"/>
      <c r="F106" s="540"/>
      <c r="G106" s="540"/>
      <c r="H106" s="540"/>
      <c r="I106" s="540"/>
      <c r="J106" s="540">
        <v>0.3</v>
      </c>
      <c r="K106" s="540">
        <v>0.3</v>
      </c>
      <c r="L106" s="540">
        <v>0.4</v>
      </c>
      <c r="M106" s="540"/>
      <c r="N106" s="540"/>
      <c r="O106" s="540"/>
      <c r="P106" s="541">
        <f>C104</f>
        <v>0.12962162290446611</v>
      </c>
      <c r="R106" s="205">
        <f t="shared" si="47"/>
        <v>1</v>
      </c>
    </row>
    <row r="107" spans="1:18" s="100" customFormat="1" ht="12.75">
      <c r="A107" s="748" t="s">
        <v>2</v>
      </c>
      <c r="B107" s="756">
        <f>VISITA_ÍNTIMA!$J$154</f>
        <v>982.48944513000004</v>
      </c>
      <c r="C107" s="739">
        <f>B107/$B$110</f>
        <v>1.4693917314664197E-2</v>
      </c>
      <c r="D107" s="537">
        <f t="shared" ref="D107:O107" si="62">$B107*D109</f>
        <v>0</v>
      </c>
      <c r="E107" s="537">
        <f t="shared" si="62"/>
        <v>0</v>
      </c>
      <c r="F107" s="537">
        <f t="shared" si="62"/>
        <v>0</v>
      </c>
      <c r="G107" s="537">
        <f t="shared" si="62"/>
        <v>0</v>
      </c>
      <c r="H107" s="537">
        <f t="shared" si="62"/>
        <v>0</v>
      </c>
      <c r="I107" s="537">
        <f t="shared" si="62"/>
        <v>0</v>
      </c>
      <c r="J107" s="537">
        <f t="shared" si="62"/>
        <v>0</v>
      </c>
      <c r="K107" s="537">
        <f t="shared" si="62"/>
        <v>491.24472256500002</v>
      </c>
      <c r="L107" s="537">
        <f t="shared" si="62"/>
        <v>491.24472256500002</v>
      </c>
      <c r="M107" s="537">
        <f t="shared" si="62"/>
        <v>0</v>
      </c>
      <c r="N107" s="537">
        <f t="shared" si="62"/>
        <v>0</v>
      </c>
      <c r="O107" s="537">
        <f t="shared" si="62"/>
        <v>0</v>
      </c>
      <c r="P107" s="538">
        <f>SUM(D107:O107)</f>
        <v>982.48944513000004</v>
      </c>
      <c r="R107" s="205"/>
    </row>
    <row r="108" spans="1:18" s="100" customFormat="1" ht="5.0999999999999996" customHeight="1">
      <c r="A108" s="749"/>
      <c r="B108" s="757"/>
      <c r="C108" s="740"/>
      <c r="D108" s="539">
        <f>+D109</f>
        <v>0</v>
      </c>
      <c r="E108" s="539">
        <f t="shared" ref="E108:O108" si="63">+E109</f>
        <v>0</v>
      </c>
      <c r="F108" s="539">
        <f t="shared" si="63"/>
        <v>0</v>
      </c>
      <c r="G108" s="539">
        <f t="shared" si="63"/>
        <v>0</v>
      </c>
      <c r="H108" s="539">
        <f t="shared" si="63"/>
        <v>0</v>
      </c>
      <c r="I108" s="539">
        <f t="shared" si="63"/>
        <v>0</v>
      </c>
      <c r="J108" s="539">
        <f t="shared" si="63"/>
        <v>0</v>
      </c>
      <c r="K108" s="539">
        <f t="shared" si="63"/>
        <v>0.5</v>
      </c>
      <c r="L108" s="539">
        <f t="shared" si="63"/>
        <v>0.5</v>
      </c>
      <c r="M108" s="539">
        <f t="shared" si="63"/>
        <v>0</v>
      </c>
      <c r="N108" s="539">
        <f t="shared" si="63"/>
        <v>0</v>
      </c>
      <c r="O108" s="539">
        <f t="shared" si="63"/>
        <v>0</v>
      </c>
      <c r="P108" s="538"/>
      <c r="R108" s="205"/>
    </row>
    <row r="109" spans="1:18" s="100" customFormat="1" ht="12.75">
      <c r="A109" s="750"/>
      <c r="B109" s="758"/>
      <c r="C109" s="741"/>
      <c r="D109" s="540"/>
      <c r="E109" s="540"/>
      <c r="F109" s="540"/>
      <c r="G109" s="540"/>
      <c r="H109" s="540"/>
      <c r="I109" s="540"/>
      <c r="J109" s="540"/>
      <c r="K109" s="540">
        <v>0.5</v>
      </c>
      <c r="L109" s="540">
        <v>0.5</v>
      </c>
      <c r="M109" s="540"/>
      <c r="N109" s="540"/>
      <c r="O109" s="540"/>
      <c r="P109" s="541">
        <f>C107</f>
        <v>1.4693917314664197E-2</v>
      </c>
      <c r="R109" s="205">
        <f t="shared" si="47"/>
        <v>1</v>
      </c>
    </row>
    <row r="110" spans="1:18" s="100" customFormat="1" ht="12.75">
      <c r="A110" s="751" t="s">
        <v>7038</v>
      </c>
      <c r="B110" s="206">
        <f>SUM(B62:B109)</f>
        <v>66863.684073511002</v>
      </c>
      <c r="C110" s="542">
        <f>SUM(C62:C109)</f>
        <v>1</v>
      </c>
      <c r="D110" s="543">
        <f t="shared" ref="D110:O110" si="64">(D62+D65+D68+D71+D74+D77+D80+D83+D86+D89+D92+D95+D98+D101+D104+D107)</f>
        <v>1204.9938359561984</v>
      </c>
      <c r="E110" s="543">
        <f t="shared" si="64"/>
        <v>1603.0971808847935</v>
      </c>
      <c r="F110" s="543">
        <f t="shared" si="64"/>
        <v>5313.0168358600004</v>
      </c>
      <c r="G110" s="543">
        <f t="shared" si="64"/>
        <v>6103.0388599000007</v>
      </c>
      <c r="H110" s="543">
        <f t="shared" si="64"/>
        <v>18914.885821415999</v>
      </c>
      <c r="I110" s="543">
        <f t="shared" si="64"/>
        <v>23167.482459663996</v>
      </c>
      <c r="J110" s="543">
        <f t="shared" si="64"/>
        <v>3495.721068754</v>
      </c>
      <c r="K110" s="543">
        <f t="shared" si="64"/>
        <v>3103.4115913189999</v>
      </c>
      <c r="L110" s="543">
        <f t="shared" si="64"/>
        <v>3958.0364197570002</v>
      </c>
      <c r="M110" s="543">
        <f t="shared" si="64"/>
        <v>0</v>
      </c>
      <c r="N110" s="543">
        <f t="shared" si="64"/>
        <v>0</v>
      </c>
      <c r="O110" s="543">
        <f t="shared" si="64"/>
        <v>0</v>
      </c>
      <c r="P110" s="544">
        <f>SUM(D110:O110)</f>
        <v>66863.684073510987</v>
      </c>
      <c r="R110" s="205"/>
    </row>
    <row r="111" spans="1:18" s="100" customFormat="1" ht="12.75">
      <c r="A111" s="752"/>
      <c r="B111" s="207"/>
      <c r="C111" s="581"/>
      <c r="D111" s="582">
        <f t="shared" ref="D111:O111" si="65">D110/$B$110</f>
        <v>1.8021648861456824E-2</v>
      </c>
      <c r="E111" s="582">
        <f t="shared" si="65"/>
        <v>2.3975603544703322E-2</v>
      </c>
      <c r="F111" s="582">
        <f t="shared" si="65"/>
        <v>7.9460426231058173E-2</v>
      </c>
      <c r="G111" s="582">
        <f t="shared" si="65"/>
        <v>9.127583896200249E-2</v>
      </c>
      <c r="H111" s="582">
        <f t="shared" si="65"/>
        <v>0.28288728154166126</v>
      </c>
      <c r="I111" s="582">
        <f t="shared" si="65"/>
        <v>0.34648827357752671</v>
      </c>
      <c r="J111" s="582">
        <f t="shared" si="65"/>
        <v>5.2281311106201517E-2</v>
      </c>
      <c r="K111" s="582">
        <f t="shared" si="65"/>
        <v>4.6414008356270943E-2</v>
      </c>
      <c r="L111" s="582">
        <f t="shared" si="65"/>
        <v>5.9195607819118548E-2</v>
      </c>
      <c r="M111" s="582">
        <f t="shared" si="65"/>
        <v>0</v>
      </c>
      <c r="N111" s="582">
        <f t="shared" si="65"/>
        <v>0</v>
      </c>
      <c r="O111" s="582">
        <f t="shared" si="65"/>
        <v>0</v>
      </c>
      <c r="P111" s="583">
        <f>SUM(D111:O111)</f>
        <v>0.99999999999999989</v>
      </c>
      <c r="R111" s="205">
        <f t="shared" si="47"/>
        <v>0.99999999999999989</v>
      </c>
    </row>
    <row r="112" spans="1:18" s="61" customFormat="1" ht="36" customHeight="1">
      <c r="R112" s="580"/>
    </row>
    <row r="113" spans="1:18" s="100" customFormat="1" ht="12.75">
      <c r="A113" s="753" t="s">
        <v>6304</v>
      </c>
      <c r="B113" s="730"/>
      <c r="C113" s="754"/>
      <c r="D113" s="754"/>
      <c r="E113" s="754"/>
      <c r="F113" s="754"/>
      <c r="G113" s="754"/>
      <c r="H113" s="754"/>
      <c r="I113" s="754"/>
      <c r="J113" s="754"/>
      <c r="K113" s="754"/>
      <c r="L113" s="754"/>
      <c r="M113" s="754"/>
      <c r="N113" s="754"/>
      <c r="O113" s="755"/>
      <c r="P113" s="579"/>
      <c r="R113" s="205"/>
    </row>
    <row r="114" spans="1:18" s="100" customFormat="1" ht="12.75">
      <c r="A114" s="733" t="s">
        <v>611</v>
      </c>
      <c r="B114" s="756">
        <f>UNID_CONTROLE!$J$15</f>
        <v>501.19430984000007</v>
      </c>
      <c r="C114" s="739">
        <f>B114/$B$150</f>
        <v>2.3198100254918624E-3</v>
      </c>
      <c r="D114" s="536">
        <f>$B114*D116</f>
        <v>50.119430984000012</v>
      </c>
      <c r="E114" s="537">
        <f t="shared" ref="E114:O114" si="66">$B114*E116</f>
        <v>50.119430984000012</v>
      </c>
      <c r="F114" s="537">
        <f t="shared" si="66"/>
        <v>50.119430984000012</v>
      </c>
      <c r="G114" s="537">
        <f t="shared" si="66"/>
        <v>50.119430984000012</v>
      </c>
      <c r="H114" s="537">
        <f t="shared" si="66"/>
        <v>50.119430984000012</v>
      </c>
      <c r="I114" s="537">
        <f t="shared" si="66"/>
        <v>50.119430984000012</v>
      </c>
      <c r="J114" s="537">
        <f t="shared" si="66"/>
        <v>50.119430984000012</v>
      </c>
      <c r="K114" s="537">
        <f t="shared" si="66"/>
        <v>50.119430984000012</v>
      </c>
      <c r="L114" s="537">
        <f t="shared" si="66"/>
        <v>50.119430984000012</v>
      </c>
      <c r="M114" s="537">
        <f t="shared" si="66"/>
        <v>50.119430984000012</v>
      </c>
      <c r="N114" s="537">
        <f t="shared" si="66"/>
        <v>0</v>
      </c>
      <c r="O114" s="537">
        <f t="shared" si="66"/>
        <v>0</v>
      </c>
      <c r="P114" s="538">
        <f>SUM(D114:O114)</f>
        <v>501.19430984000013</v>
      </c>
      <c r="R114" s="205"/>
    </row>
    <row r="115" spans="1:18" s="100" customFormat="1" ht="5.0999999999999996" customHeight="1">
      <c r="A115" s="743"/>
      <c r="B115" s="757"/>
      <c r="C115" s="740"/>
      <c r="D115" s="539">
        <f>+D116</f>
        <v>0.1</v>
      </c>
      <c r="E115" s="539">
        <f t="shared" ref="E115:O115" si="67">+E116</f>
        <v>0.1</v>
      </c>
      <c r="F115" s="539">
        <f t="shared" si="67"/>
        <v>0.1</v>
      </c>
      <c r="G115" s="539">
        <f t="shared" si="67"/>
        <v>0.1</v>
      </c>
      <c r="H115" s="539">
        <f t="shared" si="67"/>
        <v>0.1</v>
      </c>
      <c r="I115" s="539">
        <f t="shared" si="67"/>
        <v>0.1</v>
      </c>
      <c r="J115" s="539">
        <f t="shared" si="67"/>
        <v>0.1</v>
      </c>
      <c r="K115" s="539">
        <f t="shared" si="67"/>
        <v>0.1</v>
      </c>
      <c r="L115" s="539">
        <f t="shared" si="67"/>
        <v>0.1</v>
      </c>
      <c r="M115" s="539">
        <f t="shared" si="67"/>
        <v>0.1</v>
      </c>
      <c r="N115" s="539">
        <f t="shared" si="67"/>
        <v>0</v>
      </c>
      <c r="O115" s="539">
        <f t="shared" si="67"/>
        <v>0</v>
      </c>
      <c r="P115" s="538"/>
      <c r="R115" s="205"/>
    </row>
    <row r="116" spans="1:18" s="100" customFormat="1" ht="12.75">
      <c r="A116" s="744"/>
      <c r="B116" s="758"/>
      <c r="C116" s="741"/>
      <c r="D116" s="540">
        <v>0.1</v>
      </c>
      <c r="E116" s="540">
        <v>0.1</v>
      </c>
      <c r="F116" s="540">
        <v>0.1</v>
      </c>
      <c r="G116" s="540">
        <v>0.1</v>
      </c>
      <c r="H116" s="540">
        <v>0.1</v>
      </c>
      <c r="I116" s="540">
        <v>0.1</v>
      </c>
      <c r="J116" s="540">
        <v>0.1</v>
      </c>
      <c r="K116" s="540">
        <v>0.1</v>
      </c>
      <c r="L116" s="540">
        <v>0.1</v>
      </c>
      <c r="M116" s="540">
        <v>0.1</v>
      </c>
      <c r="N116" s="540"/>
      <c r="O116" s="540"/>
      <c r="P116" s="541">
        <f>C114</f>
        <v>2.3198100254918624E-3</v>
      </c>
      <c r="R116" s="205">
        <f t="shared" si="47"/>
        <v>0.99999999999999989</v>
      </c>
    </row>
    <row r="117" spans="1:18" s="100" customFormat="1" ht="12.75">
      <c r="A117" s="748" t="s">
        <v>609</v>
      </c>
      <c r="B117" s="756">
        <f>UNID_CONTROLE!$J$19</f>
        <v>1001.91036825</v>
      </c>
      <c r="C117" s="739">
        <f>B117/$B$150</f>
        <v>4.6374064335498507E-3</v>
      </c>
      <c r="D117" s="536">
        <f>$B117*D119</f>
        <v>601.14622095000004</v>
      </c>
      <c r="E117" s="537">
        <f t="shared" ref="E117:O117" si="68">$B117*E119</f>
        <v>400.76414730000005</v>
      </c>
      <c r="F117" s="537">
        <f t="shared" si="68"/>
        <v>0</v>
      </c>
      <c r="G117" s="537">
        <f t="shared" si="68"/>
        <v>0</v>
      </c>
      <c r="H117" s="537">
        <f t="shared" si="68"/>
        <v>0</v>
      </c>
      <c r="I117" s="537">
        <f t="shared" si="68"/>
        <v>0</v>
      </c>
      <c r="J117" s="537">
        <f t="shared" si="68"/>
        <v>0</v>
      </c>
      <c r="K117" s="537">
        <f t="shared" si="68"/>
        <v>0</v>
      </c>
      <c r="L117" s="537">
        <f t="shared" si="68"/>
        <v>0</v>
      </c>
      <c r="M117" s="537">
        <f t="shared" si="68"/>
        <v>0</v>
      </c>
      <c r="N117" s="537">
        <f t="shared" si="68"/>
        <v>0</v>
      </c>
      <c r="O117" s="537">
        <f t="shared" si="68"/>
        <v>0</v>
      </c>
      <c r="P117" s="538">
        <f>SUM(D117:O117)</f>
        <v>1001.9103682500001</v>
      </c>
      <c r="R117" s="205"/>
    </row>
    <row r="118" spans="1:18" s="100" customFormat="1" ht="5.0999999999999996" customHeight="1">
      <c r="A118" s="746"/>
      <c r="B118" s="757"/>
      <c r="C118" s="740"/>
      <c r="D118" s="539">
        <f>+D119</f>
        <v>0.6</v>
      </c>
      <c r="E118" s="539">
        <f t="shared" ref="E118:O118" si="69">+E119</f>
        <v>0.4</v>
      </c>
      <c r="F118" s="539">
        <f t="shared" si="69"/>
        <v>0</v>
      </c>
      <c r="G118" s="539">
        <f t="shared" si="69"/>
        <v>0</v>
      </c>
      <c r="H118" s="539">
        <f t="shared" si="69"/>
        <v>0</v>
      </c>
      <c r="I118" s="539">
        <f t="shared" si="69"/>
        <v>0</v>
      </c>
      <c r="J118" s="539">
        <f t="shared" si="69"/>
        <v>0</v>
      </c>
      <c r="K118" s="539">
        <f t="shared" si="69"/>
        <v>0</v>
      </c>
      <c r="L118" s="539">
        <f t="shared" si="69"/>
        <v>0</v>
      </c>
      <c r="M118" s="539">
        <f t="shared" si="69"/>
        <v>0</v>
      </c>
      <c r="N118" s="539">
        <f t="shared" si="69"/>
        <v>0</v>
      </c>
      <c r="O118" s="539">
        <f t="shared" si="69"/>
        <v>0</v>
      </c>
      <c r="P118" s="538"/>
      <c r="R118" s="205"/>
    </row>
    <row r="119" spans="1:18" s="100" customFormat="1" ht="12.75">
      <c r="A119" s="747"/>
      <c r="B119" s="758"/>
      <c r="C119" s="741"/>
      <c r="D119" s="540">
        <v>0.6</v>
      </c>
      <c r="E119" s="540">
        <v>0.4</v>
      </c>
      <c r="F119" s="540"/>
      <c r="G119" s="540"/>
      <c r="H119" s="540"/>
      <c r="I119" s="540"/>
      <c r="J119" s="540"/>
      <c r="K119" s="540"/>
      <c r="L119" s="540"/>
      <c r="M119" s="540"/>
      <c r="N119" s="540"/>
      <c r="O119" s="540"/>
      <c r="P119" s="541">
        <f>C117</f>
        <v>4.6374064335498507E-3</v>
      </c>
      <c r="R119" s="205">
        <f t="shared" si="47"/>
        <v>1</v>
      </c>
    </row>
    <row r="120" spans="1:18" s="100" customFormat="1" ht="12.75">
      <c r="A120" s="733" t="s">
        <v>605</v>
      </c>
      <c r="B120" s="756">
        <f>UNID_CONTROLE!$J$93</f>
        <v>68545.161972399015</v>
      </c>
      <c r="C120" s="739">
        <f>B120/$B$150</f>
        <v>0.31726568083603596</v>
      </c>
      <c r="D120" s="536">
        <f>$B120*D122</f>
        <v>0</v>
      </c>
      <c r="E120" s="537">
        <f t="shared" ref="E120:O120" si="70">$B120*E122</f>
        <v>10281.774295859852</v>
      </c>
      <c r="F120" s="537">
        <f t="shared" si="70"/>
        <v>10281.774295859852</v>
      </c>
      <c r="G120" s="537">
        <f t="shared" si="70"/>
        <v>0</v>
      </c>
      <c r="H120" s="537">
        <f t="shared" si="70"/>
        <v>0</v>
      </c>
      <c r="I120" s="537">
        <f t="shared" si="70"/>
        <v>20563.548591719704</v>
      </c>
      <c r="J120" s="537">
        <f t="shared" si="70"/>
        <v>13709.032394479804</v>
      </c>
      <c r="K120" s="537">
        <f t="shared" si="70"/>
        <v>13709.032394479804</v>
      </c>
      <c r="L120" s="537">
        <f t="shared" si="70"/>
        <v>0</v>
      </c>
      <c r="M120" s="537">
        <f t="shared" si="70"/>
        <v>0</v>
      </c>
      <c r="N120" s="537">
        <f t="shared" si="70"/>
        <v>0</v>
      </c>
      <c r="O120" s="537">
        <f t="shared" si="70"/>
        <v>0</v>
      </c>
      <c r="P120" s="538">
        <f>SUM(D120:O120)</f>
        <v>68545.161972399015</v>
      </c>
      <c r="R120" s="205"/>
    </row>
    <row r="121" spans="1:18" s="100" customFormat="1" ht="5.0999999999999996" customHeight="1">
      <c r="A121" s="734"/>
      <c r="B121" s="757"/>
      <c r="C121" s="740"/>
      <c r="D121" s="539">
        <f>+D122</f>
        <v>0</v>
      </c>
      <c r="E121" s="539">
        <f t="shared" ref="E121:O121" si="71">+E122</f>
        <v>0.15</v>
      </c>
      <c r="F121" s="539">
        <f t="shared" si="71"/>
        <v>0.15</v>
      </c>
      <c r="G121" s="539">
        <f t="shared" si="71"/>
        <v>0</v>
      </c>
      <c r="H121" s="539">
        <f t="shared" si="71"/>
        <v>0</v>
      </c>
      <c r="I121" s="539">
        <f t="shared" si="71"/>
        <v>0.3</v>
      </c>
      <c r="J121" s="539">
        <f t="shared" si="71"/>
        <v>0.2</v>
      </c>
      <c r="K121" s="539">
        <f t="shared" si="71"/>
        <v>0.2</v>
      </c>
      <c r="L121" s="539">
        <f t="shared" si="71"/>
        <v>0</v>
      </c>
      <c r="M121" s="539">
        <f t="shared" si="71"/>
        <v>0</v>
      </c>
      <c r="N121" s="539">
        <f t="shared" si="71"/>
        <v>0</v>
      </c>
      <c r="O121" s="539">
        <f t="shared" si="71"/>
        <v>0</v>
      </c>
      <c r="P121" s="538"/>
      <c r="R121" s="205"/>
    </row>
    <row r="122" spans="1:18" s="100" customFormat="1" ht="12.75">
      <c r="A122" s="735"/>
      <c r="B122" s="758"/>
      <c r="C122" s="741"/>
      <c r="D122" s="540"/>
      <c r="E122" s="540">
        <v>0.15</v>
      </c>
      <c r="F122" s="540">
        <v>0.15</v>
      </c>
      <c r="G122" s="540"/>
      <c r="H122" s="540"/>
      <c r="I122" s="540">
        <v>0.3</v>
      </c>
      <c r="J122" s="540">
        <v>0.2</v>
      </c>
      <c r="K122" s="540">
        <v>0.2</v>
      </c>
      <c r="L122" s="540"/>
      <c r="M122" s="540"/>
      <c r="N122" s="540"/>
      <c r="O122" s="540"/>
      <c r="P122" s="541">
        <f>C120</f>
        <v>0.31726568083603596</v>
      </c>
      <c r="R122" s="205">
        <f t="shared" si="47"/>
        <v>1</v>
      </c>
    </row>
    <row r="123" spans="1:18" s="100" customFormat="1" ht="12.75">
      <c r="A123" s="733" t="s">
        <v>604</v>
      </c>
      <c r="B123" s="756">
        <f>UNID_CONTROLE!$J$112</f>
        <v>5007.62</v>
      </c>
      <c r="C123" s="739">
        <f>B123/$B$150</f>
        <v>2.317809051655445E-2</v>
      </c>
      <c r="D123" s="536">
        <f>$B123*D125</f>
        <v>0</v>
      </c>
      <c r="E123" s="537">
        <f t="shared" ref="E123:O123" si="72">$B123*E125</f>
        <v>751.14299999999992</v>
      </c>
      <c r="F123" s="537">
        <f t="shared" si="72"/>
        <v>751.14299999999992</v>
      </c>
      <c r="G123" s="537">
        <f t="shared" si="72"/>
        <v>0</v>
      </c>
      <c r="H123" s="537">
        <f t="shared" si="72"/>
        <v>0</v>
      </c>
      <c r="I123" s="537">
        <f t="shared" si="72"/>
        <v>1502.2859999999998</v>
      </c>
      <c r="J123" s="537">
        <f t="shared" si="72"/>
        <v>2003.048</v>
      </c>
      <c r="K123" s="537">
        <f t="shared" si="72"/>
        <v>0</v>
      </c>
      <c r="L123" s="537">
        <f t="shared" si="72"/>
        <v>0</v>
      </c>
      <c r="M123" s="537">
        <f t="shared" si="72"/>
        <v>0</v>
      </c>
      <c r="N123" s="537">
        <f t="shared" si="72"/>
        <v>0</v>
      </c>
      <c r="O123" s="537">
        <f t="shared" si="72"/>
        <v>0</v>
      </c>
      <c r="P123" s="538">
        <f>SUM(D123:O123)</f>
        <v>5007.62</v>
      </c>
      <c r="R123" s="205"/>
    </row>
    <row r="124" spans="1:18" s="100" customFormat="1" ht="5.0999999999999996" customHeight="1">
      <c r="A124" s="734"/>
      <c r="B124" s="757"/>
      <c r="C124" s="740"/>
      <c r="D124" s="539">
        <f>+D125</f>
        <v>0</v>
      </c>
      <c r="E124" s="539">
        <f t="shared" ref="E124:O124" si="73">+E125</f>
        <v>0.15</v>
      </c>
      <c r="F124" s="539">
        <f t="shared" si="73"/>
        <v>0.15</v>
      </c>
      <c r="G124" s="539">
        <f t="shared" si="73"/>
        <v>0</v>
      </c>
      <c r="H124" s="539">
        <f t="shared" si="73"/>
        <v>0</v>
      </c>
      <c r="I124" s="539">
        <f t="shared" si="73"/>
        <v>0.3</v>
      </c>
      <c r="J124" s="539">
        <f t="shared" si="73"/>
        <v>0.4</v>
      </c>
      <c r="K124" s="539">
        <f t="shared" si="73"/>
        <v>0</v>
      </c>
      <c r="L124" s="539">
        <f t="shared" si="73"/>
        <v>0</v>
      </c>
      <c r="M124" s="539">
        <f t="shared" si="73"/>
        <v>0</v>
      </c>
      <c r="N124" s="539">
        <f t="shared" si="73"/>
        <v>0</v>
      </c>
      <c r="O124" s="539">
        <f t="shared" si="73"/>
        <v>0</v>
      </c>
      <c r="P124" s="538"/>
      <c r="R124" s="205"/>
    </row>
    <row r="125" spans="1:18" s="100" customFormat="1" ht="12.75">
      <c r="A125" s="735"/>
      <c r="B125" s="758"/>
      <c r="C125" s="741"/>
      <c r="D125" s="540"/>
      <c r="E125" s="540">
        <v>0.15</v>
      </c>
      <c r="F125" s="540">
        <v>0.15</v>
      </c>
      <c r="G125" s="540"/>
      <c r="H125" s="540"/>
      <c r="I125" s="540">
        <v>0.3</v>
      </c>
      <c r="J125" s="540">
        <v>0.4</v>
      </c>
      <c r="K125" s="540"/>
      <c r="L125" s="540"/>
      <c r="M125" s="540"/>
      <c r="N125" s="540"/>
      <c r="O125" s="540"/>
      <c r="P125" s="541">
        <f>C123</f>
        <v>2.317809051655445E-2</v>
      </c>
      <c r="R125" s="205">
        <f t="shared" si="47"/>
        <v>1</v>
      </c>
    </row>
    <row r="126" spans="1:18" s="100" customFormat="1" ht="12.75">
      <c r="A126" s="733" t="s">
        <v>595</v>
      </c>
      <c r="B126" s="756">
        <f>UNID_CONTROLE!$J$126</f>
        <v>52926.092870438966</v>
      </c>
      <c r="C126" s="739">
        <f t="shared" ref="C126" si="74">B126/$B$150</f>
        <v>0.2449718171983101</v>
      </c>
      <c r="D126" s="536">
        <f>$B126*D128</f>
        <v>0</v>
      </c>
      <c r="E126" s="537">
        <f t="shared" ref="E126:O126" si="75">$B126*E128</f>
        <v>0</v>
      </c>
      <c r="F126" s="537">
        <f t="shared" si="75"/>
        <v>0</v>
      </c>
      <c r="G126" s="537">
        <f t="shared" si="75"/>
        <v>15877.827861131689</v>
      </c>
      <c r="H126" s="537">
        <f t="shared" si="75"/>
        <v>26463.046435219483</v>
      </c>
      <c r="I126" s="537">
        <f t="shared" si="75"/>
        <v>10585.218574087794</v>
      </c>
      <c r="J126" s="537">
        <f t="shared" si="75"/>
        <v>0</v>
      </c>
      <c r="K126" s="537">
        <f t="shared" si="75"/>
        <v>0</v>
      </c>
      <c r="L126" s="537">
        <f t="shared" si="75"/>
        <v>0</v>
      </c>
      <c r="M126" s="537">
        <f t="shared" si="75"/>
        <v>0</v>
      </c>
      <c r="N126" s="537">
        <f t="shared" si="75"/>
        <v>0</v>
      </c>
      <c r="O126" s="537">
        <f t="shared" si="75"/>
        <v>0</v>
      </c>
      <c r="P126" s="538">
        <f>SUM(D126:O126)</f>
        <v>52926.092870438966</v>
      </c>
      <c r="R126" s="205"/>
    </row>
    <row r="127" spans="1:18" s="100" customFormat="1" ht="5.0999999999999996" customHeight="1">
      <c r="A127" s="734"/>
      <c r="B127" s="757"/>
      <c r="C127" s="740"/>
      <c r="D127" s="539">
        <f>+D128</f>
        <v>0</v>
      </c>
      <c r="E127" s="539">
        <f t="shared" ref="E127:O127" si="76">+E128</f>
        <v>0</v>
      </c>
      <c r="F127" s="539">
        <f t="shared" si="76"/>
        <v>0</v>
      </c>
      <c r="G127" s="539">
        <f t="shared" si="76"/>
        <v>0.3</v>
      </c>
      <c r="H127" s="539">
        <f t="shared" si="76"/>
        <v>0.5</v>
      </c>
      <c r="I127" s="539">
        <f t="shared" si="76"/>
        <v>0.2</v>
      </c>
      <c r="J127" s="539">
        <f t="shared" si="76"/>
        <v>0</v>
      </c>
      <c r="K127" s="539">
        <f t="shared" si="76"/>
        <v>0</v>
      </c>
      <c r="L127" s="539">
        <f t="shared" si="76"/>
        <v>0</v>
      </c>
      <c r="M127" s="539">
        <f t="shared" si="76"/>
        <v>0</v>
      </c>
      <c r="N127" s="539">
        <f t="shared" si="76"/>
        <v>0</v>
      </c>
      <c r="O127" s="539">
        <f t="shared" si="76"/>
        <v>0</v>
      </c>
      <c r="P127" s="538"/>
      <c r="R127" s="205"/>
    </row>
    <row r="128" spans="1:18" s="100" customFormat="1" ht="12.75">
      <c r="A128" s="735"/>
      <c r="B128" s="758"/>
      <c r="C128" s="741"/>
      <c r="D128" s="540"/>
      <c r="E128" s="540"/>
      <c r="F128" s="540"/>
      <c r="G128" s="540">
        <v>0.3</v>
      </c>
      <c r="H128" s="540">
        <v>0.5</v>
      </c>
      <c r="I128" s="540">
        <v>0.2</v>
      </c>
      <c r="J128" s="540"/>
      <c r="K128" s="540"/>
      <c r="L128" s="540"/>
      <c r="M128" s="540"/>
      <c r="N128" s="540"/>
      <c r="O128" s="540"/>
      <c r="P128" s="541">
        <f>C126</f>
        <v>0.2449718171983101</v>
      </c>
      <c r="R128" s="205">
        <f t="shared" si="47"/>
        <v>1</v>
      </c>
    </row>
    <row r="129" spans="1:18" s="100" customFormat="1" ht="12.75">
      <c r="A129" s="748" t="s">
        <v>594</v>
      </c>
      <c r="B129" s="756">
        <f>UNID_CONTROLE!$J$129</f>
        <v>2392.1955000000003</v>
      </c>
      <c r="C129" s="739">
        <f t="shared" ref="C129" si="77">B129/$B$150</f>
        <v>1.1072430382555834E-2</v>
      </c>
      <c r="D129" s="536">
        <f>$B129*D131</f>
        <v>0</v>
      </c>
      <c r="E129" s="537">
        <f t="shared" ref="E129:O129" si="78">$B129*E131</f>
        <v>0</v>
      </c>
      <c r="F129" s="537">
        <f t="shared" si="78"/>
        <v>0</v>
      </c>
      <c r="G129" s="537">
        <f t="shared" si="78"/>
        <v>0</v>
      </c>
      <c r="H129" s="537">
        <f t="shared" si="78"/>
        <v>0</v>
      </c>
      <c r="I129" s="537">
        <f t="shared" si="78"/>
        <v>2392.1955000000003</v>
      </c>
      <c r="J129" s="537">
        <f t="shared" si="78"/>
        <v>0</v>
      </c>
      <c r="K129" s="537">
        <f t="shared" si="78"/>
        <v>0</v>
      </c>
      <c r="L129" s="537">
        <f t="shared" si="78"/>
        <v>0</v>
      </c>
      <c r="M129" s="537">
        <f t="shared" si="78"/>
        <v>0</v>
      </c>
      <c r="N129" s="537">
        <f t="shared" si="78"/>
        <v>0</v>
      </c>
      <c r="O129" s="537">
        <f t="shared" si="78"/>
        <v>0</v>
      </c>
      <c r="P129" s="538">
        <f>SUM(D129:O129)</f>
        <v>2392.1955000000003</v>
      </c>
      <c r="R129" s="205"/>
    </row>
    <row r="130" spans="1:18" s="100" customFormat="1" ht="5.0999999999999996" customHeight="1">
      <c r="A130" s="749"/>
      <c r="B130" s="757"/>
      <c r="C130" s="740"/>
      <c r="D130" s="539">
        <f>+D131</f>
        <v>0</v>
      </c>
      <c r="E130" s="539">
        <f t="shared" ref="E130:O130" si="79">+E131</f>
        <v>0</v>
      </c>
      <c r="F130" s="539">
        <f t="shared" si="79"/>
        <v>0</v>
      </c>
      <c r="G130" s="539">
        <f t="shared" si="79"/>
        <v>0</v>
      </c>
      <c r="H130" s="539">
        <f t="shared" si="79"/>
        <v>0</v>
      </c>
      <c r="I130" s="539">
        <f t="shared" si="79"/>
        <v>1</v>
      </c>
      <c r="J130" s="539">
        <f t="shared" si="79"/>
        <v>0</v>
      </c>
      <c r="K130" s="539">
        <f t="shared" si="79"/>
        <v>0</v>
      </c>
      <c r="L130" s="539">
        <f t="shared" si="79"/>
        <v>0</v>
      </c>
      <c r="M130" s="539">
        <f t="shared" si="79"/>
        <v>0</v>
      </c>
      <c r="N130" s="539">
        <f t="shared" si="79"/>
        <v>0</v>
      </c>
      <c r="O130" s="539">
        <f t="shared" si="79"/>
        <v>0</v>
      </c>
      <c r="P130" s="538"/>
      <c r="R130" s="205"/>
    </row>
    <row r="131" spans="1:18" s="100" customFormat="1" ht="12.75">
      <c r="A131" s="750"/>
      <c r="B131" s="758"/>
      <c r="C131" s="741"/>
      <c r="D131" s="540"/>
      <c r="E131" s="540"/>
      <c r="F131" s="540"/>
      <c r="G131" s="540"/>
      <c r="H131" s="540"/>
      <c r="I131" s="540">
        <v>1</v>
      </c>
      <c r="J131" s="540"/>
      <c r="K131" s="540"/>
      <c r="L131" s="540"/>
      <c r="M131" s="540"/>
      <c r="N131" s="540"/>
      <c r="O131" s="540"/>
      <c r="P131" s="541">
        <f>C129</f>
        <v>1.1072430382555834E-2</v>
      </c>
      <c r="R131" s="205">
        <f t="shared" si="47"/>
        <v>1</v>
      </c>
    </row>
    <row r="132" spans="1:18" s="100" customFormat="1" ht="12.75">
      <c r="A132" s="733" t="s">
        <v>593</v>
      </c>
      <c r="B132" s="756">
        <f>UNID_CONTROLE!$J$132</f>
        <v>8041.4249999999993</v>
      </c>
      <c r="C132" s="739">
        <f t="shared" ref="C132" si="80">B132/$B$150</f>
        <v>3.7220251642912976E-2</v>
      </c>
      <c r="D132" s="536">
        <f>$B132*D134</f>
        <v>0</v>
      </c>
      <c r="E132" s="537">
        <f t="shared" ref="E132:O132" si="81">$B132*E134</f>
        <v>0</v>
      </c>
      <c r="F132" s="537">
        <f t="shared" si="81"/>
        <v>0</v>
      </c>
      <c r="G132" s="537">
        <f t="shared" si="81"/>
        <v>2412.4274999999998</v>
      </c>
      <c r="H132" s="537">
        <f t="shared" si="81"/>
        <v>3216.5699999999997</v>
      </c>
      <c r="I132" s="537">
        <f t="shared" si="81"/>
        <v>2412.4274999999998</v>
      </c>
      <c r="J132" s="537">
        <f t="shared" si="81"/>
        <v>0</v>
      </c>
      <c r="K132" s="537">
        <f t="shared" si="81"/>
        <v>0</v>
      </c>
      <c r="L132" s="537">
        <f t="shared" si="81"/>
        <v>0</v>
      </c>
      <c r="M132" s="537">
        <f t="shared" si="81"/>
        <v>0</v>
      </c>
      <c r="N132" s="537">
        <f t="shared" si="81"/>
        <v>0</v>
      </c>
      <c r="O132" s="537">
        <f t="shared" si="81"/>
        <v>0</v>
      </c>
      <c r="P132" s="538">
        <f>SUM(D132:O132)</f>
        <v>8041.4249999999993</v>
      </c>
      <c r="R132" s="205"/>
    </row>
    <row r="133" spans="1:18" s="100" customFormat="1" ht="5.0999999999999996" customHeight="1">
      <c r="A133" s="734"/>
      <c r="B133" s="757"/>
      <c r="C133" s="740"/>
      <c r="D133" s="539">
        <f>+D134</f>
        <v>0</v>
      </c>
      <c r="E133" s="539">
        <f t="shared" ref="E133:O133" si="82">+E134</f>
        <v>0</v>
      </c>
      <c r="F133" s="539">
        <f t="shared" si="82"/>
        <v>0</v>
      </c>
      <c r="G133" s="539">
        <f t="shared" si="82"/>
        <v>0.3</v>
      </c>
      <c r="H133" s="539">
        <f t="shared" si="82"/>
        <v>0.4</v>
      </c>
      <c r="I133" s="539">
        <f t="shared" si="82"/>
        <v>0.3</v>
      </c>
      <c r="J133" s="539">
        <f t="shared" si="82"/>
        <v>0</v>
      </c>
      <c r="K133" s="539">
        <f t="shared" si="82"/>
        <v>0</v>
      </c>
      <c r="L133" s="539">
        <f t="shared" si="82"/>
        <v>0</v>
      </c>
      <c r="M133" s="539">
        <f t="shared" si="82"/>
        <v>0</v>
      </c>
      <c r="N133" s="539">
        <f t="shared" si="82"/>
        <v>0</v>
      </c>
      <c r="O133" s="539">
        <f t="shared" si="82"/>
        <v>0</v>
      </c>
      <c r="P133" s="538"/>
      <c r="R133" s="205"/>
    </row>
    <row r="134" spans="1:18" s="100" customFormat="1" ht="12.75">
      <c r="A134" s="735"/>
      <c r="B134" s="758"/>
      <c r="C134" s="741"/>
      <c r="D134" s="540"/>
      <c r="E134" s="540"/>
      <c r="F134" s="540"/>
      <c r="G134" s="540">
        <v>0.3</v>
      </c>
      <c r="H134" s="540">
        <v>0.4</v>
      </c>
      <c r="I134" s="540">
        <v>0.3</v>
      </c>
      <c r="J134" s="540"/>
      <c r="K134" s="540"/>
      <c r="L134" s="540"/>
      <c r="M134" s="540"/>
      <c r="N134" s="540"/>
      <c r="O134" s="540"/>
      <c r="P134" s="541">
        <f>C132</f>
        <v>3.7220251642912976E-2</v>
      </c>
      <c r="R134" s="205">
        <f t="shared" si="47"/>
        <v>1</v>
      </c>
    </row>
    <row r="135" spans="1:18" s="100" customFormat="1" ht="12.75">
      <c r="A135" s="733" t="s">
        <v>592</v>
      </c>
      <c r="B135" s="756">
        <f>UNID_CONTROLE!$J$136</f>
        <v>9589.6849999999995</v>
      </c>
      <c r="C135" s="739">
        <f t="shared" ref="C135" si="83">B135/$B$150</f>
        <v>4.4386472407100475E-2</v>
      </c>
      <c r="D135" s="536">
        <f>$B135*D137</f>
        <v>0</v>
      </c>
      <c r="E135" s="537">
        <f t="shared" ref="E135:O135" si="84">$B135*E137</f>
        <v>0</v>
      </c>
      <c r="F135" s="537">
        <f t="shared" si="84"/>
        <v>0</v>
      </c>
      <c r="G135" s="537">
        <f t="shared" si="84"/>
        <v>0</v>
      </c>
      <c r="H135" s="537">
        <f t="shared" si="84"/>
        <v>0</v>
      </c>
      <c r="I135" s="537">
        <f t="shared" si="84"/>
        <v>0</v>
      </c>
      <c r="J135" s="537">
        <f t="shared" si="84"/>
        <v>4794.8424999999997</v>
      </c>
      <c r="K135" s="537">
        <f t="shared" si="84"/>
        <v>4794.8424999999997</v>
      </c>
      <c r="L135" s="537">
        <f t="shared" si="84"/>
        <v>0</v>
      </c>
      <c r="M135" s="537">
        <f t="shared" si="84"/>
        <v>0</v>
      </c>
      <c r="N135" s="537">
        <f t="shared" si="84"/>
        <v>0</v>
      </c>
      <c r="O135" s="537">
        <f t="shared" si="84"/>
        <v>0</v>
      </c>
      <c r="P135" s="538">
        <f>SUM(D135:O135)</f>
        <v>9589.6849999999995</v>
      </c>
      <c r="R135" s="205"/>
    </row>
    <row r="136" spans="1:18" s="100" customFormat="1" ht="5.0999999999999996" customHeight="1">
      <c r="A136" s="734"/>
      <c r="B136" s="757"/>
      <c r="C136" s="740"/>
      <c r="D136" s="539">
        <f>+D137</f>
        <v>0</v>
      </c>
      <c r="E136" s="539">
        <f t="shared" ref="E136:O136" si="85">+E137</f>
        <v>0</v>
      </c>
      <c r="F136" s="539">
        <f t="shared" si="85"/>
        <v>0</v>
      </c>
      <c r="G136" s="539">
        <f t="shared" si="85"/>
        <v>0</v>
      </c>
      <c r="H136" s="539">
        <f t="shared" si="85"/>
        <v>0</v>
      </c>
      <c r="I136" s="539">
        <f t="shared" si="85"/>
        <v>0</v>
      </c>
      <c r="J136" s="539">
        <f t="shared" si="85"/>
        <v>0.5</v>
      </c>
      <c r="K136" s="539">
        <f t="shared" si="85"/>
        <v>0.5</v>
      </c>
      <c r="L136" s="539">
        <f t="shared" si="85"/>
        <v>0</v>
      </c>
      <c r="M136" s="539">
        <f t="shared" si="85"/>
        <v>0</v>
      </c>
      <c r="N136" s="539">
        <f t="shared" si="85"/>
        <v>0</v>
      </c>
      <c r="O136" s="539">
        <f t="shared" si="85"/>
        <v>0</v>
      </c>
      <c r="P136" s="538"/>
      <c r="R136" s="205"/>
    </row>
    <row r="137" spans="1:18" s="100" customFormat="1" ht="12.75">
      <c r="A137" s="735"/>
      <c r="B137" s="758"/>
      <c r="C137" s="741"/>
      <c r="D137" s="540"/>
      <c r="E137" s="540"/>
      <c r="F137" s="540"/>
      <c r="G137" s="540"/>
      <c r="H137" s="540"/>
      <c r="I137" s="540"/>
      <c r="J137" s="540">
        <v>0.5</v>
      </c>
      <c r="K137" s="540">
        <v>0.5</v>
      </c>
      <c r="L137" s="540"/>
      <c r="M137" s="540"/>
      <c r="N137" s="540"/>
      <c r="O137" s="540"/>
      <c r="P137" s="541">
        <f>C135</f>
        <v>4.4386472407100475E-2</v>
      </c>
      <c r="R137" s="205">
        <f t="shared" si="47"/>
        <v>1</v>
      </c>
    </row>
    <row r="138" spans="1:18" s="100" customFormat="1" ht="12.75">
      <c r="A138" s="733" t="s">
        <v>591</v>
      </c>
      <c r="B138" s="756">
        <f>UNID_CONTROLE!$J$143</f>
        <v>35431.607646861994</v>
      </c>
      <c r="C138" s="739">
        <f t="shared" ref="C138" si="86">B138/$B$150</f>
        <v>0.16399746969338933</v>
      </c>
      <c r="D138" s="536">
        <f>$B138*D140</f>
        <v>0</v>
      </c>
      <c r="E138" s="537">
        <f t="shared" ref="E138:O138" si="87">$B138*E140</f>
        <v>0</v>
      </c>
      <c r="F138" s="537">
        <f t="shared" si="87"/>
        <v>0</v>
      </c>
      <c r="G138" s="537">
        <f t="shared" si="87"/>
        <v>0</v>
      </c>
      <c r="H138" s="537">
        <f t="shared" si="87"/>
        <v>0</v>
      </c>
      <c r="I138" s="537">
        <f t="shared" si="87"/>
        <v>10629.482294058598</v>
      </c>
      <c r="J138" s="537">
        <f t="shared" si="87"/>
        <v>14172.643058744798</v>
      </c>
      <c r="K138" s="537">
        <f t="shared" si="87"/>
        <v>10629.482294058598</v>
      </c>
      <c r="L138" s="537">
        <f t="shared" si="87"/>
        <v>0</v>
      </c>
      <c r="M138" s="537">
        <f t="shared" si="87"/>
        <v>0</v>
      </c>
      <c r="N138" s="537">
        <f t="shared" si="87"/>
        <v>0</v>
      </c>
      <c r="O138" s="537">
        <f t="shared" si="87"/>
        <v>0</v>
      </c>
      <c r="P138" s="538">
        <f>SUM(D138:O138)</f>
        <v>35431.607646861994</v>
      </c>
      <c r="R138" s="205"/>
    </row>
    <row r="139" spans="1:18" s="100" customFormat="1" ht="5.0999999999999996" customHeight="1">
      <c r="A139" s="734"/>
      <c r="B139" s="757"/>
      <c r="C139" s="740"/>
      <c r="D139" s="539">
        <f>+D140</f>
        <v>0</v>
      </c>
      <c r="E139" s="539">
        <f t="shared" ref="E139:O139" si="88">+E140</f>
        <v>0</v>
      </c>
      <c r="F139" s="539">
        <f t="shared" si="88"/>
        <v>0</v>
      </c>
      <c r="G139" s="539">
        <f t="shared" si="88"/>
        <v>0</v>
      </c>
      <c r="H139" s="539">
        <f t="shared" si="88"/>
        <v>0</v>
      </c>
      <c r="I139" s="539">
        <f t="shared" si="88"/>
        <v>0.3</v>
      </c>
      <c r="J139" s="539">
        <f t="shared" si="88"/>
        <v>0.4</v>
      </c>
      <c r="K139" s="539">
        <f t="shared" si="88"/>
        <v>0.3</v>
      </c>
      <c r="L139" s="539">
        <f t="shared" si="88"/>
        <v>0</v>
      </c>
      <c r="M139" s="539">
        <f t="shared" si="88"/>
        <v>0</v>
      </c>
      <c r="N139" s="539">
        <f t="shared" si="88"/>
        <v>0</v>
      </c>
      <c r="O139" s="539">
        <f t="shared" si="88"/>
        <v>0</v>
      </c>
      <c r="P139" s="538"/>
      <c r="R139" s="205"/>
    </row>
    <row r="140" spans="1:18" s="100" customFormat="1" ht="12.75">
      <c r="A140" s="735"/>
      <c r="B140" s="758"/>
      <c r="C140" s="741"/>
      <c r="D140" s="540"/>
      <c r="E140" s="540"/>
      <c r="F140" s="540"/>
      <c r="G140" s="540"/>
      <c r="H140" s="540"/>
      <c r="I140" s="540">
        <v>0.3</v>
      </c>
      <c r="J140" s="540">
        <v>0.4</v>
      </c>
      <c r="K140" s="540">
        <v>0.3</v>
      </c>
      <c r="L140" s="540"/>
      <c r="M140" s="540"/>
      <c r="N140" s="540"/>
      <c r="O140" s="540"/>
      <c r="P140" s="541">
        <f>C138</f>
        <v>0.16399746969338933</v>
      </c>
      <c r="R140" s="205">
        <f t="shared" si="47"/>
        <v>1</v>
      </c>
    </row>
    <row r="141" spans="1:18" s="100" customFormat="1" ht="12.75">
      <c r="A141" s="733" t="s">
        <v>590</v>
      </c>
      <c r="B141" s="756">
        <f>UNID_CONTROLE!$J$146</f>
        <v>426.4</v>
      </c>
      <c r="C141" s="739">
        <f t="shared" ref="C141" si="89">B141/$B$150</f>
        <v>1.9736197627333581E-3</v>
      </c>
      <c r="D141" s="536">
        <f>$B141*D143</f>
        <v>0</v>
      </c>
      <c r="E141" s="537">
        <f t="shared" ref="E141:O141" si="90">$B141*E143</f>
        <v>0</v>
      </c>
      <c r="F141" s="537">
        <f t="shared" si="90"/>
        <v>0</v>
      </c>
      <c r="G141" s="537">
        <f t="shared" si="90"/>
        <v>0</v>
      </c>
      <c r="H141" s="537">
        <f t="shared" si="90"/>
        <v>0</v>
      </c>
      <c r="I141" s="537">
        <f t="shared" si="90"/>
        <v>0</v>
      </c>
      <c r="J141" s="537">
        <f t="shared" si="90"/>
        <v>426.4</v>
      </c>
      <c r="K141" s="537">
        <f t="shared" si="90"/>
        <v>0</v>
      </c>
      <c r="L141" s="537">
        <f t="shared" si="90"/>
        <v>0</v>
      </c>
      <c r="M141" s="537">
        <f t="shared" si="90"/>
        <v>0</v>
      </c>
      <c r="N141" s="537">
        <f t="shared" si="90"/>
        <v>0</v>
      </c>
      <c r="O141" s="537">
        <f t="shared" si="90"/>
        <v>0</v>
      </c>
      <c r="P141" s="538">
        <f>SUM(D141:O141)</f>
        <v>426.4</v>
      </c>
      <c r="R141" s="205"/>
    </row>
    <row r="142" spans="1:18" s="100" customFormat="1" ht="5.0999999999999996" customHeight="1">
      <c r="A142" s="734"/>
      <c r="B142" s="757"/>
      <c r="C142" s="740"/>
      <c r="D142" s="539">
        <f>+D143</f>
        <v>0</v>
      </c>
      <c r="E142" s="539">
        <f t="shared" ref="E142:O142" si="91">+E143</f>
        <v>0</v>
      </c>
      <c r="F142" s="539">
        <f t="shared" si="91"/>
        <v>0</v>
      </c>
      <c r="G142" s="539">
        <f t="shared" si="91"/>
        <v>0</v>
      </c>
      <c r="H142" s="539">
        <f t="shared" si="91"/>
        <v>0</v>
      </c>
      <c r="I142" s="539">
        <f t="shared" si="91"/>
        <v>0</v>
      </c>
      <c r="J142" s="539">
        <f t="shared" si="91"/>
        <v>1</v>
      </c>
      <c r="K142" s="539">
        <f t="shared" si="91"/>
        <v>0</v>
      </c>
      <c r="L142" s="539">
        <f t="shared" si="91"/>
        <v>0</v>
      </c>
      <c r="M142" s="539">
        <f t="shared" si="91"/>
        <v>0</v>
      </c>
      <c r="N142" s="539">
        <f t="shared" si="91"/>
        <v>0</v>
      </c>
      <c r="O142" s="539">
        <f t="shared" si="91"/>
        <v>0</v>
      </c>
      <c r="P142" s="538"/>
      <c r="R142" s="205"/>
    </row>
    <row r="143" spans="1:18" s="100" customFormat="1" ht="12.75">
      <c r="A143" s="735"/>
      <c r="B143" s="758"/>
      <c r="C143" s="741"/>
      <c r="D143" s="540"/>
      <c r="E143" s="540"/>
      <c r="F143" s="540"/>
      <c r="G143" s="540"/>
      <c r="H143" s="540"/>
      <c r="I143" s="540"/>
      <c r="J143" s="540">
        <v>1</v>
      </c>
      <c r="K143" s="540"/>
      <c r="L143" s="540"/>
      <c r="M143" s="540"/>
      <c r="N143" s="540"/>
      <c r="O143" s="540"/>
      <c r="P143" s="541">
        <f>C141</f>
        <v>1.9736197627333581E-3</v>
      </c>
      <c r="R143" s="205">
        <f t="shared" si="47"/>
        <v>1</v>
      </c>
    </row>
    <row r="144" spans="1:18" s="100" customFormat="1" ht="12.75">
      <c r="A144" s="733" t="s">
        <v>587</v>
      </c>
      <c r="B144" s="756">
        <f>UNID_CONTROLE!$J$157</f>
        <v>26234.148230840001</v>
      </c>
      <c r="C144" s="739">
        <f t="shared" ref="C144" si="92">B144/$B$150</f>
        <v>0.12142643857144041</v>
      </c>
      <c r="D144" s="536">
        <f>$B144*D146</f>
        <v>0</v>
      </c>
      <c r="E144" s="537">
        <f t="shared" ref="E144:O144" si="93">$B144*E146</f>
        <v>0</v>
      </c>
      <c r="F144" s="537">
        <f t="shared" si="93"/>
        <v>0</v>
      </c>
      <c r="G144" s="537">
        <f t="shared" si="93"/>
        <v>0</v>
      </c>
      <c r="H144" s="537">
        <f t="shared" si="93"/>
        <v>0</v>
      </c>
      <c r="I144" s="537">
        <f t="shared" si="93"/>
        <v>0</v>
      </c>
      <c r="J144" s="537">
        <f t="shared" si="93"/>
        <v>0</v>
      </c>
      <c r="K144" s="537">
        <f t="shared" si="93"/>
        <v>10493.659292336</v>
      </c>
      <c r="L144" s="537">
        <f t="shared" si="93"/>
        <v>10493.659292336</v>
      </c>
      <c r="M144" s="537">
        <f t="shared" si="93"/>
        <v>5246.8296461680002</v>
      </c>
      <c r="N144" s="537">
        <f t="shared" si="93"/>
        <v>0</v>
      </c>
      <c r="O144" s="537">
        <f t="shared" si="93"/>
        <v>0</v>
      </c>
      <c r="P144" s="538">
        <f>SUM(D144:O144)</f>
        <v>26234.148230840001</v>
      </c>
      <c r="R144" s="205"/>
    </row>
    <row r="145" spans="1:18" s="100" customFormat="1" ht="5.0999999999999996" customHeight="1">
      <c r="A145" s="734"/>
      <c r="B145" s="757"/>
      <c r="C145" s="740"/>
      <c r="D145" s="539">
        <f>+D146</f>
        <v>0</v>
      </c>
      <c r="E145" s="539">
        <f t="shared" ref="E145:O145" si="94">+E146</f>
        <v>0</v>
      </c>
      <c r="F145" s="539">
        <f t="shared" si="94"/>
        <v>0</v>
      </c>
      <c r="G145" s="539">
        <f t="shared" si="94"/>
        <v>0</v>
      </c>
      <c r="H145" s="539">
        <f t="shared" si="94"/>
        <v>0</v>
      </c>
      <c r="I145" s="539">
        <f t="shared" si="94"/>
        <v>0</v>
      </c>
      <c r="J145" s="539">
        <f t="shared" si="94"/>
        <v>0</v>
      </c>
      <c r="K145" s="539">
        <f t="shared" si="94"/>
        <v>0.4</v>
      </c>
      <c r="L145" s="539">
        <f t="shared" si="94"/>
        <v>0.4</v>
      </c>
      <c r="M145" s="539">
        <f t="shared" si="94"/>
        <v>0.2</v>
      </c>
      <c r="N145" s="539">
        <f t="shared" si="94"/>
        <v>0</v>
      </c>
      <c r="O145" s="539">
        <f t="shared" si="94"/>
        <v>0</v>
      </c>
      <c r="P145" s="538"/>
      <c r="R145" s="205"/>
    </row>
    <row r="146" spans="1:18" s="100" customFormat="1" ht="12.75">
      <c r="A146" s="735"/>
      <c r="B146" s="758"/>
      <c r="C146" s="741"/>
      <c r="D146" s="540"/>
      <c r="E146" s="540"/>
      <c r="F146" s="540"/>
      <c r="G146" s="540"/>
      <c r="H146" s="540"/>
      <c r="I146" s="540"/>
      <c r="J146" s="540"/>
      <c r="K146" s="540">
        <v>0.4</v>
      </c>
      <c r="L146" s="540">
        <v>0.4</v>
      </c>
      <c r="M146" s="540">
        <v>0.2</v>
      </c>
      <c r="N146" s="540"/>
      <c r="O146" s="540"/>
      <c r="P146" s="541">
        <f>C144</f>
        <v>0.12142643857144041</v>
      </c>
      <c r="R146" s="205">
        <f t="shared" ref="R146:R208" si="95">+SUM(D146:O146)</f>
        <v>1</v>
      </c>
    </row>
    <row r="147" spans="1:18" s="100" customFormat="1" ht="12.75">
      <c r="A147" s="748" t="s">
        <v>2</v>
      </c>
      <c r="B147" s="756">
        <f>UNID_CONTROLE!$J$162</f>
        <v>5952.2805580799995</v>
      </c>
      <c r="C147" s="739">
        <f t="shared" ref="C147" si="96">B147/$B$150</f>
        <v>2.7550512529925488E-2</v>
      </c>
      <c r="D147" s="536">
        <f>$B147*D149</f>
        <v>0</v>
      </c>
      <c r="E147" s="537">
        <f t="shared" ref="E147:O147" si="97">$B147*E149</f>
        <v>0</v>
      </c>
      <c r="F147" s="537">
        <f t="shared" si="97"/>
        <v>0</v>
      </c>
      <c r="G147" s="537">
        <f t="shared" si="97"/>
        <v>0</v>
      </c>
      <c r="H147" s="537">
        <f t="shared" si="97"/>
        <v>0</v>
      </c>
      <c r="I147" s="537">
        <f t="shared" si="97"/>
        <v>0</v>
      </c>
      <c r="J147" s="537">
        <f t="shared" si="97"/>
        <v>0</v>
      </c>
      <c r="K147" s="537">
        <f t="shared" si="97"/>
        <v>0</v>
      </c>
      <c r="L147" s="537">
        <f t="shared" si="97"/>
        <v>2976.1402790399998</v>
      </c>
      <c r="M147" s="537">
        <f t="shared" si="97"/>
        <v>2976.1402790399998</v>
      </c>
      <c r="N147" s="537">
        <f t="shared" si="97"/>
        <v>0</v>
      </c>
      <c r="O147" s="537">
        <f t="shared" si="97"/>
        <v>0</v>
      </c>
      <c r="P147" s="538">
        <f>SUM(D147:O147)</f>
        <v>5952.2805580799995</v>
      </c>
      <c r="R147" s="205"/>
    </row>
    <row r="148" spans="1:18" s="100" customFormat="1" ht="5.0999999999999996" customHeight="1">
      <c r="A148" s="749"/>
      <c r="B148" s="757"/>
      <c r="C148" s="740"/>
      <c r="D148" s="539">
        <f>+D149</f>
        <v>0</v>
      </c>
      <c r="E148" s="539">
        <f t="shared" ref="E148:O148" si="98">+E149</f>
        <v>0</v>
      </c>
      <c r="F148" s="539">
        <f t="shared" si="98"/>
        <v>0</v>
      </c>
      <c r="G148" s="539">
        <f t="shared" si="98"/>
        <v>0</v>
      </c>
      <c r="H148" s="539">
        <f t="shared" si="98"/>
        <v>0</v>
      </c>
      <c r="I148" s="539">
        <f t="shared" si="98"/>
        <v>0</v>
      </c>
      <c r="J148" s="539">
        <f t="shared" si="98"/>
        <v>0</v>
      </c>
      <c r="K148" s="539">
        <f t="shared" si="98"/>
        <v>0</v>
      </c>
      <c r="L148" s="539">
        <f t="shared" si="98"/>
        <v>0.5</v>
      </c>
      <c r="M148" s="539">
        <f t="shared" si="98"/>
        <v>0.5</v>
      </c>
      <c r="N148" s="539">
        <f t="shared" si="98"/>
        <v>0</v>
      </c>
      <c r="O148" s="539">
        <f t="shared" si="98"/>
        <v>0</v>
      </c>
      <c r="P148" s="538"/>
      <c r="R148" s="205"/>
    </row>
    <row r="149" spans="1:18" s="100" customFormat="1" ht="12.75">
      <c r="A149" s="750"/>
      <c r="B149" s="758"/>
      <c r="C149" s="741"/>
      <c r="D149" s="540"/>
      <c r="E149" s="540"/>
      <c r="F149" s="540"/>
      <c r="G149" s="540"/>
      <c r="H149" s="540"/>
      <c r="I149" s="540"/>
      <c r="J149" s="540"/>
      <c r="K149" s="540"/>
      <c r="L149" s="540">
        <v>0.5</v>
      </c>
      <c r="M149" s="540">
        <v>0.5</v>
      </c>
      <c r="N149" s="540"/>
      <c r="O149" s="540"/>
      <c r="P149" s="541">
        <f>C147</f>
        <v>2.7550512529925488E-2</v>
      </c>
      <c r="R149" s="205">
        <f t="shared" si="95"/>
        <v>1</v>
      </c>
    </row>
    <row r="150" spans="1:18" s="100" customFormat="1" ht="12.75">
      <c r="A150" s="751" t="s">
        <v>7039</v>
      </c>
      <c r="B150" s="547">
        <f>SUM(B114:B149)</f>
        <v>216049.72145670996</v>
      </c>
      <c r="C150" s="542">
        <f>SUM(C114:C149)</f>
        <v>1.0000000000000002</v>
      </c>
      <c r="D150" s="543">
        <f>(D114+D117+D120+D123+D126+D129+D132+D135+D138+D141+D144+D147)</f>
        <v>651.26565193400006</v>
      </c>
      <c r="E150" s="543">
        <f>(E114+E117+E120+E123+E126+E129+E132+E135+E138+E141+E144+E147)</f>
        <v>11483.800874143852</v>
      </c>
      <c r="F150" s="543">
        <f>(F114+F117+F120+F123+F126+F129+F132+F135+F138+F141+F144+F147)</f>
        <v>11083.036726843851</v>
      </c>
      <c r="G150" s="543">
        <f>(G114+G117+G120+G123+G126+G129+G132+G135+G138+G141+G144+G147)</f>
        <v>18340.37479211569</v>
      </c>
      <c r="H150" s="543">
        <f t="shared" ref="H150:M150" si="99">(H114+H117+H120+H123+H126+H129+H132+H135+H138+H141+H144+H147)</f>
        <v>29729.735866203482</v>
      </c>
      <c r="I150" s="543">
        <f t="shared" si="99"/>
        <v>48135.277890850091</v>
      </c>
      <c r="J150" s="543">
        <f t="shared" si="99"/>
        <v>35156.0853842086</v>
      </c>
      <c r="K150" s="543">
        <f t="shared" si="99"/>
        <v>39677.135911858401</v>
      </c>
      <c r="L150" s="543">
        <f t="shared" si="99"/>
        <v>13519.919002359999</v>
      </c>
      <c r="M150" s="543">
        <f t="shared" si="99"/>
        <v>8273.0893561920002</v>
      </c>
      <c r="N150" s="543" t="e">
        <f>(N114+N117+N120+N123+#REF!+N126+N129+N132+N135+N138+N141+N144+N147)</f>
        <v>#REF!</v>
      </c>
      <c r="O150" s="543" t="e">
        <f>(O114+O117+O120+O123+#REF!+O126+O129+O132+O135+O138+O141+O144+O147)</f>
        <v>#REF!</v>
      </c>
      <c r="P150" s="544">
        <f>SUM(D150:M150)</f>
        <v>216049.72145670999</v>
      </c>
      <c r="R150" s="205"/>
    </row>
    <row r="151" spans="1:18" s="100" customFormat="1" ht="12.75">
      <c r="A151" s="752"/>
      <c r="B151" s="208"/>
      <c r="C151" s="581"/>
      <c r="D151" s="582">
        <f t="shared" ref="D151:O151" si="100">D150/$B$150</f>
        <v>3.0144248626790969E-3</v>
      </c>
      <c r="E151" s="582">
        <f t="shared" si="100"/>
        <v>5.3153509278857689E-2</v>
      </c>
      <c r="F151" s="582">
        <f t="shared" si="100"/>
        <v>5.1298546705437743E-2</v>
      </c>
      <c r="G151" s="582">
        <f t="shared" si="100"/>
        <v>8.4889601654916103E-2</v>
      </c>
      <c r="H151" s="582">
        <f t="shared" si="100"/>
        <v>0.13760599025886941</v>
      </c>
      <c r="I151" s="582">
        <f t="shared" si="100"/>
        <v>0.22279722263143484</v>
      </c>
      <c r="J151" s="582">
        <f t="shared" si="100"/>
        <v>0.16272219722001749</v>
      </c>
      <c r="K151" s="582">
        <f t="shared" si="100"/>
        <v>0.18364816970989956</v>
      </c>
      <c r="L151" s="582">
        <f t="shared" si="100"/>
        <v>6.2577812696088086E-2</v>
      </c>
      <c r="M151" s="582">
        <f t="shared" si="100"/>
        <v>3.8292524981800011E-2</v>
      </c>
      <c r="N151" s="582" t="e">
        <f t="shared" si="100"/>
        <v>#REF!</v>
      </c>
      <c r="O151" s="582" t="e">
        <f t="shared" si="100"/>
        <v>#REF!</v>
      </c>
      <c r="P151" s="583">
        <f>SUM(D151:M151)</f>
        <v>1</v>
      </c>
      <c r="R151" s="205" t="e">
        <f>+SUM(D151:O151)</f>
        <v>#REF!</v>
      </c>
    </row>
    <row r="152" spans="1:18" s="61" customFormat="1" ht="36" customHeight="1">
      <c r="B152" s="209"/>
      <c r="R152" s="580"/>
    </row>
    <row r="153" spans="1:18">
      <c r="A153" s="759" t="s">
        <v>6930</v>
      </c>
      <c r="B153" s="760"/>
      <c r="C153" s="760"/>
      <c r="D153" s="760"/>
      <c r="E153" s="760"/>
      <c r="F153" s="760"/>
      <c r="G153" s="760"/>
      <c r="H153" s="760"/>
      <c r="I153" s="760"/>
      <c r="J153" s="760"/>
      <c r="K153" s="760"/>
      <c r="L153" s="760"/>
      <c r="M153" s="760"/>
      <c r="N153" s="760"/>
      <c r="O153" s="761"/>
      <c r="P153" s="587"/>
      <c r="R153" s="205"/>
    </row>
    <row r="154" spans="1:18">
      <c r="A154" s="734" t="s">
        <v>611</v>
      </c>
      <c r="B154" s="758">
        <f>COB_VISITANTES!$J$15</f>
        <v>192.99798000000001</v>
      </c>
      <c r="C154" s="740">
        <f>B154/$B$175</f>
        <v>5.7076058264842458E-3</v>
      </c>
      <c r="D154" s="213">
        <f t="shared" ref="D154:O154" si="101">$B154*D156</f>
        <v>0</v>
      </c>
      <c r="E154" s="214">
        <f t="shared" si="101"/>
        <v>0</v>
      </c>
      <c r="F154" s="214">
        <f t="shared" si="101"/>
        <v>0</v>
      </c>
      <c r="G154" s="214">
        <f t="shared" si="101"/>
        <v>0</v>
      </c>
      <c r="H154" s="214">
        <f t="shared" si="101"/>
        <v>38.599596000000005</v>
      </c>
      <c r="I154" s="214">
        <f t="shared" si="101"/>
        <v>38.599596000000005</v>
      </c>
      <c r="J154" s="214">
        <f t="shared" si="101"/>
        <v>38.599596000000005</v>
      </c>
      <c r="K154" s="214">
        <f t="shared" si="101"/>
        <v>38.599596000000005</v>
      </c>
      <c r="L154" s="214">
        <f t="shared" si="101"/>
        <v>38.599596000000005</v>
      </c>
      <c r="M154" s="214">
        <f t="shared" si="101"/>
        <v>0</v>
      </c>
      <c r="N154" s="214">
        <f t="shared" si="101"/>
        <v>0</v>
      </c>
      <c r="O154" s="214">
        <f t="shared" si="101"/>
        <v>0</v>
      </c>
      <c r="P154" s="584">
        <f>SUM(D154:O154)</f>
        <v>192.99798000000004</v>
      </c>
      <c r="R154" s="205"/>
    </row>
    <row r="155" spans="1:18" ht="5.0999999999999996" customHeight="1">
      <c r="A155" s="743"/>
      <c r="B155" s="762"/>
      <c r="C155" s="740"/>
      <c r="D155" s="539">
        <f>+D156</f>
        <v>0</v>
      </c>
      <c r="E155" s="539">
        <f t="shared" ref="E155:O155" si="102">+E156</f>
        <v>0</v>
      </c>
      <c r="F155" s="539">
        <f t="shared" si="102"/>
        <v>0</v>
      </c>
      <c r="G155" s="539">
        <f t="shared" si="102"/>
        <v>0</v>
      </c>
      <c r="H155" s="539">
        <f t="shared" si="102"/>
        <v>0.2</v>
      </c>
      <c r="I155" s="539">
        <f t="shared" si="102"/>
        <v>0.2</v>
      </c>
      <c r="J155" s="539">
        <f t="shared" si="102"/>
        <v>0.2</v>
      </c>
      <c r="K155" s="539">
        <f t="shared" si="102"/>
        <v>0.2</v>
      </c>
      <c r="L155" s="539">
        <f t="shared" si="102"/>
        <v>0.2</v>
      </c>
      <c r="M155" s="539">
        <f t="shared" si="102"/>
        <v>0</v>
      </c>
      <c r="N155" s="539">
        <f t="shared" si="102"/>
        <v>0</v>
      </c>
      <c r="O155" s="539">
        <f t="shared" si="102"/>
        <v>0</v>
      </c>
      <c r="P155" s="538"/>
      <c r="R155" s="205">
        <f t="shared" si="95"/>
        <v>1</v>
      </c>
    </row>
    <row r="156" spans="1:18">
      <c r="A156" s="744"/>
      <c r="B156" s="762"/>
      <c r="C156" s="741"/>
      <c r="D156" s="540"/>
      <c r="E156" s="540"/>
      <c r="F156" s="540"/>
      <c r="G156" s="540"/>
      <c r="H156" s="540">
        <v>0.2</v>
      </c>
      <c r="I156" s="540">
        <v>0.2</v>
      </c>
      <c r="J156" s="540">
        <v>0.2</v>
      </c>
      <c r="K156" s="540">
        <v>0.2</v>
      </c>
      <c r="L156" s="540">
        <v>0.2</v>
      </c>
      <c r="M156" s="540"/>
      <c r="N156" s="540"/>
      <c r="O156" s="540"/>
      <c r="P156" s="541">
        <f>C154</f>
        <v>5.7076058264842458E-3</v>
      </c>
      <c r="R156" s="205">
        <f t="shared" si="95"/>
        <v>1</v>
      </c>
    </row>
    <row r="157" spans="1:18">
      <c r="A157" s="748" t="s">
        <v>609</v>
      </c>
      <c r="B157" s="762">
        <f>COB_VISITANTES!$J$19</f>
        <v>113.47579071000001</v>
      </c>
      <c r="C157" s="739">
        <f>B157/$B$175</f>
        <v>3.3558645754805457E-3</v>
      </c>
      <c r="D157" s="536">
        <f t="shared" ref="D157:O157" si="103">$B157*D159</f>
        <v>0</v>
      </c>
      <c r="E157" s="537">
        <f t="shared" si="103"/>
        <v>0</v>
      </c>
      <c r="F157" s="537">
        <f t="shared" si="103"/>
        <v>0</v>
      </c>
      <c r="G157" s="537">
        <f t="shared" si="103"/>
        <v>0</v>
      </c>
      <c r="H157" s="537">
        <f t="shared" si="103"/>
        <v>113.47579071000001</v>
      </c>
      <c r="I157" s="537">
        <f t="shared" si="103"/>
        <v>0</v>
      </c>
      <c r="J157" s="537">
        <f t="shared" si="103"/>
        <v>0</v>
      </c>
      <c r="K157" s="537">
        <f t="shared" si="103"/>
        <v>0</v>
      </c>
      <c r="L157" s="537">
        <f t="shared" si="103"/>
        <v>0</v>
      </c>
      <c r="M157" s="537">
        <f t="shared" si="103"/>
        <v>0</v>
      </c>
      <c r="N157" s="537">
        <f t="shared" si="103"/>
        <v>0</v>
      </c>
      <c r="O157" s="537">
        <f t="shared" si="103"/>
        <v>0</v>
      </c>
      <c r="P157" s="538">
        <f>SUM(D157:O157)</f>
        <v>113.47579071000001</v>
      </c>
      <c r="R157" s="205"/>
    </row>
    <row r="158" spans="1:18" ht="5.0999999999999996" customHeight="1">
      <c r="A158" s="746"/>
      <c r="B158" s="762"/>
      <c r="C158" s="740"/>
      <c r="D158" s="539">
        <f>+D159</f>
        <v>0</v>
      </c>
      <c r="E158" s="539">
        <f t="shared" ref="E158:O158" si="104">+E159</f>
        <v>0</v>
      </c>
      <c r="F158" s="539">
        <f t="shared" si="104"/>
        <v>0</v>
      </c>
      <c r="G158" s="539">
        <f t="shared" si="104"/>
        <v>0</v>
      </c>
      <c r="H158" s="539">
        <f t="shared" si="104"/>
        <v>1</v>
      </c>
      <c r="I158" s="539">
        <f t="shared" si="104"/>
        <v>0</v>
      </c>
      <c r="J158" s="539">
        <f t="shared" si="104"/>
        <v>0</v>
      </c>
      <c r="K158" s="539">
        <f t="shared" si="104"/>
        <v>0</v>
      </c>
      <c r="L158" s="539">
        <f t="shared" si="104"/>
        <v>0</v>
      </c>
      <c r="M158" s="539">
        <f t="shared" si="104"/>
        <v>0</v>
      </c>
      <c r="N158" s="539">
        <f t="shared" si="104"/>
        <v>0</v>
      </c>
      <c r="O158" s="539">
        <f t="shared" si="104"/>
        <v>0</v>
      </c>
      <c r="P158" s="538"/>
      <c r="R158" s="205">
        <f t="shared" si="95"/>
        <v>1</v>
      </c>
    </row>
    <row r="159" spans="1:18">
      <c r="A159" s="747"/>
      <c r="B159" s="762"/>
      <c r="C159" s="741"/>
      <c r="D159" s="540"/>
      <c r="E159" s="540"/>
      <c r="F159" s="540"/>
      <c r="G159" s="540"/>
      <c r="H159" s="540">
        <v>1</v>
      </c>
      <c r="I159" s="540"/>
      <c r="J159" s="540"/>
      <c r="K159" s="540"/>
      <c r="L159" s="540"/>
      <c r="M159" s="540"/>
      <c r="N159" s="540"/>
      <c r="O159" s="540"/>
      <c r="P159" s="541">
        <f>C157</f>
        <v>3.3558645754805457E-3</v>
      </c>
      <c r="R159" s="205">
        <f t="shared" si="95"/>
        <v>1</v>
      </c>
    </row>
    <row r="160" spans="1:18">
      <c r="A160" s="733" t="s">
        <v>605</v>
      </c>
      <c r="B160" s="762">
        <f>COB_VISITANTES!$J$31</f>
        <v>14280.456538000002</v>
      </c>
      <c r="C160" s="739">
        <f>B160/$B$175</f>
        <v>0.42232160637714367</v>
      </c>
      <c r="D160" s="536">
        <f t="shared" ref="D160:O160" si="105">$B160*D162</f>
        <v>0</v>
      </c>
      <c r="E160" s="537">
        <f t="shared" si="105"/>
        <v>0</v>
      </c>
      <c r="F160" s="537">
        <f t="shared" si="105"/>
        <v>0</v>
      </c>
      <c r="G160" s="537">
        <f t="shared" si="105"/>
        <v>0</v>
      </c>
      <c r="H160" s="537">
        <f t="shared" si="105"/>
        <v>2856.0913076000006</v>
      </c>
      <c r="I160" s="537">
        <f t="shared" si="105"/>
        <v>3570.1141345000005</v>
      </c>
      <c r="J160" s="537">
        <f t="shared" si="105"/>
        <v>3570.1141345000005</v>
      </c>
      <c r="K160" s="537">
        <f t="shared" si="105"/>
        <v>4284.1369614000005</v>
      </c>
      <c r="L160" s="537">
        <f t="shared" si="105"/>
        <v>0</v>
      </c>
      <c r="M160" s="537">
        <f t="shared" si="105"/>
        <v>0</v>
      </c>
      <c r="N160" s="537">
        <f t="shared" si="105"/>
        <v>0</v>
      </c>
      <c r="O160" s="537">
        <f t="shared" si="105"/>
        <v>0</v>
      </c>
      <c r="P160" s="538">
        <f>SUM(D160:O160)</f>
        <v>14280.456538000002</v>
      </c>
      <c r="R160" s="205"/>
    </row>
    <row r="161" spans="1:18" ht="5.0999999999999996" customHeight="1">
      <c r="A161" s="734"/>
      <c r="B161" s="762"/>
      <c r="C161" s="740"/>
      <c r="D161" s="539">
        <f>+D162</f>
        <v>0</v>
      </c>
      <c r="E161" s="539">
        <f t="shared" ref="E161:O161" si="106">+E162</f>
        <v>0</v>
      </c>
      <c r="F161" s="539">
        <f t="shared" si="106"/>
        <v>0</v>
      </c>
      <c r="G161" s="539">
        <f t="shared" si="106"/>
        <v>0</v>
      </c>
      <c r="H161" s="539">
        <f t="shared" si="106"/>
        <v>0.2</v>
      </c>
      <c r="I161" s="539">
        <f t="shared" si="106"/>
        <v>0.25</v>
      </c>
      <c r="J161" s="539">
        <f t="shared" si="106"/>
        <v>0.25</v>
      </c>
      <c r="K161" s="539">
        <f t="shared" si="106"/>
        <v>0.3</v>
      </c>
      <c r="L161" s="539">
        <f t="shared" si="106"/>
        <v>0</v>
      </c>
      <c r="M161" s="539">
        <f t="shared" si="106"/>
        <v>0</v>
      </c>
      <c r="N161" s="539">
        <f t="shared" si="106"/>
        <v>0</v>
      </c>
      <c r="O161" s="539">
        <f t="shared" si="106"/>
        <v>0</v>
      </c>
      <c r="P161" s="538"/>
      <c r="R161" s="205">
        <f t="shared" si="95"/>
        <v>1</v>
      </c>
    </row>
    <row r="162" spans="1:18">
      <c r="A162" s="735"/>
      <c r="B162" s="762"/>
      <c r="C162" s="741"/>
      <c r="D162" s="540"/>
      <c r="E162" s="540"/>
      <c r="F162" s="540"/>
      <c r="G162" s="540"/>
      <c r="H162" s="540">
        <v>0.2</v>
      </c>
      <c r="I162" s="540">
        <v>0.25</v>
      </c>
      <c r="J162" s="540">
        <v>0.25</v>
      </c>
      <c r="K162" s="540">
        <v>0.3</v>
      </c>
      <c r="L162" s="540"/>
      <c r="M162" s="540"/>
      <c r="N162" s="540"/>
      <c r="O162" s="540"/>
      <c r="P162" s="541">
        <f>C160</f>
        <v>0.42232160637714367</v>
      </c>
      <c r="R162" s="205">
        <f t="shared" si="95"/>
        <v>1</v>
      </c>
    </row>
    <row r="163" spans="1:18">
      <c r="A163" s="733" t="s">
        <v>592</v>
      </c>
      <c r="B163" s="762">
        <f>COB_VISITANTES!$J$35</f>
        <v>4772.8548000000001</v>
      </c>
      <c r="C163" s="739">
        <f>B163/$B$175</f>
        <v>0.14114952843259446</v>
      </c>
      <c r="D163" s="536">
        <f t="shared" ref="D163:O163" si="107">$B163*D165</f>
        <v>0</v>
      </c>
      <c r="E163" s="537">
        <f t="shared" si="107"/>
        <v>0</v>
      </c>
      <c r="F163" s="537">
        <f t="shared" si="107"/>
        <v>0</v>
      </c>
      <c r="G163" s="537">
        <f t="shared" si="107"/>
        <v>0</v>
      </c>
      <c r="H163" s="537">
        <f t="shared" si="107"/>
        <v>0</v>
      </c>
      <c r="I163" s="537">
        <f t="shared" si="107"/>
        <v>2386.4274</v>
      </c>
      <c r="J163" s="537">
        <f t="shared" si="107"/>
        <v>2386.4274</v>
      </c>
      <c r="K163" s="537">
        <f t="shared" si="107"/>
        <v>0</v>
      </c>
      <c r="L163" s="537">
        <f t="shared" si="107"/>
        <v>0</v>
      </c>
      <c r="M163" s="537">
        <f t="shared" si="107"/>
        <v>0</v>
      </c>
      <c r="N163" s="537">
        <f t="shared" si="107"/>
        <v>0</v>
      </c>
      <c r="O163" s="537">
        <f t="shared" si="107"/>
        <v>0</v>
      </c>
      <c r="P163" s="538">
        <f>SUM(D163:O163)</f>
        <v>4772.8548000000001</v>
      </c>
      <c r="R163" s="205"/>
    </row>
    <row r="164" spans="1:18" ht="5.0999999999999996" customHeight="1">
      <c r="A164" s="734"/>
      <c r="B164" s="762"/>
      <c r="C164" s="740"/>
      <c r="D164" s="539">
        <f>+D165</f>
        <v>0</v>
      </c>
      <c r="E164" s="539">
        <f t="shared" ref="E164:O164" si="108">+E165</f>
        <v>0</v>
      </c>
      <c r="F164" s="539">
        <f t="shared" si="108"/>
        <v>0</v>
      </c>
      <c r="G164" s="539">
        <f t="shared" si="108"/>
        <v>0</v>
      </c>
      <c r="H164" s="539">
        <f t="shared" si="108"/>
        <v>0</v>
      </c>
      <c r="I164" s="539">
        <f t="shared" si="108"/>
        <v>0.5</v>
      </c>
      <c r="J164" s="539">
        <f t="shared" si="108"/>
        <v>0.5</v>
      </c>
      <c r="K164" s="539">
        <f t="shared" si="108"/>
        <v>0</v>
      </c>
      <c r="L164" s="539">
        <f t="shared" si="108"/>
        <v>0</v>
      </c>
      <c r="M164" s="539">
        <f t="shared" si="108"/>
        <v>0</v>
      </c>
      <c r="N164" s="539">
        <f t="shared" si="108"/>
        <v>0</v>
      </c>
      <c r="O164" s="539">
        <f t="shared" si="108"/>
        <v>0</v>
      </c>
      <c r="P164" s="538"/>
      <c r="R164" s="205">
        <f t="shared" si="95"/>
        <v>1</v>
      </c>
    </row>
    <row r="165" spans="1:18">
      <c r="A165" s="735"/>
      <c r="B165" s="762"/>
      <c r="C165" s="741"/>
      <c r="D165" s="540"/>
      <c r="E165" s="540"/>
      <c r="F165" s="540"/>
      <c r="G165" s="540"/>
      <c r="H165" s="540"/>
      <c r="I165" s="540">
        <v>0.5</v>
      </c>
      <c r="J165" s="540">
        <v>0.5</v>
      </c>
      <c r="K165" s="540"/>
      <c r="L165" s="540"/>
      <c r="M165" s="540"/>
      <c r="N165" s="540"/>
      <c r="O165" s="540"/>
      <c r="P165" s="541">
        <f>C163</f>
        <v>0.14114952843259446</v>
      </c>
      <c r="R165" s="205">
        <f t="shared" si="95"/>
        <v>1</v>
      </c>
    </row>
    <row r="166" spans="1:18">
      <c r="A166" s="733" t="s">
        <v>591</v>
      </c>
      <c r="B166" s="762">
        <f>COB_VISITANTES!$J$40</f>
        <v>4649.9875316799998</v>
      </c>
      <c r="C166" s="739">
        <f>B166/$B$175</f>
        <v>0.13751592596407414</v>
      </c>
      <c r="D166" s="536">
        <f t="shared" ref="D166:O166" si="109">$B166*D168</f>
        <v>0</v>
      </c>
      <c r="E166" s="537">
        <f t="shared" si="109"/>
        <v>0</v>
      </c>
      <c r="F166" s="537">
        <f t="shared" si="109"/>
        <v>0</v>
      </c>
      <c r="G166" s="537">
        <f t="shared" si="109"/>
        <v>0</v>
      </c>
      <c r="H166" s="537">
        <f t="shared" si="109"/>
        <v>0</v>
      </c>
      <c r="I166" s="537">
        <f t="shared" si="109"/>
        <v>0</v>
      </c>
      <c r="J166" s="537">
        <f t="shared" si="109"/>
        <v>2324.9937658399999</v>
      </c>
      <c r="K166" s="537">
        <f t="shared" si="109"/>
        <v>2324.9937658399999</v>
      </c>
      <c r="L166" s="537">
        <f t="shared" si="109"/>
        <v>0</v>
      </c>
      <c r="M166" s="537">
        <f t="shared" si="109"/>
        <v>0</v>
      </c>
      <c r="N166" s="537">
        <f t="shared" si="109"/>
        <v>0</v>
      </c>
      <c r="O166" s="537">
        <f t="shared" si="109"/>
        <v>0</v>
      </c>
      <c r="P166" s="538">
        <f>SUM(D166:O166)</f>
        <v>4649.9875316799998</v>
      </c>
      <c r="R166" s="205"/>
    </row>
    <row r="167" spans="1:18" ht="5.0999999999999996" customHeight="1">
      <c r="A167" s="734"/>
      <c r="B167" s="762"/>
      <c r="C167" s="740"/>
      <c r="D167" s="539">
        <f>+D168</f>
        <v>0</v>
      </c>
      <c r="E167" s="539">
        <f t="shared" ref="E167:O167" si="110">+E168</f>
        <v>0</v>
      </c>
      <c r="F167" s="539">
        <f t="shared" si="110"/>
        <v>0</v>
      </c>
      <c r="G167" s="539">
        <f t="shared" si="110"/>
        <v>0</v>
      </c>
      <c r="H167" s="539">
        <f t="shared" si="110"/>
        <v>0</v>
      </c>
      <c r="I167" s="539">
        <f t="shared" si="110"/>
        <v>0</v>
      </c>
      <c r="J167" s="539">
        <f t="shared" si="110"/>
        <v>0.5</v>
      </c>
      <c r="K167" s="539">
        <f t="shared" si="110"/>
        <v>0.5</v>
      </c>
      <c r="L167" s="539">
        <f t="shared" si="110"/>
        <v>0</v>
      </c>
      <c r="M167" s="539">
        <f t="shared" si="110"/>
        <v>0</v>
      </c>
      <c r="N167" s="539">
        <f t="shared" si="110"/>
        <v>0</v>
      </c>
      <c r="O167" s="539">
        <f t="shared" si="110"/>
        <v>0</v>
      </c>
      <c r="P167" s="538"/>
      <c r="R167" s="205">
        <f t="shared" si="95"/>
        <v>1</v>
      </c>
    </row>
    <row r="168" spans="1:18">
      <c r="A168" s="735"/>
      <c r="B168" s="762"/>
      <c r="C168" s="741"/>
      <c r="D168" s="540"/>
      <c r="E168" s="540"/>
      <c r="F168" s="540"/>
      <c r="G168" s="540"/>
      <c r="H168" s="540"/>
      <c r="I168" s="540"/>
      <c r="J168" s="540">
        <v>0.5</v>
      </c>
      <c r="K168" s="540">
        <v>0.5</v>
      </c>
      <c r="L168" s="540"/>
      <c r="M168" s="540"/>
      <c r="N168" s="540"/>
      <c r="O168" s="540"/>
      <c r="P168" s="541">
        <f>C166</f>
        <v>0.13751592596407414</v>
      </c>
      <c r="R168" s="205">
        <f t="shared" si="95"/>
        <v>1</v>
      </c>
    </row>
    <row r="169" spans="1:18">
      <c r="A169" s="733" t="s">
        <v>587</v>
      </c>
      <c r="B169" s="762">
        <f>COB_VISITANTES!$J$47</f>
        <v>5334.6836999999996</v>
      </c>
      <c r="C169" s="739">
        <f>B169/$B$175</f>
        <v>0.15776471737460945</v>
      </c>
      <c r="D169" s="536">
        <f t="shared" ref="D169:O169" si="111">$B169*D171</f>
        <v>0</v>
      </c>
      <c r="E169" s="537">
        <f t="shared" si="111"/>
        <v>0</v>
      </c>
      <c r="F169" s="537">
        <f t="shared" si="111"/>
        <v>0</v>
      </c>
      <c r="G169" s="537">
        <f t="shared" si="111"/>
        <v>0</v>
      </c>
      <c r="H169" s="537">
        <f t="shared" si="111"/>
        <v>0</v>
      </c>
      <c r="I169" s="537">
        <f t="shared" si="111"/>
        <v>0</v>
      </c>
      <c r="J169" s="537">
        <f t="shared" si="111"/>
        <v>0</v>
      </c>
      <c r="K169" s="537">
        <f t="shared" si="111"/>
        <v>2133.8734799999997</v>
      </c>
      <c r="L169" s="537">
        <f t="shared" si="111"/>
        <v>2133.8734799999997</v>
      </c>
      <c r="M169" s="537">
        <f t="shared" si="111"/>
        <v>1066.9367399999999</v>
      </c>
      <c r="N169" s="537">
        <f t="shared" si="111"/>
        <v>0</v>
      </c>
      <c r="O169" s="537">
        <f t="shared" si="111"/>
        <v>0</v>
      </c>
      <c r="P169" s="538">
        <f>SUM(D169:O169)</f>
        <v>5334.6836999999996</v>
      </c>
      <c r="R169" s="205"/>
    </row>
    <row r="170" spans="1:18" ht="5.0999999999999996" customHeight="1">
      <c r="A170" s="734"/>
      <c r="B170" s="762"/>
      <c r="C170" s="740"/>
      <c r="D170" s="539">
        <f>+D171</f>
        <v>0</v>
      </c>
      <c r="E170" s="539">
        <f t="shared" ref="E170:O170" si="112">+E171</f>
        <v>0</v>
      </c>
      <c r="F170" s="539">
        <f t="shared" si="112"/>
        <v>0</v>
      </c>
      <c r="G170" s="539">
        <f t="shared" si="112"/>
        <v>0</v>
      </c>
      <c r="H170" s="539">
        <f t="shared" si="112"/>
        <v>0</v>
      </c>
      <c r="I170" s="539">
        <f t="shared" si="112"/>
        <v>0</v>
      </c>
      <c r="J170" s="539">
        <f t="shared" si="112"/>
        <v>0</v>
      </c>
      <c r="K170" s="539">
        <f t="shared" si="112"/>
        <v>0.4</v>
      </c>
      <c r="L170" s="539">
        <f t="shared" si="112"/>
        <v>0.4</v>
      </c>
      <c r="M170" s="539">
        <f t="shared" si="112"/>
        <v>0.2</v>
      </c>
      <c r="N170" s="539">
        <f t="shared" si="112"/>
        <v>0</v>
      </c>
      <c r="O170" s="539">
        <f t="shared" si="112"/>
        <v>0</v>
      </c>
      <c r="P170" s="538"/>
      <c r="R170" s="205">
        <f t="shared" si="95"/>
        <v>1</v>
      </c>
    </row>
    <row r="171" spans="1:18">
      <c r="A171" s="735"/>
      <c r="B171" s="762"/>
      <c r="C171" s="741"/>
      <c r="D171" s="540"/>
      <c r="E171" s="540"/>
      <c r="F171" s="540"/>
      <c r="G171" s="540"/>
      <c r="H171" s="540"/>
      <c r="I171" s="540"/>
      <c r="J171" s="540"/>
      <c r="K171" s="540">
        <v>0.4</v>
      </c>
      <c r="L171" s="540">
        <v>0.4</v>
      </c>
      <c r="M171" s="540">
        <v>0.2</v>
      </c>
      <c r="N171" s="540"/>
      <c r="O171" s="540"/>
      <c r="P171" s="541">
        <f>C169</f>
        <v>0.15776471737460945</v>
      </c>
      <c r="R171" s="205">
        <f t="shared" si="95"/>
        <v>1</v>
      </c>
    </row>
    <row r="172" spans="1:18">
      <c r="A172" s="748" t="s">
        <v>2</v>
      </c>
      <c r="B172" s="762">
        <f>COB_VISITANTES!$J$51</f>
        <v>4469.7182657920002</v>
      </c>
      <c r="C172" s="739">
        <f>B172/$B$175</f>
        <v>0.1321847514496135</v>
      </c>
      <c r="D172" s="536">
        <f t="shared" ref="D172:O172" si="113">$B172*D174</f>
        <v>0</v>
      </c>
      <c r="E172" s="537">
        <f t="shared" si="113"/>
        <v>0</v>
      </c>
      <c r="F172" s="537">
        <f t="shared" si="113"/>
        <v>0</v>
      </c>
      <c r="G172" s="537">
        <f t="shared" si="113"/>
        <v>0</v>
      </c>
      <c r="H172" s="537">
        <f t="shared" si="113"/>
        <v>0</v>
      </c>
      <c r="I172" s="537">
        <f t="shared" si="113"/>
        <v>0</v>
      </c>
      <c r="J172" s="537">
        <f t="shared" si="113"/>
        <v>0</v>
      </c>
      <c r="K172" s="537">
        <f t="shared" si="113"/>
        <v>0</v>
      </c>
      <c r="L172" s="537">
        <f t="shared" si="113"/>
        <v>2234.8591328960001</v>
      </c>
      <c r="M172" s="537">
        <f t="shared" si="113"/>
        <v>2234.8591328960001</v>
      </c>
      <c r="N172" s="537">
        <f t="shared" si="113"/>
        <v>0</v>
      </c>
      <c r="O172" s="537">
        <f t="shared" si="113"/>
        <v>0</v>
      </c>
      <c r="P172" s="538">
        <f>SUM(D172:O172)</f>
        <v>4469.7182657920002</v>
      </c>
      <c r="R172" s="205"/>
    </row>
    <row r="173" spans="1:18" ht="5.0999999999999996" customHeight="1">
      <c r="A173" s="749"/>
      <c r="B173" s="762"/>
      <c r="C173" s="740"/>
      <c r="D173" s="539">
        <f>+D174</f>
        <v>0</v>
      </c>
      <c r="E173" s="539">
        <f t="shared" ref="E173:O173" si="114">+E174</f>
        <v>0</v>
      </c>
      <c r="F173" s="539">
        <f t="shared" si="114"/>
        <v>0</v>
      </c>
      <c r="G173" s="539">
        <f t="shared" si="114"/>
        <v>0</v>
      </c>
      <c r="H173" s="539">
        <f t="shared" si="114"/>
        <v>0</v>
      </c>
      <c r="I173" s="539">
        <f t="shared" si="114"/>
        <v>0</v>
      </c>
      <c r="J173" s="539">
        <f t="shared" si="114"/>
        <v>0</v>
      </c>
      <c r="K173" s="539">
        <f t="shared" si="114"/>
        <v>0</v>
      </c>
      <c r="L173" s="539">
        <f t="shared" si="114"/>
        <v>0.5</v>
      </c>
      <c r="M173" s="539">
        <f t="shared" si="114"/>
        <v>0.5</v>
      </c>
      <c r="N173" s="539">
        <f t="shared" si="114"/>
        <v>0</v>
      </c>
      <c r="O173" s="539">
        <f t="shared" si="114"/>
        <v>0</v>
      </c>
      <c r="P173" s="538"/>
      <c r="R173" s="205">
        <f t="shared" si="95"/>
        <v>1</v>
      </c>
    </row>
    <row r="174" spans="1:18">
      <c r="A174" s="750"/>
      <c r="B174" s="762"/>
      <c r="C174" s="741"/>
      <c r="D174" s="540"/>
      <c r="E174" s="540"/>
      <c r="F174" s="540"/>
      <c r="G174" s="540"/>
      <c r="H174" s="540"/>
      <c r="I174" s="540"/>
      <c r="J174" s="540"/>
      <c r="K174" s="540"/>
      <c r="L174" s="540">
        <v>0.5</v>
      </c>
      <c r="M174" s="540">
        <v>0.5</v>
      </c>
      <c r="N174" s="540"/>
      <c r="O174" s="540"/>
      <c r="P174" s="541">
        <f>C172</f>
        <v>0.1321847514496135</v>
      </c>
      <c r="R174" s="205">
        <f t="shared" si="95"/>
        <v>1</v>
      </c>
    </row>
    <row r="175" spans="1:18">
      <c r="A175" s="751" t="s">
        <v>7040</v>
      </c>
      <c r="B175" s="210">
        <f>SUM(B154:B174)</f>
        <v>33814.174606182001</v>
      </c>
      <c r="C175" s="542">
        <f>SUM(C154:C174)</f>
        <v>1</v>
      </c>
      <c r="D175" s="543">
        <f t="shared" ref="D175:O175" si="115">(D154+D157+D160+D163+D166+D169+D172)</f>
        <v>0</v>
      </c>
      <c r="E175" s="543">
        <f t="shared" si="115"/>
        <v>0</v>
      </c>
      <c r="F175" s="543">
        <f t="shared" si="115"/>
        <v>0</v>
      </c>
      <c r="G175" s="543">
        <f t="shared" si="115"/>
        <v>0</v>
      </c>
      <c r="H175" s="543">
        <f t="shared" si="115"/>
        <v>3008.1666943100008</v>
      </c>
      <c r="I175" s="543">
        <f t="shared" si="115"/>
        <v>5995.1411305000001</v>
      </c>
      <c r="J175" s="543">
        <f t="shared" si="115"/>
        <v>8320.1348963399996</v>
      </c>
      <c r="K175" s="543">
        <f t="shared" si="115"/>
        <v>8781.6038032400011</v>
      </c>
      <c r="L175" s="543">
        <f t="shared" si="115"/>
        <v>4407.3322088959994</v>
      </c>
      <c r="M175" s="543">
        <f t="shared" si="115"/>
        <v>3301.7958728960002</v>
      </c>
      <c r="N175" s="543">
        <f t="shared" si="115"/>
        <v>0</v>
      </c>
      <c r="O175" s="543">
        <f t="shared" si="115"/>
        <v>0</v>
      </c>
      <c r="P175" s="544">
        <f>SUM(D175:O175)</f>
        <v>33814.174606182001</v>
      </c>
      <c r="R175" s="205"/>
    </row>
    <row r="176" spans="1:18">
      <c r="A176" s="752"/>
      <c r="B176" s="208"/>
      <c r="C176" s="581"/>
      <c r="D176" s="582">
        <f t="shared" ref="D176:O176" si="116">D175/$B$175</f>
        <v>0</v>
      </c>
      <c r="E176" s="582">
        <f t="shared" si="116"/>
        <v>0</v>
      </c>
      <c r="F176" s="582">
        <f t="shared" si="116"/>
        <v>0</v>
      </c>
      <c r="G176" s="582">
        <f t="shared" si="116"/>
        <v>0</v>
      </c>
      <c r="H176" s="582">
        <f t="shared" si="116"/>
        <v>8.8961707016206135E-2</v>
      </c>
      <c r="I176" s="582">
        <f t="shared" si="116"/>
        <v>0.17729668697588</v>
      </c>
      <c r="J176" s="582">
        <f t="shared" si="116"/>
        <v>0.24605464995791704</v>
      </c>
      <c r="K176" s="582">
        <f t="shared" si="116"/>
        <v>0.25970185301032084</v>
      </c>
      <c r="L176" s="582">
        <f t="shared" si="116"/>
        <v>0.13033978383994738</v>
      </c>
      <c r="M176" s="582">
        <f t="shared" si="116"/>
        <v>9.7645319199728645E-2</v>
      </c>
      <c r="N176" s="582">
        <f t="shared" si="116"/>
        <v>0</v>
      </c>
      <c r="O176" s="582">
        <f t="shared" si="116"/>
        <v>0</v>
      </c>
      <c r="P176" s="583">
        <f>SUM(D176:O176)</f>
        <v>1</v>
      </c>
      <c r="R176" s="205">
        <f t="shared" si="95"/>
        <v>1</v>
      </c>
    </row>
    <row r="177" spans="1:18" s="61" customFormat="1">
      <c r="R177" s="580"/>
    </row>
    <row r="178" spans="1:18">
      <c r="A178" s="763" t="s">
        <v>6337</v>
      </c>
      <c r="B178" s="730"/>
      <c r="C178" s="754"/>
      <c r="D178" s="754"/>
      <c r="E178" s="754"/>
      <c r="F178" s="754"/>
      <c r="G178" s="754"/>
      <c r="H178" s="754"/>
      <c r="I178" s="754"/>
      <c r="J178" s="754"/>
      <c r="K178" s="754"/>
      <c r="L178" s="754"/>
      <c r="M178" s="754"/>
      <c r="N178" s="754"/>
      <c r="O178" s="755"/>
      <c r="P178" s="579"/>
      <c r="R178" s="205"/>
    </row>
    <row r="179" spans="1:18">
      <c r="A179" s="764" t="s">
        <v>612</v>
      </c>
      <c r="B179" s="756">
        <f>GUARITA!$J$15</f>
        <v>57.863292149999999</v>
      </c>
      <c r="C179" s="739">
        <f>B179/$B$233</f>
        <v>1.1736598270927806E-3</v>
      </c>
      <c r="D179" s="536">
        <f t="shared" ref="D179:O179" si="117">$B179*D181</f>
        <v>0</v>
      </c>
      <c r="E179" s="537">
        <f t="shared" si="117"/>
        <v>0</v>
      </c>
      <c r="F179" s="537">
        <f t="shared" si="117"/>
        <v>0</v>
      </c>
      <c r="G179" s="537">
        <f t="shared" si="117"/>
        <v>0</v>
      </c>
      <c r="H179" s="537">
        <f t="shared" si="117"/>
        <v>0</v>
      </c>
      <c r="I179" s="537">
        <f t="shared" si="117"/>
        <v>57.863292149999999</v>
      </c>
      <c r="J179" s="537">
        <f t="shared" si="117"/>
        <v>0</v>
      </c>
      <c r="K179" s="537">
        <f t="shared" si="117"/>
        <v>0</v>
      </c>
      <c r="L179" s="537">
        <f t="shared" si="117"/>
        <v>0</v>
      </c>
      <c r="M179" s="537">
        <f t="shared" si="117"/>
        <v>0</v>
      </c>
      <c r="N179" s="537">
        <f t="shared" si="117"/>
        <v>0</v>
      </c>
      <c r="O179" s="537">
        <f t="shared" si="117"/>
        <v>0</v>
      </c>
      <c r="P179" s="538">
        <f>SUM(D179:O179)</f>
        <v>57.863292149999999</v>
      </c>
      <c r="R179" s="205"/>
    </row>
    <row r="180" spans="1:18" ht="5.0999999999999996" customHeight="1">
      <c r="A180" s="765"/>
      <c r="B180" s="757"/>
      <c r="C180" s="740"/>
      <c r="D180" s="539">
        <f>+D181</f>
        <v>0</v>
      </c>
      <c r="E180" s="539">
        <f t="shared" ref="E180:O180" si="118">+E181</f>
        <v>0</v>
      </c>
      <c r="F180" s="539">
        <f t="shared" si="118"/>
        <v>0</v>
      </c>
      <c r="G180" s="539">
        <f t="shared" si="118"/>
        <v>0</v>
      </c>
      <c r="H180" s="539">
        <f t="shared" si="118"/>
        <v>0</v>
      </c>
      <c r="I180" s="539">
        <f t="shared" si="118"/>
        <v>1</v>
      </c>
      <c r="J180" s="539">
        <f t="shared" si="118"/>
        <v>0</v>
      </c>
      <c r="K180" s="539">
        <f t="shared" si="118"/>
        <v>0</v>
      </c>
      <c r="L180" s="539">
        <f t="shared" si="118"/>
        <v>0</v>
      </c>
      <c r="M180" s="539">
        <f t="shared" si="118"/>
        <v>0</v>
      </c>
      <c r="N180" s="539">
        <f t="shared" si="118"/>
        <v>0</v>
      </c>
      <c r="O180" s="539">
        <f t="shared" si="118"/>
        <v>0</v>
      </c>
      <c r="P180" s="538"/>
      <c r="R180" s="205">
        <f t="shared" si="95"/>
        <v>1</v>
      </c>
    </row>
    <row r="181" spans="1:18">
      <c r="A181" s="766"/>
      <c r="B181" s="758"/>
      <c r="C181" s="741"/>
      <c r="D181" s="540"/>
      <c r="E181" s="540"/>
      <c r="F181" s="540"/>
      <c r="G181" s="540"/>
      <c r="H181" s="540"/>
      <c r="I181" s="540">
        <v>1</v>
      </c>
      <c r="J181" s="540"/>
      <c r="K181" s="540"/>
      <c r="L181" s="540"/>
      <c r="M181" s="540"/>
      <c r="N181" s="540"/>
      <c r="O181" s="540"/>
      <c r="P181" s="541">
        <f>C179</f>
        <v>1.1736598270927806E-3</v>
      </c>
      <c r="R181" s="205">
        <f t="shared" si="95"/>
        <v>1</v>
      </c>
    </row>
    <row r="182" spans="1:18">
      <c r="A182" s="767" t="s">
        <v>611</v>
      </c>
      <c r="B182" s="756">
        <f>GUARITA!$J$18</f>
        <v>57.256067400000006</v>
      </c>
      <c r="C182" s="739">
        <f>B182/$B$233</f>
        <v>1.161343291537839E-3</v>
      </c>
      <c r="D182" s="536">
        <f t="shared" ref="D182:O182" si="119">$B182*D184</f>
        <v>0</v>
      </c>
      <c r="E182" s="537">
        <f t="shared" si="119"/>
        <v>0</v>
      </c>
      <c r="F182" s="537">
        <f t="shared" si="119"/>
        <v>0</v>
      </c>
      <c r="G182" s="537">
        <f t="shared" si="119"/>
        <v>0</v>
      </c>
      <c r="H182" s="537">
        <f t="shared" si="119"/>
        <v>0</v>
      </c>
      <c r="I182" s="537">
        <f t="shared" si="119"/>
        <v>57.256067400000006</v>
      </c>
      <c r="J182" s="537">
        <f t="shared" si="119"/>
        <v>0</v>
      </c>
      <c r="K182" s="537">
        <f t="shared" si="119"/>
        <v>0</v>
      </c>
      <c r="L182" s="537">
        <f t="shared" si="119"/>
        <v>0</v>
      </c>
      <c r="M182" s="537">
        <f t="shared" si="119"/>
        <v>0</v>
      </c>
      <c r="N182" s="537">
        <f t="shared" si="119"/>
        <v>0</v>
      </c>
      <c r="O182" s="537">
        <f t="shared" si="119"/>
        <v>0</v>
      </c>
      <c r="P182" s="538">
        <f>SUM(D182:O182)</f>
        <v>57.256067400000006</v>
      </c>
      <c r="R182" s="205"/>
    </row>
    <row r="183" spans="1:18" ht="5.0999999999999996" customHeight="1">
      <c r="A183" s="768"/>
      <c r="B183" s="757"/>
      <c r="C183" s="740"/>
      <c r="D183" s="539">
        <f>+D184</f>
        <v>0</v>
      </c>
      <c r="E183" s="539">
        <f t="shared" ref="E183:O183" si="120">+E184</f>
        <v>0</v>
      </c>
      <c r="F183" s="539">
        <f t="shared" si="120"/>
        <v>0</v>
      </c>
      <c r="G183" s="539">
        <f t="shared" si="120"/>
        <v>0</v>
      </c>
      <c r="H183" s="539">
        <f t="shared" si="120"/>
        <v>0</v>
      </c>
      <c r="I183" s="539">
        <f t="shared" si="120"/>
        <v>1</v>
      </c>
      <c r="J183" s="539">
        <f t="shared" si="120"/>
        <v>0</v>
      </c>
      <c r="K183" s="539">
        <f t="shared" si="120"/>
        <v>0</v>
      </c>
      <c r="L183" s="539">
        <f t="shared" si="120"/>
        <v>0</v>
      </c>
      <c r="M183" s="539">
        <f t="shared" si="120"/>
        <v>0</v>
      </c>
      <c r="N183" s="539">
        <f t="shared" si="120"/>
        <v>0</v>
      </c>
      <c r="O183" s="539">
        <f t="shared" si="120"/>
        <v>0</v>
      </c>
      <c r="P183" s="538"/>
      <c r="R183" s="205">
        <f t="shared" si="95"/>
        <v>1</v>
      </c>
    </row>
    <row r="184" spans="1:18">
      <c r="A184" s="769"/>
      <c r="B184" s="758"/>
      <c r="C184" s="741"/>
      <c r="D184" s="540"/>
      <c r="E184" s="540"/>
      <c r="F184" s="540"/>
      <c r="G184" s="540"/>
      <c r="H184" s="540"/>
      <c r="I184" s="540">
        <v>1</v>
      </c>
      <c r="J184" s="540"/>
      <c r="K184" s="540"/>
      <c r="L184" s="540"/>
      <c r="M184" s="540"/>
      <c r="N184" s="540"/>
      <c r="O184" s="540"/>
      <c r="P184" s="541">
        <f>C182</f>
        <v>1.161343291537839E-3</v>
      </c>
      <c r="R184" s="205">
        <f t="shared" si="95"/>
        <v>1</v>
      </c>
    </row>
    <row r="185" spans="1:18">
      <c r="A185" s="767" t="s">
        <v>609</v>
      </c>
      <c r="B185" s="756">
        <f>GUARITA!$J$25</f>
        <v>640.30000001000008</v>
      </c>
      <c r="C185" s="739">
        <f>B185/$B$233</f>
        <v>1.2987411524237723E-2</v>
      </c>
      <c r="D185" s="536">
        <f t="shared" ref="D185:O185" si="121">$B185*D187</f>
        <v>0</v>
      </c>
      <c r="E185" s="537">
        <f t="shared" si="121"/>
        <v>0</v>
      </c>
      <c r="F185" s="537">
        <f t="shared" si="121"/>
        <v>0</v>
      </c>
      <c r="G185" s="537">
        <f t="shared" si="121"/>
        <v>0</v>
      </c>
      <c r="H185" s="537">
        <f t="shared" si="121"/>
        <v>0</v>
      </c>
      <c r="I185" s="537">
        <f t="shared" si="121"/>
        <v>640.30000001000008</v>
      </c>
      <c r="J185" s="537">
        <f t="shared" si="121"/>
        <v>0</v>
      </c>
      <c r="K185" s="537">
        <f t="shared" si="121"/>
        <v>0</v>
      </c>
      <c r="L185" s="537">
        <f t="shared" si="121"/>
        <v>0</v>
      </c>
      <c r="M185" s="537">
        <f t="shared" si="121"/>
        <v>0</v>
      </c>
      <c r="N185" s="537">
        <f t="shared" si="121"/>
        <v>0</v>
      </c>
      <c r="O185" s="537">
        <f t="shared" si="121"/>
        <v>0</v>
      </c>
      <c r="P185" s="538">
        <f>SUM(D185:O185)</f>
        <v>640.30000001000008</v>
      </c>
      <c r="R185" s="205"/>
    </row>
    <row r="186" spans="1:18" ht="5.0999999999999996" customHeight="1">
      <c r="A186" s="768"/>
      <c r="B186" s="757"/>
      <c r="C186" s="740"/>
      <c r="D186" s="539">
        <f>+D187</f>
        <v>0</v>
      </c>
      <c r="E186" s="539">
        <f t="shared" ref="E186:O186" si="122">+E187</f>
        <v>0</v>
      </c>
      <c r="F186" s="539">
        <f t="shared" si="122"/>
        <v>0</v>
      </c>
      <c r="G186" s="539">
        <f t="shared" si="122"/>
        <v>0</v>
      </c>
      <c r="H186" s="539">
        <f t="shared" si="122"/>
        <v>0</v>
      </c>
      <c r="I186" s="539">
        <f t="shared" si="122"/>
        <v>1</v>
      </c>
      <c r="J186" s="539">
        <f t="shared" si="122"/>
        <v>0</v>
      </c>
      <c r="K186" s="539">
        <f t="shared" si="122"/>
        <v>0</v>
      </c>
      <c r="L186" s="539">
        <f t="shared" si="122"/>
        <v>0</v>
      </c>
      <c r="M186" s="539">
        <f t="shared" si="122"/>
        <v>0</v>
      </c>
      <c r="N186" s="539">
        <f t="shared" si="122"/>
        <v>0</v>
      </c>
      <c r="O186" s="539">
        <f t="shared" si="122"/>
        <v>0</v>
      </c>
      <c r="P186" s="538"/>
      <c r="R186" s="205">
        <f t="shared" si="95"/>
        <v>1</v>
      </c>
    </row>
    <row r="187" spans="1:18">
      <c r="A187" s="769"/>
      <c r="B187" s="758"/>
      <c r="C187" s="741"/>
      <c r="D187" s="540"/>
      <c r="E187" s="540"/>
      <c r="F187" s="540"/>
      <c r="G187" s="540"/>
      <c r="H187" s="540"/>
      <c r="I187" s="540">
        <v>1</v>
      </c>
      <c r="J187" s="540"/>
      <c r="K187" s="540"/>
      <c r="L187" s="540"/>
      <c r="M187" s="540"/>
      <c r="N187" s="540"/>
      <c r="O187" s="540"/>
      <c r="P187" s="541">
        <f>C185</f>
        <v>1.2987411524237723E-2</v>
      </c>
      <c r="R187" s="205">
        <f t="shared" si="95"/>
        <v>1</v>
      </c>
    </row>
    <row r="188" spans="1:18">
      <c r="A188" s="764" t="s">
        <v>608</v>
      </c>
      <c r="B188" s="756">
        <f>GUARITA!$J$35</f>
        <v>5800.7707409799987</v>
      </c>
      <c r="C188" s="739">
        <f>B188/$B$233</f>
        <v>0.11765890484099334</v>
      </c>
      <c r="D188" s="536">
        <f t="shared" ref="D188:O188" si="123">$B188*D190</f>
        <v>0</v>
      </c>
      <c r="E188" s="537">
        <f t="shared" si="123"/>
        <v>0</v>
      </c>
      <c r="F188" s="537">
        <f t="shared" si="123"/>
        <v>0</v>
      </c>
      <c r="G188" s="537">
        <f t="shared" si="123"/>
        <v>0</v>
      </c>
      <c r="H188" s="537">
        <f t="shared" si="123"/>
        <v>0</v>
      </c>
      <c r="I188" s="537">
        <f t="shared" si="123"/>
        <v>5800.7707409799987</v>
      </c>
      <c r="J188" s="537">
        <f t="shared" si="123"/>
        <v>0</v>
      </c>
      <c r="K188" s="537">
        <f t="shared" si="123"/>
        <v>0</v>
      </c>
      <c r="L188" s="537">
        <f t="shared" si="123"/>
        <v>0</v>
      </c>
      <c r="M188" s="537">
        <f t="shared" si="123"/>
        <v>0</v>
      </c>
      <c r="N188" s="537">
        <f t="shared" si="123"/>
        <v>0</v>
      </c>
      <c r="O188" s="537">
        <f t="shared" si="123"/>
        <v>0</v>
      </c>
      <c r="P188" s="538">
        <f>SUM(D188:O188)</f>
        <v>5800.7707409799987</v>
      </c>
      <c r="R188" s="205"/>
    </row>
    <row r="189" spans="1:18" ht="5.0999999999999996" customHeight="1">
      <c r="A189" s="765"/>
      <c r="B189" s="757"/>
      <c r="C189" s="740"/>
      <c r="D189" s="539">
        <f>+D190</f>
        <v>0</v>
      </c>
      <c r="E189" s="539">
        <f t="shared" ref="E189:O189" si="124">+E190</f>
        <v>0</v>
      </c>
      <c r="F189" s="539">
        <f t="shared" si="124"/>
        <v>0</v>
      </c>
      <c r="G189" s="539">
        <f t="shared" si="124"/>
        <v>0</v>
      </c>
      <c r="H189" s="539">
        <f t="shared" si="124"/>
        <v>0</v>
      </c>
      <c r="I189" s="539">
        <f t="shared" si="124"/>
        <v>1</v>
      </c>
      <c r="J189" s="539">
        <f t="shared" si="124"/>
        <v>0</v>
      </c>
      <c r="K189" s="539">
        <f t="shared" si="124"/>
        <v>0</v>
      </c>
      <c r="L189" s="539">
        <f t="shared" si="124"/>
        <v>0</v>
      </c>
      <c r="M189" s="539">
        <f t="shared" si="124"/>
        <v>0</v>
      </c>
      <c r="N189" s="539">
        <f t="shared" si="124"/>
        <v>0</v>
      </c>
      <c r="O189" s="539">
        <f t="shared" si="124"/>
        <v>0</v>
      </c>
      <c r="P189" s="538"/>
      <c r="R189" s="205">
        <f t="shared" si="95"/>
        <v>1</v>
      </c>
    </row>
    <row r="190" spans="1:18">
      <c r="A190" s="766"/>
      <c r="B190" s="758"/>
      <c r="C190" s="741"/>
      <c r="D190" s="540"/>
      <c r="E190" s="540"/>
      <c r="F190" s="540"/>
      <c r="G190" s="540"/>
      <c r="H190" s="540"/>
      <c r="I190" s="540">
        <v>1</v>
      </c>
      <c r="J190" s="540"/>
      <c r="K190" s="540"/>
      <c r="L190" s="540"/>
      <c r="M190" s="540"/>
      <c r="N190" s="540"/>
      <c r="O190" s="540"/>
      <c r="P190" s="541">
        <f>C188</f>
        <v>0.11765890484099334</v>
      </c>
      <c r="R190" s="205">
        <f t="shared" si="95"/>
        <v>1</v>
      </c>
    </row>
    <row r="191" spans="1:18">
      <c r="A191" s="767" t="s">
        <v>607</v>
      </c>
      <c r="B191" s="756">
        <f>GUARITA!$J$47</f>
        <v>10228.722903402728</v>
      </c>
      <c r="C191" s="739">
        <f>B191/$B$233</f>
        <v>0.20747248744621613</v>
      </c>
      <c r="D191" s="536">
        <f t="shared" ref="D191:O191" si="125">$B191*D193</f>
        <v>0</v>
      </c>
      <c r="E191" s="537">
        <f t="shared" si="125"/>
        <v>0</v>
      </c>
      <c r="F191" s="537">
        <f t="shared" si="125"/>
        <v>0</v>
      </c>
      <c r="G191" s="537">
        <f t="shared" si="125"/>
        <v>0</v>
      </c>
      <c r="H191" s="537">
        <f t="shared" si="125"/>
        <v>0</v>
      </c>
      <c r="I191" s="537">
        <f t="shared" si="125"/>
        <v>1022.8722903402728</v>
      </c>
      <c r="J191" s="537">
        <f t="shared" si="125"/>
        <v>9205.8506130624555</v>
      </c>
      <c r="K191" s="537">
        <f t="shared" si="125"/>
        <v>0</v>
      </c>
      <c r="L191" s="537">
        <f t="shared" si="125"/>
        <v>0</v>
      </c>
      <c r="M191" s="537">
        <f t="shared" si="125"/>
        <v>0</v>
      </c>
      <c r="N191" s="537">
        <f t="shared" si="125"/>
        <v>0</v>
      </c>
      <c r="O191" s="537">
        <f t="shared" si="125"/>
        <v>0</v>
      </c>
      <c r="P191" s="538">
        <f>SUM(D191:O191)</f>
        <v>10228.722903402728</v>
      </c>
      <c r="R191" s="205"/>
    </row>
    <row r="192" spans="1:18" ht="5.0999999999999996" customHeight="1">
      <c r="A192" s="768"/>
      <c r="B192" s="757"/>
      <c r="C192" s="740"/>
      <c r="D192" s="539">
        <f>+D193</f>
        <v>0</v>
      </c>
      <c r="E192" s="539">
        <f t="shared" ref="E192:O192" si="126">+E193</f>
        <v>0</v>
      </c>
      <c r="F192" s="539">
        <f t="shared" si="126"/>
        <v>0</v>
      </c>
      <c r="G192" s="539">
        <f t="shared" si="126"/>
        <v>0</v>
      </c>
      <c r="H192" s="539">
        <f t="shared" si="126"/>
        <v>0</v>
      </c>
      <c r="I192" s="539">
        <f t="shared" si="126"/>
        <v>0.1</v>
      </c>
      <c r="J192" s="539">
        <f t="shared" si="126"/>
        <v>0.9</v>
      </c>
      <c r="K192" s="539">
        <f t="shared" si="126"/>
        <v>0</v>
      </c>
      <c r="L192" s="539">
        <f t="shared" si="126"/>
        <v>0</v>
      </c>
      <c r="M192" s="539">
        <f t="shared" si="126"/>
        <v>0</v>
      </c>
      <c r="N192" s="539">
        <f t="shared" si="126"/>
        <v>0</v>
      </c>
      <c r="O192" s="539">
        <f t="shared" si="126"/>
        <v>0</v>
      </c>
      <c r="P192" s="538"/>
      <c r="R192" s="205">
        <f t="shared" si="95"/>
        <v>1</v>
      </c>
    </row>
    <row r="193" spans="1:18">
      <c r="A193" s="769"/>
      <c r="B193" s="758"/>
      <c r="C193" s="741"/>
      <c r="D193" s="540"/>
      <c r="E193" s="540"/>
      <c r="F193" s="540"/>
      <c r="G193" s="540"/>
      <c r="H193" s="540"/>
      <c r="I193" s="540">
        <v>0.1</v>
      </c>
      <c r="J193" s="540">
        <v>0.9</v>
      </c>
      <c r="K193" s="540"/>
      <c r="L193" s="540"/>
      <c r="M193" s="540"/>
      <c r="N193" s="540"/>
      <c r="O193" s="540"/>
      <c r="P193" s="541">
        <f>C191</f>
        <v>0.20747248744621613</v>
      </c>
      <c r="R193" s="205">
        <f t="shared" si="95"/>
        <v>1</v>
      </c>
    </row>
    <row r="194" spans="1:18">
      <c r="A194" s="767" t="s">
        <v>605</v>
      </c>
      <c r="B194" s="756">
        <f>GUARITA!$J$61</f>
        <v>1717.5227120000002</v>
      </c>
      <c r="C194" s="739">
        <f>B194/$B$233</f>
        <v>3.483706740999603E-2</v>
      </c>
      <c r="D194" s="536">
        <f t="shared" ref="D194:O194" si="127">$B194*D196</f>
        <v>0</v>
      </c>
      <c r="E194" s="537">
        <f t="shared" si="127"/>
        <v>0</v>
      </c>
      <c r="F194" s="537">
        <f t="shared" si="127"/>
        <v>0</v>
      </c>
      <c r="G194" s="537">
        <f t="shared" si="127"/>
        <v>0</v>
      </c>
      <c r="H194" s="537">
        <f t="shared" si="127"/>
        <v>0</v>
      </c>
      <c r="I194" s="537">
        <f t="shared" si="127"/>
        <v>0</v>
      </c>
      <c r="J194" s="537">
        <f t="shared" si="127"/>
        <v>343.50454240000005</v>
      </c>
      <c r="K194" s="537">
        <f t="shared" si="127"/>
        <v>1030.5136272</v>
      </c>
      <c r="L194" s="537">
        <f t="shared" si="127"/>
        <v>343.50454240000005</v>
      </c>
      <c r="M194" s="537">
        <f t="shared" si="127"/>
        <v>0</v>
      </c>
      <c r="N194" s="537">
        <f t="shared" si="127"/>
        <v>0</v>
      </c>
      <c r="O194" s="537">
        <f t="shared" si="127"/>
        <v>0</v>
      </c>
      <c r="P194" s="538">
        <f>SUM(D194:O194)</f>
        <v>1717.522712</v>
      </c>
      <c r="R194" s="205"/>
    </row>
    <row r="195" spans="1:18" ht="5.0999999999999996" customHeight="1">
      <c r="A195" s="768"/>
      <c r="B195" s="757"/>
      <c r="C195" s="740"/>
      <c r="D195" s="539">
        <f>+D196</f>
        <v>0</v>
      </c>
      <c r="E195" s="539">
        <f t="shared" ref="E195:O195" si="128">+E196</f>
        <v>0</v>
      </c>
      <c r="F195" s="539">
        <f t="shared" si="128"/>
        <v>0</v>
      </c>
      <c r="G195" s="539">
        <f t="shared" si="128"/>
        <v>0</v>
      </c>
      <c r="H195" s="539">
        <f t="shared" si="128"/>
        <v>0</v>
      </c>
      <c r="I195" s="539">
        <f t="shared" si="128"/>
        <v>0</v>
      </c>
      <c r="J195" s="539">
        <f t="shared" si="128"/>
        <v>0.2</v>
      </c>
      <c r="K195" s="539">
        <f t="shared" si="128"/>
        <v>0.6</v>
      </c>
      <c r="L195" s="539">
        <f t="shared" si="128"/>
        <v>0.2</v>
      </c>
      <c r="M195" s="539">
        <f t="shared" si="128"/>
        <v>0</v>
      </c>
      <c r="N195" s="539">
        <f t="shared" si="128"/>
        <v>0</v>
      </c>
      <c r="O195" s="539">
        <f t="shared" si="128"/>
        <v>0</v>
      </c>
      <c r="P195" s="538"/>
      <c r="R195" s="205">
        <f t="shared" si="95"/>
        <v>1</v>
      </c>
    </row>
    <row r="196" spans="1:18">
      <c r="A196" s="769"/>
      <c r="B196" s="758"/>
      <c r="C196" s="741"/>
      <c r="D196" s="540"/>
      <c r="E196" s="540"/>
      <c r="F196" s="540"/>
      <c r="G196" s="540"/>
      <c r="H196" s="540"/>
      <c r="I196" s="540"/>
      <c r="J196" s="540">
        <v>0.2</v>
      </c>
      <c r="K196" s="540">
        <v>0.6</v>
      </c>
      <c r="L196" s="540">
        <v>0.2</v>
      </c>
      <c r="M196" s="540"/>
      <c r="N196" s="540"/>
      <c r="O196" s="540"/>
      <c r="P196" s="541">
        <f>C194</f>
        <v>3.483706740999603E-2</v>
      </c>
      <c r="R196" s="205">
        <f t="shared" si="95"/>
        <v>1</v>
      </c>
    </row>
    <row r="197" spans="1:18">
      <c r="A197" s="773" t="s">
        <v>604</v>
      </c>
      <c r="B197" s="756">
        <f>GUARITA!$J$103</f>
        <v>3743.9256212456198</v>
      </c>
      <c r="C197" s="739">
        <f>B197/$B$233</f>
        <v>7.5939251535990696E-2</v>
      </c>
      <c r="D197" s="536">
        <f t="shared" ref="D197:O197" si="129">$B197*D199</f>
        <v>0</v>
      </c>
      <c r="E197" s="537">
        <f t="shared" si="129"/>
        <v>0</v>
      </c>
      <c r="F197" s="537">
        <f t="shared" si="129"/>
        <v>0</v>
      </c>
      <c r="G197" s="537">
        <f t="shared" si="129"/>
        <v>0</v>
      </c>
      <c r="H197" s="537">
        <f t="shared" si="129"/>
        <v>0</v>
      </c>
      <c r="I197" s="537">
        <f t="shared" si="129"/>
        <v>0</v>
      </c>
      <c r="J197" s="537">
        <f t="shared" si="129"/>
        <v>561.58884318684295</v>
      </c>
      <c r="K197" s="537">
        <f t="shared" si="129"/>
        <v>1871.9628106228099</v>
      </c>
      <c r="L197" s="537">
        <f t="shared" si="129"/>
        <v>1310.373967435967</v>
      </c>
      <c r="M197" s="537">
        <f t="shared" si="129"/>
        <v>0</v>
      </c>
      <c r="N197" s="537">
        <f t="shared" si="129"/>
        <v>0</v>
      </c>
      <c r="O197" s="537">
        <f t="shared" si="129"/>
        <v>0</v>
      </c>
      <c r="P197" s="538">
        <f>SUM(D197:O197)</f>
        <v>3743.9256212456194</v>
      </c>
      <c r="R197" s="205"/>
    </row>
    <row r="198" spans="1:18" ht="5.0999999999999996" customHeight="1">
      <c r="A198" s="774"/>
      <c r="B198" s="757"/>
      <c r="C198" s="740"/>
      <c r="D198" s="539">
        <f>+D199</f>
        <v>0</v>
      </c>
      <c r="E198" s="539">
        <f t="shared" ref="E198:O198" si="130">+E199</f>
        <v>0</v>
      </c>
      <c r="F198" s="539">
        <f t="shared" si="130"/>
        <v>0</v>
      </c>
      <c r="G198" s="539">
        <f t="shared" si="130"/>
        <v>0</v>
      </c>
      <c r="H198" s="539">
        <f t="shared" si="130"/>
        <v>0</v>
      </c>
      <c r="I198" s="539">
        <f t="shared" si="130"/>
        <v>0</v>
      </c>
      <c r="J198" s="539">
        <f t="shared" si="130"/>
        <v>0.15</v>
      </c>
      <c r="K198" s="539">
        <f t="shared" si="130"/>
        <v>0.5</v>
      </c>
      <c r="L198" s="539">
        <f t="shared" si="130"/>
        <v>0.35</v>
      </c>
      <c r="M198" s="539">
        <f t="shared" si="130"/>
        <v>0</v>
      </c>
      <c r="N198" s="539">
        <f t="shared" si="130"/>
        <v>0</v>
      </c>
      <c r="O198" s="539">
        <f t="shared" si="130"/>
        <v>0</v>
      </c>
      <c r="P198" s="538"/>
      <c r="R198" s="205">
        <f t="shared" si="95"/>
        <v>1</v>
      </c>
    </row>
    <row r="199" spans="1:18">
      <c r="A199" s="775"/>
      <c r="B199" s="758"/>
      <c r="C199" s="741"/>
      <c r="D199" s="540"/>
      <c r="E199" s="540"/>
      <c r="F199" s="540"/>
      <c r="G199" s="540"/>
      <c r="H199" s="540"/>
      <c r="I199" s="540"/>
      <c r="J199" s="540">
        <v>0.15</v>
      </c>
      <c r="K199" s="540">
        <v>0.5</v>
      </c>
      <c r="L199" s="540">
        <v>0.35</v>
      </c>
      <c r="M199" s="540"/>
      <c r="N199" s="540"/>
      <c r="O199" s="540"/>
      <c r="P199" s="541">
        <f>C197</f>
        <v>7.5939251535990696E-2</v>
      </c>
      <c r="R199" s="205">
        <f t="shared" si="95"/>
        <v>1</v>
      </c>
    </row>
    <row r="200" spans="1:18">
      <c r="A200" s="770" t="s">
        <v>602</v>
      </c>
      <c r="B200" s="756">
        <f>GUARITA!$J$106</f>
        <v>2354.2200000000003</v>
      </c>
      <c r="C200" s="739">
        <f>B200/$B$233</f>
        <v>4.7751403963944117E-2</v>
      </c>
      <c r="D200" s="536">
        <f t="shared" ref="D200:O200" si="131">$B200*D202</f>
        <v>0</v>
      </c>
      <c r="E200" s="537">
        <f t="shared" si="131"/>
        <v>0</v>
      </c>
      <c r="F200" s="537">
        <f t="shared" si="131"/>
        <v>0</v>
      </c>
      <c r="G200" s="537">
        <f t="shared" si="131"/>
        <v>0</v>
      </c>
      <c r="H200" s="537">
        <f t="shared" si="131"/>
        <v>0</v>
      </c>
      <c r="I200" s="537">
        <f t="shared" si="131"/>
        <v>0</v>
      </c>
      <c r="J200" s="537">
        <f t="shared" si="131"/>
        <v>470.84400000000005</v>
      </c>
      <c r="K200" s="537">
        <f t="shared" si="131"/>
        <v>1883.3760000000002</v>
      </c>
      <c r="L200" s="537">
        <f t="shared" si="131"/>
        <v>0</v>
      </c>
      <c r="M200" s="537">
        <f t="shared" si="131"/>
        <v>0</v>
      </c>
      <c r="N200" s="537">
        <f t="shared" si="131"/>
        <v>0</v>
      </c>
      <c r="O200" s="537">
        <f t="shared" si="131"/>
        <v>0</v>
      </c>
      <c r="P200" s="538">
        <f>SUM(D200:O200)</f>
        <v>2354.2200000000003</v>
      </c>
      <c r="R200" s="205"/>
    </row>
    <row r="201" spans="1:18" ht="5.0999999999999996" customHeight="1">
      <c r="A201" s="771"/>
      <c r="B201" s="757"/>
      <c r="C201" s="740"/>
      <c r="D201" s="539">
        <f>+D202</f>
        <v>0</v>
      </c>
      <c r="E201" s="539">
        <f t="shared" ref="E201:O201" si="132">+E202</f>
        <v>0</v>
      </c>
      <c r="F201" s="539">
        <f t="shared" si="132"/>
        <v>0</v>
      </c>
      <c r="G201" s="539">
        <f t="shared" si="132"/>
        <v>0</v>
      </c>
      <c r="H201" s="539">
        <f t="shared" si="132"/>
        <v>0</v>
      </c>
      <c r="I201" s="539">
        <f t="shared" si="132"/>
        <v>0</v>
      </c>
      <c r="J201" s="539">
        <f t="shared" si="132"/>
        <v>0.2</v>
      </c>
      <c r="K201" s="539">
        <f t="shared" si="132"/>
        <v>0.8</v>
      </c>
      <c r="L201" s="539">
        <f t="shared" si="132"/>
        <v>0</v>
      </c>
      <c r="M201" s="539">
        <f t="shared" si="132"/>
        <v>0</v>
      </c>
      <c r="N201" s="539">
        <f t="shared" si="132"/>
        <v>0</v>
      </c>
      <c r="O201" s="539">
        <f t="shared" si="132"/>
        <v>0</v>
      </c>
      <c r="P201" s="538"/>
      <c r="R201" s="205">
        <f t="shared" si="95"/>
        <v>1</v>
      </c>
    </row>
    <row r="202" spans="1:18">
      <c r="A202" s="772"/>
      <c r="B202" s="758"/>
      <c r="C202" s="741"/>
      <c r="D202" s="540"/>
      <c r="E202" s="540"/>
      <c r="F202" s="540"/>
      <c r="G202" s="540"/>
      <c r="H202" s="540"/>
      <c r="I202" s="540"/>
      <c r="J202" s="540">
        <v>0.2</v>
      </c>
      <c r="K202" s="540">
        <v>0.8</v>
      </c>
      <c r="L202" s="540"/>
      <c r="M202" s="540"/>
      <c r="N202" s="540"/>
      <c r="O202" s="540"/>
      <c r="P202" s="541">
        <f>C200</f>
        <v>4.7751403963944117E-2</v>
      </c>
      <c r="R202" s="205">
        <f t="shared" si="95"/>
        <v>1</v>
      </c>
    </row>
    <row r="203" spans="1:18">
      <c r="A203" s="770" t="s">
        <v>601</v>
      </c>
      <c r="B203" s="756">
        <f>GUARITA!$J$111</f>
        <v>1456.21770029</v>
      </c>
      <c r="C203" s="739">
        <f>B203/$B$233</f>
        <v>2.9536933534671139E-2</v>
      </c>
      <c r="D203" s="536">
        <f t="shared" ref="D203:O203" si="133">$B203*D205</f>
        <v>0</v>
      </c>
      <c r="E203" s="537">
        <f t="shared" si="133"/>
        <v>0</v>
      </c>
      <c r="F203" s="537">
        <f t="shared" si="133"/>
        <v>0</v>
      </c>
      <c r="G203" s="537">
        <f t="shared" si="133"/>
        <v>0</v>
      </c>
      <c r="H203" s="537">
        <f t="shared" si="133"/>
        <v>0</v>
      </c>
      <c r="I203" s="537">
        <f t="shared" si="133"/>
        <v>291.24354005800001</v>
      </c>
      <c r="J203" s="537">
        <f t="shared" si="133"/>
        <v>0</v>
      </c>
      <c r="K203" s="537">
        <f t="shared" si="133"/>
        <v>1164.974160232</v>
      </c>
      <c r="L203" s="537">
        <f t="shared" si="133"/>
        <v>0</v>
      </c>
      <c r="M203" s="537">
        <f t="shared" si="133"/>
        <v>0</v>
      </c>
      <c r="N203" s="537">
        <f t="shared" si="133"/>
        <v>0</v>
      </c>
      <c r="O203" s="537">
        <f t="shared" si="133"/>
        <v>0</v>
      </c>
      <c r="P203" s="538">
        <f>SUM(D203:O203)</f>
        <v>1456.21770029</v>
      </c>
      <c r="R203" s="205"/>
    </row>
    <row r="204" spans="1:18" ht="5.0999999999999996" customHeight="1">
      <c r="A204" s="771"/>
      <c r="B204" s="757"/>
      <c r="C204" s="740"/>
      <c r="D204" s="539">
        <f>+D205</f>
        <v>0</v>
      </c>
      <c r="E204" s="539">
        <f t="shared" ref="E204:O204" si="134">+E205</f>
        <v>0</v>
      </c>
      <c r="F204" s="539">
        <f t="shared" si="134"/>
        <v>0</v>
      </c>
      <c r="G204" s="539">
        <f t="shared" si="134"/>
        <v>0</v>
      </c>
      <c r="H204" s="539">
        <f t="shared" si="134"/>
        <v>0</v>
      </c>
      <c r="I204" s="539">
        <f t="shared" si="134"/>
        <v>0.2</v>
      </c>
      <c r="J204" s="539">
        <f t="shared" si="134"/>
        <v>0</v>
      </c>
      <c r="K204" s="539">
        <f t="shared" si="134"/>
        <v>0.8</v>
      </c>
      <c r="L204" s="539">
        <f t="shared" si="134"/>
        <v>0</v>
      </c>
      <c r="M204" s="539">
        <f t="shared" si="134"/>
        <v>0</v>
      </c>
      <c r="N204" s="539">
        <f t="shared" si="134"/>
        <v>0</v>
      </c>
      <c r="O204" s="539">
        <f t="shared" si="134"/>
        <v>0</v>
      </c>
      <c r="P204" s="538"/>
      <c r="R204" s="205">
        <f t="shared" si="95"/>
        <v>1</v>
      </c>
    </row>
    <row r="205" spans="1:18">
      <c r="A205" s="772"/>
      <c r="B205" s="758"/>
      <c r="C205" s="741"/>
      <c r="D205" s="540"/>
      <c r="E205" s="540"/>
      <c r="F205" s="540"/>
      <c r="G205" s="540"/>
      <c r="H205" s="540"/>
      <c r="I205" s="540">
        <v>0.2</v>
      </c>
      <c r="J205" s="540"/>
      <c r="K205" s="540">
        <v>0.8</v>
      </c>
      <c r="L205" s="540"/>
      <c r="M205" s="540"/>
      <c r="N205" s="540"/>
      <c r="O205" s="540"/>
      <c r="P205" s="541">
        <f>C203</f>
        <v>2.9536933534671139E-2</v>
      </c>
      <c r="R205" s="205">
        <f t="shared" si="95"/>
        <v>1</v>
      </c>
    </row>
    <row r="206" spans="1:18">
      <c r="A206" s="764" t="s">
        <v>599</v>
      </c>
      <c r="B206" s="756">
        <f>GUARITA!$J$114</f>
        <v>222.66200000000003</v>
      </c>
      <c r="C206" s="739">
        <f>B206/$B$233</f>
        <v>4.5163251987578581E-3</v>
      </c>
      <c r="D206" s="536">
        <f t="shared" ref="D206:O206" si="135">$B206*D208</f>
        <v>0</v>
      </c>
      <c r="E206" s="537">
        <f t="shared" si="135"/>
        <v>0</v>
      </c>
      <c r="F206" s="537">
        <f t="shared" si="135"/>
        <v>0</v>
      </c>
      <c r="G206" s="537">
        <f t="shared" si="135"/>
        <v>0</v>
      </c>
      <c r="H206" s="537">
        <f t="shared" si="135"/>
        <v>0</v>
      </c>
      <c r="I206" s="537">
        <f t="shared" si="135"/>
        <v>0</v>
      </c>
      <c r="J206" s="537">
        <f t="shared" si="135"/>
        <v>0</v>
      </c>
      <c r="K206" s="537">
        <f t="shared" si="135"/>
        <v>222.66200000000003</v>
      </c>
      <c r="L206" s="537">
        <f t="shared" si="135"/>
        <v>0</v>
      </c>
      <c r="M206" s="537">
        <f t="shared" si="135"/>
        <v>0</v>
      </c>
      <c r="N206" s="537">
        <f t="shared" si="135"/>
        <v>0</v>
      </c>
      <c r="O206" s="537">
        <f t="shared" si="135"/>
        <v>0</v>
      </c>
      <c r="P206" s="538">
        <f>SUM(D206:O206)</f>
        <v>222.66200000000003</v>
      </c>
      <c r="R206" s="205"/>
    </row>
    <row r="207" spans="1:18" ht="5.0999999999999996" customHeight="1">
      <c r="A207" s="765"/>
      <c r="B207" s="757"/>
      <c r="C207" s="740"/>
      <c r="D207" s="539">
        <f>+D208</f>
        <v>0</v>
      </c>
      <c r="E207" s="539">
        <f t="shared" ref="E207:O207" si="136">+E208</f>
        <v>0</v>
      </c>
      <c r="F207" s="539">
        <f t="shared" si="136"/>
        <v>0</v>
      </c>
      <c r="G207" s="539">
        <f t="shared" si="136"/>
        <v>0</v>
      </c>
      <c r="H207" s="539">
        <f t="shared" si="136"/>
        <v>0</v>
      </c>
      <c r="I207" s="539">
        <f t="shared" si="136"/>
        <v>0</v>
      </c>
      <c r="J207" s="539">
        <f t="shared" si="136"/>
        <v>0</v>
      </c>
      <c r="K207" s="539">
        <f t="shared" si="136"/>
        <v>1</v>
      </c>
      <c r="L207" s="539">
        <f t="shared" si="136"/>
        <v>0</v>
      </c>
      <c r="M207" s="539">
        <f t="shared" si="136"/>
        <v>0</v>
      </c>
      <c r="N207" s="539">
        <f t="shared" si="136"/>
        <v>0</v>
      </c>
      <c r="O207" s="539">
        <f t="shared" si="136"/>
        <v>0</v>
      </c>
      <c r="P207" s="538"/>
      <c r="R207" s="205">
        <f t="shared" si="95"/>
        <v>1</v>
      </c>
    </row>
    <row r="208" spans="1:18">
      <c r="A208" s="766"/>
      <c r="B208" s="758"/>
      <c r="C208" s="741"/>
      <c r="D208" s="540"/>
      <c r="E208" s="540"/>
      <c r="F208" s="540"/>
      <c r="G208" s="540"/>
      <c r="H208" s="540"/>
      <c r="I208" s="540"/>
      <c r="J208" s="540"/>
      <c r="K208" s="540">
        <v>1</v>
      </c>
      <c r="L208" s="540"/>
      <c r="M208" s="540"/>
      <c r="N208" s="540"/>
      <c r="O208" s="540"/>
      <c r="P208" s="541">
        <f>C206</f>
        <v>4.5163251987578581E-3</v>
      </c>
      <c r="R208" s="205">
        <f t="shared" si="95"/>
        <v>1</v>
      </c>
    </row>
    <row r="209" spans="1:18">
      <c r="A209" s="764" t="s">
        <v>597</v>
      </c>
      <c r="B209" s="756">
        <f>GUARITA!$J$119</f>
        <v>1867.9140339999999</v>
      </c>
      <c r="C209" s="739">
        <f>B209/$B$233</f>
        <v>3.7887503125219574E-2</v>
      </c>
      <c r="D209" s="536">
        <f t="shared" ref="D209:O209" si="137">$B209*D211</f>
        <v>0</v>
      </c>
      <c r="E209" s="537">
        <f t="shared" si="137"/>
        <v>0</v>
      </c>
      <c r="F209" s="537">
        <f t="shared" si="137"/>
        <v>0</v>
      </c>
      <c r="G209" s="537">
        <f t="shared" si="137"/>
        <v>0</v>
      </c>
      <c r="H209" s="537">
        <f t="shared" si="137"/>
        <v>0</v>
      </c>
      <c r="I209" s="537">
        <f t="shared" si="137"/>
        <v>0</v>
      </c>
      <c r="J209" s="537">
        <f t="shared" si="137"/>
        <v>0</v>
      </c>
      <c r="K209" s="537">
        <f t="shared" si="137"/>
        <v>1867.9140339999999</v>
      </c>
      <c r="L209" s="537">
        <f t="shared" si="137"/>
        <v>0</v>
      </c>
      <c r="M209" s="537">
        <f t="shared" si="137"/>
        <v>0</v>
      </c>
      <c r="N209" s="537">
        <f t="shared" si="137"/>
        <v>0</v>
      </c>
      <c r="O209" s="537">
        <f t="shared" si="137"/>
        <v>0</v>
      </c>
      <c r="P209" s="538">
        <f>SUM(D209:O209)</f>
        <v>1867.9140339999999</v>
      </c>
      <c r="R209" s="205"/>
    </row>
    <row r="210" spans="1:18" ht="5.0999999999999996" customHeight="1">
      <c r="A210" s="765"/>
      <c r="B210" s="757"/>
      <c r="C210" s="740"/>
      <c r="D210" s="539">
        <f>+D211</f>
        <v>0</v>
      </c>
      <c r="E210" s="539">
        <f t="shared" ref="E210:O210" si="138">+E211</f>
        <v>0</v>
      </c>
      <c r="F210" s="539">
        <f t="shared" si="138"/>
        <v>0</v>
      </c>
      <c r="G210" s="539">
        <f t="shared" si="138"/>
        <v>0</v>
      </c>
      <c r="H210" s="539">
        <f t="shared" si="138"/>
        <v>0</v>
      </c>
      <c r="I210" s="539">
        <f t="shared" si="138"/>
        <v>0</v>
      </c>
      <c r="J210" s="539">
        <f t="shared" si="138"/>
        <v>0</v>
      </c>
      <c r="K210" s="539">
        <f t="shared" si="138"/>
        <v>1</v>
      </c>
      <c r="L210" s="539">
        <f t="shared" si="138"/>
        <v>0</v>
      </c>
      <c r="M210" s="539">
        <f t="shared" si="138"/>
        <v>0</v>
      </c>
      <c r="N210" s="539">
        <f t="shared" si="138"/>
        <v>0</v>
      </c>
      <c r="O210" s="539">
        <f t="shared" si="138"/>
        <v>0</v>
      </c>
      <c r="P210" s="538"/>
      <c r="R210" s="205">
        <f t="shared" ref="R210:R257" si="139">+SUM(D210:O210)</f>
        <v>1</v>
      </c>
    </row>
    <row r="211" spans="1:18">
      <c r="A211" s="766"/>
      <c r="B211" s="758"/>
      <c r="C211" s="741"/>
      <c r="D211" s="540"/>
      <c r="E211" s="540"/>
      <c r="F211" s="540"/>
      <c r="G211" s="540"/>
      <c r="H211" s="540"/>
      <c r="I211" s="540"/>
      <c r="J211" s="540"/>
      <c r="K211" s="540">
        <v>1</v>
      </c>
      <c r="L211" s="540"/>
      <c r="M211" s="540"/>
      <c r="N211" s="540"/>
      <c r="O211" s="540"/>
      <c r="P211" s="541">
        <f>C209</f>
        <v>3.7887503125219574E-2</v>
      </c>
      <c r="R211" s="205">
        <f t="shared" si="139"/>
        <v>1</v>
      </c>
    </row>
    <row r="212" spans="1:18">
      <c r="A212" s="764" t="s">
        <v>595</v>
      </c>
      <c r="B212" s="756">
        <f>GUARITA!$J$123</f>
        <v>5399.9076999999997</v>
      </c>
      <c r="C212" s="739">
        <f>B212/$B$233</f>
        <v>0.10952807042277796</v>
      </c>
      <c r="D212" s="536">
        <f t="shared" ref="D212:O212" si="140">$B212*D214</f>
        <v>0</v>
      </c>
      <c r="E212" s="537">
        <f t="shared" si="140"/>
        <v>0</v>
      </c>
      <c r="F212" s="537">
        <f t="shared" si="140"/>
        <v>0</v>
      </c>
      <c r="G212" s="537">
        <f t="shared" si="140"/>
        <v>0</v>
      </c>
      <c r="H212" s="537">
        <f t="shared" si="140"/>
        <v>0</v>
      </c>
      <c r="I212" s="537">
        <f t="shared" si="140"/>
        <v>0</v>
      </c>
      <c r="J212" s="537">
        <f t="shared" si="140"/>
        <v>0</v>
      </c>
      <c r="K212" s="537">
        <f t="shared" si="140"/>
        <v>1079.98154</v>
      </c>
      <c r="L212" s="537">
        <f t="shared" si="140"/>
        <v>4319.92616</v>
      </c>
      <c r="M212" s="537">
        <f t="shared" si="140"/>
        <v>0</v>
      </c>
      <c r="N212" s="537">
        <f t="shared" si="140"/>
        <v>0</v>
      </c>
      <c r="O212" s="537">
        <f t="shared" si="140"/>
        <v>0</v>
      </c>
      <c r="P212" s="538">
        <f>SUM(D212:O212)</f>
        <v>5399.9076999999997</v>
      </c>
      <c r="R212" s="205"/>
    </row>
    <row r="213" spans="1:18" ht="5.0999999999999996" customHeight="1">
      <c r="A213" s="765"/>
      <c r="B213" s="757"/>
      <c r="C213" s="740"/>
      <c r="D213" s="539">
        <f>+D214</f>
        <v>0</v>
      </c>
      <c r="E213" s="539">
        <f t="shared" ref="E213:O213" si="141">+E214</f>
        <v>0</v>
      </c>
      <c r="F213" s="539">
        <f t="shared" si="141"/>
        <v>0</v>
      </c>
      <c r="G213" s="539">
        <f t="shared" si="141"/>
        <v>0</v>
      </c>
      <c r="H213" s="539">
        <f t="shared" si="141"/>
        <v>0</v>
      </c>
      <c r="I213" s="539">
        <f t="shared" si="141"/>
        <v>0</v>
      </c>
      <c r="J213" s="539">
        <f t="shared" si="141"/>
        <v>0</v>
      </c>
      <c r="K213" s="539">
        <f t="shared" si="141"/>
        <v>0.2</v>
      </c>
      <c r="L213" s="539">
        <f t="shared" si="141"/>
        <v>0.8</v>
      </c>
      <c r="M213" s="539">
        <f t="shared" si="141"/>
        <v>0</v>
      </c>
      <c r="N213" s="539">
        <f t="shared" si="141"/>
        <v>0</v>
      </c>
      <c r="O213" s="539">
        <f t="shared" si="141"/>
        <v>0</v>
      </c>
      <c r="P213" s="538"/>
      <c r="R213" s="205">
        <f t="shared" si="139"/>
        <v>1</v>
      </c>
    </row>
    <row r="214" spans="1:18">
      <c r="A214" s="766"/>
      <c r="B214" s="758"/>
      <c r="C214" s="741"/>
      <c r="D214" s="540"/>
      <c r="E214" s="540"/>
      <c r="F214" s="540"/>
      <c r="G214" s="540"/>
      <c r="H214" s="540"/>
      <c r="I214" s="540"/>
      <c r="J214" s="540"/>
      <c r="K214" s="540">
        <v>0.2</v>
      </c>
      <c r="L214" s="540">
        <v>0.8</v>
      </c>
      <c r="M214" s="540"/>
      <c r="N214" s="540"/>
      <c r="O214" s="540"/>
      <c r="P214" s="541">
        <f>C212</f>
        <v>0.10952807042277796</v>
      </c>
      <c r="R214" s="205">
        <f t="shared" si="139"/>
        <v>1</v>
      </c>
    </row>
    <row r="215" spans="1:18">
      <c r="A215" s="764" t="s">
        <v>594</v>
      </c>
      <c r="B215" s="756">
        <f>GUARITA!$J$126</f>
        <v>1866.0958000000001</v>
      </c>
      <c r="C215" s="739">
        <f>B215/$B$233</f>
        <v>3.785062329825567E-2</v>
      </c>
      <c r="D215" s="536">
        <f t="shared" ref="D215:O215" si="142">$B215*D217</f>
        <v>0</v>
      </c>
      <c r="E215" s="537">
        <f t="shared" si="142"/>
        <v>0</v>
      </c>
      <c r="F215" s="537">
        <f t="shared" si="142"/>
        <v>0</v>
      </c>
      <c r="G215" s="537">
        <f t="shared" si="142"/>
        <v>0</v>
      </c>
      <c r="H215" s="537">
        <f t="shared" si="142"/>
        <v>0</v>
      </c>
      <c r="I215" s="537">
        <f t="shared" si="142"/>
        <v>0</v>
      </c>
      <c r="J215" s="537">
        <f t="shared" si="142"/>
        <v>0</v>
      </c>
      <c r="K215" s="537">
        <f t="shared" si="142"/>
        <v>0</v>
      </c>
      <c r="L215" s="537">
        <f t="shared" si="142"/>
        <v>0</v>
      </c>
      <c r="M215" s="537">
        <f t="shared" si="142"/>
        <v>1866.0958000000001</v>
      </c>
      <c r="N215" s="537">
        <f t="shared" si="142"/>
        <v>0</v>
      </c>
      <c r="O215" s="537">
        <f t="shared" si="142"/>
        <v>0</v>
      </c>
      <c r="P215" s="538">
        <f>SUM(D215:O215)</f>
        <v>1866.0958000000001</v>
      </c>
      <c r="R215" s="205"/>
    </row>
    <row r="216" spans="1:18" ht="5.0999999999999996" customHeight="1">
      <c r="A216" s="765"/>
      <c r="B216" s="757"/>
      <c r="C216" s="740"/>
      <c r="D216" s="539">
        <f>+D217</f>
        <v>0</v>
      </c>
      <c r="E216" s="539">
        <f t="shared" ref="E216:O216" si="143">+E217</f>
        <v>0</v>
      </c>
      <c r="F216" s="539">
        <f t="shared" si="143"/>
        <v>0</v>
      </c>
      <c r="G216" s="539">
        <f t="shared" si="143"/>
        <v>0</v>
      </c>
      <c r="H216" s="539">
        <f t="shared" si="143"/>
        <v>0</v>
      </c>
      <c r="I216" s="539">
        <f t="shared" si="143"/>
        <v>0</v>
      </c>
      <c r="J216" s="539">
        <f t="shared" si="143"/>
        <v>0</v>
      </c>
      <c r="K216" s="539">
        <f t="shared" si="143"/>
        <v>0</v>
      </c>
      <c r="L216" s="539">
        <f t="shared" si="143"/>
        <v>0</v>
      </c>
      <c r="M216" s="539">
        <f t="shared" si="143"/>
        <v>1</v>
      </c>
      <c r="N216" s="539">
        <f t="shared" si="143"/>
        <v>0</v>
      </c>
      <c r="O216" s="539">
        <f t="shared" si="143"/>
        <v>0</v>
      </c>
      <c r="P216" s="538"/>
      <c r="R216" s="205">
        <f t="shared" si="139"/>
        <v>1</v>
      </c>
    </row>
    <row r="217" spans="1:18">
      <c r="A217" s="766"/>
      <c r="B217" s="758"/>
      <c r="C217" s="741"/>
      <c r="D217" s="540"/>
      <c r="E217" s="540"/>
      <c r="F217" s="540"/>
      <c r="G217" s="540"/>
      <c r="H217" s="540"/>
      <c r="I217" s="540"/>
      <c r="J217" s="540"/>
      <c r="K217" s="540"/>
      <c r="L217" s="540"/>
      <c r="M217" s="540">
        <v>1</v>
      </c>
      <c r="N217" s="540"/>
      <c r="O217" s="540"/>
      <c r="P217" s="541">
        <f>C215</f>
        <v>3.785062329825567E-2</v>
      </c>
      <c r="R217" s="205">
        <f t="shared" si="139"/>
        <v>1</v>
      </c>
    </row>
    <row r="218" spans="1:18">
      <c r="A218" s="764" t="s">
        <v>593</v>
      </c>
      <c r="B218" s="756">
        <f>GUARITA!$J$135</f>
        <v>7190.9530999999997</v>
      </c>
      <c r="C218" s="739">
        <f>B218/$B$233</f>
        <v>0.1458564222391604</v>
      </c>
      <c r="D218" s="536">
        <f t="shared" ref="D218:O218" si="144">$B218*D220</f>
        <v>0</v>
      </c>
      <c r="E218" s="537">
        <f t="shared" si="144"/>
        <v>0</v>
      </c>
      <c r="F218" s="537">
        <f t="shared" si="144"/>
        <v>0</v>
      </c>
      <c r="G218" s="537">
        <f t="shared" si="144"/>
        <v>0</v>
      </c>
      <c r="H218" s="537">
        <f t="shared" si="144"/>
        <v>0</v>
      </c>
      <c r="I218" s="537">
        <f t="shared" si="144"/>
        <v>0</v>
      </c>
      <c r="J218" s="537">
        <f t="shared" si="144"/>
        <v>0</v>
      </c>
      <c r="K218" s="537">
        <f t="shared" si="144"/>
        <v>1438.1906200000001</v>
      </c>
      <c r="L218" s="537">
        <f t="shared" si="144"/>
        <v>5752.7624800000003</v>
      </c>
      <c r="M218" s="537">
        <f t="shared" si="144"/>
        <v>0</v>
      </c>
      <c r="N218" s="537">
        <f t="shared" si="144"/>
        <v>0</v>
      </c>
      <c r="O218" s="537">
        <f t="shared" si="144"/>
        <v>0</v>
      </c>
      <c r="P218" s="538">
        <f>SUM(D218:O218)</f>
        <v>7190.9531000000006</v>
      </c>
      <c r="R218" s="205"/>
    </row>
    <row r="219" spans="1:18" ht="5.0999999999999996" customHeight="1">
      <c r="A219" s="765"/>
      <c r="B219" s="757"/>
      <c r="C219" s="740"/>
      <c r="D219" s="539">
        <f>+D220</f>
        <v>0</v>
      </c>
      <c r="E219" s="539">
        <f t="shared" ref="E219:O219" si="145">+E220</f>
        <v>0</v>
      </c>
      <c r="F219" s="539">
        <f t="shared" si="145"/>
        <v>0</v>
      </c>
      <c r="G219" s="539">
        <f t="shared" si="145"/>
        <v>0</v>
      </c>
      <c r="H219" s="539">
        <f t="shared" si="145"/>
        <v>0</v>
      </c>
      <c r="I219" s="539">
        <f t="shared" si="145"/>
        <v>0</v>
      </c>
      <c r="J219" s="539">
        <f t="shared" si="145"/>
        <v>0</v>
      </c>
      <c r="K219" s="539">
        <f t="shared" si="145"/>
        <v>0.2</v>
      </c>
      <c r="L219" s="539">
        <f t="shared" si="145"/>
        <v>0.8</v>
      </c>
      <c r="M219" s="539">
        <f t="shared" si="145"/>
        <v>0</v>
      </c>
      <c r="N219" s="539">
        <f t="shared" si="145"/>
        <v>0</v>
      </c>
      <c r="O219" s="539">
        <f t="shared" si="145"/>
        <v>0</v>
      </c>
      <c r="P219" s="538"/>
      <c r="R219" s="205">
        <f t="shared" si="139"/>
        <v>1</v>
      </c>
    </row>
    <row r="220" spans="1:18">
      <c r="A220" s="766"/>
      <c r="B220" s="758"/>
      <c r="C220" s="741"/>
      <c r="D220" s="540"/>
      <c r="E220" s="540"/>
      <c r="F220" s="540"/>
      <c r="G220" s="540"/>
      <c r="H220" s="540"/>
      <c r="I220" s="540"/>
      <c r="J220" s="540"/>
      <c r="K220" s="540">
        <v>0.2</v>
      </c>
      <c r="L220" s="540">
        <v>0.8</v>
      </c>
      <c r="M220" s="540"/>
      <c r="N220" s="540"/>
      <c r="O220" s="540"/>
      <c r="P220" s="541">
        <f>C218</f>
        <v>0.1458564222391604</v>
      </c>
      <c r="R220" s="205">
        <f t="shared" si="139"/>
        <v>1</v>
      </c>
    </row>
    <row r="221" spans="1:18">
      <c r="A221" s="764" t="s">
        <v>592</v>
      </c>
      <c r="B221" s="756">
        <f>GUARITA!$J$139</f>
        <v>793.73419999999999</v>
      </c>
      <c r="C221" s="739">
        <f>B221/$B$233</f>
        <v>1.6099566915665487E-2</v>
      </c>
      <c r="D221" s="536">
        <f t="shared" ref="D221:O221" si="146">$B221*D223</f>
        <v>0</v>
      </c>
      <c r="E221" s="537">
        <f t="shared" si="146"/>
        <v>0</v>
      </c>
      <c r="F221" s="537">
        <f t="shared" si="146"/>
        <v>0</v>
      </c>
      <c r="G221" s="537">
        <f t="shared" si="146"/>
        <v>0</v>
      </c>
      <c r="H221" s="537">
        <f t="shared" si="146"/>
        <v>0</v>
      </c>
      <c r="I221" s="537">
        <f t="shared" si="146"/>
        <v>0</v>
      </c>
      <c r="J221" s="537">
        <f t="shared" si="146"/>
        <v>0</v>
      </c>
      <c r="K221" s="537">
        <f t="shared" si="146"/>
        <v>0</v>
      </c>
      <c r="L221" s="537">
        <f t="shared" si="146"/>
        <v>793.73419999999999</v>
      </c>
      <c r="M221" s="537">
        <f t="shared" si="146"/>
        <v>0</v>
      </c>
      <c r="N221" s="537">
        <f t="shared" si="146"/>
        <v>0</v>
      </c>
      <c r="O221" s="537">
        <f t="shared" si="146"/>
        <v>0</v>
      </c>
      <c r="P221" s="538">
        <f>SUM(D221:O221)</f>
        <v>793.73419999999999</v>
      </c>
      <c r="R221" s="205"/>
    </row>
    <row r="222" spans="1:18" ht="5.0999999999999996" customHeight="1">
      <c r="A222" s="765"/>
      <c r="B222" s="757"/>
      <c r="C222" s="740"/>
      <c r="D222" s="539">
        <f>+D223</f>
        <v>0</v>
      </c>
      <c r="E222" s="539">
        <f t="shared" ref="E222:O222" si="147">+E223</f>
        <v>0</v>
      </c>
      <c r="F222" s="539">
        <f t="shared" si="147"/>
        <v>0</v>
      </c>
      <c r="G222" s="539">
        <f t="shared" si="147"/>
        <v>0</v>
      </c>
      <c r="H222" s="539">
        <f t="shared" si="147"/>
        <v>0</v>
      </c>
      <c r="I222" s="539">
        <f t="shared" si="147"/>
        <v>0</v>
      </c>
      <c r="J222" s="539">
        <f t="shared" si="147"/>
        <v>0</v>
      </c>
      <c r="K222" s="539">
        <f t="shared" si="147"/>
        <v>0</v>
      </c>
      <c r="L222" s="539">
        <f t="shared" si="147"/>
        <v>1</v>
      </c>
      <c r="M222" s="539">
        <f t="shared" si="147"/>
        <v>0</v>
      </c>
      <c r="N222" s="539">
        <f t="shared" si="147"/>
        <v>0</v>
      </c>
      <c r="O222" s="539">
        <f t="shared" si="147"/>
        <v>0</v>
      </c>
      <c r="P222" s="538"/>
      <c r="R222" s="205">
        <f t="shared" si="139"/>
        <v>1</v>
      </c>
    </row>
    <row r="223" spans="1:18">
      <c r="A223" s="766"/>
      <c r="B223" s="758"/>
      <c r="C223" s="741"/>
      <c r="D223" s="540"/>
      <c r="E223" s="540"/>
      <c r="F223" s="540"/>
      <c r="G223" s="540"/>
      <c r="H223" s="540"/>
      <c r="I223" s="540"/>
      <c r="J223" s="540"/>
      <c r="K223" s="540"/>
      <c r="L223" s="540">
        <v>1</v>
      </c>
      <c r="M223" s="540"/>
      <c r="N223" s="540"/>
      <c r="O223" s="540"/>
      <c r="P223" s="541">
        <f>C221</f>
        <v>1.6099566915665487E-2</v>
      </c>
      <c r="R223" s="205">
        <f t="shared" si="139"/>
        <v>1</v>
      </c>
    </row>
    <row r="224" spans="1:18">
      <c r="A224" s="764" t="s">
        <v>591</v>
      </c>
      <c r="B224" s="756">
        <f>GUARITA!$J$145</f>
        <v>1535.62673808</v>
      </c>
      <c r="C224" s="739">
        <f>B224/$B$233</f>
        <v>3.1147612673366073E-2</v>
      </c>
      <c r="D224" s="536">
        <f t="shared" ref="D224:O224" si="148">$B224*D226</f>
        <v>0</v>
      </c>
      <c r="E224" s="537">
        <f t="shared" si="148"/>
        <v>0</v>
      </c>
      <c r="F224" s="537">
        <f t="shared" si="148"/>
        <v>0</v>
      </c>
      <c r="G224" s="537">
        <f t="shared" si="148"/>
        <v>0</v>
      </c>
      <c r="H224" s="537">
        <f t="shared" si="148"/>
        <v>0</v>
      </c>
      <c r="I224" s="537">
        <f t="shared" si="148"/>
        <v>0</v>
      </c>
      <c r="J224" s="537">
        <f t="shared" si="148"/>
        <v>0</v>
      </c>
      <c r="K224" s="537">
        <f t="shared" si="148"/>
        <v>0</v>
      </c>
      <c r="L224" s="537">
        <f t="shared" si="148"/>
        <v>1228.501390464</v>
      </c>
      <c r="M224" s="537">
        <f t="shared" si="148"/>
        <v>307.125347616</v>
      </c>
      <c r="N224" s="537">
        <f t="shared" si="148"/>
        <v>0</v>
      </c>
      <c r="O224" s="537">
        <f t="shared" si="148"/>
        <v>0</v>
      </c>
      <c r="P224" s="538">
        <f>SUM(D224:O224)</f>
        <v>1535.62673808</v>
      </c>
      <c r="R224" s="205"/>
    </row>
    <row r="225" spans="1:18" ht="5.0999999999999996" customHeight="1">
      <c r="A225" s="765"/>
      <c r="B225" s="757"/>
      <c r="C225" s="740"/>
      <c r="D225" s="539">
        <f>+D226</f>
        <v>0</v>
      </c>
      <c r="E225" s="539">
        <f t="shared" ref="E225:O225" si="149">+E226</f>
        <v>0</v>
      </c>
      <c r="F225" s="539">
        <f t="shared" si="149"/>
        <v>0</v>
      </c>
      <c r="G225" s="539">
        <f t="shared" si="149"/>
        <v>0</v>
      </c>
      <c r="H225" s="539">
        <f t="shared" si="149"/>
        <v>0</v>
      </c>
      <c r="I225" s="539">
        <f t="shared" si="149"/>
        <v>0</v>
      </c>
      <c r="J225" s="539">
        <f t="shared" si="149"/>
        <v>0</v>
      </c>
      <c r="K225" s="539">
        <f t="shared" si="149"/>
        <v>0</v>
      </c>
      <c r="L225" s="539">
        <f t="shared" si="149"/>
        <v>0.8</v>
      </c>
      <c r="M225" s="539">
        <f t="shared" si="149"/>
        <v>0.2</v>
      </c>
      <c r="N225" s="539">
        <f t="shared" si="149"/>
        <v>0</v>
      </c>
      <c r="O225" s="539">
        <f t="shared" si="149"/>
        <v>0</v>
      </c>
      <c r="P225" s="538"/>
      <c r="R225" s="205">
        <f t="shared" si="139"/>
        <v>1</v>
      </c>
    </row>
    <row r="226" spans="1:18">
      <c r="A226" s="766"/>
      <c r="B226" s="758"/>
      <c r="C226" s="741"/>
      <c r="D226" s="540"/>
      <c r="E226" s="540"/>
      <c r="F226" s="540"/>
      <c r="G226" s="540"/>
      <c r="H226" s="540"/>
      <c r="I226" s="540"/>
      <c r="J226" s="540"/>
      <c r="K226" s="540"/>
      <c r="L226" s="540">
        <v>0.8</v>
      </c>
      <c r="M226" s="540">
        <v>0.2</v>
      </c>
      <c r="N226" s="540"/>
      <c r="O226" s="540"/>
      <c r="P226" s="541">
        <f>C224</f>
        <v>3.1147612673366073E-2</v>
      </c>
      <c r="R226" s="205">
        <f t="shared" si="139"/>
        <v>1</v>
      </c>
    </row>
    <row r="227" spans="1:18">
      <c r="A227" s="764" t="s">
        <v>587</v>
      </c>
      <c r="B227" s="756">
        <f>GUARITA!$J$158</f>
        <v>3593.3210980000003</v>
      </c>
      <c r="C227" s="739">
        <f>B227/$B$233</f>
        <v>7.2884491391102452E-2</v>
      </c>
      <c r="D227" s="536">
        <f t="shared" ref="D227:O227" si="150">$B227*D229</f>
        <v>0</v>
      </c>
      <c r="E227" s="537">
        <f t="shared" si="150"/>
        <v>0</v>
      </c>
      <c r="F227" s="537">
        <f t="shared" si="150"/>
        <v>0</v>
      </c>
      <c r="G227" s="537">
        <f t="shared" si="150"/>
        <v>0</v>
      </c>
      <c r="H227" s="537">
        <f t="shared" si="150"/>
        <v>0</v>
      </c>
      <c r="I227" s="537">
        <f t="shared" si="150"/>
        <v>0</v>
      </c>
      <c r="J227" s="537">
        <f t="shared" si="150"/>
        <v>0</v>
      </c>
      <c r="K227" s="537">
        <f t="shared" si="150"/>
        <v>0</v>
      </c>
      <c r="L227" s="537">
        <f t="shared" si="150"/>
        <v>1796.6605490000002</v>
      </c>
      <c r="M227" s="537">
        <f t="shared" si="150"/>
        <v>1796.6605490000002</v>
      </c>
      <c r="N227" s="537">
        <f t="shared" si="150"/>
        <v>0</v>
      </c>
      <c r="O227" s="537">
        <f t="shared" si="150"/>
        <v>0</v>
      </c>
      <c r="P227" s="538">
        <f>SUM(D227:O227)</f>
        <v>3593.3210980000003</v>
      </c>
      <c r="R227" s="205"/>
    </row>
    <row r="228" spans="1:18" ht="5.0999999999999996" customHeight="1">
      <c r="A228" s="765"/>
      <c r="B228" s="757"/>
      <c r="C228" s="740"/>
      <c r="D228" s="539">
        <f>+D229</f>
        <v>0</v>
      </c>
      <c r="E228" s="539">
        <f t="shared" ref="E228:O228" si="151">+E229</f>
        <v>0</v>
      </c>
      <c r="F228" s="539">
        <f t="shared" si="151"/>
        <v>0</v>
      </c>
      <c r="G228" s="539">
        <f t="shared" si="151"/>
        <v>0</v>
      </c>
      <c r="H228" s="539">
        <f t="shared" si="151"/>
        <v>0</v>
      </c>
      <c r="I228" s="539">
        <f t="shared" si="151"/>
        <v>0</v>
      </c>
      <c r="J228" s="539">
        <f t="shared" si="151"/>
        <v>0</v>
      </c>
      <c r="K228" s="539">
        <f t="shared" si="151"/>
        <v>0</v>
      </c>
      <c r="L228" s="539">
        <f t="shared" si="151"/>
        <v>0.5</v>
      </c>
      <c r="M228" s="539">
        <f t="shared" si="151"/>
        <v>0.5</v>
      </c>
      <c r="N228" s="539">
        <f t="shared" si="151"/>
        <v>0</v>
      </c>
      <c r="O228" s="539">
        <f t="shared" si="151"/>
        <v>0</v>
      </c>
      <c r="P228" s="538"/>
      <c r="R228" s="205">
        <f t="shared" si="139"/>
        <v>1</v>
      </c>
    </row>
    <row r="229" spans="1:18">
      <c r="A229" s="766"/>
      <c r="B229" s="758"/>
      <c r="C229" s="741"/>
      <c r="D229" s="540"/>
      <c r="E229" s="540"/>
      <c r="F229" s="540"/>
      <c r="G229" s="540"/>
      <c r="H229" s="540"/>
      <c r="I229" s="540"/>
      <c r="J229" s="540"/>
      <c r="K229" s="540"/>
      <c r="L229" s="540">
        <v>0.5</v>
      </c>
      <c r="M229" s="540">
        <v>0.5</v>
      </c>
      <c r="N229" s="540"/>
      <c r="O229" s="540"/>
      <c r="P229" s="541">
        <f>C227</f>
        <v>7.2884491391102452E-2</v>
      </c>
      <c r="R229" s="205">
        <f t="shared" si="139"/>
        <v>1</v>
      </c>
    </row>
    <row r="230" spans="1:18">
      <c r="A230" s="764" t="s">
        <v>2</v>
      </c>
      <c r="B230" s="756">
        <f>GUARITA!$J$162</f>
        <v>774.57335734999992</v>
      </c>
      <c r="C230" s="739">
        <f>B230/$B$233</f>
        <v>1.5710921361014811E-2</v>
      </c>
      <c r="D230" s="536">
        <f t="shared" ref="D230:O230" si="152">$B230*D232</f>
        <v>0</v>
      </c>
      <c r="E230" s="537">
        <f t="shared" si="152"/>
        <v>0</v>
      </c>
      <c r="F230" s="537">
        <f t="shared" si="152"/>
        <v>0</v>
      </c>
      <c r="G230" s="537">
        <f t="shared" si="152"/>
        <v>0</v>
      </c>
      <c r="H230" s="537">
        <f t="shared" si="152"/>
        <v>0</v>
      </c>
      <c r="I230" s="537">
        <f t="shared" si="152"/>
        <v>0</v>
      </c>
      <c r="J230" s="537">
        <f t="shared" si="152"/>
        <v>0</v>
      </c>
      <c r="K230" s="537">
        <f t="shared" si="152"/>
        <v>0</v>
      </c>
      <c r="L230" s="537">
        <f t="shared" si="152"/>
        <v>0</v>
      </c>
      <c r="M230" s="537">
        <f t="shared" si="152"/>
        <v>774.57335734999992</v>
      </c>
      <c r="N230" s="537">
        <f t="shared" si="152"/>
        <v>0</v>
      </c>
      <c r="O230" s="537">
        <f t="shared" si="152"/>
        <v>0</v>
      </c>
      <c r="P230" s="538">
        <f>SUM(D230:O230)</f>
        <v>774.57335734999992</v>
      </c>
      <c r="R230" s="205"/>
    </row>
    <row r="231" spans="1:18" ht="5.0999999999999996" customHeight="1">
      <c r="A231" s="765"/>
      <c r="B231" s="757"/>
      <c r="C231" s="740"/>
      <c r="D231" s="539">
        <f>+D232</f>
        <v>0</v>
      </c>
      <c r="E231" s="539">
        <f t="shared" ref="E231:O231" si="153">+E232</f>
        <v>0</v>
      </c>
      <c r="F231" s="539">
        <f t="shared" si="153"/>
        <v>0</v>
      </c>
      <c r="G231" s="539">
        <f t="shared" si="153"/>
        <v>0</v>
      </c>
      <c r="H231" s="539">
        <f t="shared" si="153"/>
        <v>0</v>
      </c>
      <c r="I231" s="539">
        <f t="shared" si="153"/>
        <v>0</v>
      </c>
      <c r="J231" s="539">
        <f t="shared" si="153"/>
        <v>0</v>
      </c>
      <c r="K231" s="539">
        <f t="shared" si="153"/>
        <v>0</v>
      </c>
      <c r="L231" s="539">
        <f t="shared" si="153"/>
        <v>0</v>
      </c>
      <c r="M231" s="539">
        <f t="shared" si="153"/>
        <v>1</v>
      </c>
      <c r="N231" s="539">
        <f t="shared" si="153"/>
        <v>0</v>
      </c>
      <c r="O231" s="539">
        <f t="shared" si="153"/>
        <v>0</v>
      </c>
      <c r="P231" s="538"/>
      <c r="R231" s="205">
        <f t="shared" si="139"/>
        <v>1</v>
      </c>
    </row>
    <row r="232" spans="1:18">
      <c r="A232" s="766"/>
      <c r="B232" s="758"/>
      <c r="C232" s="741"/>
      <c r="D232" s="540"/>
      <c r="E232" s="540"/>
      <c r="F232" s="540"/>
      <c r="G232" s="540"/>
      <c r="H232" s="540"/>
      <c r="I232" s="540"/>
      <c r="J232" s="540"/>
      <c r="K232" s="540"/>
      <c r="L232" s="540"/>
      <c r="M232" s="540">
        <v>1</v>
      </c>
      <c r="N232" s="540"/>
      <c r="O232" s="540"/>
      <c r="P232" s="541">
        <f>C230</f>
        <v>1.5710921361014811E-2</v>
      </c>
      <c r="R232" s="205">
        <f t="shared" si="139"/>
        <v>1</v>
      </c>
    </row>
    <row r="233" spans="1:18">
      <c r="A233" s="776" t="s">
        <v>7041</v>
      </c>
      <c r="B233" s="211">
        <f>SUM(B179:B232)</f>
        <v>49301.587064908344</v>
      </c>
      <c r="C233" s="542">
        <f>SUM(C179:C232)</f>
        <v>1</v>
      </c>
      <c r="D233" s="543">
        <f t="shared" ref="D233:O233" si="154">(D179+D182+D185+D188+D191+D194+D197+D200+D203+D206+D209+D212+D215+D218+D221+D224+D227+D230)</f>
        <v>0</v>
      </c>
      <c r="E233" s="543">
        <f t="shared" si="154"/>
        <v>0</v>
      </c>
      <c r="F233" s="543">
        <f t="shared" si="154"/>
        <v>0</v>
      </c>
      <c r="G233" s="543">
        <f t="shared" si="154"/>
        <v>0</v>
      </c>
      <c r="H233" s="543">
        <f t="shared" si="154"/>
        <v>0</v>
      </c>
      <c r="I233" s="543">
        <f t="shared" si="154"/>
        <v>7870.3059309382716</v>
      </c>
      <c r="J233" s="543">
        <f t="shared" si="154"/>
        <v>10581.787998649299</v>
      </c>
      <c r="K233" s="543">
        <f t="shared" si="154"/>
        <v>10559.574792054811</v>
      </c>
      <c r="L233" s="543">
        <f t="shared" si="154"/>
        <v>15545.463289299967</v>
      </c>
      <c r="M233" s="543">
        <f t="shared" si="154"/>
        <v>4744.4550539660004</v>
      </c>
      <c r="N233" s="543">
        <f t="shared" si="154"/>
        <v>0</v>
      </c>
      <c r="O233" s="543">
        <f t="shared" si="154"/>
        <v>0</v>
      </c>
      <c r="P233" s="544">
        <f>SUM(D233:O233)</f>
        <v>49301.587064908344</v>
      </c>
      <c r="R233" s="205"/>
    </row>
    <row r="234" spans="1:18">
      <c r="A234" s="776"/>
      <c r="B234" s="212"/>
      <c r="C234" s="581"/>
      <c r="D234" s="582">
        <f t="shared" ref="D234:O234" si="155">D233/$B$233</f>
        <v>0</v>
      </c>
      <c r="E234" s="582">
        <f t="shared" si="155"/>
        <v>0</v>
      </c>
      <c r="F234" s="582">
        <f t="shared" si="155"/>
        <v>0</v>
      </c>
      <c r="G234" s="582">
        <f t="shared" si="155"/>
        <v>0</v>
      </c>
      <c r="H234" s="582">
        <f t="shared" si="155"/>
        <v>0</v>
      </c>
      <c r="I234" s="582">
        <f t="shared" si="155"/>
        <v>0.15963595493541752</v>
      </c>
      <c r="J234" s="582">
        <f t="shared" si="155"/>
        <v>0.21463382070678116</v>
      </c>
      <c r="K234" s="582">
        <f t="shared" si="155"/>
        <v>0.21418326306925028</v>
      </c>
      <c r="L234" s="582">
        <f t="shared" si="155"/>
        <v>0.31531364839905618</v>
      </c>
      <c r="M234" s="582">
        <f t="shared" si="155"/>
        <v>9.6233312889494924E-2</v>
      </c>
      <c r="N234" s="582">
        <f t="shared" si="155"/>
        <v>0</v>
      </c>
      <c r="O234" s="582">
        <f t="shared" si="155"/>
        <v>0</v>
      </c>
      <c r="P234" s="583">
        <f>SUM(D234:O234)</f>
        <v>1</v>
      </c>
      <c r="R234" s="205">
        <f t="shared" si="139"/>
        <v>1</v>
      </c>
    </row>
    <row r="235" spans="1:18" s="61" customFormat="1">
      <c r="R235" s="580"/>
    </row>
    <row r="236" spans="1:18">
      <c r="A236" s="777" t="s">
        <v>6344</v>
      </c>
      <c r="B236" s="778"/>
      <c r="C236" s="778"/>
      <c r="D236" s="778"/>
      <c r="E236" s="778"/>
      <c r="F236" s="778"/>
      <c r="G236" s="778"/>
      <c r="H236" s="778"/>
      <c r="I236" s="778"/>
      <c r="J236" s="778"/>
      <c r="K236" s="778"/>
      <c r="L236" s="778"/>
      <c r="M236" s="778"/>
      <c r="N236" s="778"/>
      <c r="O236" s="779"/>
      <c r="P236" s="585"/>
      <c r="R236" s="205"/>
    </row>
    <row r="237" spans="1:18">
      <c r="A237" s="768" t="s">
        <v>611</v>
      </c>
      <c r="B237" s="757">
        <f>CASA_MOTOR_BOMBA!J15</f>
        <v>16.040276560000002</v>
      </c>
      <c r="C237" s="740">
        <f>B237/$B$270</f>
        <v>1.1910561517532328E-3</v>
      </c>
      <c r="D237" s="213">
        <f t="shared" ref="D237:O237" si="156">$B237*D239</f>
        <v>0</v>
      </c>
      <c r="E237" s="214">
        <f t="shared" si="156"/>
        <v>0</v>
      </c>
      <c r="F237" s="214">
        <f t="shared" si="156"/>
        <v>0</v>
      </c>
      <c r="G237" s="214">
        <f t="shared" si="156"/>
        <v>0</v>
      </c>
      <c r="H237" s="214">
        <f t="shared" si="156"/>
        <v>0</v>
      </c>
      <c r="I237" s="214">
        <f t="shared" si="156"/>
        <v>0</v>
      </c>
      <c r="J237" s="214">
        <f t="shared" si="156"/>
        <v>0</v>
      </c>
      <c r="K237" s="214">
        <f t="shared" si="156"/>
        <v>16.040276560000002</v>
      </c>
      <c r="L237" s="214">
        <f t="shared" si="156"/>
        <v>0</v>
      </c>
      <c r="M237" s="214">
        <f t="shared" si="156"/>
        <v>0</v>
      </c>
      <c r="N237" s="214">
        <f t="shared" si="156"/>
        <v>0</v>
      </c>
      <c r="O237" s="214">
        <f t="shared" si="156"/>
        <v>0</v>
      </c>
      <c r="P237" s="584">
        <f>SUM(D237:O237)</f>
        <v>16.040276560000002</v>
      </c>
      <c r="R237" s="205"/>
    </row>
    <row r="238" spans="1:18" ht="5.0999999999999996" customHeight="1">
      <c r="A238" s="768"/>
      <c r="B238" s="757"/>
      <c r="C238" s="740"/>
      <c r="D238" s="539">
        <f>+D239</f>
        <v>0</v>
      </c>
      <c r="E238" s="539">
        <f t="shared" ref="E238:O238" si="157">+E239</f>
        <v>0</v>
      </c>
      <c r="F238" s="539">
        <f t="shared" si="157"/>
        <v>0</v>
      </c>
      <c r="G238" s="539">
        <f t="shared" si="157"/>
        <v>0</v>
      </c>
      <c r="H238" s="539">
        <f t="shared" si="157"/>
        <v>0</v>
      </c>
      <c r="I238" s="539">
        <f t="shared" si="157"/>
        <v>0</v>
      </c>
      <c r="J238" s="539">
        <f t="shared" si="157"/>
        <v>0</v>
      </c>
      <c r="K238" s="539">
        <f t="shared" si="157"/>
        <v>1</v>
      </c>
      <c r="L238" s="539">
        <f t="shared" si="157"/>
        <v>0</v>
      </c>
      <c r="M238" s="539">
        <f t="shared" si="157"/>
        <v>0</v>
      </c>
      <c r="N238" s="539">
        <f t="shared" si="157"/>
        <v>0</v>
      </c>
      <c r="O238" s="539">
        <f t="shared" si="157"/>
        <v>0</v>
      </c>
      <c r="P238" s="538"/>
      <c r="R238" s="205">
        <f t="shared" si="139"/>
        <v>1</v>
      </c>
    </row>
    <row r="239" spans="1:18">
      <c r="A239" s="769"/>
      <c r="B239" s="758"/>
      <c r="C239" s="741"/>
      <c r="D239" s="540"/>
      <c r="E239" s="540"/>
      <c r="F239" s="540"/>
      <c r="G239" s="540"/>
      <c r="H239" s="540"/>
      <c r="I239" s="540"/>
      <c r="J239" s="540"/>
      <c r="K239" s="540">
        <v>1</v>
      </c>
      <c r="L239" s="540"/>
      <c r="M239" s="540"/>
      <c r="N239" s="540"/>
      <c r="O239" s="540"/>
      <c r="P239" s="541">
        <f>C237</f>
        <v>1.1910561517532328E-3</v>
      </c>
      <c r="R239" s="205">
        <f>+SUM(D239:O239)</f>
        <v>1</v>
      </c>
    </row>
    <row r="240" spans="1:18">
      <c r="A240" s="767" t="s">
        <v>609</v>
      </c>
      <c r="B240" s="756">
        <f>CASA_MOTOR_BOMBA!J19</f>
        <v>187.67491776000003</v>
      </c>
      <c r="C240" s="739">
        <f>B240/$B$270</f>
        <v>1.3935630379669092E-2</v>
      </c>
      <c r="D240" s="536">
        <f t="shared" ref="D240:O240" si="158">$B240*D242</f>
        <v>0</v>
      </c>
      <c r="E240" s="537">
        <f t="shared" si="158"/>
        <v>0</v>
      </c>
      <c r="F240" s="537">
        <f t="shared" si="158"/>
        <v>0</v>
      </c>
      <c r="G240" s="537">
        <f t="shared" si="158"/>
        <v>0</v>
      </c>
      <c r="H240" s="537">
        <f t="shared" si="158"/>
        <v>0</v>
      </c>
      <c r="I240" s="537">
        <f t="shared" si="158"/>
        <v>0</v>
      </c>
      <c r="J240" s="537">
        <f t="shared" si="158"/>
        <v>93.837458880000014</v>
      </c>
      <c r="K240" s="537">
        <f t="shared" si="158"/>
        <v>93.837458880000014</v>
      </c>
      <c r="L240" s="537">
        <f t="shared" si="158"/>
        <v>0</v>
      </c>
      <c r="M240" s="537">
        <f t="shared" si="158"/>
        <v>0</v>
      </c>
      <c r="N240" s="537">
        <f t="shared" si="158"/>
        <v>0</v>
      </c>
      <c r="O240" s="537">
        <f t="shared" si="158"/>
        <v>0</v>
      </c>
      <c r="P240" s="538">
        <f>SUM(D240:O240)</f>
        <v>187.67491776000003</v>
      </c>
      <c r="R240" s="205"/>
    </row>
    <row r="241" spans="1:18" ht="5.0999999999999996" customHeight="1">
      <c r="A241" s="768"/>
      <c r="B241" s="757"/>
      <c r="C241" s="740"/>
      <c r="D241" s="539">
        <f>+D242</f>
        <v>0</v>
      </c>
      <c r="E241" s="539">
        <f t="shared" ref="E241:O241" si="159">+E242</f>
        <v>0</v>
      </c>
      <c r="F241" s="539">
        <f t="shared" si="159"/>
        <v>0</v>
      </c>
      <c r="G241" s="539">
        <f t="shared" si="159"/>
        <v>0</v>
      </c>
      <c r="H241" s="539">
        <f t="shared" si="159"/>
        <v>0</v>
      </c>
      <c r="I241" s="539">
        <f t="shared" si="159"/>
        <v>0</v>
      </c>
      <c r="J241" s="539">
        <f t="shared" si="159"/>
        <v>0.5</v>
      </c>
      <c r="K241" s="539">
        <f t="shared" si="159"/>
        <v>0.5</v>
      </c>
      <c r="L241" s="539">
        <f t="shared" si="159"/>
        <v>0</v>
      </c>
      <c r="M241" s="539">
        <f t="shared" si="159"/>
        <v>0</v>
      </c>
      <c r="N241" s="539">
        <f t="shared" si="159"/>
        <v>0</v>
      </c>
      <c r="O241" s="539">
        <f t="shared" si="159"/>
        <v>0</v>
      </c>
      <c r="P241" s="538"/>
      <c r="R241" s="205">
        <f>+SUM(D241:O241)</f>
        <v>1</v>
      </c>
    </row>
    <row r="242" spans="1:18">
      <c r="A242" s="769"/>
      <c r="B242" s="758"/>
      <c r="C242" s="741"/>
      <c r="D242" s="540"/>
      <c r="E242" s="540"/>
      <c r="F242" s="540"/>
      <c r="G242" s="540"/>
      <c r="H242" s="540"/>
      <c r="I242" s="540"/>
      <c r="J242" s="540">
        <v>0.5</v>
      </c>
      <c r="K242" s="540">
        <v>0.5</v>
      </c>
      <c r="L242" s="540"/>
      <c r="M242" s="540"/>
      <c r="N242" s="540"/>
      <c r="O242" s="540"/>
      <c r="P242" s="541">
        <f>C240</f>
        <v>1.3935630379669092E-2</v>
      </c>
      <c r="R242" s="205">
        <f>+SUM(D242:O242)</f>
        <v>1</v>
      </c>
    </row>
    <row r="243" spans="1:18">
      <c r="A243" s="767" t="s">
        <v>605</v>
      </c>
      <c r="B243" s="756">
        <f>CASA_MOTOR_BOMBA!J52</f>
        <v>9359.6666846000007</v>
      </c>
      <c r="C243" s="739">
        <f>B243/$B$270</f>
        <v>0.69499353962838495</v>
      </c>
      <c r="D243" s="536">
        <f t="shared" ref="D243:O243" si="160">$B243*D245</f>
        <v>0</v>
      </c>
      <c r="E243" s="537">
        <f t="shared" si="160"/>
        <v>0</v>
      </c>
      <c r="F243" s="537">
        <f t="shared" si="160"/>
        <v>0</v>
      </c>
      <c r="G243" s="537">
        <f t="shared" si="160"/>
        <v>0</v>
      </c>
      <c r="H243" s="537">
        <f t="shared" si="160"/>
        <v>0</v>
      </c>
      <c r="I243" s="537">
        <f t="shared" si="160"/>
        <v>0</v>
      </c>
      <c r="J243" s="537">
        <f t="shared" si="160"/>
        <v>1403.95000269</v>
      </c>
      <c r="K243" s="537">
        <f t="shared" si="160"/>
        <v>5615.8000107600001</v>
      </c>
      <c r="L243" s="537">
        <f t="shared" si="160"/>
        <v>2339.9166711500002</v>
      </c>
      <c r="M243" s="537">
        <f t="shared" si="160"/>
        <v>0</v>
      </c>
      <c r="N243" s="537">
        <f t="shared" si="160"/>
        <v>0</v>
      </c>
      <c r="O243" s="537">
        <f t="shared" si="160"/>
        <v>0</v>
      </c>
      <c r="P243" s="538">
        <f>SUM(D243:O243)</f>
        <v>9359.6666846000007</v>
      </c>
      <c r="R243" s="205"/>
    </row>
    <row r="244" spans="1:18" ht="5.0999999999999996" customHeight="1">
      <c r="A244" s="768"/>
      <c r="B244" s="757"/>
      <c r="C244" s="740"/>
      <c r="D244" s="539">
        <f>+D245</f>
        <v>0</v>
      </c>
      <c r="E244" s="539">
        <f t="shared" ref="E244:O244" si="161">+E245</f>
        <v>0</v>
      </c>
      <c r="F244" s="539">
        <f t="shared" si="161"/>
        <v>0</v>
      </c>
      <c r="G244" s="539">
        <f t="shared" si="161"/>
        <v>0</v>
      </c>
      <c r="H244" s="539">
        <f t="shared" si="161"/>
        <v>0</v>
      </c>
      <c r="I244" s="539">
        <f t="shared" si="161"/>
        <v>0</v>
      </c>
      <c r="J244" s="539">
        <f t="shared" si="161"/>
        <v>0.15</v>
      </c>
      <c r="K244" s="539">
        <f t="shared" si="161"/>
        <v>0.6</v>
      </c>
      <c r="L244" s="539">
        <f t="shared" si="161"/>
        <v>0.25</v>
      </c>
      <c r="M244" s="539">
        <f t="shared" si="161"/>
        <v>0</v>
      </c>
      <c r="N244" s="539">
        <f t="shared" si="161"/>
        <v>0</v>
      </c>
      <c r="O244" s="539">
        <f t="shared" si="161"/>
        <v>0</v>
      </c>
      <c r="P244" s="538"/>
      <c r="R244" s="205">
        <f t="shared" si="139"/>
        <v>1</v>
      </c>
    </row>
    <row r="245" spans="1:18">
      <c r="A245" s="769"/>
      <c r="B245" s="758"/>
      <c r="C245" s="741"/>
      <c r="D245" s="540"/>
      <c r="E245" s="540"/>
      <c r="F245" s="540"/>
      <c r="G245" s="540"/>
      <c r="H245" s="540"/>
      <c r="I245" s="540"/>
      <c r="J245" s="540">
        <v>0.15</v>
      </c>
      <c r="K245" s="540">
        <v>0.6</v>
      </c>
      <c r="L245" s="540">
        <v>0.25</v>
      </c>
      <c r="M245" s="540"/>
      <c r="N245" s="540"/>
      <c r="O245" s="540"/>
      <c r="P245" s="541">
        <f>C243</f>
        <v>0.69499353962838495</v>
      </c>
      <c r="R245" s="205">
        <f t="shared" si="139"/>
        <v>1</v>
      </c>
    </row>
    <row r="246" spans="1:18">
      <c r="A246" s="773" t="s">
        <v>604</v>
      </c>
      <c r="B246" s="756">
        <f>CASA_MOTOR_BOMBA!J58</f>
        <v>77.010400000000004</v>
      </c>
      <c r="C246" s="739">
        <f>B246/$B$270</f>
        <v>5.7183372322713337E-3</v>
      </c>
      <c r="D246" s="536">
        <f t="shared" ref="D246:O246" si="162">$B246*D248</f>
        <v>0</v>
      </c>
      <c r="E246" s="537">
        <f t="shared" si="162"/>
        <v>0</v>
      </c>
      <c r="F246" s="537">
        <f t="shared" si="162"/>
        <v>0</v>
      </c>
      <c r="G246" s="537">
        <f t="shared" si="162"/>
        <v>0</v>
      </c>
      <c r="H246" s="537">
        <f t="shared" si="162"/>
        <v>0</v>
      </c>
      <c r="I246" s="537">
        <f t="shared" si="162"/>
        <v>0</v>
      </c>
      <c r="J246" s="537">
        <f t="shared" si="162"/>
        <v>0</v>
      </c>
      <c r="K246" s="537">
        <f t="shared" si="162"/>
        <v>0</v>
      </c>
      <c r="L246" s="537">
        <f t="shared" si="162"/>
        <v>77.010400000000004</v>
      </c>
      <c r="M246" s="537">
        <f t="shared" si="162"/>
        <v>0</v>
      </c>
      <c r="N246" s="537">
        <f t="shared" si="162"/>
        <v>0</v>
      </c>
      <c r="O246" s="537">
        <f t="shared" si="162"/>
        <v>0</v>
      </c>
      <c r="P246" s="538">
        <f>SUM(D246:O246)</f>
        <v>77.010400000000004</v>
      </c>
      <c r="R246" s="205"/>
    </row>
    <row r="247" spans="1:18" ht="5.0999999999999996" customHeight="1">
      <c r="A247" s="774"/>
      <c r="B247" s="757"/>
      <c r="C247" s="740"/>
      <c r="D247" s="539">
        <f>+D248</f>
        <v>0</v>
      </c>
      <c r="E247" s="539">
        <f t="shared" ref="E247:O247" si="163">+E248</f>
        <v>0</v>
      </c>
      <c r="F247" s="539">
        <f t="shared" si="163"/>
        <v>0</v>
      </c>
      <c r="G247" s="539">
        <f t="shared" si="163"/>
        <v>0</v>
      </c>
      <c r="H247" s="539">
        <f t="shared" si="163"/>
        <v>0</v>
      </c>
      <c r="I247" s="539">
        <f t="shared" si="163"/>
        <v>0</v>
      </c>
      <c r="J247" s="539">
        <f t="shared" si="163"/>
        <v>0</v>
      </c>
      <c r="K247" s="539">
        <f t="shared" si="163"/>
        <v>0</v>
      </c>
      <c r="L247" s="539">
        <f t="shared" si="163"/>
        <v>1</v>
      </c>
      <c r="M247" s="539">
        <f t="shared" si="163"/>
        <v>0</v>
      </c>
      <c r="N247" s="539">
        <f t="shared" si="163"/>
        <v>0</v>
      </c>
      <c r="O247" s="539">
        <f t="shared" si="163"/>
        <v>0</v>
      </c>
      <c r="P247" s="538"/>
      <c r="R247" s="205">
        <f t="shared" si="139"/>
        <v>1</v>
      </c>
    </row>
    <row r="248" spans="1:18">
      <c r="A248" s="775"/>
      <c r="B248" s="758"/>
      <c r="C248" s="741"/>
      <c r="D248" s="540"/>
      <c r="E248" s="540"/>
      <c r="F248" s="540"/>
      <c r="G248" s="540"/>
      <c r="H248" s="540"/>
      <c r="I248" s="540"/>
      <c r="J248" s="540"/>
      <c r="K248" s="540"/>
      <c r="L248" s="540">
        <v>1</v>
      </c>
      <c r="M248" s="540"/>
      <c r="N248" s="540"/>
      <c r="O248" s="540"/>
      <c r="P248" s="541">
        <f>C246</f>
        <v>5.7183372322713337E-3</v>
      </c>
      <c r="R248" s="205">
        <f t="shared" si="139"/>
        <v>1</v>
      </c>
    </row>
    <row r="249" spans="1:18">
      <c r="A249" s="780" t="s">
        <v>601</v>
      </c>
      <c r="B249" s="756">
        <f>CASA_MOTOR_BOMBA!J62</f>
        <v>726.71839180200004</v>
      </c>
      <c r="C249" s="739">
        <f>B249/$B$270</f>
        <v>5.3961813433221012E-2</v>
      </c>
      <c r="D249" s="536">
        <f t="shared" ref="D249:O249" si="164">$B249*D251</f>
        <v>0</v>
      </c>
      <c r="E249" s="537">
        <f t="shared" si="164"/>
        <v>0</v>
      </c>
      <c r="F249" s="537">
        <f t="shared" si="164"/>
        <v>0</v>
      </c>
      <c r="G249" s="537">
        <f t="shared" si="164"/>
        <v>0</v>
      </c>
      <c r="H249" s="537">
        <f t="shared" si="164"/>
        <v>0</v>
      </c>
      <c r="I249" s="537">
        <f t="shared" si="164"/>
        <v>0</v>
      </c>
      <c r="J249" s="537">
        <f t="shared" si="164"/>
        <v>726.71839180200004</v>
      </c>
      <c r="K249" s="537">
        <f t="shared" si="164"/>
        <v>0</v>
      </c>
      <c r="L249" s="537">
        <f t="shared" si="164"/>
        <v>0</v>
      </c>
      <c r="M249" s="537">
        <f t="shared" si="164"/>
        <v>0</v>
      </c>
      <c r="N249" s="537">
        <f t="shared" si="164"/>
        <v>0</v>
      </c>
      <c r="O249" s="537">
        <f t="shared" si="164"/>
        <v>0</v>
      </c>
      <c r="P249" s="538">
        <f>SUM(D249:O249)</f>
        <v>726.71839180200004</v>
      </c>
      <c r="R249" s="205"/>
    </row>
    <row r="250" spans="1:18" ht="5.0999999999999996" customHeight="1">
      <c r="A250" s="781"/>
      <c r="B250" s="757"/>
      <c r="C250" s="740"/>
      <c r="D250" s="539">
        <f>+D251</f>
        <v>0</v>
      </c>
      <c r="E250" s="539">
        <f t="shared" ref="E250:O250" si="165">+E251</f>
        <v>0</v>
      </c>
      <c r="F250" s="539">
        <f t="shared" si="165"/>
        <v>0</v>
      </c>
      <c r="G250" s="539">
        <f t="shared" si="165"/>
        <v>0</v>
      </c>
      <c r="H250" s="539">
        <f t="shared" si="165"/>
        <v>0</v>
      </c>
      <c r="I250" s="539">
        <f t="shared" si="165"/>
        <v>0</v>
      </c>
      <c r="J250" s="539">
        <f t="shared" si="165"/>
        <v>1</v>
      </c>
      <c r="K250" s="539">
        <f t="shared" si="165"/>
        <v>0</v>
      </c>
      <c r="L250" s="539">
        <f t="shared" si="165"/>
        <v>0</v>
      </c>
      <c r="M250" s="539">
        <f t="shared" si="165"/>
        <v>0</v>
      </c>
      <c r="N250" s="539">
        <f t="shared" si="165"/>
        <v>0</v>
      </c>
      <c r="O250" s="539">
        <f t="shared" si="165"/>
        <v>0</v>
      </c>
      <c r="P250" s="538"/>
      <c r="R250" s="205">
        <f t="shared" si="139"/>
        <v>1</v>
      </c>
    </row>
    <row r="251" spans="1:18">
      <c r="A251" s="782"/>
      <c r="B251" s="758"/>
      <c r="C251" s="741"/>
      <c r="D251" s="540"/>
      <c r="E251" s="540"/>
      <c r="F251" s="540"/>
      <c r="G251" s="540"/>
      <c r="H251" s="540"/>
      <c r="I251" s="540"/>
      <c r="J251" s="540">
        <v>1</v>
      </c>
      <c r="K251" s="540"/>
      <c r="L251" s="540"/>
      <c r="M251" s="540"/>
      <c r="N251" s="540"/>
      <c r="O251" s="540"/>
      <c r="P251" s="541">
        <f>C249</f>
        <v>5.3961813433221012E-2</v>
      </c>
      <c r="R251" s="205">
        <f t="shared" si="139"/>
        <v>1</v>
      </c>
    </row>
    <row r="252" spans="1:18">
      <c r="A252" s="764" t="s">
        <v>595</v>
      </c>
      <c r="B252" s="756">
        <f>CASA_MOTOR_BOMBA!J66</f>
        <v>789.97160172999997</v>
      </c>
      <c r="C252" s="739">
        <f>B252/$B$270</f>
        <v>5.8658623025067788E-2</v>
      </c>
      <c r="D252" s="536">
        <f t="shared" ref="D252:O252" si="166">$B252*D254</f>
        <v>0</v>
      </c>
      <c r="E252" s="537">
        <f t="shared" si="166"/>
        <v>0</v>
      </c>
      <c r="F252" s="537">
        <f t="shared" si="166"/>
        <v>0</v>
      </c>
      <c r="G252" s="537">
        <f t="shared" si="166"/>
        <v>0</v>
      </c>
      <c r="H252" s="537">
        <f t="shared" si="166"/>
        <v>0</v>
      </c>
      <c r="I252" s="537">
        <f t="shared" si="166"/>
        <v>0</v>
      </c>
      <c r="J252" s="537">
        <f t="shared" si="166"/>
        <v>0</v>
      </c>
      <c r="K252" s="537">
        <f t="shared" si="166"/>
        <v>789.97160172999997</v>
      </c>
      <c r="L252" s="537">
        <f t="shared" si="166"/>
        <v>0</v>
      </c>
      <c r="M252" s="537">
        <f t="shared" si="166"/>
        <v>0</v>
      </c>
      <c r="N252" s="537">
        <f t="shared" si="166"/>
        <v>0</v>
      </c>
      <c r="O252" s="537">
        <f t="shared" si="166"/>
        <v>0</v>
      </c>
      <c r="P252" s="538">
        <f>SUM(D252:O252)</f>
        <v>789.97160172999997</v>
      </c>
      <c r="R252" s="205"/>
    </row>
    <row r="253" spans="1:18" ht="5.0999999999999996" customHeight="1">
      <c r="A253" s="765"/>
      <c r="B253" s="757"/>
      <c r="C253" s="740"/>
      <c r="D253" s="539">
        <f>+D254</f>
        <v>0</v>
      </c>
      <c r="E253" s="539">
        <f t="shared" ref="E253:O253" si="167">+E254</f>
        <v>0</v>
      </c>
      <c r="F253" s="539">
        <f t="shared" si="167"/>
        <v>0</v>
      </c>
      <c r="G253" s="539">
        <f t="shared" si="167"/>
        <v>0</v>
      </c>
      <c r="H253" s="539">
        <f t="shared" si="167"/>
        <v>0</v>
      </c>
      <c r="I253" s="539">
        <f t="shared" si="167"/>
        <v>0</v>
      </c>
      <c r="J253" s="539">
        <f t="shared" si="167"/>
        <v>0</v>
      </c>
      <c r="K253" s="539">
        <f t="shared" si="167"/>
        <v>1</v>
      </c>
      <c r="L253" s="539">
        <f t="shared" si="167"/>
        <v>0</v>
      </c>
      <c r="M253" s="539">
        <f t="shared" si="167"/>
        <v>0</v>
      </c>
      <c r="N253" s="539">
        <f t="shared" si="167"/>
        <v>0</v>
      </c>
      <c r="O253" s="539">
        <f t="shared" si="167"/>
        <v>0</v>
      </c>
      <c r="P253" s="538"/>
      <c r="R253" s="205">
        <f t="shared" si="139"/>
        <v>1</v>
      </c>
    </row>
    <row r="254" spans="1:18">
      <c r="A254" s="766"/>
      <c r="B254" s="758"/>
      <c r="C254" s="741"/>
      <c r="D254" s="540"/>
      <c r="E254" s="540"/>
      <c r="F254" s="540"/>
      <c r="G254" s="540"/>
      <c r="H254" s="540"/>
      <c r="I254" s="540"/>
      <c r="J254" s="540"/>
      <c r="K254" s="540">
        <v>1</v>
      </c>
      <c r="L254" s="540"/>
      <c r="M254" s="540"/>
      <c r="N254" s="540"/>
      <c r="O254" s="540"/>
      <c r="P254" s="541">
        <f>C252</f>
        <v>5.8658623025067788E-2</v>
      </c>
      <c r="R254" s="205">
        <f t="shared" si="139"/>
        <v>1</v>
      </c>
    </row>
    <row r="255" spans="1:18">
      <c r="A255" s="764" t="s">
        <v>594</v>
      </c>
      <c r="B255" s="756">
        <f>CASA_MOTOR_BOMBA!J69</f>
        <v>69.657799999999995</v>
      </c>
      <c r="C255" s="739">
        <f>B255/$B$270</f>
        <v>5.1723766044340777E-3</v>
      </c>
      <c r="D255" s="536">
        <f t="shared" ref="D255:O255" si="168">$B255*D257</f>
        <v>0</v>
      </c>
      <c r="E255" s="537">
        <f t="shared" si="168"/>
        <v>0</v>
      </c>
      <c r="F255" s="537">
        <f t="shared" si="168"/>
        <v>0</v>
      </c>
      <c r="G255" s="537">
        <f t="shared" si="168"/>
        <v>0</v>
      </c>
      <c r="H255" s="537">
        <f t="shared" si="168"/>
        <v>0</v>
      </c>
      <c r="I255" s="537">
        <f t="shared" si="168"/>
        <v>0</v>
      </c>
      <c r="J255" s="537">
        <f t="shared" si="168"/>
        <v>0</v>
      </c>
      <c r="K255" s="537">
        <f t="shared" si="168"/>
        <v>69.657799999999995</v>
      </c>
      <c r="L255" s="537">
        <f t="shared" si="168"/>
        <v>0</v>
      </c>
      <c r="M255" s="537">
        <f t="shared" si="168"/>
        <v>0</v>
      </c>
      <c r="N255" s="537">
        <f t="shared" si="168"/>
        <v>0</v>
      </c>
      <c r="O255" s="537">
        <f t="shared" si="168"/>
        <v>0</v>
      </c>
      <c r="P255" s="538">
        <f>SUM(D255:O255)</f>
        <v>69.657799999999995</v>
      </c>
      <c r="R255" s="205"/>
    </row>
    <row r="256" spans="1:18" ht="5.0999999999999996" customHeight="1">
      <c r="A256" s="765"/>
      <c r="B256" s="757"/>
      <c r="C256" s="740"/>
      <c r="D256" s="539">
        <f>+D257</f>
        <v>0</v>
      </c>
      <c r="E256" s="539">
        <f t="shared" ref="E256:O256" si="169">+E257</f>
        <v>0</v>
      </c>
      <c r="F256" s="539">
        <f t="shared" si="169"/>
        <v>0</v>
      </c>
      <c r="G256" s="539">
        <f t="shared" si="169"/>
        <v>0</v>
      </c>
      <c r="H256" s="539">
        <f t="shared" si="169"/>
        <v>0</v>
      </c>
      <c r="I256" s="539">
        <f t="shared" si="169"/>
        <v>0</v>
      </c>
      <c r="J256" s="539">
        <f t="shared" si="169"/>
        <v>0</v>
      </c>
      <c r="K256" s="539">
        <f t="shared" si="169"/>
        <v>1</v>
      </c>
      <c r="L256" s="539">
        <f t="shared" si="169"/>
        <v>0</v>
      </c>
      <c r="M256" s="539">
        <f t="shared" si="169"/>
        <v>0</v>
      </c>
      <c r="N256" s="539">
        <f t="shared" si="169"/>
        <v>0</v>
      </c>
      <c r="O256" s="539">
        <f t="shared" si="169"/>
        <v>0</v>
      </c>
      <c r="P256" s="538"/>
      <c r="R256" s="205">
        <f t="shared" si="139"/>
        <v>1</v>
      </c>
    </row>
    <row r="257" spans="1:18">
      <c r="A257" s="766"/>
      <c r="B257" s="758"/>
      <c r="C257" s="741"/>
      <c r="D257" s="540"/>
      <c r="E257" s="540"/>
      <c r="F257" s="540"/>
      <c r="G257" s="540"/>
      <c r="H257" s="540"/>
      <c r="I257" s="540"/>
      <c r="J257" s="540"/>
      <c r="K257" s="540">
        <v>1</v>
      </c>
      <c r="L257" s="540"/>
      <c r="M257" s="540"/>
      <c r="N257" s="540"/>
      <c r="O257" s="540"/>
      <c r="P257" s="541">
        <f>C255</f>
        <v>5.1723766044340777E-3</v>
      </c>
      <c r="R257" s="205">
        <f t="shared" si="139"/>
        <v>1</v>
      </c>
    </row>
    <row r="258" spans="1:18">
      <c r="A258" s="764" t="s">
        <v>592</v>
      </c>
      <c r="B258" s="756">
        <f>CASA_MOTOR_BOMBA!J73</f>
        <v>259.93380000000002</v>
      </c>
      <c r="C258" s="739">
        <f>B258/$B$270</f>
        <v>1.9301147980867135E-2</v>
      </c>
      <c r="D258" s="536">
        <f t="shared" ref="D258:O258" si="170">$B258*D260</f>
        <v>0</v>
      </c>
      <c r="E258" s="537">
        <f t="shared" si="170"/>
        <v>0</v>
      </c>
      <c r="F258" s="537">
        <f t="shared" si="170"/>
        <v>0</v>
      </c>
      <c r="G258" s="537">
        <f t="shared" si="170"/>
        <v>0</v>
      </c>
      <c r="H258" s="537">
        <f t="shared" si="170"/>
        <v>0</v>
      </c>
      <c r="I258" s="537">
        <f t="shared" si="170"/>
        <v>0</v>
      </c>
      <c r="J258" s="537">
        <f t="shared" si="170"/>
        <v>259.93380000000002</v>
      </c>
      <c r="K258" s="537">
        <f t="shared" si="170"/>
        <v>0</v>
      </c>
      <c r="L258" s="537">
        <f t="shared" si="170"/>
        <v>0</v>
      </c>
      <c r="M258" s="537">
        <f t="shared" si="170"/>
        <v>0</v>
      </c>
      <c r="N258" s="537">
        <f t="shared" si="170"/>
        <v>0</v>
      </c>
      <c r="O258" s="537">
        <f t="shared" si="170"/>
        <v>0</v>
      </c>
      <c r="P258" s="538">
        <f>SUM(D258:O258)</f>
        <v>259.93380000000002</v>
      </c>
      <c r="R258" s="205"/>
    </row>
    <row r="259" spans="1:18" ht="5.0999999999999996" customHeight="1">
      <c r="A259" s="765"/>
      <c r="B259" s="757"/>
      <c r="C259" s="740"/>
      <c r="D259" s="539">
        <f>+D260</f>
        <v>0</v>
      </c>
      <c r="E259" s="539">
        <f t="shared" ref="E259:O259" si="171">+E260</f>
        <v>0</v>
      </c>
      <c r="F259" s="539">
        <f t="shared" si="171"/>
        <v>0</v>
      </c>
      <c r="G259" s="539">
        <f t="shared" si="171"/>
        <v>0</v>
      </c>
      <c r="H259" s="539">
        <f t="shared" si="171"/>
        <v>0</v>
      </c>
      <c r="I259" s="539">
        <f t="shared" si="171"/>
        <v>0</v>
      </c>
      <c r="J259" s="539">
        <f t="shared" si="171"/>
        <v>1</v>
      </c>
      <c r="K259" s="539">
        <f t="shared" si="171"/>
        <v>0</v>
      </c>
      <c r="L259" s="539">
        <f t="shared" si="171"/>
        <v>0</v>
      </c>
      <c r="M259" s="539">
        <f t="shared" si="171"/>
        <v>0</v>
      </c>
      <c r="N259" s="539">
        <f t="shared" si="171"/>
        <v>0</v>
      </c>
      <c r="O259" s="539">
        <f t="shared" si="171"/>
        <v>0</v>
      </c>
      <c r="P259" s="538"/>
      <c r="R259" s="205">
        <f t="shared" ref="R259:R299" si="172">+SUM(D259:O259)</f>
        <v>1</v>
      </c>
    </row>
    <row r="260" spans="1:18">
      <c r="A260" s="766"/>
      <c r="B260" s="758"/>
      <c r="C260" s="741"/>
      <c r="D260" s="540"/>
      <c r="E260" s="540"/>
      <c r="F260" s="540"/>
      <c r="G260" s="540"/>
      <c r="H260" s="540"/>
      <c r="I260" s="540"/>
      <c r="J260" s="540">
        <v>1</v>
      </c>
      <c r="K260" s="540"/>
      <c r="L260" s="540"/>
      <c r="M260" s="540"/>
      <c r="N260" s="540"/>
      <c r="O260" s="540"/>
      <c r="P260" s="541">
        <f>C258</f>
        <v>1.9301147980867135E-2</v>
      </c>
      <c r="R260" s="205">
        <f t="shared" si="172"/>
        <v>1</v>
      </c>
    </row>
    <row r="261" spans="1:18">
      <c r="A261" s="764" t="s">
        <v>591</v>
      </c>
      <c r="B261" s="756">
        <f>CASA_MOTOR_BOMBA!J79</f>
        <v>792.04997534000017</v>
      </c>
      <c r="C261" s="739">
        <f>B261/$B$270</f>
        <v>5.8812950767770517E-2</v>
      </c>
      <c r="D261" s="536">
        <f t="shared" ref="D261:O261" si="173">$B261*D263</f>
        <v>0</v>
      </c>
      <c r="E261" s="537">
        <f t="shared" si="173"/>
        <v>0</v>
      </c>
      <c r="F261" s="537">
        <f t="shared" si="173"/>
        <v>0</v>
      </c>
      <c r="G261" s="537">
        <f t="shared" si="173"/>
        <v>0</v>
      </c>
      <c r="H261" s="537">
        <f t="shared" si="173"/>
        <v>0</v>
      </c>
      <c r="I261" s="537">
        <f t="shared" si="173"/>
        <v>0</v>
      </c>
      <c r="J261" s="537">
        <f t="shared" si="173"/>
        <v>792.04997534000017</v>
      </c>
      <c r="K261" s="537">
        <f t="shared" si="173"/>
        <v>0</v>
      </c>
      <c r="L261" s="537">
        <f t="shared" si="173"/>
        <v>0</v>
      </c>
      <c r="M261" s="537">
        <f t="shared" si="173"/>
        <v>0</v>
      </c>
      <c r="N261" s="537">
        <f t="shared" si="173"/>
        <v>0</v>
      </c>
      <c r="O261" s="537">
        <f t="shared" si="173"/>
        <v>0</v>
      </c>
      <c r="P261" s="538">
        <f>SUM(D261:O261)</f>
        <v>792.04997534000017</v>
      </c>
      <c r="R261" s="205"/>
    </row>
    <row r="262" spans="1:18" ht="5.0999999999999996" customHeight="1">
      <c r="A262" s="765"/>
      <c r="B262" s="757"/>
      <c r="C262" s="740"/>
      <c r="D262" s="539">
        <f>+D263</f>
        <v>0</v>
      </c>
      <c r="E262" s="539">
        <f t="shared" ref="E262:O262" si="174">+E263</f>
        <v>0</v>
      </c>
      <c r="F262" s="539">
        <f t="shared" si="174"/>
        <v>0</v>
      </c>
      <c r="G262" s="539">
        <f t="shared" si="174"/>
        <v>0</v>
      </c>
      <c r="H262" s="539">
        <f t="shared" si="174"/>
        <v>0</v>
      </c>
      <c r="I262" s="539">
        <f t="shared" si="174"/>
        <v>0</v>
      </c>
      <c r="J262" s="539">
        <f t="shared" si="174"/>
        <v>1</v>
      </c>
      <c r="K262" s="539">
        <f t="shared" si="174"/>
        <v>0</v>
      </c>
      <c r="L262" s="539">
        <f t="shared" si="174"/>
        <v>0</v>
      </c>
      <c r="M262" s="539">
        <f t="shared" si="174"/>
        <v>0</v>
      </c>
      <c r="N262" s="539">
        <f t="shared" si="174"/>
        <v>0</v>
      </c>
      <c r="O262" s="539">
        <f t="shared" si="174"/>
        <v>0</v>
      </c>
      <c r="P262" s="538"/>
      <c r="R262" s="205">
        <f t="shared" si="172"/>
        <v>1</v>
      </c>
    </row>
    <row r="263" spans="1:18">
      <c r="A263" s="766"/>
      <c r="B263" s="758"/>
      <c r="C263" s="741"/>
      <c r="D263" s="540"/>
      <c r="E263" s="540"/>
      <c r="F263" s="540"/>
      <c r="G263" s="540"/>
      <c r="H263" s="540"/>
      <c r="I263" s="540"/>
      <c r="J263" s="540">
        <v>1</v>
      </c>
      <c r="K263" s="540"/>
      <c r="L263" s="540"/>
      <c r="M263" s="540"/>
      <c r="N263" s="540"/>
      <c r="O263" s="540"/>
      <c r="P263" s="541">
        <f>C261</f>
        <v>5.8812950767770517E-2</v>
      </c>
      <c r="R263" s="205">
        <f t="shared" si="172"/>
        <v>1</v>
      </c>
    </row>
    <row r="264" spans="1:18">
      <c r="A264" s="764" t="s">
        <v>587</v>
      </c>
      <c r="B264" s="756">
        <f>CASA_MOTOR_BOMBA!J89</f>
        <v>1166.90523091</v>
      </c>
      <c r="C264" s="739">
        <f>B264/$B$270</f>
        <v>8.6647486942605559E-2</v>
      </c>
      <c r="D264" s="536">
        <f t="shared" ref="D264:O264" si="175">$B264*D266</f>
        <v>0</v>
      </c>
      <c r="E264" s="537">
        <f t="shared" si="175"/>
        <v>0</v>
      </c>
      <c r="F264" s="537">
        <f t="shared" si="175"/>
        <v>0</v>
      </c>
      <c r="G264" s="537">
        <f t="shared" si="175"/>
        <v>0</v>
      </c>
      <c r="H264" s="537">
        <f t="shared" si="175"/>
        <v>0</v>
      </c>
      <c r="I264" s="537">
        <f t="shared" si="175"/>
        <v>0</v>
      </c>
      <c r="J264" s="537">
        <f t="shared" si="175"/>
        <v>0</v>
      </c>
      <c r="K264" s="537">
        <f t="shared" si="175"/>
        <v>0</v>
      </c>
      <c r="L264" s="537">
        <f t="shared" si="175"/>
        <v>933.52418472800002</v>
      </c>
      <c r="M264" s="537">
        <f t="shared" si="175"/>
        <v>233.38104618200001</v>
      </c>
      <c r="N264" s="537">
        <f t="shared" si="175"/>
        <v>0</v>
      </c>
      <c r="O264" s="537">
        <f t="shared" si="175"/>
        <v>0</v>
      </c>
      <c r="P264" s="538">
        <f>SUM(D264:O264)</f>
        <v>1166.90523091</v>
      </c>
      <c r="R264" s="205"/>
    </row>
    <row r="265" spans="1:18" ht="5.0999999999999996" customHeight="1">
      <c r="A265" s="765"/>
      <c r="B265" s="757"/>
      <c r="C265" s="740"/>
      <c r="D265" s="539">
        <f>+D266</f>
        <v>0</v>
      </c>
      <c r="E265" s="539">
        <f t="shared" ref="E265:O265" si="176">+E266</f>
        <v>0</v>
      </c>
      <c r="F265" s="539">
        <f t="shared" si="176"/>
        <v>0</v>
      </c>
      <c r="G265" s="539">
        <f t="shared" si="176"/>
        <v>0</v>
      </c>
      <c r="H265" s="539">
        <f t="shared" si="176"/>
        <v>0</v>
      </c>
      <c r="I265" s="539">
        <f t="shared" si="176"/>
        <v>0</v>
      </c>
      <c r="J265" s="539">
        <f t="shared" si="176"/>
        <v>0</v>
      </c>
      <c r="K265" s="539">
        <f t="shared" si="176"/>
        <v>0</v>
      </c>
      <c r="L265" s="539">
        <f t="shared" si="176"/>
        <v>0.8</v>
      </c>
      <c r="M265" s="539">
        <f t="shared" si="176"/>
        <v>0.2</v>
      </c>
      <c r="N265" s="539">
        <f t="shared" si="176"/>
        <v>0</v>
      </c>
      <c r="O265" s="539">
        <f t="shared" si="176"/>
        <v>0</v>
      </c>
      <c r="P265" s="538"/>
      <c r="R265" s="205">
        <f t="shared" si="172"/>
        <v>1</v>
      </c>
    </row>
    <row r="266" spans="1:18">
      <c r="A266" s="766"/>
      <c r="B266" s="758"/>
      <c r="C266" s="741"/>
      <c r="D266" s="540"/>
      <c r="E266" s="540"/>
      <c r="F266" s="540"/>
      <c r="G266" s="540"/>
      <c r="H266" s="540"/>
      <c r="I266" s="540"/>
      <c r="J266" s="540"/>
      <c r="K266" s="540"/>
      <c r="L266" s="540">
        <v>0.8</v>
      </c>
      <c r="M266" s="540">
        <v>0.2</v>
      </c>
      <c r="N266" s="540"/>
      <c r="O266" s="540"/>
      <c r="P266" s="541">
        <f>C264</f>
        <v>8.6647486942605559E-2</v>
      </c>
      <c r="R266" s="205">
        <f t="shared" si="172"/>
        <v>1</v>
      </c>
    </row>
    <row r="267" spans="1:18">
      <c r="A267" s="764" t="s">
        <v>2</v>
      </c>
      <c r="B267" s="756">
        <f>CASA_MOTOR_BOMBA!J92</f>
        <v>21.642415079999999</v>
      </c>
      <c r="C267" s="739">
        <f>B267/$B$270</f>
        <v>1.6070378539552394E-3</v>
      </c>
      <c r="D267" s="536">
        <f t="shared" ref="D267:O267" si="177">$B267*D269</f>
        <v>0</v>
      </c>
      <c r="E267" s="537">
        <f t="shared" si="177"/>
        <v>0</v>
      </c>
      <c r="F267" s="537">
        <f t="shared" si="177"/>
        <v>0</v>
      </c>
      <c r="G267" s="537">
        <f t="shared" si="177"/>
        <v>0</v>
      </c>
      <c r="H267" s="537">
        <f t="shared" si="177"/>
        <v>0</v>
      </c>
      <c r="I267" s="537">
        <f t="shared" si="177"/>
        <v>0</v>
      </c>
      <c r="J267" s="537">
        <f t="shared" si="177"/>
        <v>0</v>
      </c>
      <c r="K267" s="537">
        <f t="shared" si="177"/>
        <v>0</v>
      </c>
      <c r="L267" s="537">
        <f t="shared" si="177"/>
        <v>0</v>
      </c>
      <c r="M267" s="537">
        <f t="shared" si="177"/>
        <v>21.642415079999999</v>
      </c>
      <c r="N267" s="537">
        <f t="shared" si="177"/>
        <v>0</v>
      </c>
      <c r="O267" s="537">
        <f t="shared" si="177"/>
        <v>0</v>
      </c>
      <c r="P267" s="538">
        <f>SUM(D267:O267)</f>
        <v>21.642415079999999</v>
      </c>
      <c r="R267" s="205"/>
    </row>
    <row r="268" spans="1:18" ht="5.0999999999999996" customHeight="1">
      <c r="A268" s="765"/>
      <c r="B268" s="757"/>
      <c r="C268" s="740"/>
      <c r="D268" s="539">
        <f>+D269</f>
        <v>0</v>
      </c>
      <c r="E268" s="539">
        <f t="shared" ref="E268:O268" si="178">+E269</f>
        <v>0</v>
      </c>
      <c r="F268" s="539">
        <f t="shared" si="178"/>
        <v>0</v>
      </c>
      <c r="G268" s="539">
        <f t="shared" si="178"/>
        <v>0</v>
      </c>
      <c r="H268" s="539">
        <f t="shared" si="178"/>
        <v>0</v>
      </c>
      <c r="I268" s="539">
        <f t="shared" si="178"/>
        <v>0</v>
      </c>
      <c r="J268" s="539">
        <f t="shared" si="178"/>
        <v>0</v>
      </c>
      <c r="K268" s="539">
        <f t="shared" si="178"/>
        <v>0</v>
      </c>
      <c r="L268" s="539">
        <f t="shared" si="178"/>
        <v>0</v>
      </c>
      <c r="M268" s="539">
        <f t="shared" si="178"/>
        <v>1</v>
      </c>
      <c r="N268" s="539">
        <f t="shared" si="178"/>
        <v>0</v>
      </c>
      <c r="O268" s="539">
        <f t="shared" si="178"/>
        <v>0</v>
      </c>
      <c r="P268" s="538"/>
      <c r="R268" s="205">
        <f t="shared" si="172"/>
        <v>1</v>
      </c>
    </row>
    <row r="269" spans="1:18">
      <c r="A269" s="766"/>
      <c r="B269" s="758"/>
      <c r="C269" s="741"/>
      <c r="D269" s="540"/>
      <c r="E269" s="540"/>
      <c r="F269" s="540"/>
      <c r="G269" s="540"/>
      <c r="H269" s="540"/>
      <c r="I269" s="540"/>
      <c r="J269" s="540"/>
      <c r="K269" s="540"/>
      <c r="L269" s="540"/>
      <c r="M269" s="540">
        <v>1</v>
      </c>
      <c r="N269" s="540"/>
      <c r="O269" s="540"/>
      <c r="P269" s="541">
        <f>C267</f>
        <v>1.6070378539552394E-3</v>
      </c>
      <c r="R269" s="205">
        <f t="shared" si="172"/>
        <v>1</v>
      </c>
    </row>
    <row r="270" spans="1:18">
      <c r="A270" s="776" t="s">
        <v>7042</v>
      </c>
      <c r="B270" s="211">
        <f>SUM(B237:B269)</f>
        <v>13467.271493782002</v>
      </c>
      <c r="C270" s="542">
        <f>SUM(C237:C269)</f>
        <v>0.99999999999999989</v>
      </c>
      <c r="D270" s="543">
        <f t="shared" ref="D270:O270" si="179">(D237+D240+D243+D246+D249+D252+D255+D258+D261+D264+D267)</f>
        <v>0</v>
      </c>
      <c r="E270" s="543">
        <f t="shared" si="179"/>
        <v>0</v>
      </c>
      <c r="F270" s="543">
        <f t="shared" si="179"/>
        <v>0</v>
      </c>
      <c r="G270" s="543">
        <f t="shared" si="179"/>
        <v>0</v>
      </c>
      <c r="H270" s="543">
        <f t="shared" si="179"/>
        <v>0</v>
      </c>
      <c r="I270" s="543">
        <f t="shared" si="179"/>
        <v>0</v>
      </c>
      <c r="J270" s="543">
        <f t="shared" si="179"/>
        <v>3276.489628712</v>
      </c>
      <c r="K270" s="543">
        <f t="shared" si="179"/>
        <v>6585.3071479299997</v>
      </c>
      <c r="L270" s="543">
        <f t="shared" si="179"/>
        <v>3350.4512558780002</v>
      </c>
      <c r="M270" s="543">
        <f t="shared" si="179"/>
        <v>255.02346126200001</v>
      </c>
      <c r="N270" s="543">
        <f t="shared" si="179"/>
        <v>0</v>
      </c>
      <c r="O270" s="543">
        <f t="shared" si="179"/>
        <v>0</v>
      </c>
      <c r="P270" s="544">
        <f>SUM(D270:O270)</f>
        <v>13467.271493782002</v>
      </c>
      <c r="R270" s="205"/>
    </row>
    <row r="271" spans="1:18">
      <c r="A271" s="776"/>
      <c r="B271" s="212"/>
      <c r="C271" s="581"/>
      <c r="D271" s="582">
        <f t="shared" ref="D271:O271" si="180">D270/$B$270</f>
        <v>0</v>
      </c>
      <c r="E271" s="582">
        <f t="shared" si="180"/>
        <v>0</v>
      </c>
      <c r="F271" s="582">
        <f t="shared" si="180"/>
        <v>0</v>
      </c>
      <c r="G271" s="582">
        <f t="shared" si="180"/>
        <v>0</v>
      </c>
      <c r="H271" s="582">
        <f t="shared" si="180"/>
        <v>0</v>
      </c>
      <c r="I271" s="582">
        <f t="shared" si="180"/>
        <v>0</v>
      </c>
      <c r="J271" s="582">
        <f t="shared" si="180"/>
        <v>0.24329275831595093</v>
      </c>
      <c r="K271" s="582">
        <f t="shared" si="180"/>
        <v>0.48898599474812054</v>
      </c>
      <c r="L271" s="582">
        <f t="shared" si="180"/>
        <v>0.24878471169345201</v>
      </c>
      <c r="M271" s="582">
        <f t="shared" si="180"/>
        <v>1.8936535242476352E-2</v>
      </c>
      <c r="N271" s="582">
        <f t="shared" si="180"/>
        <v>0</v>
      </c>
      <c r="O271" s="582">
        <f t="shared" si="180"/>
        <v>0</v>
      </c>
      <c r="P271" s="583">
        <f>SUM(D271:O271)</f>
        <v>1</v>
      </c>
      <c r="R271" s="205">
        <f t="shared" si="172"/>
        <v>1</v>
      </c>
    </row>
    <row r="272" spans="1:18" s="61" customFormat="1">
      <c r="R272" s="580"/>
    </row>
    <row r="273" spans="1:18">
      <c r="A273" s="763" t="s">
        <v>7043</v>
      </c>
      <c r="B273" s="730"/>
      <c r="C273" s="754"/>
      <c r="D273" s="754"/>
      <c r="E273" s="754"/>
      <c r="F273" s="754"/>
      <c r="G273" s="754"/>
      <c r="H273" s="754"/>
      <c r="I273" s="754"/>
      <c r="J273" s="754"/>
      <c r="K273" s="754"/>
      <c r="L273" s="754"/>
      <c r="M273" s="754"/>
      <c r="N273" s="754"/>
      <c r="O273" s="755"/>
      <c r="P273" s="579"/>
      <c r="R273" s="205"/>
    </row>
    <row r="274" spans="1:18">
      <c r="A274" s="767" t="s">
        <v>611</v>
      </c>
      <c r="B274" s="756">
        <f>QUADRA!J15</f>
        <v>520.97200759999998</v>
      </c>
      <c r="C274" s="739">
        <f>B274/$B$298</f>
        <v>5.0852323695430813E-3</v>
      </c>
      <c r="D274" s="536">
        <f t="shared" ref="D274:O274" si="181">$B274*D276</f>
        <v>0</v>
      </c>
      <c r="E274" s="537">
        <f t="shared" si="181"/>
        <v>0</v>
      </c>
      <c r="F274" s="537">
        <f t="shared" si="181"/>
        <v>0</v>
      </c>
      <c r="G274" s="537">
        <f t="shared" si="181"/>
        <v>130.2430019</v>
      </c>
      <c r="H274" s="537">
        <f t="shared" si="181"/>
        <v>130.2430019</v>
      </c>
      <c r="I274" s="537">
        <f t="shared" si="181"/>
        <v>130.2430019</v>
      </c>
      <c r="J274" s="537">
        <f t="shared" si="181"/>
        <v>130.2430019</v>
      </c>
      <c r="K274" s="537">
        <f t="shared" si="181"/>
        <v>0</v>
      </c>
      <c r="L274" s="537">
        <f t="shared" si="181"/>
        <v>0</v>
      </c>
      <c r="M274" s="537">
        <f t="shared" si="181"/>
        <v>0</v>
      </c>
      <c r="N274" s="537">
        <f t="shared" si="181"/>
        <v>0</v>
      </c>
      <c r="O274" s="537">
        <f t="shared" si="181"/>
        <v>0</v>
      </c>
      <c r="P274" s="538">
        <f>SUM(D274:O274)</f>
        <v>520.97200759999998</v>
      </c>
      <c r="R274" s="205"/>
    </row>
    <row r="275" spans="1:18" ht="5.0999999999999996" customHeight="1">
      <c r="A275" s="768"/>
      <c r="B275" s="757"/>
      <c r="C275" s="740"/>
      <c r="D275" s="539">
        <f>+D276</f>
        <v>0</v>
      </c>
      <c r="E275" s="539">
        <f t="shared" ref="E275:O275" si="182">+E276</f>
        <v>0</v>
      </c>
      <c r="F275" s="539">
        <f t="shared" si="182"/>
        <v>0</v>
      </c>
      <c r="G275" s="539">
        <f t="shared" si="182"/>
        <v>0.25</v>
      </c>
      <c r="H275" s="539">
        <f t="shared" si="182"/>
        <v>0.25</v>
      </c>
      <c r="I275" s="539">
        <f t="shared" si="182"/>
        <v>0.25</v>
      </c>
      <c r="J275" s="539">
        <f t="shared" si="182"/>
        <v>0.25</v>
      </c>
      <c r="K275" s="539">
        <f t="shared" si="182"/>
        <v>0</v>
      </c>
      <c r="L275" s="539">
        <f t="shared" si="182"/>
        <v>0</v>
      </c>
      <c r="M275" s="539">
        <f t="shared" si="182"/>
        <v>0</v>
      </c>
      <c r="N275" s="539">
        <f t="shared" si="182"/>
        <v>0</v>
      </c>
      <c r="O275" s="539">
        <f t="shared" si="182"/>
        <v>0</v>
      </c>
      <c r="P275" s="538"/>
      <c r="R275" s="205">
        <f t="shared" si="172"/>
        <v>1</v>
      </c>
    </row>
    <row r="276" spans="1:18">
      <c r="A276" s="769"/>
      <c r="B276" s="758"/>
      <c r="C276" s="741"/>
      <c r="D276" s="540"/>
      <c r="E276" s="540"/>
      <c r="F276" s="540"/>
      <c r="G276" s="540">
        <v>0.25</v>
      </c>
      <c r="H276" s="540">
        <v>0.25</v>
      </c>
      <c r="I276" s="540">
        <v>0.25</v>
      </c>
      <c r="J276" s="540">
        <v>0.25</v>
      </c>
      <c r="K276" s="540"/>
      <c r="L276" s="540"/>
      <c r="M276" s="540"/>
      <c r="N276" s="540"/>
      <c r="O276" s="540"/>
      <c r="P276" s="541">
        <f>C274</f>
        <v>5.0852323695430813E-3</v>
      </c>
      <c r="R276" s="205">
        <f t="shared" si="172"/>
        <v>1</v>
      </c>
    </row>
    <row r="277" spans="1:18">
      <c r="A277" s="767" t="s">
        <v>609</v>
      </c>
      <c r="B277" s="756">
        <f>QUADRA!J19</f>
        <v>2900.6971308900002</v>
      </c>
      <c r="C277" s="739">
        <f>B277/$B$298</f>
        <v>2.8313841682580592E-2</v>
      </c>
      <c r="D277" s="536">
        <f t="shared" ref="D277:O277" si="183">$B277*D279</f>
        <v>0</v>
      </c>
      <c r="E277" s="537">
        <f t="shared" si="183"/>
        <v>0</v>
      </c>
      <c r="F277" s="537">
        <f t="shared" si="183"/>
        <v>0</v>
      </c>
      <c r="G277" s="537">
        <f t="shared" si="183"/>
        <v>2900.6971308900002</v>
      </c>
      <c r="H277" s="537">
        <f t="shared" si="183"/>
        <v>0</v>
      </c>
      <c r="I277" s="537">
        <f t="shared" si="183"/>
        <v>0</v>
      </c>
      <c r="J277" s="537">
        <f t="shared" si="183"/>
        <v>0</v>
      </c>
      <c r="K277" s="537">
        <f t="shared" si="183"/>
        <v>0</v>
      </c>
      <c r="L277" s="537">
        <f t="shared" si="183"/>
        <v>0</v>
      </c>
      <c r="M277" s="537">
        <f t="shared" si="183"/>
        <v>0</v>
      </c>
      <c r="N277" s="537">
        <f t="shared" si="183"/>
        <v>0</v>
      </c>
      <c r="O277" s="537">
        <f t="shared" si="183"/>
        <v>0</v>
      </c>
      <c r="P277" s="538">
        <f>SUM(D277:O277)</f>
        <v>2900.6971308900002</v>
      </c>
      <c r="R277" s="205"/>
    </row>
    <row r="278" spans="1:18" ht="5.0999999999999996" customHeight="1">
      <c r="A278" s="768"/>
      <c r="B278" s="757"/>
      <c r="C278" s="740"/>
      <c r="D278" s="539">
        <f>+D279</f>
        <v>0</v>
      </c>
      <c r="E278" s="539">
        <f t="shared" ref="E278:O278" si="184">+E279</f>
        <v>0</v>
      </c>
      <c r="F278" s="539">
        <f t="shared" si="184"/>
        <v>0</v>
      </c>
      <c r="G278" s="539">
        <f t="shared" si="184"/>
        <v>1</v>
      </c>
      <c r="H278" s="539">
        <f t="shared" si="184"/>
        <v>0</v>
      </c>
      <c r="I278" s="539">
        <f t="shared" si="184"/>
        <v>0</v>
      </c>
      <c r="J278" s="539">
        <f t="shared" si="184"/>
        <v>0</v>
      </c>
      <c r="K278" s="539">
        <f t="shared" si="184"/>
        <v>0</v>
      </c>
      <c r="L278" s="539">
        <f t="shared" si="184"/>
        <v>0</v>
      </c>
      <c r="M278" s="539">
        <f t="shared" si="184"/>
        <v>0</v>
      </c>
      <c r="N278" s="539">
        <f t="shared" si="184"/>
        <v>0</v>
      </c>
      <c r="O278" s="539">
        <f t="shared" si="184"/>
        <v>0</v>
      </c>
      <c r="P278" s="538"/>
      <c r="R278" s="205">
        <f t="shared" si="172"/>
        <v>1</v>
      </c>
    </row>
    <row r="279" spans="1:18">
      <c r="A279" s="769"/>
      <c r="B279" s="758"/>
      <c r="C279" s="741"/>
      <c r="D279" s="540"/>
      <c r="E279" s="540"/>
      <c r="F279" s="540"/>
      <c r="G279" s="540">
        <v>1</v>
      </c>
      <c r="H279" s="540"/>
      <c r="I279" s="540"/>
      <c r="J279" s="540"/>
      <c r="K279" s="540"/>
      <c r="L279" s="540"/>
      <c r="M279" s="540"/>
      <c r="N279" s="540"/>
      <c r="O279" s="540"/>
      <c r="P279" s="541">
        <f>C277</f>
        <v>2.8313841682580592E-2</v>
      </c>
      <c r="R279" s="205">
        <f t="shared" si="172"/>
        <v>1</v>
      </c>
    </row>
    <row r="280" spans="1:18">
      <c r="A280" s="767" t="s">
        <v>605</v>
      </c>
      <c r="B280" s="756">
        <f>QUADRA!J66</f>
        <v>64310.236371719984</v>
      </c>
      <c r="C280" s="739">
        <f>B280/$B$298</f>
        <v>0.62773525433161348</v>
      </c>
      <c r="D280" s="536">
        <f t="shared" ref="D280:O280" si="185">$B280*D282</f>
        <v>0</v>
      </c>
      <c r="E280" s="537">
        <f t="shared" si="185"/>
        <v>0</v>
      </c>
      <c r="F280" s="537">
        <f t="shared" si="185"/>
        <v>0</v>
      </c>
      <c r="G280" s="537">
        <f t="shared" si="185"/>
        <v>6431.0236371719984</v>
      </c>
      <c r="H280" s="537">
        <f t="shared" si="185"/>
        <v>22508.582730101993</v>
      </c>
      <c r="I280" s="537">
        <f t="shared" si="185"/>
        <v>22508.582730101993</v>
      </c>
      <c r="J280" s="537">
        <f t="shared" si="185"/>
        <v>12862.047274343997</v>
      </c>
      <c r="K280" s="537">
        <f t="shared" si="185"/>
        <v>0</v>
      </c>
      <c r="L280" s="537">
        <f t="shared" si="185"/>
        <v>0</v>
      </c>
      <c r="M280" s="537">
        <f t="shared" si="185"/>
        <v>0</v>
      </c>
      <c r="N280" s="537">
        <f t="shared" si="185"/>
        <v>0</v>
      </c>
      <c r="O280" s="537">
        <f t="shared" si="185"/>
        <v>0</v>
      </c>
      <c r="P280" s="538">
        <f>SUM(D280:O280)</f>
        <v>64310.236371719984</v>
      </c>
      <c r="R280" s="205"/>
    </row>
    <row r="281" spans="1:18" ht="5.0999999999999996" customHeight="1">
      <c r="A281" s="768"/>
      <c r="B281" s="757"/>
      <c r="C281" s="740"/>
      <c r="D281" s="539">
        <f>+D282</f>
        <v>0</v>
      </c>
      <c r="E281" s="539">
        <f t="shared" ref="E281:O281" si="186">+E282</f>
        <v>0</v>
      </c>
      <c r="F281" s="539">
        <f t="shared" si="186"/>
        <v>0</v>
      </c>
      <c r="G281" s="539">
        <f t="shared" si="186"/>
        <v>0.1</v>
      </c>
      <c r="H281" s="539">
        <f t="shared" si="186"/>
        <v>0.35</v>
      </c>
      <c r="I281" s="539">
        <f t="shared" si="186"/>
        <v>0.35</v>
      </c>
      <c r="J281" s="539">
        <f t="shared" si="186"/>
        <v>0.2</v>
      </c>
      <c r="K281" s="539">
        <f t="shared" si="186"/>
        <v>0</v>
      </c>
      <c r="L281" s="539">
        <f t="shared" si="186"/>
        <v>0</v>
      </c>
      <c r="M281" s="539">
        <f t="shared" si="186"/>
        <v>0</v>
      </c>
      <c r="N281" s="539">
        <f t="shared" si="186"/>
        <v>0</v>
      </c>
      <c r="O281" s="539">
        <f t="shared" si="186"/>
        <v>0</v>
      </c>
      <c r="P281" s="538"/>
      <c r="R281" s="205">
        <f t="shared" si="172"/>
        <v>1</v>
      </c>
    </row>
    <row r="282" spans="1:18">
      <c r="A282" s="769"/>
      <c r="B282" s="758"/>
      <c r="C282" s="741"/>
      <c r="D282" s="540"/>
      <c r="E282" s="540"/>
      <c r="F282" s="540"/>
      <c r="G282" s="540">
        <v>0.1</v>
      </c>
      <c r="H282" s="540">
        <v>0.35</v>
      </c>
      <c r="I282" s="540">
        <v>0.35</v>
      </c>
      <c r="J282" s="540">
        <v>0.2</v>
      </c>
      <c r="K282" s="540"/>
      <c r="L282" s="540"/>
      <c r="M282" s="540"/>
      <c r="N282" s="540"/>
      <c r="O282" s="540"/>
      <c r="P282" s="541">
        <f>C280</f>
        <v>0.62773525433161348</v>
      </c>
      <c r="R282" s="205">
        <f t="shared" si="172"/>
        <v>1</v>
      </c>
    </row>
    <row r="283" spans="1:18">
      <c r="A283" s="773" t="s">
        <v>604</v>
      </c>
      <c r="B283" s="756">
        <f>QUADRA!J69</f>
        <v>43.163999999999994</v>
      </c>
      <c r="C283" s="739">
        <f>B283/$B$298</f>
        <v>4.2132584245771585E-4</v>
      </c>
      <c r="D283" s="536">
        <f t="shared" ref="D283:O283" si="187">$B283*D285</f>
        <v>0</v>
      </c>
      <c r="E283" s="537">
        <f t="shared" si="187"/>
        <v>0</v>
      </c>
      <c r="F283" s="537">
        <f t="shared" si="187"/>
        <v>0</v>
      </c>
      <c r="G283" s="537">
        <f t="shared" si="187"/>
        <v>0</v>
      </c>
      <c r="H283" s="537">
        <f t="shared" si="187"/>
        <v>43.163999999999994</v>
      </c>
      <c r="I283" s="537">
        <f t="shared" si="187"/>
        <v>0</v>
      </c>
      <c r="J283" s="537">
        <f t="shared" si="187"/>
        <v>0</v>
      </c>
      <c r="K283" s="537">
        <f t="shared" si="187"/>
        <v>0</v>
      </c>
      <c r="L283" s="537">
        <f t="shared" si="187"/>
        <v>0</v>
      </c>
      <c r="M283" s="537">
        <f t="shared" si="187"/>
        <v>0</v>
      </c>
      <c r="N283" s="537">
        <f t="shared" si="187"/>
        <v>0</v>
      </c>
      <c r="O283" s="537">
        <f t="shared" si="187"/>
        <v>0</v>
      </c>
      <c r="P283" s="538">
        <f>SUM(D283:O283)</f>
        <v>43.163999999999994</v>
      </c>
      <c r="R283" s="205"/>
    </row>
    <row r="284" spans="1:18" ht="5.0999999999999996" customHeight="1">
      <c r="A284" s="774"/>
      <c r="B284" s="757"/>
      <c r="C284" s="740"/>
      <c r="D284" s="539">
        <f>+D285</f>
        <v>0</v>
      </c>
      <c r="E284" s="539">
        <f t="shared" ref="E284:O284" si="188">+E285</f>
        <v>0</v>
      </c>
      <c r="F284" s="539">
        <f t="shared" si="188"/>
        <v>0</v>
      </c>
      <c r="G284" s="539">
        <f t="shared" si="188"/>
        <v>0</v>
      </c>
      <c r="H284" s="539">
        <f t="shared" si="188"/>
        <v>1</v>
      </c>
      <c r="I284" s="539">
        <f t="shared" si="188"/>
        <v>0</v>
      </c>
      <c r="J284" s="539">
        <f t="shared" si="188"/>
        <v>0</v>
      </c>
      <c r="K284" s="539">
        <f t="shared" si="188"/>
        <v>0</v>
      </c>
      <c r="L284" s="539">
        <f t="shared" si="188"/>
        <v>0</v>
      </c>
      <c r="M284" s="539">
        <f t="shared" si="188"/>
        <v>0</v>
      </c>
      <c r="N284" s="539">
        <f t="shared" si="188"/>
        <v>0</v>
      </c>
      <c r="O284" s="539">
        <f t="shared" si="188"/>
        <v>0</v>
      </c>
      <c r="P284" s="538"/>
      <c r="R284" s="205">
        <f t="shared" si="172"/>
        <v>1</v>
      </c>
    </row>
    <row r="285" spans="1:18">
      <c r="A285" s="775"/>
      <c r="B285" s="758"/>
      <c r="C285" s="741"/>
      <c r="D285" s="540"/>
      <c r="E285" s="540"/>
      <c r="F285" s="540"/>
      <c r="G285" s="540"/>
      <c r="H285" s="540">
        <v>1</v>
      </c>
      <c r="I285" s="540"/>
      <c r="J285" s="540"/>
      <c r="K285" s="540"/>
      <c r="L285" s="540"/>
      <c r="M285" s="540"/>
      <c r="N285" s="540"/>
      <c r="O285" s="540"/>
      <c r="P285" s="541">
        <f>C283</f>
        <v>4.2132584245771585E-4</v>
      </c>
      <c r="R285" s="205">
        <f t="shared" si="172"/>
        <v>1</v>
      </c>
    </row>
    <row r="286" spans="1:18">
      <c r="A286" s="764" t="s">
        <v>597</v>
      </c>
      <c r="B286" s="756">
        <f>QUADRA!J72</f>
        <v>299.79792000000003</v>
      </c>
      <c r="C286" s="739">
        <f>B286/$B$298</f>
        <v>2.9263416553394249E-3</v>
      </c>
      <c r="D286" s="536">
        <f t="shared" ref="D286:O286" si="189">$B286*D288</f>
        <v>0</v>
      </c>
      <c r="E286" s="537">
        <f t="shared" si="189"/>
        <v>0</v>
      </c>
      <c r="F286" s="537">
        <f t="shared" si="189"/>
        <v>0</v>
      </c>
      <c r="G286" s="537">
        <f t="shared" si="189"/>
        <v>0</v>
      </c>
      <c r="H286" s="537">
        <f t="shared" si="189"/>
        <v>299.79792000000003</v>
      </c>
      <c r="I286" s="537">
        <f t="shared" si="189"/>
        <v>0</v>
      </c>
      <c r="J286" s="537">
        <f t="shared" si="189"/>
        <v>0</v>
      </c>
      <c r="K286" s="537">
        <f t="shared" si="189"/>
        <v>0</v>
      </c>
      <c r="L286" s="537">
        <f t="shared" si="189"/>
        <v>0</v>
      </c>
      <c r="M286" s="537">
        <f t="shared" si="189"/>
        <v>0</v>
      </c>
      <c r="N286" s="537">
        <f t="shared" si="189"/>
        <v>0</v>
      </c>
      <c r="O286" s="537">
        <f t="shared" si="189"/>
        <v>0</v>
      </c>
      <c r="P286" s="538">
        <f>SUM(D286:O286)</f>
        <v>299.79792000000003</v>
      </c>
      <c r="R286" s="205"/>
    </row>
    <row r="287" spans="1:18" ht="5.0999999999999996" customHeight="1">
      <c r="A287" s="765"/>
      <c r="B287" s="757"/>
      <c r="C287" s="740"/>
      <c r="D287" s="539">
        <f>+D288</f>
        <v>0</v>
      </c>
      <c r="E287" s="539">
        <f t="shared" ref="E287:O287" si="190">+E288</f>
        <v>0</v>
      </c>
      <c r="F287" s="539">
        <f t="shared" si="190"/>
        <v>0</v>
      </c>
      <c r="G287" s="539">
        <f t="shared" si="190"/>
        <v>0</v>
      </c>
      <c r="H287" s="539">
        <f t="shared" si="190"/>
        <v>1</v>
      </c>
      <c r="I287" s="539">
        <f t="shared" si="190"/>
        <v>0</v>
      </c>
      <c r="J287" s="539">
        <f t="shared" si="190"/>
        <v>0</v>
      </c>
      <c r="K287" s="539">
        <f t="shared" si="190"/>
        <v>0</v>
      </c>
      <c r="L287" s="539">
        <f t="shared" si="190"/>
        <v>0</v>
      </c>
      <c r="M287" s="539">
        <f t="shared" si="190"/>
        <v>0</v>
      </c>
      <c r="N287" s="539">
        <f t="shared" si="190"/>
        <v>0</v>
      </c>
      <c r="O287" s="539">
        <f t="shared" si="190"/>
        <v>0</v>
      </c>
      <c r="P287" s="538"/>
      <c r="R287" s="205">
        <f t="shared" si="172"/>
        <v>1</v>
      </c>
    </row>
    <row r="288" spans="1:18">
      <c r="A288" s="766"/>
      <c r="B288" s="758"/>
      <c r="C288" s="741"/>
      <c r="D288" s="540"/>
      <c r="E288" s="540"/>
      <c r="F288" s="540"/>
      <c r="G288" s="540"/>
      <c r="H288" s="540">
        <v>1</v>
      </c>
      <c r="I288" s="540"/>
      <c r="J288" s="540"/>
      <c r="K288" s="540"/>
      <c r="L288" s="540"/>
      <c r="M288" s="540"/>
      <c r="N288" s="540"/>
      <c r="O288" s="540"/>
      <c r="P288" s="541">
        <f>C286</f>
        <v>2.9263416553394249E-3</v>
      </c>
      <c r="R288" s="205">
        <f t="shared" si="172"/>
        <v>1</v>
      </c>
    </row>
    <row r="289" spans="1:18">
      <c r="A289" s="764" t="s">
        <v>591</v>
      </c>
      <c r="B289" s="756">
        <f>QUADRA!J76</f>
        <v>11730.07771525</v>
      </c>
      <c r="C289" s="739">
        <f>B289/$B$298</f>
        <v>0.11449784254175205</v>
      </c>
      <c r="D289" s="536">
        <f t="shared" ref="D289:O289" si="191">$B289*D291</f>
        <v>0</v>
      </c>
      <c r="E289" s="537">
        <f t="shared" si="191"/>
        <v>0</v>
      </c>
      <c r="F289" s="537">
        <f t="shared" si="191"/>
        <v>0</v>
      </c>
      <c r="G289" s="537">
        <f t="shared" si="191"/>
        <v>0</v>
      </c>
      <c r="H289" s="537">
        <f t="shared" si="191"/>
        <v>11730.07771525</v>
      </c>
      <c r="I289" s="537">
        <f t="shared" si="191"/>
        <v>0</v>
      </c>
      <c r="J289" s="537">
        <f t="shared" si="191"/>
        <v>0</v>
      </c>
      <c r="K289" s="537">
        <f t="shared" si="191"/>
        <v>0</v>
      </c>
      <c r="L289" s="537">
        <f t="shared" si="191"/>
        <v>0</v>
      </c>
      <c r="M289" s="537">
        <f t="shared" si="191"/>
        <v>0</v>
      </c>
      <c r="N289" s="537">
        <f t="shared" si="191"/>
        <v>0</v>
      </c>
      <c r="O289" s="537">
        <f t="shared" si="191"/>
        <v>0</v>
      </c>
      <c r="P289" s="538">
        <f>SUM(D289:O289)</f>
        <v>11730.07771525</v>
      </c>
      <c r="R289" s="205"/>
    </row>
    <row r="290" spans="1:18" ht="5.0999999999999996" customHeight="1">
      <c r="A290" s="765"/>
      <c r="B290" s="757"/>
      <c r="C290" s="740"/>
      <c r="D290" s="539">
        <f>+D291</f>
        <v>0</v>
      </c>
      <c r="E290" s="539">
        <f t="shared" ref="E290:O290" si="192">+E291</f>
        <v>0</v>
      </c>
      <c r="F290" s="539">
        <f t="shared" si="192"/>
        <v>0</v>
      </c>
      <c r="G290" s="539">
        <f t="shared" si="192"/>
        <v>0</v>
      </c>
      <c r="H290" s="539">
        <f t="shared" si="192"/>
        <v>1</v>
      </c>
      <c r="I290" s="539">
        <f t="shared" si="192"/>
        <v>0</v>
      </c>
      <c r="J290" s="539">
        <f t="shared" si="192"/>
        <v>0</v>
      </c>
      <c r="K290" s="539">
        <f t="shared" si="192"/>
        <v>0</v>
      </c>
      <c r="L290" s="539">
        <f t="shared" si="192"/>
        <v>0</v>
      </c>
      <c r="M290" s="539">
        <f t="shared" si="192"/>
        <v>0</v>
      </c>
      <c r="N290" s="539">
        <f t="shared" si="192"/>
        <v>0</v>
      </c>
      <c r="O290" s="539">
        <f t="shared" si="192"/>
        <v>0</v>
      </c>
      <c r="P290" s="538"/>
      <c r="R290" s="205">
        <f t="shared" si="172"/>
        <v>1</v>
      </c>
    </row>
    <row r="291" spans="1:18">
      <c r="A291" s="766"/>
      <c r="B291" s="758"/>
      <c r="C291" s="741"/>
      <c r="D291" s="540"/>
      <c r="E291" s="540"/>
      <c r="F291" s="540"/>
      <c r="G291" s="540"/>
      <c r="H291" s="540">
        <v>1</v>
      </c>
      <c r="I291" s="540"/>
      <c r="J291" s="540"/>
      <c r="K291" s="540"/>
      <c r="L291" s="540"/>
      <c r="M291" s="540"/>
      <c r="N291" s="540"/>
      <c r="O291" s="540"/>
      <c r="P291" s="541">
        <f>C289</f>
        <v>0.11449784254175205</v>
      </c>
      <c r="R291" s="205">
        <f t="shared" si="172"/>
        <v>1</v>
      </c>
    </row>
    <row r="292" spans="1:18">
      <c r="A292" s="764" t="s">
        <v>587</v>
      </c>
      <c r="B292" s="756">
        <f>QUADRA!J82</f>
        <v>7587.7938367710003</v>
      </c>
      <c r="C292" s="739">
        <f>B292/$B$298</f>
        <v>7.4064813980933328E-2</v>
      </c>
      <c r="D292" s="536">
        <f t="shared" ref="D292:O292" si="193">$B292*D294</f>
        <v>0</v>
      </c>
      <c r="E292" s="537">
        <f t="shared" si="193"/>
        <v>0</v>
      </c>
      <c r="F292" s="537">
        <f t="shared" si="193"/>
        <v>0</v>
      </c>
      <c r="G292" s="537">
        <f t="shared" si="193"/>
        <v>0</v>
      </c>
      <c r="H292" s="537">
        <f t="shared" si="193"/>
        <v>0</v>
      </c>
      <c r="I292" s="537">
        <f t="shared" si="193"/>
        <v>1517.5587673542002</v>
      </c>
      <c r="J292" s="537">
        <f t="shared" si="193"/>
        <v>6070.2350694168008</v>
      </c>
      <c r="K292" s="537">
        <f t="shared" si="193"/>
        <v>0</v>
      </c>
      <c r="L292" s="537">
        <f t="shared" si="193"/>
        <v>0</v>
      </c>
      <c r="M292" s="537">
        <f t="shared" si="193"/>
        <v>0</v>
      </c>
      <c r="N292" s="537">
        <f t="shared" si="193"/>
        <v>0</v>
      </c>
      <c r="O292" s="537">
        <f t="shared" si="193"/>
        <v>0</v>
      </c>
      <c r="P292" s="538">
        <f>SUM(D292:O292)</f>
        <v>7587.7938367710012</v>
      </c>
      <c r="R292" s="205"/>
    </row>
    <row r="293" spans="1:18" ht="5.0999999999999996" customHeight="1">
      <c r="A293" s="765"/>
      <c r="B293" s="757"/>
      <c r="C293" s="740"/>
      <c r="D293" s="539">
        <f>+D294</f>
        <v>0</v>
      </c>
      <c r="E293" s="539">
        <f t="shared" ref="E293:O293" si="194">+E294</f>
        <v>0</v>
      </c>
      <c r="F293" s="539">
        <f t="shared" si="194"/>
        <v>0</v>
      </c>
      <c r="G293" s="539">
        <f t="shared" si="194"/>
        <v>0</v>
      </c>
      <c r="H293" s="539">
        <f t="shared" si="194"/>
        <v>0</v>
      </c>
      <c r="I293" s="539">
        <f t="shared" si="194"/>
        <v>0.2</v>
      </c>
      <c r="J293" s="539">
        <f t="shared" si="194"/>
        <v>0.8</v>
      </c>
      <c r="K293" s="539">
        <f t="shared" si="194"/>
        <v>0</v>
      </c>
      <c r="L293" s="539">
        <f t="shared" si="194"/>
        <v>0</v>
      </c>
      <c r="M293" s="539">
        <f t="shared" si="194"/>
        <v>0</v>
      </c>
      <c r="N293" s="539">
        <f t="shared" si="194"/>
        <v>0</v>
      </c>
      <c r="O293" s="539">
        <f t="shared" si="194"/>
        <v>0</v>
      </c>
      <c r="P293" s="538"/>
      <c r="R293" s="205">
        <f t="shared" si="172"/>
        <v>1</v>
      </c>
    </row>
    <row r="294" spans="1:18">
      <c r="A294" s="766"/>
      <c r="B294" s="758"/>
      <c r="C294" s="741"/>
      <c r="D294" s="540"/>
      <c r="E294" s="540"/>
      <c r="F294" s="540"/>
      <c r="G294" s="540"/>
      <c r="H294" s="540"/>
      <c r="I294" s="540">
        <v>0.2</v>
      </c>
      <c r="J294" s="540">
        <v>0.8</v>
      </c>
      <c r="K294" s="540"/>
      <c r="L294" s="540"/>
      <c r="M294" s="540"/>
      <c r="N294" s="540"/>
      <c r="O294" s="540"/>
      <c r="P294" s="541">
        <f>C292</f>
        <v>7.4064813980933328E-2</v>
      </c>
      <c r="R294" s="205">
        <f t="shared" si="172"/>
        <v>1</v>
      </c>
    </row>
    <row r="295" spans="1:18">
      <c r="A295" s="764" t="s">
        <v>2</v>
      </c>
      <c r="B295" s="756">
        <f>QUADRA!J89</f>
        <v>15055.284970469998</v>
      </c>
      <c r="C295" s="739">
        <f>B295/$B$298</f>
        <v>0.1469553475957803</v>
      </c>
      <c r="D295" s="536">
        <f t="shared" ref="D295:O295" si="195">$B295*D297</f>
        <v>0</v>
      </c>
      <c r="E295" s="537">
        <f t="shared" si="195"/>
        <v>0</v>
      </c>
      <c r="F295" s="537">
        <f t="shared" si="195"/>
        <v>0</v>
      </c>
      <c r="G295" s="537">
        <f t="shared" si="195"/>
        <v>0</v>
      </c>
      <c r="H295" s="537">
        <f t="shared" si="195"/>
        <v>0</v>
      </c>
      <c r="I295" s="537">
        <f t="shared" si="195"/>
        <v>0</v>
      </c>
      <c r="J295" s="537">
        <f t="shared" si="195"/>
        <v>15055.284970469998</v>
      </c>
      <c r="K295" s="537">
        <f t="shared" si="195"/>
        <v>0</v>
      </c>
      <c r="L295" s="537">
        <f t="shared" si="195"/>
        <v>0</v>
      </c>
      <c r="M295" s="537">
        <f t="shared" si="195"/>
        <v>0</v>
      </c>
      <c r="N295" s="537">
        <f t="shared" si="195"/>
        <v>0</v>
      </c>
      <c r="O295" s="537">
        <f t="shared" si="195"/>
        <v>0</v>
      </c>
      <c r="P295" s="538">
        <f>SUM(D295:O295)</f>
        <v>15055.284970469998</v>
      </c>
      <c r="R295" s="205"/>
    </row>
    <row r="296" spans="1:18" ht="5.0999999999999996" customHeight="1">
      <c r="A296" s="765"/>
      <c r="B296" s="757"/>
      <c r="C296" s="740"/>
      <c r="D296" s="539">
        <f>+D297</f>
        <v>0</v>
      </c>
      <c r="E296" s="539">
        <f t="shared" ref="E296:O296" si="196">+E297</f>
        <v>0</v>
      </c>
      <c r="F296" s="539">
        <f t="shared" si="196"/>
        <v>0</v>
      </c>
      <c r="G296" s="539">
        <f t="shared" si="196"/>
        <v>0</v>
      </c>
      <c r="H296" s="539">
        <f t="shared" si="196"/>
        <v>0</v>
      </c>
      <c r="I296" s="539">
        <f t="shared" si="196"/>
        <v>0</v>
      </c>
      <c r="J296" s="539">
        <f t="shared" si="196"/>
        <v>1</v>
      </c>
      <c r="K296" s="539">
        <f t="shared" si="196"/>
        <v>0</v>
      </c>
      <c r="L296" s="539">
        <f t="shared" si="196"/>
        <v>0</v>
      </c>
      <c r="M296" s="539">
        <f t="shared" si="196"/>
        <v>0</v>
      </c>
      <c r="N296" s="539">
        <f t="shared" si="196"/>
        <v>0</v>
      </c>
      <c r="O296" s="539">
        <f t="shared" si="196"/>
        <v>0</v>
      </c>
      <c r="P296" s="538"/>
      <c r="R296" s="205">
        <f t="shared" si="172"/>
        <v>1</v>
      </c>
    </row>
    <row r="297" spans="1:18">
      <c r="A297" s="766"/>
      <c r="B297" s="758"/>
      <c r="C297" s="741"/>
      <c r="D297" s="540"/>
      <c r="E297" s="540"/>
      <c r="F297" s="540"/>
      <c r="G297" s="540"/>
      <c r="H297" s="540"/>
      <c r="I297" s="540"/>
      <c r="J297" s="540">
        <v>1</v>
      </c>
      <c r="K297" s="540"/>
      <c r="L297" s="540"/>
      <c r="M297" s="540"/>
      <c r="N297" s="540"/>
      <c r="O297" s="540"/>
      <c r="P297" s="541">
        <f>C295</f>
        <v>0.1469553475957803</v>
      </c>
      <c r="R297" s="205">
        <f t="shared" si="172"/>
        <v>1</v>
      </c>
    </row>
    <row r="298" spans="1:18">
      <c r="A298" s="776" t="s">
        <v>7062</v>
      </c>
      <c r="B298" s="211">
        <f>SUM(B274:B297)</f>
        <v>102448.02395270098</v>
      </c>
      <c r="C298" s="542">
        <f>SUM(C274:C297)</f>
        <v>1</v>
      </c>
      <c r="D298" s="543">
        <f t="shared" ref="D298:O298" si="197">(D274+D277+D280+D283+D286+D289+D292+D295)</f>
        <v>0</v>
      </c>
      <c r="E298" s="543">
        <f t="shared" si="197"/>
        <v>0</v>
      </c>
      <c r="F298" s="543">
        <f t="shared" si="197"/>
        <v>0</v>
      </c>
      <c r="G298" s="543">
        <f t="shared" si="197"/>
        <v>9461.963769961998</v>
      </c>
      <c r="H298" s="543">
        <f t="shared" si="197"/>
        <v>34711.865367251994</v>
      </c>
      <c r="I298" s="543">
        <f t="shared" si="197"/>
        <v>24156.384499356191</v>
      </c>
      <c r="J298" s="543">
        <f t="shared" si="197"/>
        <v>34117.810316130795</v>
      </c>
      <c r="K298" s="543">
        <f t="shared" si="197"/>
        <v>0</v>
      </c>
      <c r="L298" s="543">
        <f t="shared" si="197"/>
        <v>0</v>
      </c>
      <c r="M298" s="543">
        <f t="shared" si="197"/>
        <v>0</v>
      </c>
      <c r="N298" s="543">
        <f t="shared" si="197"/>
        <v>0</v>
      </c>
      <c r="O298" s="543">
        <f t="shared" si="197"/>
        <v>0</v>
      </c>
      <c r="P298" s="544">
        <f>SUM(D298:O298)</f>
        <v>102448.02395270098</v>
      </c>
      <c r="R298" s="205"/>
    </row>
    <row r="299" spans="1:18">
      <c r="A299" s="776"/>
      <c r="B299" s="212"/>
      <c r="C299" s="581"/>
      <c r="D299" s="582">
        <f t="shared" ref="D299:O299" si="198">D298/$B$298</f>
        <v>0</v>
      </c>
      <c r="E299" s="582">
        <f t="shared" si="198"/>
        <v>0</v>
      </c>
      <c r="F299" s="582">
        <f t="shared" si="198"/>
        <v>0</v>
      </c>
      <c r="G299" s="582">
        <f t="shared" si="198"/>
        <v>9.2358675208127711E-2</v>
      </c>
      <c r="H299" s="582">
        <f t="shared" si="198"/>
        <v>0.33882415714799968</v>
      </c>
      <c r="I299" s="582">
        <f t="shared" si="198"/>
        <v>0.23579160990463713</v>
      </c>
      <c r="J299" s="582">
        <f t="shared" si="198"/>
        <v>0.33302555773923542</v>
      </c>
      <c r="K299" s="582">
        <f t="shared" si="198"/>
        <v>0</v>
      </c>
      <c r="L299" s="582">
        <f t="shared" si="198"/>
        <v>0</v>
      </c>
      <c r="M299" s="582">
        <f t="shared" si="198"/>
        <v>0</v>
      </c>
      <c r="N299" s="582">
        <f t="shared" si="198"/>
        <v>0</v>
      </c>
      <c r="O299" s="582">
        <f t="shared" si="198"/>
        <v>0</v>
      </c>
      <c r="P299" s="583">
        <f>SUM(D299:O299)</f>
        <v>1</v>
      </c>
      <c r="R299" s="205">
        <f t="shared" si="172"/>
        <v>1</v>
      </c>
    </row>
    <row r="300" spans="1:18" s="61" customFormat="1">
      <c r="R300" s="580"/>
    </row>
    <row r="301" spans="1:18">
      <c r="A301" s="783" t="s">
        <v>7044</v>
      </c>
      <c r="B301" s="783"/>
      <c r="C301" s="783"/>
      <c r="D301" s="783"/>
      <c r="E301" s="783"/>
      <c r="F301" s="783"/>
      <c r="G301" s="783"/>
      <c r="H301" s="783"/>
      <c r="I301" s="783"/>
      <c r="J301" s="783"/>
      <c r="K301" s="783"/>
      <c r="L301" s="783"/>
      <c r="M301" s="783"/>
      <c r="N301" s="783"/>
      <c r="O301" s="783"/>
      <c r="P301" s="578"/>
      <c r="R301" s="205"/>
    </row>
    <row r="302" spans="1:18">
      <c r="A302" s="743" t="s">
        <v>612</v>
      </c>
      <c r="B302" s="737">
        <f>PROTEGIDA_COMPARTILHADA!J16</f>
        <v>1337.4033925400001</v>
      </c>
      <c r="C302" s="740">
        <f>B302/$B$359</f>
        <v>1.2900328499105289E-3</v>
      </c>
      <c r="D302" s="213">
        <f t="shared" ref="D302:O302" si="199">$B302*D304</f>
        <v>1337.4033925400001</v>
      </c>
      <c r="E302" s="214">
        <f t="shared" si="199"/>
        <v>0</v>
      </c>
      <c r="F302" s="214">
        <f t="shared" si="199"/>
        <v>0</v>
      </c>
      <c r="G302" s="214">
        <f t="shared" si="199"/>
        <v>0</v>
      </c>
      <c r="H302" s="214">
        <f t="shared" si="199"/>
        <v>0</v>
      </c>
      <c r="I302" s="214">
        <f t="shared" si="199"/>
        <v>0</v>
      </c>
      <c r="J302" s="214">
        <f t="shared" si="199"/>
        <v>0</v>
      </c>
      <c r="K302" s="214">
        <f t="shared" si="199"/>
        <v>0</v>
      </c>
      <c r="L302" s="214">
        <f t="shared" si="199"/>
        <v>0</v>
      </c>
      <c r="M302" s="214">
        <f t="shared" si="199"/>
        <v>0</v>
      </c>
      <c r="N302" s="214">
        <f t="shared" si="199"/>
        <v>0</v>
      </c>
      <c r="O302" s="214">
        <f t="shared" si="199"/>
        <v>0</v>
      </c>
      <c r="P302" s="538">
        <f>SUM(D302:O302)</f>
        <v>1337.4033925400001</v>
      </c>
      <c r="R302" s="205"/>
    </row>
    <row r="303" spans="1:18" ht="5.0999999999999996" customHeight="1">
      <c r="A303" s="743"/>
      <c r="B303" s="737"/>
      <c r="C303" s="740"/>
      <c r="D303" s="539">
        <f>+D304</f>
        <v>1</v>
      </c>
      <c r="E303" s="539">
        <f t="shared" ref="E303:O303" si="200">+E304</f>
        <v>0</v>
      </c>
      <c r="F303" s="539">
        <f t="shared" si="200"/>
        <v>0</v>
      </c>
      <c r="G303" s="539">
        <f t="shared" si="200"/>
        <v>0</v>
      </c>
      <c r="H303" s="539">
        <f t="shared" si="200"/>
        <v>0</v>
      </c>
      <c r="I303" s="539">
        <f t="shared" si="200"/>
        <v>0</v>
      </c>
      <c r="J303" s="539">
        <f t="shared" si="200"/>
        <v>0</v>
      </c>
      <c r="K303" s="539">
        <f t="shared" si="200"/>
        <v>0</v>
      </c>
      <c r="L303" s="539">
        <f t="shared" si="200"/>
        <v>0</v>
      </c>
      <c r="M303" s="539">
        <f t="shared" si="200"/>
        <v>0</v>
      </c>
      <c r="N303" s="539">
        <f t="shared" si="200"/>
        <v>0</v>
      </c>
      <c r="O303" s="539">
        <f t="shared" si="200"/>
        <v>0</v>
      </c>
      <c r="P303" s="538"/>
      <c r="R303" s="205">
        <f t="shared" ref="R303:R342" si="201">+SUM(D303:O303)</f>
        <v>1</v>
      </c>
    </row>
    <row r="304" spans="1:18">
      <c r="A304" s="744"/>
      <c r="B304" s="738"/>
      <c r="C304" s="741"/>
      <c r="D304" s="540">
        <v>1</v>
      </c>
      <c r="E304" s="540"/>
      <c r="F304" s="540"/>
      <c r="G304" s="540"/>
      <c r="H304" s="540"/>
      <c r="I304" s="540"/>
      <c r="J304" s="540"/>
      <c r="K304" s="540"/>
      <c r="L304" s="540"/>
      <c r="M304" s="540"/>
      <c r="N304" s="540"/>
      <c r="O304" s="540"/>
      <c r="P304" s="541">
        <f>C302</f>
        <v>1.2900328499105289E-3</v>
      </c>
      <c r="R304" s="205">
        <f t="shared" si="201"/>
        <v>1</v>
      </c>
    </row>
    <row r="305" spans="1:18">
      <c r="A305" s="745" t="s">
        <v>611</v>
      </c>
      <c r="B305" s="737">
        <f>PROTEGIDA_COMPARTILHADA!J19</f>
        <v>3394.4270280200003</v>
      </c>
      <c r="C305" s="739">
        <f>B305/$B$359</f>
        <v>3.2741971473943298E-3</v>
      </c>
      <c r="D305" s="536">
        <f t="shared" ref="D305:O305" si="202">$B305*D307</f>
        <v>339.44270280200004</v>
      </c>
      <c r="E305" s="537">
        <f t="shared" si="202"/>
        <v>339.44270280200004</v>
      </c>
      <c r="F305" s="537">
        <f t="shared" si="202"/>
        <v>339.44270280200004</v>
      </c>
      <c r="G305" s="537">
        <f t="shared" si="202"/>
        <v>339.44270280200004</v>
      </c>
      <c r="H305" s="537">
        <f t="shared" si="202"/>
        <v>339.44270280200004</v>
      </c>
      <c r="I305" s="537">
        <f t="shared" si="202"/>
        <v>339.44270280200004</v>
      </c>
      <c r="J305" s="537">
        <f t="shared" si="202"/>
        <v>339.44270280200004</v>
      </c>
      <c r="K305" s="537">
        <f t="shared" si="202"/>
        <v>339.44270280200004</v>
      </c>
      <c r="L305" s="537">
        <f t="shared" si="202"/>
        <v>339.44270280200004</v>
      </c>
      <c r="M305" s="537">
        <f t="shared" si="202"/>
        <v>339.44270280200004</v>
      </c>
      <c r="N305" s="537">
        <f t="shared" si="202"/>
        <v>0</v>
      </c>
      <c r="O305" s="537">
        <f t="shared" si="202"/>
        <v>0</v>
      </c>
      <c r="P305" s="538">
        <f>SUM(D305:O305)</f>
        <v>3394.4270280200003</v>
      </c>
      <c r="R305" s="205"/>
    </row>
    <row r="306" spans="1:18" ht="5.0999999999999996" customHeight="1">
      <c r="A306" s="746"/>
      <c r="B306" s="737"/>
      <c r="C306" s="740"/>
      <c r="D306" s="539">
        <f>+D307</f>
        <v>0.1</v>
      </c>
      <c r="E306" s="539">
        <f t="shared" ref="E306:O306" si="203">+E307</f>
        <v>0.1</v>
      </c>
      <c r="F306" s="539">
        <f t="shared" si="203"/>
        <v>0.1</v>
      </c>
      <c r="G306" s="539">
        <f t="shared" si="203"/>
        <v>0.1</v>
      </c>
      <c r="H306" s="539">
        <f t="shared" si="203"/>
        <v>0.1</v>
      </c>
      <c r="I306" s="539">
        <f t="shared" si="203"/>
        <v>0.1</v>
      </c>
      <c r="J306" s="539">
        <f t="shared" si="203"/>
        <v>0.1</v>
      </c>
      <c r="K306" s="539">
        <f t="shared" si="203"/>
        <v>0.1</v>
      </c>
      <c r="L306" s="539">
        <f t="shared" si="203"/>
        <v>0.1</v>
      </c>
      <c r="M306" s="539">
        <f t="shared" si="203"/>
        <v>0.1</v>
      </c>
      <c r="N306" s="539">
        <f t="shared" si="203"/>
        <v>0</v>
      </c>
      <c r="O306" s="539">
        <f t="shared" si="203"/>
        <v>0</v>
      </c>
      <c r="P306" s="538"/>
      <c r="R306" s="205">
        <f t="shared" si="201"/>
        <v>0.99999999999999989</v>
      </c>
    </row>
    <row r="307" spans="1:18">
      <c r="A307" s="747"/>
      <c r="B307" s="738"/>
      <c r="C307" s="741"/>
      <c r="D307" s="540">
        <v>0.1</v>
      </c>
      <c r="E307" s="540">
        <v>0.1</v>
      </c>
      <c r="F307" s="540">
        <v>0.1</v>
      </c>
      <c r="G307" s="540">
        <v>0.1</v>
      </c>
      <c r="H307" s="540">
        <v>0.1</v>
      </c>
      <c r="I307" s="540">
        <v>0.1</v>
      </c>
      <c r="J307" s="540">
        <v>0.1</v>
      </c>
      <c r="K307" s="540">
        <v>0.1</v>
      </c>
      <c r="L307" s="540">
        <v>0.1</v>
      </c>
      <c r="M307" s="540">
        <v>0.1</v>
      </c>
      <c r="N307" s="540"/>
      <c r="O307" s="540"/>
      <c r="P307" s="541">
        <f>C305</f>
        <v>3.2741971473943298E-3</v>
      </c>
      <c r="R307" s="205">
        <f t="shared" si="201"/>
        <v>0.99999999999999989</v>
      </c>
    </row>
    <row r="308" spans="1:18">
      <c r="A308" s="745" t="s">
        <v>6336</v>
      </c>
      <c r="B308" s="737">
        <f>PROTEGIDA_COMPARTILHADA!J26</f>
        <v>6342.8413203180007</v>
      </c>
      <c r="C308" s="739">
        <f>B308/$B$359</f>
        <v>6.118179234942657E-3</v>
      </c>
      <c r="D308" s="536">
        <f t="shared" ref="D308:O308" si="204">$B308*D310</f>
        <v>4439.9889242226</v>
      </c>
      <c r="E308" s="537">
        <f t="shared" si="204"/>
        <v>1902.8523960954001</v>
      </c>
      <c r="F308" s="537">
        <f t="shared" si="204"/>
        <v>0</v>
      </c>
      <c r="G308" s="537">
        <f t="shared" si="204"/>
        <v>0</v>
      </c>
      <c r="H308" s="537">
        <f t="shared" si="204"/>
        <v>0</v>
      </c>
      <c r="I308" s="537">
        <f t="shared" si="204"/>
        <v>0</v>
      </c>
      <c r="J308" s="537">
        <f t="shared" si="204"/>
        <v>0</v>
      </c>
      <c r="K308" s="537">
        <f t="shared" si="204"/>
        <v>0</v>
      </c>
      <c r="L308" s="537">
        <f t="shared" si="204"/>
        <v>0</v>
      </c>
      <c r="M308" s="537">
        <f t="shared" si="204"/>
        <v>0</v>
      </c>
      <c r="N308" s="537">
        <f t="shared" si="204"/>
        <v>0</v>
      </c>
      <c r="O308" s="537">
        <f t="shared" si="204"/>
        <v>0</v>
      </c>
      <c r="P308" s="538">
        <f>SUM(D308:O308)</f>
        <v>6342.8413203179998</v>
      </c>
      <c r="R308" s="205"/>
    </row>
    <row r="309" spans="1:18" ht="5.0999999999999996" customHeight="1">
      <c r="A309" s="746"/>
      <c r="B309" s="737"/>
      <c r="C309" s="740"/>
      <c r="D309" s="539">
        <f>+D310</f>
        <v>0.7</v>
      </c>
      <c r="E309" s="539">
        <f t="shared" ref="E309:O309" si="205">+E310</f>
        <v>0.3</v>
      </c>
      <c r="F309" s="539">
        <f t="shared" si="205"/>
        <v>0</v>
      </c>
      <c r="G309" s="539">
        <f t="shared" si="205"/>
        <v>0</v>
      </c>
      <c r="H309" s="539">
        <f t="shared" si="205"/>
        <v>0</v>
      </c>
      <c r="I309" s="539">
        <f t="shared" si="205"/>
        <v>0</v>
      </c>
      <c r="J309" s="539">
        <f t="shared" si="205"/>
        <v>0</v>
      </c>
      <c r="K309" s="539">
        <f t="shared" si="205"/>
        <v>0</v>
      </c>
      <c r="L309" s="539">
        <f t="shared" si="205"/>
        <v>0</v>
      </c>
      <c r="M309" s="539">
        <f t="shared" si="205"/>
        <v>0</v>
      </c>
      <c r="N309" s="539">
        <f t="shared" si="205"/>
        <v>0</v>
      </c>
      <c r="O309" s="539">
        <f t="shared" si="205"/>
        <v>0</v>
      </c>
      <c r="P309" s="538"/>
      <c r="R309" s="205">
        <f t="shared" si="201"/>
        <v>1</v>
      </c>
    </row>
    <row r="310" spans="1:18">
      <c r="A310" s="746"/>
      <c r="B310" s="738"/>
      <c r="C310" s="741"/>
      <c r="D310" s="540">
        <v>0.7</v>
      </c>
      <c r="E310" s="540">
        <v>0.3</v>
      </c>
      <c r="F310" s="540"/>
      <c r="G310" s="540"/>
      <c r="H310" s="540"/>
      <c r="I310" s="540"/>
      <c r="J310" s="540"/>
      <c r="K310" s="540"/>
      <c r="L310" s="540"/>
      <c r="M310" s="540"/>
      <c r="N310" s="540"/>
      <c r="O310" s="540"/>
      <c r="P310" s="548">
        <f>C308</f>
        <v>6.118179234942657E-3</v>
      </c>
      <c r="R310" s="205">
        <f t="shared" si="201"/>
        <v>1</v>
      </c>
    </row>
    <row r="311" spans="1:18">
      <c r="A311" s="745" t="s">
        <v>608</v>
      </c>
      <c r="B311" s="737">
        <f>PROTEGIDA_COMPARTILHADA!J31</f>
        <v>1439.0318400000001</v>
      </c>
      <c r="C311" s="739">
        <f>B311/$B$359</f>
        <v>1.3880616394590683E-3</v>
      </c>
      <c r="D311" s="536">
        <f t="shared" ref="D311:O311" si="206">$B311*D313</f>
        <v>0</v>
      </c>
      <c r="E311" s="537">
        <f t="shared" si="206"/>
        <v>1439.0318400000001</v>
      </c>
      <c r="F311" s="537">
        <f t="shared" si="206"/>
        <v>0</v>
      </c>
      <c r="G311" s="537">
        <f t="shared" si="206"/>
        <v>0</v>
      </c>
      <c r="H311" s="537">
        <f t="shared" si="206"/>
        <v>0</v>
      </c>
      <c r="I311" s="537">
        <f t="shared" si="206"/>
        <v>0</v>
      </c>
      <c r="J311" s="537">
        <f t="shared" si="206"/>
        <v>0</v>
      </c>
      <c r="K311" s="537">
        <f t="shared" si="206"/>
        <v>0</v>
      </c>
      <c r="L311" s="537">
        <f t="shared" si="206"/>
        <v>0</v>
      </c>
      <c r="M311" s="537">
        <f t="shared" si="206"/>
        <v>0</v>
      </c>
      <c r="N311" s="537">
        <f t="shared" si="206"/>
        <v>0</v>
      </c>
      <c r="O311" s="537">
        <f t="shared" si="206"/>
        <v>0</v>
      </c>
      <c r="P311" s="538">
        <f>SUM(D311:O311)</f>
        <v>1439.0318400000001</v>
      </c>
      <c r="R311" s="205"/>
    </row>
    <row r="312" spans="1:18" ht="5.0999999999999996" customHeight="1">
      <c r="A312" s="746"/>
      <c r="B312" s="737"/>
      <c r="C312" s="740"/>
      <c r="D312" s="539">
        <f>+D313</f>
        <v>0</v>
      </c>
      <c r="E312" s="539">
        <f t="shared" ref="E312:O312" si="207">+E313</f>
        <v>1</v>
      </c>
      <c r="F312" s="539">
        <f t="shared" si="207"/>
        <v>0</v>
      </c>
      <c r="G312" s="539">
        <f t="shared" si="207"/>
        <v>0</v>
      </c>
      <c r="H312" s="539">
        <f t="shared" si="207"/>
        <v>0</v>
      </c>
      <c r="I312" s="539">
        <f t="shared" si="207"/>
        <v>0</v>
      </c>
      <c r="J312" s="539">
        <f t="shared" si="207"/>
        <v>0</v>
      </c>
      <c r="K312" s="539">
        <f t="shared" si="207"/>
        <v>0</v>
      </c>
      <c r="L312" s="539">
        <f t="shared" si="207"/>
        <v>0</v>
      </c>
      <c r="M312" s="539">
        <f t="shared" si="207"/>
        <v>0</v>
      </c>
      <c r="N312" s="539">
        <f t="shared" si="207"/>
        <v>0</v>
      </c>
      <c r="O312" s="539">
        <f t="shared" si="207"/>
        <v>0</v>
      </c>
      <c r="P312" s="549"/>
      <c r="R312" s="205">
        <f t="shared" si="201"/>
        <v>1</v>
      </c>
    </row>
    <row r="313" spans="1:18">
      <c r="A313" s="746"/>
      <c r="B313" s="738"/>
      <c r="C313" s="741"/>
      <c r="D313" s="540"/>
      <c r="E313" s="540">
        <v>1</v>
      </c>
      <c r="F313" s="540"/>
      <c r="G313" s="540"/>
      <c r="H313" s="540"/>
      <c r="I313" s="540"/>
      <c r="J313" s="540"/>
      <c r="K313" s="540"/>
      <c r="L313" s="540"/>
      <c r="M313" s="540"/>
      <c r="N313" s="540"/>
      <c r="O313" s="540"/>
      <c r="P313" s="549">
        <f>C311</f>
        <v>1.3880616394590683E-3</v>
      </c>
      <c r="R313" s="205">
        <f t="shared" si="201"/>
        <v>1</v>
      </c>
    </row>
    <row r="314" spans="1:18">
      <c r="A314" s="745" t="s">
        <v>607</v>
      </c>
      <c r="B314" s="737">
        <f>PROTEGIDA_COMPARTILHADA!J43</f>
        <v>7716.9584629652891</v>
      </c>
      <c r="C314" s="739">
        <f>B314/$B$359</f>
        <v>7.4436254417700231E-3</v>
      </c>
      <c r="D314" s="536">
        <f t="shared" ref="D314:O314" si="208">$B314*D316</f>
        <v>0</v>
      </c>
      <c r="E314" s="537">
        <f t="shared" si="208"/>
        <v>1929.2396157413223</v>
      </c>
      <c r="F314" s="537">
        <f t="shared" si="208"/>
        <v>5787.7188472239668</v>
      </c>
      <c r="G314" s="537">
        <f t="shared" si="208"/>
        <v>0</v>
      </c>
      <c r="H314" s="537">
        <f t="shared" si="208"/>
        <v>0</v>
      </c>
      <c r="I314" s="537">
        <f t="shared" si="208"/>
        <v>0</v>
      </c>
      <c r="J314" s="537">
        <f t="shared" si="208"/>
        <v>0</v>
      </c>
      <c r="K314" s="537">
        <f t="shared" si="208"/>
        <v>0</v>
      </c>
      <c r="L314" s="537">
        <f t="shared" si="208"/>
        <v>0</v>
      </c>
      <c r="M314" s="537">
        <f t="shared" si="208"/>
        <v>0</v>
      </c>
      <c r="N314" s="537">
        <f t="shared" si="208"/>
        <v>0</v>
      </c>
      <c r="O314" s="537">
        <f t="shared" si="208"/>
        <v>0</v>
      </c>
      <c r="P314" s="538">
        <f>SUM(D314:O314)</f>
        <v>7716.9584629652891</v>
      </c>
      <c r="R314" s="205"/>
    </row>
    <row r="315" spans="1:18" ht="5.0999999999999996" customHeight="1">
      <c r="A315" s="746"/>
      <c r="B315" s="737"/>
      <c r="C315" s="740"/>
      <c r="D315" s="539">
        <f>+D316</f>
        <v>0</v>
      </c>
      <c r="E315" s="539">
        <f t="shared" ref="E315:O315" si="209">+E316</f>
        <v>0.25</v>
      </c>
      <c r="F315" s="539">
        <f t="shared" si="209"/>
        <v>0.75</v>
      </c>
      <c r="G315" s="539">
        <f t="shared" si="209"/>
        <v>0</v>
      </c>
      <c r="H315" s="539">
        <f t="shared" si="209"/>
        <v>0</v>
      </c>
      <c r="I315" s="539">
        <f t="shared" si="209"/>
        <v>0</v>
      </c>
      <c r="J315" s="539">
        <f t="shared" si="209"/>
        <v>0</v>
      </c>
      <c r="K315" s="539">
        <f t="shared" si="209"/>
        <v>0</v>
      </c>
      <c r="L315" s="539">
        <f t="shared" si="209"/>
        <v>0</v>
      </c>
      <c r="M315" s="539">
        <f t="shared" si="209"/>
        <v>0</v>
      </c>
      <c r="N315" s="539">
        <f t="shared" si="209"/>
        <v>0</v>
      </c>
      <c r="O315" s="539">
        <f t="shared" si="209"/>
        <v>0</v>
      </c>
      <c r="P315" s="541"/>
      <c r="R315" s="205">
        <f t="shared" si="201"/>
        <v>1</v>
      </c>
    </row>
    <row r="316" spans="1:18">
      <c r="A316" s="746"/>
      <c r="B316" s="738"/>
      <c r="C316" s="741"/>
      <c r="D316" s="540"/>
      <c r="E316" s="540">
        <v>0.25</v>
      </c>
      <c r="F316" s="540">
        <v>0.75</v>
      </c>
      <c r="G316" s="540"/>
      <c r="H316" s="540"/>
      <c r="I316" s="540"/>
      <c r="J316" s="540"/>
      <c r="K316" s="540"/>
      <c r="L316" s="540"/>
      <c r="M316" s="540"/>
      <c r="N316" s="540"/>
      <c r="O316" s="540"/>
      <c r="P316" s="541">
        <f>C314</f>
        <v>7.4436254417700231E-3</v>
      </c>
      <c r="R316" s="205">
        <f t="shared" si="201"/>
        <v>1</v>
      </c>
    </row>
    <row r="317" spans="1:18">
      <c r="A317" s="733" t="s">
        <v>605</v>
      </c>
      <c r="B317" s="737">
        <f>PROTEGIDA_COMPARTILHADA!J115</f>
        <v>180722.99773694706</v>
      </c>
      <c r="C317" s="739">
        <f>B317/$B$359</f>
        <v>0.17432182774128485</v>
      </c>
      <c r="D317" s="536">
        <f t="shared" ref="D317:O317" si="210">$B317*D319</f>
        <v>0</v>
      </c>
      <c r="E317" s="537">
        <f t="shared" si="210"/>
        <v>9036.1498868473536</v>
      </c>
      <c r="F317" s="537">
        <f t="shared" si="210"/>
        <v>9036.1498868473536</v>
      </c>
      <c r="G317" s="537">
        <f t="shared" si="210"/>
        <v>18072.299773694707</v>
      </c>
      <c r="H317" s="537">
        <f t="shared" si="210"/>
        <v>0</v>
      </c>
      <c r="I317" s="537">
        <f t="shared" si="210"/>
        <v>0</v>
      </c>
      <c r="J317" s="537">
        <f t="shared" si="210"/>
        <v>36144.599547389415</v>
      </c>
      <c r="K317" s="537">
        <f t="shared" si="210"/>
        <v>54216.899321084114</v>
      </c>
      <c r="L317" s="537">
        <f t="shared" si="210"/>
        <v>54216.899321084114</v>
      </c>
      <c r="M317" s="537">
        <f t="shared" si="210"/>
        <v>0</v>
      </c>
      <c r="N317" s="537">
        <f t="shared" si="210"/>
        <v>0</v>
      </c>
      <c r="O317" s="537">
        <f t="shared" si="210"/>
        <v>0</v>
      </c>
      <c r="P317" s="538">
        <f>SUM(D317:O317)</f>
        <v>180722.99773694706</v>
      </c>
      <c r="R317" s="205"/>
    </row>
    <row r="318" spans="1:18" ht="5.0999999999999996" customHeight="1">
      <c r="A318" s="734"/>
      <c r="B318" s="737"/>
      <c r="C318" s="740"/>
      <c r="D318" s="539">
        <f>+D319</f>
        <v>0</v>
      </c>
      <c r="E318" s="539">
        <f t="shared" ref="E318:O318" si="211">+E319</f>
        <v>0.05</v>
      </c>
      <c r="F318" s="539">
        <f t="shared" si="211"/>
        <v>0.05</v>
      </c>
      <c r="G318" s="539">
        <f t="shared" si="211"/>
        <v>0.1</v>
      </c>
      <c r="H318" s="539">
        <f t="shared" si="211"/>
        <v>0</v>
      </c>
      <c r="I318" s="539">
        <f t="shared" si="211"/>
        <v>0</v>
      </c>
      <c r="J318" s="539">
        <f t="shared" si="211"/>
        <v>0.2</v>
      </c>
      <c r="K318" s="539">
        <f t="shared" si="211"/>
        <v>0.3</v>
      </c>
      <c r="L318" s="539">
        <f t="shared" si="211"/>
        <v>0.3</v>
      </c>
      <c r="M318" s="539">
        <f t="shared" si="211"/>
        <v>0</v>
      </c>
      <c r="N318" s="539">
        <f t="shared" si="211"/>
        <v>0</v>
      </c>
      <c r="O318" s="539">
        <f t="shared" si="211"/>
        <v>0</v>
      </c>
      <c r="P318" s="538"/>
      <c r="R318" s="205">
        <f t="shared" si="201"/>
        <v>1</v>
      </c>
    </row>
    <row r="319" spans="1:18">
      <c r="A319" s="735"/>
      <c r="B319" s="738"/>
      <c r="C319" s="741"/>
      <c r="D319" s="540"/>
      <c r="E319" s="540">
        <v>0.05</v>
      </c>
      <c r="F319" s="540">
        <v>0.05</v>
      </c>
      <c r="G319" s="540">
        <v>0.1</v>
      </c>
      <c r="H319" s="540"/>
      <c r="I319" s="540"/>
      <c r="J319" s="540">
        <v>0.2</v>
      </c>
      <c r="K319" s="540">
        <v>0.3</v>
      </c>
      <c r="L319" s="540">
        <v>0.3</v>
      </c>
      <c r="M319" s="540"/>
      <c r="N319" s="540"/>
      <c r="O319" s="540"/>
      <c r="P319" s="541">
        <f>C317</f>
        <v>0.17432182774128485</v>
      </c>
      <c r="R319" s="205">
        <f t="shared" si="201"/>
        <v>1</v>
      </c>
    </row>
    <row r="320" spans="1:18">
      <c r="A320" s="733" t="s">
        <v>604</v>
      </c>
      <c r="B320" s="737">
        <f>PROTEGIDA_COMPARTILHADA!J164</f>
        <v>43436.494302685307</v>
      </c>
      <c r="C320" s="739">
        <f>B320/$B$359</f>
        <v>4.1897982948132573E-2</v>
      </c>
      <c r="D320" s="536">
        <f t="shared" ref="D320:O320" si="212">$B320*D322</f>
        <v>0</v>
      </c>
      <c r="E320" s="537">
        <f t="shared" si="212"/>
        <v>2171.8247151342653</v>
      </c>
      <c r="F320" s="537">
        <f t="shared" si="212"/>
        <v>4343.6494302685305</v>
      </c>
      <c r="G320" s="537">
        <f t="shared" si="212"/>
        <v>4343.6494302685305</v>
      </c>
      <c r="H320" s="537">
        <f t="shared" si="212"/>
        <v>0</v>
      </c>
      <c r="I320" s="537">
        <f t="shared" si="212"/>
        <v>0</v>
      </c>
      <c r="J320" s="537">
        <f t="shared" si="212"/>
        <v>10859.123575671327</v>
      </c>
      <c r="K320" s="537">
        <f t="shared" si="212"/>
        <v>13030.948290805592</v>
      </c>
      <c r="L320" s="537">
        <f t="shared" si="212"/>
        <v>8687.298860537061</v>
      </c>
      <c r="M320" s="537">
        <f t="shared" si="212"/>
        <v>0</v>
      </c>
      <c r="N320" s="537">
        <f t="shared" si="212"/>
        <v>0</v>
      </c>
      <c r="O320" s="537">
        <f t="shared" si="212"/>
        <v>0</v>
      </c>
      <c r="P320" s="538">
        <f>SUM(D320:O320)</f>
        <v>43436.494302685307</v>
      </c>
      <c r="R320" s="205"/>
    </row>
    <row r="321" spans="1:18" ht="5.0999999999999996" customHeight="1">
      <c r="A321" s="734"/>
      <c r="B321" s="737"/>
      <c r="C321" s="740"/>
      <c r="D321" s="539">
        <f>+D322</f>
        <v>0</v>
      </c>
      <c r="E321" s="539">
        <f t="shared" ref="E321:O321" si="213">+E322</f>
        <v>0.05</v>
      </c>
      <c r="F321" s="539">
        <f t="shared" si="213"/>
        <v>0.1</v>
      </c>
      <c r="G321" s="539">
        <f t="shared" si="213"/>
        <v>0.1</v>
      </c>
      <c r="H321" s="539">
        <f t="shared" si="213"/>
        <v>0</v>
      </c>
      <c r="I321" s="539">
        <f t="shared" si="213"/>
        <v>0</v>
      </c>
      <c r="J321" s="539">
        <f t="shared" si="213"/>
        <v>0.25</v>
      </c>
      <c r="K321" s="539">
        <f t="shared" si="213"/>
        <v>0.3</v>
      </c>
      <c r="L321" s="539">
        <f t="shared" si="213"/>
        <v>0.2</v>
      </c>
      <c r="M321" s="539">
        <f t="shared" si="213"/>
        <v>0</v>
      </c>
      <c r="N321" s="539">
        <f t="shared" si="213"/>
        <v>0</v>
      </c>
      <c r="O321" s="539">
        <f t="shared" si="213"/>
        <v>0</v>
      </c>
      <c r="P321" s="538"/>
      <c r="R321" s="205">
        <f t="shared" si="201"/>
        <v>1</v>
      </c>
    </row>
    <row r="322" spans="1:18">
      <c r="A322" s="735"/>
      <c r="B322" s="738"/>
      <c r="C322" s="741"/>
      <c r="D322" s="540"/>
      <c r="E322" s="540">
        <v>0.05</v>
      </c>
      <c r="F322" s="540">
        <v>0.1</v>
      </c>
      <c r="G322" s="540">
        <v>0.1</v>
      </c>
      <c r="H322" s="540"/>
      <c r="I322" s="540"/>
      <c r="J322" s="540">
        <v>0.25</v>
      </c>
      <c r="K322" s="540">
        <v>0.3</v>
      </c>
      <c r="L322" s="540">
        <v>0.2</v>
      </c>
      <c r="M322" s="540"/>
      <c r="N322" s="540"/>
      <c r="O322" s="540"/>
      <c r="P322" s="541">
        <f>C320</f>
        <v>4.1897982948132573E-2</v>
      </c>
      <c r="R322" s="205">
        <f t="shared" si="201"/>
        <v>1</v>
      </c>
    </row>
    <row r="323" spans="1:18">
      <c r="A323" s="733" t="s">
        <v>7045</v>
      </c>
      <c r="B323" s="737">
        <f>PROTEGIDA_COMPARTILHADA!J169</f>
        <v>11485.728874500001</v>
      </c>
      <c r="C323" s="739">
        <f>B323/$B$359</f>
        <v>1.1078906809956914E-2</v>
      </c>
      <c r="D323" s="536">
        <f t="shared" ref="D323:O323" si="214">$B323*D325</f>
        <v>0</v>
      </c>
      <c r="E323" s="537">
        <f t="shared" si="214"/>
        <v>0</v>
      </c>
      <c r="F323" s="537">
        <f t="shared" si="214"/>
        <v>0</v>
      </c>
      <c r="G323" s="537">
        <f t="shared" si="214"/>
        <v>5742.8644372500003</v>
      </c>
      <c r="H323" s="537">
        <f t="shared" si="214"/>
        <v>5742.8644372500003</v>
      </c>
      <c r="I323" s="537">
        <f t="shared" si="214"/>
        <v>0</v>
      </c>
      <c r="J323" s="537">
        <f t="shared" si="214"/>
        <v>0</v>
      </c>
      <c r="K323" s="537">
        <f t="shared" si="214"/>
        <v>0</v>
      </c>
      <c r="L323" s="537">
        <f t="shared" si="214"/>
        <v>0</v>
      </c>
      <c r="M323" s="537">
        <f t="shared" si="214"/>
        <v>0</v>
      </c>
      <c r="N323" s="537">
        <f t="shared" si="214"/>
        <v>0</v>
      </c>
      <c r="O323" s="537">
        <f t="shared" si="214"/>
        <v>0</v>
      </c>
      <c r="P323" s="538">
        <f>SUM(D323:O323)</f>
        <v>11485.728874500001</v>
      </c>
      <c r="R323" s="205"/>
    </row>
    <row r="324" spans="1:18" ht="5.0999999999999996" customHeight="1">
      <c r="A324" s="734"/>
      <c r="B324" s="737"/>
      <c r="C324" s="740"/>
      <c r="D324" s="539">
        <f>+D325</f>
        <v>0</v>
      </c>
      <c r="E324" s="539">
        <f t="shared" ref="E324:O324" si="215">+E325</f>
        <v>0</v>
      </c>
      <c r="F324" s="539">
        <f t="shared" si="215"/>
        <v>0</v>
      </c>
      <c r="G324" s="539">
        <f t="shared" si="215"/>
        <v>0.5</v>
      </c>
      <c r="H324" s="539">
        <f t="shared" si="215"/>
        <v>0.5</v>
      </c>
      <c r="I324" s="539">
        <f t="shared" si="215"/>
        <v>0</v>
      </c>
      <c r="J324" s="539">
        <f t="shared" si="215"/>
        <v>0</v>
      </c>
      <c r="K324" s="539">
        <f t="shared" si="215"/>
        <v>0</v>
      </c>
      <c r="L324" s="539">
        <f t="shared" si="215"/>
        <v>0</v>
      </c>
      <c r="M324" s="539">
        <f t="shared" si="215"/>
        <v>0</v>
      </c>
      <c r="N324" s="539">
        <f t="shared" si="215"/>
        <v>0</v>
      </c>
      <c r="O324" s="539">
        <f t="shared" si="215"/>
        <v>0</v>
      </c>
      <c r="P324" s="541"/>
      <c r="R324" s="205">
        <f t="shared" si="201"/>
        <v>1</v>
      </c>
    </row>
    <row r="325" spans="1:18">
      <c r="A325" s="735"/>
      <c r="B325" s="738"/>
      <c r="C325" s="741"/>
      <c r="D325" s="540"/>
      <c r="E325" s="540"/>
      <c r="F325" s="540"/>
      <c r="G325" s="540">
        <v>0.5</v>
      </c>
      <c r="H325" s="540">
        <v>0.5</v>
      </c>
      <c r="I325" s="540"/>
      <c r="J325" s="540"/>
      <c r="K325" s="540"/>
      <c r="L325" s="540"/>
      <c r="M325" s="540"/>
      <c r="N325" s="540"/>
      <c r="O325" s="540"/>
      <c r="P325" s="541">
        <f>C323</f>
        <v>1.1078906809956914E-2</v>
      </c>
      <c r="R325" s="205">
        <f t="shared" si="201"/>
        <v>1</v>
      </c>
    </row>
    <row r="326" spans="1:18">
      <c r="A326" s="733" t="s">
        <v>601</v>
      </c>
      <c r="B326" s="737">
        <f>PROTEGIDA_COMPARTILHADA!J175</f>
        <v>3340.4101693600001</v>
      </c>
      <c r="C326" s="739">
        <f>B326/$B$359</f>
        <v>3.2220935543355212E-3</v>
      </c>
      <c r="D326" s="536">
        <f t="shared" ref="D326:O326" si="216">$B326*D328</f>
        <v>0</v>
      </c>
      <c r="E326" s="537">
        <f t="shared" si="216"/>
        <v>501.06152540400001</v>
      </c>
      <c r="F326" s="537">
        <f t="shared" si="216"/>
        <v>501.06152540400001</v>
      </c>
      <c r="G326" s="537">
        <f t="shared" si="216"/>
        <v>2338.2871185519998</v>
      </c>
      <c r="H326" s="537">
        <f t="shared" si="216"/>
        <v>0</v>
      </c>
      <c r="I326" s="537">
        <f t="shared" si="216"/>
        <v>0</v>
      </c>
      <c r="J326" s="537">
        <f t="shared" si="216"/>
        <v>0</v>
      </c>
      <c r="K326" s="537">
        <f t="shared" si="216"/>
        <v>0</v>
      </c>
      <c r="L326" s="537">
        <f t="shared" si="216"/>
        <v>0</v>
      </c>
      <c r="M326" s="537">
        <f t="shared" si="216"/>
        <v>0</v>
      </c>
      <c r="N326" s="537">
        <f t="shared" si="216"/>
        <v>0</v>
      </c>
      <c r="O326" s="537">
        <f t="shared" si="216"/>
        <v>0</v>
      </c>
      <c r="P326" s="538">
        <f>SUM(D326:O326)</f>
        <v>3340.4101693599996</v>
      </c>
      <c r="R326" s="205"/>
    </row>
    <row r="327" spans="1:18" ht="5.0999999999999996" customHeight="1">
      <c r="A327" s="734"/>
      <c r="B327" s="737"/>
      <c r="C327" s="740"/>
      <c r="D327" s="539">
        <f>+D328</f>
        <v>0</v>
      </c>
      <c r="E327" s="539">
        <f t="shared" ref="E327:O327" si="217">+E328</f>
        <v>0.15</v>
      </c>
      <c r="F327" s="539">
        <f t="shared" si="217"/>
        <v>0.15</v>
      </c>
      <c r="G327" s="539">
        <f t="shared" si="217"/>
        <v>0.7</v>
      </c>
      <c r="H327" s="539">
        <f t="shared" si="217"/>
        <v>0</v>
      </c>
      <c r="I327" s="539">
        <f t="shared" si="217"/>
        <v>0</v>
      </c>
      <c r="J327" s="539">
        <f t="shared" si="217"/>
        <v>0</v>
      </c>
      <c r="K327" s="539">
        <f t="shared" si="217"/>
        <v>0</v>
      </c>
      <c r="L327" s="539">
        <f t="shared" si="217"/>
        <v>0</v>
      </c>
      <c r="M327" s="539">
        <f t="shared" si="217"/>
        <v>0</v>
      </c>
      <c r="N327" s="539">
        <f t="shared" si="217"/>
        <v>0</v>
      </c>
      <c r="O327" s="539">
        <f t="shared" si="217"/>
        <v>0</v>
      </c>
      <c r="P327" s="541"/>
      <c r="R327" s="205">
        <f t="shared" si="201"/>
        <v>1</v>
      </c>
    </row>
    <row r="328" spans="1:18">
      <c r="A328" s="735"/>
      <c r="B328" s="738"/>
      <c r="C328" s="741"/>
      <c r="D328" s="540"/>
      <c r="E328" s="540">
        <v>0.15</v>
      </c>
      <c r="F328" s="540">
        <v>0.15</v>
      </c>
      <c r="G328" s="540">
        <v>0.7</v>
      </c>
      <c r="H328" s="540"/>
      <c r="I328" s="540"/>
      <c r="J328" s="540"/>
      <c r="K328" s="540"/>
      <c r="L328" s="540"/>
      <c r="M328" s="540"/>
      <c r="N328" s="540"/>
      <c r="O328" s="540"/>
      <c r="P328" s="541">
        <f>C326</f>
        <v>3.2220935543355212E-3</v>
      </c>
      <c r="R328" s="205">
        <f t="shared" si="201"/>
        <v>1</v>
      </c>
    </row>
    <row r="329" spans="1:18">
      <c r="A329" s="733" t="s">
        <v>598</v>
      </c>
      <c r="B329" s="737">
        <f>PROTEGIDA_COMPARTILHADA!J178</f>
        <v>1311.9783600000001</v>
      </c>
      <c r="C329" s="739">
        <f>B329/$B$359</f>
        <v>1.2655083665948765E-3</v>
      </c>
      <c r="D329" s="536">
        <f t="shared" ref="D329:O329" si="218">$B329*D331</f>
        <v>0</v>
      </c>
      <c r="E329" s="537">
        <f t="shared" si="218"/>
        <v>0</v>
      </c>
      <c r="F329" s="537">
        <f t="shared" si="218"/>
        <v>0</v>
      </c>
      <c r="G329" s="537">
        <f t="shared" si="218"/>
        <v>1311.9783600000001</v>
      </c>
      <c r="H329" s="537">
        <f t="shared" si="218"/>
        <v>0</v>
      </c>
      <c r="I329" s="537">
        <f t="shared" si="218"/>
        <v>0</v>
      </c>
      <c r="J329" s="537">
        <f t="shared" si="218"/>
        <v>0</v>
      </c>
      <c r="K329" s="537">
        <f t="shared" si="218"/>
        <v>0</v>
      </c>
      <c r="L329" s="537">
        <f t="shared" si="218"/>
        <v>0</v>
      </c>
      <c r="M329" s="537">
        <f t="shared" si="218"/>
        <v>0</v>
      </c>
      <c r="N329" s="537">
        <f t="shared" si="218"/>
        <v>0</v>
      </c>
      <c r="O329" s="537">
        <f t="shared" si="218"/>
        <v>0</v>
      </c>
      <c r="P329" s="538">
        <f>SUM(D329:O329)</f>
        <v>1311.9783600000001</v>
      </c>
      <c r="R329" s="205"/>
    </row>
    <row r="330" spans="1:18" ht="5.0999999999999996" customHeight="1">
      <c r="A330" s="734"/>
      <c r="B330" s="737"/>
      <c r="C330" s="740"/>
      <c r="D330" s="539">
        <f>+D331</f>
        <v>0</v>
      </c>
      <c r="E330" s="539">
        <f t="shared" ref="E330:O330" si="219">+E331</f>
        <v>0</v>
      </c>
      <c r="F330" s="539">
        <f t="shared" si="219"/>
        <v>0</v>
      </c>
      <c r="G330" s="539">
        <f t="shared" si="219"/>
        <v>1</v>
      </c>
      <c r="H330" s="539">
        <f t="shared" si="219"/>
        <v>0</v>
      </c>
      <c r="I330" s="539">
        <f t="shared" si="219"/>
        <v>0</v>
      </c>
      <c r="J330" s="539">
        <f t="shared" si="219"/>
        <v>0</v>
      </c>
      <c r="K330" s="539">
        <f t="shared" si="219"/>
        <v>0</v>
      </c>
      <c r="L330" s="539">
        <f t="shared" si="219"/>
        <v>0</v>
      </c>
      <c r="M330" s="539">
        <f t="shared" si="219"/>
        <v>0</v>
      </c>
      <c r="N330" s="539">
        <f t="shared" si="219"/>
        <v>0</v>
      </c>
      <c r="O330" s="539">
        <f t="shared" si="219"/>
        <v>0</v>
      </c>
      <c r="P330" s="538"/>
      <c r="R330" s="205">
        <f t="shared" si="201"/>
        <v>1</v>
      </c>
    </row>
    <row r="331" spans="1:18">
      <c r="A331" s="735"/>
      <c r="B331" s="738"/>
      <c r="C331" s="741"/>
      <c r="D331" s="540"/>
      <c r="E331" s="540"/>
      <c r="F331" s="540"/>
      <c r="G331" s="540">
        <v>1</v>
      </c>
      <c r="H331" s="540"/>
      <c r="I331" s="540"/>
      <c r="J331" s="540"/>
      <c r="K331" s="540"/>
      <c r="L331" s="540"/>
      <c r="M331" s="540"/>
      <c r="N331" s="540"/>
      <c r="O331" s="540"/>
      <c r="P331" s="541">
        <f>C329</f>
        <v>1.2655083665948765E-3</v>
      </c>
      <c r="R331" s="205">
        <f t="shared" si="201"/>
        <v>1</v>
      </c>
    </row>
    <row r="332" spans="1:18">
      <c r="A332" s="733" t="s">
        <v>597</v>
      </c>
      <c r="B332" s="737">
        <f>PROTEGIDA_COMPARTILHADA!J183</f>
        <v>1626.5041580000002</v>
      </c>
      <c r="C332" s="739">
        <f>B332/$B$359</f>
        <v>1.5688937279806619E-3</v>
      </c>
      <c r="D332" s="536">
        <f t="shared" ref="D332:O332" si="220">$B332*D334</f>
        <v>0</v>
      </c>
      <c r="E332" s="537">
        <f t="shared" si="220"/>
        <v>0</v>
      </c>
      <c r="F332" s="537">
        <f t="shared" si="220"/>
        <v>0</v>
      </c>
      <c r="G332" s="537">
        <f t="shared" si="220"/>
        <v>0</v>
      </c>
      <c r="H332" s="537">
        <f t="shared" si="220"/>
        <v>1626.5041580000002</v>
      </c>
      <c r="I332" s="537">
        <f t="shared" si="220"/>
        <v>0</v>
      </c>
      <c r="J332" s="537">
        <f t="shared" si="220"/>
        <v>0</v>
      </c>
      <c r="K332" s="537">
        <f t="shared" si="220"/>
        <v>0</v>
      </c>
      <c r="L332" s="537">
        <f t="shared" si="220"/>
        <v>0</v>
      </c>
      <c r="M332" s="537">
        <f t="shared" si="220"/>
        <v>0</v>
      </c>
      <c r="N332" s="537">
        <f t="shared" si="220"/>
        <v>0</v>
      </c>
      <c r="O332" s="537">
        <f t="shared" si="220"/>
        <v>0</v>
      </c>
      <c r="P332" s="538">
        <f>SUM(D332:O332)</f>
        <v>1626.5041580000002</v>
      </c>
      <c r="R332" s="205"/>
    </row>
    <row r="333" spans="1:18" ht="5.0999999999999996" customHeight="1">
      <c r="A333" s="734"/>
      <c r="B333" s="737"/>
      <c r="C333" s="740"/>
      <c r="D333" s="539">
        <f>+D334</f>
        <v>0</v>
      </c>
      <c r="E333" s="539">
        <f t="shared" ref="E333:O333" si="221">+E334</f>
        <v>0</v>
      </c>
      <c r="F333" s="539">
        <f t="shared" si="221"/>
        <v>0</v>
      </c>
      <c r="G333" s="539">
        <f t="shared" si="221"/>
        <v>0</v>
      </c>
      <c r="H333" s="539">
        <f t="shared" si="221"/>
        <v>1</v>
      </c>
      <c r="I333" s="539">
        <f t="shared" si="221"/>
        <v>0</v>
      </c>
      <c r="J333" s="539">
        <f t="shared" si="221"/>
        <v>0</v>
      </c>
      <c r="K333" s="539">
        <f t="shared" si="221"/>
        <v>0</v>
      </c>
      <c r="L333" s="539">
        <f t="shared" si="221"/>
        <v>0</v>
      </c>
      <c r="M333" s="539">
        <f t="shared" si="221"/>
        <v>0</v>
      </c>
      <c r="N333" s="539">
        <f t="shared" si="221"/>
        <v>0</v>
      </c>
      <c r="O333" s="539">
        <f t="shared" si="221"/>
        <v>0</v>
      </c>
      <c r="P333" s="538"/>
      <c r="R333" s="205">
        <f t="shared" si="201"/>
        <v>1</v>
      </c>
    </row>
    <row r="334" spans="1:18">
      <c r="A334" s="735"/>
      <c r="B334" s="738"/>
      <c r="C334" s="741"/>
      <c r="D334" s="540"/>
      <c r="E334" s="540"/>
      <c r="F334" s="540"/>
      <c r="G334" s="540"/>
      <c r="H334" s="540">
        <v>1</v>
      </c>
      <c r="I334" s="540"/>
      <c r="J334" s="540"/>
      <c r="K334" s="540"/>
      <c r="L334" s="540"/>
      <c r="M334" s="540"/>
      <c r="N334" s="540"/>
      <c r="O334" s="540"/>
      <c r="P334" s="541">
        <f>C332</f>
        <v>1.5688937279806619E-3</v>
      </c>
      <c r="R334" s="205">
        <f t="shared" si="201"/>
        <v>1</v>
      </c>
    </row>
    <row r="335" spans="1:18">
      <c r="A335" s="733" t="s">
        <v>595</v>
      </c>
      <c r="B335" s="737">
        <f>PROTEGIDA_COMPARTILHADA!J197</f>
        <v>184478.96275895226</v>
      </c>
      <c r="C335" s="739">
        <f>B335/$B$359</f>
        <v>0.17794475728410544</v>
      </c>
      <c r="D335" s="536">
        <f t="shared" ref="D335:O335" si="222">$B335*D337</f>
        <v>0</v>
      </c>
      <c r="E335" s="537">
        <f t="shared" si="222"/>
        <v>0</v>
      </c>
      <c r="F335" s="537">
        <f t="shared" si="222"/>
        <v>0</v>
      </c>
      <c r="G335" s="537">
        <f t="shared" si="222"/>
        <v>0</v>
      </c>
      <c r="H335" s="537">
        <f t="shared" si="222"/>
        <v>55343.688827685677</v>
      </c>
      <c r="I335" s="537">
        <f t="shared" si="222"/>
        <v>73791.585103580903</v>
      </c>
      <c r="J335" s="537">
        <f t="shared" si="222"/>
        <v>55343.688827685677</v>
      </c>
      <c r="K335" s="537">
        <f t="shared" si="222"/>
        <v>0</v>
      </c>
      <c r="L335" s="537">
        <f t="shared" si="222"/>
        <v>0</v>
      </c>
      <c r="M335" s="537">
        <f t="shared" si="222"/>
        <v>0</v>
      </c>
      <c r="N335" s="537">
        <f t="shared" si="222"/>
        <v>0</v>
      </c>
      <c r="O335" s="537">
        <f t="shared" si="222"/>
        <v>0</v>
      </c>
      <c r="P335" s="538">
        <f>SUM(D335:O335)</f>
        <v>184478.96275895226</v>
      </c>
      <c r="R335" s="205"/>
    </row>
    <row r="336" spans="1:18" ht="5.0999999999999996" customHeight="1">
      <c r="A336" s="734"/>
      <c r="B336" s="737"/>
      <c r="C336" s="740"/>
      <c r="D336" s="539">
        <f>+D337</f>
        <v>0</v>
      </c>
      <c r="E336" s="539">
        <f t="shared" ref="E336:O336" si="223">+E337</f>
        <v>0</v>
      </c>
      <c r="F336" s="539">
        <f t="shared" si="223"/>
        <v>0</v>
      </c>
      <c r="G336" s="539">
        <f t="shared" si="223"/>
        <v>0</v>
      </c>
      <c r="H336" s="539">
        <f t="shared" si="223"/>
        <v>0.3</v>
      </c>
      <c r="I336" s="539">
        <f t="shared" si="223"/>
        <v>0.4</v>
      </c>
      <c r="J336" s="539">
        <f t="shared" si="223"/>
        <v>0.3</v>
      </c>
      <c r="K336" s="539">
        <f t="shared" si="223"/>
        <v>0</v>
      </c>
      <c r="L336" s="539">
        <f t="shared" si="223"/>
        <v>0</v>
      </c>
      <c r="M336" s="539">
        <f t="shared" si="223"/>
        <v>0</v>
      </c>
      <c r="N336" s="539">
        <f t="shared" si="223"/>
        <v>0</v>
      </c>
      <c r="O336" s="539">
        <f t="shared" si="223"/>
        <v>0</v>
      </c>
      <c r="P336" s="538"/>
      <c r="R336" s="205">
        <f t="shared" si="201"/>
        <v>1</v>
      </c>
    </row>
    <row r="337" spans="1:18">
      <c r="A337" s="735"/>
      <c r="B337" s="738"/>
      <c r="C337" s="741"/>
      <c r="D337" s="540"/>
      <c r="E337" s="540"/>
      <c r="F337" s="540"/>
      <c r="G337" s="540"/>
      <c r="H337" s="540">
        <v>0.3</v>
      </c>
      <c r="I337" s="540">
        <v>0.4</v>
      </c>
      <c r="J337" s="540">
        <v>0.3</v>
      </c>
      <c r="K337" s="540"/>
      <c r="L337" s="540"/>
      <c r="M337" s="540"/>
      <c r="N337" s="540"/>
      <c r="O337" s="540"/>
      <c r="P337" s="541">
        <f>C335</f>
        <v>0.17794475728410544</v>
      </c>
      <c r="R337" s="205">
        <f t="shared" si="201"/>
        <v>1</v>
      </c>
    </row>
    <row r="338" spans="1:18">
      <c r="A338" s="733" t="s">
        <v>594</v>
      </c>
      <c r="B338" s="737">
        <f>PROTEGIDA_COMPARTILHADA!J200</f>
        <v>43397.621800000008</v>
      </c>
      <c r="C338" s="739">
        <f>B338/$B$359</f>
        <v>4.1860487301193149E-2</v>
      </c>
      <c r="D338" s="536">
        <f t="shared" ref="D338:O338" si="224">$B338*D340</f>
        <v>0</v>
      </c>
      <c r="E338" s="537">
        <f t="shared" si="224"/>
        <v>0</v>
      </c>
      <c r="F338" s="537">
        <f t="shared" si="224"/>
        <v>0</v>
      </c>
      <c r="G338" s="537">
        <f t="shared" si="224"/>
        <v>0</v>
      </c>
      <c r="H338" s="537">
        <f t="shared" si="224"/>
        <v>0</v>
      </c>
      <c r="I338" s="537">
        <f t="shared" si="224"/>
        <v>0</v>
      </c>
      <c r="J338" s="537">
        <f t="shared" si="224"/>
        <v>21698.810900000004</v>
      </c>
      <c r="K338" s="537">
        <f t="shared" si="224"/>
        <v>21698.810900000004</v>
      </c>
      <c r="L338" s="537">
        <f t="shared" si="224"/>
        <v>0</v>
      </c>
      <c r="M338" s="537">
        <f t="shared" si="224"/>
        <v>0</v>
      </c>
      <c r="N338" s="537">
        <f t="shared" si="224"/>
        <v>0</v>
      </c>
      <c r="O338" s="537">
        <f t="shared" si="224"/>
        <v>0</v>
      </c>
      <c r="P338" s="538">
        <f>SUM(D338:O338)</f>
        <v>43397.621800000008</v>
      </c>
      <c r="R338" s="205"/>
    </row>
    <row r="339" spans="1:18" ht="5.0999999999999996" customHeight="1">
      <c r="A339" s="734"/>
      <c r="B339" s="737"/>
      <c r="C339" s="740"/>
      <c r="D339" s="539">
        <f>+D340</f>
        <v>0</v>
      </c>
      <c r="E339" s="539">
        <f t="shared" ref="E339:O339" si="225">+E340</f>
        <v>0</v>
      </c>
      <c r="F339" s="539">
        <f t="shared" si="225"/>
        <v>0</v>
      </c>
      <c r="G339" s="539">
        <f t="shared" si="225"/>
        <v>0</v>
      </c>
      <c r="H339" s="539">
        <f t="shared" si="225"/>
        <v>0</v>
      </c>
      <c r="I339" s="539">
        <f t="shared" si="225"/>
        <v>0</v>
      </c>
      <c r="J339" s="539">
        <f t="shared" si="225"/>
        <v>0.5</v>
      </c>
      <c r="K339" s="539">
        <f t="shared" si="225"/>
        <v>0.5</v>
      </c>
      <c r="L339" s="539">
        <f t="shared" si="225"/>
        <v>0</v>
      </c>
      <c r="M339" s="539">
        <f t="shared" si="225"/>
        <v>0</v>
      </c>
      <c r="N339" s="539">
        <f t="shared" si="225"/>
        <v>0</v>
      </c>
      <c r="O339" s="539">
        <f t="shared" si="225"/>
        <v>0</v>
      </c>
      <c r="P339" s="538"/>
      <c r="R339" s="205">
        <f t="shared" si="201"/>
        <v>1</v>
      </c>
    </row>
    <row r="340" spans="1:18">
      <c r="A340" s="735"/>
      <c r="B340" s="738"/>
      <c r="C340" s="741"/>
      <c r="D340" s="540"/>
      <c r="E340" s="540"/>
      <c r="F340" s="540"/>
      <c r="G340" s="540"/>
      <c r="H340" s="540"/>
      <c r="I340" s="540"/>
      <c r="J340" s="540">
        <v>0.5</v>
      </c>
      <c r="K340" s="540">
        <v>0.5</v>
      </c>
      <c r="L340" s="540"/>
      <c r="M340" s="540"/>
      <c r="N340" s="540"/>
      <c r="O340" s="540"/>
      <c r="P340" s="541">
        <f>C338</f>
        <v>4.1860487301193149E-2</v>
      </c>
      <c r="R340" s="205">
        <f t="shared" si="201"/>
        <v>1</v>
      </c>
    </row>
    <row r="341" spans="1:18">
      <c r="A341" s="733" t="s">
        <v>593</v>
      </c>
      <c r="B341" s="737">
        <f>PROTEGIDA_COMPARTILHADA!J205</f>
        <v>34147.185998019995</v>
      </c>
      <c r="C341" s="739">
        <f>B341/$B$359</f>
        <v>3.293769996036041E-2</v>
      </c>
      <c r="D341" s="536">
        <f t="shared" ref="D341:O341" si="226">$B341*D343</f>
        <v>0</v>
      </c>
      <c r="E341" s="537">
        <f t="shared" si="226"/>
        <v>0</v>
      </c>
      <c r="F341" s="537">
        <f t="shared" si="226"/>
        <v>0</v>
      </c>
      <c r="G341" s="537">
        <f t="shared" si="226"/>
        <v>0</v>
      </c>
      <c r="H341" s="537">
        <f t="shared" si="226"/>
        <v>0</v>
      </c>
      <c r="I341" s="537">
        <f t="shared" si="226"/>
        <v>17073.592999009998</v>
      </c>
      <c r="J341" s="537">
        <f t="shared" si="226"/>
        <v>17073.592999009998</v>
      </c>
      <c r="K341" s="537">
        <f t="shared" si="226"/>
        <v>0</v>
      </c>
      <c r="L341" s="537">
        <f t="shared" si="226"/>
        <v>0</v>
      </c>
      <c r="M341" s="537">
        <f t="shared" si="226"/>
        <v>0</v>
      </c>
      <c r="N341" s="537">
        <f t="shared" si="226"/>
        <v>0</v>
      </c>
      <c r="O341" s="537">
        <f t="shared" si="226"/>
        <v>0</v>
      </c>
      <c r="P341" s="538">
        <f>SUM(D341:O341)</f>
        <v>34147.185998019995</v>
      </c>
      <c r="R341" s="205"/>
    </row>
    <row r="342" spans="1:18" ht="5.0999999999999996" customHeight="1">
      <c r="A342" s="734"/>
      <c r="B342" s="737"/>
      <c r="C342" s="740"/>
      <c r="D342" s="539">
        <f>+D343</f>
        <v>0</v>
      </c>
      <c r="E342" s="539">
        <f t="shared" ref="E342:O342" si="227">+E343</f>
        <v>0</v>
      </c>
      <c r="F342" s="539">
        <f t="shared" si="227"/>
        <v>0</v>
      </c>
      <c r="G342" s="539">
        <f t="shared" si="227"/>
        <v>0</v>
      </c>
      <c r="H342" s="539">
        <f t="shared" si="227"/>
        <v>0</v>
      </c>
      <c r="I342" s="539">
        <f t="shared" si="227"/>
        <v>0.5</v>
      </c>
      <c r="J342" s="539">
        <f t="shared" si="227"/>
        <v>0.5</v>
      </c>
      <c r="K342" s="539">
        <f t="shared" si="227"/>
        <v>0</v>
      </c>
      <c r="L342" s="539">
        <f t="shared" si="227"/>
        <v>0</v>
      </c>
      <c r="M342" s="539">
        <f t="shared" si="227"/>
        <v>0</v>
      </c>
      <c r="N342" s="539">
        <f t="shared" si="227"/>
        <v>0</v>
      </c>
      <c r="O342" s="539">
        <f t="shared" si="227"/>
        <v>0</v>
      </c>
      <c r="P342" s="538"/>
      <c r="R342" s="205">
        <f t="shared" si="201"/>
        <v>1</v>
      </c>
    </row>
    <row r="343" spans="1:18">
      <c r="A343" s="735"/>
      <c r="B343" s="738"/>
      <c r="C343" s="741"/>
      <c r="D343" s="540"/>
      <c r="E343" s="540"/>
      <c r="F343" s="540"/>
      <c r="G343" s="540"/>
      <c r="H343" s="540"/>
      <c r="I343" s="540">
        <v>0.5</v>
      </c>
      <c r="J343" s="540">
        <v>0.5</v>
      </c>
      <c r="K343" s="540"/>
      <c r="L343" s="540"/>
      <c r="M343" s="540"/>
      <c r="N343" s="540"/>
      <c r="O343" s="540"/>
      <c r="P343" s="541">
        <f>C341</f>
        <v>3.293769996036041E-2</v>
      </c>
      <c r="R343" s="205">
        <f t="shared" ref="R343:R396" si="228">+SUM(D343:O343)</f>
        <v>1</v>
      </c>
    </row>
    <row r="344" spans="1:18">
      <c r="A344" s="733" t="s">
        <v>592</v>
      </c>
      <c r="B344" s="737">
        <f>PROTEGIDA_COMPARTILHADA!J209</f>
        <v>23584.747199999998</v>
      </c>
      <c r="C344" s="739">
        <f>B344/$B$359</f>
        <v>2.2749380489496093E-2</v>
      </c>
      <c r="D344" s="536">
        <f t="shared" ref="D344:O344" si="229">$B344*D346</f>
        <v>0</v>
      </c>
      <c r="E344" s="537">
        <f t="shared" si="229"/>
        <v>0</v>
      </c>
      <c r="F344" s="537">
        <f t="shared" si="229"/>
        <v>0</v>
      </c>
      <c r="G344" s="537">
        <f t="shared" si="229"/>
        <v>0</v>
      </c>
      <c r="H344" s="537">
        <f t="shared" si="229"/>
        <v>0</v>
      </c>
      <c r="I344" s="537">
        <f t="shared" si="229"/>
        <v>0</v>
      </c>
      <c r="J344" s="537">
        <f t="shared" si="229"/>
        <v>16509.323039999999</v>
      </c>
      <c r="K344" s="537">
        <f t="shared" si="229"/>
        <v>7075.4241599999996</v>
      </c>
      <c r="L344" s="537">
        <f t="shared" si="229"/>
        <v>0</v>
      </c>
      <c r="M344" s="537">
        <f t="shared" si="229"/>
        <v>0</v>
      </c>
      <c r="N344" s="537">
        <f t="shared" si="229"/>
        <v>0</v>
      </c>
      <c r="O344" s="537">
        <f t="shared" si="229"/>
        <v>0</v>
      </c>
      <c r="P344" s="538">
        <f>SUM(D344:O344)</f>
        <v>23584.747199999998</v>
      </c>
      <c r="R344" s="205"/>
    </row>
    <row r="345" spans="1:18" ht="5.0999999999999996" customHeight="1">
      <c r="A345" s="734"/>
      <c r="B345" s="737"/>
      <c r="C345" s="740"/>
      <c r="D345" s="539">
        <f>+D346</f>
        <v>0</v>
      </c>
      <c r="E345" s="539">
        <f t="shared" ref="E345:O345" si="230">+E346</f>
        <v>0</v>
      </c>
      <c r="F345" s="539">
        <f t="shared" si="230"/>
        <v>0</v>
      </c>
      <c r="G345" s="539">
        <f t="shared" si="230"/>
        <v>0</v>
      </c>
      <c r="H345" s="539">
        <f t="shared" si="230"/>
        <v>0</v>
      </c>
      <c r="I345" s="539">
        <f t="shared" si="230"/>
        <v>0</v>
      </c>
      <c r="J345" s="539">
        <f t="shared" si="230"/>
        <v>0.7</v>
      </c>
      <c r="K345" s="539">
        <f t="shared" si="230"/>
        <v>0.3</v>
      </c>
      <c r="L345" s="539">
        <f t="shared" si="230"/>
        <v>0</v>
      </c>
      <c r="M345" s="539">
        <f t="shared" si="230"/>
        <v>0</v>
      </c>
      <c r="N345" s="539">
        <f t="shared" si="230"/>
        <v>0</v>
      </c>
      <c r="O345" s="539">
        <f t="shared" si="230"/>
        <v>0</v>
      </c>
      <c r="P345" s="538"/>
      <c r="R345" s="205">
        <f t="shared" si="228"/>
        <v>1</v>
      </c>
    </row>
    <row r="346" spans="1:18">
      <c r="A346" s="735"/>
      <c r="B346" s="738"/>
      <c r="C346" s="741"/>
      <c r="D346" s="540"/>
      <c r="E346" s="540"/>
      <c r="F346" s="540"/>
      <c r="G346" s="540"/>
      <c r="H346" s="540"/>
      <c r="I346" s="540"/>
      <c r="J346" s="540">
        <v>0.7</v>
      </c>
      <c r="K346" s="540">
        <v>0.3</v>
      </c>
      <c r="L346" s="540"/>
      <c r="M346" s="540"/>
      <c r="N346" s="540"/>
      <c r="O346" s="540"/>
      <c r="P346" s="541">
        <f>C344</f>
        <v>2.2749380489496093E-2</v>
      </c>
      <c r="R346" s="205">
        <f t="shared" si="228"/>
        <v>1</v>
      </c>
    </row>
    <row r="347" spans="1:18">
      <c r="A347" s="733" t="s">
        <v>591</v>
      </c>
      <c r="B347" s="737">
        <f>PROTEGIDA_COMPARTILHADA!J217</f>
        <v>219482.58398565996</v>
      </c>
      <c r="C347" s="739">
        <f>B347/$B$359</f>
        <v>0.2117085577202015</v>
      </c>
      <c r="D347" s="536">
        <f t="shared" ref="D347:O347" si="231">$B347*D349</f>
        <v>0</v>
      </c>
      <c r="E347" s="537">
        <f t="shared" si="231"/>
        <v>0</v>
      </c>
      <c r="F347" s="537">
        <f t="shared" si="231"/>
        <v>0</v>
      </c>
      <c r="G347" s="537">
        <f t="shared" si="231"/>
        <v>0</v>
      </c>
      <c r="H347" s="537">
        <f t="shared" si="231"/>
        <v>0</v>
      </c>
      <c r="I347" s="537">
        <f t="shared" si="231"/>
        <v>0</v>
      </c>
      <c r="J347" s="537">
        <f t="shared" si="231"/>
        <v>54870.645996414991</v>
      </c>
      <c r="K347" s="537">
        <f t="shared" si="231"/>
        <v>98767.162793546988</v>
      </c>
      <c r="L347" s="537">
        <f t="shared" si="231"/>
        <v>65844.775195697992</v>
      </c>
      <c r="M347" s="537">
        <f t="shared" si="231"/>
        <v>0</v>
      </c>
      <c r="N347" s="537">
        <f t="shared" si="231"/>
        <v>0</v>
      </c>
      <c r="O347" s="537">
        <f t="shared" si="231"/>
        <v>0</v>
      </c>
      <c r="P347" s="538">
        <f>SUM(D347:O347)</f>
        <v>219482.58398565996</v>
      </c>
      <c r="R347" s="205"/>
    </row>
    <row r="348" spans="1:18" ht="5.0999999999999996" customHeight="1">
      <c r="A348" s="734"/>
      <c r="B348" s="737"/>
      <c r="C348" s="740"/>
      <c r="D348" s="539">
        <f>+D349</f>
        <v>0</v>
      </c>
      <c r="E348" s="539">
        <f t="shared" ref="E348:O348" si="232">+E349</f>
        <v>0</v>
      </c>
      <c r="F348" s="539">
        <f t="shared" si="232"/>
        <v>0</v>
      </c>
      <c r="G348" s="539">
        <f t="shared" si="232"/>
        <v>0</v>
      </c>
      <c r="H348" s="539">
        <f t="shared" si="232"/>
        <v>0</v>
      </c>
      <c r="I348" s="539">
        <f t="shared" si="232"/>
        <v>0</v>
      </c>
      <c r="J348" s="539">
        <f t="shared" si="232"/>
        <v>0.25</v>
      </c>
      <c r="K348" s="539">
        <f t="shared" si="232"/>
        <v>0.45</v>
      </c>
      <c r="L348" s="539">
        <f t="shared" si="232"/>
        <v>0.3</v>
      </c>
      <c r="M348" s="539">
        <f t="shared" si="232"/>
        <v>0</v>
      </c>
      <c r="N348" s="539">
        <f t="shared" si="232"/>
        <v>0</v>
      </c>
      <c r="O348" s="539">
        <f t="shared" si="232"/>
        <v>0</v>
      </c>
      <c r="P348" s="538"/>
      <c r="R348" s="205">
        <f t="shared" si="228"/>
        <v>1</v>
      </c>
    </row>
    <row r="349" spans="1:18">
      <c r="A349" s="735"/>
      <c r="B349" s="738"/>
      <c r="C349" s="741"/>
      <c r="D349" s="540"/>
      <c r="E349" s="540"/>
      <c r="F349" s="540"/>
      <c r="G349" s="540"/>
      <c r="H349" s="540"/>
      <c r="I349" s="540"/>
      <c r="J349" s="540">
        <v>0.25</v>
      </c>
      <c r="K349" s="540">
        <v>0.45</v>
      </c>
      <c r="L349" s="540">
        <v>0.3</v>
      </c>
      <c r="M349" s="540"/>
      <c r="N349" s="540"/>
      <c r="O349" s="540"/>
      <c r="P349" s="541">
        <f>C347</f>
        <v>0.2117085577202015</v>
      </c>
      <c r="R349" s="205">
        <f t="shared" si="228"/>
        <v>1</v>
      </c>
    </row>
    <row r="350" spans="1:18">
      <c r="A350" s="748" t="s">
        <v>590</v>
      </c>
      <c r="B350" s="737">
        <f>PROTEGIDA_COMPARTILHADA!J221</f>
        <v>6013.6</v>
      </c>
      <c r="C350" s="739">
        <f>B350/$B$359</f>
        <v>5.8005995718976256E-3</v>
      </c>
      <c r="D350" s="536">
        <f t="shared" ref="D350:O350" si="233">$B350*D352</f>
        <v>0</v>
      </c>
      <c r="E350" s="537">
        <f t="shared" si="233"/>
        <v>0</v>
      </c>
      <c r="F350" s="537">
        <f t="shared" si="233"/>
        <v>0</v>
      </c>
      <c r="G350" s="537">
        <f t="shared" si="233"/>
        <v>0</v>
      </c>
      <c r="H350" s="537">
        <f t="shared" si="233"/>
        <v>0</v>
      </c>
      <c r="I350" s="537">
        <f t="shared" si="233"/>
        <v>0</v>
      </c>
      <c r="J350" s="537">
        <f t="shared" si="233"/>
        <v>0</v>
      </c>
      <c r="K350" s="537">
        <f t="shared" si="233"/>
        <v>0</v>
      </c>
      <c r="L350" s="537">
        <f t="shared" si="233"/>
        <v>0</v>
      </c>
      <c r="M350" s="537">
        <f t="shared" si="233"/>
        <v>6013.6</v>
      </c>
      <c r="N350" s="537">
        <f t="shared" si="233"/>
        <v>0</v>
      </c>
      <c r="O350" s="537">
        <f t="shared" si="233"/>
        <v>0</v>
      </c>
      <c r="P350" s="538">
        <f>SUM(D350:O350)</f>
        <v>6013.6</v>
      </c>
      <c r="R350" s="205"/>
    </row>
    <row r="351" spans="1:18" ht="5.0999999999999996" customHeight="1">
      <c r="A351" s="749"/>
      <c r="B351" s="737"/>
      <c r="C351" s="740"/>
      <c r="D351" s="539">
        <f>+D352</f>
        <v>0</v>
      </c>
      <c r="E351" s="539">
        <f t="shared" ref="E351:O351" si="234">+E352</f>
        <v>0</v>
      </c>
      <c r="F351" s="539">
        <f t="shared" si="234"/>
        <v>0</v>
      </c>
      <c r="G351" s="539">
        <f t="shared" si="234"/>
        <v>0</v>
      </c>
      <c r="H351" s="539">
        <f t="shared" si="234"/>
        <v>0</v>
      </c>
      <c r="I351" s="539">
        <f t="shared" si="234"/>
        <v>0</v>
      </c>
      <c r="J351" s="539">
        <f t="shared" si="234"/>
        <v>0</v>
      </c>
      <c r="K351" s="539">
        <f t="shared" si="234"/>
        <v>0</v>
      </c>
      <c r="L351" s="539">
        <f t="shared" si="234"/>
        <v>0</v>
      </c>
      <c r="M351" s="539">
        <f t="shared" si="234"/>
        <v>1</v>
      </c>
      <c r="N351" s="539">
        <f t="shared" si="234"/>
        <v>0</v>
      </c>
      <c r="O351" s="539">
        <f t="shared" si="234"/>
        <v>0</v>
      </c>
      <c r="P351" s="538"/>
      <c r="R351" s="205">
        <f t="shared" si="228"/>
        <v>1</v>
      </c>
    </row>
    <row r="352" spans="1:18">
      <c r="A352" s="750"/>
      <c r="B352" s="738"/>
      <c r="C352" s="741"/>
      <c r="D352" s="540"/>
      <c r="E352" s="540"/>
      <c r="F352" s="540"/>
      <c r="G352" s="540"/>
      <c r="H352" s="540"/>
      <c r="I352" s="540"/>
      <c r="J352" s="540"/>
      <c r="K352" s="540"/>
      <c r="L352" s="540"/>
      <c r="M352" s="540">
        <v>1</v>
      </c>
      <c r="N352" s="540"/>
      <c r="O352" s="540"/>
      <c r="P352" s="541">
        <f>C350</f>
        <v>5.8005995718976256E-3</v>
      </c>
      <c r="R352" s="205">
        <f t="shared" si="228"/>
        <v>1</v>
      </c>
    </row>
    <row r="353" spans="1:18">
      <c r="A353" s="733" t="s">
        <v>587</v>
      </c>
      <c r="B353" s="737">
        <f>PROTEGIDA_COMPARTILHADA!J233</f>
        <v>200902.88457887003</v>
      </c>
      <c r="C353" s="739">
        <f t="shared" ref="C353" si="235">B353/$B$359</f>
        <v>0.19378694729965271</v>
      </c>
      <c r="D353" s="536">
        <f t="shared" ref="D353:O353" si="236">$B353*D355</f>
        <v>0</v>
      </c>
      <c r="E353" s="537">
        <f t="shared" si="236"/>
        <v>0</v>
      </c>
      <c r="F353" s="537">
        <f t="shared" si="236"/>
        <v>0</v>
      </c>
      <c r="G353" s="537">
        <f t="shared" si="236"/>
        <v>0</v>
      </c>
      <c r="H353" s="537">
        <f t="shared" si="236"/>
        <v>0</v>
      </c>
      <c r="I353" s="537">
        <f t="shared" si="236"/>
        <v>0</v>
      </c>
      <c r="J353" s="537">
        <f t="shared" si="236"/>
        <v>0</v>
      </c>
      <c r="K353" s="537">
        <f t="shared" si="236"/>
        <v>0</v>
      </c>
      <c r="L353" s="537">
        <f t="shared" si="236"/>
        <v>80361.153831548014</v>
      </c>
      <c r="M353" s="537">
        <f t="shared" si="236"/>
        <v>120541.73074732201</v>
      </c>
      <c r="N353" s="537">
        <f t="shared" si="236"/>
        <v>0</v>
      </c>
      <c r="O353" s="537">
        <f t="shared" si="236"/>
        <v>0</v>
      </c>
      <c r="P353" s="538">
        <f>SUM(D353:O353)</f>
        <v>200902.88457887003</v>
      </c>
      <c r="R353" s="205"/>
    </row>
    <row r="354" spans="1:18" ht="5.0999999999999996" customHeight="1">
      <c r="A354" s="734"/>
      <c r="B354" s="737"/>
      <c r="C354" s="740"/>
      <c r="D354" s="539">
        <f>+D355</f>
        <v>0</v>
      </c>
      <c r="E354" s="539">
        <f t="shared" ref="E354:O354" si="237">+E355</f>
        <v>0</v>
      </c>
      <c r="F354" s="539">
        <f t="shared" si="237"/>
        <v>0</v>
      </c>
      <c r="G354" s="539">
        <f t="shared" si="237"/>
        <v>0</v>
      </c>
      <c r="H354" s="539">
        <f t="shared" si="237"/>
        <v>0</v>
      </c>
      <c r="I354" s="539">
        <f t="shared" si="237"/>
        <v>0</v>
      </c>
      <c r="J354" s="539">
        <f t="shared" si="237"/>
        <v>0</v>
      </c>
      <c r="K354" s="539">
        <f t="shared" si="237"/>
        <v>0</v>
      </c>
      <c r="L354" s="539">
        <f t="shared" si="237"/>
        <v>0.4</v>
      </c>
      <c r="M354" s="539">
        <f t="shared" si="237"/>
        <v>0.6</v>
      </c>
      <c r="N354" s="539">
        <f t="shared" si="237"/>
        <v>0</v>
      </c>
      <c r="O354" s="539">
        <f t="shared" si="237"/>
        <v>0</v>
      </c>
      <c r="P354" s="538"/>
      <c r="R354" s="205">
        <f t="shared" si="228"/>
        <v>1</v>
      </c>
    </row>
    <row r="355" spans="1:18">
      <c r="A355" s="735"/>
      <c r="B355" s="738"/>
      <c r="C355" s="741"/>
      <c r="D355" s="540"/>
      <c r="E355" s="540"/>
      <c r="F355" s="540"/>
      <c r="G355" s="540"/>
      <c r="H355" s="540"/>
      <c r="I355" s="540"/>
      <c r="J355" s="540"/>
      <c r="K355" s="540"/>
      <c r="L355" s="540">
        <v>0.4</v>
      </c>
      <c r="M355" s="540">
        <v>0.6</v>
      </c>
      <c r="N355" s="540"/>
      <c r="O355" s="540"/>
      <c r="P355" s="541">
        <f>C353</f>
        <v>0.19378694729965271</v>
      </c>
      <c r="R355" s="205">
        <f t="shared" si="228"/>
        <v>1</v>
      </c>
    </row>
    <row r="356" spans="1:18">
      <c r="A356" s="748" t="s">
        <v>2</v>
      </c>
      <c r="B356" s="737">
        <f>PROTEGIDA_COMPARTILHADA!J245</f>
        <v>62558.053821610003</v>
      </c>
      <c r="C356" s="739">
        <f t="shared" ref="C356" si="238">B356/$B$359</f>
        <v>6.0342260911330915E-2</v>
      </c>
      <c r="D356" s="536">
        <f t="shared" ref="D356:O356" si="239">$B356*D358</f>
        <v>0</v>
      </c>
      <c r="E356" s="537">
        <f t="shared" si="239"/>
        <v>0</v>
      </c>
      <c r="F356" s="537">
        <f t="shared" si="239"/>
        <v>0</v>
      </c>
      <c r="G356" s="537">
        <f t="shared" si="239"/>
        <v>0</v>
      </c>
      <c r="H356" s="537">
        <f t="shared" si="239"/>
        <v>0</v>
      </c>
      <c r="I356" s="537">
        <f t="shared" si="239"/>
        <v>0</v>
      </c>
      <c r="J356" s="537">
        <f t="shared" si="239"/>
        <v>9383.7080732414997</v>
      </c>
      <c r="K356" s="537">
        <f t="shared" si="239"/>
        <v>15639.513455402501</v>
      </c>
      <c r="L356" s="537">
        <f t="shared" si="239"/>
        <v>15639.513455402501</v>
      </c>
      <c r="M356" s="537">
        <f t="shared" si="239"/>
        <v>21895.3188375635</v>
      </c>
      <c r="N356" s="537">
        <f t="shared" si="239"/>
        <v>0</v>
      </c>
      <c r="O356" s="537">
        <f t="shared" si="239"/>
        <v>0</v>
      </c>
      <c r="P356" s="538">
        <f>SUM(D356:O356)</f>
        <v>62558.053821610003</v>
      </c>
      <c r="R356" s="205"/>
    </row>
    <row r="357" spans="1:18" ht="5.0999999999999996" customHeight="1">
      <c r="A357" s="749"/>
      <c r="B357" s="737"/>
      <c r="C357" s="740"/>
      <c r="D357" s="539">
        <f>+D358</f>
        <v>0</v>
      </c>
      <c r="E357" s="539">
        <f t="shared" ref="E357:O357" si="240">+E358</f>
        <v>0</v>
      </c>
      <c r="F357" s="539">
        <f t="shared" si="240"/>
        <v>0</v>
      </c>
      <c r="G357" s="539">
        <f t="shared" si="240"/>
        <v>0</v>
      </c>
      <c r="H357" s="539">
        <f t="shared" si="240"/>
        <v>0</v>
      </c>
      <c r="I357" s="539">
        <f t="shared" si="240"/>
        <v>0</v>
      </c>
      <c r="J357" s="539">
        <f t="shared" si="240"/>
        <v>0.15</v>
      </c>
      <c r="K357" s="539">
        <f t="shared" si="240"/>
        <v>0.25</v>
      </c>
      <c r="L357" s="539">
        <f t="shared" si="240"/>
        <v>0.25</v>
      </c>
      <c r="M357" s="539">
        <f t="shared" si="240"/>
        <v>0.35</v>
      </c>
      <c r="N357" s="539">
        <f t="shared" si="240"/>
        <v>0</v>
      </c>
      <c r="O357" s="539">
        <f t="shared" si="240"/>
        <v>0</v>
      </c>
      <c r="P357" s="538"/>
      <c r="R357" s="205">
        <f t="shared" si="228"/>
        <v>1</v>
      </c>
    </row>
    <row r="358" spans="1:18">
      <c r="A358" s="750"/>
      <c r="B358" s="738"/>
      <c r="C358" s="741"/>
      <c r="D358" s="540"/>
      <c r="E358" s="540"/>
      <c r="F358" s="540"/>
      <c r="G358" s="540"/>
      <c r="H358" s="540"/>
      <c r="I358" s="540"/>
      <c r="J358" s="540">
        <v>0.15</v>
      </c>
      <c r="K358" s="540">
        <v>0.25</v>
      </c>
      <c r="L358" s="540">
        <v>0.25</v>
      </c>
      <c r="M358" s="540">
        <v>0.35</v>
      </c>
      <c r="N358" s="540"/>
      <c r="O358" s="540"/>
      <c r="P358" s="541">
        <f>C356</f>
        <v>6.0342260911330915E-2</v>
      </c>
      <c r="R358" s="205">
        <f t="shared" si="228"/>
        <v>1</v>
      </c>
    </row>
    <row r="359" spans="1:18">
      <c r="A359" s="751" t="s">
        <v>7046</v>
      </c>
      <c r="B359" s="206">
        <f>SUM(B302:B358)</f>
        <v>1036720.4157884481</v>
      </c>
      <c r="C359" s="542">
        <f>SUM(C302:C358)</f>
        <v>0.99999999999999967</v>
      </c>
      <c r="D359" s="543">
        <f>(D302+D305+D308+D311+D314+D317+D320+D323+D326+D329+D332+D335+D338+D341+D344+D347+D350+D353+D356)</f>
        <v>6116.8350195645999</v>
      </c>
      <c r="E359" s="543">
        <f t="shared" ref="E359:M359" si="241">(E302+E305+E308+E311+E314+E317+E320+E323+E326+E329+E332+E335+E338+E341+E344+E347+E350+E353+E356)</f>
        <v>17319.602682024339</v>
      </c>
      <c r="F359" s="543">
        <f t="shared" si="241"/>
        <v>20008.022392545849</v>
      </c>
      <c r="G359" s="543">
        <f t="shared" si="241"/>
        <v>32148.521822567236</v>
      </c>
      <c r="H359" s="543">
        <f t="shared" si="241"/>
        <v>63052.500125737679</v>
      </c>
      <c r="I359" s="543">
        <f t="shared" si="241"/>
        <v>91204.6208053929</v>
      </c>
      <c r="J359" s="543">
        <f t="shared" si="241"/>
        <v>222222.93566221491</v>
      </c>
      <c r="K359" s="543">
        <f t="shared" si="241"/>
        <v>210768.20162364119</v>
      </c>
      <c r="L359" s="543">
        <f t="shared" si="241"/>
        <v>225089.0833670717</v>
      </c>
      <c r="M359" s="543">
        <f t="shared" si="241"/>
        <v>148790.09228768753</v>
      </c>
      <c r="N359" s="543" t="e">
        <f>(N302+N305+N308+N311+N314+N317+N320+N323+N326+N329+N332+N335+N338+N341+N344+N347+N350+#REF!+N353+N356)</f>
        <v>#REF!</v>
      </c>
      <c r="O359" s="543" t="e">
        <f>(O302+O305+O308+O311+O314+O317+O320+O323+O326+O329+O332+O335+O338+O341+O344+O347+O350+#REF!+O353+O356)</f>
        <v>#REF!</v>
      </c>
      <c r="P359" s="544">
        <f>SUM(D359:M359)</f>
        <v>1036720.415788448</v>
      </c>
      <c r="R359" s="205"/>
    </row>
    <row r="360" spans="1:18">
      <c r="A360" s="752"/>
      <c r="B360" s="207"/>
      <c r="C360" s="581"/>
      <c r="D360" s="582">
        <f>D359/$B$359</f>
        <v>5.9001780291098212E-3</v>
      </c>
      <c r="E360" s="582">
        <f t="shared" ref="E360:O360" si="242">E359/$B$359</f>
        <v>1.6706146052745001E-2</v>
      </c>
      <c r="F360" s="582">
        <f t="shared" si="242"/>
        <v>1.9299342511094778E-2</v>
      </c>
      <c r="G360" s="582">
        <f t="shared" si="242"/>
        <v>3.1009828043289372E-2</v>
      </c>
      <c r="H360" s="582">
        <f t="shared" si="242"/>
        <v>6.0819194032930186E-2</v>
      </c>
      <c r="I360" s="582">
        <f t="shared" si="242"/>
        <v>8.7974172608561815E-2</v>
      </c>
      <c r="J360" s="582">
        <f t="shared" si="242"/>
        <v>0.21435184672543522</v>
      </c>
      <c r="K360" s="582">
        <f t="shared" si="242"/>
        <v>0.20330283692093346</v>
      </c>
      <c r="L360" s="582">
        <f t="shared" si="242"/>
        <v>0.21711647609050569</v>
      </c>
      <c r="M360" s="582">
        <f t="shared" si="242"/>
        <v>0.14351997898539451</v>
      </c>
      <c r="N360" s="582" t="e">
        <f t="shared" si="242"/>
        <v>#REF!</v>
      </c>
      <c r="O360" s="582" t="e">
        <f t="shared" si="242"/>
        <v>#REF!</v>
      </c>
      <c r="P360" s="583">
        <f>SUM(D360:M360)</f>
        <v>0.99999999999999978</v>
      </c>
      <c r="R360" s="205" t="e">
        <f t="shared" si="228"/>
        <v>#REF!</v>
      </c>
    </row>
    <row r="361" spans="1:18" s="61" customFormat="1">
      <c r="R361" s="580"/>
    </row>
    <row r="362" spans="1:18">
      <c r="A362" s="777" t="s">
        <v>6342</v>
      </c>
      <c r="B362" s="778"/>
      <c r="C362" s="778"/>
      <c r="D362" s="778"/>
      <c r="E362" s="778"/>
      <c r="F362" s="778"/>
      <c r="G362" s="778"/>
      <c r="H362" s="778"/>
      <c r="I362" s="778"/>
      <c r="J362" s="778"/>
      <c r="K362" s="778"/>
      <c r="L362" s="778"/>
      <c r="M362" s="778"/>
      <c r="N362" s="778"/>
      <c r="O362" s="779"/>
      <c r="P362" s="585"/>
      <c r="R362" s="205"/>
    </row>
    <row r="363" spans="1:18">
      <c r="A363" s="743" t="s">
        <v>611</v>
      </c>
      <c r="B363" s="757">
        <f>PASSARELA!J15</f>
        <v>188.90213398</v>
      </c>
      <c r="C363" s="785">
        <f>B363/$B$390</f>
        <v>7.5563400792318155E-3</v>
      </c>
      <c r="D363" s="213">
        <f t="shared" ref="D363:O363" si="243">$B363*D365</f>
        <v>0</v>
      </c>
      <c r="E363" s="214">
        <f t="shared" si="243"/>
        <v>0</v>
      </c>
      <c r="F363" s="214">
        <f t="shared" si="243"/>
        <v>0</v>
      </c>
      <c r="G363" s="214">
        <f t="shared" si="243"/>
        <v>0</v>
      </c>
      <c r="H363" s="214">
        <f t="shared" si="243"/>
        <v>0</v>
      </c>
      <c r="I363" s="214">
        <f t="shared" si="243"/>
        <v>0</v>
      </c>
      <c r="J363" s="214">
        <f t="shared" si="243"/>
        <v>47.225533495000001</v>
      </c>
      <c r="K363" s="214">
        <f t="shared" si="243"/>
        <v>47.225533495000001</v>
      </c>
      <c r="L363" s="214">
        <f t="shared" si="243"/>
        <v>47.225533495000001</v>
      </c>
      <c r="M363" s="214">
        <f t="shared" si="243"/>
        <v>47.225533495000001</v>
      </c>
      <c r="N363" s="214">
        <f t="shared" si="243"/>
        <v>0</v>
      </c>
      <c r="O363" s="214">
        <f t="shared" si="243"/>
        <v>0</v>
      </c>
      <c r="P363" s="584">
        <f>SUM(D363:O363)</f>
        <v>188.90213398</v>
      </c>
      <c r="R363" s="205"/>
    </row>
    <row r="364" spans="1:18" ht="5.0999999999999996" customHeight="1">
      <c r="A364" s="743"/>
      <c r="B364" s="757"/>
      <c r="C364" s="785"/>
      <c r="D364" s="539">
        <f>+D365</f>
        <v>0</v>
      </c>
      <c r="E364" s="539">
        <f t="shared" ref="E364:O364" si="244">+E365</f>
        <v>0</v>
      </c>
      <c r="F364" s="539">
        <f t="shared" si="244"/>
        <v>0</v>
      </c>
      <c r="G364" s="539">
        <f t="shared" si="244"/>
        <v>0</v>
      </c>
      <c r="H364" s="539">
        <f t="shared" si="244"/>
        <v>0</v>
      </c>
      <c r="I364" s="539">
        <f t="shared" si="244"/>
        <v>0</v>
      </c>
      <c r="J364" s="539">
        <f t="shared" si="244"/>
        <v>0.25</v>
      </c>
      <c r="K364" s="539">
        <f t="shared" si="244"/>
        <v>0.25</v>
      </c>
      <c r="L364" s="539">
        <f t="shared" si="244"/>
        <v>0.25</v>
      </c>
      <c r="M364" s="539">
        <f t="shared" si="244"/>
        <v>0.25</v>
      </c>
      <c r="N364" s="539">
        <f t="shared" si="244"/>
        <v>0</v>
      </c>
      <c r="O364" s="539">
        <f t="shared" si="244"/>
        <v>0</v>
      </c>
      <c r="P364" s="538"/>
      <c r="R364" s="205">
        <f t="shared" si="228"/>
        <v>1</v>
      </c>
    </row>
    <row r="365" spans="1:18">
      <c r="A365" s="784"/>
      <c r="B365" s="758"/>
      <c r="C365" s="786"/>
      <c r="D365" s="540"/>
      <c r="E365" s="540"/>
      <c r="F365" s="540"/>
      <c r="G365" s="540"/>
      <c r="H365" s="540"/>
      <c r="I365" s="540"/>
      <c r="J365" s="540">
        <v>0.25</v>
      </c>
      <c r="K365" s="540">
        <v>0.25</v>
      </c>
      <c r="L365" s="540">
        <v>0.25</v>
      </c>
      <c r="M365" s="540">
        <v>0.25</v>
      </c>
      <c r="N365" s="540"/>
      <c r="O365" s="540"/>
      <c r="P365" s="541">
        <f>C363</f>
        <v>7.5563400792318155E-3</v>
      </c>
      <c r="R365" s="205">
        <f t="shared" si="228"/>
        <v>1</v>
      </c>
    </row>
    <row r="366" spans="1:18">
      <c r="A366" s="792" t="s">
        <v>609</v>
      </c>
      <c r="B366" s="756">
        <f>PASSARELA!J18</f>
        <v>157.4536142</v>
      </c>
      <c r="C366" s="789">
        <f t="shared" ref="C366" si="245">B366/$B$390</f>
        <v>6.2983568821161689E-3</v>
      </c>
      <c r="D366" s="536">
        <f t="shared" ref="D366:O366" si="246">$B366*D368</f>
        <v>0</v>
      </c>
      <c r="E366" s="537">
        <f t="shared" si="246"/>
        <v>0</v>
      </c>
      <c r="F366" s="537">
        <f t="shared" si="246"/>
        <v>0</v>
      </c>
      <c r="G366" s="537">
        <f t="shared" si="246"/>
        <v>0</v>
      </c>
      <c r="H366" s="537">
        <f t="shared" si="246"/>
        <v>0</v>
      </c>
      <c r="I366" s="537">
        <f t="shared" si="246"/>
        <v>0</v>
      </c>
      <c r="J366" s="537">
        <f t="shared" si="246"/>
        <v>157.4536142</v>
      </c>
      <c r="K366" s="537">
        <f t="shared" si="246"/>
        <v>0</v>
      </c>
      <c r="L366" s="537">
        <f t="shared" si="246"/>
        <v>0</v>
      </c>
      <c r="M366" s="537">
        <f t="shared" si="246"/>
        <v>0</v>
      </c>
      <c r="N366" s="537">
        <f t="shared" si="246"/>
        <v>0</v>
      </c>
      <c r="O366" s="537">
        <f t="shared" si="246"/>
        <v>0</v>
      </c>
      <c r="P366" s="538">
        <f>SUM(D366:O366)</f>
        <v>157.4536142</v>
      </c>
      <c r="R366" s="205"/>
    </row>
    <row r="367" spans="1:18" ht="5.0999999999999996" customHeight="1">
      <c r="A367" s="743"/>
      <c r="B367" s="757"/>
      <c r="C367" s="785"/>
      <c r="D367" s="539">
        <f>+D368</f>
        <v>0</v>
      </c>
      <c r="E367" s="539">
        <f t="shared" ref="E367:O367" si="247">+E368</f>
        <v>0</v>
      </c>
      <c r="F367" s="539">
        <f t="shared" si="247"/>
        <v>0</v>
      </c>
      <c r="G367" s="539">
        <f t="shared" si="247"/>
        <v>0</v>
      </c>
      <c r="H367" s="539">
        <f t="shared" si="247"/>
        <v>0</v>
      </c>
      <c r="I367" s="539">
        <f t="shared" si="247"/>
        <v>0</v>
      </c>
      <c r="J367" s="539">
        <f t="shared" si="247"/>
        <v>1</v>
      </c>
      <c r="K367" s="539">
        <f t="shared" si="247"/>
        <v>0</v>
      </c>
      <c r="L367" s="539">
        <f t="shared" si="247"/>
        <v>0</v>
      </c>
      <c r="M367" s="539">
        <f t="shared" si="247"/>
        <v>0</v>
      </c>
      <c r="N367" s="539">
        <f t="shared" si="247"/>
        <v>0</v>
      </c>
      <c r="O367" s="539">
        <f t="shared" si="247"/>
        <v>0</v>
      </c>
      <c r="P367" s="538"/>
      <c r="R367" s="205">
        <f t="shared" si="228"/>
        <v>1</v>
      </c>
    </row>
    <row r="368" spans="1:18">
      <c r="A368" s="784"/>
      <c r="B368" s="758"/>
      <c r="C368" s="786"/>
      <c r="D368" s="540"/>
      <c r="E368" s="540"/>
      <c r="F368" s="540"/>
      <c r="G368" s="540"/>
      <c r="H368" s="540"/>
      <c r="I368" s="540"/>
      <c r="J368" s="540">
        <v>1</v>
      </c>
      <c r="K368" s="540"/>
      <c r="L368" s="540"/>
      <c r="M368" s="540"/>
      <c r="N368" s="540"/>
      <c r="O368" s="540"/>
      <c r="P368" s="541">
        <f>C366</f>
        <v>6.2983568821161689E-3</v>
      </c>
      <c r="R368" s="205">
        <f t="shared" si="228"/>
        <v>1</v>
      </c>
    </row>
    <row r="369" spans="1:18" ht="15" customHeight="1">
      <c r="A369" s="787" t="s">
        <v>604</v>
      </c>
      <c r="B369" s="756">
        <f>PASSARELA!J22</f>
        <v>466.32</v>
      </c>
      <c r="C369" s="789">
        <f t="shared" ref="C369" si="248">B369/$B$390</f>
        <v>1.8653428796735819E-2</v>
      </c>
      <c r="D369" s="536">
        <f t="shared" ref="D369:O369" si="249">$B369*D371</f>
        <v>0</v>
      </c>
      <c r="E369" s="537">
        <f t="shared" si="249"/>
        <v>0</v>
      </c>
      <c r="F369" s="537">
        <f t="shared" si="249"/>
        <v>0</v>
      </c>
      <c r="G369" s="537">
        <f t="shared" si="249"/>
        <v>0</v>
      </c>
      <c r="H369" s="537">
        <f t="shared" si="249"/>
        <v>0</v>
      </c>
      <c r="I369" s="537">
        <f t="shared" si="249"/>
        <v>0</v>
      </c>
      <c r="J369" s="537">
        <f t="shared" si="249"/>
        <v>466.32</v>
      </c>
      <c r="K369" s="537">
        <f t="shared" si="249"/>
        <v>0</v>
      </c>
      <c r="L369" s="537">
        <f t="shared" si="249"/>
        <v>0</v>
      </c>
      <c r="M369" s="537">
        <f t="shared" si="249"/>
        <v>0</v>
      </c>
      <c r="N369" s="537">
        <f t="shared" si="249"/>
        <v>0</v>
      </c>
      <c r="O369" s="537">
        <f t="shared" si="249"/>
        <v>0</v>
      </c>
      <c r="P369" s="538">
        <f>SUM(D369:O369)</f>
        <v>466.32</v>
      </c>
      <c r="R369" s="205"/>
    </row>
    <row r="370" spans="1:18" ht="5.0999999999999996" customHeight="1">
      <c r="A370" s="749"/>
      <c r="B370" s="757"/>
      <c r="C370" s="785"/>
      <c r="D370" s="539">
        <f>+D371</f>
        <v>0</v>
      </c>
      <c r="E370" s="539">
        <f t="shared" ref="E370:O370" si="250">+E371</f>
        <v>0</v>
      </c>
      <c r="F370" s="539">
        <f t="shared" si="250"/>
        <v>0</v>
      </c>
      <c r="G370" s="539">
        <f t="shared" si="250"/>
        <v>0</v>
      </c>
      <c r="H370" s="539">
        <f t="shared" si="250"/>
        <v>0</v>
      </c>
      <c r="I370" s="539">
        <f t="shared" si="250"/>
        <v>0</v>
      </c>
      <c r="J370" s="539">
        <f t="shared" si="250"/>
        <v>1</v>
      </c>
      <c r="K370" s="539">
        <f t="shared" si="250"/>
        <v>0</v>
      </c>
      <c r="L370" s="539">
        <f t="shared" si="250"/>
        <v>0</v>
      </c>
      <c r="M370" s="539">
        <f t="shared" si="250"/>
        <v>0</v>
      </c>
      <c r="N370" s="539">
        <f t="shared" si="250"/>
        <v>0</v>
      </c>
      <c r="O370" s="539">
        <f t="shared" si="250"/>
        <v>0</v>
      </c>
      <c r="P370" s="538"/>
      <c r="R370" s="205">
        <f t="shared" si="228"/>
        <v>1</v>
      </c>
    </row>
    <row r="371" spans="1:18">
      <c r="A371" s="788"/>
      <c r="B371" s="758"/>
      <c r="C371" s="786"/>
      <c r="D371" s="540"/>
      <c r="E371" s="540"/>
      <c r="F371" s="540"/>
      <c r="G371" s="540"/>
      <c r="H371" s="540"/>
      <c r="I371" s="540"/>
      <c r="J371" s="540">
        <v>1</v>
      </c>
      <c r="K371" s="540"/>
      <c r="L371" s="540"/>
      <c r="M371" s="540"/>
      <c r="N371" s="540"/>
      <c r="O371" s="540"/>
      <c r="P371" s="541">
        <f>C369</f>
        <v>1.8653428796735819E-2</v>
      </c>
      <c r="R371" s="205">
        <f t="shared" si="228"/>
        <v>1</v>
      </c>
    </row>
    <row r="372" spans="1:18">
      <c r="A372" s="787" t="s">
        <v>601</v>
      </c>
      <c r="B372" s="756">
        <f>PASSARELA!J26</f>
        <v>5469.2984831099993</v>
      </c>
      <c r="C372" s="789">
        <f t="shared" ref="C372" si="251">B372/$B$390</f>
        <v>0.21877931425370475</v>
      </c>
      <c r="D372" s="536">
        <f t="shared" ref="D372:O372" si="252">$B372*D374</f>
        <v>0</v>
      </c>
      <c r="E372" s="537">
        <f t="shared" si="252"/>
        <v>0</v>
      </c>
      <c r="F372" s="537">
        <f t="shared" si="252"/>
        <v>0</v>
      </c>
      <c r="G372" s="537">
        <f t="shared" si="252"/>
        <v>0</v>
      </c>
      <c r="H372" s="537">
        <f t="shared" si="252"/>
        <v>0</v>
      </c>
      <c r="I372" s="537">
        <f t="shared" si="252"/>
        <v>0</v>
      </c>
      <c r="J372" s="537">
        <f t="shared" si="252"/>
        <v>4375.438786488</v>
      </c>
      <c r="K372" s="537">
        <f t="shared" si="252"/>
        <v>1093.859696622</v>
      </c>
      <c r="L372" s="537">
        <f t="shared" si="252"/>
        <v>0</v>
      </c>
      <c r="M372" s="537">
        <f t="shared" si="252"/>
        <v>0</v>
      </c>
      <c r="N372" s="537">
        <f t="shared" si="252"/>
        <v>0</v>
      </c>
      <c r="O372" s="537">
        <f t="shared" si="252"/>
        <v>0</v>
      </c>
      <c r="P372" s="538">
        <f>SUM(D372:O372)</f>
        <v>5469.2984831100002</v>
      </c>
      <c r="R372" s="205"/>
    </row>
    <row r="373" spans="1:18" ht="5.0999999999999996" customHeight="1">
      <c r="A373" s="749"/>
      <c r="B373" s="757"/>
      <c r="C373" s="785"/>
      <c r="D373" s="539">
        <f>+D374</f>
        <v>0</v>
      </c>
      <c r="E373" s="539">
        <f t="shared" ref="E373:O373" si="253">+E374</f>
        <v>0</v>
      </c>
      <c r="F373" s="539">
        <f t="shared" si="253"/>
        <v>0</v>
      </c>
      <c r="G373" s="539">
        <f t="shared" si="253"/>
        <v>0</v>
      </c>
      <c r="H373" s="539">
        <f t="shared" si="253"/>
        <v>0</v>
      </c>
      <c r="I373" s="539">
        <f t="shared" si="253"/>
        <v>0</v>
      </c>
      <c r="J373" s="539">
        <f t="shared" si="253"/>
        <v>0.8</v>
      </c>
      <c r="K373" s="539">
        <f t="shared" si="253"/>
        <v>0.2</v>
      </c>
      <c r="L373" s="539">
        <f t="shared" si="253"/>
        <v>0</v>
      </c>
      <c r="M373" s="539">
        <f t="shared" si="253"/>
        <v>0</v>
      </c>
      <c r="N373" s="539">
        <f t="shared" si="253"/>
        <v>0</v>
      </c>
      <c r="O373" s="539">
        <f t="shared" si="253"/>
        <v>0</v>
      </c>
      <c r="P373" s="538"/>
      <c r="R373" s="205">
        <f t="shared" si="228"/>
        <v>1</v>
      </c>
    </row>
    <row r="374" spans="1:18">
      <c r="A374" s="788"/>
      <c r="B374" s="758"/>
      <c r="C374" s="786"/>
      <c r="D374" s="540"/>
      <c r="E374" s="540"/>
      <c r="F374" s="540"/>
      <c r="G374" s="540"/>
      <c r="H374" s="540"/>
      <c r="I374" s="540"/>
      <c r="J374" s="540">
        <v>0.8</v>
      </c>
      <c r="K374" s="540">
        <v>0.2</v>
      </c>
      <c r="L374" s="540"/>
      <c r="M374" s="540"/>
      <c r="N374" s="540"/>
      <c r="O374" s="540"/>
      <c r="P374" s="541">
        <f>C372</f>
        <v>0.21877931425370475</v>
      </c>
      <c r="R374" s="205">
        <f t="shared" si="228"/>
        <v>1</v>
      </c>
    </row>
    <row r="375" spans="1:18">
      <c r="A375" s="790" t="s">
        <v>7047</v>
      </c>
      <c r="B375" s="756">
        <f>PASSARELA!J29</f>
        <v>1559.0759657760002</v>
      </c>
      <c r="C375" s="789">
        <f t="shared" ref="C375" si="254">B375/$B$390</f>
        <v>6.2365140925340436E-2</v>
      </c>
      <c r="D375" s="536">
        <f t="shared" ref="D375:O375" si="255">$B375*D377</f>
        <v>0</v>
      </c>
      <c r="E375" s="537">
        <f t="shared" si="255"/>
        <v>0</v>
      </c>
      <c r="F375" s="537">
        <f t="shared" si="255"/>
        <v>0</v>
      </c>
      <c r="G375" s="537">
        <f t="shared" si="255"/>
        <v>0</v>
      </c>
      <c r="H375" s="537">
        <f t="shared" si="255"/>
        <v>0</v>
      </c>
      <c r="I375" s="537">
        <f t="shared" si="255"/>
        <v>0</v>
      </c>
      <c r="J375" s="537">
        <f t="shared" si="255"/>
        <v>0</v>
      </c>
      <c r="K375" s="537">
        <f t="shared" si="255"/>
        <v>1559.0759657760002</v>
      </c>
      <c r="L375" s="537">
        <f t="shared" si="255"/>
        <v>0</v>
      </c>
      <c r="M375" s="537">
        <f t="shared" si="255"/>
        <v>0</v>
      </c>
      <c r="N375" s="537">
        <f t="shared" si="255"/>
        <v>0</v>
      </c>
      <c r="O375" s="537">
        <f t="shared" si="255"/>
        <v>0</v>
      </c>
      <c r="P375" s="538">
        <f>SUM(D375:O375)</f>
        <v>1559.0759657760002</v>
      </c>
      <c r="R375" s="205"/>
    </row>
    <row r="376" spans="1:18" ht="5.0999999999999996" customHeight="1">
      <c r="A376" s="734"/>
      <c r="B376" s="757"/>
      <c r="C376" s="785"/>
      <c r="D376" s="539">
        <f>+D377</f>
        <v>0</v>
      </c>
      <c r="E376" s="539">
        <f t="shared" ref="E376:O376" si="256">+E377</f>
        <v>0</v>
      </c>
      <c r="F376" s="539">
        <f t="shared" si="256"/>
        <v>0</v>
      </c>
      <c r="G376" s="539">
        <f t="shared" si="256"/>
        <v>0</v>
      </c>
      <c r="H376" s="539">
        <f t="shared" si="256"/>
        <v>0</v>
      </c>
      <c r="I376" s="539">
        <f t="shared" si="256"/>
        <v>0</v>
      </c>
      <c r="J376" s="539">
        <f t="shared" si="256"/>
        <v>0</v>
      </c>
      <c r="K376" s="539">
        <f t="shared" si="256"/>
        <v>1</v>
      </c>
      <c r="L376" s="539">
        <f t="shared" si="256"/>
        <v>0</v>
      </c>
      <c r="M376" s="539">
        <f t="shared" si="256"/>
        <v>0</v>
      </c>
      <c r="N376" s="539">
        <f t="shared" si="256"/>
        <v>0</v>
      </c>
      <c r="O376" s="539">
        <f t="shared" si="256"/>
        <v>0</v>
      </c>
      <c r="P376" s="538"/>
      <c r="R376" s="205">
        <f t="shared" si="228"/>
        <v>1</v>
      </c>
    </row>
    <row r="377" spans="1:18">
      <c r="A377" s="791"/>
      <c r="B377" s="758"/>
      <c r="C377" s="786"/>
      <c r="D377" s="540"/>
      <c r="E377" s="540"/>
      <c r="F377" s="540"/>
      <c r="G377" s="540"/>
      <c r="H377" s="540"/>
      <c r="I377" s="540"/>
      <c r="J377" s="540"/>
      <c r="K377" s="540">
        <v>1</v>
      </c>
      <c r="L377" s="540"/>
      <c r="M377" s="540"/>
      <c r="N377" s="540"/>
      <c r="O377" s="540"/>
      <c r="P377" s="541">
        <f>C375</f>
        <v>6.2365140925340436E-2</v>
      </c>
      <c r="R377" s="205">
        <f t="shared" si="228"/>
        <v>1</v>
      </c>
    </row>
    <row r="378" spans="1:18">
      <c r="A378" s="790" t="s">
        <v>593</v>
      </c>
      <c r="B378" s="756">
        <f>PASSARELA!J33</f>
        <v>3462.8586320640002</v>
      </c>
      <c r="C378" s="789">
        <f t="shared" ref="C378" si="257">B378/$B$390</f>
        <v>0.13851901468169461</v>
      </c>
      <c r="D378" s="536">
        <f t="shared" ref="D378:O378" si="258">$B378*D380</f>
        <v>0</v>
      </c>
      <c r="E378" s="537">
        <f t="shared" si="258"/>
        <v>0</v>
      </c>
      <c r="F378" s="537">
        <f t="shared" si="258"/>
        <v>0</v>
      </c>
      <c r="G378" s="537">
        <f t="shared" si="258"/>
        <v>0</v>
      </c>
      <c r="H378" s="537">
        <f t="shared" si="258"/>
        <v>0</v>
      </c>
      <c r="I378" s="537">
        <f t="shared" si="258"/>
        <v>0</v>
      </c>
      <c r="J378" s="537">
        <f t="shared" si="258"/>
        <v>0</v>
      </c>
      <c r="K378" s="537">
        <f t="shared" si="258"/>
        <v>1731.4293160320001</v>
      </c>
      <c r="L378" s="537">
        <f t="shared" si="258"/>
        <v>1731.4293160320001</v>
      </c>
      <c r="M378" s="537">
        <f t="shared" si="258"/>
        <v>0</v>
      </c>
      <c r="N378" s="537">
        <f t="shared" si="258"/>
        <v>0</v>
      </c>
      <c r="O378" s="537">
        <f t="shared" si="258"/>
        <v>0</v>
      </c>
      <c r="P378" s="538">
        <f>SUM(D378:O378)</f>
        <v>3462.8586320640002</v>
      </c>
      <c r="R378" s="205"/>
    </row>
    <row r="379" spans="1:18" ht="5.0999999999999996" customHeight="1">
      <c r="A379" s="734"/>
      <c r="B379" s="757"/>
      <c r="C379" s="785"/>
      <c r="D379" s="539">
        <f>+D380</f>
        <v>0</v>
      </c>
      <c r="E379" s="539">
        <f t="shared" ref="E379:O379" si="259">+E380</f>
        <v>0</v>
      </c>
      <c r="F379" s="539">
        <f t="shared" si="259"/>
        <v>0</v>
      </c>
      <c r="G379" s="539">
        <f t="shared" si="259"/>
        <v>0</v>
      </c>
      <c r="H379" s="539">
        <f t="shared" si="259"/>
        <v>0</v>
      </c>
      <c r="I379" s="539">
        <f t="shared" si="259"/>
        <v>0</v>
      </c>
      <c r="J379" s="539">
        <f t="shared" si="259"/>
        <v>0</v>
      </c>
      <c r="K379" s="539">
        <f t="shared" si="259"/>
        <v>0.5</v>
      </c>
      <c r="L379" s="539">
        <f t="shared" si="259"/>
        <v>0.5</v>
      </c>
      <c r="M379" s="539">
        <f t="shared" si="259"/>
        <v>0</v>
      </c>
      <c r="N379" s="539">
        <f t="shared" si="259"/>
        <v>0</v>
      </c>
      <c r="O379" s="539">
        <f t="shared" si="259"/>
        <v>0</v>
      </c>
      <c r="P379" s="538"/>
      <c r="R379" s="205">
        <f t="shared" si="228"/>
        <v>1</v>
      </c>
    </row>
    <row r="380" spans="1:18">
      <c r="A380" s="791"/>
      <c r="B380" s="758"/>
      <c r="C380" s="786"/>
      <c r="D380" s="540"/>
      <c r="E380" s="540"/>
      <c r="F380" s="540"/>
      <c r="G380" s="540"/>
      <c r="H380" s="540"/>
      <c r="I380" s="540"/>
      <c r="J380" s="540"/>
      <c r="K380" s="540">
        <v>0.5</v>
      </c>
      <c r="L380" s="540">
        <v>0.5</v>
      </c>
      <c r="M380" s="540"/>
      <c r="N380" s="540"/>
      <c r="O380" s="540"/>
      <c r="P380" s="541">
        <f>C378</f>
        <v>0.13851901468169461</v>
      </c>
      <c r="R380" s="205">
        <f t="shared" si="228"/>
        <v>1</v>
      </c>
    </row>
    <row r="381" spans="1:18">
      <c r="A381" s="790" t="s">
        <v>591</v>
      </c>
      <c r="B381" s="756">
        <f>PASSARELA!J37</f>
        <v>9332.8020654299999</v>
      </c>
      <c r="C381" s="789">
        <f t="shared" ref="C381" si="260">B381/$B$390</f>
        <v>0.37332466718461033</v>
      </c>
      <c r="D381" s="536">
        <f t="shared" ref="D381:O381" si="261">$B381*D383</f>
        <v>0</v>
      </c>
      <c r="E381" s="537">
        <f t="shared" si="261"/>
        <v>0</v>
      </c>
      <c r="F381" s="537">
        <f t="shared" si="261"/>
        <v>0</v>
      </c>
      <c r="G381" s="537">
        <f t="shared" si="261"/>
        <v>0</v>
      </c>
      <c r="H381" s="537">
        <f t="shared" si="261"/>
        <v>0</v>
      </c>
      <c r="I381" s="537">
        <f t="shared" si="261"/>
        <v>0</v>
      </c>
      <c r="J381" s="537">
        <f t="shared" si="261"/>
        <v>0</v>
      </c>
      <c r="K381" s="537">
        <f t="shared" si="261"/>
        <v>4666.4010327149999</v>
      </c>
      <c r="L381" s="537">
        <f t="shared" si="261"/>
        <v>4666.4010327149999</v>
      </c>
      <c r="M381" s="537">
        <f t="shared" si="261"/>
        <v>0</v>
      </c>
      <c r="N381" s="537">
        <f t="shared" si="261"/>
        <v>0</v>
      </c>
      <c r="O381" s="537">
        <f t="shared" si="261"/>
        <v>0</v>
      </c>
      <c r="P381" s="538">
        <f>SUM(D381:O381)</f>
        <v>9332.8020654299999</v>
      </c>
      <c r="R381" s="205"/>
    </row>
    <row r="382" spans="1:18" ht="5.0999999999999996" customHeight="1">
      <c r="A382" s="734"/>
      <c r="B382" s="757"/>
      <c r="C382" s="785"/>
      <c r="D382" s="539">
        <f>+D383</f>
        <v>0</v>
      </c>
      <c r="E382" s="539">
        <f t="shared" ref="E382:O382" si="262">+E383</f>
        <v>0</v>
      </c>
      <c r="F382" s="539">
        <f t="shared" si="262"/>
        <v>0</v>
      </c>
      <c r="G382" s="539">
        <f t="shared" si="262"/>
        <v>0</v>
      </c>
      <c r="H382" s="539">
        <f t="shared" si="262"/>
        <v>0</v>
      </c>
      <c r="I382" s="539">
        <f t="shared" si="262"/>
        <v>0</v>
      </c>
      <c r="J382" s="539">
        <f t="shared" si="262"/>
        <v>0</v>
      </c>
      <c r="K382" s="539">
        <f t="shared" si="262"/>
        <v>0.5</v>
      </c>
      <c r="L382" s="539">
        <f t="shared" si="262"/>
        <v>0.5</v>
      </c>
      <c r="M382" s="539">
        <f t="shared" si="262"/>
        <v>0</v>
      </c>
      <c r="N382" s="539">
        <f t="shared" si="262"/>
        <v>0</v>
      </c>
      <c r="O382" s="539">
        <f t="shared" si="262"/>
        <v>0</v>
      </c>
      <c r="P382" s="538"/>
      <c r="R382" s="205">
        <f t="shared" si="228"/>
        <v>1</v>
      </c>
    </row>
    <row r="383" spans="1:18">
      <c r="A383" s="791"/>
      <c r="B383" s="758"/>
      <c r="C383" s="786"/>
      <c r="D383" s="540"/>
      <c r="E383" s="540"/>
      <c r="F383" s="540"/>
      <c r="G383" s="540"/>
      <c r="H383" s="540"/>
      <c r="I383" s="540"/>
      <c r="J383" s="540"/>
      <c r="K383" s="540">
        <v>0.5</v>
      </c>
      <c r="L383" s="540">
        <v>0.5</v>
      </c>
      <c r="M383" s="540"/>
      <c r="N383" s="540"/>
      <c r="O383" s="540"/>
      <c r="P383" s="541">
        <f>C381</f>
        <v>0.37332466718461033</v>
      </c>
      <c r="R383" s="205">
        <f t="shared" si="228"/>
        <v>1</v>
      </c>
    </row>
    <row r="384" spans="1:18">
      <c r="A384" s="790" t="s">
        <v>587</v>
      </c>
      <c r="B384" s="756">
        <f>PASSARELA!J45</f>
        <v>4190.8984027199995</v>
      </c>
      <c r="C384" s="789">
        <f t="shared" ref="C384" si="263">B384/$B$390</f>
        <v>0.16764158721369743</v>
      </c>
      <c r="D384" s="536">
        <f t="shared" ref="D384:O384" si="264">$B384*D386</f>
        <v>0</v>
      </c>
      <c r="E384" s="537">
        <f t="shared" si="264"/>
        <v>0</v>
      </c>
      <c r="F384" s="537">
        <f t="shared" si="264"/>
        <v>0</v>
      </c>
      <c r="G384" s="537">
        <f t="shared" si="264"/>
        <v>0</v>
      </c>
      <c r="H384" s="537">
        <f t="shared" si="264"/>
        <v>0</v>
      </c>
      <c r="I384" s="537">
        <f t="shared" si="264"/>
        <v>0</v>
      </c>
      <c r="J384" s="537">
        <f t="shared" si="264"/>
        <v>0</v>
      </c>
      <c r="K384" s="537">
        <f t="shared" si="264"/>
        <v>0</v>
      </c>
      <c r="L384" s="537">
        <f t="shared" si="264"/>
        <v>0</v>
      </c>
      <c r="M384" s="537">
        <f t="shared" si="264"/>
        <v>4190.8984027199995</v>
      </c>
      <c r="N384" s="537">
        <f t="shared" si="264"/>
        <v>0</v>
      </c>
      <c r="O384" s="537">
        <f t="shared" si="264"/>
        <v>0</v>
      </c>
      <c r="P384" s="538">
        <f>SUM(D384:O384)</f>
        <v>4190.8984027199995</v>
      </c>
      <c r="R384" s="205"/>
    </row>
    <row r="385" spans="1:18" ht="5.0999999999999996" customHeight="1">
      <c r="A385" s="734"/>
      <c r="B385" s="757"/>
      <c r="C385" s="785"/>
      <c r="D385" s="539">
        <f>+D386</f>
        <v>0</v>
      </c>
      <c r="E385" s="539">
        <f t="shared" ref="E385:O385" si="265">+E386</f>
        <v>0</v>
      </c>
      <c r="F385" s="539">
        <f t="shared" si="265"/>
        <v>0</v>
      </c>
      <c r="G385" s="539">
        <f t="shared" si="265"/>
        <v>0</v>
      </c>
      <c r="H385" s="539">
        <f t="shared" si="265"/>
        <v>0</v>
      </c>
      <c r="I385" s="539">
        <f t="shared" si="265"/>
        <v>0</v>
      </c>
      <c r="J385" s="539">
        <f t="shared" si="265"/>
        <v>0</v>
      </c>
      <c r="K385" s="539">
        <f t="shared" si="265"/>
        <v>0</v>
      </c>
      <c r="L385" s="539">
        <f t="shared" si="265"/>
        <v>0</v>
      </c>
      <c r="M385" s="539">
        <f t="shared" si="265"/>
        <v>1</v>
      </c>
      <c r="N385" s="539">
        <f t="shared" si="265"/>
        <v>0</v>
      </c>
      <c r="O385" s="539">
        <f t="shared" si="265"/>
        <v>0</v>
      </c>
      <c r="P385" s="538"/>
      <c r="R385" s="205">
        <f t="shared" si="228"/>
        <v>1</v>
      </c>
    </row>
    <row r="386" spans="1:18">
      <c r="A386" s="791"/>
      <c r="B386" s="758"/>
      <c r="C386" s="786"/>
      <c r="D386" s="540"/>
      <c r="E386" s="540"/>
      <c r="F386" s="540"/>
      <c r="G386" s="540"/>
      <c r="H386" s="540"/>
      <c r="I386" s="540"/>
      <c r="J386" s="540"/>
      <c r="K386" s="540"/>
      <c r="L386" s="540"/>
      <c r="M386" s="540">
        <v>1</v>
      </c>
      <c r="N386" s="540"/>
      <c r="O386" s="540"/>
      <c r="P386" s="541">
        <f>C384</f>
        <v>0.16764158721369743</v>
      </c>
      <c r="R386" s="205">
        <f t="shared" si="228"/>
        <v>1</v>
      </c>
    </row>
    <row r="387" spans="1:18">
      <c r="A387" s="790" t="s">
        <v>2</v>
      </c>
      <c r="B387" s="756">
        <f>PASSARELA!J48</f>
        <v>171.54796658999999</v>
      </c>
      <c r="C387" s="789">
        <f t="shared" ref="C387" si="266">B387/$B$390</f>
        <v>6.8621499828688025E-3</v>
      </c>
      <c r="D387" s="536">
        <f t="shared" ref="D387:O387" si="267">$B387*D389</f>
        <v>0</v>
      </c>
      <c r="E387" s="537">
        <f t="shared" si="267"/>
        <v>0</v>
      </c>
      <c r="F387" s="537">
        <f t="shared" si="267"/>
        <v>0</v>
      </c>
      <c r="G387" s="537">
        <f t="shared" si="267"/>
        <v>0</v>
      </c>
      <c r="H387" s="537">
        <f t="shared" si="267"/>
        <v>0</v>
      </c>
      <c r="I387" s="537">
        <f t="shared" si="267"/>
        <v>0</v>
      </c>
      <c r="J387" s="537">
        <f t="shared" si="267"/>
        <v>0</v>
      </c>
      <c r="K387" s="537">
        <f t="shared" si="267"/>
        <v>0</v>
      </c>
      <c r="L387" s="537">
        <f t="shared" si="267"/>
        <v>0</v>
      </c>
      <c r="M387" s="537">
        <f t="shared" si="267"/>
        <v>171.54796658999999</v>
      </c>
      <c r="N387" s="537">
        <f t="shared" si="267"/>
        <v>0</v>
      </c>
      <c r="O387" s="537">
        <f t="shared" si="267"/>
        <v>0</v>
      </c>
      <c r="P387" s="538">
        <f>SUM(D387:O387)</f>
        <v>171.54796658999999</v>
      </c>
      <c r="R387" s="205"/>
    </row>
    <row r="388" spans="1:18" ht="5.0999999999999996" customHeight="1">
      <c r="A388" s="734"/>
      <c r="B388" s="757"/>
      <c r="C388" s="785"/>
      <c r="D388" s="539">
        <f>+D389</f>
        <v>0</v>
      </c>
      <c r="E388" s="539">
        <f t="shared" ref="E388:O388" si="268">+E389</f>
        <v>0</v>
      </c>
      <c r="F388" s="539">
        <f t="shared" si="268"/>
        <v>0</v>
      </c>
      <c r="G388" s="539">
        <f t="shared" si="268"/>
        <v>0</v>
      </c>
      <c r="H388" s="539">
        <f t="shared" si="268"/>
        <v>0</v>
      </c>
      <c r="I388" s="539">
        <f t="shared" si="268"/>
        <v>0</v>
      </c>
      <c r="J388" s="539">
        <f t="shared" si="268"/>
        <v>0</v>
      </c>
      <c r="K388" s="539">
        <f t="shared" si="268"/>
        <v>0</v>
      </c>
      <c r="L388" s="539">
        <f t="shared" si="268"/>
        <v>0</v>
      </c>
      <c r="M388" s="539">
        <f t="shared" si="268"/>
        <v>1</v>
      </c>
      <c r="N388" s="539">
        <f t="shared" si="268"/>
        <v>0</v>
      </c>
      <c r="O388" s="539">
        <f t="shared" si="268"/>
        <v>0</v>
      </c>
      <c r="P388" s="538"/>
      <c r="R388" s="205">
        <f t="shared" si="228"/>
        <v>1</v>
      </c>
    </row>
    <row r="389" spans="1:18">
      <c r="A389" s="791"/>
      <c r="B389" s="758"/>
      <c r="C389" s="786"/>
      <c r="D389" s="540"/>
      <c r="E389" s="540"/>
      <c r="F389" s="540"/>
      <c r="G389" s="540"/>
      <c r="H389" s="540"/>
      <c r="I389" s="540"/>
      <c r="J389" s="540"/>
      <c r="K389" s="540"/>
      <c r="L389" s="540"/>
      <c r="M389" s="540">
        <v>1</v>
      </c>
      <c r="N389" s="540"/>
      <c r="O389" s="540"/>
      <c r="P389" s="541">
        <f>C387</f>
        <v>6.8621499828688025E-3</v>
      </c>
      <c r="R389" s="205">
        <f t="shared" si="228"/>
        <v>1</v>
      </c>
    </row>
    <row r="390" spans="1:18">
      <c r="A390" s="776" t="s">
        <v>7048</v>
      </c>
      <c r="B390" s="211">
        <f>SUM(B363:B389)</f>
        <v>24999.157263869994</v>
      </c>
      <c r="C390" s="542">
        <f>SUM(C363:C389)</f>
        <v>1</v>
      </c>
      <c r="D390" s="543">
        <f t="shared" ref="D390:O390" si="269">(D363+D366+D369+D372+D375+D378+D381+D384+D387)</f>
        <v>0</v>
      </c>
      <c r="E390" s="543">
        <f t="shared" si="269"/>
        <v>0</v>
      </c>
      <c r="F390" s="543">
        <f t="shared" si="269"/>
        <v>0</v>
      </c>
      <c r="G390" s="543">
        <f t="shared" si="269"/>
        <v>0</v>
      </c>
      <c r="H390" s="543">
        <f t="shared" si="269"/>
        <v>0</v>
      </c>
      <c r="I390" s="543">
        <f t="shared" si="269"/>
        <v>0</v>
      </c>
      <c r="J390" s="543">
        <f t="shared" si="269"/>
        <v>5046.4379341829999</v>
      </c>
      <c r="K390" s="543">
        <f t="shared" si="269"/>
        <v>9097.9915446400009</v>
      </c>
      <c r="L390" s="543">
        <f t="shared" si="269"/>
        <v>6445.0558822419998</v>
      </c>
      <c r="M390" s="543">
        <f t="shared" si="269"/>
        <v>4409.6719028049993</v>
      </c>
      <c r="N390" s="543">
        <f t="shared" si="269"/>
        <v>0</v>
      </c>
      <c r="O390" s="543">
        <f t="shared" si="269"/>
        <v>0</v>
      </c>
      <c r="P390" s="544">
        <f>SUM(D390:O390)</f>
        <v>24999.157263869998</v>
      </c>
      <c r="R390" s="205"/>
    </row>
    <row r="391" spans="1:18">
      <c r="A391" s="776"/>
      <c r="B391" s="212"/>
      <c r="C391" s="581"/>
      <c r="D391" s="582">
        <f t="shared" ref="D391:O391" si="270">D390/$B$390</f>
        <v>0</v>
      </c>
      <c r="E391" s="582">
        <f t="shared" si="270"/>
        <v>0</v>
      </c>
      <c r="F391" s="582">
        <f t="shared" si="270"/>
        <v>0</v>
      </c>
      <c r="G391" s="582">
        <f t="shared" si="270"/>
        <v>0</v>
      </c>
      <c r="H391" s="582">
        <f t="shared" si="270"/>
        <v>0</v>
      </c>
      <c r="I391" s="582">
        <f t="shared" si="270"/>
        <v>0</v>
      </c>
      <c r="J391" s="582">
        <f t="shared" si="270"/>
        <v>0.20186432210162375</v>
      </c>
      <c r="K391" s="582">
        <f t="shared" si="270"/>
        <v>0.36393192972904187</v>
      </c>
      <c r="L391" s="582">
        <f t="shared" si="270"/>
        <v>0.2578109259529604</v>
      </c>
      <c r="M391" s="582">
        <f t="shared" si="270"/>
        <v>0.17639282221637417</v>
      </c>
      <c r="N391" s="582">
        <f t="shared" si="270"/>
        <v>0</v>
      </c>
      <c r="O391" s="582">
        <f t="shared" si="270"/>
        <v>0</v>
      </c>
      <c r="P391" s="583">
        <f>SUM(D391:O391)</f>
        <v>1.0000000000000002</v>
      </c>
      <c r="R391" s="205">
        <f t="shared" si="228"/>
        <v>1.0000000000000002</v>
      </c>
    </row>
    <row r="392" spans="1:18" s="61" customFormat="1">
      <c r="R392" s="580"/>
    </row>
    <row r="393" spans="1:18">
      <c r="A393" s="783" t="s">
        <v>7049</v>
      </c>
      <c r="B393" s="783"/>
      <c r="C393" s="783"/>
      <c r="D393" s="783"/>
      <c r="E393" s="783"/>
      <c r="F393" s="783"/>
      <c r="G393" s="783"/>
      <c r="H393" s="783"/>
      <c r="I393" s="783"/>
      <c r="J393" s="783"/>
      <c r="K393" s="783"/>
      <c r="L393" s="783"/>
      <c r="M393" s="783"/>
      <c r="N393" s="783"/>
      <c r="O393" s="783"/>
      <c r="P393" s="578"/>
      <c r="R393" s="205"/>
    </row>
    <row r="394" spans="1:18">
      <c r="A394" s="746" t="s">
        <v>611</v>
      </c>
      <c r="B394" s="738">
        <f>UNID_SERVIÇOS!J15</f>
        <v>1112.18302608</v>
      </c>
      <c r="C394" s="785">
        <f>B394/$B$439</f>
        <v>2.9831257077021314E-3</v>
      </c>
      <c r="D394" s="213">
        <f t="shared" ref="D394:O394" si="271">$B394*D396</f>
        <v>111.218302608</v>
      </c>
      <c r="E394" s="214">
        <f t="shared" si="271"/>
        <v>111.218302608</v>
      </c>
      <c r="F394" s="214">
        <f t="shared" si="271"/>
        <v>111.218302608</v>
      </c>
      <c r="G394" s="214">
        <f t="shared" si="271"/>
        <v>111.218302608</v>
      </c>
      <c r="H394" s="214">
        <f t="shared" si="271"/>
        <v>111.218302608</v>
      </c>
      <c r="I394" s="214">
        <f t="shared" si="271"/>
        <v>111.218302608</v>
      </c>
      <c r="J394" s="214">
        <f t="shared" si="271"/>
        <v>111.218302608</v>
      </c>
      <c r="K394" s="214">
        <f t="shared" si="271"/>
        <v>111.218302608</v>
      </c>
      <c r="L394" s="214">
        <f t="shared" si="271"/>
        <v>111.218302608</v>
      </c>
      <c r="M394" s="214">
        <f t="shared" si="271"/>
        <v>111.218302608</v>
      </c>
      <c r="N394" s="214">
        <f t="shared" si="271"/>
        <v>0</v>
      </c>
      <c r="O394" s="214">
        <f t="shared" si="271"/>
        <v>0</v>
      </c>
      <c r="P394" s="538">
        <f>SUM(D394:O394)</f>
        <v>1112.1830260800002</v>
      </c>
      <c r="R394" s="205"/>
    </row>
    <row r="395" spans="1:18" ht="5.0999999999999996" customHeight="1">
      <c r="A395" s="746"/>
      <c r="B395" s="793"/>
      <c r="C395" s="785"/>
      <c r="D395" s="539">
        <f>+D396</f>
        <v>0.1</v>
      </c>
      <c r="E395" s="539">
        <f t="shared" ref="E395:O395" si="272">+E396</f>
        <v>0.1</v>
      </c>
      <c r="F395" s="539">
        <f t="shared" si="272"/>
        <v>0.1</v>
      </c>
      <c r="G395" s="539">
        <f t="shared" si="272"/>
        <v>0.1</v>
      </c>
      <c r="H395" s="539">
        <f t="shared" si="272"/>
        <v>0.1</v>
      </c>
      <c r="I395" s="539">
        <f t="shared" si="272"/>
        <v>0.1</v>
      </c>
      <c r="J395" s="539">
        <f t="shared" si="272"/>
        <v>0.1</v>
      </c>
      <c r="K395" s="539">
        <f t="shared" si="272"/>
        <v>0.1</v>
      </c>
      <c r="L395" s="539">
        <f t="shared" si="272"/>
        <v>0.1</v>
      </c>
      <c r="M395" s="539">
        <f t="shared" si="272"/>
        <v>0.1</v>
      </c>
      <c r="N395" s="539">
        <f t="shared" si="272"/>
        <v>0</v>
      </c>
      <c r="O395" s="539">
        <f t="shared" si="272"/>
        <v>0</v>
      </c>
      <c r="P395" s="538"/>
      <c r="R395" s="205">
        <f t="shared" si="228"/>
        <v>0.99999999999999989</v>
      </c>
    </row>
    <row r="396" spans="1:18">
      <c r="A396" s="747"/>
      <c r="B396" s="793"/>
      <c r="C396" s="786"/>
      <c r="D396" s="540">
        <v>0.1</v>
      </c>
      <c r="E396" s="540">
        <v>0.1</v>
      </c>
      <c r="F396" s="540">
        <v>0.1</v>
      </c>
      <c r="G396" s="540">
        <v>0.1</v>
      </c>
      <c r="H396" s="540">
        <v>0.1</v>
      </c>
      <c r="I396" s="540">
        <v>0.1</v>
      </c>
      <c r="J396" s="540">
        <v>0.1</v>
      </c>
      <c r="K396" s="540">
        <v>0.1</v>
      </c>
      <c r="L396" s="540">
        <v>0.1</v>
      </c>
      <c r="M396" s="540">
        <v>0.1</v>
      </c>
      <c r="N396" s="540"/>
      <c r="O396" s="540"/>
      <c r="P396" s="541">
        <f>C394</f>
        <v>2.9831257077021314E-3</v>
      </c>
      <c r="R396" s="205">
        <f t="shared" si="228"/>
        <v>0.99999999999999989</v>
      </c>
    </row>
    <row r="397" spans="1:18">
      <c r="A397" s="745" t="s">
        <v>6336</v>
      </c>
      <c r="B397" s="738">
        <f>UNID_SERVIÇOS!J19</f>
        <v>932.24266433999992</v>
      </c>
      <c r="C397" s="785">
        <f t="shared" ref="C397" si="273">B397/$B$439</f>
        <v>2.5004850753848349E-3</v>
      </c>
      <c r="D397" s="213">
        <f t="shared" ref="D397:O397" si="274">$B397*D399</f>
        <v>932.24266433999992</v>
      </c>
      <c r="E397" s="214">
        <f t="shared" si="274"/>
        <v>0</v>
      </c>
      <c r="F397" s="214">
        <f t="shared" si="274"/>
        <v>0</v>
      </c>
      <c r="G397" s="214">
        <f t="shared" si="274"/>
        <v>0</v>
      </c>
      <c r="H397" s="214">
        <f t="shared" si="274"/>
        <v>0</v>
      </c>
      <c r="I397" s="214">
        <f t="shared" si="274"/>
        <v>0</v>
      </c>
      <c r="J397" s="214">
        <f t="shared" si="274"/>
        <v>0</v>
      </c>
      <c r="K397" s="214">
        <f t="shared" si="274"/>
        <v>0</v>
      </c>
      <c r="L397" s="214">
        <f t="shared" si="274"/>
        <v>0</v>
      </c>
      <c r="M397" s="214">
        <f t="shared" si="274"/>
        <v>0</v>
      </c>
      <c r="N397" s="214">
        <f t="shared" si="274"/>
        <v>0</v>
      </c>
      <c r="O397" s="214">
        <f t="shared" si="274"/>
        <v>0</v>
      </c>
      <c r="P397" s="538">
        <f>SUM(D397:O397)</f>
        <v>932.24266433999992</v>
      </c>
      <c r="R397" s="205"/>
    </row>
    <row r="398" spans="1:18" ht="5.0999999999999996" customHeight="1">
      <c r="A398" s="746"/>
      <c r="B398" s="793"/>
      <c r="C398" s="785"/>
      <c r="D398" s="539">
        <f>+D399</f>
        <v>1</v>
      </c>
      <c r="E398" s="539">
        <f t="shared" ref="E398:O398" si="275">+E399</f>
        <v>0</v>
      </c>
      <c r="F398" s="539">
        <f t="shared" si="275"/>
        <v>0</v>
      </c>
      <c r="G398" s="539">
        <f t="shared" si="275"/>
        <v>0</v>
      </c>
      <c r="H398" s="539">
        <f t="shared" si="275"/>
        <v>0</v>
      </c>
      <c r="I398" s="539">
        <f t="shared" si="275"/>
        <v>0</v>
      </c>
      <c r="J398" s="539">
        <f t="shared" si="275"/>
        <v>0</v>
      </c>
      <c r="K398" s="539">
        <f t="shared" si="275"/>
        <v>0</v>
      </c>
      <c r="L398" s="539">
        <f t="shared" si="275"/>
        <v>0</v>
      </c>
      <c r="M398" s="539">
        <f t="shared" si="275"/>
        <v>0</v>
      </c>
      <c r="N398" s="539">
        <f t="shared" si="275"/>
        <v>0</v>
      </c>
      <c r="O398" s="539">
        <f t="shared" si="275"/>
        <v>0</v>
      </c>
      <c r="P398" s="538"/>
      <c r="R398" s="205">
        <f t="shared" ref="R398:R460" si="276">+SUM(D398:O398)</f>
        <v>1</v>
      </c>
    </row>
    <row r="399" spans="1:18">
      <c r="A399" s="746"/>
      <c r="B399" s="793"/>
      <c r="C399" s="786"/>
      <c r="D399" s="540">
        <v>1</v>
      </c>
      <c r="E399" s="540"/>
      <c r="F399" s="540"/>
      <c r="G399" s="540"/>
      <c r="H399" s="540"/>
      <c r="I399" s="540"/>
      <c r="J399" s="540"/>
      <c r="K399" s="540"/>
      <c r="L399" s="540"/>
      <c r="M399" s="540"/>
      <c r="N399" s="540"/>
      <c r="O399" s="540"/>
      <c r="P399" s="548">
        <f>C397</f>
        <v>2.5004850753848349E-3</v>
      </c>
      <c r="R399" s="205">
        <f t="shared" si="276"/>
        <v>1</v>
      </c>
    </row>
    <row r="400" spans="1:18">
      <c r="A400" s="733" t="s">
        <v>605</v>
      </c>
      <c r="B400" s="738">
        <f>UNID_SERVIÇOS!J86</f>
        <v>66648.214207915706</v>
      </c>
      <c r="C400" s="785">
        <f t="shared" ref="C400" si="277">B400/$B$439</f>
        <v>0.17876554174435902</v>
      </c>
      <c r="D400" s="213">
        <f t="shared" ref="D400:O400" si="278">$B400*D402</f>
        <v>0</v>
      </c>
      <c r="E400" s="214">
        <f t="shared" si="278"/>
        <v>8331.0267759894632</v>
      </c>
      <c r="F400" s="214">
        <f t="shared" si="278"/>
        <v>8331.0267759894632</v>
      </c>
      <c r="G400" s="214">
        <f t="shared" si="278"/>
        <v>0</v>
      </c>
      <c r="H400" s="214">
        <f t="shared" si="278"/>
        <v>0</v>
      </c>
      <c r="I400" s="214">
        <f t="shared" si="278"/>
        <v>0</v>
      </c>
      <c r="J400" s="214">
        <f t="shared" si="278"/>
        <v>23326.874972770496</v>
      </c>
      <c r="K400" s="214">
        <f t="shared" si="278"/>
        <v>13329.642841583141</v>
      </c>
      <c r="L400" s="214">
        <f t="shared" si="278"/>
        <v>13329.642841583141</v>
      </c>
      <c r="M400" s="214">
        <f t="shared" si="278"/>
        <v>0</v>
      </c>
      <c r="N400" s="214">
        <f t="shared" si="278"/>
        <v>0</v>
      </c>
      <c r="O400" s="214">
        <f t="shared" si="278"/>
        <v>0</v>
      </c>
      <c r="P400" s="538">
        <f>SUM(D400:O400)</f>
        <v>66648.214207915706</v>
      </c>
      <c r="R400" s="205"/>
    </row>
    <row r="401" spans="1:18" ht="5.0999999999999996" customHeight="1">
      <c r="A401" s="734"/>
      <c r="B401" s="793"/>
      <c r="C401" s="785"/>
      <c r="D401" s="539">
        <f>+D402</f>
        <v>0</v>
      </c>
      <c r="E401" s="539">
        <f t="shared" ref="E401:O401" si="279">+E402</f>
        <v>0.125</v>
      </c>
      <c r="F401" s="539">
        <f t="shared" si="279"/>
        <v>0.125</v>
      </c>
      <c r="G401" s="539">
        <f t="shared" si="279"/>
        <v>0</v>
      </c>
      <c r="H401" s="539">
        <f t="shared" si="279"/>
        <v>0</v>
      </c>
      <c r="I401" s="539">
        <f t="shared" si="279"/>
        <v>0</v>
      </c>
      <c r="J401" s="539">
        <f t="shared" si="279"/>
        <v>0.35</v>
      </c>
      <c r="K401" s="539">
        <f t="shared" si="279"/>
        <v>0.2</v>
      </c>
      <c r="L401" s="539">
        <f t="shared" si="279"/>
        <v>0.2</v>
      </c>
      <c r="M401" s="539">
        <f t="shared" si="279"/>
        <v>0</v>
      </c>
      <c r="N401" s="539">
        <f t="shared" si="279"/>
        <v>0</v>
      </c>
      <c r="O401" s="539">
        <f t="shared" si="279"/>
        <v>0</v>
      </c>
      <c r="P401" s="538"/>
      <c r="R401" s="205">
        <f t="shared" si="276"/>
        <v>1</v>
      </c>
    </row>
    <row r="402" spans="1:18">
      <c r="A402" s="735"/>
      <c r="B402" s="793"/>
      <c r="C402" s="786"/>
      <c r="D402" s="540"/>
      <c r="E402" s="540">
        <v>0.125</v>
      </c>
      <c r="F402" s="540">
        <v>0.125</v>
      </c>
      <c r="G402" s="540"/>
      <c r="H402" s="540"/>
      <c r="I402" s="540"/>
      <c r="J402" s="540">
        <v>0.35</v>
      </c>
      <c r="K402" s="540">
        <v>0.2</v>
      </c>
      <c r="L402" s="540">
        <v>0.2</v>
      </c>
      <c r="M402" s="540"/>
      <c r="N402" s="540"/>
      <c r="O402" s="540"/>
      <c r="P402" s="541">
        <f>C400</f>
        <v>0.17876554174435902</v>
      </c>
      <c r="R402" s="205">
        <f t="shared" si="276"/>
        <v>1</v>
      </c>
    </row>
    <row r="403" spans="1:18">
      <c r="A403" s="733" t="s">
        <v>604</v>
      </c>
      <c r="B403" s="738">
        <f>UNID_SERVIÇOS!J117</f>
        <v>15565.524449793391</v>
      </c>
      <c r="C403" s="785">
        <f t="shared" ref="C403" si="280">B403/$B$439</f>
        <v>4.1750247082717767E-2</v>
      </c>
      <c r="D403" s="213">
        <f t="shared" ref="D403:O403" si="281">$B403*D405</f>
        <v>0</v>
      </c>
      <c r="E403" s="214">
        <f t="shared" si="281"/>
        <v>1556.5524449793393</v>
      </c>
      <c r="F403" s="214">
        <f t="shared" si="281"/>
        <v>1556.5524449793393</v>
      </c>
      <c r="G403" s="214">
        <f t="shared" si="281"/>
        <v>0</v>
      </c>
      <c r="H403" s="214">
        <f t="shared" si="281"/>
        <v>0</v>
      </c>
      <c r="I403" s="214">
        <f t="shared" si="281"/>
        <v>0</v>
      </c>
      <c r="J403" s="214">
        <f t="shared" si="281"/>
        <v>5447.9335574276865</v>
      </c>
      <c r="K403" s="214">
        <f t="shared" si="281"/>
        <v>3891.3811124483477</v>
      </c>
      <c r="L403" s="214">
        <f t="shared" si="281"/>
        <v>3113.1048899586785</v>
      </c>
      <c r="M403" s="214">
        <f t="shared" si="281"/>
        <v>0</v>
      </c>
      <c r="N403" s="214">
        <f t="shared" si="281"/>
        <v>0</v>
      </c>
      <c r="O403" s="214">
        <f t="shared" si="281"/>
        <v>0</v>
      </c>
      <c r="P403" s="538">
        <f>SUM(D403:O403)</f>
        <v>15565.524449793391</v>
      </c>
      <c r="R403" s="205"/>
    </row>
    <row r="404" spans="1:18" ht="5.0999999999999996" customHeight="1">
      <c r="A404" s="734"/>
      <c r="B404" s="793"/>
      <c r="C404" s="785"/>
      <c r="D404" s="539">
        <f>+D405</f>
        <v>0</v>
      </c>
      <c r="E404" s="539">
        <f t="shared" ref="E404:O404" si="282">+E405</f>
        <v>0.1</v>
      </c>
      <c r="F404" s="539">
        <f t="shared" si="282"/>
        <v>0.1</v>
      </c>
      <c r="G404" s="539">
        <f t="shared" si="282"/>
        <v>0</v>
      </c>
      <c r="H404" s="539">
        <f t="shared" si="282"/>
        <v>0</v>
      </c>
      <c r="I404" s="539">
        <f t="shared" si="282"/>
        <v>0</v>
      </c>
      <c r="J404" s="539">
        <f t="shared" si="282"/>
        <v>0.35</v>
      </c>
      <c r="K404" s="539">
        <f t="shared" si="282"/>
        <v>0.25</v>
      </c>
      <c r="L404" s="539">
        <f t="shared" si="282"/>
        <v>0.2</v>
      </c>
      <c r="M404" s="539">
        <f t="shared" si="282"/>
        <v>0</v>
      </c>
      <c r="N404" s="539">
        <f t="shared" si="282"/>
        <v>0</v>
      </c>
      <c r="O404" s="539">
        <f t="shared" si="282"/>
        <v>0</v>
      </c>
      <c r="P404" s="538"/>
      <c r="R404" s="205">
        <f t="shared" si="276"/>
        <v>1</v>
      </c>
    </row>
    <row r="405" spans="1:18">
      <c r="A405" s="735"/>
      <c r="B405" s="793"/>
      <c r="C405" s="786"/>
      <c r="D405" s="540"/>
      <c r="E405" s="540">
        <v>0.1</v>
      </c>
      <c r="F405" s="540">
        <v>0.1</v>
      </c>
      <c r="G405" s="540"/>
      <c r="H405" s="540"/>
      <c r="I405" s="540"/>
      <c r="J405" s="540">
        <v>0.35</v>
      </c>
      <c r="K405" s="540">
        <v>0.25</v>
      </c>
      <c r="L405" s="540">
        <v>0.2</v>
      </c>
      <c r="M405" s="540"/>
      <c r="N405" s="540"/>
      <c r="O405" s="540"/>
      <c r="P405" s="541">
        <f>C403</f>
        <v>4.1750247082717767E-2</v>
      </c>
      <c r="R405" s="205">
        <f t="shared" si="276"/>
        <v>1</v>
      </c>
    </row>
    <row r="406" spans="1:18">
      <c r="A406" s="733" t="s">
        <v>603</v>
      </c>
      <c r="B406" s="738">
        <f>UNID_SERVIÇOS!J138</f>
        <v>14449.527038214874</v>
      </c>
      <c r="C406" s="785">
        <f t="shared" ref="C406" si="283">B406/$B$439</f>
        <v>3.8756890332846412E-2</v>
      </c>
      <c r="D406" s="213">
        <f t="shared" ref="D406:O406" si="284">$B406*D408</f>
        <v>0</v>
      </c>
      <c r="E406" s="214">
        <f t="shared" si="284"/>
        <v>1444.9527038214874</v>
      </c>
      <c r="F406" s="214">
        <f t="shared" si="284"/>
        <v>1444.9527038214874</v>
      </c>
      <c r="G406" s="214">
        <f t="shared" si="284"/>
        <v>0</v>
      </c>
      <c r="H406" s="214">
        <f t="shared" si="284"/>
        <v>0</v>
      </c>
      <c r="I406" s="214">
        <f t="shared" si="284"/>
        <v>0</v>
      </c>
      <c r="J406" s="214">
        <f t="shared" si="284"/>
        <v>5057.3344633752058</v>
      </c>
      <c r="K406" s="214">
        <f t="shared" si="284"/>
        <v>3612.3817595537184</v>
      </c>
      <c r="L406" s="214">
        <f t="shared" si="284"/>
        <v>2889.9054076429748</v>
      </c>
      <c r="M406" s="214">
        <f t="shared" si="284"/>
        <v>0</v>
      </c>
      <c r="N406" s="214">
        <f t="shared" si="284"/>
        <v>0</v>
      </c>
      <c r="O406" s="214">
        <f t="shared" si="284"/>
        <v>0</v>
      </c>
      <c r="P406" s="538">
        <f>SUM(D406:O406)</f>
        <v>14449.527038214874</v>
      </c>
      <c r="R406" s="205"/>
    </row>
    <row r="407" spans="1:18" ht="5.0999999999999996" customHeight="1">
      <c r="A407" s="734"/>
      <c r="B407" s="793"/>
      <c r="C407" s="785"/>
      <c r="D407" s="539">
        <f>+D408</f>
        <v>0</v>
      </c>
      <c r="E407" s="539">
        <f t="shared" ref="E407:O407" si="285">+E408</f>
        <v>0.1</v>
      </c>
      <c r="F407" s="539">
        <f t="shared" si="285"/>
        <v>0.1</v>
      </c>
      <c r="G407" s="539">
        <f t="shared" si="285"/>
        <v>0</v>
      </c>
      <c r="H407" s="539">
        <f t="shared" si="285"/>
        <v>0</v>
      </c>
      <c r="I407" s="539">
        <f t="shared" si="285"/>
        <v>0</v>
      </c>
      <c r="J407" s="539">
        <f t="shared" si="285"/>
        <v>0.35</v>
      </c>
      <c r="K407" s="539">
        <f t="shared" si="285"/>
        <v>0.25</v>
      </c>
      <c r="L407" s="539">
        <f t="shared" si="285"/>
        <v>0.2</v>
      </c>
      <c r="M407" s="539">
        <f t="shared" si="285"/>
        <v>0</v>
      </c>
      <c r="N407" s="539">
        <f t="shared" si="285"/>
        <v>0</v>
      </c>
      <c r="O407" s="539">
        <f t="shared" si="285"/>
        <v>0</v>
      </c>
      <c r="P407" s="541"/>
      <c r="R407" s="205">
        <f t="shared" si="276"/>
        <v>1</v>
      </c>
    </row>
    <row r="408" spans="1:18">
      <c r="A408" s="735"/>
      <c r="B408" s="793"/>
      <c r="C408" s="786"/>
      <c r="D408" s="540"/>
      <c r="E408" s="540">
        <v>0.1</v>
      </c>
      <c r="F408" s="540">
        <v>0.1</v>
      </c>
      <c r="G408" s="540"/>
      <c r="H408" s="540"/>
      <c r="I408" s="540"/>
      <c r="J408" s="540">
        <v>0.35</v>
      </c>
      <c r="K408" s="540">
        <v>0.25</v>
      </c>
      <c r="L408" s="540">
        <v>0.2</v>
      </c>
      <c r="M408" s="540"/>
      <c r="N408" s="540"/>
      <c r="O408" s="540"/>
      <c r="P408" s="541">
        <f>C406</f>
        <v>3.8756890332846412E-2</v>
      </c>
      <c r="R408" s="205">
        <f t="shared" si="276"/>
        <v>1</v>
      </c>
    </row>
    <row r="409" spans="1:18">
      <c r="A409" s="733" t="s">
        <v>7045</v>
      </c>
      <c r="B409" s="738">
        <f>UNID_SERVIÇOS!J143</f>
        <v>3492.8483099999994</v>
      </c>
      <c r="C409" s="785">
        <f t="shared" ref="C409" si="286">B409/$B$439</f>
        <v>9.3686069130095254E-3</v>
      </c>
      <c r="D409" s="213">
        <f t="shared" ref="D409:O409" si="287">$B409*D411</f>
        <v>0</v>
      </c>
      <c r="E409" s="214">
        <f t="shared" si="287"/>
        <v>0</v>
      </c>
      <c r="F409" s="214">
        <f t="shared" si="287"/>
        <v>0</v>
      </c>
      <c r="G409" s="214">
        <f t="shared" si="287"/>
        <v>3492.8483099999994</v>
      </c>
      <c r="H409" s="214">
        <f t="shared" si="287"/>
        <v>0</v>
      </c>
      <c r="I409" s="214">
        <f t="shared" si="287"/>
        <v>0</v>
      </c>
      <c r="J409" s="214">
        <f t="shared" si="287"/>
        <v>0</v>
      </c>
      <c r="K409" s="214">
        <f t="shared" si="287"/>
        <v>0</v>
      </c>
      <c r="L409" s="214">
        <f t="shared" si="287"/>
        <v>0</v>
      </c>
      <c r="M409" s="214">
        <f t="shared" si="287"/>
        <v>0</v>
      </c>
      <c r="N409" s="214">
        <f t="shared" si="287"/>
        <v>0</v>
      </c>
      <c r="O409" s="214">
        <f t="shared" si="287"/>
        <v>0</v>
      </c>
      <c r="P409" s="538">
        <f>SUM(D409:O409)</f>
        <v>3492.8483099999994</v>
      </c>
      <c r="R409" s="205"/>
    </row>
    <row r="410" spans="1:18" ht="5.0999999999999996" customHeight="1">
      <c r="A410" s="734"/>
      <c r="B410" s="793"/>
      <c r="C410" s="785"/>
      <c r="D410" s="539">
        <f>+D411</f>
        <v>0</v>
      </c>
      <c r="E410" s="539">
        <f t="shared" ref="E410:O410" si="288">+E411</f>
        <v>0</v>
      </c>
      <c r="F410" s="539">
        <f t="shared" si="288"/>
        <v>0</v>
      </c>
      <c r="G410" s="539">
        <f t="shared" si="288"/>
        <v>1</v>
      </c>
      <c r="H410" s="539">
        <f t="shared" si="288"/>
        <v>0</v>
      </c>
      <c r="I410" s="539">
        <f t="shared" si="288"/>
        <v>0</v>
      </c>
      <c r="J410" s="539">
        <f t="shared" si="288"/>
        <v>0</v>
      </c>
      <c r="K410" s="539">
        <f t="shared" si="288"/>
        <v>0</v>
      </c>
      <c r="L410" s="539">
        <f t="shared" si="288"/>
        <v>0</v>
      </c>
      <c r="M410" s="539">
        <f t="shared" si="288"/>
        <v>0</v>
      </c>
      <c r="N410" s="539">
        <f t="shared" si="288"/>
        <v>0</v>
      </c>
      <c r="O410" s="539">
        <f t="shared" si="288"/>
        <v>0</v>
      </c>
      <c r="P410" s="541"/>
      <c r="R410" s="205">
        <f t="shared" si="276"/>
        <v>1</v>
      </c>
    </row>
    <row r="411" spans="1:18">
      <c r="A411" s="735"/>
      <c r="B411" s="793"/>
      <c r="C411" s="786"/>
      <c r="D411" s="540"/>
      <c r="E411" s="540"/>
      <c r="F411" s="540"/>
      <c r="G411" s="540">
        <v>1</v>
      </c>
      <c r="H411" s="540"/>
      <c r="I411" s="540"/>
      <c r="J411" s="540"/>
      <c r="K411" s="540"/>
      <c r="L411" s="540"/>
      <c r="M411" s="540"/>
      <c r="N411" s="540"/>
      <c r="O411" s="540"/>
      <c r="P411" s="541">
        <f>C409</f>
        <v>9.3686069130095254E-3</v>
      </c>
      <c r="R411" s="205">
        <f t="shared" si="276"/>
        <v>1</v>
      </c>
    </row>
    <row r="412" spans="1:18">
      <c r="A412" s="733" t="s">
        <v>601</v>
      </c>
      <c r="B412" s="738">
        <f>UNID_SERVIÇOS!J146</f>
        <v>976.77440000000013</v>
      </c>
      <c r="C412" s="785">
        <f t="shared" ref="C412" si="289">B412/$B$439</f>
        <v>2.6199292337120515E-3</v>
      </c>
      <c r="D412" s="213">
        <f t="shared" ref="D412:O412" si="290">$B412*D414</f>
        <v>0</v>
      </c>
      <c r="E412" s="214">
        <f t="shared" si="290"/>
        <v>0</v>
      </c>
      <c r="F412" s="214">
        <f t="shared" si="290"/>
        <v>0</v>
      </c>
      <c r="G412" s="214">
        <f t="shared" si="290"/>
        <v>976.77440000000013</v>
      </c>
      <c r="H412" s="214">
        <f t="shared" si="290"/>
        <v>0</v>
      </c>
      <c r="I412" s="214">
        <f t="shared" si="290"/>
        <v>0</v>
      </c>
      <c r="J412" s="214">
        <f t="shared" si="290"/>
        <v>0</v>
      </c>
      <c r="K412" s="214">
        <f t="shared" si="290"/>
        <v>0</v>
      </c>
      <c r="L412" s="214">
        <f t="shared" si="290"/>
        <v>0</v>
      </c>
      <c r="M412" s="214">
        <f t="shared" si="290"/>
        <v>0</v>
      </c>
      <c r="N412" s="214">
        <f t="shared" si="290"/>
        <v>0</v>
      </c>
      <c r="O412" s="214">
        <f t="shared" si="290"/>
        <v>0</v>
      </c>
      <c r="P412" s="538">
        <f>SUM(D412:O412)</f>
        <v>976.77440000000013</v>
      </c>
      <c r="R412" s="205"/>
    </row>
    <row r="413" spans="1:18" ht="5.0999999999999996" customHeight="1">
      <c r="A413" s="734"/>
      <c r="B413" s="793"/>
      <c r="C413" s="785"/>
      <c r="D413" s="539">
        <f>+D414</f>
        <v>0</v>
      </c>
      <c r="E413" s="539">
        <f t="shared" ref="E413:O413" si="291">+E414</f>
        <v>0</v>
      </c>
      <c r="F413" s="539">
        <f t="shared" si="291"/>
        <v>0</v>
      </c>
      <c r="G413" s="539">
        <f t="shared" si="291"/>
        <v>1</v>
      </c>
      <c r="H413" s="539">
        <f t="shared" si="291"/>
        <v>0</v>
      </c>
      <c r="I413" s="539">
        <f t="shared" si="291"/>
        <v>0</v>
      </c>
      <c r="J413" s="539">
        <f t="shared" si="291"/>
        <v>0</v>
      </c>
      <c r="K413" s="539">
        <f t="shared" si="291"/>
        <v>0</v>
      </c>
      <c r="L413" s="539">
        <f t="shared" si="291"/>
        <v>0</v>
      </c>
      <c r="M413" s="539">
        <f t="shared" si="291"/>
        <v>0</v>
      </c>
      <c r="N413" s="539">
        <f t="shared" si="291"/>
        <v>0</v>
      </c>
      <c r="O413" s="539">
        <f t="shared" si="291"/>
        <v>0</v>
      </c>
      <c r="P413" s="541"/>
      <c r="R413" s="205">
        <f t="shared" si="276"/>
        <v>1</v>
      </c>
    </row>
    <row r="414" spans="1:18">
      <c r="A414" s="735"/>
      <c r="B414" s="793"/>
      <c r="C414" s="786"/>
      <c r="D414" s="540"/>
      <c r="E414" s="540"/>
      <c r="F414" s="540"/>
      <c r="G414" s="540">
        <v>1</v>
      </c>
      <c r="H414" s="540"/>
      <c r="I414" s="540"/>
      <c r="J414" s="540"/>
      <c r="K414" s="540"/>
      <c r="L414" s="540"/>
      <c r="M414" s="540"/>
      <c r="N414" s="540"/>
      <c r="O414" s="540"/>
      <c r="P414" s="541">
        <f>C412</f>
        <v>2.6199292337120515E-3</v>
      </c>
      <c r="R414" s="205">
        <f t="shared" si="276"/>
        <v>1</v>
      </c>
    </row>
    <row r="415" spans="1:18">
      <c r="A415" s="733" t="s">
        <v>597</v>
      </c>
      <c r="B415" s="738">
        <f>UNID_SERVIÇOS!J149</f>
        <v>432.70014000000003</v>
      </c>
      <c r="C415" s="785">
        <f t="shared" ref="C415" si="292">B415/$B$439</f>
        <v>1.1605993627774205E-3</v>
      </c>
      <c r="D415" s="213">
        <f t="shared" ref="D415:O415" si="293">$B415*D417</f>
        <v>0</v>
      </c>
      <c r="E415" s="214">
        <f t="shared" si="293"/>
        <v>0</v>
      </c>
      <c r="F415" s="214">
        <f t="shared" si="293"/>
        <v>0</v>
      </c>
      <c r="G415" s="214">
        <f t="shared" si="293"/>
        <v>432.70014000000003</v>
      </c>
      <c r="H415" s="214">
        <f t="shared" si="293"/>
        <v>0</v>
      </c>
      <c r="I415" s="214">
        <f t="shared" si="293"/>
        <v>0</v>
      </c>
      <c r="J415" s="214">
        <f t="shared" si="293"/>
        <v>0</v>
      </c>
      <c r="K415" s="214">
        <f t="shared" si="293"/>
        <v>0</v>
      </c>
      <c r="L415" s="214">
        <f t="shared" si="293"/>
        <v>0</v>
      </c>
      <c r="M415" s="214">
        <f t="shared" si="293"/>
        <v>0</v>
      </c>
      <c r="N415" s="214">
        <f t="shared" si="293"/>
        <v>0</v>
      </c>
      <c r="O415" s="214">
        <f t="shared" si="293"/>
        <v>0</v>
      </c>
      <c r="P415" s="538">
        <f>SUM(D415:O415)</f>
        <v>432.70014000000003</v>
      </c>
      <c r="R415" s="205"/>
    </row>
    <row r="416" spans="1:18" ht="5.0999999999999996" customHeight="1">
      <c r="A416" s="734"/>
      <c r="B416" s="793"/>
      <c r="C416" s="785"/>
      <c r="D416" s="539">
        <f>+D417</f>
        <v>0</v>
      </c>
      <c r="E416" s="539">
        <f t="shared" ref="E416:O416" si="294">+E417</f>
        <v>0</v>
      </c>
      <c r="F416" s="539">
        <f t="shared" si="294"/>
        <v>0</v>
      </c>
      <c r="G416" s="539">
        <f t="shared" si="294"/>
        <v>1</v>
      </c>
      <c r="H416" s="539">
        <f t="shared" si="294"/>
        <v>0</v>
      </c>
      <c r="I416" s="539">
        <f t="shared" si="294"/>
        <v>0</v>
      </c>
      <c r="J416" s="539">
        <f t="shared" si="294"/>
        <v>0</v>
      </c>
      <c r="K416" s="539">
        <f t="shared" si="294"/>
        <v>0</v>
      </c>
      <c r="L416" s="539">
        <f t="shared" si="294"/>
        <v>0</v>
      </c>
      <c r="M416" s="539">
        <f t="shared" si="294"/>
        <v>0</v>
      </c>
      <c r="N416" s="539">
        <f t="shared" si="294"/>
        <v>0</v>
      </c>
      <c r="O416" s="539">
        <f t="shared" si="294"/>
        <v>0</v>
      </c>
      <c r="P416" s="538"/>
      <c r="R416" s="205">
        <f t="shared" si="276"/>
        <v>1</v>
      </c>
    </row>
    <row r="417" spans="1:18">
      <c r="A417" s="735"/>
      <c r="B417" s="793"/>
      <c r="C417" s="786"/>
      <c r="D417" s="540"/>
      <c r="E417" s="540"/>
      <c r="F417" s="540"/>
      <c r="G417" s="540">
        <v>1</v>
      </c>
      <c r="H417" s="540"/>
      <c r="I417" s="540"/>
      <c r="J417" s="540"/>
      <c r="K417" s="540"/>
      <c r="L417" s="540"/>
      <c r="M417" s="540"/>
      <c r="N417" s="540"/>
      <c r="O417" s="540"/>
      <c r="P417" s="541">
        <f>C415</f>
        <v>1.1605993627774205E-3</v>
      </c>
      <c r="R417" s="205">
        <f t="shared" si="276"/>
        <v>1</v>
      </c>
    </row>
    <row r="418" spans="1:18">
      <c r="A418" s="733" t="s">
        <v>595</v>
      </c>
      <c r="B418" s="738">
        <f>UNID_SERVIÇOS!J160</f>
        <v>96123.054080513364</v>
      </c>
      <c r="C418" s="785">
        <f t="shared" ref="C418" si="295">B418/$B$439</f>
        <v>0.25782370977292346</v>
      </c>
      <c r="D418" s="213">
        <f t="shared" ref="D418:O418" si="296">$B418*D420</f>
        <v>0</v>
      </c>
      <c r="E418" s="214">
        <f t="shared" si="296"/>
        <v>0</v>
      </c>
      <c r="F418" s="214">
        <f t="shared" si="296"/>
        <v>0</v>
      </c>
      <c r="G418" s="214">
        <f t="shared" si="296"/>
        <v>28836.916224154007</v>
      </c>
      <c r="H418" s="214">
        <f t="shared" si="296"/>
        <v>38449.22163220535</v>
      </c>
      <c r="I418" s="214">
        <f t="shared" si="296"/>
        <v>28836.916224154007</v>
      </c>
      <c r="J418" s="214">
        <f t="shared" si="296"/>
        <v>0</v>
      </c>
      <c r="K418" s="214">
        <f t="shared" si="296"/>
        <v>0</v>
      </c>
      <c r="L418" s="214">
        <f t="shared" si="296"/>
        <v>0</v>
      </c>
      <c r="M418" s="214">
        <f t="shared" si="296"/>
        <v>0</v>
      </c>
      <c r="N418" s="214">
        <f t="shared" si="296"/>
        <v>0</v>
      </c>
      <c r="O418" s="214">
        <f t="shared" si="296"/>
        <v>0</v>
      </c>
      <c r="P418" s="538">
        <f>SUM(D418:O418)</f>
        <v>96123.054080513364</v>
      </c>
      <c r="R418" s="205"/>
    </row>
    <row r="419" spans="1:18" ht="5.0999999999999996" customHeight="1">
      <c r="A419" s="734"/>
      <c r="B419" s="793"/>
      <c r="C419" s="785"/>
      <c r="D419" s="539">
        <f>+D420</f>
        <v>0</v>
      </c>
      <c r="E419" s="539">
        <f t="shared" ref="E419:O419" si="297">+E420</f>
        <v>0</v>
      </c>
      <c r="F419" s="539">
        <f t="shared" si="297"/>
        <v>0</v>
      </c>
      <c r="G419" s="539">
        <f t="shared" si="297"/>
        <v>0.3</v>
      </c>
      <c r="H419" s="539">
        <f t="shared" si="297"/>
        <v>0.4</v>
      </c>
      <c r="I419" s="539">
        <f t="shared" si="297"/>
        <v>0.3</v>
      </c>
      <c r="J419" s="539">
        <f t="shared" si="297"/>
        <v>0</v>
      </c>
      <c r="K419" s="539">
        <f t="shared" si="297"/>
        <v>0</v>
      </c>
      <c r="L419" s="539">
        <f t="shared" si="297"/>
        <v>0</v>
      </c>
      <c r="M419" s="539">
        <f t="shared" si="297"/>
        <v>0</v>
      </c>
      <c r="N419" s="539">
        <f t="shared" si="297"/>
        <v>0</v>
      </c>
      <c r="O419" s="539">
        <f t="shared" si="297"/>
        <v>0</v>
      </c>
      <c r="P419" s="538"/>
      <c r="R419" s="205">
        <f t="shared" si="276"/>
        <v>1</v>
      </c>
    </row>
    <row r="420" spans="1:18">
      <c r="A420" s="735"/>
      <c r="B420" s="793"/>
      <c r="C420" s="786"/>
      <c r="D420" s="540"/>
      <c r="E420" s="540"/>
      <c r="F420" s="540"/>
      <c r="G420" s="540">
        <v>0.3</v>
      </c>
      <c r="H420" s="540">
        <v>0.4</v>
      </c>
      <c r="I420" s="540">
        <v>0.3</v>
      </c>
      <c r="J420" s="540"/>
      <c r="K420" s="540"/>
      <c r="L420" s="540"/>
      <c r="M420" s="540"/>
      <c r="N420" s="540"/>
      <c r="O420" s="540"/>
      <c r="P420" s="541">
        <f>C418</f>
        <v>0.25782370977292346</v>
      </c>
      <c r="R420" s="205">
        <f t="shared" si="276"/>
        <v>1</v>
      </c>
    </row>
    <row r="421" spans="1:18">
      <c r="A421" s="733" t="s">
        <v>594</v>
      </c>
      <c r="B421" s="738">
        <f>UNID_SERVIÇOS!J164</f>
        <v>7738.2365999999993</v>
      </c>
      <c r="C421" s="785">
        <f t="shared" ref="C421" si="298">B421/$B$439</f>
        <v>2.0755695773477013E-2</v>
      </c>
      <c r="D421" s="213">
        <f t="shared" ref="D421:O421" si="299">$B421*D423</f>
        <v>0</v>
      </c>
      <c r="E421" s="214">
        <f t="shared" si="299"/>
        <v>0</v>
      </c>
      <c r="F421" s="214">
        <f t="shared" si="299"/>
        <v>0</v>
      </c>
      <c r="G421" s="214">
        <f t="shared" si="299"/>
        <v>0</v>
      </c>
      <c r="H421" s="214">
        <f t="shared" si="299"/>
        <v>0</v>
      </c>
      <c r="I421" s="214">
        <f t="shared" si="299"/>
        <v>0</v>
      </c>
      <c r="J421" s="214">
        <f t="shared" si="299"/>
        <v>0</v>
      </c>
      <c r="K421" s="214">
        <f t="shared" si="299"/>
        <v>7738.2365999999993</v>
      </c>
      <c r="L421" s="214">
        <f t="shared" si="299"/>
        <v>0</v>
      </c>
      <c r="M421" s="214">
        <f t="shared" si="299"/>
        <v>0</v>
      </c>
      <c r="N421" s="214">
        <f t="shared" si="299"/>
        <v>0</v>
      </c>
      <c r="O421" s="214">
        <f t="shared" si="299"/>
        <v>0</v>
      </c>
      <c r="P421" s="538">
        <f>SUM(D421:O421)</f>
        <v>7738.2365999999993</v>
      </c>
      <c r="R421" s="205"/>
    </row>
    <row r="422" spans="1:18" ht="5.0999999999999996" customHeight="1">
      <c r="A422" s="734"/>
      <c r="B422" s="793"/>
      <c r="C422" s="785"/>
      <c r="D422" s="539">
        <f>+D423</f>
        <v>0</v>
      </c>
      <c r="E422" s="539">
        <f t="shared" ref="E422:O422" si="300">+E423</f>
        <v>0</v>
      </c>
      <c r="F422" s="539">
        <f t="shared" si="300"/>
        <v>0</v>
      </c>
      <c r="G422" s="539">
        <f t="shared" si="300"/>
        <v>0</v>
      </c>
      <c r="H422" s="539">
        <f t="shared" si="300"/>
        <v>0</v>
      </c>
      <c r="I422" s="539">
        <f t="shared" si="300"/>
        <v>0</v>
      </c>
      <c r="J422" s="539">
        <f t="shared" si="300"/>
        <v>0</v>
      </c>
      <c r="K422" s="539">
        <f t="shared" si="300"/>
        <v>1</v>
      </c>
      <c r="L422" s="539">
        <f t="shared" si="300"/>
        <v>0</v>
      </c>
      <c r="M422" s="539">
        <f t="shared" si="300"/>
        <v>0</v>
      </c>
      <c r="N422" s="539">
        <f t="shared" si="300"/>
        <v>0</v>
      </c>
      <c r="O422" s="539">
        <f t="shared" si="300"/>
        <v>0</v>
      </c>
      <c r="P422" s="538"/>
      <c r="R422" s="205">
        <f t="shared" si="276"/>
        <v>1</v>
      </c>
    </row>
    <row r="423" spans="1:18">
      <c r="A423" s="735"/>
      <c r="B423" s="793"/>
      <c r="C423" s="786"/>
      <c r="D423" s="540"/>
      <c r="E423" s="540"/>
      <c r="F423" s="540"/>
      <c r="G423" s="540"/>
      <c r="H423" s="540"/>
      <c r="I423" s="540"/>
      <c r="J423" s="540"/>
      <c r="K423" s="540">
        <v>1</v>
      </c>
      <c r="L423" s="540"/>
      <c r="M423" s="540"/>
      <c r="N423" s="540"/>
      <c r="O423" s="540"/>
      <c r="P423" s="541">
        <f>C421</f>
        <v>2.0755695773477013E-2</v>
      </c>
      <c r="R423" s="205">
        <f t="shared" si="276"/>
        <v>1</v>
      </c>
    </row>
    <row r="424" spans="1:18">
      <c r="A424" s="733" t="s">
        <v>593</v>
      </c>
      <c r="B424" s="738">
        <f>UNID_SERVIÇOS!J167</f>
        <v>13061.355</v>
      </c>
      <c r="C424" s="785">
        <f t="shared" ref="C424" si="301">B424/$B$439</f>
        <v>3.503349985051929E-2</v>
      </c>
      <c r="D424" s="213">
        <f t="shared" ref="D424:O424" si="302">$B424*D426</f>
        <v>0</v>
      </c>
      <c r="E424" s="214">
        <f t="shared" si="302"/>
        <v>0</v>
      </c>
      <c r="F424" s="214">
        <f t="shared" si="302"/>
        <v>0</v>
      </c>
      <c r="G424" s="214">
        <f t="shared" si="302"/>
        <v>0</v>
      </c>
      <c r="H424" s="214">
        <f t="shared" si="302"/>
        <v>0</v>
      </c>
      <c r="I424" s="214">
        <f t="shared" si="302"/>
        <v>6530.6774999999998</v>
      </c>
      <c r="J424" s="214">
        <f t="shared" si="302"/>
        <v>6530.6774999999998</v>
      </c>
      <c r="K424" s="214">
        <f t="shared" si="302"/>
        <v>0</v>
      </c>
      <c r="L424" s="214">
        <f t="shared" si="302"/>
        <v>0</v>
      </c>
      <c r="M424" s="214">
        <f t="shared" si="302"/>
        <v>0</v>
      </c>
      <c r="N424" s="214">
        <f t="shared" si="302"/>
        <v>0</v>
      </c>
      <c r="O424" s="214">
        <f t="shared" si="302"/>
        <v>0</v>
      </c>
      <c r="P424" s="538">
        <f>SUM(D424:O424)</f>
        <v>13061.355</v>
      </c>
      <c r="R424" s="205"/>
    </row>
    <row r="425" spans="1:18" ht="5.0999999999999996" customHeight="1">
      <c r="A425" s="734"/>
      <c r="B425" s="793"/>
      <c r="C425" s="785"/>
      <c r="D425" s="539">
        <f>+D426</f>
        <v>0</v>
      </c>
      <c r="E425" s="539">
        <f t="shared" ref="E425:O425" si="303">+E426</f>
        <v>0</v>
      </c>
      <c r="F425" s="539">
        <f t="shared" si="303"/>
        <v>0</v>
      </c>
      <c r="G425" s="539">
        <f t="shared" si="303"/>
        <v>0</v>
      </c>
      <c r="H425" s="539">
        <f t="shared" si="303"/>
        <v>0</v>
      </c>
      <c r="I425" s="539">
        <f t="shared" si="303"/>
        <v>0.5</v>
      </c>
      <c r="J425" s="539">
        <f t="shared" si="303"/>
        <v>0.5</v>
      </c>
      <c r="K425" s="539">
        <f t="shared" si="303"/>
        <v>0</v>
      </c>
      <c r="L425" s="539">
        <f t="shared" si="303"/>
        <v>0</v>
      </c>
      <c r="M425" s="539">
        <f t="shared" si="303"/>
        <v>0</v>
      </c>
      <c r="N425" s="539">
        <f t="shared" si="303"/>
        <v>0</v>
      </c>
      <c r="O425" s="539">
        <f t="shared" si="303"/>
        <v>0</v>
      </c>
      <c r="P425" s="538"/>
      <c r="R425" s="205">
        <f t="shared" si="276"/>
        <v>1</v>
      </c>
    </row>
    <row r="426" spans="1:18">
      <c r="A426" s="735"/>
      <c r="B426" s="793"/>
      <c r="C426" s="786"/>
      <c r="D426" s="540"/>
      <c r="E426" s="540"/>
      <c r="F426" s="540"/>
      <c r="G426" s="540"/>
      <c r="H426" s="540"/>
      <c r="I426" s="540">
        <v>0.5</v>
      </c>
      <c r="J426" s="540">
        <v>0.5</v>
      </c>
      <c r="K426" s="540"/>
      <c r="L426" s="540"/>
      <c r="M426" s="540"/>
      <c r="N426" s="540"/>
      <c r="O426" s="540"/>
      <c r="P426" s="541">
        <f>C424</f>
        <v>3.503349985051929E-2</v>
      </c>
      <c r="R426" s="205">
        <f t="shared" si="276"/>
        <v>1</v>
      </c>
    </row>
    <row r="427" spans="1:18">
      <c r="A427" s="733" t="s">
        <v>591</v>
      </c>
      <c r="B427" s="738">
        <f>UNID_SERVIÇOS!J174</f>
        <v>75818.218632659991</v>
      </c>
      <c r="C427" s="785">
        <f t="shared" ref="C427" si="304">B427/$B$439</f>
        <v>0.20336156173183659</v>
      </c>
      <c r="D427" s="213">
        <f t="shared" ref="D427:O427" si="305">$B427*D429</f>
        <v>0</v>
      </c>
      <c r="E427" s="214">
        <f t="shared" si="305"/>
        <v>0</v>
      </c>
      <c r="F427" s="214">
        <f t="shared" si="305"/>
        <v>0</v>
      </c>
      <c r="G427" s="214">
        <f t="shared" si="305"/>
        <v>0</v>
      </c>
      <c r="H427" s="214">
        <f t="shared" si="305"/>
        <v>0</v>
      </c>
      <c r="I427" s="214">
        <f t="shared" si="305"/>
        <v>22745.465589797997</v>
      </c>
      <c r="J427" s="214">
        <f t="shared" si="305"/>
        <v>30327.287453063997</v>
      </c>
      <c r="K427" s="214">
        <f t="shared" si="305"/>
        <v>22745.465589797997</v>
      </c>
      <c r="L427" s="214">
        <f t="shared" si="305"/>
        <v>0</v>
      </c>
      <c r="M427" s="214">
        <f t="shared" si="305"/>
        <v>0</v>
      </c>
      <c r="N427" s="214">
        <f t="shared" si="305"/>
        <v>0</v>
      </c>
      <c r="O427" s="214">
        <f t="shared" si="305"/>
        <v>0</v>
      </c>
      <c r="P427" s="538">
        <f>SUM(D427:O427)</f>
        <v>75818.218632659991</v>
      </c>
      <c r="R427" s="205"/>
    </row>
    <row r="428" spans="1:18" ht="5.0999999999999996" customHeight="1">
      <c r="A428" s="734"/>
      <c r="B428" s="793"/>
      <c r="C428" s="785"/>
      <c r="D428" s="539">
        <f>+D429</f>
        <v>0</v>
      </c>
      <c r="E428" s="539">
        <f t="shared" ref="E428:O428" si="306">+E429</f>
        <v>0</v>
      </c>
      <c r="F428" s="539">
        <f t="shared" si="306"/>
        <v>0</v>
      </c>
      <c r="G428" s="539">
        <f t="shared" si="306"/>
        <v>0</v>
      </c>
      <c r="H428" s="539">
        <f t="shared" si="306"/>
        <v>0</v>
      </c>
      <c r="I428" s="539">
        <f t="shared" si="306"/>
        <v>0.3</v>
      </c>
      <c r="J428" s="539">
        <f t="shared" si="306"/>
        <v>0.4</v>
      </c>
      <c r="K428" s="539">
        <f t="shared" si="306"/>
        <v>0.3</v>
      </c>
      <c r="L428" s="539">
        <f t="shared" si="306"/>
        <v>0</v>
      </c>
      <c r="M428" s="539">
        <f t="shared" si="306"/>
        <v>0</v>
      </c>
      <c r="N428" s="539">
        <f t="shared" si="306"/>
        <v>0</v>
      </c>
      <c r="O428" s="539">
        <f t="shared" si="306"/>
        <v>0</v>
      </c>
      <c r="P428" s="538"/>
      <c r="R428" s="205">
        <f t="shared" si="276"/>
        <v>1</v>
      </c>
    </row>
    <row r="429" spans="1:18">
      <c r="A429" s="735"/>
      <c r="B429" s="793"/>
      <c r="C429" s="786"/>
      <c r="D429" s="540"/>
      <c r="E429" s="540"/>
      <c r="F429" s="540"/>
      <c r="G429" s="540"/>
      <c r="H429" s="540"/>
      <c r="I429" s="540">
        <v>0.3</v>
      </c>
      <c r="J429" s="540">
        <v>0.4</v>
      </c>
      <c r="K429" s="540">
        <v>0.3</v>
      </c>
      <c r="L429" s="540"/>
      <c r="M429" s="540"/>
      <c r="N429" s="540"/>
      <c r="O429" s="540"/>
      <c r="P429" s="541">
        <f>C427</f>
        <v>0.20336156173183659</v>
      </c>
      <c r="R429" s="205">
        <f t="shared" si="276"/>
        <v>1</v>
      </c>
    </row>
    <row r="430" spans="1:18">
      <c r="A430" s="733" t="s">
        <v>589</v>
      </c>
      <c r="B430" s="738">
        <f>UNID_SERVIÇOS!J178</f>
        <v>7864.4924184500005</v>
      </c>
      <c r="C430" s="785">
        <f t="shared" ref="C430" si="307">B430/$B$439</f>
        <v>2.1094342353161533E-2</v>
      </c>
      <c r="D430" s="213">
        <f t="shared" ref="D430:O430" si="308">$B430*D432</f>
        <v>0</v>
      </c>
      <c r="E430" s="214">
        <f t="shared" si="308"/>
        <v>0</v>
      </c>
      <c r="F430" s="214">
        <f t="shared" si="308"/>
        <v>0</v>
      </c>
      <c r="G430" s="214">
        <f t="shared" si="308"/>
        <v>0</v>
      </c>
      <c r="H430" s="214">
        <f t="shared" si="308"/>
        <v>0</v>
      </c>
      <c r="I430" s="214">
        <f t="shared" si="308"/>
        <v>0</v>
      </c>
      <c r="J430" s="214">
        <f t="shared" si="308"/>
        <v>0</v>
      </c>
      <c r="K430" s="214">
        <f t="shared" si="308"/>
        <v>0</v>
      </c>
      <c r="L430" s="214">
        <f t="shared" si="308"/>
        <v>3932.2462092250003</v>
      </c>
      <c r="M430" s="214">
        <f t="shared" si="308"/>
        <v>3932.2462092250003</v>
      </c>
      <c r="N430" s="214">
        <f t="shared" si="308"/>
        <v>0</v>
      </c>
      <c r="O430" s="214">
        <f t="shared" si="308"/>
        <v>0</v>
      </c>
      <c r="P430" s="538">
        <f>SUM(D430:O430)</f>
        <v>7864.4924184500005</v>
      </c>
      <c r="R430" s="205"/>
    </row>
    <row r="431" spans="1:18" ht="5.0999999999999996" customHeight="1">
      <c r="A431" s="734"/>
      <c r="B431" s="793"/>
      <c r="C431" s="785"/>
      <c r="D431" s="539">
        <f>+D432</f>
        <v>0</v>
      </c>
      <c r="E431" s="539">
        <f t="shared" ref="E431:O431" si="309">+E432</f>
        <v>0</v>
      </c>
      <c r="F431" s="539">
        <f t="shared" si="309"/>
        <v>0</v>
      </c>
      <c r="G431" s="539">
        <f t="shared" si="309"/>
        <v>0</v>
      </c>
      <c r="H431" s="539">
        <f t="shared" si="309"/>
        <v>0</v>
      </c>
      <c r="I431" s="539">
        <f t="shared" si="309"/>
        <v>0</v>
      </c>
      <c r="J431" s="539">
        <f t="shared" si="309"/>
        <v>0</v>
      </c>
      <c r="K431" s="539">
        <f t="shared" si="309"/>
        <v>0</v>
      </c>
      <c r="L431" s="539">
        <f t="shared" si="309"/>
        <v>0.5</v>
      </c>
      <c r="M431" s="539">
        <f t="shared" si="309"/>
        <v>0.5</v>
      </c>
      <c r="N431" s="539">
        <f t="shared" si="309"/>
        <v>0</v>
      </c>
      <c r="O431" s="539">
        <f t="shared" si="309"/>
        <v>0</v>
      </c>
      <c r="P431" s="538"/>
      <c r="R431" s="205">
        <f t="shared" si="276"/>
        <v>1</v>
      </c>
    </row>
    <row r="432" spans="1:18">
      <c r="A432" s="735"/>
      <c r="B432" s="793"/>
      <c r="C432" s="786"/>
      <c r="D432" s="540"/>
      <c r="E432" s="540"/>
      <c r="F432" s="540"/>
      <c r="G432" s="540"/>
      <c r="H432" s="540"/>
      <c r="I432" s="540"/>
      <c r="J432" s="540"/>
      <c r="K432" s="540"/>
      <c r="L432" s="540">
        <v>0.5</v>
      </c>
      <c r="M432" s="540">
        <v>0.5</v>
      </c>
      <c r="N432" s="540"/>
      <c r="O432" s="540"/>
      <c r="P432" s="541">
        <f>C430</f>
        <v>2.1094342353161533E-2</v>
      </c>
      <c r="R432" s="205">
        <f t="shared" si="276"/>
        <v>1</v>
      </c>
    </row>
    <row r="433" spans="1:18">
      <c r="A433" s="733" t="s">
        <v>587</v>
      </c>
      <c r="B433" s="738">
        <f>UNID_SERVIÇOS!J189</f>
        <v>55537.69747372</v>
      </c>
      <c r="C433" s="785">
        <f t="shared" ref="C433" si="310">B433/$B$439</f>
        <v>0.14896463009724145</v>
      </c>
      <c r="D433" s="213">
        <f t="shared" ref="D433:O433" si="311">$B433*D435</f>
        <v>0</v>
      </c>
      <c r="E433" s="214">
        <f t="shared" si="311"/>
        <v>0</v>
      </c>
      <c r="F433" s="214">
        <f t="shared" si="311"/>
        <v>0</v>
      </c>
      <c r="G433" s="214">
        <f t="shared" si="311"/>
        <v>0</v>
      </c>
      <c r="H433" s="214">
        <f t="shared" si="311"/>
        <v>0</v>
      </c>
      <c r="I433" s="214">
        <f t="shared" si="311"/>
        <v>0</v>
      </c>
      <c r="J433" s="214">
        <f t="shared" si="311"/>
        <v>0</v>
      </c>
      <c r="K433" s="214">
        <f t="shared" si="311"/>
        <v>0</v>
      </c>
      <c r="L433" s="214">
        <f t="shared" si="311"/>
        <v>22215.078989488</v>
      </c>
      <c r="M433" s="214">
        <f t="shared" si="311"/>
        <v>33322.618484232</v>
      </c>
      <c r="N433" s="214">
        <f t="shared" si="311"/>
        <v>0</v>
      </c>
      <c r="O433" s="214">
        <f t="shared" si="311"/>
        <v>0</v>
      </c>
      <c r="P433" s="538">
        <f>SUM(D433:O433)</f>
        <v>55537.69747372</v>
      </c>
      <c r="R433" s="205"/>
    </row>
    <row r="434" spans="1:18" ht="5.0999999999999996" customHeight="1">
      <c r="A434" s="734"/>
      <c r="B434" s="793"/>
      <c r="C434" s="785"/>
      <c r="D434" s="539">
        <f>+D435</f>
        <v>0</v>
      </c>
      <c r="E434" s="539">
        <f t="shared" ref="E434:O434" si="312">+E435</f>
        <v>0</v>
      </c>
      <c r="F434" s="539">
        <f t="shared" si="312"/>
        <v>0</v>
      </c>
      <c r="G434" s="539">
        <f t="shared" si="312"/>
        <v>0</v>
      </c>
      <c r="H434" s="539">
        <f t="shared" si="312"/>
        <v>0</v>
      </c>
      <c r="I434" s="539">
        <f t="shared" si="312"/>
        <v>0</v>
      </c>
      <c r="J434" s="539">
        <f t="shared" si="312"/>
        <v>0</v>
      </c>
      <c r="K434" s="539">
        <f t="shared" si="312"/>
        <v>0</v>
      </c>
      <c r="L434" s="539">
        <f t="shared" si="312"/>
        <v>0.4</v>
      </c>
      <c r="M434" s="539">
        <f t="shared" si="312"/>
        <v>0.6</v>
      </c>
      <c r="N434" s="539">
        <f t="shared" si="312"/>
        <v>0</v>
      </c>
      <c r="O434" s="539">
        <f t="shared" si="312"/>
        <v>0</v>
      </c>
      <c r="P434" s="538"/>
      <c r="R434" s="205">
        <f t="shared" si="276"/>
        <v>1</v>
      </c>
    </row>
    <row r="435" spans="1:18">
      <c r="A435" s="735"/>
      <c r="B435" s="793"/>
      <c r="C435" s="786"/>
      <c r="D435" s="540"/>
      <c r="E435" s="540"/>
      <c r="F435" s="540"/>
      <c r="G435" s="540"/>
      <c r="H435" s="540"/>
      <c r="I435" s="540"/>
      <c r="J435" s="540"/>
      <c r="K435" s="540"/>
      <c r="L435" s="540">
        <v>0.4</v>
      </c>
      <c r="M435" s="540">
        <v>0.6</v>
      </c>
      <c r="N435" s="540"/>
      <c r="O435" s="540"/>
      <c r="P435" s="541">
        <f>C433</f>
        <v>0.14896463009724145</v>
      </c>
      <c r="R435" s="205">
        <f t="shared" si="276"/>
        <v>1</v>
      </c>
    </row>
    <row r="436" spans="1:18">
      <c r="A436" s="748" t="s">
        <v>2</v>
      </c>
      <c r="B436" s="738">
        <f>UNID_SERVIÇOS!J195</f>
        <v>13071.658055240001</v>
      </c>
      <c r="C436" s="785">
        <f t="shared" ref="C436" si="313">B436/$B$439</f>
        <v>3.5061134968331374E-2</v>
      </c>
      <c r="D436" s="213">
        <f t="shared" ref="D436:O436" si="314">$B436*D438</f>
        <v>0</v>
      </c>
      <c r="E436" s="214">
        <f t="shared" si="314"/>
        <v>0</v>
      </c>
      <c r="F436" s="214">
        <f t="shared" si="314"/>
        <v>0</v>
      </c>
      <c r="G436" s="214">
        <f t="shared" si="314"/>
        <v>0</v>
      </c>
      <c r="H436" s="214">
        <f t="shared" si="314"/>
        <v>0</v>
      </c>
      <c r="I436" s="214">
        <f t="shared" si="314"/>
        <v>0</v>
      </c>
      <c r="J436" s="214">
        <f t="shared" si="314"/>
        <v>0</v>
      </c>
      <c r="K436" s="214">
        <f t="shared" si="314"/>
        <v>0</v>
      </c>
      <c r="L436" s="214">
        <f t="shared" si="314"/>
        <v>9150.1606386679996</v>
      </c>
      <c r="M436" s="214">
        <f t="shared" si="314"/>
        <v>3921.497416572</v>
      </c>
      <c r="N436" s="214">
        <f t="shared" si="314"/>
        <v>0</v>
      </c>
      <c r="O436" s="214">
        <f t="shared" si="314"/>
        <v>0</v>
      </c>
      <c r="P436" s="538">
        <f>SUM(D436:O436)</f>
        <v>13071.658055239999</v>
      </c>
      <c r="R436" s="205"/>
    </row>
    <row r="437" spans="1:18" ht="5.0999999999999996" customHeight="1">
      <c r="A437" s="749"/>
      <c r="B437" s="793"/>
      <c r="C437" s="785"/>
      <c r="D437" s="539">
        <f>+D438</f>
        <v>0</v>
      </c>
      <c r="E437" s="539">
        <f t="shared" ref="E437:O437" si="315">+E438</f>
        <v>0</v>
      </c>
      <c r="F437" s="539">
        <f t="shared" si="315"/>
        <v>0</v>
      </c>
      <c r="G437" s="539">
        <f t="shared" si="315"/>
        <v>0</v>
      </c>
      <c r="H437" s="539">
        <f t="shared" si="315"/>
        <v>0</v>
      </c>
      <c r="I437" s="539">
        <f t="shared" si="315"/>
        <v>0</v>
      </c>
      <c r="J437" s="539">
        <f t="shared" si="315"/>
        <v>0</v>
      </c>
      <c r="K437" s="539">
        <f t="shared" si="315"/>
        <v>0</v>
      </c>
      <c r="L437" s="539">
        <f t="shared" si="315"/>
        <v>0.7</v>
      </c>
      <c r="M437" s="539">
        <f t="shared" si="315"/>
        <v>0.3</v>
      </c>
      <c r="N437" s="539">
        <f t="shared" si="315"/>
        <v>0</v>
      </c>
      <c r="O437" s="539">
        <f t="shared" si="315"/>
        <v>0</v>
      </c>
      <c r="P437" s="538"/>
      <c r="R437" s="205">
        <f t="shared" si="276"/>
        <v>1</v>
      </c>
    </row>
    <row r="438" spans="1:18">
      <c r="A438" s="749"/>
      <c r="B438" s="793"/>
      <c r="C438" s="786"/>
      <c r="D438" s="540"/>
      <c r="E438" s="540"/>
      <c r="F438" s="540"/>
      <c r="G438" s="540"/>
      <c r="H438" s="540"/>
      <c r="I438" s="540"/>
      <c r="J438" s="540"/>
      <c r="K438" s="540"/>
      <c r="L438" s="540">
        <v>0.7</v>
      </c>
      <c r="M438" s="540">
        <v>0.3</v>
      </c>
      <c r="N438" s="540"/>
      <c r="O438" s="540"/>
      <c r="P438" s="541">
        <f>C436</f>
        <v>3.5061134968331374E-2</v>
      </c>
      <c r="R438" s="205">
        <f t="shared" si="276"/>
        <v>1</v>
      </c>
    </row>
    <row r="439" spans="1:18">
      <c r="A439" s="776" t="s">
        <v>7050</v>
      </c>
      <c r="B439" s="211">
        <f>SUM(B394:B438)</f>
        <v>372824.72649692738</v>
      </c>
      <c r="C439" s="550">
        <f>SUM(C394:C438)</f>
        <v>0.99999999999999989</v>
      </c>
      <c r="D439" s="551">
        <f t="shared" ref="D439:P439" si="316">(D394+D397+D400+D403+D406+D409+D412+D415+D418+D421+D424+D427+D430+D433+D436)</f>
        <v>1043.4609669479999</v>
      </c>
      <c r="E439" s="551">
        <f t="shared" si="316"/>
        <v>11443.75022739829</v>
      </c>
      <c r="F439" s="551">
        <f t="shared" si="316"/>
        <v>11443.75022739829</v>
      </c>
      <c r="G439" s="551">
        <f t="shared" si="316"/>
        <v>33850.45737676201</v>
      </c>
      <c r="H439" s="551">
        <f t="shared" si="316"/>
        <v>38560.439934813352</v>
      </c>
      <c r="I439" s="551">
        <f t="shared" si="316"/>
        <v>58224.277616560001</v>
      </c>
      <c r="J439" s="551">
        <f t="shared" si="316"/>
        <v>70801.32624924538</v>
      </c>
      <c r="K439" s="551">
        <f t="shared" si="316"/>
        <v>51428.326205991209</v>
      </c>
      <c r="L439" s="551">
        <f t="shared" si="316"/>
        <v>54741.35727917379</v>
      </c>
      <c r="M439" s="551">
        <f t="shared" si="316"/>
        <v>41287.580412636999</v>
      </c>
      <c r="N439" s="551">
        <f t="shared" si="316"/>
        <v>0</v>
      </c>
      <c r="O439" s="551">
        <f t="shared" si="316"/>
        <v>0</v>
      </c>
      <c r="P439" s="552">
        <f t="shared" si="316"/>
        <v>372824.72649692738</v>
      </c>
      <c r="R439" s="205"/>
    </row>
    <row r="440" spans="1:18" ht="15" customHeight="1">
      <c r="A440" s="776"/>
      <c r="B440" s="215"/>
      <c r="C440" s="216"/>
      <c r="D440" s="586">
        <f t="shared" ref="D440:O440" si="317">D439/$B$439</f>
        <v>2.7987976461550479E-3</v>
      </c>
      <c r="E440" s="586">
        <f t="shared" si="317"/>
        <v>3.069471903037151E-2</v>
      </c>
      <c r="F440" s="586">
        <f t="shared" si="317"/>
        <v>3.069471903037151E-2</v>
      </c>
      <c r="G440" s="586">
        <f t="shared" si="317"/>
        <v>9.0794561012146238E-2</v>
      </c>
      <c r="H440" s="586">
        <f t="shared" si="317"/>
        <v>0.1034277964799396</v>
      </c>
      <c r="I440" s="586">
        <f t="shared" si="317"/>
        <v>0.15617064394745786</v>
      </c>
      <c r="J440" s="586">
        <f t="shared" si="317"/>
        <v>0.1899051248947376</v>
      </c>
      <c r="K440" s="586">
        <f t="shared" si="317"/>
        <v>0.13794236956656106</v>
      </c>
      <c r="L440" s="586">
        <f t="shared" si="317"/>
        <v>0.14682866609606415</v>
      </c>
      <c r="M440" s="586">
        <f t="shared" si="317"/>
        <v>0.11074260229619526</v>
      </c>
      <c r="N440" s="586">
        <f t="shared" si="317"/>
        <v>0</v>
      </c>
      <c r="O440" s="586">
        <f t="shared" si="317"/>
        <v>0</v>
      </c>
      <c r="P440" s="583">
        <f>SUM(D440:O440)</f>
        <v>0.99999999999999978</v>
      </c>
      <c r="R440" s="205">
        <f t="shared" si="276"/>
        <v>0.99999999999999978</v>
      </c>
    </row>
    <row r="441" spans="1:18" s="61" customFormat="1" ht="33" customHeight="1">
      <c r="B441" s="217"/>
      <c r="R441" s="580"/>
    </row>
    <row r="442" spans="1:18">
      <c r="A442" s="783" t="s">
        <v>7051</v>
      </c>
      <c r="B442" s="783"/>
      <c r="C442" s="783"/>
      <c r="D442" s="783"/>
      <c r="E442" s="783"/>
      <c r="F442" s="783"/>
      <c r="G442" s="783"/>
      <c r="H442" s="783"/>
      <c r="I442" s="783"/>
      <c r="J442" s="783"/>
      <c r="K442" s="783"/>
      <c r="L442" s="783"/>
      <c r="M442" s="783"/>
      <c r="N442" s="783"/>
      <c r="O442" s="783"/>
      <c r="P442" s="578"/>
      <c r="R442" s="205"/>
    </row>
    <row r="443" spans="1:18">
      <c r="A443" s="746" t="s">
        <v>611</v>
      </c>
      <c r="B443" s="793">
        <f>CASA_GRUPO_GERADOR!$J$15</f>
        <v>35.03985548</v>
      </c>
      <c r="C443" s="785">
        <f>B443/$B$485</f>
        <v>1.8932738863998712E-4</v>
      </c>
      <c r="D443" s="213">
        <f t="shared" ref="D443:O443" si="318">$B443*D445</f>
        <v>0</v>
      </c>
      <c r="E443" s="214">
        <f t="shared" si="318"/>
        <v>0</v>
      </c>
      <c r="F443" s="214">
        <f t="shared" si="318"/>
        <v>0</v>
      </c>
      <c r="G443" s="214">
        <f t="shared" si="318"/>
        <v>0</v>
      </c>
      <c r="H443" s="214">
        <f t="shared" si="318"/>
        <v>0</v>
      </c>
      <c r="I443" s="214">
        <f t="shared" si="318"/>
        <v>0</v>
      </c>
      <c r="J443" s="214">
        <f t="shared" si="318"/>
        <v>35.03985548</v>
      </c>
      <c r="K443" s="214">
        <f t="shared" si="318"/>
        <v>0</v>
      </c>
      <c r="L443" s="214">
        <f t="shared" si="318"/>
        <v>0</v>
      </c>
      <c r="M443" s="214">
        <f t="shared" si="318"/>
        <v>0</v>
      </c>
      <c r="N443" s="214">
        <f t="shared" si="318"/>
        <v>0</v>
      </c>
      <c r="O443" s="214">
        <f t="shared" si="318"/>
        <v>0</v>
      </c>
      <c r="P443" s="538">
        <f>SUM(D443:O443)</f>
        <v>35.03985548</v>
      </c>
      <c r="R443" s="205"/>
    </row>
    <row r="444" spans="1:18" ht="5.0999999999999996" customHeight="1">
      <c r="A444" s="746"/>
      <c r="B444" s="793"/>
      <c r="C444" s="785"/>
      <c r="D444" s="539">
        <f>+D445</f>
        <v>0</v>
      </c>
      <c r="E444" s="539">
        <f t="shared" ref="E444:O444" si="319">+E445</f>
        <v>0</v>
      </c>
      <c r="F444" s="539">
        <f t="shared" si="319"/>
        <v>0</v>
      </c>
      <c r="G444" s="539">
        <f t="shared" si="319"/>
        <v>0</v>
      </c>
      <c r="H444" s="539">
        <f t="shared" si="319"/>
        <v>0</v>
      </c>
      <c r="I444" s="539">
        <f t="shared" si="319"/>
        <v>0</v>
      </c>
      <c r="J444" s="539">
        <f t="shared" si="319"/>
        <v>1</v>
      </c>
      <c r="K444" s="539">
        <f t="shared" si="319"/>
        <v>0</v>
      </c>
      <c r="L444" s="539">
        <f t="shared" si="319"/>
        <v>0</v>
      </c>
      <c r="M444" s="539">
        <f t="shared" si="319"/>
        <v>0</v>
      </c>
      <c r="N444" s="539">
        <f t="shared" si="319"/>
        <v>0</v>
      </c>
      <c r="O444" s="539">
        <f t="shared" si="319"/>
        <v>0</v>
      </c>
      <c r="P444" s="538"/>
      <c r="R444" s="205">
        <f t="shared" si="276"/>
        <v>1</v>
      </c>
    </row>
    <row r="445" spans="1:18">
      <c r="A445" s="747"/>
      <c r="B445" s="793"/>
      <c r="C445" s="786"/>
      <c r="D445" s="540"/>
      <c r="E445" s="540"/>
      <c r="F445" s="540"/>
      <c r="G445" s="540"/>
      <c r="H445" s="540"/>
      <c r="I445" s="540"/>
      <c r="J445" s="540">
        <v>1</v>
      </c>
      <c r="K445" s="540"/>
      <c r="L445" s="540"/>
      <c r="M445" s="540"/>
      <c r="N445" s="540"/>
      <c r="O445" s="540"/>
      <c r="P445" s="541">
        <f>C443</f>
        <v>1.8932738863998712E-4</v>
      </c>
      <c r="R445" s="205">
        <f t="shared" si="276"/>
        <v>1</v>
      </c>
    </row>
    <row r="446" spans="1:18">
      <c r="A446" s="745" t="s">
        <v>6336</v>
      </c>
      <c r="B446" s="793">
        <f>CASA_GRUPO_GERADOR!$J$19</f>
        <v>126.18294659999999</v>
      </c>
      <c r="C446" s="785">
        <f t="shared" ref="C446" si="320">B446/$B$485</f>
        <v>6.8179184655349902E-4</v>
      </c>
      <c r="D446" s="213">
        <f t="shared" ref="D446:O446" si="321">$B446*D448</f>
        <v>0</v>
      </c>
      <c r="E446" s="214">
        <f t="shared" si="321"/>
        <v>0</v>
      </c>
      <c r="F446" s="214">
        <f t="shared" si="321"/>
        <v>0</v>
      </c>
      <c r="G446" s="214">
        <f t="shared" si="321"/>
        <v>0</v>
      </c>
      <c r="H446" s="214">
        <f t="shared" si="321"/>
        <v>0</v>
      </c>
      <c r="I446" s="214">
        <f t="shared" si="321"/>
        <v>0</v>
      </c>
      <c r="J446" s="214">
        <f t="shared" si="321"/>
        <v>126.18294659999999</v>
      </c>
      <c r="K446" s="214">
        <f t="shared" si="321"/>
        <v>0</v>
      </c>
      <c r="L446" s="214">
        <f t="shared" si="321"/>
        <v>0</v>
      </c>
      <c r="M446" s="214">
        <f t="shared" si="321"/>
        <v>0</v>
      </c>
      <c r="N446" s="214">
        <f t="shared" si="321"/>
        <v>0</v>
      </c>
      <c r="O446" s="214">
        <f t="shared" si="321"/>
        <v>0</v>
      </c>
      <c r="P446" s="538">
        <f>SUM(D446:O446)</f>
        <v>126.18294659999999</v>
      </c>
      <c r="R446" s="205"/>
    </row>
    <row r="447" spans="1:18" ht="5.0999999999999996" customHeight="1">
      <c r="A447" s="746"/>
      <c r="B447" s="793"/>
      <c r="C447" s="785"/>
      <c r="D447" s="539">
        <f>+D448</f>
        <v>0</v>
      </c>
      <c r="E447" s="539">
        <f t="shared" ref="E447:O447" si="322">+E448</f>
        <v>0</v>
      </c>
      <c r="F447" s="539">
        <f t="shared" si="322"/>
        <v>0</v>
      </c>
      <c r="G447" s="539">
        <f t="shared" si="322"/>
        <v>0</v>
      </c>
      <c r="H447" s="539">
        <f t="shared" si="322"/>
        <v>0</v>
      </c>
      <c r="I447" s="539">
        <f t="shared" si="322"/>
        <v>0</v>
      </c>
      <c r="J447" s="539">
        <f t="shared" si="322"/>
        <v>1</v>
      </c>
      <c r="K447" s="539">
        <f t="shared" si="322"/>
        <v>0</v>
      </c>
      <c r="L447" s="539">
        <f t="shared" si="322"/>
        <v>0</v>
      </c>
      <c r="M447" s="539">
        <f t="shared" si="322"/>
        <v>0</v>
      </c>
      <c r="N447" s="539">
        <f t="shared" si="322"/>
        <v>0</v>
      </c>
      <c r="O447" s="539">
        <f t="shared" si="322"/>
        <v>0</v>
      </c>
      <c r="P447" s="538"/>
      <c r="R447" s="205">
        <f t="shared" si="276"/>
        <v>1</v>
      </c>
    </row>
    <row r="448" spans="1:18">
      <c r="A448" s="746"/>
      <c r="B448" s="793"/>
      <c r="C448" s="786"/>
      <c r="D448" s="540"/>
      <c r="E448" s="540"/>
      <c r="F448" s="540"/>
      <c r="G448" s="540"/>
      <c r="H448" s="540"/>
      <c r="I448" s="540"/>
      <c r="J448" s="540">
        <v>1</v>
      </c>
      <c r="K448" s="540"/>
      <c r="L448" s="540"/>
      <c r="M448" s="540"/>
      <c r="N448" s="540"/>
      <c r="O448" s="540"/>
      <c r="P448" s="548">
        <f>C446</f>
        <v>6.8179184655349902E-4</v>
      </c>
      <c r="R448" s="205">
        <f t="shared" si="276"/>
        <v>1</v>
      </c>
    </row>
    <row r="449" spans="1:18">
      <c r="A449" s="733" t="s">
        <v>605</v>
      </c>
      <c r="B449" s="793">
        <f>CASA_GRUPO_GERADOR!$J$74</f>
        <v>170100.73574342241</v>
      </c>
      <c r="C449" s="785">
        <f t="shared" ref="C449" si="323">B449/$B$485</f>
        <v>0.91908849688105743</v>
      </c>
      <c r="D449" s="213">
        <f t="shared" ref="D449:O449" si="324">$B449*D451</f>
        <v>0</v>
      </c>
      <c r="E449" s="214">
        <f t="shared" si="324"/>
        <v>0</v>
      </c>
      <c r="F449" s="214">
        <f t="shared" si="324"/>
        <v>0</v>
      </c>
      <c r="G449" s="214">
        <f t="shared" si="324"/>
        <v>0</v>
      </c>
      <c r="H449" s="214">
        <f t="shared" si="324"/>
        <v>0</v>
      </c>
      <c r="I449" s="214">
        <f t="shared" si="324"/>
        <v>0</v>
      </c>
      <c r="J449" s="214">
        <f t="shared" si="324"/>
        <v>3402.0147148684482</v>
      </c>
      <c r="K449" s="214">
        <f t="shared" si="324"/>
        <v>25515.110361513362</v>
      </c>
      <c r="L449" s="214">
        <f t="shared" si="324"/>
        <v>141183.6106670406</v>
      </c>
      <c r="M449" s="214">
        <f t="shared" si="324"/>
        <v>0</v>
      </c>
      <c r="N449" s="214">
        <f t="shared" si="324"/>
        <v>0</v>
      </c>
      <c r="O449" s="214">
        <f t="shared" si="324"/>
        <v>0</v>
      </c>
      <c r="P449" s="538">
        <f>SUM(D449:O449)</f>
        <v>170100.73574342241</v>
      </c>
      <c r="R449" s="205"/>
    </row>
    <row r="450" spans="1:18" ht="5.0999999999999996" customHeight="1">
      <c r="A450" s="734"/>
      <c r="B450" s="793"/>
      <c r="C450" s="785"/>
      <c r="D450" s="539">
        <f>+D451</f>
        <v>0</v>
      </c>
      <c r="E450" s="539">
        <f t="shared" ref="E450:O450" si="325">+E451</f>
        <v>0</v>
      </c>
      <c r="F450" s="539">
        <f t="shared" si="325"/>
        <v>0</v>
      </c>
      <c r="G450" s="539">
        <f t="shared" si="325"/>
        <v>0</v>
      </c>
      <c r="H450" s="539">
        <f t="shared" si="325"/>
        <v>0</v>
      </c>
      <c r="I450" s="539">
        <f t="shared" si="325"/>
        <v>0</v>
      </c>
      <c r="J450" s="539">
        <f t="shared" si="325"/>
        <v>0.02</v>
      </c>
      <c r="K450" s="539">
        <f t="shared" si="325"/>
        <v>0.15</v>
      </c>
      <c r="L450" s="539">
        <f t="shared" si="325"/>
        <v>0.83</v>
      </c>
      <c r="M450" s="539">
        <f t="shared" si="325"/>
        <v>0</v>
      </c>
      <c r="N450" s="539">
        <f t="shared" si="325"/>
        <v>0</v>
      </c>
      <c r="O450" s="539">
        <f t="shared" si="325"/>
        <v>0</v>
      </c>
      <c r="P450" s="538"/>
      <c r="R450" s="205">
        <f t="shared" si="276"/>
        <v>1</v>
      </c>
    </row>
    <row r="451" spans="1:18">
      <c r="A451" s="735"/>
      <c r="B451" s="793"/>
      <c r="C451" s="786"/>
      <c r="D451" s="540"/>
      <c r="E451" s="540"/>
      <c r="F451" s="540"/>
      <c r="G451" s="540"/>
      <c r="H451" s="540"/>
      <c r="I451" s="540"/>
      <c r="J451" s="540">
        <v>0.02</v>
      </c>
      <c r="K451" s="540">
        <v>0.15</v>
      </c>
      <c r="L451" s="540">
        <v>0.83</v>
      </c>
      <c r="M451" s="540"/>
      <c r="N451" s="540"/>
      <c r="O451" s="540"/>
      <c r="P451" s="541">
        <f>C449</f>
        <v>0.91908849688105743</v>
      </c>
      <c r="R451" s="205">
        <f>+SUM(D451:O451)</f>
        <v>1</v>
      </c>
    </row>
    <row r="452" spans="1:18">
      <c r="A452" s="733" t="s">
        <v>604</v>
      </c>
      <c r="B452" s="793">
        <f>CASA_GRUPO_GERADOR!$J$78</f>
        <v>150.59</v>
      </c>
      <c r="C452" s="785">
        <f t="shared" ref="C452" si="326">B452/$B$485</f>
        <v>8.1366806639853362E-4</v>
      </c>
      <c r="D452" s="213">
        <f t="shared" ref="D452:O452" si="327">$B452*D454</f>
        <v>0</v>
      </c>
      <c r="E452" s="214">
        <f t="shared" si="327"/>
        <v>0</v>
      </c>
      <c r="F452" s="214">
        <f t="shared" si="327"/>
        <v>0</v>
      </c>
      <c r="G452" s="214">
        <f t="shared" si="327"/>
        <v>0</v>
      </c>
      <c r="H452" s="214">
        <f t="shared" si="327"/>
        <v>0</v>
      </c>
      <c r="I452" s="214">
        <f t="shared" si="327"/>
        <v>0</v>
      </c>
      <c r="J452" s="214">
        <f t="shared" si="327"/>
        <v>150.59</v>
      </c>
      <c r="K452" s="214">
        <f t="shared" si="327"/>
        <v>0</v>
      </c>
      <c r="L452" s="214">
        <f t="shared" si="327"/>
        <v>0</v>
      </c>
      <c r="M452" s="214">
        <f t="shared" si="327"/>
        <v>0</v>
      </c>
      <c r="N452" s="214">
        <f t="shared" si="327"/>
        <v>0</v>
      </c>
      <c r="O452" s="214">
        <f t="shared" si="327"/>
        <v>0</v>
      </c>
      <c r="P452" s="538">
        <f>SUM(D452:O452)</f>
        <v>150.59</v>
      </c>
      <c r="R452" s="205"/>
    </row>
    <row r="453" spans="1:18" ht="5.0999999999999996" customHeight="1">
      <c r="A453" s="734"/>
      <c r="B453" s="793"/>
      <c r="C453" s="785"/>
      <c r="D453" s="539">
        <f>+D454</f>
        <v>0</v>
      </c>
      <c r="E453" s="539">
        <f t="shared" ref="E453:O453" si="328">+E454</f>
        <v>0</v>
      </c>
      <c r="F453" s="539">
        <f t="shared" si="328"/>
        <v>0</v>
      </c>
      <c r="G453" s="539">
        <f t="shared" si="328"/>
        <v>0</v>
      </c>
      <c r="H453" s="539">
        <f t="shared" si="328"/>
        <v>0</v>
      </c>
      <c r="I453" s="539">
        <f t="shared" si="328"/>
        <v>0</v>
      </c>
      <c r="J453" s="539">
        <f t="shared" si="328"/>
        <v>1</v>
      </c>
      <c r="K453" s="539">
        <f t="shared" si="328"/>
        <v>0</v>
      </c>
      <c r="L453" s="539">
        <f t="shared" si="328"/>
        <v>0</v>
      </c>
      <c r="M453" s="539">
        <f t="shared" si="328"/>
        <v>0</v>
      </c>
      <c r="N453" s="539">
        <f t="shared" si="328"/>
        <v>0</v>
      </c>
      <c r="O453" s="539">
        <f t="shared" si="328"/>
        <v>0</v>
      </c>
      <c r="P453" s="538"/>
      <c r="R453" s="205">
        <f t="shared" si="276"/>
        <v>1</v>
      </c>
    </row>
    <row r="454" spans="1:18">
      <c r="A454" s="735"/>
      <c r="B454" s="793"/>
      <c r="C454" s="786"/>
      <c r="D454" s="540"/>
      <c r="E454" s="540"/>
      <c r="F454" s="540"/>
      <c r="G454" s="540"/>
      <c r="H454" s="540"/>
      <c r="I454" s="540"/>
      <c r="J454" s="540">
        <v>1</v>
      </c>
      <c r="K454" s="540"/>
      <c r="L454" s="540"/>
      <c r="M454" s="540"/>
      <c r="N454" s="540"/>
      <c r="O454" s="540"/>
      <c r="P454" s="541">
        <f>C452</f>
        <v>8.1366806639853362E-4</v>
      </c>
      <c r="R454" s="205">
        <f t="shared" si="276"/>
        <v>1</v>
      </c>
    </row>
    <row r="455" spans="1:18">
      <c r="A455" s="733" t="s">
        <v>7045</v>
      </c>
      <c r="B455" s="793">
        <f>CASA_GRUPO_GERADOR!$J$81</f>
        <v>625.24000000000012</v>
      </c>
      <c r="C455" s="785">
        <f t="shared" ref="C455" si="329">B455/$B$485</f>
        <v>3.3782975086992443E-3</v>
      </c>
      <c r="D455" s="213">
        <f t="shared" ref="D455:O455" si="330">$B455*D457</f>
        <v>0</v>
      </c>
      <c r="E455" s="214">
        <f t="shared" si="330"/>
        <v>0</v>
      </c>
      <c r="F455" s="214">
        <f t="shared" si="330"/>
        <v>0</v>
      </c>
      <c r="G455" s="214">
        <f t="shared" si="330"/>
        <v>0</v>
      </c>
      <c r="H455" s="214">
        <f t="shared" si="330"/>
        <v>0</v>
      </c>
      <c r="I455" s="214">
        <f t="shared" si="330"/>
        <v>0</v>
      </c>
      <c r="J455" s="214">
        <f t="shared" si="330"/>
        <v>625.24000000000012</v>
      </c>
      <c r="K455" s="214">
        <f t="shared" si="330"/>
        <v>0</v>
      </c>
      <c r="L455" s="214">
        <f t="shared" si="330"/>
        <v>0</v>
      </c>
      <c r="M455" s="214">
        <f t="shared" si="330"/>
        <v>0</v>
      </c>
      <c r="N455" s="214">
        <f t="shared" si="330"/>
        <v>0</v>
      </c>
      <c r="O455" s="214">
        <f t="shared" si="330"/>
        <v>0</v>
      </c>
      <c r="P455" s="538">
        <f>SUM(D455:O455)</f>
        <v>625.24000000000012</v>
      </c>
      <c r="R455" s="205"/>
    </row>
    <row r="456" spans="1:18" ht="5.0999999999999996" customHeight="1">
      <c r="A456" s="734"/>
      <c r="B456" s="793"/>
      <c r="C456" s="785"/>
      <c r="D456" s="539">
        <f>+D457</f>
        <v>0</v>
      </c>
      <c r="E456" s="539">
        <f t="shared" ref="E456:O456" si="331">+E457</f>
        <v>0</v>
      </c>
      <c r="F456" s="539">
        <f t="shared" si="331"/>
        <v>0</v>
      </c>
      <c r="G456" s="539">
        <f t="shared" si="331"/>
        <v>0</v>
      </c>
      <c r="H456" s="539">
        <f t="shared" si="331"/>
        <v>0</v>
      </c>
      <c r="I456" s="539">
        <f t="shared" si="331"/>
        <v>0</v>
      </c>
      <c r="J456" s="539">
        <f t="shared" si="331"/>
        <v>1</v>
      </c>
      <c r="K456" s="539">
        <f t="shared" si="331"/>
        <v>0</v>
      </c>
      <c r="L456" s="539">
        <f t="shared" si="331"/>
        <v>0</v>
      </c>
      <c r="M456" s="539">
        <f t="shared" si="331"/>
        <v>0</v>
      </c>
      <c r="N456" s="539">
        <f t="shared" si="331"/>
        <v>0</v>
      </c>
      <c r="O456" s="539">
        <f t="shared" si="331"/>
        <v>0</v>
      </c>
      <c r="P456" s="541"/>
      <c r="R456" s="205">
        <f t="shared" si="276"/>
        <v>1</v>
      </c>
    </row>
    <row r="457" spans="1:18">
      <c r="A457" s="735"/>
      <c r="B457" s="793"/>
      <c r="C457" s="786"/>
      <c r="D457" s="540"/>
      <c r="E457" s="540"/>
      <c r="F457" s="540"/>
      <c r="G457" s="540"/>
      <c r="H457" s="540"/>
      <c r="I457" s="540"/>
      <c r="J457" s="540">
        <v>1</v>
      </c>
      <c r="K457" s="540"/>
      <c r="L457" s="540"/>
      <c r="M457" s="540"/>
      <c r="N457" s="540"/>
      <c r="O457" s="540"/>
      <c r="P457" s="541">
        <f>C455</f>
        <v>3.3782975086992443E-3</v>
      </c>
      <c r="R457" s="205">
        <f t="shared" si="276"/>
        <v>1</v>
      </c>
    </row>
    <row r="458" spans="1:18">
      <c r="A458" s="733" t="s">
        <v>600</v>
      </c>
      <c r="B458" s="793">
        <f>CASA_GRUPO_GERADOR!$J$84</f>
        <v>1965.2834219999997</v>
      </c>
      <c r="C458" s="785">
        <f t="shared" ref="C458" si="332">B458/$B$485</f>
        <v>1.061882171395068E-2</v>
      </c>
      <c r="D458" s="213">
        <f t="shared" ref="D458:O458" si="333">$B458*D460</f>
        <v>0</v>
      </c>
      <c r="E458" s="214">
        <f t="shared" si="333"/>
        <v>0</v>
      </c>
      <c r="F458" s="214">
        <f t="shared" si="333"/>
        <v>0</v>
      </c>
      <c r="G458" s="214">
        <f t="shared" si="333"/>
        <v>0</v>
      </c>
      <c r="H458" s="214">
        <f t="shared" si="333"/>
        <v>0</v>
      </c>
      <c r="I458" s="214">
        <f t="shared" si="333"/>
        <v>0</v>
      </c>
      <c r="J458" s="214">
        <f t="shared" si="333"/>
        <v>0</v>
      </c>
      <c r="K458" s="214">
        <f t="shared" si="333"/>
        <v>0</v>
      </c>
      <c r="L458" s="214">
        <f t="shared" si="333"/>
        <v>1965.2834219999997</v>
      </c>
      <c r="M458" s="214">
        <f t="shared" si="333"/>
        <v>0</v>
      </c>
      <c r="N458" s="214">
        <f t="shared" si="333"/>
        <v>0</v>
      </c>
      <c r="O458" s="214">
        <f t="shared" si="333"/>
        <v>0</v>
      </c>
      <c r="P458" s="538">
        <f>SUM(D458:O458)</f>
        <v>1965.2834219999997</v>
      </c>
      <c r="R458" s="205"/>
    </row>
    <row r="459" spans="1:18" ht="5.0999999999999996" customHeight="1">
      <c r="A459" s="734"/>
      <c r="B459" s="793"/>
      <c r="C459" s="785"/>
      <c r="D459" s="539">
        <f>+D460</f>
        <v>0</v>
      </c>
      <c r="E459" s="539">
        <f t="shared" ref="E459:O459" si="334">+E460</f>
        <v>0</v>
      </c>
      <c r="F459" s="539">
        <f t="shared" si="334"/>
        <v>0</v>
      </c>
      <c r="G459" s="539">
        <f t="shared" si="334"/>
        <v>0</v>
      </c>
      <c r="H459" s="539">
        <f t="shared" si="334"/>
        <v>0</v>
      </c>
      <c r="I459" s="539">
        <f t="shared" si="334"/>
        <v>0</v>
      </c>
      <c r="J459" s="539">
        <f t="shared" si="334"/>
        <v>0</v>
      </c>
      <c r="K459" s="539">
        <f t="shared" si="334"/>
        <v>0</v>
      </c>
      <c r="L459" s="539">
        <f t="shared" si="334"/>
        <v>1</v>
      </c>
      <c r="M459" s="539">
        <f t="shared" si="334"/>
        <v>0</v>
      </c>
      <c r="N459" s="539">
        <f t="shared" si="334"/>
        <v>0</v>
      </c>
      <c r="O459" s="539">
        <f t="shared" si="334"/>
        <v>0</v>
      </c>
      <c r="P459" s="541"/>
      <c r="R459" s="205">
        <f t="shared" si="276"/>
        <v>1</v>
      </c>
    </row>
    <row r="460" spans="1:18">
      <c r="A460" s="735"/>
      <c r="B460" s="793"/>
      <c r="C460" s="786"/>
      <c r="D460" s="540"/>
      <c r="E460" s="540"/>
      <c r="F460" s="540"/>
      <c r="G460" s="540"/>
      <c r="H460" s="540"/>
      <c r="I460" s="540"/>
      <c r="J460" s="540"/>
      <c r="K460" s="540"/>
      <c r="L460" s="540">
        <v>1</v>
      </c>
      <c r="M460" s="540"/>
      <c r="N460" s="540"/>
      <c r="O460" s="540"/>
      <c r="P460" s="541">
        <f>C458</f>
        <v>1.061882171395068E-2</v>
      </c>
      <c r="R460" s="205">
        <f t="shared" si="276"/>
        <v>1</v>
      </c>
    </row>
    <row r="461" spans="1:18">
      <c r="A461" s="733" t="s">
        <v>599</v>
      </c>
      <c r="B461" s="793">
        <f>CASA_GRUPO_GERADOR!$J$87</f>
        <v>750.35000000000014</v>
      </c>
      <c r="C461" s="785">
        <f t="shared" ref="C461" si="335">B461/$B$485</f>
        <v>4.0542920089125427E-3</v>
      </c>
      <c r="D461" s="213">
        <f t="shared" ref="D461:O461" si="336">$B461*D463</f>
        <v>0</v>
      </c>
      <c r="E461" s="214">
        <f t="shared" si="336"/>
        <v>0</v>
      </c>
      <c r="F461" s="214">
        <f t="shared" si="336"/>
        <v>0</v>
      </c>
      <c r="G461" s="214">
        <f t="shared" si="336"/>
        <v>0</v>
      </c>
      <c r="H461" s="214">
        <f t="shared" si="336"/>
        <v>0</v>
      </c>
      <c r="I461" s="214">
        <f t="shared" si="336"/>
        <v>0</v>
      </c>
      <c r="J461" s="214">
        <f t="shared" si="336"/>
        <v>0</v>
      </c>
      <c r="K461" s="214">
        <f t="shared" si="336"/>
        <v>750.35000000000014</v>
      </c>
      <c r="L461" s="214">
        <f t="shared" si="336"/>
        <v>0</v>
      </c>
      <c r="M461" s="214">
        <f t="shared" si="336"/>
        <v>0</v>
      </c>
      <c r="N461" s="214">
        <f t="shared" si="336"/>
        <v>0</v>
      </c>
      <c r="O461" s="214">
        <f t="shared" si="336"/>
        <v>0</v>
      </c>
      <c r="P461" s="538">
        <f>SUM(D461:O461)</f>
        <v>750.35000000000014</v>
      </c>
      <c r="R461" s="205"/>
    </row>
    <row r="462" spans="1:18" ht="5.0999999999999996" customHeight="1">
      <c r="A462" s="734"/>
      <c r="B462" s="793"/>
      <c r="C462" s="785"/>
      <c r="D462" s="539">
        <f>+D463</f>
        <v>0</v>
      </c>
      <c r="E462" s="539">
        <f t="shared" ref="E462:O462" si="337">+E463</f>
        <v>0</v>
      </c>
      <c r="F462" s="539">
        <f t="shared" si="337"/>
        <v>0</v>
      </c>
      <c r="G462" s="539">
        <f t="shared" si="337"/>
        <v>0</v>
      </c>
      <c r="H462" s="539">
        <f t="shared" si="337"/>
        <v>0</v>
      </c>
      <c r="I462" s="539">
        <f t="shared" si="337"/>
        <v>0</v>
      </c>
      <c r="J462" s="539">
        <f t="shared" si="337"/>
        <v>0</v>
      </c>
      <c r="K462" s="539">
        <f t="shared" si="337"/>
        <v>1</v>
      </c>
      <c r="L462" s="539">
        <f t="shared" si="337"/>
        <v>0</v>
      </c>
      <c r="M462" s="539">
        <f t="shared" si="337"/>
        <v>0</v>
      </c>
      <c r="N462" s="539">
        <f t="shared" si="337"/>
        <v>0</v>
      </c>
      <c r="O462" s="539">
        <f t="shared" si="337"/>
        <v>0</v>
      </c>
      <c r="P462" s="541"/>
      <c r="R462" s="205">
        <f t="shared" ref="R462:R523" si="338">+SUM(D462:O462)</f>
        <v>1</v>
      </c>
    </row>
    <row r="463" spans="1:18">
      <c r="A463" s="735"/>
      <c r="B463" s="793"/>
      <c r="C463" s="786"/>
      <c r="D463" s="540"/>
      <c r="E463" s="540"/>
      <c r="F463" s="540"/>
      <c r="G463" s="540"/>
      <c r="H463" s="540"/>
      <c r="I463" s="540"/>
      <c r="J463" s="540"/>
      <c r="K463" s="540">
        <v>1</v>
      </c>
      <c r="L463" s="540"/>
      <c r="M463" s="540"/>
      <c r="N463" s="540"/>
      <c r="O463" s="540"/>
      <c r="P463" s="541">
        <f>C461</f>
        <v>4.0542920089125427E-3</v>
      </c>
      <c r="R463" s="205">
        <f t="shared" si="338"/>
        <v>1</v>
      </c>
    </row>
    <row r="464" spans="1:18">
      <c r="A464" s="733" t="s">
        <v>597</v>
      </c>
      <c r="B464" s="793">
        <f>CASA_GRUPO_GERADOR!$J$92</f>
        <v>1933.5183142000001</v>
      </c>
      <c r="C464" s="785">
        <f t="shared" ref="C464" si="339">B464/$B$485</f>
        <v>1.0447188445854747E-2</v>
      </c>
      <c r="D464" s="213">
        <f t="shared" ref="D464:O464" si="340">$B464*D466</f>
        <v>0</v>
      </c>
      <c r="E464" s="214">
        <f t="shared" si="340"/>
        <v>0</v>
      </c>
      <c r="F464" s="214">
        <f t="shared" si="340"/>
        <v>0</v>
      </c>
      <c r="G464" s="214">
        <f t="shared" si="340"/>
        <v>0</v>
      </c>
      <c r="H464" s="214">
        <f t="shared" si="340"/>
        <v>0</v>
      </c>
      <c r="I464" s="214">
        <f t="shared" si="340"/>
        <v>0</v>
      </c>
      <c r="J464" s="214">
        <f t="shared" si="340"/>
        <v>0</v>
      </c>
      <c r="K464" s="214">
        <f t="shared" si="340"/>
        <v>1933.5183142000001</v>
      </c>
      <c r="L464" s="214">
        <f t="shared" si="340"/>
        <v>0</v>
      </c>
      <c r="M464" s="214">
        <f t="shared" si="340"/>
        <v>0</v>
      </c>
      <c r="N464" s="214">
        <f t="shared" si="340"/>
        <v>0</v>
      </c>
      <c r="O464" s="214">
        <f t="shared" si="340"/>
        <v>0</v>
      </c>
      <c r="P464" s="538">
        <f>SUM(D464:O464)</f>
        <v>1933.5183142000001</v>
      </c>
      <c r="R464" s="205"/>
    </row>
    <row r="465" spans="1:18" ht="5.0999999999999996" customHeight="1">
      <c r="A465" s="734"/>
      <c r="B465" s="793"/>
      <c r="C465" s="785"/>
      <c r="D465" s="539">
        <f>+D466</f>
        <v>0</v>
      </c>
      <c r="E465" s="539">
        <f t="shared" ref="E465:O465" si="341">+E466</f>
        <v>0</v>
      </c>
      <c r="F465" s="539">
        <f t="shared" si="341"/>
        <v>0</v>
      </c>
      <c r="G465" s="539">
        <f t="shared" si="341"/>
        <v>0</v>
      </c>
      <c r="H465" s="539">
        <f t="shared" si="341"/>
        <v>0</v>
      </c>
      <c r="I465" s="539">
        <f t="shared" si="341"/>
        <v>0</v>
      </c>
      <c r="J465" s="539">
        <f t="shared" si="341"/>
        <v>0</v>
      </c>
      <c r="K465" s="539">
        <f t="shared" si="341"/>
        <v>1</v>
      </c>
      <c r="L465" s="539">
        <f t="shared" si="341"/>
        <v>0</v>
      </c>
      <c r="M465" s="539">
        <f t="shared" si="341"/>
        <v>0</v>
      </c>
      <c r="N465" s="539">
        <f t="shared" si="341"/>
        <v>0</v>
      </c>
      <c r="O465" s="539">
        <f t="shared" si="341"/>
        <v>0</v>
      </c>
      <c r="P465" s="538"/>
      <c r="R465" s="205">
        <f t="shared" si="338"/>
        <v>1</v>
      </c>
    </row>
    <row r="466" spans="1:18">
      <c r="A466" s="735"/>
      <c r="B466" s="793"/>
      <c r="C466" s="786"/>
      <c r="D466" s="540"/>
      <c r="E466" s="540"/>
      <c r="F466" s="540"/>
      <c r="G466" s="540"/>
      <c r="H466" s="540"/>
      <c r="I466" s="540"/>
      <c r="J466" s="540"/>
      <c r="K466" s="540">
        <v>1</v>
      </c>
      <c r="L466" s="540"/>
      <c r="M466" s="540"/>
      <c r="N466" s="540"/>
      <c r="O466" s="540"/>
      <c r="P466" s="541">
        <f>C464</f>
        <v>1.0447188445854747E-2</v>
      </c>
      <c r="R466" s="205">
        <f t="shared" si="338"/>
        <v>1</v>
      </c>
    </row>
    <row r="467" spans="1:18">
      <c r="A467" s="733" t="s">
        <v>595</v>
      </c>
      <c r="B467" s="793">
        <f>CASA_GRUPO_GERADOR!$J$97</f>
        <v>2292.5522337900002</v>
      </c>
      <c r="C467" s="785">
        <f t="shared" ref="C467" si="342">B467/$B$485</f>
        <v>1.2387120945517952E-2</v>
      </c>
      <c r="D467" s="213">
        <f t="shared" ref="D467:O467" si="343">$B467*D469</f>
        <v>0</v>
      </c>
      <c r="E467" s="214">
        <f t="shared" si="343"/>
        <v>0</v>
      </c>
      <c r="F467" s="214">
        <f t="shared" si="343"/>
        <v>0</v>
      </c>
      <c r="G467" s="214">
        <f t="shared" si="343"/>
        <v>0</v>
      </c>
      <c r="H467" s="214">
        <f t="shared" si="343"/>
        <v>0</v>
      </c>
      <c r="I467" s="214">
        <f t="shared" si="343"/>
        <v>0</v>
      </c>
      <c r="J467" s="214">
        <f t="shared" si="343"/>
        <v>0</v>
      </c>
      <c r="K467" s="214">
        <f t="shared" si="343"/>
        <v>1146.2761168950001</v>
      </c>
      <c r="L467" s="214">
        <f t="shared" si="343"/>
        <v>1146.2761168950001</v>
      </c>
      <c r="M467" s="214">
        <f t="shared" si="343"/>
        <v>0</v>
      </c>
      <c r="N467" s="214">
        <f t="shared" si="343"/>
        <v>0</v>
      </c>
      <c r="O467" s="214">
        <f t="shared" si="343"/>
        <v>0</v>
      </c>
      <c r="P467" s="538">
        <f>SUM(D467:O467)</f>
        <v>2292.5522337900002</v>
      </c>
      <c r="R467" s="205"/>
    </row>
    <row r="468" spans="1:18" ht="5.0999999999999996" customHeight="1">
      <c r="A468" s="734"/>
      <c r="B468" s="793"/>
      <c r="C468" s="785"/>
      <c r="D468" s="539">
        <f>+D469</f>
        <v>0</v>
      </c>
      <c r="E468" s="539">
        <f t="shared" ref="E468:O468" si="344">+E469</f>
        <v>0</v>
      </c>
      <c r="F468" s="539">
        <f t="shared" si="344"/>
        <v>0</v>
      </c>
      <c r="G468" s="539">
        <f t="shared" si="344"/>
        <v>0</v>
      </c>
      <c r="H468" s="539">
        <f t="shared" si="344"/>
        <v>0</v>
      </c>
      <c r="I468" s="539">
        <f t="shared" si="344"/>
        <v>0</v>
      </c>
      <c r="J468" s="539">
        <f t="shared" si="344"/>
        <v>0</v>
      </c>
      <c r="K468" s="539">
        <f t="shared" si="344"/>
        <v>0.5</v>
      </c>
      <c r="L468" s="539">
        <f t="shared" si="344"/>
        <v>0.5</v>
      </c>
      <c r="M468" s="539">
        <f t="shared" si="344"/>
        <v>0</v>
      </c>
      <c r="N468" s="539">
        <f t="shared" si="344"/>
        <v>0</v>
      </c>
      <c r="O468" s="539">
        <f t="shared" si="344"/>
        <v>0</v>
      </c>
      <c r="P468" s="538"/>
      <c r="R468" s="205">
        <f t="shared" si="338"/>
        <v>1</v>
      </c>
    </row>
    <row r="469" spans="1:18">
      <c r="A469" s="735"/>
      <c r="B469" s="793"/>
      <c r="C469" s="786"/>
      <c r="D469" s="540"/>
      <c r="E469" s="540"/>
      <c r="F469" s="540"/>
      <c r="G469" s="540"/>
      <c r="H469" s="540"/>
      <c r="I469" s="540"/>
      <c r="J469" s="540"/>
      <c r="K469" s="540">
        <v>0.5</v>
      </c>
      <c r="L469" s="540">
        <v>0.5</v>
      </c>
      <c r="M469" s="540"/>
      <c r="N469" s="540"/>
      <c r="O469" s="540"/>
      <c r="P469" s="541">
        <f>C467</f>
        <v>1.2387120945517952E-2</v>
      </c>
      <c r="R469" s="205">
        <f t="shared" si="338"/>
        <v>1</v>
      </c>
    </row>
    <row r="470" spans="1:18">
      <c r="A470" s="733" t="s">
        <v>593</v>
      </c>
      <c r="B470" s="793">
        <f>CASA_GRUPO_GERADOR!$J$103</f>
        <v>1985.7618820000002</v>
      </c>
      <c r="C470" s="785">
        <f t="shared" ref="C470" si="345">B470/$B$485</f>
        <v>1.0729470953282775E-2</v>
      </c>
      <c r="D470" s="213">
        <f t="shared" ref="D470:O470" si="346">$B470*D472</f>
        <v>0</v>
      </c>
      <c r="E470" s="214">
        <f t="shared" si="346"/>
        <v>0</v>
      </c>
      <c r="F470" s="214">
        <f t="shared" si="346"/>
        <v>0</v>
      </c>
      <c r="G470" s="214">
        <f t="shared" si="346"/>
        <v>0</v>
      </c>
      <c r="H470" s="214">
        <f t="shared" si="346"/>
        <v>0</v>
      </c>
      <c r="I470" s="214">
        <f t="shared" si="346"/>
        <v>0</v>
      </c>
      <c r="J470" s="214">
        <f t="shared" si="346"/>
        <v>0</v>
      </c>
      <c r="K470" s="214">
        <f t="shared" si="346"/>
        <v>1985.7618820000002</v>
      </c>
      <c r="L470" s="214">
        <f t="shared" si="346"/>
        <v>0</v>
      </c>
      <c r="M470" s="214">
        <f t="shared" si="346"/>
        <v>0</v>
      </c>
      <c r="N470" s="214">
        <f t="shared" si="346"/>
        <v>0</v>
      </c>
      <c r="O470" s="214">
        <f t="shared" si="346"/>
        <v>0</v>
      </c>
      <c r="P470" s="538">
        <f>SUM(D470:O470)</f>
        <v>1985.7618820000002</v>
      </c>
      <c r="R470" s="205"/>
    </row>
    <row r="471" spans="1:18" ht="5.0999999999999996" customHeight="1">
      <c r="A471" s="734"/>
      <c r="B471" s="793"/>
      <c r="C471" s="785"/>
      <c r="D471" s="539">
        <f>+D472</f>
        <v>0</v>
      </c>
      <c r="E471" s="539">
        <f t="shared" ref="E471:O471" si="347">+E472</f>
        <v>0</v>
      </c>
      <c r="F471" s="539">
        <f t="shared" si="347"/>
        <v>0</v>
      </c>
      <c r="G471" s="539">
        <f t="shared" si="347"/>
        <v>0</v>
      </c>
      <c r="H471" s="539">
        <f t="shared" si="347"/>
        <v>0</v>
      </c>
      <c r="I471" s="539">
        <f t="shared" si="347"/>
        <v>0</v>
      </c>
      <c r="J471" s="539">
        <f t="shared" si="347"/>
        <v>0</v>
      </c>
      <c r="K471" s="539">
        <f t="shared" si="347"/>
        <v>1</v>
      </c>
      <c r="L471" s="539">
        <f t="shared" si="347"/>
        <v>0</v>
      </c>
      <c r="M471" s="539">
        <f t="shared" si="347"/>
        <v>0</v>
      </c>
      <c r="N471" s="539">
        <f t="shared" si="347"/>
        <v>0</v>
      </c>
      <c r="O471" s="539">
        <f t="shared" si="347"/>
        <v>0</v>
      </c>
      <c r="P471" s="538"/>
      <c r="R471" s="205">
        <f t="shared" si="338"/>
        <v>1</v>
      </c>
    </row>
    <row r="472" spans="1:18">
      <c r="A472" s="735"/>
      <c r="B472" s="793"/>
      <c r="C472" s="786"/>
      <c r="D472" s="540"/>
      <c r="E472" s="540"/>
      <c r="F472" s="540"/>
      <c r="G472" s="540"/>
      <c r="H472" s="540"/>
      <c r="I472" s="540"/>
      <c r="J472" s="540"/>
      <c r="K472" s="540">
        <v>1</v>
      </c>
      <c r="L472" s="540"/>
      <c r="M472" s="540"/>
      <c r="N472" s="540"/>
      <c r="O472" s="540"/>
      <c r="P472" s="541">
        <f>C470</f>
        <v>1.0729470953282775E-2</v>
      </c>
      <c r="R472" s="205">
        <f t="shared" si="338"/>
        <v>1</v>
      </c>
    </row>
    <row r="473" spans="1:18">
      <c r="A473" s="733" t="s">
        <v>592</v>
      </c>
      <c r="B473" s="793">
        <f>CASA_GRUPO_GERADOR!$J$107</f>
        <v>1005.7740000000001</v>
      </c>
      <c r="C473" s="785">
        <f t="shared" ref="C473" si="348">B473/$B$485</f>
        <v>5.4343992683041293E-3</v>
      </c>
      <c r="D473" s="213">
        <f t="shared" ref="D473:O473" si="349">$B473*D475</f>
        <v>0</v>
      </c>
      <c r="E473" s="214">
        <f t="shared" si="349"/>
        <v>0</v>
      </c>
      <c r="F473" s="214">
        <f t="shared" si="349"/>
        <v>0</v>
      </c>
      <c r="G473" s="214">
        <f t="shared" si="349"/>
        <v>0</v>
      </c>
      <c r="H473" s="214">
        <f t="shared" si="349"/>
        <v>0</v>
      </c>
      <c r="I473" s="214">
        <f t="shared" si="349"/>
        <v>0</v>
      </c>
      <c r="J473" s="214">
        <f t="shared" si="349"/>
        <v>0</v>
      </c>
      <c r="K473" s="214">
        <f t="shared" si="349"/>
        <v>1005.7740000000001</v>
      </c>
      <c r="L473" s="214">
        <f t="shared" si="349"/>
        <v>0</v>
      </c>
      <c r="M473" s="214">
        <f t="shared" si="349"/>
        <v>0</v>
      </c>
      <c r="N473" s="214">
        <f t="shared" si="349"/>
        <v>0</v>
      </c>
      <c r="O473" s="214">
        <f t="shared" si="349"/>
        <v>0</v>
      </c>
      <c r="P473" s="538">
        <f>SUM(D473:O473)</f>
        <v>1005.7740000000001</v>
      </c>
      <c r="R473" s="205"/>
    </row>
    <row r="474" spans="1:18" ht="5.0999999999999996" customHeight="1">
      <c r="A474" s="734"/>
      <c r="B474" s="793"/>
      <c r="C474" s="785"/>
      <c r="D474" s="539">
        <f>+D475</f>
        <v>0</v>
      </c>
      <c r="E474" s="539">
        <f t="shared" ref="E474:O474" si="350">+E475</f>
        <v>0</v>
      </c>
      <c r="F474" s="539">
        <f t="shared" si="350"/>
        <v>0</v>
      </c>
      <c r="G474" s="539">
        <f t="shared" si="350"/>
        <v>0</v>
      </c>
      <c r="H474" s="539">
        <f t="shared" si="350"/>
        <v>0</v>
      </c>
      <c r="I474" s="539">
        <f t="shared" si="350"/>
        <v>0</v>
      </c>
      <c r="J474" s="539">
        <f t="shared" si="350"/>
        <v>0</v>
      </c>
      <c r="K474" s="539">
        <f t="shared" si="350"/>
        <v>1</v>
      </c>
      <c r="L474" s="539">
        <f t="shared" si="350"/>
        <v>0</v>
      </c>
      <c r="M474" s="539">
        <f t="shared" si="350"/>
        <v>0</v>
      </c>
      <c r="N474" s="539">
        <f t="shared" si="350"/>
        <v>0</v>
      </c>
      <c r="O474" s="539">
        <f t="shared" si="350"/>
        <v>0</v>
      </c>
      <c r="P474" s="538"/>
      <c r="R474" s="205">
        <f t="shared" si="338"/>
        <v>1</v>
      </c>
    </row>
    <row r="475" spans="1:18">
      <c r="A475" s="735"/>
      <c r="B475" s="793"/>
      <c r="C475" s="786"/>
      <c r="D475" s="540"/>
      <c r="E475" s="540"/>
      <c r="F475" s="540"/>
      <c r="G475" s="540"/>
      <c r="H475" s="540"/>
      <c r="I475" s="540"/>
      <c r="J475" s="540"/>
      <c r="K475" s="540">
        <v>1</v>
      </c>
      <c r="L475" s="540"/>
      <c r="M475" s="540"/>
      <c r="N475" s="540"/>
      <c r="O475" s="540"/>
      <c r="P475" s="541">
        <f>C473</f>
        <v>5.4343992683041293E-3</v>
      </c>
      <c r="R475" s="205">
        <f t="shared" si="338"/>
        <v>1</v>
      </c>
    </row>
    <row r="476" spans="1:18">
      <c r="A476" s="733" t="s">
        <v>591</v>
      </c>
      <c r="B476" s="793">
        <f>CASA_GRUPO_GERADOR!$J$113</f>
        <v>1391.0274934900001</v>
      </c>
      <c r="C476" s="785">
        <f t="shared" ref="C476" si="351">B476/$B$485</f>
        <v>7.5160014007251948E-3</v>
      </c>
      <c r="D476" s="213">
        <f t="shared" ref="D476:O476" si="352">$B476*D478</f>
        <v>0</v>
      </c>
      <c r="E476" s="214">
        <f t="shared" si="352"/>
        <v>0</v>
      </c>
      <c r="F476" s="214">
        <f t="shared" si="352"/>
        <v>0</v>
      </c>
      <c r="G476" s="214">
        <f t="shared" si="352"/>
        <v>0</v>
      </c>
      <c r="H476" s="214">
        <f t="shared" si="352"/>
        <v>0</v>
      </c>
      <c r="I476" s="214">
        <f t="shared" si="352"/>
        <v>0</v>
      </c>
      <c r="J476" s="214">
        <f t="shared" si="352"/>
        <v>0</v>
      </c>
      <c r="K476" s="214">
        <f t="shared" si="352"/>
        <v>1391.0274934900001</v>
      </c>
      <c r="L476" s="214">
        <f t="shared" si="352"/>
        <v>0</v>
      </c>
      <c r="M476" s="214">
        <f t="shared" si="352"/>
        <v>0</v>
      </c>
      <c r="N476" s="214">
        <f t="shared" si="352"/>
        <v>0</v>
      </c>
      <c r="O476" s="214">
        <f t="shared" si="352"/>
        <v>0</v>
      </c>
      <c r="P476" s="538">
        <f>SUM(D476:O476)</f>
        <v>1391.0274934900001</v>
      </c>
      <c r="R476" s="205"/>
    </row>
    <row r="477" spans="1:18" ht="5.0999999999999996" customHeight="1">
      <c r="A477" s="734"/>
      <c r="B477" s="793"/>
      <c r="C477" s="785"/>
      <c r="D477" s="539">
        <f>+D478</f>
        <v>0</v>
      </c>
      <c r="E477" s="539">
        <f t="shared" ref="E477:O477" si="353">+E478</f>
        <v>0</v>
      </c>
      <c r="F477" s="539">
        <f t="shared" si="353"/>
        <v>0</v>
      </c>
      <c r="G477" s="539">
        <f t="shared" si="353"/>
        <v>0</v>
      </c>
      <c r="H477" s="539">
        <f t="shared" si="353"/>
        <v>0</v>
      </c>
      <c r="I477" s="539">
        <f t="shared" si="353"/>
        <v>0</v>
      </c>
      <c r="J477" s="539">
        <f t="shared" si="353"/>
        <v>0</v>
      </c>
      <c r="K477" s="539">
        <f t="shared" si="353"/>
        <v>1</v>
      </c>
      <c r="L477" s="539">
        <f t="shared" si="353"/>
        <v>0</v>
      </c>
      <c r="M477" s="539">
        <f t="shared" si="353"/>
        <v>0</v>
      </c>
      <c r="N477" s="539">
        <f t="shared" si="353"/>
        <v>0</v>
      </c>
      <c r="O477" s="539">
        <f t="shared" si="353"/>
        <v>0</v>
      </c>
      <c r="P477" s="538"/>
      <c r="R477" s="205">
        <f t="shared" si="338"/>
        <v>1</v>
      </c>
    </row>
    <row r="478" spans="1:18">
      <c r="A478" s="735"/>
      <c r="B478" s="793"/>
      <c r="C478" s="786"/>
      <c r="D478" s="540"/>
      <c r="E478" s="540"/>
      <c r="F478" s="540"/>
      <c r="G478" s="540"/>
      <c r="H478" s="540"/>
      <c r="I478" s="540"/>
      <c r="J478" s="540"/>
      <c r="K478" s="540">
        <v>1</v>
      </c>
      <c r="L478" s="540"/>
      <c r="M478" s="540"/>
      <c r="N478" s="540"/>
      <c r="O478" s="540"/>
      <c r="P478" s="541">
        <f>C476</f>
        <v>7.5160014007251948E-3</v>
      </c>
      <c r="R478" s="205">
        <f t="shared" si="338"/>
        <v>1</v>
      </c>
    </row>
    <row r="479" spans="1:18">
      <c r="A479" s="733" t="s">
        <v>587</v>
      </c>
      <c r="B479" s="793">
        <f>CASA_GRUPO_GERADOR!$J$122</f>
        <v>2666.1366570699997</v>
      </c>
      <c r="C479" s="785">
        <f t="shared" ref="C479" si="354">B479/$B$485</f>
        <v>1.4405672743956417E-2</v>
      </c>
      <c r="D479" s="213">
        <f t="shared" ref="D479:O479" si="355">$B479*D481</f>
        <v>0</v>
      </c>
      <c r="E479" s="214">
        <f t="shared" si="355"/>
        <v>0</v>
      </c>
      <c r="F479" s="214">
        <f t="shared" si="355"/>
        <v>0</v>
      </c>
      <c r="G479" s="214">
        <f t="shared" si="355"/>
        <v>0</v>
      </c>
      <c r="H479" s="214">
        <f t="shared" si="355"/>
        <v>0</v>
      </c>
      <c r="I479" s="214">
        <f t="shared" si="355"/>
        <v>0</v>
      </c>
      <c r="J479" s="214">
        <f t="shared" si="355"/>
        <v>0</v>
      </c>
      <c r="K479" s="214">
        <f t="shared" si="355"/>
        <v>0</v>
      </c>
      <c r="L479" s="214">
        <f t="shared" si="355"/>
        <v>0</v>
      </c>
      <c r="M479" s="214">
        <f t="shared" si="355"/>
        <v>2666.1366570699997</v>
      </c>
      <c r="N479" s="214">
        <f t="shared" si="355"/>
        <v>0</v>
      </c>
      <c r="O479" s="214">
        <f t="shared" si="355"/>
        <v>0</v>
      </c>
      <c r="P479" s="538">
        <f>SUM(D479:O479)</f>
        <v>2666.1366570699997</v>
      </c>
      <c r="R479" s="205"/>
    </row>
    <row r="480" spans="1:18" ht="5.0999999999999996" customHeight="1">
      <c r="A480" s="734"/>
      <c r="B480" s="793"/>
      <c r="C480" s="785"/>
      <c r="D480" s="539">
        <f>+D481</f>
        <v>0</v>
      </c>
      <c r="E480" s="539">
        <f t="shared" ref="E480:O480" si="356">+E481</f>
        <v>0</v>
      </c>
      <c r="F480" s="539">
        <f t="shared" si="356"/>
        <v>0</v>
      </c>
      <c r="G480" s="539">
        <f t="shared" si="356"/>
        <v>0</v>
      </c>
      <c r="H480" s="539">
        <f t="shared" si="356"/>
        <v>0</v>
      </c>
      <c r="I480" s="539">
        <f t="shared" si="356"/>
        <v>0</v>
      </c>
      <c r="J480" s="539">
        <f t="shared" si="356"/>
        <v>0</v>
      </c>
      <c r="K480" s="539">
        <f t="shared" si="356"/>
        <v>0</v>
      </c>
      <c r="L480" s="539">
        <f t="shared" si="356"/>
        <v>0</v>
      </c>
      <c r="M480" s="539">
        <f t="shared" si="356"/>
        <v>1</v>
      </c>
      <c r="N480" s="539">
        <f t="shared" si="356"/>
        <v>0</v>
      </c>
      <c r="O480" s="539">
        <f t="shared" si="356"/>
        <v>0</v>
      </c>
      <c r="P480" s="538"/>
      <c r="R480" s="205">
        <f t="shared" si="338"/>
        <v>1</v>
      </c>
    </row>
    <row r="481" spans="1:18">
      <c r="A481" s="735"/>
      <c r="B481" s="793"/>
      <c r="C481" s="786"/>
      <c r="D481" s="540"/>
      <c r="E481" s="540"/>
      <c r="F481" s="540"/>
      <c r="G481" s="540"/>
      <c r="H481" s="540"/>
      <c r="I481" s="540"/>
      <c r="J481" s="540"/>
      <c r="K481" s="540"/>
      <c r="L481" s="540"/>
      <c r="M481" s="540">
        <v>1</v>
      </c>
      <c r="N481" s="540"/>
      <c r="O481" s="540"/>
      <c r="P481" s="541">
        <f>C479</f>
        <v>1.4405672743956417E-2</v>
      </c>
      <c r="R481" s="205">
        <f t="shared" si="338"/>
        <v>1</v>
      </c>
    </row>
    <row r="482" spans="1:18">
      <c r="A482" s="748" t="s">
        <v>2</v>
      </c>
      <c r="B482" s="793">
        <f>CASA_GRUPO_GERADOR!$J$125</f>
        <v>47.277682139999996</v>
      </c>
      <c r="C482" s="785">
        <f t="shared" ref="C482" si="357">B482/$B$485</f>
        <v>2.5545082814701028E-4</v>
      </c>
      <c r="D482" s="213">
        <f t="shared" ref="D482:O482" si="358">$B482*D484</f>
        <v>0</v>
      </c>
      <c r="E482" s="214">
        <f t="shared" si="358"/>
        <v>0</v>
      </c>
      <c r="F482" s="214">
        <f t="shared" si="358"/>
        <v>0</v>
      </c>
      <c r="G482" s="214">
        <f t="shared" si="358"/>
        <v>0</v>
      </c>
      <c r="H482" s="214">
        <f t="shared" si="358"/>
        <v>0</v>
      </c>
      <c r="I482" s="214">
        <f t="shared" si="358"/>
        <v>0</v>
      </c>
      <c r="J482" s="214">
        <f t="shared" si="358"/>
        <v>0</v>
      </c>
      <c r="K482" s="214">
        <f t="shared" si="358"/>
        <v>0</v>
      </c>
      <c r="L482" s="214">
        <f t="shared" si="358"/>
        <v>0</v>
      </c>
      <c r="M482" s="214">
        <f t="shared" si="358"/>
        <v>47.277682139999996</v>
      </c>
      <c r="N482" s="214">
        <f t="shared" si="358"/>
        <v>0</v>
      </c>
      <c r="O482" s="214">
        <f t="shared" si="358"/>
        <v>0</v>
      </c>
      <c r="P482" s="538">
        <f>SUM(D482:O482)</f>
        <v>47.277682139999996</v>
      </c>
      <c r="R482" s="205"/>
    </row>
    <row r="483" spans="1:18" ht="5.0999999999999996" customHeight="1">
      <c r="A483" s="749"/>
      <c r="B483" s="793"/>
      <c r="C483" s="785"/>
      <c r="D483" s="539">
        <f>+D484</f>
        <v>0</v>
      </c>
      <c r="E483" s="539">
        <f t="shared" ref="E483:O483" si="359">+E484</f>
        <v>0</v>
      </c>
      <c r="F483" s="539">
        <f t="shared" si="359"/>
        <v>0</v>
      </c>
      <c r="G483" s="539">
        <f t="shared" si="359"/>
        <v>0</v>
      </c>
      <c r="H483" s="539">
        <f t="shared" si="359"/>
        <v>0</v>
      </c>
      <c r="I483" s="539">
        <f t="shared" si="359"/>
        <v>0</v>
      </c>
      <c r="J483" s="539">
        <f t="shared" si="359"/>
        <v>0</v>
      </c>
      <c r="K483" s="539">
        <f t="shared" si="359"/>
        <v>0</v>
      </c>
      <c r="L483" s="539">
        <f t="shared" si="359"/>
        <v>0</v>
      </c>
      <c r="M483" s="539">
        <f t="shared" si="359"/>
        <v>1</v>
      </c>
      <c r="N483" s="539">
        <f t="shared" si="359"/>
        <v>0</v>
      </c>
      <c r="O483" s="539">
        <f t="shared" si="359"/>
        <v>0</v>
      </c>
      <c r="P483" s="538"/>
      <c r="R483" s="205">
        <f t="shared" si="338"/>
        <v>1</v>
      </c>
    </row>
    <row r="484" spans="1:18">
      <c r="A484" s="749"/>
      <c r="B484" s="793"/>
      <c r="C484" s="786"/>
      <c r="D484" s="540"/>
      <c r="E484" s="540"/>
      <c r="F484" s="540"/>
      <c r="G484" s="540"/>
      <c r="H484" s="540"/>
      <c r="I484" s="540"/>
      <c r="J484" s="540"/>
      <c r="K484" s="540"/>
      <c r="L484" s="540"/>
      <c r="M484" s="540">
        <v>1</v>
      </c>
      <c r="N484" s="540"/>
      <c r="O484" s="540"/>
      <c r="P484" s="541">
        <f>C482</f>
        <v>2.5545082814701028E-4</v>
      </c>
      <c r="R484" s="205">
        <f t="shared" si="338"/>
        <v>1</v>
      </c>
    </row>
    <row r="485" spans="1:18">
      <c r="A485" s="776" t="s">
        <v>7052</v>
      </c>
      <c r="B485" s="211">
        <f>SUM(B443:B484)</f>
        <v>185075.47023019238</v>
      </c>
      <c r="C485" s="550">
        <f>SUM(C443:C484)</f>
        <v>1</v>
      </c>
      <c r="D485" s="551">
        <f t="shared" ref="D485:P485" si="360">(D443+D446+D449+D452+D455+D458+D461+D464+D467+D470+D473+D476+D479+D482)</f>
        <v>0</v>
      </c>
      <c r="E485" s="551">
        <f t="shared" si="360"/>
        <v>0</v>
      </c>
      <c r="F485" s="551">
        <f t="shared" si="360"/>
        <v>0</v>
      </c>
      <c r="G485" s="551">
        <f t="shared" si="360"/>
        <v>0</v>
      </c>
      <c r="H485" s="551">
        <f t="shared" si="360"/>
        <v>0</v>
      </c>
      <c r="I485" s="551">
        <f t="shared" si="360"/>
        <v>0</v>
      </c>
      <c r="J485" s="551">
        <f t="shared" si="360"/>
        <v>4339.0675169484484</v>
      </c>
      <c r="K485" s="551">
        <f t="shared" si="360"/>
        <v>33727.818168098354</v>
      </c>
      <c r="L485" s="551">
        <f t="shared" si="360"/>
        <v>144295.1702059356</v>
      </c>
      <c r="M485" s="551">
        <f t="shared" si="360"/>
        <v>2713.4143392099995</v>
      </c>
      <c r="N485" s="551">
        <f t="shared" si="360"/>
        <v>0</v>
      </c>
      <c r="O485" s="551">
        <f t="shared" si="360"/>
        <v>0</v>
      </c>
      <c r="P485" s="552">
        <f t="shared" si="360"/>
        <v>185075.47023019238</v>
      </c>
      <c r="R485" s="205"/>
    </row>
    <row r="486" spans="1:18" ht="15" customHeight="1">
      <c r="A486" s="776"/>
      <c r="B486" s="215"/>
      <c r="C486" s="216"/>
      <c r="D486" s="586">
        <f t="shared" ref="D486:P486" si="361">D485/$B$485</f>
        <v>0</v>
      </c>
      <c r="E486" s="586">
        <f t="shared" si="361"/>
        <v>0</v>
      </c>
      <c r="F486" s="586">
        <f t="shared" si="361"/>
        <v>0</v>
      </c>
      <c r="G486" s="586">
        <f t="shared" si="361"/>
        <v>0</v>
      </c>
      <c r="H486" s="586">
        <f t="shared" si="361"/>
        <v>0</v>
      </c>
      <c r="I486" s="586">
        <f t="shared" si="361"/>
        <v>0</v>
      </c>
      <c r="J486" s="586">
        <f t="shared" si="361"/>
        <v>2.3444854747912414E-2</v>
      </c>
      <c r="K486" s="586">
        <f t="shared" si="361"/>
        <v>0.18223818708199693</v>
      </c>
      <c r="L486" s="586">
        <f t="shared" si="361"/>
        <v>0.77965583459798737</v>
      </c>
      <c r="M486" s="586">
        <f t="shared" si="361"/>
        <v>1.4661123572103427E-2</v>
      </c>
      <c r="N486" s="586">
        <f t="shared" si="361"/>
        <v>0</v>
      </c>
      <c r="O486" s="586">
        <f t="shared" si="361"/>
        <v>0</v>
      </c>
      <c r="P486" s="588">
        <f t="shared" si="361"/>
        <v>1</v>
      </c>
      <c r="R486" s="205">
        <f t="shared" si="338"/>
        <v>1.0000000000000002</v>
      </c>
    </row>
    <row r="487" spans="1:18" s="61" customFormat="1" ht="35.25" customHeight="1">
      <c r="R487" s="580"/>
    </row>
    <row r="488" spans="1:18">
      <c r="A488" s="783" t="s">
        <v>6334</v>
      </c>
      <c r="B488" s="783"/>
      <c r="C488" s="783"/>
      <c r="D488" s="783"/>
      <c r="E488" s="783"/>
      <c r="F488" s="783"/>
      <c r="G488" s="783"/>
      <c r="H488" s="783"/>
      <c r="I488" s="783"/>
      <c r="J488" s="783"/>
      <c r="K488" s="783"/>
      <c r="L488" s="783"/>
      <c r="M488" s="783"/>
      <c r="N488" s="783"/>
      <c r="O488" s="783"/>
      <c r="P488" s="578"/>
      <c r="R488" s="205"/>
    </row>
    <row r="489" spans="1:18">
      <c r="A489" s="770" t="s">
        <v>611</v>
      </c>
      <c r="B489" s="736">
        <f>VESTIÁRIO!$J$15</f>
        <v>112.02460528000002</v>
      </c>
      <c r="C489" s="785">
        <f>B489/$B$528</f>
        <v>2.4498411234596894E-3</v>
      </c>
      <c r="D489" s="213">
        <f t="shared" ref="D489:O489" si="362">$B489*D491</f>
        <v>14.003075660000002</v>
      </c>
      <c r="E489" s="214">
        <f t="shared" si="362"/>
        <v>14.003075660000002</v>
      </c>
      <c r="F489" s="214">
        <f t="shared" si="362"/>
        <v>14.003075660000002</v>
      </c>
      <c r="G489" s="214">
        <f t="shared" si="362"/>
        <v>14.003075660000002</v>
      </c>
      <c r="H489" s="214">
        <f t="shared" si="362"/>
        <v>14.003075660000002</v>
      </c>
      <c r="I489" s="214">
        <f t="shared" si="362"/>
        <v>14.003075660000002</v>
      </c>
      <c r="J489" s="214">
        <f t="shared" si="362"/>
        <v>14.003075660000002</v>
      </c>
      <c r="K489" s="214">
        <f t="shared" si="362"/>
        <v>14.003075660000002</v>
      </c>
      <c r="L489" s="214">
        <f t="shared" si="362"/>
        <v>0</v>
      </c>
      <c r="M489" s="214">
        <f t="shared" si="362"/>
        <v>0</v>
      </c>
      <c r="N489" s="214">
        <f t="shared" si="362"/>
        <v>0</v>
      </c>
      <c r="O489" s="214">
        <f t="shared" si="362"/>
        <v>0</v>
      </c>
      <c r="P489" s="538">
        <f>SUM(D489:O489)</f>
        <v>112.02460528000003</v>
      </c>
      <c r="R489" s="205"/>
    </row>
    <row r="490" spans="1:18" ht="5.0999999999999996" customHeight="1">
      <c r="A490" s="771"/>
      <c r="B490" s="737"/>
      <c r="C490" s="785"/>
      <c r="D490" s="539">
        <f>+D491</f>
        <v>0.125</v>
      </c>
      <c r="E490" s="539">
        <f t="shared" ref="E490:O490" si="363">+E491</f>
        <v>0.125</v>
      </c>
      <c r="F490" s="539">
        <f t="shared" si="363"/>
        <v>0.125</v>
      </c>
      <c r="G490" s="539">
        <f t="shared" si="363"/>
        <v>0.125</v>
      </c>
      <c r="H490" s="539">
        <f t="shared" si="363"/>
        <v>0.125</v>
      </c>
      <c r="I490" s="539">
        <f t="shared" si="363"/>
        <v>0.125</v>
      </c>
      <c r="J490" s="539">
        <f t="shared" si="363"/>
        <v>0.125</v>
      </c>
      <c r="K490" s="539">
        <f t="shared" si="363"/>
        <v>0.125</v>
      </c>
      <c r="L490" s="539">
        <f t="shared" si="363"/>
        <v>0</v>
      </c>
      <c r="M490" s="539">
        <f t="shared" si="363"/>
        <v>0</v>
      </c>
      <c r="N490" s="539">
        <f t="shared" si="363"/>
        <v>0</v>
      </c>
      <c r="O490" s="539">
        <f t="shared" si="363"/>
        <v>0</v>
      </c>
      <c r="P490" s="538"/>
      <c r="R490" s="205">
        <f t="shared" si="338"/>
        <v>1</v>
      </c>
    </row>
    <row r="491" spans="1:18">
      <c r="A491" s="772"/>
      <c r="B491" s="738"/>
      <c r="C491" s="786"/>
      <c r="D491" s="540">
        <v>0.125</v>
      </c>
      <c r="E491" s="540">
        <v>0.125</v>
      </c>
      <c r="F491" s="540">
        <v>0.125</v>
      </c>
      <c r="G491" s="540">
        <v>0.125</v>
      </c>
      <c r="H491" s="540">
        <v>0.125</v>
      </c>
      <c r="I491" s="540">
        <v>0.125</v>
      </c>
      <c r="J491" s="540">
        <v>0.125</v>
      </c>
      <c r="K491" s="540">
        <v>0.125</v>
      </c>
      <c r="L491" s="540"/>
      <c r="M491" s="540"/>
      <c r="N491" s="540"/>
      <c r="O491" s="540"/>
      <c r="P491" s="541">
        <f>C489</f>
        <v>2.4498411234596894E-3</v>
      </c>
      <c r="R491" s="205">
        <f t="shared" si="338"/>
        <v>1</v>
      </c>
    </row>
    <row r="492" spans="1:18">
      <c r="A492" s="770" t="s">
        <v>6336</v>
      </c>
      <c r="B492" s="736">
        <f>VESTIÁRIO!$J$19</f>
        <v>451.41504840000005</v>
      </c>
      <c r="C492" s="785">
        <f t="shared" ref="C492" si="364">B492/$B$528</f>
        <v>9.8718950765747868E-3</v>
      </c>
      <c r="D492" s="213">
        <f t="shared" ref="D492:O492" si="365">$B492*D494</f>
        <v>451.41504840000005</v>
      </c>
      <c r="E492" s="214">
        <f t="shared" si="365"/>
        <v>0</v>
      </c>
      <c r="F492" s="214">
        <f t="shared" si="365"/>
        <v>0</v>
      </c>
      <c r="G492" s="214">
        <f t="shared" si="365"/>
        <v>0</v>
      </c>
      <c r="H492" s="214">
        <f t="shared" si="365"/>
        <v>0</v>
      </c>
      <c r="I492" s="214">
        <f t="shared" si="365"/>
        <v>0</v>
      </c>
      <c r="J492" s="214">
        <f t="shared" si="365"/>
        <v>0</v>
      </c>
      <c r="K492" s="214">
        <f t="shared" si="365"/>
        <v>0</v>
      </c>
      <c r="L492" s="214">
        <f t="shared" si="365"/>
        <v>0</v>
      </c>
      <c r="M492" s="214">
        <f t="shared" si="365"/>
        <v>0</v>
      </c>
      <c r="N492" s="214">
        <f t="shared" si="365"/>
        <v>0</v>
      </c>
      <c r="O492" s="214">
        <f t="shared" si="365"/>
        <v>0</v>
      </c>
      <c r="P492" s="538">
        <f>SUM(D492:O492)</f>
        <v>451.41504840000005</v>
      </c>
      <c r="R492" s="205"/>
    </row>
    <row r="493" spans="1:18" ht="5.0999999999999996" customHeight="1">
      <c r="A493" s="771"/>
      <c r="B493" s="737"/>
      <c r="C493" s="785"/>
      <c r="D493" s="539">
        <f>+D494</f>
        <v>1</v>
      </c>
      <c r="E493" s="539">
        <f t="shared" ref="E493:O493" si="366">+E494</f>
        <v>0</v>
      </c>
      <c r="F493" s="539">
        <f t="shared" si="366"/>
        <v>0</v>
      </c>
      <c r="G493" s="539">
        <f t="shared" si="366"/>
        <v>0</v>
      </c>
      <c r="H493" s="539">
        <f t="shared" si="366"/>
        <v>0</v>
      </c>
      <c r="I493" s="539">
        <f t="shared" si="366"/>
        <v>0</v>
      </c>
      <c r="J493" s="539">
        <f t="shared" si="366"/>
        <v>0</v>
      </c>
      <c r="K493" s="539">
        <f t="shared" si="366"/>
        <v>0</v>
      </c>
      <c r="L493" s="539">
        <f t="shared" si="366"/>
        <v>0</v>
      </c>
      <c r="M493" s="539">
        <f t="shared" si="366"/>
        <v>0</v>
      </c>
      <c r="N493" s="539">
        <f t="shared" si="366"/>
        <v>0</v>
      </c>
      <c r="O493" s="539">
        <f t="shared" si="366"/>
        <v>0</v>
      </c>
      <c r="P493" s="538"/>
      <c r="R493" s="205">
        <f t="shared" si="338"/>
        <v>1</v>
      </c>
    </row>
    <row r="494" spans="1:18">
      <c r="A494" s="772"/>
      <c r="B494" s="738"/>
      <c r="C494" s="786"/>
      <c r="D494" s="540">
        <v>1</v>
      </c>
      <c r="E494" s="540"/>
      <c r="F494" s="540"/>
      <c r="G494" s="540"/>
      <c r="H494" s="540"/>
      <c r="I494" s="540"/>
      <c r="J494" s="540"/>
      <c r="K494" s="540"/>
      <c r="L494" s="540"/>
      <c r="M494" s="540"/>
      <c r="N494" s="540"/>
      <c r="O494" s="540"/>
      <c r="P494" s="548">
        <f>C492</f>
        <v>9.8718950765747868E-3</v>
      </c>
      <c r="R494" s="205">
        <f t="shared" si="338"/>
        <v>1</v>
      </c>
    </row>
    <row r="495" spans="1:18">
      <c r="A495" s="770" t="s">
        <v>6328</v>
      </c>
      <c r="B495" s="736">
        <f>VESTIÁRIO!$J$35</f>
        <v>4624.8166660000006</v>
      </c>
      <c r="C495" s="785">
        <f t="shared" ref="C495" si="367">B495/$B$528</f>
        <v>0.10113908483327917</v>
      </c>
      <c r="D495" s="213">
        <f t="shared" ref="D495:O495" si="368">$B495*D497</f>
        <v>0</v>
      </c>
      <c r="E495" s="214">
        <f t="shared" si="368"/>
        <v>693.72249990000012</v>
      </c>
      <c r="F495" s="214">
        <f t="shared" si="368"/>
        <v>693.72249990000012</v>
      </c>
      <c r="G495" s="214">
        <f t="shared" si="368"/>
        <v>0</v>
      </c>
      <c r="H495" s="214">
        <f t="shared" si="368"/>
        <v>0</v>
      </c>
      <c r="I495" s="214">
        <f t="shared" si="368"/>
        <v>2774.8899996000005</v>
      </c>
      <c r="J495" s="214">
        <f t="shared" si="368"/>
        <v>462.4816666000001</v>
      </c>
      <c r="K495" s="214">
        <f t="shared" si="368"/>
        <v>0</v>
      </c>
      <c r="L495" s="214">
        <f t="shared" si="368"/>
        <v>0</v>
      </c>
      <c r="M495" s="214">
        <f t="shared" si="368"/>
        <v>0</v>
      </c>
      <c r="N495" s="214">
        <f t="shared" si="368"/>
        <v>0</v>
      </c>
      <c r="O495" s="214">
        <f t="shared" si="368"/>
        <v>0</v>
      </c>
      <c r="P495" s="538">
        <f>SUM(D495:O495)</f>
        <v>4624.8166660000006</v>
      </c>
      <c r="R495" s="205"/>
    </row>
    <row r="496" spans="1:18" ht="5.0999999999999996" customHeight="1">
      <c r="A496" s="771"/>
      <c r="B496" s="737"/>
      <c r="C496" s="785"/>
      <c r="D496" s="539">
        <f>+D497</f>
        <v>0</v>
      </c>
      <c r="E496" s="539">
        <f t="shared" ref="E496:O496" si="369">+E497</f>
        <v>0.15</v>
      </c>
      <c r="F496" s="539">
        <f t="shared" si="369"/>
        <v>0.15</v>
      </c>
      <c r="G496" s="539">
        <f t="shared" si="369"/>
        <v>0</v>
      </c>
      <c r="H496" s="539">
        <f t="shared" si="369"/>
        <v>0</v>
      </c>
      <c r="I496" s="539">
        <f t="shared" si="369"/>
        <v>0.6</v>
      </c>
      <c r="J496" s="539">
        <f t="shared" si="369"/>
        <v>0.1</v>
      </c>
      <c r="K496" s="539">
        <f t="shared" si="369"/>
        <v>0</v>
      </c>
      <c r="L496" s="539">
        <f t="shared" si="369"/>
        <v>0</v>
      </c>
      <c r="M496" s="539">
        <f t="shared" si="369"/>
        <v>0</v>
      </c>
      <c r="N496" s="539">
        <f t="shared" si="369"/>
        <v>0</v>
      </c>
      <c r="O496" s="539">
        <f t="shared" si="369"/>
        <v>0</v>
      </c>
      <c r="P496" s="538"/>
      <c r="R496" s="205">
        <f t="shared" si="338"/>
        <v>0.99999999999999989</v>
      </c>
    </row>
    <row r="497" spans="1:18">
      <c r="A497" s="772"/>
      <c r="B497" s="738"/>
      <c r="C497" s="786"/>
      <c r="D497" s="540"/>
      <c r="E497" s="540">
        <v>0.15</v>
      </c>
      <c r="F497" s="540">
        <v>0.15</v>
      </c>
      <c r="G497" s="540"/>
      <c r="H497" s="540"/>
      <c r="I497" s="540">
        <v>0.6</v>
      </c>
      <c r="J497" s="540">
        <v>0.1</v>
      </c>
      <c r="K497" s="540"/>
      <c r="L497" s="540"/>
      <c r="M497" s="540"/>
      <c r="N497" s="540"/>
      <c r="O497" s="540"/>
      <c r="P497" s="541">
        <f>C495</f>
        <v>0.10113908483327917</v>
      </c>
      <c r="R497" s="205">
        <f t="shared" si="338"/>
        <v>0.99999999999999989</v>
      </c>
    </row>
    <row r="498" spans="1:18">
      <c r="A498" s="770" t="s">
        <v>604</v>
      </c>
      <c r="B498" s="736">
        <f>VESTIÁRIO!$J$61</f>
        <v>7371.6062666666667</v>
      </c>
      <c r="C498" s="785">
        <f t="shared" ref="C498" si="370">B498/$B$528</f>
        <v>0.16120801437233281</v>
      </c>
      <c r="D498" s="213">
        <f t="shared" ref="D498:O498" si="371">$B498*D500</f>
        <v>0</v>
      </c>
      <c r="E498" s="214">
        <f t="shared" si="371"/>
        <v>737.16062666666676</v>
      </c>
      <c r="F498" s="214">
        <f t="shared" si="371"/>
        <v>737.16062666666676</v>
      </c>
      <c r="G498" s="214">
        <f t="shared" si="371"/>
        <v>0</v>
      </c>
      <c r="H498" s="214">
        <f t="shared" si="371"/>
        <v>0</v>
      </c>
      <c r="I498" s="214">
        <f t="shared" si="371"/>
        <v>4422.9637599999996</v>
      </c>
      <c r="J498" s="214">
        <f t="shared" si="371"/>
        <v>1474.3212533333335</v>
      </c>
      <c r="K498" s="214">
        <f t="shared" si="371"/>
        <v>0</v>
      </c>
      <c r="L498" s="214">
        <f t="shared" si="371"/>
        <v>0</v>
      </c>
      <c r="M498" s="214">
        <f t="shared" si="371"/>
        <v>0</v>
      </c>
      <c r="N498" s="214">
        <f t="shared" si="371"/>
        <v>0</v>
      </c>
      <c r="O498" s="214">
        <f t="shared" si="371"/>
        <v>0</v>
      </c>
      <c r="P498" s="538">
        <f>SUM(D498:O498)</f>
        <v>7371.6062666666667</v>
      </c>
      <c r="R498" s="205"/>
    </row>
    <row r="499" spans="1:18" ht="5.0999999999999996" customHeight="1">
      <c r="A499" s="771"/>
      <c r="B499" s="737"/>
      <c r="C499" s="785"/>
      <c r="D499" s="539">
        <f>+D500</f>
        <v>0</v>
      </c>
      <c r="E499" s="539">
        <f t="shared" ref="E499:O499" si="372">+E500</f>
        <v>0.1</v>
      </c>
      <c r="F499" s="539">
        <f t="shared" si="372"/>
        <v>0.1</v>
      </c>
      <c r="G499" s="539">
        <f t="shared" si="372"/>
        <v>0</v>
      </c>
      <c r="H499" s="539">
        <f t="shared" si="372"/>
        <v>0</v>
      </c>
      <c r="I499" s="539">
        <f t="shared" si="372"/>
        <v>0.6</v>
      </c>
      <c r="J499" s="539">
        <f t="shared" si="372"/>
        <v>0.2</v>
      </c>
      <c r="K499" s="539">
        <f t="shared" si="372"/>
        <v>0</v>
      </c>
      <c r="L499" s="539">
        <f t="shared" si="372"/>
        <v>0</v>
      </c>
      <c r="M499" s="539">
        <f t="shared" si="372"/>
        <v>0</v>
      </c>
      <c r="N499" s="539">
        <f t="shared" si="372"/>
        <v>0</v>
      </c>
      <c r="O499" s="539">
        <f t="shared" si="372"/>
        <v>0</v>
      </c>
      <c r="P499" s="538"/>
      <c r="R499" s="205">
        <f t="shared" si="338"/>
        <v>1</v>
      </c>
    </row>
    <row r="500" spans="1:18">
      <c r="A500" s="772"/>
      <c r="B500" s="738"/>
      <c r="C500" s="786"/>
      <c r="D500" s="540"/>
      <c r="E500" s="540">
        <v>0.1</v>
      </c>
      <c r="F500" s="540">
        <v>0.1</v>
      </c>
      <c r="G500" s="540"/>
      <c r="H500" s="540"/>
      <c r="I500" s="540">
        <v>0.6</v>
      </c>
      <c r="J500" s="540">
        <v>0.2</v>
      </c>
      <c r="K500" s="540"/>
      <c r="L500" s="540"/>
      <c r="M500" s="540"/>
      <c r="N500" s="540"/>
      <c r="O500" s="540"/>
      <c r="P500" s="541">
        <f>C498</f>
        <v>0.16120801437233281</v>
      </c>
      <c r="R500" s="205">
        <f t="shared" si="338"/>
        <v>1</v>
      </c>
    </row>
    <row r="501" spans="1:18">
      <c r="A501" s="770" t="s">
        <v>602</v>
      </c>
      <c r="B501" s="736">
        <f>VESTIÁRIO!$J$64</f>
        <v>325.34092799999996</v>
      </c>
      <c r="C501" s="785">
        <f t="shared" ref="C501" si="373">B501/$B$528</f>
        <v>7.1148082384828882E-3</v>
      </c>
      <c r="D501" s="213">
        <f t="shared" ref="D501:O501" si="374">$B501*D503</f>
        <v>0</v>
      </c>
      <c r="E501" s="214">
        <f t="shared" si="374"/>
        <v>325.34092799999996</v>
      </c>
      <c r="F501" s="214">
        <f t="shared" si="374"/>
        <v>0</v>
      </c>
      <c r="G501" s="214">
        <f t="shared" si="374"/>
        <v>0</v>
      </c>
      <c r="H501" s="214">
        <f t="shared" si="374"/>
        <v>0</v>
      </c>
      <c r="I501" s="214">
        <f t="shared" si="374"/>
        <v>0</v>
      </c>
      <c r="J501" s="214">
        <f t="shared" si="374"/>
        <v>0</v>
      </c>
      <c r="K501" s="214">
        <f t="shared" si="374"/>
        <v>0</v>
      </c>
      <c r="L501" s="214">
        <f t="shared" si="374"/>
        <v>0</v>
      </c>
      <c r="M501" s="214">
        <f t="shared" si="374"/>
        <v>0</v>
      </c>
      <c r="N501" s="214">
        <f t="shared" si="374"/>
        <v>0</v>
      </c>
      <c r="O501" s="214">
        <f t="shared" si="374"/>
        <v>0</v>
      </c>
      <c r="P501" s="538">
        <f>SUM(D501:O501)</f>
        <v>325.34092799999996</v>
      </c>
      <c r="R501" s="205"/>
    </row>
    <row r="502" spans="1:18" ht="5.0999999999999996" customHeight="1">
      <c r="A502" s="771"/>
      <c r="B502" s="737"/>
      <c r="C502" s="785"/>
      <c r="D502" s="539">
        <f>+D503</f>
        <v>0</v>
      </c>
      <c r="E502" s="539">
        <f t="shared" ref="E502:O502" si="375">+E503</f>
        <v>1</v>
      </c>
      <c r="F502" s="539">
        <f t="shared" si="375"/>
        <v>0</v>
      </c>
      <c r="G502" s="539">
        <f t="shared" si="375"/>
        <v>0</v>
      </c>
      <c r="H502" s="539">
        <f t="shared" si="375"/>
        <v>0</v>
      </c>
      <c r="I502" s="539">
        <f t="shared" si="375"/>
        <v>0</v>
      </c>
      <c r="J502" s="539">
        <f t="shared" si="375"/>
        <v>0</v>
      </c>
      <c r="K502" s="539">
        <f t="shared" si="375"/>
        <v>0</v>
      </c>
      <c r="L502" s="539">
        <f t="shared" si="375"/>
        <v>0</v>
      </c>
      <c r="M502" s="539">
        <f t="shared" si="375"/>
        <v>0</v>
      </c>
      <c r="N502" s="539">
        <f t="shared" si="375"/>
        <v>0</v>
      </c>
      <c r="O502" s="539">
        <f t="shared" si="375"/>
        <v>0</v>
      </c>
      <c r="P502" s="541"/>
      <c r="R502" s="205">
        <f t="shared" si="338"/>
        <v>1</v>
      </c>
    </row>
    <row r="503" spans="1:18">
      <c r="A503" s="772"/>
      <c r="B503" s="738"/>
      <c r="C503" s="786"/>
      <c r="D503" s="540"/>
      <c r="E503" s="540">
        <v>1</v>
      </c>
      <c r="F503" s="540"/>
      <c r="G503" s="540"/>
      <c r="H503" s="540"/>
      <c r="I503" s="540"/>
      <c r="J503" s="540"/>
      <c r="K503" s="540"/>
      <c r="L503" s="540"/>
      <c r="M503" s="540"/>
      <c r="N503" s="540"/>
      <c r="O503" s="540"/>
      <c r="P503" s="541">
        <f>C501</f>
        <v>7.1148082384828882E-3</v>
      </c>
      <c r="R503" s="205">
        <f t="shared" si="338"/>
        <v>1</v>
      </c>
    </row>
    <row r="504" spans="1:18">
      <c r="A504" s="770" t="s">
        <v>595</v>
      </c>
      <c r="B504" s="736">
        <f>VESTIÁRIO!$J$69</f>
        <v>7163.314511659999</v>
      </c>
      <c r="C504" s="785">
        <f t="shared" ref="C504" si="376">B504/$B$528</f>
        <v>0.1566529284086956</v>
      </c>
      <c r="D504" s="213">
        <f t="shared" ref="D504:O504" si="377">$B504*D506</f>
        <v>0</v>
      </c>
      <c r="E504" s="214">
        <f t="shared" si="377"/>
        <v>0</v>
      </c>
      <c r="F504" s="214">
        <f t="shared" si="377"/>
        <v>0</v>
      </c>
      <c r="G504" s="214">
        <f t="shared" si="377"/>
        <v>0</v>
      </c>
      <c r="H504" s="214">
        <f t="shared" si="377"/>
        <v>5730.6516093279997</v>
      </c>
      <c r="I504" s="214">
        <f t="shared" si="377"/>
        <v>1432.6629023319999</v>
      </c>
      <c r="J504" s="214">
        <f t="shared" si="377"/>
        <v>0</v>
      </c>
      <c r="K504" s="214">
        <f t="shared" si="377"/>
        <v>0</v>
      </c>
      <c r="L504" s="214">
        <f t="shared" si="377"/>
        <v>0</v>
      </c>
      <c r="M504" s="214">
        <f t="shared" si="377"/>
        <v>0</v>
      </c>
      <c r="N504" s="214">
        <f t="shared" si="377"/>
        <v>0</v>
      </c>
      <c r="O504" s="214">
        <f t="shared" si="377"/>
        <v>0</v>
      </c>
      <c r="P504" s="538">
        <f>SUM(D504:O504)</f>
        <v>7163.3145116599999</v>
      </c>
      <c r="R504" s="205"/>
    </row>
    <row r="505" spans="1:18" ht="5.0999999999999996" customHeight="1">
      <c r="A505" s="771"/>
      <c r="B505" s="737"/>
      <c r="C505" s="785"/>
      <c r="D505" s="539">
        <f>+D506</f>
        <v>0</v>
      </c>
      <c r="E505" s="539">
        <f t="shared" ref="E505:O505" si="378">+E506</f>
        <v>0</v>
      </c>
      <c r="F505" s="539">
        <f t="shared" si="378"/>
        <v>0</v>
      </c>
      <c r="G505" s="539">
        <f t="shared" si="378"/>
        <v>0</v>
      </c>
      <c r="H505" s="539">
        <f t="shared" si="378"/>
        <v>0.8</v>
      </c>
      <c r="I505" s="539">
        <f t="shared" si="378"/>
        <v>0.2</v>
      </c>
      <c r="J505" s="539">
        <f t="shared" si="378"/>
        <v>0</v>
      </c>
      <c r="K505" s="539">
        <f t="shared" si="378"/>
        <v>0</v>
      </c>
      <c r="L505" s="539">
        <f t="shared" si="378"/>
        <v>0</v>
      </c>
      <c r="M505" s="539">
        <f t="shared" si="378"/>
        <v>0</v>
      </c>
      <c r="N505" s="539">
        <f t="shared" si="378"/>
        <v>0</v>
      </c>
      <c r="O505" s="539">
        <f t="shared" si="378"/>
        <v>0</v>
      </c>
      <c r="P505" s="541"/>
      <c r="R505" s="205">
        <f t="shared" si="338"/>
        <v>1</v>
      </c>
    </row>
    <row r="506" spans="1:18">
      <c r="A506" s="772"/>
      <c r="B506" s="738"/>
      <c r="C506" s="786"/>
      <c r="D506" s="540"/>
      <c r="E506" s="540"/>
      <c r="F506" s="540"/>
      <c r="G506" s="540"/>
      <c r="H506" s="540">
        <v>0.8</v>
      </c>
      <c r="I506" s="540">
        <v>0.2</v>
      </c>
      <c r="J506" s="540"/>
      <c r="K506" s="540"/>
      <c r="L506" s="540"/>
      <c r="M506" s="540"/>
      <c r="N506" s="540"/>
      <c r="O506" s="540"/>
      <c r="P506" s="541">
        <f>C504</f>
        <v>0.1566529284086956</v>
      </c>
      <c r="R506" s="205">
        <f t="shared" si="338"/>
        <v>1</v>
      </c>
    </row>
    <row r="507" spans="1:18">
      <c r="A507" s="770" t="s">
        <v>594</v>
      </c>
      <c r="B507" s="736">
        <f>VESTIÁRIO!$J$72</f>
        <v>1151.1867999999999</v>
      </c>
      <c r="C507" s="785">
        <f t="shared" ref="C507" si="379">B507/$B$528</f>
        <v>2.5175047538663054E-2</v>
      </c>
      <c r="D507" s="213">
        <f t="shared" ref="D507:O507" si="380">$B507*D509</f>
        <v>0</v>
      </c>
      <c r="E507" s="214">
        <f t="shared" si="380"/>
        <v>0</v>
      </c>
      <c r="F507" s="214">
        <f t="shared" si="380"/>
        <v>0</v>
      </c>
      <c r="G507" s="214">
        <f t="shared" si="380"/>
        <v>0</v>
      </c>
      <c r="H507" s="214">
        <f t="shared" si="380"/>
        <v>0</v>
      </c>
      <c r="I507" s="214">
        <f t="shared" si="380"/>
        <v>1151.1867999999999</v>
      </c>
      <c r="J507" s="214">
        <f t="shared" si="380"/>
        <v>0</v>
      </c>
      <c r="K507" s="214">
        <f t="shared" si="380"/>
        <v>0</v>
      </c>
      <c r="L507" s="214">
        <f t="shared" si="380"/>
        <v>0</v>
      </c>
      <c r="M507" s="214">
        <f t="shared" si="380"/>
        <v>0</v>
      </c>
      <c r="N507" s="214">
        <f t="shared" si="380"/>
        <v>0</v>
      </c>
      <c r="O507" s="214">
        <f t="shared" si="380"/>
        <v>0</v>
      </c>
      <c r="P507" s="538">
        <f>SUM(D507:O507)</f>
        <v>1151.1867999999999</v>
      </c>
      <c r="R507" s="205"/>
    </row>
    <row r="508" spans="1:18" ht="5.0999999999999996" customHeight="1">
      <c r="A508" s="771"/>
      <c r="B508" s="737"/>
      <c r="C508" s="785"/>
      <c r="D508" s="539">
        <f>+D509</f>
        <v>0</v>
      </c>
      <c r="E508" s="539">
        <f t="shared" ref="E508:O508" si="381">+E509</f>
        <v>0</v>
      </c>
      <c r="F508" s="539">
        <f t="shared" si="381"/>
        <v>0</v>
      </c>
      <c r="G508" s="539">
        <f t="shared" si="381"/>
        <v>0</v>
      </c>
      <c r="H508" s="539">
        <f t="shared" si="381"/>
        <v>0</v>
      </c>
      <c r="I508" s="539">
        <f t="shared" si="381"/>
        <v>1</v>
      </c>
      <c r="J508" s="539">
        <f t="shared" si="381"/>
        <v>0</v>
      </c>
      <c r="K508" s="539">
        <f t="shared" si="381"/>
        <v>0</v>
      </c>
      <c r="L508" s="539">
        <f t="shared" si="381"/>
        <v>0</v>
      </c>
      <c r="M508" s="539">
        <f t="shared" si="381"/>
        <v>0</v>
      </c>
      <c r="N508" s="539">
        <f t="shared" si="381"/>
        <v>0</v>
      </c>
      <c r="O508" s="539">
        <f t="shared" si="381"/>
        <v>0</v>
      </c>
      <c r="P508" s="541"/>
      <c r="R508" s="205">
        <f t="shared" si="338"/>
        <v>1</v>
      </c>
    </row>
    <row r="509" spans="1:18">
      <c r="A509" s="772"/>
      <c r="B509" s="738"/>
      <c r="C509" s="786"/>
      <c r="D509" s="540"/>
      <c r="E509" s="540"/>
      <c r="F509" s="540"/>
      <c r="G509" s="540"/>
      <c r="H509" s="540"/>
      <c r="I509" s="540">
        <v>1</v>
      </c>
      <c r="J509" s="540"/>
      <c r="K509" s="540"/>
      <c r="L509" s="540"/>
      <c r="M509" s="540"/>
      <c r="N509" s="540"/>
      <c r="O509" s="540"/>
      <c r="P509" s="541">
        <f>C507</f>
        <v>2.5175047538663054E-2</v>
      </c>
      <c r="R509" s="205">
        <f t="shared" si="338"/>
        <v>1</v>
      </c>
    </row>
    <row r="510" spans="1:18">
      <c r="A510" s="770" t="s">
        <v>6333</v>
      </c>
      <c r="B510" s="736">
        <f>VESTIÁRIO!$J$78</f>
        <v>6988.9624499999991</v>
      </c>
      <c r="C510" s="785">
        <f t="shared" ref="C510" si="382">B510/$B$528</f>
        <v>0.15284006203396441</v>
      </c>
      <c r="D510" s="213">
        <f t="shared" ref="D510:O510" si="383">$B510*D512</f>
        <v>0</v>
      </c>
      <c r="E510" s="214">
        <f t="shared" si="383"/>
        <v>0</v>
      </c>
      <c r="F510" s="214">
        <f t="shared" si="383"/>
        <v>3494.4812249999995</v>
      </c>
      <c r="G510" s="214">
        <f t="shared" si="383"/>
        <v>3494.4812249999995</v>
      </c>
      <c r="H510" s="214">
        <f t="shared" si="383"/>
        <v>0</v>
      </c>
      <c r="I510" s="214">
        <f t="shared" si="383"/>
        <v>0</v>
      </c>
      <c r="J510" s="214">
        <f t="shared" si="383"/>
        <v>0</v>
      </c>
      <c r="K510" s="214">
        <f t="shared" si="383"/>
        <v>0</v>
      </c>
      <c r="L510" s="214">
        <f t="shared" si="383"/>
        <v>0</v>
      </c>
      <c r="M510" s="214">
        <f t="shared" si="383"/>
        <v>0</v>
      </c>
      <c r="N510" s="214">
        <f t="shared" si="383"/>
        <v>0</v>
      </c>
      <c r="O510" s="214">
        <f t="shared" si="383"/>
        <v>0</v>
      </c>
      <c r="P510" s="538">
        <f>SUM(D510:O510)</f>
        <v>6988.9624499999991</v>
      </c>
      <c r="R510" s="205"/>
    </row>
    <row r="511" spans="1:18" ht="5.0999999999999996" customHeight="1">
      <c r="A511" s="771"/>
      <c r="B511" s="737"/>
      <c r="C511" s="785"/>
      <c r="D511" s="539">
        <f>+D512</f>
        <v>0</v>
      </c>
      <c r="E511" s="539">
        <f t="shared" ref="E511:O511" si="384">+E512</f>
        <v>0</v>
      </c>
      <c r="F511" s="539">
        <f t="shared" si="384"/>
        <v>0.5</v>
      </c>
      <c r="G511" s="539">
        <f t="shared" si="384"/>
        <v>0.5</v>
      </c>
      <c r="H511" s="539">
        <f t="shared" si="384"/>
        <v>0</v>
      </c>
      <c r="I511" s="539">
        <f t="shared" si="384"/>
        <v>0</v>
      </c>
      <c r="J511" s="539">
        <f t="shared" si="384"/>
        <v>0</v>
      </c>
      <c r="K511" s="539">
        <f t="shared" si="384"/>
        <v>0</v>
      </c>
      <c r="L511" s="539">
        <f t="shared" si="384"/>
        <v>0</v>
      </c>
      <c r="M511" s="539">
        <f t="shared" si="384"/>
        <v>0</v>
      </c>
      <c r="N511" s="539">
        <f t="shared" si="384"/>
        <v>0</v>
      </c>
      <c r="O511" s="539">
        <f t="shared" si="384"/>
        <v>0</v>
      </c>
      <c r="P511" s="538"/>
      <c r="R511" s="205">
        <f t="shared" si="338"/>
        <v>1</v>
      </c>
    </row>
    <row r="512" spans="1:18">
      <c r="A512" s="772"/>
      <c r="B512" s="738"/>
      <c r="C512" s="786"/>
      <c r="D512" s="540"/>
      <c r="E512" s="540"/>
      <c r="F512" s="540">
        <v>0.5</v>
      </c>
      <c r="G512" s="540">
        <v>0.5</v>
      </c>
      <c r="H512" s="540"/>
      <c r="I512" s="540"/>
      <c r="J512" s="540"/>
      <c r="K512" s="540"/>
      <c r="L512" s="540"/>
      <c r="M512" s="540"/>
      <c r="N512" s="540"/>
      <c r="O512" s="540"/>
      <c r="P512" s="541">
        <f>C510</f>
        <v>0.15284006203396441</v>
      </c>
      <c r="R512" s="205">
        <f t="shared" si="338"/>
        <v>1</v>
      </c>
    </row>
    <row r="513" spans="1:18">
      <c r="A513" s="770" t="s">
        <v>592</v>
      </c>
      <c r="B513" s="736">
        <f>VESTIÁRIO!$J$82</f>
        <v>2197.0284000000001</v>
      </c>
      <c r="C513" s="785">
        <f t="shared" ref="C513" si="385">B513/$B$528</f>
        <v>4.8046324379147527E-2</v>
      </c>
      <c r="D513" s="213">
        <f t="shared" ref="D513:O513" si="386">$B513*D515</f>
        <v>0</v>
      </c>
      <c r="E513" s="214">
        <f t="shared" si="386"/>
        <v>0</v>
      </c>
      <c r="F513" s="214">
        <f t="shared" si="386"/>
        <v>1098.5142000000001</v>
      </c>
      <c r="G513" s="214">
        <f t="shared" si="386"/>
        <v>1098.5142000000001</v>
      </c>
      <c r="H513" s="214">
        <f t="shared" si="386"/>
        <v>0</v>
      </c>
      <c r="I513" s="214">
        <f t="shared" si="386"/>
        <v>0</v>
      </c>
      <c r="J513" s="214">
        <f t="shared" si="386"/>
        <v>0</v>
      </c>
      <c r="K513" s="214">
        <f t="shared" si="386"/>
        <v>0</v>
      </c>
      <c r="L513" s="214">
        <f t="shared" si="386"/>
        <v>0</v>
      </c>
      <c r="M513" s="214">
        <f t="shared" si="386"/>
        <v>0</v>
      </c>
      <c r="N513" s="214">
        <f t="shared" si="386"/>
        <v>0</v>
      </c>
      <c r="O513" s="214">
        <f t="shared" si="386"/>
        <v>0</v>
      </c>
      <c r="P513" s="538">
        <f>SUM(D513:O513)</f>
        <v>2197.0284000000001</v>
      </c>
      <c r="R513" s="205"/>
    </row>
    <row r="514" spans="1:18" ht="5.0999999999999996" customHeight="1">
      <c r="A514" s="771"/>
      <c r="B514" s="737"/>
      <c r="C514" s="785"/>
      <c r="D514" s="539">
        <f>+D515</f>
        <v>0</v>
      </c>
      <c r="E514" s="539">
        <f t="shared" ref="E514:O514" si="387">+E515</f>
        <v>0</v>
      </c>
      <c r="F514" s="539">
        <f t="shared" si="387"/>
        <v>0.5</v>
      </c>
      <c r="G514" s="539">
        <f t="shared" si="387"/>
        <v>0.5</v>
      </c>
      <c r="H514" s="539">
        <f t="shared" si="387"/>
        <v>0</v>
      </c>
      <c r="I514" s="539">
        <f t="shared" si="387"/>
        <v>0</v>
      </c>
      <c r="J514" s="539">
        <f t="shared" si="387"/>
        <v>0</v>
      </c>
      <c r="K514" s="539">
        <f t="shared" si="387"/>
        <v>0</v>
      </c>
      <c r="L514" s="539">
        <f t="shared" si="387"/>
        <v>0</v>
      </c>
      <c r="M514" s="539">
        <f t="shared" si="387"/>
        <v>0</v>
      </c>
      <c r="N514" s="539">
        <f t="shared" si="387"/>
        <v>0</v>
      </c>
      <c r="O514" s="539">
        <f t="shared" si="387"/>
        <v>0</v>
      </c>
      <c r="P514" s="538"/>
      <c r="R514" s="205">
        <f t="shared" si="338"/>
        <v>1</v>
      </c>
    </row>
    <row r="515" spans="1:18">
      <c r="A515" s="772"/>
      <c r="B515" s="738"/>
      <c r="C515" s="786"/>
      <c r="D515" s="540"/>
      <c r="E515" s="540"/>
      <c r="F515" s="540">
        <v>0.5</v>
      </c>
      <c r="G515" s="540">
        <v>0.5</v>
      </c>
      <c r="H515" s="540"/>
      <c r="I515" s="540"/>
      <c r="J515" s="540"/>
      <c r="K515" s="540"/>
      <c r="L515" s="540"/>
      <c r="M515" s="540"/>
      <c r="N515" s="540"/>
      <c r="O515" s="540"/>
      <c r="P515" s="541">
        <f>C513</f>
        <v>4.8046324379147527E-2</v>
      </c>
      <c r="R515" s="205">
        <f t="shared" si="338"/>
        <v>1</v>
      </c>
    </row>
    <row r="516" spans="1:18">
      <c r="A516" s="770" t="s">
        <v>591</v>
      </c>
      <c r="B516" s="736">
        <f>VESTIÁRIO!$J$87</f>
        <v>3690.5860973600002</v>
      </c>
      <c r="C516" s="785">
        <f t="shared" ref="C516" si="388">B516/$B$528</f>
        <v>8.070860476038029E-2</v>
      </c>
      <c r="D516" s="213">
        <f t="shared" ref="D516:O516" si="389">$B516*D518</f>
        <v>0</v>
      </c>
      <c r="E516" s="214">
        <f t="shared" si="389"/>
        <v>0</v>
      </c>
      <c r="F516" s="214">
        <f t="shared" si="389"/>
        <v>1845.2930486800001</v>
      </c>
      <c r="G516" s="214">
        <f t="shared" si="389"/>
        <v>1845.2930486800001</v>
      </c>
      <c r="H516" s="214">
        <f t="shared" si="389"/>
        <v>0</v>
      </c>
      <c r="I516" s="214">
        <f t="shared" si="389"/>
        <v>0</v>
      </c>
      <c r="J516" s="214">
        <f t="shared" si="389"/>
        <v>0</v>
      </c>
      <c r="K516" s="214">
        <f t="shared" si="389"/>
        <v>0</v>
      </c>
      <c r="L516" s="214">
        <f t="shared" si="389"/>
        <v>0</v>
      </c>
      <c r="M516" s="214">
        <f t="shared" si="389"/>
        <v>0</v>
      </c>
      <c r="N516" s="214">
        <f t="shared" si="389"/>
        <v>0</v>
      </c>
      <c r="O516" s="214">
        <f t="shared" si="389"/>
        <v>0</v>
      </c>
      <c r="P516" s="538">
        <f>SUM(D516:O516)</f>
        <v>3690.5860973600002</v>
      </c>
      <c r="R516" s="205"/>
    </row>
    <row r="517" spans="1:18" ht="5.0999999999999996" customHeight="1">
      <c r="A517" s="771"/>
      <c r="B517" s="737"/>
      <c r="C517" s="785"/>
      <c r="D517" s="539">
        <f>+D518</f>
        <v>0</v>
      </c>
      <c r="E517" s="539">
        <f t="shared" ref="E517:O517" si="390">+E518</f>
        <v>0</v>
      </c>
      <c r="F517" s="539">
        <f t="shared" si="390"/>
        <v>0.5</v>
      </c>
      <c r="G517" s="539">
        <f t="shared" si="390"/>
        <v>0.5</v>
      </c>
      <c r="H517" s="539">
        <f t="shared" si="390"/>
        <v>0</v>
      </c>
      <c r="I517" s="539">
        <f t="shared" si="390"/>
        <v>0</v>
      </c>
      <c r="J517" s="539">
        <f t="shared" si="390"/>
        <v>0</v>
      </c>
      <c r="K517" s="539">
        <f t="shared" si="390"/>
        <v>0</v>
      </c>
      <c r="L517" s="539">
        <f t="shared" si="390"/>
        <v>0</v>
      </c>
      <c r="M517" s="539">
        <f t="shared" si="390"/>
        <v>0</v>
      </c>
      <c r="N517" s="539">
        <f t="shared" si="390"/>
        <v>0</v>
      </c>
      <c r="O517" s="539">
        <f t="shared" si="390"/>
        <v>0</v>
      </c>
      <c r="P517" s="538"/>
      <c r="R517" s="205">
        <f t="shared" si="338"/>
        <v>1</v>
      </c>
    </row>
    <row r="518" spans="1:18">
      <c r="A518" s="772"/>
      <c r="B518" s="738"/>
      <c r="C518" s="786"/>
      <c r="D518" s="540"/>
      <c r="E518" s="540"/>
      <c r="F518" s="540">
        <v>0.5</v>
      </c>
      <c r="G518" s="540">
        <v>0.5</v>
      </c>
      <c r="H518" s="540"/>
      <c r="I518" s="540"/>
      <c r="J518" s="540"/>
      <c r="K518" s="540"/>
      <c r="L518" s="540"/>
      <c r="M518" s="540"/>
      <c r="N518" s="540"/>
      <c r="O518" s="540"/>
      <c r="P518" s="541">
        <f>C516</f>
        <v>8.070860476038029E-2</v>
      </c>
      <c r="R518" s="205">
        <f t="shared" si="338"/>
        <v>1</v>
      </c>
    </row>
    <row r="519" spans="1:18">
      <c r="A519" s="770" t="s">
        <v>590</v>
      </c>
      <c r="B519" s="736">
        <f>VESTIÁRIO!$J$93</f>
        <v>2832.3970100000001</v>
      </c>
      <c r="C519" s="785">
        <f t="shared" ref="C519" si="391">B519/$B$528</f>
        <v>6.194105889254211E-2</v>
      </c>
      <c r="D519" s="213">
        <f t="shared" ref="D519:O519" si="392">$B519*D521</f>
        <v>0</v>
      </c>
      <c r="E519" s="214">
        <f t="shared" si="392"/>
        <v>0</v>
      </c>
      <c r="F519" s="214">
        <f t="shared" si="392"/>
        <v>0</v>
      </c>
      <c r="G519" s="214">
        <f t="shared" si="392"/>
        <v>0</v>
      </c>
      <c r="H519" s="214">
        <f t="shared" si="392"/>
        <v>0</v>
      </c>
      <c r="I519" s="214">
        <f t="shared" si="392"/>
        <v>0</v>
      </c>
      <c r="J519" s="214">
        <f t="shared" si="392"/>
        <v>2832.3970100000001</v>
      </c>
      <c r="K519" s="214">
        <f t="shared" si="392"/>
        <v>0</v>
      </c>
      <c r="L519" s="214">
        <f t="shared" si="392"/>
        <v>0</v>
      </c>
      <c r="M519" s="214">
        <f t="shared" si="392"/>
        <v>0</v>
      </c>
      <c r="N519" s="214">
        <f t="shared" si="392"/>
        <v>0</v>
      </c>
      <c r="O519" s="214">
        <f t="shared" si="392"/>
        <v>0</v>
      </c>
      <c r="P519" s="538">
        <f>SUM(D519:O519)</f>
        <v>2832.3970100000001</v>
      </c>
      <c r="R519" s="205"/>
    </row>
    <row r="520" spans="1:18" ht="5.0999999999999996" customHeight="1">
      <c r="A520" s="771"/>
      <c r="B520" s="737"/>
      <c r="C520" s="785"/>
      <c r="D520" s="539">
        <f>+D521</f>
        <v>0</v>
      </c>
      <c r="E520" s="539">
        <f t="shared" ref="E520:O520" si="393">+E521</f>
        <v>0</v>
      </c>
      <c r="F520" s="539">
        <f t="shared" si="393"/>
        <v>0</v>
      </c>
      <c r="G520" s="539">
        <f t="shared" si="393"/>
        <v>0</v>
      </c>
      <c r="H520" s="539">
        <f t="shared" si="393"/>
        <v>0</v>
      </c>
      <c r="I520" s="539">
        <f t="shared" si="393"/>
        <v>0</v>
      </c>
      <c r="J520" s="539">
        <f t="shared" si="393"/>
        <v>1</v>
      </c>
      <c r="K520" s="539">
        <f t="shared" si="393"/>
        <v>0</v>
      </c>
      <c r="L520" s="539">
        <f t="shared" si="393"/>
        <v>0</v>
      </c>
      <c r="M520" s="539">
        <f t="shared" si="393"/>
        <v>0</v>
      </c>
      <c r="N520" s="539">
        <f t="shared" si="393"/>
        <v>0</v>
      </c>
      <c r="O520" s="539">
        <f t="shared" si="393"/>
        <v>0</v>
      </c>
      <c r="P520" s="538"/>
      <c r="R520" s="205">
        <f t="shared" si="338"/>
        <v>1</v>
      </c>
    </row>
    <row r="521" spans="1:18">
      <c r="A521" s="772"/>
      <c r="B521" s="738"/>
      <c r="C521" s="786"/>
      <c r="D521" s="540"/>
      <c r="E521" s="540"/>
      <c r="F521" s="540"/>
      <c r="G521" s="540"/>
      <c r="H521" s="540"/>
      <c r="I521" s="540"/>
      <c r="J521" s="540">
        <v>1</v>
      </c>
      <c r="K521" s="540"/>
      <c r="L521" s="540"/>
      <c r="M521" s="540"/>
      <c r="N521" s="540"/>
      <c r="O521" s="540"/>
      <c r="P521" s="541">
        <f>C519</f>
        <v>6.194105889254211E-2</v>
      </c>
      <c r="R521" s="205">
        <f t="shared" si="338"/>
        <v>1</v>
      </c>
    </row>
    <row r="522" spans="1:18">
      <c r="A522" s="770" t="s">
        <v>587</v>
      </c>
      <c r="B522" s="736">
        <f>VESTIÁRIO!$J$102</f>
        <v>5425.0161925900011</v>
      </c>
      <c r="C522" s="785">
        <f t="shared" ref="C522" si="394">B522/$B$528</f>
        <v>0.11863846992205793</v>
      </c>
      <c r="D522" s="213">
        <f t="shared" ref="D522:O522" si="395">$B522*D524</f>
        <v>0</v>
      </c>
      <c r="E522" s="214">
        <f t="shared" si="395"/>
        <v>0</v>
      </c>
      <c r="F522" s="214">
        <f t="shared" si="395"/>
        <v>0</v>
      </c>
      <c r="G522" s="214">
        <f t="shared" si="395"/>
        <v>0</v>
      </c>
      <c r="H522" s="214">
        <f t="shared" si="395"/>
        <v>0</v>
      </c>
      <c r="I522" s="214">
        <f t="shared" si="395"/>
        <v>0</v>
      </c>
      <c r="J522" s="214">
        <f t="shared" si="395"/>
        <v>2712.5080962950005</v>
      </c>
      <c r="K522" s="214">
        <f t="shared" si="395"/>
        <v>2712.5080962950005</v>
      </c>
      <c r="L522" s="214">
        <f t="shared" si="395"/>
        <v>0</v>
      </c>
      <c r="M522" s="214">
        <f t="shared" si="395"/>
        <v>0</v>
      </c>
      <c r="N522" s="214">
        <f t="shared" si="395"/>
        <v>0</v>
      </c>
      <c r="O522" s="214">
        <f t="shared" si="395"/>
        <v>0</v>
      </c>
      <c r="P522" s="538">
        <f>SUM(D522:O522)</f>
        <v>5425.0161925900011</v>
      </c>
      <c r="R522" s="205"/>
    </row>
    <row r="523" spans="1:18" ht="5.0999999999999996" customHeight="1">
      <c r="A523" s="771"/>
      <c r="B523" s="737"/>
      <c r="C523" s="785"/>
      <c r="D523" s="539">
        <f>+D524</f>
        <v>0</v>
      </c>
      <c r="E523" s="539">
        <f t="shared" ref="E523:O523" si="396">+E524</f>
        <v>0</v>
      </c>
      <c r="F523" s="539">
        <f t="shared" si="396"/>
        <v>0</v>
      </c>
      <c r="G523" s="539">
        <f t="shared" si="396"/>
        <v>0</v>
      </c>
      <c r="H523" s="539">
        <f t="shared" si="396"/>
        <v>0</v>
      </c>
      <c r="I523" s="539">
        <f t="shared" si="396"/>
        <v>0</v>
      </c>
      <c r="J523" s="539">
        <f t="shared" si="396"/>
        <v>0.5</v>
      </c>
      <c r="K523" s="539">
        <f t="shared" si="396"/>
        <v>0.5</v>
      </c>
      <c r="L523" s="539">
        <f t="shared" si="396"/>
        <v>0</v>
      </c>
      <c r="M523" s="539">
        <f t="shared" si="396"/>
        <v>0</v>
      </c>
      <c r="N523" s="539">
        <f t="shared" si="396"/>
        <v>0</v>
      </c>
      <c r="O523" s="539">
        <f t="shared" si="396"/>
        <v>0</v>
      </c>
      <c r="P523" s="538"/>
      <c r="R523" s="205">
        <f t="shared" si="338"/>
        <v>1</v>
      </c>
    </row>
    <row r="524" spans="1:18">
      <c r="A524" s="772"/>
      <c r="B524" s="738"/>
      <c r="C524" s="786"/>
      <c r="D524" s="540"/>
      <c r="E524" s="540"/>
      <c r="F524" s="540"/>
      <c r="G524" s="540"/>
      <c r="H524" s="540"/>
      <c r="I524" s="540"/>
      <c r="J524" s="540">
        <v>0.5</v>
      </c>
      <c r="K524" s="540">
        <v>0.5</v>
      </c>
      <c r="L524" s="540"/>
      <c r="M524" s="540"/>
      <c r="N524" s="540"/>
      <c r="O524" s="540"/>
      <c r="P524" s="541">
        <f>C522</f>
        <v>0.11863846992205793</v>
      </c>
      <c r="R524" s="205">
        <f t="shared" ref="R524:R586" si="397">+SUM(D524:O524)</f>
        <v>1</v>
      </c>
    </row>
    <row r="525" spans="1:18">
      <c r="A525" s="770" t="s">
        <v>2</v>
      </c>
      <c r="B525" s="736">
        <f>VESTIÁRIO!$J$108</f>
        <v>3393.5990135400002</v>
      </c>
      <c r="C525" s="785">
        <f t="shared" ref="C525" si="398">B525/$B$528</f>
        <v>7.421386042041965E-2</v>
      </c>
      <c r="D525" s="213">
        <f t="shared" ref="D525:O525" si="399">$B525*D527</f>
        <v>0</v>
      </c>
      <c r="E525" s="214">
        <f t="shared" si="399"/>
        <v>0</v>
      </c>
      <c r="F525" s="214">
        <f t="shared" si="399"/>
        <v>0</v>
      </c>
      <c r="G525" s="214">
        <f t="shared" si="399"/>
        <v>0</v>
      </c>
      <c r="H525" s="214">
        <f t="shared" si="399"/>
        <v>0</v>
      </c>
      <c r="I525" s="214">
        <f t="shared" si="399"/>
        <v>0</v>
      </c>
      <c r="J525" s="214">
        <f t="shared" si="399"/>
        <v>0</v>
      </c>
      <c r="K525" s="214">
        <f t="shared" si="399"/>
        <v>3393.5990135400002</v>
      </c>
      <c r="L525" s="214">
        <f t="shared" si="399"/>
        <v>0</v>
      </c>
      <c r="M525" s="214">
        <f t="shared" si="399"/>
        <v>0</v>
      </c>
      <c r="N525" s="214">
        <f t="shared" si="399"/>
        <v>0</v>
      </c>
      <c r="O525" s="214">
        <f t="shared" si="399"/>
        <v>0</v>
      </c>
      <c r="P525" s="538">
        <f>SUM(D525:O525)</f>
        <v>3393.5990135400002</v>
      </c>
      <c r="R525" s="205"/>
    </row>
    <row r="526" spans="1:18" ht="5.0999999999999996" customHeight="1">
      <c r="A526" s="771"/>
      <c r="B526" s="737"/>
      <c r="C526" s="785"/>
      <c r="D526" s="539">
        <f>+D527</f>
        <v>0</v>
      </c>
      <c r="E526" s="539">
        <f t="shared" ref="E526:O526" si="400">+E527</f>
        <v>0</v>
      </c>
      <c r="F526" s="539">
        <f t="shared" si="400"/>
        <v>0</v>
      </c>
      <c r="G526" s="539">
        <f t="shared" si="400"/>
        <v>0</v>
      </c>
      <c r="H526" s="539">
        <f t="shared" si="400"/>
        <v>0</v>
      </c>
      <c r="I526" s="539">
        <f t="shared" si="400"/>
        <v>0</v>
      </c>
      <c r="J526" s="539">
        <f t="shared" si="400"/>
        <v>0</v>
      </c>
      <c r="K526" s="539">
        <f t="shared" si="400"/>
        <v>1</v>
      </c>
      <c r="L526" s="539">
        <f t="shared" si="400"/>
        <v>0</v>
      </c>
      <c r="M526" s="539">
        <f t="shared" si="400"/>
        <v>0</v>
      </c>
      <c r="N526" s="539">
        <f t="shared" si="400"/>
        <v>0</v>
      </c>
      <c r="O526" s="539">
        <f t="shared" si="400"/>
        <v>0</v>
      </c>
      <c r="P526" s="538"/>
      <c r="R526" s="205">
        <f t="shared" si="397"/>
        <v>1</v>
      </c>
    </row>
    <row r="527" spans="1:18">
      <c r="A527" s="772"/>
      <c r="B527" s="738"/>
      <c r="C527" s="786"/>
      <c r="D527" s="540"/>
      <c r="E527" s="540"/>
      <c r="F527" s="540"/>
      <c r="G527" s="540"/>
      <c r="H527" s="540"/>
      <c r="I527" s="540"/>
      <c r="J527" s="540"/>
      <c r="K527" s="540">
        <v>1</v>
      </c>
      <c r="L527" s="540"/>
      <c r="M527" s="540"/>
      <c r="N527" s="540"/>
      <c r="O527" s="540"/>
      <c r="P527" s="541">
        <f>C525</f>
        <v>7.421386042041965E-2</v>
      </c>
      <c r="R527" s="205">
        <f t="shared" si="397"/>
        <v>1</v>
      </c>
    </row>
    <row r="528" spans="1:18">
      <c r="A528" s="776" t="s">
        <v>7053</v>
      </c>
      <c r="B528" s="211">
        <f>SUM(B489:B527)</f>
        <v>45727.293989496669</v>
      </c>
      <c r="C528" s="550">
        <f>SUM(C489:C527)</f>
        <v>1</v>
      </c>
      <c r="D528" s="551">
        <f t="shared" ref="D528:P528" si="401">(D489+D492+D495+D498+D501+D504+D507+D510+D513+D516+D519+D522+D525)</f>
        <v>465.41812406000003</v>
      </c>
      <c r="E528" s="551">
        <f t="shared" si="401"/>
        <v>1770.2271302266668</v>
      </c>
      <c r="F528" s="551">
        <f t="shared" si="401"/>
        <v>7883.1746759066664</v>
      </c>
      <c r="G528" s="551">
        <f t="shared" si="401"/>
        <v>6452.2915493399996</v>
      </c>
      <c r="H528" s="551">
        <f t="shared" si="401"/>
        <v>5744.6546849879996</v>
      </c>
      <c r="I528" s="551">
        <f t="shared" si="401"/>
        <v>9795.7065375919992</v>
      </c>
      <c r="J528" s="551">
        <f t="shared" si="401"/>
        <v>7495.7111018883343</v>
      </c>
      <c r="K528" s="551">
        <f t="shared" si="401"/>
        <v>6120.1101854950011</v>
      </c>
      <c r="L528" s="551">
        <f t="shared" si="401"/>
        <v>0</v>
      </c>
      <c r="M528" s="551">
        <f t="shared" si="401"/>
        <v>0</v>
      </c>
      <c r="N528" s="551">
        <f t="shared" si="401"/>
        <v>0</v>
      </c>
      <c r="O528" s="551">
        <f t="shared" si="401"/>
        <v>0</v>
      </c>
      <c r="P528" s="552">
        <f t="shared" si="401"/>
        <v>45727.293989496669</v>
      </c>
      <c r="R528" s="205"/>
    </row>
    <row r="529" spans="1:18" ht="15" customHeight="1">
      <c r="A529" s="776"/>
      <c r="B529" s="215"/>
      <c r="C529" s="216"/>
      <c r="D529" s="586">
        <f t="shared" ref="D529:P529" si="402">D528/$B$528</f>
        <v>1.0178125217007249E-2</v>
      </c>
      <c r="E529" s="586">
        <f t="shared" si="402"/>
        <v>3.8712702541140509E-2</v>
      </c>
      <c r="F529" s="586">
        <f t="shared" si="402"/>
        <v>0.17239538988940373</v>
      </c>
      <c r="G529" s="586">
        <f t="shared" si="402"/>
        <v>0.14110372572717858</v>
      </c>
      <c r="H529" s="586">
        <f t="shared" si="402"/>
        <v>0.12562857286738896</v>
      </c>
      <c r="I529" s="586">
        <f t="shared" si="402"/>
        <v>0.21422012288420181</v>
      </c>
      <c r="J529" s="586">
        <f t="shared" si="402"/>
        <v>0.16392203535179803</v>
      </c>
      <c r="K529" s="586">
        <f t="shared" si="402"/>
        <v>0.13383932552188108</v>
      </c>
      <c r="L529" s="586">
        <f t="shared" si="402"/>
        <v>0</v>
      </c>
      <c r="M529" s="586">
        <f t="shared" si="402"/>
        <v>0</v>
      </c>
      <c r="N529" s="586">
        <f t="shared" si="402"/>
        <v>0</v>
      </c>
      <c r="O529" s="586">
        <f t="shared" si="402"/>
        <v>0</v>
      </c>
      <c r="P529" s="588">
        <f t="shared" si="402"/>
        <v>1</v>
      </c>
      <c r="R529" s="205">
        <f t="shared" si="397"/>
        <v>0.99999999999999989</v>
      </c>
    </row>
    <row r="530" spans="1:18" s="61" customFormat="1" ht="36" customHeight="1">
      <c r="R530" s="580"/>
    </row>
    <row r="531" spans="1:18">
      <c r="A531" s="783" t="s">
        <v>7054</v>
      </c>
      <c r="B531" s="783"/>
      <c r="C531" s="783"/>
      <c r="D531" s="783"/>
      <c r="E531" s="783"/>
      <c r="F531" s="783"/>
      <c r="G531" s="783"/>
      <c r="H531" s="783"/>
      <c r="I531" s="783"/>
      <c r="J531" s="783"/>
      <c r="K531" s="783"/>
      <c r="L531" s="783"/>
      <c r="M531" s="783"/>
      <c r="N531" s="783"/>
      <c r="O531" s="783"/>
      <c r="P531" s="578"/>
      <c r="R531" s="205"/>
    </row>
    <row r="532" spans="1:18">
      <c r="A532" s="770" t="s">
        <v>612</v>
      </c>
      <c r="B532" s="736">
        <f>IMPLANTAÇÃO!$J$18</f>
        <v>24325.203236770001</v>
      </c>
      <c r="C532" s="785">
        <f>B532/$B$571</f>
        <v>7.8614769241708588E-3</v>
      </c>
      <c r="D532" s="213">
        <f t="shared" ref="D532:O532" si="403">$B532*D534</f>
        <v>2432.5203236770003</v>
      </c>
      <c r="E532" s="214">
        <f t="shared" si="403"/>
        <v>2432.5203236770003</v>
      </c>
      <c r="F532" s="214">
        <f t="shared" si="403"/>
        <v>2432.5203236770003</v>
      </c>
      <c r="G532" s="214">
        <f t="shared" si="403"/>
        <v>2432.5203236770003</v>
      </c>
      <c r="H532" s="214">
        <f t="shared" si="403"/>
        <v>2432.5203236770003</v>
      </c>
      <c r="I532" s="214">
        <f t="shared" si="403"/>
        <v>2432.5203236770003</v>
      </c>
      <c r="J532" s="214">
        <f t="shared" si="403"/>
        <v>2432.5203236770003</v>
      </c>
      <c r="K532" s="214">
        <f t="shared" si="403"/>
        <v>2432.5203236770003</v>
      </c>
      <c r="L532" s="214">
        <f t="shared" si="403"/>
        <v>2432.5203236770003</v>
      </c>
      <c r="M532" s="214">
        <f t="shared" si="403"/>
        <v>2432.5203236770003</v>
      </c>
      <c r="N532" s="214">
        <f t="shared" si="403"/>
        <v>0</v>
      </c>
      <c r="O532" s="214">
        <f t="shared" si="403"/>
        <v>0</v>
      </c>
      <c r="P532" s="538">
        <f>SUM(D532:O532)</f>
        <v>24325.203236769998</v>
      </c>
      <c r="R532" s="205"/>
    </row>
    <row r="533" spans="1:18" ht="5.0999999999999996" customHeight="1">
      <c r="A533" s="771"/>
      <c r="B533" s="737"/>
      <c r="C533" s="785"/>
      <c r="D533" s="539">
        <f>+D534</f>
        <v>0.1</v>
      </c>
      <c r="E533" s="539">
        <f t="shared" ref="E533:O533" si="404">+E534</f>
        <v>0.1</v>
      </c>
      <c r="F533" s="539">
        <f t="shared" si="404"/>
        <v>0.1</v>
      </c>
      <c r="G533" s="539">
        <f t="shared" si="404"/>
        <v>0.1</v>
      </c>
      <c r="H533" s="539">
        <f t="shared" si="404"/>
        <v>0.1</v>
      </c>
      <c r="I533" s="539">
        <f t="shared" si="404"/>
        <v>0.1</v>
      </c>
      <c r="J533" s="539">
        <f t="shared" si="404"/>
        <v>0.1</v>
      </c>
      <c r="K533" s="539">
        <f t="shared" si="404"/>
        <v>0.1</v>
      </c>
      <c r="L533" s="539">
        <f t="shared" si="404"/>
        <v>0.1</v>
      </c>
      <c r="M533" s="539">
        <f t="shared" si="404"/>
        <v>0.1</v>
      </c>
      <c r="N533" s="539">
        <f t="shared" si="404"/>
        <v>0</v>
      </c>
      <c r="O533" s="539">
        <f t="shared" si="404"/>
        <v>0</v>
      </c>
      <c r="P533" s="538"/>
      <c r="R533" s="205">
        <f t="shared" si="397"/>
        <v>0.99999999999999989</v>
      </c>
    </row>
    <row r="534" spans="1:18">
      <c r="A534" s="772"/>
      <c r="B534" s="738"/>
      <c r="C534" s="786"/>
      <c r="D534" s="540">
        <v>0.1</v>
      </c>
      <c r="E534" s="540">
        <v>0.1</v>
      </c>
      <c r="F534" s="540">
        <v>0.1</v>
      </c>
      <c r="G534" s="540">
        <v>0.1</v>
      </c>
      <c r="H534" s="540">
        <v>0.1</v>
      </c>
      <c r="I534" s="540">
        <v>0.1</v>
      </c>
      <c r="J534" s="540">
        <v>0.1</v>
      </c>
      <c r="K534" s="540">
        <v>0.1</v>
      </c>
      <c r="L534" s="540">
        <v>0.1</v>
      </c>
      <c r="M534" s="540">
        <v>0.1</v>
      </c>
      <c r="N534" s="540"/>
      <c r="O534" s="540"/>
      <c r="P534" s="541">
        <f>C532</f>
        <v>7.8614769241708588E-3</v>
      </c>
      <c r="R534" s="205">
        <f t="shared" si="397"/>
        <v>0.99999999999999989</v>
      </c>
    </row>
    <row r="535" spans="1:18">
      <c r="A535" s="770" t="s">
        <v>611</v>
      </c>
      <c r="B535" s="736">
        <f>IMPLANTAÇÃO!$J$22</f>
        <v>6104.1721637590372</v>
      </c>
      <c r="C535" s="785">
        <f t="shared" ref="C535" si="405">B535/$B$571</f>
        <v>1.9727608497025566E-3</v>
      </c>
      <c r="D535" s="213">
        <f t="shared" ref="D535:O535" si="406">$B535*D537</f>
        <v>3052.0860818795186</v>
      </c>
      <c r="E535" s="214">
        <f t="shared" si="406"/>
        <v>0</v>
      </c>
      <c r="F535" s="214">
        <f t="shared" si="406"/>
        <v>0</v>
      </c>
      <c r="G535" s="214">
        <f t="shared" si="406"/>
        <v>0</v>
      </c>
      <c r="H535" s="214">
        <f t="shared" si="406"/>
        <v>0</v>
      </c>
      <c r="I535" s="214">
        <f t="shared" si="406"/>
        <v>0</v>
      </c>
      <c r="J535" s="214">
        <f t="shared" si="406"/>
        <v>0</v>
      </c>
      <c r="K535" s="214">
        <f t="shared" si="406"/>
        <v>0</v>
      </c>
      <c r="L535" s="214">
        <f t="shared" si="406"/>
        <v>0</v>
      </c>
      <c r="M535" s="214">
        <f t="shared" si="406"/>
        <v>3052.0860818795186</v>
      </c>
      <c r="N535" s="214">
        <f t="shared" si="406"/>
        <v>0</v>
      </c>
      <c r="O535" s="214">
        <f t="shared" si="406"/>
        <v>0</v>
      </c>
      <c r="P535" s="538">
        <f>SUM(D535:O535)</f>
        <v>6104.1721637590372</v>
      </c>
      <c r="R535" s="205"/>
    </row>
    <row r="536" spans="1:18" ht="5.0999999999999996" customHeight="1">
      <c r="A536" s="771"/>
      <c r="B536" s="737"/>
      <c r="C536" s="785"/>
      <c r="D536" s="539">
        <f>+D537</f>
        <v>0.5</v>
      </c>
      <c r="E536" s="539">
        <f t="shared" ref="E536:O536" si="407">+E537</f>
        <v>0</v>
      </c>
      <c r="F536" s="539">
        <f t="shared" si="407"/>
        <v>0</v>
      </c>
      <c r="G536" s="539">
        <f t="shared" si="407"/>
        <v>0</v>
      </c>
      <c r="H536" s="539">
        <f t="shared" si="407"/>
        <v>0</v>
      </c>
      <c r="I536" s="539">
        <f t="shared" si="407"/>
        <v>0</v>
      </c>
      <c r="J536" s="539">
        <f t="shared" si="407"/>
        <v>0</v>
      </c>
      <c r="K536" s="539">
        <f t="shared" si="407"/>
        <v>0</v>
      </c>
      <c r="L536" s="539">
        <f t="shared" si="407"/>
        <v>0</v>
      </c>
      <c r="M536" s="539">
        <f t="shared" si="407"/>
        <v>0.5</v>
      </c>
      <c r="N536" s="539">
        <f t="shared" si="407"/>
        <v>0</v>
      </c>
      <c r="O536" s="539">
        <f t="shared" si="407"/>
        <v>0</v>
      </c>
      <c r="P536" s="538"/>
      <c r="R536" s="205">
        <f t="shared" si="397"/>
        <v>1</v>
      </c>
    </row>
    <row r="537" spans="1:18">
      <c r="A537" s="772"/>
      <c r="B537" s="738"/>
      <c r="C537" s="786"/>
      <c r="D537" s="540">
        <v>0.5</v>
      </c>
      <c r="E537" s="540"/>
      <c r="F537" s="540"/>
      <c r="G537" s="540"/>
      <c r="H537" s="540"/>
      <c r="I537" s="540"/>
      <c r="J537" s="540"/>
      <c r="K537" s="540"/>
      <c r="L537" s="540"/>
      <c r="M537" s="540">
        <v>0.5</v>
      </c>
      <c r="N537" s="540"/>
      <c r="O537" s="540"/>
      <c r="P537" s="548">
        <f>C535</f>
        <v>1.9727608497025566E-3</v>
      </c>
      <c r="R537" s="205">
        <f t="shared" si="397"/>
        <v>1</v>
      </c>
    </row>
    <row r="538" spans="1:18">
      <c r="A538" s="770" t="s">
        <v>6962</v>
      </c>
      <c r="B538" s="736">
        <f>IMPLANTAÇÃO!$J$41</f>
        <v>386321.82767999487</v>
      </c>
      <c r="C538" s="785">
        <f t="shared" ref="C538" si="408">B538/$B$571</f>
        <v>0.12485240530360574</v>
      </c>
      <c r="D538" s="213">
        <f t="shared" ref="D538:O538" si="409">$B538*D540</f>
        <v>0</v>
      </c>
      <c r="E538" s="214">
        <f t="shared" si="409"/>
        <v>0</v>
      </c>
      <c r="F538" s="214">
        <f t="shared" si="409"/>
        <v>0</v>
      </c>
      <c r="G538" s="214">
        <f t="shared" si="409"/>
        <v>96580.456919998716</v>
      </c>
      <c r="H538" s="214">
        <f t="shared" si="409"/>
        <v>96580.456919998716</v>
      </c>
      <c r="I538" s="214">
        <f t="shared" si="409"/>
        <v>96580.456919998716</v>
      </c>
      <c r="J538" s="214">
        <f t="shared" si="409"/>
        <v>96580.456919998716</v>
      </c>
      <c r="K538" s="214">
        <f t="shared" si="409"/>
        <v>0</v>
      </c>
      <c r="L538" s="214">
        <f t="shared" si="409"/>
        <v>0</v>
      </c>
      <c r="M538" s="214">
        <f t="shared" si="409"/>
        <v>0</v>
      </c>
      <c r="N538" s="214">
        <f t="shared" si="409"/>
        <v>0</v>
      </c>
      <c r="O538" s="214">
        <f t="shared" si="409"/>
        <v>0</v>
      </c>
      <c r="P538" s="538">
        <f>SUM(D538:O538)</f>
        <v>386321.82767999487</v>
      </c>
      <c r="R538" s="205"/>
    </row>
    <row r="539" spans="1:18" ht="5.0999999999999996" customHeight="1">
      <c r="A539" s="771"/>
      <c r="B539" s="737"/>
      <c r="C539" s="785"/>
      <c r="D539" s="539">
        <f>+D540</f>
        <v>0</v>
      </c>
      <c r="E539" s="539">
        <f t="shared" ref="E539:O539" si="410">+E540</f>
        <v>0</v>
      </c>
      <c r="F539" s="539">
        <f t="shared" si="410"/>
        <v>0</v>
      </c>
      <c r="G539" s="539">
        <f t="shared" si="410"/>
        <v>0.25</v>
      </c>
      <c r="H539" s="539">
        <f t="shared" si="410"/>
        <v>0.25</v>
      </c>
      <c r="I539" s="539">
        <f t="shared" si="410"/>
        <v>0.25</v>
      </c>
      <c r="J539" s="539">
        <f t="shared" si="410"/>
        <v>0.25</v>
      </c>
      <c r="K539" s="539">
        <f t="shared" si="410"/>
        <v>0</v>
      </c>
      <c r="L539" s="539">
        <f t="shared" si="410"/>
        <v>0</v>
      </c>
      <c r="M539" s="539">
        <f t="shared" si="410"/>
        <v>0</v>
      </c>
      <c r="N539" s="539">
        <f t="shared" si="410"/>
        <v>0</v>
      </c>
      <c r="O539" s="539">
        <f t="shared" si="410"/>
        <v>0</v>
      </c>
      <c r="P539" s="538"/>
      <c r="R539" s="205">
        <f t="shared" si="397"/>
        <v>1</v>
      </c>
    </row>
    <row r="540" spans="1:18">
      <c r="A540" s="772"/>
      <c r="B540" s="738"/>
      <c r="C540" s="786"/>
      <c r="D540" s="540"/>
      <c r="E540" s="540"/>
      <c r="F540" s="540"/>
      <c r="G540" s="540">
        <v>0.25</v>
      </c>
      <c r="H540" s="540">
        <v>0.25</v>
      </c>
      <c r="I540" s="540">
        <v>0.25</v>
      </c>
      <c r="J540" s="540">
        <v>0.25</v>
      </c>
      <c r="K540" s="540"/>
      <c r="L540" s="540"/>
      <c r="M540" s="540"/>
      <c r="N540" s="540"/>
      <c r="O540" s="540"/>
      <c r="P540" s="541">
        <f>C538</f>
        <v>0.12485240530360574</v>
      </c>
      <c r="R540" s="205">
        <f t="shared" si="397"/>
        <v>1</v>
      </c>
    </row>
    <row r="541" spans="1:18">
      <c r="A541" s="770" t="s">
        <v>608</v>
      </c>
      <c r="B541" s="736">
        <f>IMPLANTAÇÃO!$J$45</f>
        <v>971.84</v>
      </c>
      <c r="C541" s="785">
        <f t="shared" ref="C541" si="411">B541/$B$571</f>
        <v>3.1408155811160616E-4</v>
      </c>
      <c r="D541" s="213">
        <f t="shared" ref="D541:O541" si="412">$B541*D543</f>
        <v>826.06399999999996</v>
      </c>
      <c r="E541" s="214">
        <f t="shared" si="412"/>
        <v>48.592000000000006</v>
      </c>
      <c r="F541" s="214">
        <f t="shared" si="412"/>
        <v>48.592000000000006</v>
      </c>
      <c r="G541" s="214">
        <f t="shared" si="412"/>
        <v>48.592000000000006</v>
      </c>
      <c r="H541" s="214">
        <f t="shared" si="412"/>
        <v>0</v>
      </c>
      <c r="I541" s="214">
        <f t="shared" si="412"/>
        <v>0</v>
      </c>
      <c r="J541" s="214">
        <f t="shared" si="412"/>
        <v>0</v>
      </c>
      <c r="K541" s="214">
        <f t="shared" si="412"/>
        <v>0</v>
      </c>
      <c r="L541" s="214">
        <f t="shared" si="412"/>
        <v>0</v>
      </c>
      <c r="M541" s="214">
        <f t="shared" si="412"/>
        <v>0</v>
      </c>
      <c r="N541" s="214">
        <f t="shared" si="412"/>
        <v>0</v>
      </c>
      <c r="O541" s="214">
        <f t="shared" si="412"/>
        <v>0</v>
      </c>
      <c r="P541" s="538">
        <f>SUM(D541:O541)</f>
        <v>971.83999999999992</v>
      </c>
      <c r="R541" s="205"/>
    </row>
    <row r="542" spans="1:18" ht="5.0999999999999996" customHeight="1">
      <c r="A542" s="771"/>
      <c r="B542" s="737"/>
      <c r="C542" s="785"/>
      <c r="D542" s="539">
        <f>+D543</f>
        <v>0.85</v>
      </c>
      <c r="E542" s="539">
        <f t="shared" ref="E542:O542" si="413">+E543</f>
        <v>0.05</v>
      </c>
      <c r="F542" s="539">
        <f t="shared" si="413"/>
        <v>0.05</v>
      </c>
      <c r="G542" s="539">
        <f t="shared" si="413"/>
        <v>0.05</v>
      </c>
      <c r="H542" s="539">
        <f t="shared" si="413"/>
        <v>0</v>
      </c>
      <c r="I542" s="539">
        <f t="shared" si="413"/>
        <v>0</v>
      </c>
      <c r="J542" s="539">
        <f t="shared" si="413"/>
        <v>0</v>
      </c>
      <c r="K542" s="539">
        <f t="shared" si="413"/>
        <v>0</v>
      </c>
      <c r="L542" s="539">
        <f t="shared" si="413"/>
        <v>0</v>
      </c>
      <c r="M542" s="539">
        <f t="shared" si="413"/>
        <v>0</v>
      </c>
      <c r="N542" s="539">
        <f t="shared" si="413"/>
        <v>0</v>
      </c>
      <c r="O542" s="539">
        <f t="shared" si="413"/>
        <v>0</v>
      </c>
      <c r="P542" s="538"/>
      <c r="R542" s="205">
        <f t="shared" si="397"/>
        <v>1</v>
      </c>
    </row>
    <row r="543" spans="1:18">
      <c r="A543" s="772"/>
      <c r="B543" s="738"/>
      <c r="C543" s="786"/>
      <c r="D543" s="540">
        <v>0.85</v>
      </c>
      <c r="E543" s="540">
        <v>0.05</v>
      </c>
      <c r="F543" s="540">
        <v>0.05</v>
      </c>
      <c r="G543" s="540">
        <v>0.05</v>
      </c>
      <c r="H543" s="540"/>
      <c r="I543" s="540"/>
      <c r="J543" s="540"/>
      <c r="K543" s="540"/>
      <c r="L543" s="540"/>
      <c r="M543" s="540"/>
      <c r="N543" s="540"/>
      <c r="O543" s="540"/>
      <c r="P543" s="541">
        <f>C541</f>
        <v>3.1408155811160616E-4</v>
      </c>
      <c r="R543" s="205">
        <f t="shared" si="397"/>
        <v>1</v>
      </c>
    </row>
    <row r="544" spans="1:18">
      <c r="A544" s="770" t="s">
        <v>607</v>
      </c>
      <c r="B544" s="736">
        <f>IMPLANTAÇÃO!$J$49</f>
        <v>971.84</v>
      </c>
      <c r="C544" s="785">
        <f t="shared" ref="C544" si="414">B544/$B$571</f>
        <v>3.1408155811160616E-4</v>
      </c>
      <c r="D544" s="213">
        <f t="shared" ref="D544:O544" si="415">$B544*D546</f>
        <v>826.06399999999996</v>
      </c>
      <c r="E544" s="214">
        <f t="shared" si="415"/>
        <v>48.592000000000006</v>
      </c>
      <c r="F544" s="214">
        <f t="shared" si="415"/>
        <v>48.592000000000006</v>
      </c>
      <c r="G544" s="214">
        <f t="shared" si="415"/>
        <v>48.592000000000006</v>
      </c>
      <c r="H544" s="214">
        <f t="shared" si="415"/>
        <v>0</v>
      </c>
      <c r="I544" s="214">
        <f t="shared" si="415"/>
        <v>0</v>
      </c>
      <c r="J544" s="214">
        <f t="shared" si="415"/>
        <v>0</v>
      </c>
      <c r="K544" s="214">
        <f t="shared" si="415"/>
        <v>0</v>
      </c>
      <c r="L544" s="214">
        <f t="shared" si="415"/>
        <v>0</v>
      </c>
      <c r="M544" s="214">
        <f t="shared" si="415"/>
        <v>0</v>
      </c>
      <c r="N544" s="214">
        <f t="shared" si="415"/>
        <v>0</v>
      </c>
      <c r="O544" s="214">
        <f t="shared" si="415"/>
        <v>0</v>
      </c>
      <c r="P544" s="538">
        <f>SUM(D544:O544)</f>
        <v>971.83999999999992</v>
      </c>
      <c r="R544" s="205"/>
    </row>
    <row r="545" spans="1:18" ht="5.0999999999999996" customHeight="1">
      <c r="A545" s="771"/>
      <c r="B545" s="737"/>
      <c r="C545" s="785"/>
      <c r="D545" s="539">
        <f>+D546</f>
        <v>0.85</v>
      </c>
      <c r="E545" s="539">
        <f t="shared" ref="E545:O545" si="416">+E546</f>
        <v>0.05</v>
      </c>
      <c r="F545" s="539">
        <f t="shared" si="416"/>
        <v>0.05</v>
      </c>
      <c r="G545" s="539">
        <f t="shared" si="416"/>
        <v>0.05</v>
      </c>
      <c r="H545" s="539">
        <f t="shared" si="416"/>
        <v>0</v>
      </c>
      <c r="I545" s="539">
        <f t="shared" si="416"/>
        <v>0</v>
      </c>
      <c r="J545" s="539">
        <f t="shared" si="416"/>
        <v>0</v>
      </c>
      <c r="K545" s="539">
        <f t="shared" si="416"/>
        <v>0</v>
      </c>
      <c r="L545" s="539">
        <f t="shared" si="416"/>
        <v>0</v>
      </c>
      <c r="M545" s="539">
        <f t="shared" si="416"/>
        <v>0</v>
      </c>
      <c r="N545" s="539">
        <f t="shared" si="416"/>
        <v>0</v>
      </c>
      <c r="O545" s="539">
        <f t="shared" si="416"/>
        <v>0</v>
      </c>
      <c r="P545" s="541"/>
      <c r="R545" s="205">
        <f t="shared" si="397"/>
        <v>1</v>
      </c>
    </row>
    <row r="546" spans="1:18">
      <c r="A546" s="772"/>
      <c r="B546" s="738"/>
      <c r="C546" s="786"/>
      <c r="D546" s="540">
        <v>0.85</v>
      </c>
      <c r="E546" s="540">
        <v>0.05</v>
      </c>
      <c r="F546" s="540">
        <v>0.05</v>
      </c>
      <c r="G546" s="540">
        <v>0.05</v>
      </c>
      <c r="H546" s="540"/>
      <c r="I546" s="540"/>
      <c r="J546" s="540"/>
      <c r="K546" s="540"/>
      <c r="L546" s="540"/>
      <c r="M546" s="540"/>
      <c r="N546" s="540"/>
      <c r="O546" s="540"/>
      <c r="P546" s="541">
        <f>C544</f>
        <v>3.1408155811160616E-4</v>
      </c>
      <c r="R546" s="205">
        <f t="shared" si="397"/>
        <v>1</v>
      </c>
    </row>
    <row r="547" spans="1:18">
      <c r="A547" s="770" t="s">
        <v>6328</v>
      </c>
      <c r="B547" s="736">
        <f>IMPLANTAÇÃO!$J$95</f>
        <v>822947.81841551082</v>
      </c>
      <c r="C547" s="785">
        <f t="shared" ref="C547" si="417">B547/$B$571</f>
        <v>0.26596222943333342</v>
      </c>
      <c r="D547" s="213">
        <f t="shared" ref="D547:O547" si="418">$B547*D549</f>
        <v>0</v>
      </c>
      <c r="E547" s="214">
        <f t="shared" si="418"/>
        <v>123442.17276232662</v>
      </c>
      <c r="F547" s="214">
        <f t="shared" si="418"/>
        <v>123442.17276232662</v>
      </c>
      <c r="G547" s="214">
        <f t="shared" si="418"/>
        <v>0</v>
      </c>
      <c r="H547" s="214">
        <f t="shared" si="418"/>
        <v>0</v>
      </c>
      <c r="I547" s="214">
        <f t="shared" si="418"/>
        <v>123442.17276232662</v>
      </c>
      <c r="J547" s="214">
        <f t="shared" si="418"/>
        <v>205736.9546038777</v>
      </c>
      <c r="K547" s="214">
        <f t="shared" si="418"/>
        <v>246884.34552465324</v>
      </c>
      <c r="L547" s="214">
        <f t="shared" si="418"/>
        <v>0</v>
      </c>
      <c r="M547" s="214">
        <f t="shared" si="418"/>
        <v>0</v>
      </c>
      <c r="N547" s="214">
        <f t="shared" si="418"/>
        <v>0</v>
      </c>
      <c r="O547" s="214">
        <f t="shared" si="418"/>
        <v>0</v>
      </c>
      <c r="P547" s="538">
        <f>SUM(D547:O547)</f>
        <v>822947.81841551082</v>
      </c>
      <c r="R547" s="205"/>
    </row>
    <row r="548" spans="1:18" ht="5.0999999999999996" customHeight="1">
      <c r="A548" s="771"/>
      <c r="B548" s="737"/>
      <c r="C548" s="785"/>
      <c r="D548" s="539">
        <f>+D549</f>
        <v>0</v>
      </c>
      <c r="E548" s="539">
        <f t="shared" ref="E548:O548" si="419">+E549</f>
        <v>0.15</v>
      </c>
      <c r="F548" s="539">
        <f t="shared" si="419"/>
        <v>0.15</v>
      </c>
      <c r="G548" s="539">
        <f t="shared" si="419"/>
        <v>0</v>
      </c>
      <c r="H548" s="539">
        <f t="shared" si="419"/>
        <v>0</v>
      </c>
      <c r="I548" s="539">
        <f t="shared" si="419"/>
        <v>0.15</v>
      </c>
      <c r="J548" s="539">
        <f t="shared" si="419"/>
        <v>0.25</v>
      </c>
      <c r="K548" s="539">
        <f t="shared" si="419"/>
        <v>0.3</v>
      </c>
      <c r="L548" s="539">
        <f t="shared" si="419"/>
        <v>0</v>
      </c>
      <c r="M548" s="539">
        <f t="shared" si="419"/>
        <v>0</v>
      </c>
      <c r="N548" s="539">
        <f t="shared" si="419"/>
        <v>0</v>
      </c>
      <c r="O548" s="539">
        <f t="shared" si="419"/>
        <v>0</v>
      </c>
      <c r="P548" s="538"/>
      <c r="R548" s="205">
        <f t="shared" ref="R548:R549" si="420">+SUM(D548:O548)</f>
        <v>1</v>
      </c>
    </row>
    <row r="549" spans="1:18">
      <c r="A549" s="772"/>
      <c r="B549" s="738"/>
      <c r="C549" s="786"/>
      <c r="D549" s="540"/>
      <c r="E549" s="540">
        <v>0.15</v>
      </c>
      <c r="F549" s="540">
        <v>0.15</v>
      </c>
      <c r="G549" s="540"/>
      <c r="H549" s="540"/>
      <c r="I549" s="540">
        <v>0.15</v>
      </c>
      <c r="J549" s="540">
        <v>0.25</v>
      </c>
      <c r="K549" s="540">
        <v>0.3</v>
      </c>
      <c r="L549" s="540"/>
      <c r="M549" s="540"/>
      <c r="N549" s="540"/>
      <c r="O549" s="540"/>
      <c r="P549" s="541">
        <f>C547</f>
        <v>0.26596222943333342</v>
      </c>
      <c r="R549" s="205">
        <f t="shared" si="420"/>
        <v>1</v>
      </c>
    </row>
    <row r="550" spans="1:18">
      <c r="A550" s="770" t="s">
        <v>604</v>
      </c>
      <c r="B550" s="736">
        <f>IMPLANTAÇÃO!$J$130</f>
        <v>364198.67793326662</v>
      </c>
      <c r="C550" s="785">
        <f t="shared" ref="C550" si="421">B550/$B$571</f>
        <v>0.11770259325348556</v>
      </c>
      <c r="D550" s="213">
        <f t="shared" ref="D550:O550" si="422">$B550*D552</f>
        <v>0</v>
      </c>
      <c r="E550" s="214">
        <f t="shared" si="422"/>
        <v>36419.867793326666</v>
      </c>
      <c r="F550" s="214">
        <f t="shared" si="422"/>
        <v>36419.867793326666</v>
      </c>
      <c r="G550" s="214">
        <f t="shared" si="422"/>
        <v>72839.735586653333</v>
      </c>
      <c r="H550" s="214">
        <f t="shared" si="422"/>
        <v>0</v>
      </c>
      <c r="I550" s="214">
        <f t="shared" si="422"/>
        <v>72839.735586653333</v>
      </c>
      <c r="J550" s="214">
        <f t="shared" si="422"/>
        <v>72839.735586653333</v>
      </c>
      <c r="K550" s="214">
        <f t="shared" si="422"/>
        <v>72839.735586653333</v>
      </c>
      <c r="L550" s="214">
        <f t="shared" si="422"/>
        <v>0</v>
      </c>
      <c r="M550" s="214">
        <f t="shared" si="422"/>
        <v>0</v>
      </c>
      <c r="N550" s="214">
        <f t="shared" si="422"/>
        <v>0</v>
      </c>
      <c r="O550" s="214">
        <f t="shared" si="422"/>
        <v>0</v>
      </c>
      <c r="P550" s="538">
        <f>SUM(D550:O550)</f>
        <v>364198.67793326668</v>
      </c>
      <c r="R550" s="205"/>
    </row>
    <row r="551" spans="1:18" ht="5.0999999999999996" customHeight="1">
      <c r="A551" s="771"/>
      <c r="B551" s="737"/>
      <c r="C551" s="785"/>
      <c r="D551" s="539">
        <f>+D552</f>
        <v>0</v>
      </c>
      <c r="E551" s="539">
        <f t="shared" ref="E551:O551" si="423">+E552</f>
        <v>0.1</v>
      </c>
      <c r="F551" s="539">
        <f t="shared" si="423"/>
        <v>0.1</v>
      </c>
      <c r="G551" s="539">
        <f t="shared" si="423"/>
        <v>0.2</v>
      </c>
      <c r="H551" s="539">
        <f t="shared" si="423"/>
        <v>0</v>
      </c>
      <c r="I551" s="539">
        <f t="shared" si="423"/>
        <v>0.2</v>
      </c>
      <c r="J551" s="539">
        <f t="shared" si="423"/>
        <v>0.2</v>
      </c>
      <c r="K551" s="539">
        <f t="shared" si="423"/>
        <v>0.2</v>
      </c>
      <c r="L551" s="539">
        <f t="shared" si="423"/>
        <v>0</v>
      </c>
      <c r="M551" s="539">
        <f t="shared" si="423"/>
        <v>0</v>
      </c>
      <c r="N551" s="539">
        <f t="shared" si="423"/>
        <v>0</v>
      </c>
      <c r="O551" s="539">
        <f t="shared" si="423"/>
        <v>0</v>
      </c>
      <c r="P551" s="541"/>
      <c r="R551" s="205">
        <f t="shared" si="397"/>
        <v>1</v>
      </c>
    </row>
    <row r="552" spans="1:18">
      <c r="A552" s="772"/>
      <c r="B552" s="738"/>
      <c r="C552" s="786"/>
      <c r="D552" s="540"/>
      <c r="E552" s="540">
        <v>0.1</v>
      </c>
      <c r="F552" s="540">
        <v>0.1</v>
      </c>
      <c r="G552" s="540">
        <v>0.2</v>
      </c>
      <c r="H552" s="540"/>
      <c r="I552" s="540">
        <v>0.2</v>
      </c>
      <c r="J552" s="540">
        <v>0.2</v>
      </c>
      <c r="K552" s="540">
        <v>0.2</v>
      </c>
      <c r="L552" s="540"/>
      <c r="M552" s="540"/>
      <c r="N552" s="540"/>
      <c r="O552" s="540"/>
      <c r="P552" s="541">
        <f>C550</f>
        <v>0.11770259325348556</v>
      </c>
      <c r="R552" s="205">
        <f t="shared" si="397"/>
        <v>1</v>
      </c>
    </row>
    <row r="553" spans="1:18">
      <c r="A553" s="770" t="s">
        <v>6293</v>
      </c>
      <c r="B553" s="736">
        <f>IMPLANTAÇÃO!$J$157</f>
        <v>55571.796664155991</v>
      </c>
      <c r="C553" s="785">
        <f t="shared" ref="C553" si="424">B553/$B$571</f>
        <v>1.795982515984058E-2</v>
      </c>
      <c r="D553" s="213">
        <f t="shared" ref="D553:O553" si="425">$B553*D555</f>
        <v>0</v>
      </c>
      <c r="E553" s="214">
        <f t="shared" si="425"/>
        <v>0</v>
      </c>
      <c r="F553" s="214">
        <f t="shared" si="425"/>
        <v>0</v>
      </c>
      <c r="G553" s="214">
        <f t="shared" si="425"/>
        <v>0</v>
      </c>
      <c r="H553" s="214">
        <f t="shared" si="425"/>
        <v>16671.538999246797</v>
      </c>
      <c r="I553" s="214">
        <f t="shared" si="425"/>
        <v>22228.718665662396</v>
      </c>
      <c r="J553" s="214">
        <f t="shared" si="425"/>
        <v>16671.538999246797</v>
      </c>
      <c r="K553" s="214">
        <f t="shared" si="425"/>
        <v>0</v>
      </c>
      <c r="L553" s="214">
        <f t="shared" si="425"/>
        <v>0</v>
      </c>
      <c r="M553" s="214">
        <f t="shared" si="425"/>
        <v>0</v>
      </c>
      <c r="N553" s="214">
        <f t="shared" si="425"/>
        <v>0</v>
      </c>
      <c r="O553" s="214">
        <f t="shared" si="425"/>
        <v>0</v>
      </c>
      <c r="P553" s="538">
        <f>SUM(D553:O553)</f>
        <v>55571.796664155991</v>
      </c>
      <c r="R553" s="205"/>
    </row>
    <row r="554" spans="1:18" ht="5.0999999999999996" customHeight="1">
      <c r="A554" s="771"/>
      <c r="B554" s="737"/>
      <c r="C554" s="785"/>
      <c r="D554" s="539">
        <f>+D555</f>
        <v>0</v>
      </c>
      <c r="E554" s="539">
        <f t="shared" ref="E554:O554" si="426">+E555</f>
        <v>0</v>
      </c>
      <c r="F554" s="539">
        <f t="shared" si="426"/>
        <v>0</v>
      </c>
      <c r="G554" s="539">
        <f t="shared" si="426"/>
        <v>0</v>
      </c>
      <c r="H554" s="539">
        <f t="shared" si="426"/>
        <v>0.3</v>
      </c>
      <c r="I554" s="539">
        <f t="shared" si="426"/>
        <v>0.4</v>
      </c>
      <c r="J554" s="539">
        <f t="shared" si="426"/>
        <v>0.3</v>
      </c>
      <c r="K554" s="539">
        <f t="shared" si="426"/>
        <v>0</v>
      </c>
      <c r="L554" s="539">
        <f t="shared" si="426"/>
        <v>0</v>
      </c>
      <c r="M554" s="539">
        <f t="shared" si="426"/>
        <v>0</v>
      </c>
      <c r="N554" s="539">
        <f t="shared" si="426"/>
        <v>0</v>
      </c>
      <c r="O554" s="539">
        <f t="shared" si="426"/>
        <v>0</v>
      </c>
      <c r="P554" s="541"/>
      <c r="R554" s="205">
        <f t="shared" si="397"/>
        <v>1</v>
      </c>
    </row>
    <row r="555" spans="1:18">
      <c r="A555" s="772"/>
      <c r="B555" s="738"/>
      <c r="C555" s="786"/>
      <c r="D555" s="540"/>
      <c r="E555" s="540"/>
      <c r="F555" s="540"/>
      <c r="G555" s="540"/>
      <c r="H555" s="540">
        <v>0.3</v>
      </c>
      <c r="I555" s="540">
        <v>0.4</v>
      </c>
      <c r="J555" s="540">
        <v>0.3</v>
      </c>
      <c r="K555" s="540"/>
      <c r="L555" s="540"/>
      <c r="M555" s="540"/>
      <c r="N555" s="540"/>
      <c r="O555" s="540"/>
      <c r="P555" s="541">
        <f>C553</f>
        <v>1.795982515984058E-2</v>
      </c>
      <c r="R555" s="205">
        <f t="shared" si="397"/>
        <v>1</v>
      </c>
    </row>
    <row r="556" spans="1:18">
      <c r="A556" s="770" t="s">
        <v>595</v>
      </c>
      <c r="B556" s="736">
        <f>IMPLANTAÇÃO!$J$162</f>
        <v>296327.35192753328</v>
      </c>
      <c r="C556" s="785">
        <f t="shared" ref="C556" si="427">B556/$B$571</f>
        <v>9.5767777004945154E-2</v>
      </c>
      <c r="D556" s="213">
        <f t="shared" ref="D556:O556" si="428">$B556*D558</f>
        <v>0</v>
      </c>
      <c r="E556" s="214">
        <f t="shared" si="428"/>
        <v>88898.205578259978</v>
      </c>
      <c r="F556" s="214">
        <f t="shared" si="428"/>
        <v>118530.94077101332</v>
      </c>
      <c r="G556" s="214">
        <f t="shared" si="428"/>
        <v>88898.205578259978</v>
      </c>
      <c r="H556" s="214">
        <f t="shared" si="428"/>
        <v>0</v>
      </c>
      <c r="I556" s="214">
        <f t="shared" si="428"/>
        <v>0</v>
      </c>
      <c r="J556" s="214">
        <f t="shared" si="428"/>
        <v>0</v>
      </c>
      <c r="K556" s="214">
        <f t="shared" si="428"/>
        <v>0</v>
      </c>
      <c r="L556" s="214">
        <f t="shared" si="428"/>
        <v>0</v>
      </c>
      <c r="M556" s="214">
        <f t="shared" si="428"/>
        <v>0</v>
      </c>
      <c r="N556" s="214">
        <f t="shared" si="428"/>
        <v>0</v>
      </c>
      <c r="O556" s="214">
        <f t="shared" si="428"/>
        <v>0</v>
      </c>
      <c r="P556" s="538">
        <f>SUM(D556:O556)</f>
        <v>296327.35192753328</v>
      </c>
      <c r="R556" s="205"/>
    </row>
    <row r="557" spans="1:18" ht="5.0999999999999996" customHeight="1">
      <c r="A557" s="771"/>
      <c r="B557" s="737"/>
      <c r="C557" s="785"/>
      <c r="D557" s="539">
        <f>+D558</f>
        <v>0</v>
      </c>
      <c r="E557" s="539">
        <f t="shared" ref="E557:O557" si="429">+E558</f>
        <v>0.3</v>
      </c>
      <c r="F557" s="539">
        <f t="shared" si="429"/>
        <v>0.4</v>
      </c>
      <c r="G557" s="539">
        <f t="shared" si="429"/>
        <v>0.3</v>
      </c>
      <c r="H557" s="539">
        <f t="shared" si="429"/>
        <v>0</v>
      </c>
      <c r="I557" s="539">
        <f t="shared" si="429"/>
        <v>0</v>
      </c>
      <c r="J557" s="539">
        <f t="shared" si="429"/>
        <v>0</v>
      </c>
      <c r="K557" s="539">
        <f t="shared" si="429"/>
        <v>0</v>
      </c>
      <c r="L557" s="539">
        <f t="shared" si="429"/>
        <v>0</v>
      </c>
      <c r="M557" s="539">
        <f t="shared" si="429"/>
        <v>0</v>
      </c>
      <c r="N557" s="539">
        <f t="shared" si="429"/>
        <v>0</v>
      </c>
      <c r="O557" s="539">
        <f t="shared" si="429"/>
        <v>0</v>
      </c>
      <c r="P557" s="538"/>
      <c r="R557" s="205">
        <f t="shared" si="397"/>
        <v>1</v>
      </c>
    </row>
    <row r="558" spans="1:18">
      <c r="A558" s="772"/>
      <c r="B558" s="738"/>
      <c r="C558" s="786"/>
      <c r="D558" s="540"/>
      <c r="E558" s="540">
        <v>0.3</v>
      </c>
      <c r="F558" s="540">
        <v>0.4</v>
      </c>
      <c r="G558" s="540">
        <v>0.3</v>
      </c>
      <c r="H558" s="540"/>
      <c r="I558" s="540"/>
      <c r="J558" s="540"/>
      <c r="K558" s="540"/>
      <c r="L558" s="540"/>
      <c r="M558" s="540"/>
      <c r="N558" s="540"/>
      <c r="O558" s="540"/>
      <c r="P558" s="541">
        <f>C556</f>
        <v>9.5767777004945154E-2</v>
      </c>
      <c r="R558" s="205">
        <f t="shared" si="397"/>
        <v>1</v>
      </c>
    </row>
    <row r="559" spans="1:18">
      <c r="A559" s="770" t="s">
        <v>591</v>
      </c>
      <c r="B559" s="736">
        <f>IMPLANTAÇÃO!$J$166</f>
        <v>82245.373888379996</v>
      </c>
      <c r="C559" s="785">
        <f t="shared" ref="C559" si="430">B559/$B$571</f>
        <v>2.6580255163745056E-2</v>
      </c>
      <c r="D559" s="213">
        <f t="shared" ref="D559:O559" si="431">$B559*D561</f>
        <v>0</v>
      </c>
      <c r="E559" s="214">
        <f t="shared" si="431"/>
        <v>0</v>
      </c>
      <c r="F559" s="214">
        <f t="shared" si="431"/>
        <v>0</v>
      </c>
      <c r="G559" s="214">
        <f t="shared" si="431"/>
        <v>0</v>
      </c>
      <c r="H559" s="214">
        <f t="shared" si="431"/>
        <v>0</v>
      </c>
      <c r="I559" s="214">
        <f t="shared" si="431"/>
        <v>20561.343472094999</v>
      </c>
      <c r="J559" s="214">
        <f t="shared" si="431"/>
        <v>20561.343472094999</v>
      </c>
      <c r="K559" s="214">
        <f t="shared" si="431"/>
        <v>41122.686944189998</v>
      </c>
      <c r="L559" s="214">
        <f t="shared" si="431"/>
        <v>0</v>
      </c>
      <c r="M559" s="214">
        <f t="shared" si="431"/>
        <v>0</v>
      </c>
      <c r="N559" s="214">
        <f t="shared" si="431"/>
        <v>0</v>
      </c>
      <c r="O559" s="214">
        <f t="shared" si="431"/>
        <v>0</v>
      </c>
      <c r="P559" s="538">
        <f>SUM(D559:O559)</f>
        <v>82245.373888379996</v>
      </c>
      <c r="R559" s="205"/>
    </row>
    <row r="560" spans="1:18" ht="5.0999999999999996" customHeight="1">
      <c r="A560" s="771"/>
      <c r="B560" s="737"/>
      <c r="C560" s="785"/>
      <c r="D560" s="539">
        <f>+D561</f>
        <v>0</v>
      </c>
      <c r="E560" s="539">
        <f t="shared" ref="E560:O560" si="432">+E561</f>
        <v>0</v>
      </c>
      <c r="F560" s="539">
        <f t="shared" si="432"/>
        <v>0</v>
      </c>
      <c r="G560" s="539">
        <f t="shared" si="432"/>
        <v>0</v>
      </c>
      <c r="H560" s="539">
        <f t="shared" si="432"/>
        <v>0</v>
      </c>
      <c r="I560" s="539">
        <f t="shared" si="432"/>
        <v>0.25</v>
      </c>
      <c r="J560" s="539">
        <f t="shared" si="432"/>
        <v>0.25</v>
      </c>
      <c r="K560" s="539">
        <f t="shared" si="432"/>
        <v>0.5</v>
      </c>
      <c r="L560" s="539">
        <f t="shared" si="432"/>
        <v>0</v>
      </c>
      <c r="M560" s="539">
        <f t="shared" si="432"/>
        <v>0</v>
      </c>
      <c r="N560" s="539">
        <f t="shared" si="432"/>
        <v>0</v>
      </c>
      <c r="O560" s="539">
        <f t="shared" si="432"/>
        <v>0</v>
      </c>
      <c r="P560" s="538"/>
      <c r="R560" s="205">
        <f t="shared" si="397"/>
        <v>1</v>
      </c>
    </row>
    <row r="561" spans="1:18">
      <c r="A561" s="772"/>
      <c r="B561" s="738"/>
      <c r="C561" s="786"/>
      <c r="D561" s="540"/>
      <c r="E561" s="540"/>
      <c r="F561" s="540"/>
      <c r="G561" s="540"/>
      <c r="H561" s="540"/>
      <c r="I561" s="540">
        <v>0.25</v>
      </c>
      <c r="J561" s="540">
        <v>0.25</v>
      </c>
      <c r="K561" s="540">
        <v>0.5</v>
      </c>
      <c r="L561" s="540"/>
      <c r="M561" s="540"/>
      <c r="N561" s="540"/>
      <c r="O561" s="540"/>
      <c r="P561" s="541">
        <f>C559</f>
        <v>2.6580255163745056E-2</v>
      </c>
      <c r="R561" s="205">
        <f t="shared" si="397"/>
        <v>1</v>
      </c>
    </row>
    <row r="562" spans="1:18">
      <c r="A562" s="770" t="s">
        <v>588</v>
      </c>
      <c r="B562" s="736">
        <f>IMPLANTAÇÃO!$J$178</f>
        <v>521402.27999999997</v>
      </c>
      <c r="C562" s="785">
        <f t="shared" ref="C562" si="433">B562/$B$571</f>
        <v>0.16850802653249911</v>
      </c>
      <c r="D562" s="213">
        <f t="shared" ref="D562:O562" si="434">$B562*D564</f>
        <v>52140.228000000003</v>
      </c>
      <c r="E562" s="214">
        <f t="shared" si="434"/>
        <v>52140.228000000003</v>
      </c>
      <c r="F562" s="214">
        <f t="shared" si="434"/>
        <v>52140.228000000003</v>
      </c>
      <c r="G562" s="214">
        <f t="shared" si="434"/>
        <v>52140.228000000003</v>
      </c>
      <c r="H562" s="214">
        <f t="shared" si="434"/>
        <v>52140.228000000003</v>
      </c>
      <c r="I562" s="214">
        <f t="shared" si="434"/>
        <v>52140.228000000003</v>
      </c>
      <c r="J562" s="214">
        <f t="shared" si="434"/>
        <v>52140.228000000003</v>
      </c>
      <c r="K562" s="214">
        <f t="shared" si="434"/>
        <v>52140.228000000003</v>
      </c>
      <c r="L562" s="214">
        <f t="shared" si="434"/>
        <v>52140.228000000003</v>
      </c>
      <c r="M562" s="214">
        <f t="shared" si="434"/>
        <v>52140.228000000003</v>
      </c>
      <c r="N562" s="214">
        <f t="shared" si="434"/>
        <v>0</v>
      </c>
      <c r="O562" s="214">
        <f t="shared" si="434"/>
        <v>0</v>
      </c>
      <c r="P562" s="538">
        <f>SUM(D562:O562)</f>
        <v>521402.28</v>
      </c>
      <c r="R562" s="205"/>
    </row>
    <row r="563" spans="1:18" ht="5.0999999999999996" customHeight="1">
      <c r="A563" s="771"/>
      <c r="B563" s="737"/>
      <c r="C563" s="785"/>
      <c r="D563" s="539">
        <f>+D564</f>
        <v>0.1</v>
      </c>
      <c r="E563" s="539">
        <f t="shared" ref="E563:O563" si="435">+E564</f>
        <v>0.1</v>
      </c>
      <c r="F563" s="539">
        <f t="shared" si="435"/>
        <v>0.1</v>
      </c>
      <c r="G563" s="539">
        <f t="shared" si="435"/>
        <v>0.1</v>
      </c>
      <c r="H563" s="539">
        <f t="shared" si="435"/>
        <v>0.1</v>
      </c>
      <c r="I563" s="539">
        <f t="shared" si="435"/>
        <v>0.1</v>
      </c>
      <c r="J563" s="539">
        <f t="shared" si="435"/>
        <v>0.1</v>
      </c>
      <c r="K563" s="539">
        <f t="shared" si="435"/>
        <v>0.1</v>
      </c>
      <c r="L563" s="539">
        <f t="shared" si="435"/>
        <v>0.1</v>
      </c>
      <c r="M563" s="539">
        <f t="shared" si="435"/>
        <v>0.1</v>
      </c>
      <c r="N563" s="539">
        <f t="shared" si="435"/>
        <v>0</v>
      </c>
      <c r="O563" s="539">
        <f t="shared" si="435"/>
        <v>0</v>
      </c>
      <c r="P563" s="538"/>
      <c r="R563" s="205">
        <f t="shared" si="397"/>
        <v>0.99999999999999989</v>
      </c>
    </row>
    <row r="564" spans="1:18">
      <c r="A564" s="772"/>
      <c r="B564" s="738"/>
      <c r="C564" s="786"/>
      <c r="D564" s="540">
        <v>0.1</v>
      </c>
      <c r="E564" s="540">
        <v>0.1</v>
      </c>
      <c r="F564" s="540">
        <v>0.1</v>
      </c>
      <c r="G564" s="540">
        <v>0.1</v>
      </c>
      <c r="H564" s="540">
        <v>0.1</v>
      </c>
      <c r="I564" s="540">
        <v>0.1</v>
      </c>
      <c r="J564" s="540">
        <v>0.1</v>
      </c>
      <c r="K564" s="540">
        <v>0.1</v>
      </c>
      <c r="L564" s="540">
        <v>0.1</v>
      </c>
      <c r="M564" s="540">
        <v>0.1</v>
      </c>
      <c r="N564" s="540"/>
      <c r="O564" s="540"/>
      <c r="P564" s="541">
        <f>C562</f>
        <v>0.16850802653249911</v>
      </c>
      <c r="R564" s="205">
        <f t="shared" si="397"/>
        <v>0.99999999999999989</v>
      </c>
    </row>
    <row r="565" spans="1:18">
      <c r="A565" s="770" t="s">
        <v>587</v>
      </c>
      <c r="B565" s="736">
        <f>IMPLANTAÇÃO!$J$186</f>
        <v>150312.4672712</v>
      </c>
      <c r="C565" s="785">
        <f t="shared" ref="C565" si="436">B565/$B$571</f>
        <v>4.8578339977916427E-2</v>
      </c>
      <c r="D565" s="213">
        <f t="shared" ref="D565:O565" si="437">$B565*D567</f>
        <v>0</v>
      </c>
      <c r="E565" s="214">
        <f t="shared" si="437"/>
        <v>0</v>
      </c>
      <c r="F565" s="214">
        <f t="shared" si="437"/>
        <v>0</v>
      </c>
      <c r="G565" s="214">
        <f t="shared" si="437"/>
        <v>0</v>
      </c>
      <c r="H565" s="214">
        <f t="shared" si="437"/>
        <v>0</v>
      </c>
      <c r="I565" s="214">
        <f t="shared" si="437"/>
        <v>0</v>
      </c>
      <c r="J565" s="214">
        <f t="shared" si="437"/>
        <v>60124.986908480001</v>
      </c>
      <c r="K565" s="214">
        <f t="shared" si="437"/>
        <v>90187.480362720002</v>
      </c>
      <c r="L565" s="214">
        <f t="shared" si="437"/>
        <v>0</v>
      </c>
      <c r="M565" s="214">
        <f t="shared" si="437"/>
        <v>0</v>
      </c>
      <c r="N565" s="214">
        <f t="shared" si="437"/>
        <v>0</v>
      </c>
      <c r="O565" s="214">
        <f t="shared" si="437"/>
        <v>0</v>
      </c>
      <c r="P565" s="538">
        <f>SUM(D565:O565)</f>
        <v>150312.4672712</v>
      </c>
      <c r="R565" s="205"/>
    </row>
    <row r="566" spans="1:18" ht="5.0999999999999996" customHeight="1">
      <c r="A566" s="771"/>
      <c r="B566" s="737"/>
      <c r="C566" s="785"/>
      <c r="D566" s="539">
        <f>+D567</f>
        <v>0</v>
      </c>
      <c r="E566" s="539">
        <f t="shared" ref="E566:O566" si="438">+E567</f>
        <v>0</v>
      </c>
      <c r="F566" s="539">
        <f t="shared" si="438"/>
        <v>0</v>
      </c>
      <c r="G566" s="539">
        <f t="shared" si="438"/>
        <v>0</v>
      </c>
      <c r="H566" s="539">
        <f t="shared" si="438"/>
        <v>0</v>
      </c>
      <c r="I566" s="539">
        <f t="shared" si="438"/>
        <v>0</v>
      </c>
      <c r="J566" s="539">
        <f t="shared" si="438"/>
        <v>0.4</v>
      </c>
      <c r="K566" s="539">
        <f t="shared" si="438"/>
        <v>0.6</v>
      </c>
      <c r="L566" s="539">
        <f t="shared" si="438"/>
        <v>0</v>
      </c>
      <c r="M566" s="539">
        <f t="shared" si="438"/>
        <v>0</v>
      </c>
      <c r="N566" s="539">
        <f t="shared" si="438"/>
        <v>0</v>
      </c>
      <c r="O566" s="539">
        <f t="shared" si="438"/>
        <v>0</v>
      </c>
      <c r="P566" s="538"/>
      <c r="R566" s="205">
        <f t="shared" si="397"/>
        <v>1</v>
      </c>
    </row>
    <row r="567" spans="1:18">
      <c r="A567" s="772"/>
      <c r="B567" s="738"/>
      <c r="C567" s="786"/>
      <c r="D567" s="540"/>
      <c r="E567" s="540"/>
      <c r="F567" s="540"/>
      <c r="G567" s="540"/>
      <c r="H567" s="540"/>
      <c r="I567" s="540"/>
      <c r="J567" s="540">
        <v>0.4</v>
      </c>
      <c r="K567" s="540">
        <v>0.6</v>
      </c>
      <c r="L567" s="540"/>
      <c r="M567" s="540"/>
      <c r="N567" s="540"/>
      <c r="O567" s="540"/>
      <c r="P567" s="541">
        <f>C565</f>
        <v>4.8578339977916427E-2</v>
      </c>
      <c r="R567" s="205">
        <f t="shared" si="397"/>
        <v>1</v>
      </c>
    </row>
    <row r="568" spans="1:18">
      <c r="A568" s="770" t="s">
        <v>2</v>
      </c>
      <c r="B568" s="736">
        <f>IMPLANTAÇÃO!$J$201</f>
        <v>382527.50558</v>
      </c>
      <c r="C568" s="785">
        <f t="shared" ref="C568" si="439">B568/$B$571</f>
        <v>0.1236261472805323</v>
      </c>
      <c r="D568" s="213">
        <f t="shared" ref="D568:O568" si="440">$B568*D570</f>
        <v>0</v>
      </c>
      <c r="E568" s="214">
        <f t="shared" si="440"/>
        <v>0</v>
      </c>
      <c r="F568" s="214">
        <f t="shared" si="440"/>
        <v>0</v>
      </c>
      <c r="G568" s="214">
        <f t="shared" si="440"/>
        <v>0</v>
      </c>
      <c r="H568" s="214">
        <f t="shared" si="440"/>
        <v>0</v>
      </c>
      <c r="I568" s="214">
        <f t="shared" si="440"/>
        <v>0</v>
      </c>
      <c r="J568" s="214">
        <f t="shared" si="440"/>
        <v>0</v>
      </c>
      <c r="K568" s="214">
        <f t="shared" si="440"/>
        <v>114758.251674</v>
      </c>
      <c r="L568" s="214">
        <f t="shared" si="440"/>
        <v>153011.002232</v>
      </c>
      <c r="M568" s="214">
        <f t="shared" si="440"/>
        <v>114758.251674</v>
      </c>
      <c r="N568" s="214">
        <f t="shared" si="440"/>
        <v>0</v>
      </c>
      <c r="O568" s="214">
        <f t="shared" si="440"/>
        <v>0</v>
      </c>
      <c r="P568" s="538">
        <f>SUM(D568:O568)</f>
        <v>382527.50558</v>
      </c>
      <c r="R568" s="205"/>
    </row>
    <row r="569" spans="1:18" ht="5.0999999999999996" customHeight="1">
      <c r="A569" s="771"/>
      <c r="B569" s="737"/>
      <c r="C569" s="785"/>
      <c r="D569" s="539">
        <f>+D570</f>
        <v>0</v>
      </c>
      <c r="E569" s="539">
        <f t="shared" ref="E569:O569" si="441">+E570</f>
        <v>0</v>
      </c>
      <c r="F569" s="539">
        <f t="shared" si="441"/>
        <v>0</v>
      </c>
      <c r="G569" s="539">
        <f t="shared" si="441"/>
        <v>0</v>
      </c>
      <c r="H569" s="539">
        <f t="shared" si="441"/>
        <v>0</v>
      </c>
      <c r="I569" s="539">
        <f t="shared" si="441"/>
        <v>0</v>
      </c>
      <c r="J569" s="539">
        <f t="shared" si="441"/>
        <v>0</v>
      </c>
      <c r="K569" s="539">
        <f t="shared" si="441"/>
        <v>0.3</v>
      </c>
      <c r="L569" s="539">
        <f t="shared" si="441"/>
        <v>0.4</v>
      </c>
      <c r="M569" s="539">
        <f t="shared" si="441"/>
        <v>0.3</v>
      </c>
      <c r="N569" s="539">
        <f t="shared" si="441"/>
        <v>0</v>
      </c>
      <c r="O569" s="539">
        <f t="shared" si="441"/>
        <v>0</v>
      </c>
      <c r="P569" s="538"/>
      <c r="R569" s="205">
        <f t="shared" si="397"/>
        <v>1</v>
      </c>
    </row>
    <row r="570" spans="1:18">
      <c r="A570" s="771"/>
      <c r="B570" s="737"/>
      <c r="C570" s="785"/>
      <c r="D570" s="553"/>
      <c r="E570" s="553"/>
      <c r="F570" s="553"/>
      <c r="G570" s="553"/>
      <c r="H570" s="553"/>
      <c r="I570" s="553"/>
      <c r="J570" s="553"/>
      <c r="K570" s="553">
        <v>0.3</v>
      </c>
      <c r="L570" s="553">
        <v>0.4</v>
      </c>
      <c r="M570" s="553">
        <v>0.3</v>
      </c>
      <c r="N570" s="553"/>
      <c r="O570" s="553"/>
      <c r="P570" s="548">
        <f>C568</f>
        <v>0.1236261472805323</v>
      </c>
      <c r="R570" s="205">
        <f t="shared" si="397"/>
        <v>1</v>
      </c>
    </row>
    <row r="571" spans="1:18">
      <c r="A571" s="776" t="s">
        <v>7055</v>
      </c>
      <c r="B571" s="554">
        <f>SUM(B532:B570)</f>
        <v>3094228.1547605707</v>
      </c>
      <c r="C571" s="555">
        <f>SUM(C532:C570)</f>
        <v>0.99999999999999989</v>
      </c>
      <c r="D571" s="556">
        <f t="shared" ref="D571:M571" si="442">(D532+D535+D538+D541+D544+D547+D550+D553+D556+D559+D562+D565+D568)</f>
        <v>59276.962405556522</v>
      </c>
      <c r="E571" s="556">
        <f t="shared" si="442"/>
        <v>303430.17845759029</v>
      </c>
      <c r="F571" s="556">
        <f t="shared" si="442"/>
        <v>333062.9136503436</v>
      </c>
      <c r="G571" s="556">
        <f t="shared" si="442"/>
        <v>312988.33040858904</v>
      </c>
      <c r="H571" s="556">
        <f t="shared" si="442"/>
        <v>167824.74424292252</v>
      </c>
      <c r="I571" s="556">
        <f t="shared" si="442"/>
        <v>390225.17573041306</v>
      </c>
      <c r="J571" s="556">
        <f t="shared" si="442"/>
        <v>527087.76481402852</v>
      </c>
      <c r="K571" s="556">
        <f t="shared" si="442"/>
        <v>620365.24841589364</v>
      </c>
      <c r="L571" s="556">
        <f t="shared" si="442"/>
        <v>207583.75055567699</v>
      </c>
      <c r="M571" s="556">
        <f t="shared" si="442"/>
        <v>172383.08607955652</v>
      </c>
      <c r="N571" s="556">
        <f t="shared" ref="N571:O571" si="443">(N532+N535+N538+N541+N544+N550+N553+N556+N559+N562+N565+N568)</f>
        <v>0</v>
      </c>
      <c r="O571" s="556">
        <f t="shared" si="443"/>
        <v>0</v>
      </c>
      <c r="P571" s="557">
        <f>(P532+P535+P538+P541+P544+P547+P550+P553+P556+P559+P562+P565+P568)</f>
        <v>3094228.1547605707</v>
      </c>
      <c r="R571" s="205"/>
    </row>
    <row r="572" spans="1:18">
      <c r="A572" s="794"/>
      <c r="B572" s="218"/>
      <c r="C572" s="216"/>
      <c r="D572" s="589">
        <f t="shared" ref="D572:O572" si="444">D571/$B$571</f>
        <v>1.9157269419308006E-2</v>
      </c>
      <c r="E572" s="589">
        <f t="shared" si="444"/>
        <v>9.8063285343310283E-2</v>
      </c>
      <c r="F572" s="589">
        <f t="shared" si="444"/>
        <v>0.10764006304380479</v>
      </c>
      <c r="G572" s="589">
        <f t="shared" si="444"/>
        <v>0.10115231157956026</v>
      </c>
      <c r="H572" s="589">
        <f t="shared" si="444"/>
        <v>5.4237999219520605E-2</v>
      </c>
      <c r="I572" s="589">
        <f t="shared" si="444"/>
        <v>0.12611389859213806</v>
      </c>
      <c r="J572" s="589">
        <f t="shared" si="444"/>
        <v>0.17034547501065389</v>
      </c>
      <c r="K572" s="589">
        <f t="shared" si="444"/>
        <v>0.20049111357914623</v>
      </c>
      <c r="L572" s="589">
        <f t="shared" si="444"/>
        <v>6.7087409257879912E-2</v>
      </c>
      <c r="M572" s="589">
        <f t="shared" si="444"/>
        <v>5.5711174954677964E-2</v>
      </c>
      <c r="N572" s="589">
        <f t="shared" si="444"/>
        <v>0</v>
      </c>
      <c r="O572" s="589">
        <f t="shared" si="444"/>
        <v>0</v>
      </c>
      <c r="P572" s="590">
        <f>P571/B571</f>
        <v>1</v>
      </c>
      <c r="R572" s="205">
        <f t="shared" si="397"/>
        <v>1</v>
      </c>
    </row>
    <row r="573" spans="1:18" s="61" customFormat="1" ht="36" customHeight="1">
      <c r="R573" s="580"/>
    </row>
    <row r="574" spans="1:18">
      <c r="A574" s="783" t="s">
        <v>6937</v>
      </c>
      <c r="B574" s="783"/>
      <c r="C574" s="783"/>
      <c r="D574" s="783"/>
      <c r="E574" s="783"/>
      <c r="F574" s="783"/>
      <c r="G574" s="783"/>
      <c r="H574" s="783"/>
      <c r="I574" s="783"/>
      <c r="J574" s="783"/>
      <c r="K574" s="783"/>
      <c r="L574" s="783"/>
      <c r="M574" s="783"/>
      <c r="N574" s="783"/>
      <c r="O574" s="783"/>
      <c r="P574" s="578"/>
      <c r="R574" s="205"/>
    </row>
    <row r="575" spans="1:18">
      <c r="A575" s="770" t="s">
        <v>612</v>
      </c>
      <c r="B575" s="736">
        <f>GALPÃO!$J$15</f>
        <v>201.6</v>
      </c>
      <c r="C575" s="795">
        <f>B575/$B$614</f>
        <v>8.8325819808226841E-4</v>
      </c>
      <c r="D575" s="213">
        <f>$B575*D577</f>
        <v>0</v>
      </c>
      <c r="E575" s="214">
        <f>$B575*E577</f>
        <v>0</v>
      </c>
      <c r="F575" s="214">
        <f t="shared" ref="F575:O575" si="445">$B575*F577</f>
        <v>201.6</v>
      </c>
      <c r="G575" s="214">
        <f t="shared" si="445"/>
        <v>0</v>
      </c>
      <c r="H575" s="214">
        <f t="shared" si="445"/>
        <v>0</v>
      </c>
      <c r="I575" s="214">
        <f t="shared" si="445"/>
        <v>0</v>
      </c>
      <c r="J575" s="214">
        <f t="shared" si="445"/>
        <v>0</v>
      </c>
      <c r="K575" s="214">
        <f t="shared" si="445"/>
        <v>0</v>
      </c>
      <c r="L575" s="214">
        <f t="shared" si="445"/>
        <v>0</v>
      </c>
      <c r="M575" s="214">
        <f t="shared" si="445"/>
        <v>0</v>
      </c>
      <c r="N575" s="214">
        <f t="shared" si="445"/>
        <v>0</v>
      </c>
      <c r="O575" s="214">
        <f t="shared" si="445"/>
        <v>0</v>
      </c>
      <c r="P575" s="538">
        <f>SUM(D575:O575)</f>
        <v>201.6</v>
      </c>
      <c r="R575" s="205"/>
    </row>
    <row r="576" spans="1:18" ht="5.0999999999999996" customHeight="1">
      <c r="A576" s="771"/>
      <c r="B576" s="737"/>
      <c r="C576" s="796"/>
      <c r="D576" s="539">
        <f>+D577</f>
        <v>0</v>
      </c>
      <c r="E576" s="539">
        <f t="shared" ref="E576:O576" si="446">+E577</f>
        <v>0</v>
      </c>
      <c r="F576" s="539">
        <f t="shared" si="446"/>
        <v>1</v>
      </c>
      <c r="G576" s="539">
        <f t="shared" si="446"/>
        <v>0</v>
      </c>
      <c r="H576" s="539">
        <f t="shared" si="446"/>
        <v>0</v>
      </c>
      <c r="I576" s="539">
        <f t="shared" si="446"/>
        <v>0</v>
      </c>
      <c r="J576" s="539">
        <f t="shared" si="446"/>
        <v>0</v>
      </c>
      <c r="K576" s="539">
        <f t="shared" si="446"/>
        <v>0</v>
      </c>
      <c r="L576" s="539">
        <f t="shared" si="446"/>
        <v>0</v>
      </c>
      <c r="M576" s="539">
        <f t="shared" si="446"/>
        <v>0</v>
      </c>
      <c r="N576" s="539">
        <f t="shared" si="446"/>
        <v>0</v>
      </c>
      <c r="O576" s="539">
        <f t="shared" si="446"/>
        <v>0</v>
      </c>
      <c r="P576" s="538"/>
      <c r="R576" s="205">
        <f t="shared" si="397"/>
        <v>1</v>
      </c>
    </row>
    <row r="577" spans="1:18">
      <c r="A577" s="772"/>
      <c r="B577" s="738"/>
      <c r="C577" s="797"/>
      <c r="D577" s="540"/>
      <c r="E577" s="540"/>
      <c r="F577" s="540">
        <v>1</v>
      </c>
      <c r="G577" s="540"/>
      <c r="H577" s="540"/>
      <c r="I577" s="540"/>
      <c r="J577" s="540"/>
      <c r="K577" s="540"/>
      <c r="L577" s="540"/>
      <c r="M577" s="540"/>
      <c r="N577" s="540"/>
      <c r="O577" s="540"/>
      <c r="P577" s="541">
        <f>C575</f>
        <v>8.8325819808226841E-4</v>
      </c>
      <c r="R577" s="205">
        <f t="shared" si="397"/>
        <v>1</v>
      </c>
    </row>
    <row r="578" spans="1:18">
      <c r="A578" s="770" t="s">
        <v>611</v>
      </c>
      <c r="B578" s="736">
        <f>GALPÃO!$J$18</f>
        <v>1594.2276474600001</v>
      </c>
      <c r="C578" s="795">
        <f t="shared" ref="C578" si="447">B578/$B$614</f>
        <v>6.9846956310935194E-3</v>
      </c>
      <c r="D578" s="213">
        <f>$B578*D580</f>
        <v>0</v>
      </c>
      <c r="E578" s="214">
        <f>$B578*E580</f>
        <v>0</v>
      </c>
      <c r="F578" s="214">
        <f t="shared" ref="F578:O578" si="448">$B578*F580</f>
        <v>199.27845593250001</v>
      </c>
      <c r="G578" s="214">
        <f t="shared" si="448"/>
        <v>199.27845593250001</v>
      </c>
      <c r="H578" s="214">
        <f t="shared" si="448"/>
        <v>199.27845593250001</v>
      </c>
      <c r="I578" s="214">
        <f t="shared" si="448"/>
        <v>199.27845593250001</v>
      </c>
      <c r="J578" s="214">
        <f t="shared" si="448"/>
        <v>199.27845593250001</v>
      </c>
      <c r="K578" s="214">
        <f t="shared" si="448"/>
        <v>199.27845593250001</v>
      </c>
      <c r="L578" s="214">
        <f t="shared" si="448"/>
        <v>199.27845593250001</v>
      </c>
      <c r="M578" s="214">
        <f t="shared" si="448"/>
        <v>199.27845593250001</v>
      </c>
      <c r="N578" s="214">
        <f t="shared" si="448"/>
        <v>0</v>
      </c>
      <c r="O578" s="214">
        <f t="shared" si="448"/>
        <v>0</v>
      </c>
      <c r="P578" s="538">
        <f>SUM(D578:O578)</f>
        <v>1594.2276474600001</v>
      </c>
      <c r="R578" s="205"/>
    </row>
    <row r="579" spans="1:18" ht="5.0999999999999996" customHeight="1">
      <c r="A579" s="771"/>
      <c r="B579" s="737"/>
      <c r="C579" s="796"/>
      <c r="D579" s="539">
        <f>+D580</f>
        <v>0</v>
      </c>
      <c r="E579" s="539">
        <f t="shared" ref="E579:O579" si="449">+E580</f>
        <v>0</v>
      </c>
      <c r="F579" s="539">
        <f t="shared" si="449"/>
        <v>0.125</v>
      </c>
      <c r="G579" s="539">
        <f t="shared" si="449"/>
        <v>0.125</v>
      </c>
      <c r="H579" s="539">
        <f t="shared" si="449"/>
        <v>0.125</v>
      </c>
      <c r="I579" s="539">
        <f t="shared" si="449"/>
        <v>0.125</v>
      </c>
      <c r="J579" s="539">
        <f t="shared" si="449"/>
        <v>0.125</v>
      </c>
      <c r="K579" s="539">
        <f t="shared" si="449"/>
        <v>0.125</v>
      </c>
      <c r="L579" s="539">
        <f t="shared" si="449"/>
        <v>0.125</v>
      </c>
      <c r="M579" s="539">
        <f t="shared" si="449"/>
        <v>0.125</v>
      </c>
      <c r="N579" s="539">
        <f t="shared" si="449"/>
        <v>0</v>
      </c>
      <c r="O579" s="539">
        <f t="shared" si="449"/>
        <v>0</v>
      </c>
      <c r="P579" s="538"/>
      <c r="R579" s="205">
        <f t="shared" si="397"/>
        <v>1</v>
      </c>
    </row>
    <row r="580" spans="1:18">
      <c r="A580" s="772"/>
      <c r="B580" s="738"/>
      <c r="C580" s="797"/>
      <c r="D580" s="540"/>
      <c r="E580" s="540"/>
      <c r="F580" s="540">
        <v>0.125</v>
      </c>
      <c r="G580" s="540">
        <v>0.125</v>
      </c>
      <c r="H580" s="540">
        <v>0.125</v>
      </c>
      <c r="I580" s="540">
        <v>0.125</v>
      </c>
      <c r="J580" s="540">
        <v>0.125</v>
      </c>
      <c r="K580" s="540">
        <v>0.125</v>
      </c>
      <c r="L580" s="540">
        <v>0.125</v>
      </c>
      <c r="M580" s="540">
        <v>0.125</v>
      </c>
      <c r="N580" s="540"/>
      <c r="O580" s="540"/>
      <c r="P580" s="548">
        <f>C578</f>
        <v>6.9846956310935194E-3</v>
      </c>
      <c r="R580" s="205">
        <f t="shared" si="397"/>
        <v>1</v>
      </c>
    </row>
    <row r="581" spans="1:18">
      <c r="A581" s="733" t="s">
        <v>605</v>
      </c>
      <c r="B581" s="736">
        <f>GALPÃO!$J$67</f>
        <v>73001.792586399984</v>
      </c>
      <c r="C581" s="795">
        <f t="shared" ref="C581" si="450">B581/$B$614</f>
        <v>0.31983845127301169</v>
      </c>
      <c r="D581" s="213">
        <f>$B581*D583</f>
        <v>0</v>
      </c>
      <c r="E581" s="214">
        <f>$B581*E583</f>
        <v>0</v>
      </c>
      <c r="F581" s="214">
        <f t="shared" ref="F581:O581" si="451">$B581*F583</f>
        <v>9125.2240732999981</v>
      </c>
      <c r="G581" s="214">
        <f t="shared" si="451"/>
        <v>9125.2240732999981</v>
      </c>
      <c r="H581" s="214">
        <f t="shared" si="451"/>
        <v>0</v>
      </c>
      <c r="I581" s="214">
        <f t="shared" si="451"/>
        <v>0</v>
      </c>
      <c r="J581" s="214">
        <f t="shared" si="451"/>
        <v>18250.448146599996</v>
      </c>
      <c r="K581" s="214">
        <f t="shared" si="451"/>
        <v>18250.448146599996</v>
      </c>
      <c r="L581" s="214">
        <f t="shared" si="451"/>
        <v>18250.448146599996</v>
      </c>
      <c r="M581" s="214">
        <f t="shared" si="451"/>
        <v>0</v>
      </c>
      <c r="N581" s="214">
        <f t="shared" si="451"/>
        <v>0</v>
      </c>
      <c r="O581" s="214">
        <f t="shared" si="451"/>
        <v>0</v>
      </c>
      <c r="P581" s="538">
        <f>SUM(D581:O581)</f>
        <v>73001.792586399984</v>
      </c>
      <c r="R581" s="205"/>
    </row>
    <row r="582" spans="1:18" ht="5.0999999999999996" customHeight="1">
      <c r="A582" s="734"/>
      <c r="B582" s="737"/>
      <c r="C582" s="796"/>
      <c r="D582" s="539">
        <f>+D583</f>
        <v>0</v>
      </c>
      <c r="E582" s="539">
        <f t="shared" ref="E582:O582" si="452">+E583</f>
        <v>0</v>
      </c>
      <c r="F582" s="539">
        <f t="shared" si="452"/>
        <v>0.125</v>
      </c>
      <c r="G582" s="539">
        <f t="shared" si="452"/>
        <v>0.125</v>
      </c>
      <c r="H582" s="539">
        <f t="shared" si="452"/>
        <v>0</v>
      </c>
      <c r="I582" s="539">
        <f t="shared" si="452"/>
        <v>0</v>
      </c>
      <c r="J582" s="539">
        <f t="shared" si="452"/>
        <v>0.25</v>
      </c>
      <c r="K582" s="539">
        <f t="shared" si="452"/>
        <v>0.25</v>
      </c>
      <c r="L582" s="539">
        <f t="shared" si="452"/>
        <v>0.25</v>
      </c>
      <c r="M582" s="539">
        <f t="shared" si="452"/>
        <v>0</v>
      </c>
      <c r="N582" s="539">
        <f t="shared" si="452"/>
        <v>0</v>
      </c>
      <c r="O582" s="539">
        <f t="shared" si="452"/>
        <v>0</v>
      </c>
      <c r="P582" s="538"/>
      <c r="R582" s="205">
        <f t="shared" si="397"/>
        <v>1</v>
      </c>
    </row>
    <row r="583" spans="1:18">
      <c r="A583" s="735"/>
      <c r="B583" s="738"/>
      <c r="C583" s="797"/>
      <c r="D583" s="540"/>
      <c r="E583" s="540"/>
      <c r="F583" s="540">
        <v>0.125</v>
      </c>
      <c r="G583" s="540">
        <v>0.125</v>
      </c>
      <c r="H583" s="540"/>
      <c r="I583" s="540"/>
      <c r="J583" s="540">
        <v>0.25</v>
      </c>
      <c r="K583" s="540">
        <v>0.25</v>
      </c>
      <c r="L583" s="540">
        <v>0.25</v>
      </c>
      <c r="M583" s="540"/>
      <c r="N583" s="540"/>
      <c r="O583" s="540"/>
      <c r="P583" s="541">
        <f>C581</f>
        <v>0.31983845127301169</v>
      </c>
      <c r="R583" s="205">
        <f t="shared" si="397"/>
        <v>1</v>
      </c>
    </row>
    <row r="584" spans="1:18">
      <c r="A584" s="770" t="s">
        <v>604</v>
      </c>
      <c r="B584" s="736">
        <f>GALPÃO!$J$91</f>
        <v>8084.668811999999</v>
      </c>
      <c r="C584" s="795">
        <f t="shared" ref="C584" si="453">B584/$B$614</f>
        <v>3.5420882971126152E-2</v>
      </c>
      <c r="D584" s="213">
        <f>$B584*D586</f>
        <v>0</v>
      </c>
      <c r="E584" s="214">
        <f>$B584*E586</f>
        <v>0</v>
      </c>
      <c r="F584" s="214">
        <f t="shared" ref="F584:O584" si="454">$B584*F586</f>
        <v>808.46688119999999</v>
      </c>
      <c r="G584" s="214">
        <f t="shared" si="454"/>
        <v>808.46688119999999</v>
      </c>
      <c r="H584" s="214">
        <f t="shared" si="454"/>
        <v>0</v>
      </c>
      <c r="I584" s="214">
        <f t="shared" si="454"/>
        <v>0</v>
      </c>
      <c r="J584" s="214">
        <f t="shared" si="454"/>
        <v>2021.1672029999997</v>
      </c>
      <c r="K584" s="214">
        <f t="shared" si="454"/>
        <v>2425.4006435999995</v>
      </c>
      <c r="L584" s="214">
        <f t="shared" si="454"/>
        <v>2021.1672029999997</v>
      </c>
      <c r="M584" s="214">
        <f t="shared" si="454"/>
        <v>0</v>
      </c>
      <c r="N584" s="214">
        <f t="shared" si="454"/>
        <v>0</v>
      </c>
      <c r="O584" s="214">
        <f t="shared" si="454"/>
        <v>0</v>
      </c>
      <c r="P584" s="538">
        <f>SUM(D584:O584)</f>
        <v>8084.668811999999</v>
      </c>
      <c r="R584" s="205"/>
    </row>
    <row r="585" spans="1:18" ht="5.0999999999999996" customHeight="1">
      <c r="A585" s="771" t="s">
        <v>604</v>
      </c>
      <c r="B585" s="737"/>
      <c r="C585" s="796"/>
      <c r="D585" s="539">
        <f>+D586</f>
        <v>0</v>
      </c>
      <c r="E585" s="539">
        <f t="shared" ref="E585:O585" si="455">+E586</f>
        <v>0</v>
      </c>
      <c r="F585" s="539">
        <f t="shared" si="455"/>
        <v>0.1</v>
      </c>
      <c r="G585" s="539">
        <f t="shared" si="455"/>
        <v>0.1</v>
      </c>
      <c r="H585" s="539">
        <f t="shared" si="455"/>
        <v>0</v>
      </c>
      <c r="I585" s="539">
        <f t="shared" si="455"/>
        <v>0</v>
      </c>
      <c r="J585" s="539">
        <f t="shared" si="455"/>
        <v>0.25</v>
      </c>
      <c r="K585" s="539">
        <f t="shared" si="455"/>
        <v>0.3</v>
      </c>
      <c r="L585" s="539">
        <f t="shared" si="455"/>
        <v>0.25</v>
      </c>
      <c r="M585" s="539">
        <f t="shared" si="455"/>
        <v>0</v>
      </c>
      <c r="N585" s="539">
        <f t="shared" si="455"/>
        <v>0</v>
      </c>
      <c r="O585" s="539">
        <f t="shared" si="455"/>
        <v>0</v>
      </c>
      <c r="P585" s="538"/>
      <c r="R585" s="205">
        <f t="shared" si="397"/>
        <v>1</v>
      </c>
    </row>
    <row r="586" spans="1:18">
      <c r="A586" s="772" t="s">
        <v>604</v>
      </c>
      <c r="B586" s="738"/>
      <c r="C586" s="797"/>
      <c r="D586" s="540"/>
      <c r="E586" s="540"/>
      <c r="F586" s="540">
        <v>0.1</v>
      </c>
      <c r="G586" s="540">
        <v>0.1</v>
      </c>
      <c r="H586" s="540"/>
      <c r="I586" s="540"/>
      <c r="J586" s="540">
        <v>0.25</v>
      </c>
      <c r="K586" s="540">
        <v>0.3</v>
      </c>
      <c r="L586" s="540">
        <v>0.25</v>
      </c>
      <c r="M586" s="540"/>
      <c r="N586" s="540"/>
      <c r="O586" s="540"/>
      <c r="P586" s="541">
        <f>C584</f>
        <v>3.5420882971126152E-2</v>
      </c>
      <c r="R586" s="205">
        <f t="shared" si="397"/>
        <v>1</v>
      </c>
    </row>
    <row r="587" spans="1:18">
      <c r="A587" s="770" t="s">
        <v>602</v>
      </c>
      <c r="B587" s="736">
        <f>GALPÃO!$J$94</f>
        <v>287.10000000000002</v>
      </c>
      <c r="C587" s="795">
        <f t="shared" ref="C587" si="456">B587/$B$614</f>
        <v>1.2578543088760878E-3</v>
      </c>
      <c r="D587" s="213">
        <f>$B587*D589</f>
        <v>0</v>
      </c>
      <c r="E587" s="214">
        <f>$B587*E589</f>
        <v>0</v>
      </c>
      <c r="F587" s="214">
        <f t="shared" ref="F587:O587" si="457">$B587*F589</f>
        <v>0</v>
      </c>
      <c r="G587" s="214">
        <f t="shared" si="457"/>
        <v>287.10000000000002</v>
      </c>
      <c r="H587" s="214">
        <f t="shared" si="457"/>
        <v>0</v>
      </c>
      <c r="I587" s="214">
        <f t="shared" si="457"/>
        <v>0</v>
      </c>
      <c r="J587" s="214">
        <f t="shared" si="457"/>
        <v>0</v>
      </c>
      <c r="K587" s="214">
        <f t="shared" si="457"/>
        <v>0</v>
      </c>
      <c r="L587" s="214">
        <f t="shared" si="457"/>
        <v>0</v>
      </c>
      <c r="M587" s="214">
        <f t="shared" si="457"/>
        <v>0</v>
      </c>
      <c r="N587" s="214">
        <f t="shared" si="457"/>
        <v>0</v>
      </c>
      <c r="O587" s="214">
        <f t="shared" si="457"/>
        <v>0</v>
      </c>
      <c r="P587" s="538">
        <f>SUM(D587:O587)</f>
        <v>287.10000000000002</v>
      </c>
      <c r="R587" s="205"/>
    </row>
    <row r="588" spans="1:18" ht="5.0999999999999996" customHeight="1">
      <c r="A588" s="771" t="s">
        <v>602</v>
      </c>
      <c r="B588" s="737"/>
      <c r="C588" s="796"/>
      <c r="D588" s="539">
        <f>+D589</f>
        <v>0</v>
      </c>
      <c r="E588" s="539">
        <f t="shared" ref="E588:O588" si="458">+E589</f>
        <v>0</v>
      </c>
      <c r="F588" s="539">
        <f t="shared" si="458"/>
        <v>0</v>
      </c>
      <c r="G588" s="539">
        <f t="shared" si="458"/>
        <v>1</v>
      </c>
      <c r="H588" s="539">
        <f t="shared" si="458"/>
        <v>0</v>
      </c>
      <c r="I588" s="539">
        <f t="shared" si="458"/>
        <v>0</v>
      </c>
      <c r="J588" s="539">
        <f t="shared" si="458"/>
        <v>0</v>
      </c>
      <c r="K588" s="539">
        <f t="shared" si="458"/>
        <v>0</v>
      </c>
      <c r="L588" s="539">
        <f t="shared" si="458"/>
        <v>0</v>
      </c>
      <c r="M588" s="539">
        <f t="shared" si="458"/>
        <v>0</v>
      </c>
      <c r="N588" s="539">
        <f t="shared" si="458"/>
        <v>0</v>
      </c>
      <c r="O588" s="539">
        <f t="shared" si="458"/>
        <v>0</v>
      </c>
      <c r="P588" s="541"/>
      <c r="R588" s="205">
        <f t="shared" ref="R588:R615" si="459">+SUM(D588:O588)</f>
        <v>1</v>
      </c>
    </row>
    <row r="589" spans="1:18">
      <c r="A589" s="772" t="s">
        <v>602</v>
      </c>
      <c r="B589" s="738"/>
      <c r="C589" s="797"/>
      <c r="D589" s="540"/>
      <c r="E589" s="540"/>
      <c r="F589" s="540"/>
      <c r="G589" s="540">
        <v>1</v>
      </c>
      <c r="H589" s="540"/>
      <c r="I589" s="540"/>
      <c r="J589" s="540"/>
      <c r="K589" s="540"/>
      <c r="L589" s="540"/>
      <c r="M589" s="540"/>
      <c r="N589" s="540"/>
      <c r="O589" s="540"/>
      <c r="P589" s="541"/>
      <c r="R589" s="205">
        <f t="shared" si="459"/>
        <v>1</v>
      </c>
    </row>
    <row r="590" spans="1:18">
      <c r="A590" s="770" t="s">
        <v>597</v>
      </c>
      <c r="B590" s="736">
        <f>GALPÃO!$J$97</f>
        <v>1306.9358999999997</v>
      </c>
      <c r="C590" s="795">
        <f t="shared" ref="C590" si="460">B590/$B$614</f>
        <v>5.7260012303721602E-3</v>
      </c>
      <c r="D590" s="213">
        <f>$B590*D592</f>
        <v>0</v>
      </c>
      <c r="E590" s="214">
        <f>$B590*E592</f>
        <v>0</v>
      </c>
      <c r="F590" s="214">
        <f t="shared" ref="F590:O590" si="461">$B590*F592</f>
        <v>0</v>
      </c>
      <c r="G590" s="214">
        <f t="shared" si="461"/>
        <v>1306.9358999999997</v>
      </c>
      <c r="H590" s="214">
        <f t="shared" si="461"/>
        <v>0</v>
      </c>
      <c r="I590" s="214">
        <f t="shared" si="461"/>
        <v>0</v>
      </c>
      <c r="J590" s="214">
        <f t="shared" si="461"/>
        <v>0</v>
      </c>
      <c r="K590" s="214">
        <f t="shared" si="461"/>
        <v>0</v>
      </c>
      <c r="L590" s="214">
        <f t="shared" si="461"/>
        <v>0</v>
      </c>
      <c r="M590" s="214">
        <f t="shared" si="461"/>
        <v>0</v>
      </c>
      <c r="N590" s="214">
        <f t="shared" si="461"/>
        <v>0</v>
      </c>
      <c r="O590" s="214">
        <f t="shared" si="461"/>
        <v>0</v>
      </c>
      <c r="P590" s="538">
        <f>SUM(D590:O590)</f>
        <v>1306.9358999999997</v>
      </c>
      <c r="R590" s="205"/>
    </row>
    <row r="591" spans="1:18" ht="5.0999999999999996" customHeight="1">
      <c r="A591" s="771"/>
      <c r="B591" s="737"/>
      <c r="C591" s="796"/>
      <c r="D591" s="539">
        <f>+D592</f>
        <v>0</v>
      </c>
      <c r="E591" s="539">
        <f t="shared" ref="E591:O591" si="462">+E592</f>
        <v>0</v>
      </c>
      <c r="F591" s="539">
        <f t="shared" si="462"/>
        <v>0</v>
      </c>
      <c r="G591" s="539">
        <f t="shared" si="462"/>
        <v>1</v>
      </c>
      <c r="H591" s="539">
        <f t="shared" si="462"/>
        <v>0</v>
      </c>
      <c r="I591" s="539">
        <f t="shared" si="462"/>
        <v>0</v>
      </c>
      <c r="J591" s="539">
        <f t="shared" si="462"/>
        <v>0</v>
      </c>
      <c r="K591" s="539">
        <f t="shared" si="462"/>
        <v>0</v>
      </c>
      <c r="L591" s="539">
        <f t="shared" si="462"/>
        <v>0</v>
      </c>
      <c r="M591" s="539">
        <f t="shared" si="462"/>
        <v>0</v>
      </c>
      <c r="N591" s="539">
        <f t="shared" si="462"/>
        <v>0</v>
      </c>
      <c r="O591" s="539">
        <f t="shared" si="462"/>
        <v>0</v>
      </c>
      <c r="P591" s="541"/>
      <c r="R591" s="205">
        <f t="shared" si="459"/>
        <v>1</v>
      </c>
    </row>
    <row r="592" spans="1:18">
      <c r="A592" s="772"/>
      <c r="B592" s="738"/>
      <c r="C592" s="797"/>
      <c r="D592" s="540"/>
      <c r="E592" s="540"/>
      <c r="F592" s="540"/>
      <c r="G592" s="540">
        <v>1</v>
      </c>
      <c r="H592" s="540"/>
      <c r="I592" s="540"/>
      <c r="J592" s="540"/>
      <c r="K592" s="540"/>
      <c r="L592" s="540"/>
      <c r="M592" s="540"/>
      <c r="N592" s="540"/>
      <c r="O592" s="540"/>
      <c r="P592" s="541"/>
      <c r="R592" s="205">
        <f t="shared" si="459"/>
        <v>1</v>
      </c>
    </row>
    <row r="593" spans="1:18">
      <c r="A593" s="770" t="s">
        <v>595</v>
      </c>
      <c r="B593" s="736">
        <f>GALPÃO!$J$109</f>
        <v>47107.863847429835</v>
      </c>
      <c r="C593" s="795">
        <f t="shared" ref="C593" si="463">B593/$B$614</f>
        <v>0.20639090742750849</v>
      </c>
      <c r="D593" s="213">
        <f>$B593*D595</f>
        <v>0</v>
      </c>
      <c r="E593" s="214">
        <f>$B593*E595</f>
        <v>0</v>
      </c>
      <c r="F593" s="214">
        <f t="shared" ref="F593:O593" si="464">$B593*F595</f>
        <v>0</v>
      </c>
      <c r="G593" s="214">
        <f t="shared" si="464"/>
        <v>0</v>
      </c>
      <c r="H593" s="214">
        <f t="shared" si="464"/>
        <v>0</v>
      </c>
      <c r="I593" s="214">
        <f t="shared" si="464"/>
        <v>0</v>
      </c>
      <c r="J593" s="214">
        <f t="shared" si="464"/>
        <v>14132.359154228951</v>
      </c>
      <c r="K593" s="214">
        <f t="shared" si="464"/>
        <v>18843.145538971934</v>
      </c>
      <c r="L593" s="214">
        <f t="shared" si="464"/>
        <v>14132.359154228951</v>
      </c>
      <c r="M593" s="214">
        <f t="shared" si="464"/>
        <v>0</v>
      </c>
      <c r="N593" s="214">
        <f t="shared" si="464"/>
        <v>0</v>
      </c>
      <c r="O593" s="214">
        <f t="shared" si="464"/>
        <v>0</v>
      </c>
      <c r="P593" s="538">
        <f>SUM(D593:O593)</f>
        <v>47107.863847429835</v>
      </c>
      <c r="R593" s="205"/>
    </row>
    <row r="594" spans="1:18" ht="5.0999999999999996" customHeight="1">
      <c r="A594" s="771" t="s">
        <v>595</v>
      </c>
      <c r="B594" s="737"/>
      <c r="C594" s="796"/>
      <c r="D594" s="539">
        <f>+D595</f>
        <v>0</v>
      </c>
      <c r="E594" s="539">
        <f t="shared" ref="E594:O594" si="465">+E595</f>
        <v>0</v>
      </c>
      <c r="F594" s="539">
        <f t="shared" si="465"/>
        <v>0</v>
      </c>
      <c r="G594" s="539">
        <f t="shared" si="465"/>
        <v>0</v>
      </c>
      <c r="H594" s="539">
        <f t="shared" si="465"/>
        <v>0</v>
      </c>
      <c r="I594" s="539">
        <f t="shared" si="465"/>
        <v>0</v>
      </c>
      <c r="J594" s="539">
        <f t="shared" si="465"/>
        <v>0.3</v>
      </c>
      <c r="K594" s="539">
        <f t="shared" si="465"/>
        <v>0.4</v>
      </c>
      <c r="L594" s="539">
        <f t="shared" si="465"/>
        <v>0.3</v>
      </c>
      <c r="M594" s="539">
        <f t="shared" si="465"/>
        <v>0</v>
      </c>
      <c r="N594" s="539">
        <f t="shared" si="465"/>
        <v>0</v>
      </c>
      <c r="O594" s="539">
        <f t="shared" si="465"/>
        <v>0</v>
      </c>
      <c r="P594" s="541"/>
      <c r="R594" s="205">
        <f t="shared" si="459"/>
        <v>1</v>
      </c>
    </row>
    <row r="595" spans="1:18">
      <c r="A595" s="772" t="s">
        <v>595</v>
      </c>
      <c r="B595" s="738"/>
      <c r="C595" s="797"/>
      <c r="D595" s="540"/>
      <c r="E595" s="540"/>
      <c r="F595" s="540"/>
      <c r="G595" s="540"/>
      <c r="H595" s="540"/>
      <c r="I595" s="540"/>
      <c r="J595" s="540">
        <v>0.3</v>
      </c>
      <c r="K595" s="540">
        <v>0.4</v>
      </c>
      <c r="L595" s="540">
        <v>0.3</v>
      </c>
      <c r="M595" s="540"/>
      <c r="N595" s="540"/>
      <c r="O595" s="540"/>
      <c r="P595" s="541"/>
      <c r="R595" s="205">
        <f t="shared" si="459"/>
        <v>1</v>
      </c>
    </row>
    <row r="596" spans="1:18">
      <c r="A596" s="770" t="s">
        <v>594</v>
      </c>
      <c r="B596" s="736">
        <f>GALPÃO!$J$112</f>
        <v>23736.811900000001</v>
      </c>
      <c r="C596" s="795">
        <f t="shared" ref="C596" si="466">B596/$B$614</f>
        <v>0.10399669497525668</v>
      </c>
      <c r="D596" s="213">
        <f>$B596*D598</f>
        <v>0</v>
      </c>
      <c r="E596" s="214">
        <f>$B596*E598</f>
        <v>0</v>
      </c>
      <c r="F596" s="214">
        <f t="shared" ref="F596:O596" si="467">$B596*F598</f>
        <v>0</v>
      </c>
      <c r="G596" s="214">
        <f t="shared" si="467"/>
        <v>0</v>
      </c>
      <c r="H596" s="214">
        <f t="shared" si="467"/>
        <v>0</v>
      </c>
      <c r="I596" s="214">
        <f t="shared" si="467"/>
        <v>0</v>
      </c>
      <c r="J596" s="214">
        <f t="shared" si="467"/>
        <v>0</v>
      </c>
      <c r="K596" s="214">
        <f t="shared" si="467"/>
        <v>0</v>
      </c>
      <c r="L596" s="214">
        <f t="shared" si="467"/>
        <v>23736.811900000001</v>
      </c>
      <c r="M596" s="214">
        <f t="shared" si="467"/>
        <v>0</v>
      </c>
      <c r="N596" s="214">
        <f t="shared" si="467"/>
        <v>0</v>
      </c>
      <c r="O596" s="214">
        <f t="shared" si="467"/>
        <v>0</v>
      </c>
      <c r="P596" s="538">
        <f>SUM(D596:O596)</f>
        <v>23736.811900000001</v>
      </c>
      <c r="R596" s="205"/>
    </row>
    <row r="597" spans="1:18" ht="5.0999999999999996" customHeight="1">
      <c r="A597" s="771" t="s">
        <v>594</v>
      </c>
      <c r="B597" s="737"/>
      <c r="C597" s="796"/>
      <c r="D597" s="539">
        <f>+D598</f>
        <v>0</v>
      </c>
      <c r="E597" s="539">
        <f t="shared" ref="E597:O597" si="468">+E598</f>
        <v>0</v>
      </c>
      <c r="F597" s="539">
        <f t="shared" si="468"/>
        <v>0</v>
      </c>
      <c r="G597" s="539">
        <f t="shared" si="468"/>
        <v>0</v>
      </c>
      <c r="H597" s="539">
        <f t="shared" si="468"/>
        <v>0</v>
      </c>
      <c r="I597" s="539">
        <f t="shared" si="468"/>
        <v>0</v>
      </c>
      <c r="J597" s="539">
        <f t="shared" si="468"/>
        <v>0</v>
      </c>
      <c r="K597" s="539">
        <f t="shared" si="468"/>
        <v>0</v>
      </c>
      <c r="L597" s="539">
        <f t="shared" si="468"/>
        <v>1</v>
      </c>
      <c r="M597" s="539">
        <f t="shared" si="468"/>
        <v>0</v>
      </c>
      <c r="N597" s="539">
        <f t="shared" si="468"/>
        <v>0</v>
      </c>
      <c r="O597" s="539">
        <f t="shared" si="468"/>
        <v>0</v>
      </c>
      <c r="P597" s="538"/>
      <c r="R597" s="205">
        <f t="shared" si="459"/>
        <v>1</v>
      </c>
    </row>
    <row r="598" spans="1:18">
      <c r="A598" s="772" t="s">
        <v>594</v>
      </c>
      <c r="B598" s="738"/>
      <c r="C598" s="797"/>
      <c r="D598" s="540"/>
      <c r="E598" s="540"/>
      <c r="F598" s="540"/>
      <c r="G598" s="540"/>
      <c r="H598" s="540"/>
      <c r="I598" s="540"/>
      <c r="J598" s="540"/>
      <c r="K598" s="540"/>
      <c r="L598" s="540">
        <v>1</v>
      </c>
      <c r="M598" s="540"/>
      <c r="N598" s="540"/>
      <c r="O598" s="540"/>
      <c r="P598" s="541">
        <f>C596</f>
        <v>0.10399669497525668</v>
      </c>
      <c r="R598" s="205">
        <f t="shared" si="459"/>
        <v>1</v>
      </c>
    </row>
    <row r="599" spans="1:18">
      <c r="A599" s="770" t="s">
        <v>6333</v>
      </c>
      <c r="B599" s="736">
        <f>GALPÃO!$J$119</f>
        <v>10231.674532349998</v>
      </c>
      <c r="C599" s="795">
        <f t="shared" ref="C599" si="469">B599/$B$614</f>
        <v>4.4827432593292145E-2</v>
      </c>
      <c r="D599" s="213">
        <f>$B599*D601</f>
        <v>0</v>
      </c>
      <c r="E599" s="214">
        <f>$B599*E601</f>
        <v>0</v>
      </c>
      <c r="F599" s="214">
        <f t="shared" ref="F599:O599" si="470">$B599*F601</f>
        <v>0</v>
      </c>
      <c r="G599" s="214">
        <f t="shared" si="470"/>
        <v>0</v>
      </c>
      <c r="H599" s="214">
        <f t="shared" si="470"/>
        <v>5115.8372661749991</v>
      </c>
      <c r="I599" s="214">
        <f t="shared" si="470"/>
        <v>5115.8372661749991</v>
      </c>
      <c r="J599" s="214">
        <f t="shared" si="470"/>
        <v>0</v>
      </c>
      <c r="K599" s="214">
        <f t="shared" si="470"/>
        <v>0</v>
      </c>
      <c r="L599" s="214">
        <f t="shared" si="470"/>
        <v>0</v>
      </c>
      <c r="M599" s="214">
        <f t="shared" si="470"/>
        <v>0</v>
      </c>
      <c r="N599" s="214">
        <f t="shared" si="470"/>
        <v>0</v>
      </c>
      <c r="O599" s="214">
        <f t="shared" si="470"/>
        <v>0</v>
      </c>
      <c r="P599" s="538">
        <f>SUM(D599:O599)</f>
        <v>10231.674532349998</v>
      </c>
      <c r="R599" s="205"/>
    </row>
    <row r="600" spans="1:18" ht="5.0999999999999996" customHeight="1">
      <c r="A600" s="771" t="s">
        <v>6333</v>
      </c>
      <c r="B600" s="737"/>
      <c r="C600" s="796"/>
      <c r="D600" s="539">
        <f>+D601</f>
        <v>0</v>
      </c>
      <c r="E600" s="539">
        <f t="shared" ref="E600:O600" si="471">+E601</f>
        <v>0</v>
      </c>
      <c r="F600" s="539">
        <f t="shared" si="471"/>
        <v>0</v>
      </c>
      <c r="G600" s="539">
        <f t="shared" si="471"/>
        <v>0</v>
      </c>
      <c r="H600" s="539">
        <f t="shared" si="471"/>
        <v>0.5</v>
      </c>
      <c r="I600" s="539">
        <f t="shared" si="471"/>
        <v>0.5</v>
      </c>
      <c r="J600" s="539">
        <f t="shared" si="471"/>
        <v>0</v>
      </c>
      <c r="K600" s="539">
        <f t="shared" si="471"/>
        <v>0</v>
      </c>
      <c r="L600" s="539">
        <f t="shared" si="471"/>
        <v>0</v>
      </c>
      <c r="M600" s="539">
        <f t="shared" si="471"/>
        <v>0</v>
      </c>
      <c r="N600" s="539">
        <f t="shared" si="471"/>
        <v>0</v>
      </c>
      <c r="O600" s="539">
        <f t="shared" si="471"/>
        <v>0</v>
      </c>
      <c r="P600" s="538"/>
      <c r="R600" s="205">
        <f t="shared" si="459"/>
        <v>1</v>
      </c>
    </row>
    <row r="601" spans="1:18">
      <c r="A601" s="772" t="s">
        <v>6333</v>
      </c>
      <c r="B601" s="738"/>
      <c r="C601" s="797"/>
      <c r="D601" s="540"/>
      <c r="E601" s="540"/>
      <c r="F601" s="540"/>
      <c r="G601" s="540"/>
      <c r="H601" s="540">
        <v>0.5</v>
      </c>
      <c r="I601" s="540">
        <v>0.5</v>
      </c>
      <c r="J601" s="540"/>
      <c r="K601" s="540"/>
      <c r="L601" s="540"/>
      <c r="M601" s="540"/>
      <c r="N601" s="540"/>
      <c r="O601" s="540"/>
      <c r="P601" s="541">
        <f>C599</f>
        <v>4.4827432593292145E-2</v>
      </c>
      <c r="R601" s="205">
        <f t="shared" si="459"/>
        <v>1</v>
      </c>
    </row>
    <row r="602" spans="1:18">
      <c r="A602" s="770" t="s">
        <v>591</v>
      </c>
      <c r="B602" s="736">
        <f>GALPÃO!$J$123</f>
        <v>7673.6618424499993</v>
      </c>
      <c r="C602" s="795">
        <f t="shared" ref="C602" si="472">B602/$B$614</f>
        <v>3.3620162359400033E-2</v>
      </c>
      <c r="D602" s="213">
        <f>$B602*D604</f>
        <v>0</v>
      </c>
      <c r="E602" s="214">
        <f>$B602*E604</f>
        <v>0</v>
      </c>
      <c r="F602" s="214">
        <f t="shared" ref="F602:O602" si="473">$B602*F604</f>
        <v>0</v>
      </c>
      <c r="G602" s="214">
        <f t="shared" si="473"/>
        <v>0</v>
      </c>
      <c r="H602" s="214">
        <f t="shared" si="473"/>
        <v>3836.8309212249997</v>
      </c>
      <c r="I602" s="214">
        <f t="shared" si="473"/>
        <v>3836.8309212249997</v>
      </c>
      <c r="J602" s="214">
        <f t="shared" si="473"/>
        <v>0</v>
      </c>
      <c r="K602" s="214">
        <f t="shared" si="473"/>
        <v>0</v>
      </c>
      <c r="L602" s="214">
        <f t="shared" si="473"/>
        <v>0</v>
      </c>
      <c r="M602" s="214">
        <f t="shared" si="473"/>
        <v>0</v>
      </c>
      <c r="N602" s="214">
        <f t="shared" si="473"/>
        <v>0</v>
      </c>
      <c r="O602" s="214">
        <f t="shared" si="473"/>
        <v>0</v>
      </c>
      <c r="P602" s="538">
        <f>SUM(D602:O602)</f>
        <v>7673.6618424499993</v>
      </c>
      <c r="R602" s="205"/>
    </row>
    <row r="603" spans="1:18" ht="5.0999999999999996" customHeight="1">
      <c r="A603" s="771" t="s">
        <v>591</v>
      </c>
      <c r="B603" s="737"/>
      <c r="C603" s="796"/>
      <c r="D603" s="539">
        <f>+D604</f>
        <v>0</v>
      </c>
      <c r="E603" s="539">
        <f t="shared" ref="E603:O603" si="474">+E604</f>
        <v>0</v>
      </c>
      <c r="F603" s="539">
        <f t="shared" si="474"/>
        <v>0</v>
      </c>
      <c r="G603" s="539">
        <f t="shared" si="474"/>
        <v>0</v>
      </c>
      <c r="H603" s="539">
        <f t="shared" si="474"/>
        <v>0.5</v>
      </c>
      <c r="I603" s="539">
        <f t="shared" si="474"/>
        <v>0.5</v>
      </c>
      <c r="J603" s="539">
        <f t="shared" si="474"/>
        <v>0</v>
      </c>
      <c r="K603" s="539">
        <f t="shared" si="474"/>
        <v>0</v>
      </c>
      <c r="L603" s="539">
        <f t="shared" si="474"/>
        <v>0</v>
      </c>
      <c r="M603" s="539">
        <f t="shared" si="474"/>
        <v>0</v>
      </c>
      <c r="N603" s="539">
        <f t="shared" si="474"/>
        <v>0</v>
      </c>
      <c r="O603" s="539">
        <f t="shared" si="474"/>
        <v>0</v>
      </c>
      <c r="P603" s="538"/>
      <c r="R603" s="205">
        <f t="shared" si="459"/>
        <v>1</v>
      </c>
    </row>
    <row r="604" spans="1:18">
      <c r="A604" s="772" t="s">
        <v>591</v>
      </c>
      <c r="B604" s="738"/>
      <c r="C604" s="797"/>
      <c r="D604" s="540"/>
      <c r="E604" s="540"/>
      <c r="F604" s="540"/>
      <c r="G604" s="540"/>
      <c r="H604" s="540">
        <v>0.5</v>
      </c>
      <c r="I604" s="540">
        <v>0.5</v>
      </c>
      <c r="J604" s="540"/>
      <c r="K604" s="540"/>
      <c r="L604" s="540"/>
      <c r="M604" s="540"/>
      <c r="N604" s="540"/>
      <c r="O604" s="540"/>
      <c r="P604" s="541">
        <f>C602</f>
        <v>3.3620162359400033E-2</v>
      </c>
      <c r="R604" s="205">
        <f t="shared" si="459"/>
        <v>1</v>
      </c>
    </row>
    <row r="605" spans="1:18">
      <c r="A605" s="770" t="s">
        <v>590</v>
      </c>
      <c r="B605" s="736">
        <f>GALPÃO!$J$126</f>
        <v>1471.38</v>
      </c>
      <c r="C605" s="795">
        <f t="shared" ref="C605" si="475">B605/$B$614</f>
        <v>6.4464704736819853E-3</v>
      </c>
      <c r="D605" s="213">
        <f>$B605*D607</f>
        <v>0</v>
      </c>
      <c r="E605" s="214">
        <f>$B605*E607</f>
        <v>0</v>
      </c>
      <c r="F605" s="214">
        <f t="shared" ref="F605:O605" si="476">$B605*F607</f>
        <v>0</v>
      </c>
      <c r="G605" s="214">
        <f t="shared" si="476"/>
        <v>0</v>
      </c>
      <c r="H605" s="214">
        <f t="shared" si="476"/>
        <v>0</v>
      </c>
      <c r="I605" s="214">
        <f t="shared" si="476"/>
        <v>0</v>
      </c>
      <c r="J605" s="214">
        <f t="shared" si="476"/>
        <v>0</v>
      </c>
      <c r="K605" s="214">
        <f t="shared" si="476"/>
        <v>0</v>
      </c>
      <c r="L605" s="214">
        <f t="shared" si="476"/>
        <v>1471.38</v>
      </c>
      <c r="M605" s="214">
        <f t="shared" si="476"/>
        <v>0</v>
      </c>
      <c r="N605" s="214">
        <f t="shared" si="476"/>
        <v>0</v>
      </c>
      <c r="O605" s="214">
        <f t="shared" si="476"/>
        <v>0</v>
      </c>
      <c r="P605" s="538">
        <f>SUM(D605:O605)</f>
        <v>1471.38</v>
      </c>
      <c r="R605" s="205"/>
    </row>
    <row r="606" spans="1:18" ht="5.0999999999999996" customHeight="1">
      <c r="A606" s="771" t="s">
        <v>590</v>
      </c>
      <c r="B606" s="737"/>
      <c r="C606" s="796"/>
      <c r="D606" s="539">
        <f>+D607</f>
        <v>0</v>
      </c>
      <c r="E606" s="539">
        <f t="shared" ref="E606:O606" si="477">+E607</f>
        <v>0</v>
      </c>
      <c r="F606" s="539">
        <f t="shared" si="477"/>
        <v>0</v>
      </c>
      <c r="G606" s="539">
        <f t="shared" si="477"/>
        <v>0</v>
      </c>
      <c r="H606" s="539">
        <f t="shared" si="477"/>
        <v>0</v>
      </c>
      <c r="I606" s="539">
        <f t="shared" si="477"/>
        <v>0</v>
      </c>
      <c r="J606" s="539">
        <f t="shared" si="477"/>
        <v>0</v>
      </c>
      <c r="K606" s="539">
        <f t="shared" si="477"/>
        <v>0</v>
      </c>
      <c r="L606" s="539">
        <f t="shared" si="477"/>
        <v>1</v>
      </c>
      <c r="M606" s="539">
        <f t="shared" si="477"/>
        <v>0</v>
      </c>
      <c r="N606" s="539">
        <f t="shared" si="477"/>
        <v>0</v>
      </c>
      <c r="O606" s="539">
        <f t="shared" si="477"/>
        <v>0</v>
      </c>
      <c r="P606" s="538"/>
      <c r="R606" s="205">
        <f t="shared" si="459"/>
        <v>1</v>
      </c>
    </row>
    <row r="607" spans="1:18">
      <c r="A607" s="772" t="s">
        <v>590</v>
      </c>
      <c r="B607" s="738"/>
      <c r="C607" s="797"/>
      <c r="D607" s="540"/>
      <c r="E607" s="540"/>
      <c r="F607" s="540"/>
      <c r="G607" s="540"/>
      <c r="H607" s="540"/>
      <c r="I607" s="540"/>
      <c r="J607" s="540"/>
      <c r="K607" s="540"/>
      <c r="L607" s="540">
        <v>1</v>
      </c>
      <c r="M607" s="540"/>
      <c r="N607" s="540"/>
      <c r="O607" s="540"/>
      <c r="P607" s="541">
        <f>C605</f>
        <v>6.4464704736819853E-3</v>
      </c>
      <c r="R607" s="205">
        <f t="shared" si="459"/>
        <v>1</v>
      </c>
    </row>
    <row r="608" spans="1:18">
      <c r="A608" s="770" t="s">
        <v>587</v>
      </c>
      <c r="B608" s="736">
        <f>GALPÃO!$J$132</f>
        <v>29954.29609684</v>
      </c>
      <c r="C608" s="795">
        <f t="shared" ref="C608" si="478">B608/$B$614</f>
        <v>0.13123699204026601</v>
      </c>
      <c r="D608" s="213">
        <f t="shared" ref="D608:O608" si="479">$B608*D610</f>
        <v>0</v>
      </c>
      <c r="E608" s="214">
        <f t="shared" si="479"/>
        <v>0</v>
      </c>
      <c r="F608" s="214">
        <f t="shared" si="479"/>
        <v>0</v>
      </c>
      <c r="G608" s="214">
        <f t="shared" si="479"/>
        <v>0</v>
      </c>
      <c r="H608" s="214">
        <f t="shared" si="479"/>
        <v>0</v>
      </c>
      <c r="I608" s="214">
        <f t="shared" si="479"/>
        <v>0</v>
      </c>
      <c r="J608" s="214">
        <f t="shared" si="479"/>
        <v>0</v>
      </c>
      <c r="K608" s="214">
        <f t="shared" si="479"/>
        <v>0</v>
      </c>
      <c r="L608" s="214">
        <f t="shared" si="479"/>
        <v>8986.2888290520004</v>
      </c>
      <c r="M608" s="214">
        <f t="shared" si="479"/>
        <v>20968.007267787998</v>
      </c>
      <c r="N608" s="214">
        <f t="shared" si="479"/>
        <v>0</v>
      </c>
      <c r="O608" s="214">
        <f t="shared" si="479"/>
        <v>0</v>
      </c>
      <c r="P608" s="538">
        <f>SUM(D608:O608)</f>
        <v>29954.29609684</v>
      </c>
      <c r="R608" s="205"/>
    </row>
    <row r="609" spans="1:18" ht="5.0999999999999996" customHeight="1">
      <c r="A609" s="771" t="s">
        <v>587</v>
      </c>
      <c r="B609" s="737"/>
      <c r="C609" s="796"/>
      <c r="D609" s="539">
        <f>+D610</f>
        <v>0</v>
      </c>
      <c r="E609" s="539">
        <f t="shared" ref="E609:O609" si="480">+E610</f>
        <v>0</v>
      </c>
      <c r="F609" s="539">
        <f t="shared" si="480"/>
        <v>0</v>
      </c>
      <c r="G609" s="539">
        <f t="shared" si="480"/>
        <v>0</v>
      </c>
      <c r="H609" s="539">
        <f t="shared" si="480"/>
        <v>0</v>
      </c>
      <c r="I609" s="539">
        <f t="shared" si="480"/>
        <v>0</v>
      </c>
      <c r="J609" s="539">
        <f t="shared" si="480"/>
        <v>0</v>
      </c>
      <c r="K609" s="539">
        <f t="shared" si="480"/>
        <v>0</v>
      </c>
      <c r="L609" s="539">
        <f t="shared" si="480"/>
        <v>0.3</v>
      </c>
      <c r="M609" s="539">
        <f t="shared" si="480"/>
        <v>0.7</v>
      </c>
      <c r="N609" s="539">
        <f t="shared" si="480"/>
        <v>0</v>
      </c>
      <c r="O609" s="539">
        <f t="shared" si="480"/>
        <v>0</v>
      </c>
      <c r="P609" s="538"/>
      <c r="R609" s="205">
        <f t="shared" si="459"/>
        <v>1</v>
      </c>
    </row>
    <row r="610" spans="1:18">
      <c r="A610" s="772" t="s">
        <v>587</v>
      </c>
      <c r="B610" s="738"/>
      <c r="C610" s="797"/>
      <c r="D610" s="540"/>
      <c r="E610" s="540"/>
      <c r="F610" s="540"/>
      <c r="G610" s="540"/>
      <c r="H610" s="540"/>
      <c r="I610" s="540"/>
      <c r="J610" s="540"/>
      <c r="K610" s="540"/>
      <c r="L610" s="540">
        <v>0.3</v>
      </c>
      <c r="M610" s="540">
        <v>0.7</v>
      </c>
      <c r="N610" s="540"/>
      <c r="O610" s="540"/>
      <c r="P610" s="541">
        <f>C608</f>
        <v>0.13123699204026601</v>
      </c>
      <c r="R610" s="205">
        <f t="shared" si="459"/>
        <v>1</v>
      </c>
    </row>
    <row r="611" spans="1:18">
      <c r="A611" s="770" t="s">
        <v>2</v>
      </c>
      <c r="B611" s="736">
        <f>GALPÃO!$J$137</f>
        <v>23593.816240009997</v>
      </c>
      <c r="C611" s="795">
        <f t="shared" ref="C611" si="481">B611/$B$614</f>
        <v>0.1033701965180327</v>
      </c>
      <c r="D611" s="213">
        <f>$B611*D613</f>
        <v>0</v>
      </c>
      <c r="E611" s="214">
        <f>$B611*E613</f>
        <v>0</v>
      </c>
      <c r="F611" s="214">
        <f t="shared" ref="F611:O611" si="482">$B611*F613</f>
        <v>0</v>
      </c>
      <c r="G611" s="214">
        <f t="shared" si="482"/>
        <v>0</v>
      </c>
      <c r="H611" s="214">
        <f t="shared" si="482"/>
        <v>0</v>
      </c>
      <c r="I611" s="214">
        <f t="shared" si="482"/>
        <v>0</v>
      </c>
      <c r="J611" s="214">
        <f t="shared" si="482"/>
        <v>0</v>
      </c>
      <c r="K611" s="214">
        <f t="shared" si="482"/>
        <v>0</v>
      </c>
      <c r="L611" s="214">
        <f t="shared" si="482"/>
        <v>4718.7632480019993</v>
      </c>
      <c r="M611" s="214">
        <f t="shared" si="482"/>
        <v>18875.052992007997</v>
      </c>
      <c r="N611" s="214">
        <f t="shared" si="482"/>
        <v>0</v>
      </c>
      <c r="O611" s="214">
        <f t="shared" si="482"/>
        <v>0</v>
      </c>
      <c r="P611" s="538">
        <f>SUM(D611:O611)</f>
        <v>23593.816240009997</v>
      </c>
      <c r="R611" s="205"/>
    </row>
    <row r="612" spans="1:18" ht="5.0999999999999996" customHeight="1">
      <c r="A612" s="771" t="s">
        <v>587</v>
      </c>
      <c r="B612" s="737"/>
      <c r="C612" s="796"/>
      <c r="D612" s="539">
        <f>+D613</f>
        <v>0</v>
      </c>
      <c r="E612" s="539">
        <f t="shared" ref="E612:O612" si="483">+E613</f>
        <v>0</v>
      </c>
      <c r="F612" s="539">
        <f t="shared" si="483"/>
        <v>0</v>
      </c>
      <c r="G612" s="539">
        <f t="shared" si="483"/>
        <v>0</v>
      </c>
      <c r="H612" s="539">
        <f t="shared" si="483"/>
        <v>0</v>
      </c>
      <c r="I612" s="539">
        <f t="shared" si="483"/>
        <v>0</v>
      </c>
      <c r="J612" s="539">
        <f t="shared" si="483"/>
        <v>0</v>
      </c>
      <c r="K612" s="539">
        <f t="shared" si="483"/>
        <v>0</v>
      </c>
      <c r="L612" s="539">
        <f t="shared" si="483"/>
        <v>0.2</v>
      </c>
      <c r="M612" s="539">
        <f t="shared" si="483"/>
        <v>0.8</v>
      </c>
      <c r="N612" s="539">
        <f t="shared" si="483"/>
        <v>0</v>
      </c>
      <c r="O612" s="539">
        <f t="shared" si="483"/>
        <v>0</v>
      </c>
      <c r="P612" s="538"/>
      <c r="R612" s="205">
        <f t="shared" si="459"/>
        <v>1</v>
      </c>
    </row>
    <row r="613" spans="1:18">
      <c r="A613" s="771" t="s">
        <v>587</v>
      </c>
      <c r="B613" s="737"/>
      <c r="C613" s="796"/>
      <c r="D613" s="553"/>
      <c r="E613" s="553"/>
      <c r="F613" s="553"/>
      <c r="G613" s="553"/>
      <c r="H613" s="553"/>
      <c r="I613" s="553"/>
      <c r="J613" s="553"/>
      <c r="K613" s="553"/>
      <c r="L613" s="553">
        <v>0.2</v>
      </c>
      <c r="M613" s="553">
        <v>0.8</v>
      </c>
      <c r="N613" s="553"/>
      <c r="O613" s="553"/>
      <c r="P613" s="548">
        <f>C611</f>
        <v>0.1033701965180327</v>
      </c>
      <c r="R613" s="205">
        <f t="shared" si="459"/>
        <v>1</v>
      </c>
    </row>
    <row r="614" spans="1:18">
      <c r="A614" s="776" t="s">
        <v>7056</v>
      </c>
      <c r="B614" s="554">
        <f>SUM(B575:B613)</f>
        <v>228245.82940493984</v>
      </c>
      <c r="C614" s="555">
        <f>SUM(C575:C613)</f>
        <v>0.99999999999999978</v>
      </c>
      <c r="D614" s="556">
        <f>(D575+D578+D581+D584+D587+D590+D593+D596+D599+D602+D605+D608+D611)</f>
        <v>0</v>
      </c>
      <c r="E614" s="556">
        <f t="shared" ref="E614:P614" si="484">(E575+E578+E581+E584+E587+E590+E593+E596+E599+E602+E605+E608+E611)</f>
        <v>0</v>
      </c>
      <c r="F614" s="556">
        <f t="shared" si="484"/>
        <v>10334.569410432498</v>
      </c>
      <c r="G614" s="556">
        <f t="shared" si="484"/>
        <v>11727.005310432498</v>
      </c>
      <c r="H614" s="556">
        <f t="shared" si="484"/>
        <v>9151.9466433324997</v>
      </c>
      <c r="I614" s="556">
        <f t="shared" si="484"/>
        <v>9151.9466433324997</v>
      </c>
      <c r="J614" s="556">
        <f t="shared" si="484"/>
        <v>34603.252959761448</v>
      </c>
      <c r="K614" s="556">
        <f t="shared" si="484"/>
        <v>39718.272785104433</v>
      </c>
      <c r="L614" s="556">
        <f t="shared" si="484"/>
        <v>73516.496936815442</v>
      </c>
      <c r="M614" s="556">
        <f t="shared" si="484"/>
        <v>40042.338715728496</v>
      </c>
      <c r="N614" s="556">
        <f t="shared" si="484"/>
        <v>0</v>
      </c>
      <c r="O614" s="556">
        <f t="shared" si="484"/>
        <v>0</v>
      </c>
      <c r="P614" s="552">
        <f t="shared" si="484"/>
        <v>228245.82940493984</v>
      </c>
      <c r="R614" s="205"/>
    </row>
    <row r="615" spans="1:18" ht="15" customHeight="1">
      <c r="A615" s="794"/>
      <c r="B615" s="218"/>
      <c r="C615" s="216"/>
      <c r="D615" s="219">
        <f t="shared" ref="D615:O615" si="485">D614/$B$614</f>
        <v>0</v>
      </c>
      <c r="E615" s="219">
        <f t="shared" si="485"/>
        <v>0</v>
      </c>
      <c r="F615" s="219">
        <f t="shared" si="485"/>
        <v>4.527823985820803E-2</v>
      </c>
      <c r="G615" s="219">
        <f t="shared" si="485"/>
        <v>5.1378837199374014E-2</v>
      </c>
      <c r="H615" s="219">
        <f t="shared" si="485"/>
        <v>4.0096884430232779E-2</v>
      </c>
      <c r="I615" s="219">
        <f t="shared" si="485"/>
        <v>4.0096884430232779E-2</v>
      </c>
      <c r="J615" s="219">
        <f t="shared" si="485"/>
        <v>0.15160519274317372</v>
      </c>
      <c r="K615" s="219">
        <f t="shared" si="485"/>
        <v>0.17401532763448085</v>
      </c>
      <c r="L615" s="219">
        <f t="shared" si="485"/>
        <v>0.32209349510779867</v>
      </c>
      <c r="M615" s="219">
        <f t="shared" si="485"/>
        <v>0.17543513859649904</v>
      </c>
      <c r="N615" s="219">
        <f t="shared" si="485"/>
        <v>0</v>
      </c>
      <c r="O615" s="219">
        <f t="shared" si="485"/>
        <v>0</v>
      </c>
      <c r="P615" s="558">
        <f>P614/B614</f>
        <v>1</v>
      </c>
      <c r="R615" s="205">
        <f t="shared" si="459"/>
        <v>0.99999999999999989</v>
      </c>
    </row>
    <row r="616" spans="1:18" ht="5.0999999999999996" customHeight="1">
      <c r="A616" s="464"/>
      <c r="C616" s="61"/>
      <c r="D616" s="61"/>
      <c r="E616" s="61"/>
      <c r="F616" s="61"/>
      <c r="G616" s="61"/>
      <c r="H616" s="61"/>
      <c r="I616" s="61"/>
      <c r="J616" s="61"/>
      <c r="K616" s="61"/>
      <c r="L616" s="61"/>
      <c r="M616" s="61"/>
      <c r="N616" s="61"/>
      <c r="O616" s="61"/>
      <c r="P616" s="545"/>
    </row>
    <row r="617" spans="1:18">
      <c r="A617" s="559" t="s">
        <v>7057</v>
      </c>
      <c r="B617" s="560">
        <f>+B58+B110+B150+B175+B233+B270+B298+B359+B390+B439+B485+B528+B571+B614</f>
        <v>5984388.5797873819</v>
      </c>
      <c r="C617" s="561">
        <f ca="1">B617/B619</f>
        <v>0.84640885868894034</v>
      </c>
      <c r="D617" s="562">
        <f t="shared" ref="D617:P617" si="486">+D58+D110+D150+D175+D233+D270+D298+D359+D390+D439+D485+D528+D571+D614</f>
        <v>71703.617162024311</v>
      </c>
      <c r="E617" s="562">
        <f t="shared" si="486"/>
        <v>369973.11589117185</v>
      </c>
      <c r="F617" s="562">
        <f t="shared" si="486"/>
        <v>426366.38062260934</v>
      </c>
      <c r="G617" s="562">
        <f t="shared" si="486"/>
        <v>439336.63512526848</v>
      </c>
      <c r="H617" s="562">
        <f t="shared" si="486"/>
        <v>406419.72400850593</v>
      </c>
      <c r="I617" s="562">
        <f t="shared" si="486"/>
        <v>752643.71534948656</v>
      </c>
      <c r="J617" s="562">
        <f t="shared" si="486"/>
        <v>1049852.1634493708</v>
      </c>
      <c r="K617" s="562">
        <f t="shared" si="486"/>
        <v>1136862.4948566237</v>
      </c>
      <c r="L617" s="562">
        <f t="shared" si="486"/>
        <v>849712.94209827273</v>
      </c>
      <c r="M617" s="562">
        <f t="shared" si="486"/>
        <v>481517.79122404754</v>
      </c>
      <c r="N617" s="562" t="e">
        <f t="shared" si="486"/>
        <v>#REF!</v>
      </c>
      <c r="O617" s="562" t="e">
        <f t="shared" si="486"/>
        <v>#REF!</v>
      </c>
      <c r="P617" s="563">
        <f t="shared" si="486"/>
        <v>5984388.5797873819</v>
      </c>
    </row>
    <row r="618" spans="1:18">
      <c r="A618" s="564" t="s">
        <v>7121</v>
      </c>
      <c r="B618" s="560">
        <f ca="1">RESUMO!H55</f>
        <v>1085939.8062564554</v>
      </c>
      <c r="C618" s="561">
        <f ca="1">B618/B619</f>
        <v>0.15359114131105966</v>
      </c>
      <c r="D618" s="562">
        <f>+D617*0.275</f>
        <v>19718.494719556686</v>
      </c>
      <c r="E618" s="562">
        <f t="shared" ref="E618:P618" si="487">+E617*0.275</f>
        <v>101742.60687007227</v>
      </c>
      <c r="F618" s="562">
        <f t="shared" si="487"/>
        <v>117250.75467121758</v>
      </c>
      <c r="G618" s="562">
        <f t="shared" si="487"/>
        <v>120817.57465944884</v>
      </c>
      <c r="H618" s="562">
        <f t="shared" si="487"/>
        <v>111765.42410233914</v>
      </c>
      <c r="I618" s="562">
        <f t="shared" si="487"/>
        <v>206977.02172110882</v>
      </c>
      <c r="J618" s="562">
        <f t="shared" si="487"/>
        <v>288709.344948577</v>
      </c>
      <c r="K618" s="562">
        <f t="shared" si="487"/>
        <v>312637.18608557153</v>
      </c>
      <c r="L618" s="562">
        <f t="shared" si="487"/>
        <v>233671.05907702501</v>
      </c>
      <c r="M618" s="562">
        <f t="shared" si="487"/>
        <v>132417.39258661307</v>
      </c>
      <c r="N618" s="562" t="e">
        <f t="shared" si="487"/>
        <v>#REF!</v>
      </c>
      <c r="O618" s="562" t="e">
        <f t="shared" si="487"/>
        <v>#REF!</v>
      </c>
      <c r="P618" s="563">
        <f t="shared" si="487"/>
        <v>1645706.8594415302</v>
      </c>
    </row>
    <row r="619" spans="1:18">
      <c r="A619" s="565" t="s">
        <v>7058</v>
      </c>
      <c r="B619" s="560">
        <f ca="1">B617+B618</f>
        <v>7070328.3860438373</v>
      </c>
      <c r="C619" s="566">
        <f ca="1">C617+C618</f>
        <v>1</v>
      </c>
      <c r="D619" s="562">
        <f ca="1">+D617/$B$617*($B$619-$B$617)+D617</f>
        <v>84715.10715647621</v>
      </c>
      <c r="E619" s="562">
        <f ca="1">+E617/$B$617*($B$619-$B$617)+E617</f>
        <v>437109.21984470735</v>
      </c>
      <c r="F619" s="562">
        <f t="shared" ref="F619:P619" ca="1" si="488">+F617/$B$617*($B$619-$B$617)+F617</f>
        <v>503735.72564332199</v>
      </c>
      <c r="G619" s="562">
        <f t="shared" ca="1" si="488"/>
        <v>519059.58995489078</v>
      </c>
      <c r="H619" s="562">
        <f t="shared" ca="1" si="488"/>
        <v>480169.5065408895</v>
      </c>
      <c r="I619" s="562">
        <f t="shared" ca="1" si="488"/>
        <v>889220.03547470784</v>
      </c>
      <c r="J619" s="562">
        <f t="shared" ca="1" si="488"/>
        <v>1240360.5570427955</v>
      </c>
      <c r="K619" s="562">
        <f t="shared" ca="1" si="488"/>
        <v>1343159.9671789666</v>
      </c>
      <c r="L619" s="562">
        <f t="shared" ca="1" si="488"/>
        <v>1003903.6493715937</v>
      </c>
      <c r="M619" s="562">
        <f t="shared" ca="1" si="488"/>
        <v>568895.02783548704</v>
      </c>
      <c r="N619" s="562" t="e">
        <f t="shared" ca="1" si="488"/>
        <v>#REF!</v>
      </c>
      <c r="O619" s="562" t="e">
        <f t="shared" ca="1" si="488"/>
        <v>#REF!</v>
      </c>
      <c r="P619" s="563">
        <f t="shared" ca="1" si="488"/>
        <v>7070328.3860438373</v>
      </c>
    </row>
    <row r="620" spans="1:18">
      <c r="A620" s="567" t="s">
        <v>7059</v>
      </c>
      <c r="B620" s="568"/>
      <c r="C620" s="569"/>
      <c r="D620" s="561">
        <f t="shared" ref="D620:O620" ca="1" si="489">D619/$B$619</f>
        <v>1.1981778289633033E-2</v>
      </c>
      <c r="E620" s="561">
        <f t="shared" ca="1" si="489"/>
        <v>6.1823043567187035E-2</v>
      </c>
      <c r="F620" s="561">
        <f t="shared" ca="1" si="489"/>
        <v>7.124643978880088E-2</v>
      </c>
      <c r="G620" s="561">
        <f t="shared" ca="1" si="489"/>
        <v>7.341378810345861E-2</v>
      </c>
      <c r="H620" s="561">
        <f t="shared" ca="1" si="489"/>
        <v>6.7913324576083192E-2</v>
      </c>
      <c r="I620" s="561">
        <f t="shared" ca="1" si="489"/>
        <v>0.12576785503060148</v>
      </c>
      <c r="J620" s="561">
        <f t="shared" ca="1" si="489"/>
        <v>0.17543181721108606</v>
      </c>
      <c r="K620" s="561">
        <f t="shared" ca="1" si="489"/>
        <v>0.18997136962269504</v>
      </c>
      <c r="L620" s="561">
        <f t="shared" ca="1" si="489"/>
        <v>0.14198826342397405</v>
      </c>
      <c r="M620" s="561">
        <f t="shared" ca="1" si="489"/>
        <v>8.0462320386480532E-2</v>
      </c>
      <c r="N620" s="561" t="e">
        <f t="shared" ca="1" si="489"/>
        <v>#REF!</v>
      </c>
      <c r="O620" s="561" t="e">
        <f t="shared" ca="1" si="489"/>
        <v>#REF!</v>
      </c>
      <c r="P620" s="798"/>
    </row>
    <row r="621" spans="1:18">
      <c r="A621" s="570" t="s">
        <v>7060</v>
      </c>
      <c r="B621" s="571"/>
      <c r="C621" s="572"/>
      <c r="D621" s="562">
        <f t="shared" ref="D621:D622" ca="1" si="490">D619</f>
        <v>84715.10715647621</v>
      </c>
      <c r="E621" s="562">
        <f ca="1">D621+E619</f>
        <v>521824.32700118353</v>
      </c>
      <c r="F621" s="562">
        <f ca="1">E621+F619</f>
        <v>1025560.0526445055</v>
      </c>
      <c r="G621" s="562">
        <f t="shared" ref="G621:O621" ca="1" si="491">F621+G619</f>
        <v>1544619.6425993964</v>
      </c>
      <c r="H621" s="562">
        <f t="shared" ca="1" si="491"/>
        <v>2024789.1491402858</v>
      </c>
      <c r="I621" s="562">
        <f t="shared" ca="1" si="491"/>
        <v>2914009.1846149936</v>
      </c>
      <c r="J621" s="562">
        <f t="shared" ca="1" si="491"/>
        <v>4154369.7416577889</v>
      </c>
      <c r="K621" s="562">
        <f t="shared" ca="1" si="491"/>
        <v>5497529.7088367557</v>
      </c>
      <c r="L621" s="562">
        <f t="shared" ca="1" si="491"/>
        <v>6501433.358208349</v>
      </c>
      <c r="M621" s="562">
        <f t="shared" ca="1" si="491"/>
        <v>7070328.3860438364</v>
      </c>
      <c r="N621" s="562" t="e">
        <f t="shared" ca="1" si="491"/>
        <v>#REF!</v>
      </c>
      <c r="O621" s="562" t="e">
        <f t="shared" ca="1" si="491"/>
        <v>#REF!</v>
      </c>
      <c r="P621" s="799"/>
    </row>
    <row r="622" spans="1:18">
      <c r="A622" s="573" t="s">
        <v>7061</v>
      </c>
      <c r="B622" s="574"/>
      <c r="C622" s="575"/>
      <c r="D622" s="576">
        <f t="shared" ca="1" si="490"/>
        <v>1.1981778289633033E-2</v>
      </c>
      <c r="E622" s="576">
        <f ca="1">D622+E620</f>
        <v>7.3804821856820066E-2</v>
      </c>
      <c r="F622" s="576">
        <f t="shared" ref="F622:O622" ca="1" si="492">E622+F620</f>
        <v>0.14505126164562093</v>
      </c>
      <c r="G622" s="576">
        <f t="shared" ca="1" si="492"/>
        <v>0.21846504974907954</v>
      </c>
      <c r="H622" s="576">
        <f t="shared" ca="1" si="492"/>
        <v>0.28637837432516272</v>
      </c>
      <c r="I622" s="576">
        <f t="shared" ca="1" si="492"/>
        <v>0.41214622935576417</v>
      </c>
      <c r="J622" s="576">
        <f t="shared" ca="1" si="492"/>
        <v>0.5875780465668502</v>
      </c>
      <c r="K622" s="576">
        <f t="shared" ca="1" si="492"/>
        <v>0.77754941618954521</v>
      </c>
      <c r="L622" s="576">
        <f t="shared" ca="1" si="492"/>
        <v>0.91953767961351929</v>
      </c>
      <c r="M622" s="576">
        <f t="shared" ca="1" si="492"/>
        <v>0.99999999999999978</v>
      </c>
      <c r="N622" s="576" t="e">
        <f t="shared" ca="1" si="492"/>
        <v>#REF!</v>
      </c>
      <c r="O622" s="576" t="e">
        <f t="shared" ca="1" si="492"/>
        <v>#REF!</v>
      </c>
      <c r="P622" s="800"/>
    </row>
  </sheetData>
  <mergeCells count="580">
    <mergeCell ref="A614:A615"/>
    <mergeCell ref="P620:P622"/>
    <mergeCell ref="A608:A610"/>
    <mergeCell ref="B608:B610"/>
    <mergeCell ref="C608:C610"/>
    <mergeCell ref="A611:A613"/>
    <mergeCell ref="B611:B613"/>
    <mergeCell ref="C611:C613"/>
    <mergeCell ref="A602:A604"/>
    <mergeCell ref="B602:B604"/>
    <mergeCell ref="C602:C604"/>
    <mergeCell ref="A605:A607"/>
    <mergeCell ref="B605:B607"/>
    <mergeCell ref="C605:C607"/>
    <mergeCell ref="A596:A598"/>
    <mergeCell ref="B596:B598"/>
    <mergeCell ref="C596:C598"/>
    <mergeCell ref="A599:A601"/>
    <mergeCell ref="B599:B601"/>
    <mergeCell ref="C599:C601"/>
    <mergeCell ref="A590:A592"/>
    <mergeCell ref="B590:B592"/>
    <mergeCell ref="C590:C592"/>
    <mergeCell ref="A593:A595"/>
    <mergeCell ref="B593:B595"/>
    <mergeCell ref="C593:C595"/>
    <mergeCell ref="A584:A586"/>
    <mergeCell ref="B584:B586"/>
    <mergeCell ref="C584:C586"/>
    <mergeCell ref="A587:A589"/>
    <mergeCell ref="B587:B589"/>
    <mergeCell ref="C587:C589"/>
    <mergeCell ref="A578:A580"/>
    <mergeCell ref="B578:B580"/>
    <mergeCell ref="C578:C580"/>
    <mergeCell ref="A581:A583"/>
    <mergeCell ref="B581:B583"/>
    <mergeCell ref="C581:C583"/>
    <mergeCell ref="A568:A570"/>
    <mergeCell ref="B568:B570"/>
    <mergeCell ref="C568:C570"/>
    <mergeCell ref="A571:A572"/>
    <mergeCell ref="A574:O574"/>
    <mergeCell ref="A575:A577"/>
    <mergeCell ref="B575:B577"/>
    <mergeCell ref="C575:C577"/>
    <mergeCell ref="A562:A564"/>
    <mergeCell ref="B562:B564"/>
    <mergeCell ref="C562:C564"/>
    <mergeCell ref="A565:A567"/>
    <mergeCell ref="B565:B567"/>
    <mergeCell ref="C565:C567"/>
    <mergeCell ref="A556:A558"/>
    <mergeCell ref="B556:B558"/>
    <mergeCell ref="C556:C558"/>
    <mergeCell ref="A559:A561"/>
    <mergeCell ref="B559:B561"/>
    <mergeCell ref="C559:C561"/>
    <mergeCell ref="A550:A552"/>
    <mergeCell ref="B550:B552"/>
    <mergeCell ref="C550:C552"/>
    <mergeCell ref="A553:A555"/>
    <mergeCell ref="B553:B555"/>
    <mergeCell ref="C553:C555"/>
    <mergeCell ref="A544:A546"/>
    <mergeCell ref="B544:B546"/>
    <mergeCell ref="C544:C546"/>
    <mergeCell ref="A547:A549"/>
    <mergeCell ref="B547:B549"/>
    <mergeCell ref="C547:C549"/>
    <mergeCell ref="A538:A540"/>
    <mergeCell ref="B538:B540"/>
    <mergeCell ref="C538:C540"/>
    <mergeCell ref="A541:A543"/>
    <mergeCell ref="B541:B543"/>
    <mergeCell ref="C541:C543"/>
    <mergeCell ref="A528:A529"/>
    <mergeCell ref="A531:O531"/>
    <mergeCell ref="A532:A534"/>
    <mergeCell ref="B532:B534"/>
    <mergeCell ref="C532:C534"/>
    <mergeCell ref="A535:A537"/>
    <mergeCell ref="B535:B537"/>
    <mergeCell ref="C535:C537"/>
    <mergeCell ref="A522:A524"/>
    <mergeCell ref="B522:B524"/>
    <mergeCell ref="C522:C524"/>
    <mergeCell ref="A525:A527"/>
    <mergeCell ref="B525:B527"/>
    <mergeCell ref="C525:C527"/>
    <mergeCell ref="A516:A518"/>
    <mergeCell ref="B516:B518"/>
    <mergeCell ref="C516:C518"/>
    <mergeCell ref="A519:A521"/>
    <mergeCell ref="B519:B521"/>
    <mergeCell ref="C519:C521"/>
    <mergeCell ref="A510:A512"/>
    <mergeCell ref="B510:B512"/>
    <mergeCell ref="C510:C512"/>
    <mergeCell ref="A513:A515"/>
    <mergeCell ref="B513:B515"/>
    <mergeCell ref="C513:C515"/>
    <mergeCell ref="A504:A506"/>
    <mergeCell ref="B504:B506"/>
    <mergeCell ref="C504:C506"/>
    <mergeCell ref="A507:A509"/>
    <mergeCell ref="B507:B509"/>
    <mergeCell ref="C507:C509"/>
    <mergeCell ref="A498:A500"/>
    <mergeCell ref="B498:B500"/>
    <mergeCell ref="C498:C500"/>
    <mergeCell ref="A501:A503"/>
    <mergeCell ref="B501:B503"/>
    <mergeCell ref="C501:C503"/>
    <mergeCell ref="A492:A494"/>
    <mergeCell ref="B492:B494"/>
    <mergeCell ref="C492:C494"/>
    <mergeCell ref="A495:A497"/>
    <mergeCell ref="B495:B497"/>
    <mergeCell ref="C495:C497"/>
    <mergeCell ref="A482:A484"/>
    <mergeCell ref="B482:B484"/>
    <mergeCell ref="C482:C484"/>
    <mergeCell ref="A485:A486"/>
    <mergeCell ref="A488:O488"/>
    <mergeCell ref="A489:A491"/>
    <mergeCell ref="B489:B491"/>
    <mergeCell ref="C489:C491"/>
    <mergeCell ref="A476:A478"/>
    <mergeCell ref="B476:B478"/>
    <mergeCell ref="C476:C478"/>
    <mergeCell ref="A479:A481"/>
    <mergeCell ref="B479:B481"/>
    <mergeCell ref="C479:C481"/>
    <mergeCell ref="A470:A472"/>
    <mergeCell ref="B470:B472"/>
    <mergeCell ref="C470:C472"/>
    <mergeCell ref="A473:A475"/>
    <mergeCell ref="B473:B475"/>
    <mergeCell ref="C473:C475"/>
    <mergeCell ref="A464:A466"/>
    <mergeCell ref="B464:B466"/>
    <mergeCell ref="C464:C466"/>
    <mergeCell ref="A467:A469"/>
    <mergeCell ref="B467:B469"/>
    <mergeCell ref="C467:C469"/>
    <mergeCell ref="A458:A460"/>
    <mergeCell ref="B458:B460"/>
    <mergeCell ref="C458:C460"/>
    <mergeCell ref="A461:A463"/>
    <mergeCell ref="B461:B463"/>
    <mergeCell ref="C461:C463"/>
    <mergeCell ref="A452:A454"/>
    <mergeCell ref="B452:B454"/>
    <mergeCell ref="C452:C454"/>
    <mergeCell ref="A455:A457"/>
    <mergeCell ref="B455:B457"/>
    <mergeCell ref="C455:C457"/>
    <mergeCell ref="A446:A448"/>
    <mergeCell ref="B446:B448"/>
    <mergeCell ref="C446:C448"/>
    <mergeCell ref="A449:A451"/>
    <mergeCell ref="B449:B451"/>
    <mergeCell ref="C449:C451"/>
    <mergeCell ref="A436:A438"/>
    <mergeCell ref="B436:B438"/>
    <mergeCell ref="C436:C438"/>
    <mergeCell ref="A439:A440"/>
    <mergeCell ref="A442:O442"/>
    <mergeCell ref="A443:A445"/>
    <mergeCell ref="B443:B445"/>
    <mergeCell ref="C443:C445"/>
    <mergeCell ref="A430:A432"/>
    <mergeCell ref="B430:B432"/>
    <mergeCell ref="C430:C432"/>
    <mergeCell ref="A433:A435"/>
    <mergeCell ref="B433:B435"/>
    <mergeCell ref="C433:C435"/>
    <mergeCell ref="A424:A426"/>
    <mergeCell ref="B424:B426"/>
    <mergeCell ref="C424:C426"/>
    <mergeCell ref="A427:A429"/>
    <mergeCell ref="B427:B429"/>
    <mergeCell ref="C427:C429"/>
    <mergeCell ref="A418:A420"/>
    <mergeCell ref="B418:B420"/>
    <mergeCell ref="C418:C420"/>
    <mergeCell ref="A421:A423"/>
    <mergeCell ref="B421:B423"/>
    <mergeCell ref="C421:C423"/>
    <mergeCell ref="A412:A414"/>
    <mergeCell ref="B412:B414"/>
    <mergeCell ref="C412:C414"/>
    <mergeCell ref="A415:A417"/>
    <mergeCell ref="B415:B417"/>
    <mergeCell ref="C415:C417"/>
    <mergeCell ref="A406:A408"/>
    <mergeCell ref="B406:B408"/>
    <mergeCell ref="C406:C408"/>
    <mergeCell ref="A409:A411"/>
    <mergeCell ref="B409:B411"/>
    <mergeCell ref="C409:C411"/>
    <mergeCell ref="A400:A402"/>
    <mergeCell ref="B400:B402"/>
    <mergeCell ref="C400:C402"/>
    <mergeCell ref="A403:A405"/>
    <mergeCell ref="B403:B405"/>
    <mergeCell ref="C403:C405"/>
    <mergeCell ref="A390:A391"/>
    <mergeCell ref="A393:O393"/>
    <mergeCell ref="A394:A396"/>
    <mergeCell ref="B394:B396"/>
    <mergeCell ref="C394:C396"/>
    <mergeCell ref="A397:A399"/>
    <mergeCell ref="B397:B399"/>
    <mergeCell ref="C397:C399"/>
    <mergeCell ref="A384:A386"/>
    <mergeCell ref="B384:B386"/>
    <mergeCell ref="C384:C386"/>
    <mergeCell ref="A387:A389"/>
    <mergeCell ref="B387:B389"/>
    <mergeCell ref="C387:C389"/>
    <mergeCell ref="A378:A380"/>
    <mergeCell ref="B378:B380"/>
    <mergeCell ref="C378:C380"/>
    <mergeCell ref="A381:A383"/>
    <mergeCell ref="B381:B383"/>
    <mergeCell ref="C381:C383"/>
    <mergeCell ref="A372:A374"/>
    <mergeCell ref="B372:B374"/>
    <mergeCell ref="C372:C374"/>
    <mergeCell ref="A375:A377"/>
    <mergeCell ref="B375:B377"/>
    <mergeCell ref="C375:C377"/>
    <mergeCell ref="A366:A368"/>
    <mergeCell ref="B366:B368"/>
    <mergeCell ref="C366:C368"/>
    <mergeCell ref="A369:A371"/>
    <mergeCell ref="B369:B371"/>
    <mergeCell ref="C369:C371"/>
    <mergeCell ref="A356:A358"/>
    <mergeCell ref="B356:B358"/>
    <mergeCell ref="C356:C358"/>
    <mergeCell ref="A359:A360"/>
    <mergeCell ref="A362:O362"/>
    <mergeCell ref="A363:A365"/>
    <mergeCell ref="B363:B365"/>
    <mergeCell ref="C363:C365"/>
    <mergeCell ref="A353:A355"/>
    <mergeCell ref="B353:B355"/>
    <mergeCell ref="C353:C355"/>
    <mergeCell ref="A347:A349"/>
    <mergeCell ref="B347:B349"/>
    <mergeCell ref="C347:C349"/>
    <mergeCell ref="A350:A352"/>
    <mergeCell ref="B350:B352"/>
    <mergeCell ref="C350:C352"/>
    <mergeCell ref="A341:A343"/>
    <mergeCell ref="B341:B343"/>
    <mergeCell ref="C341:C343"/>
    <mergeCell ref="A344:A346"/>
    <mergeCell ref="B344:B346"/>
    <mergeCell ref="C344:C346"/>
    <mergeCell ref="A335:A337"/>
    <mergeCell ref="B335:B337"/>
    <mergeCell ref="C335:C337"/>
    <mergeCell ref="A338:A340"/>
    <mergeCell ref="B338:B340"/>
    <mergeCell ref="C338:C340"/>
    <mergeCell ref="A329:A331"/>
    <mergeCell ref="B329:B331"/>
    <mergeCell ref="C329:C331"/>
    <mergeCell ref="A332:A334"/>
    <mergeCell ref="B332:B334"/>
    <mergeCell ref="C332:C334"/>
    <mergeCell ref="A323:A325"/>
    <mergeCell ref="B323:B325"/>
    <mergeCell ref="C323:C325"/>
    <mergeCell ref="A326:A328"/>
    <mergeCell ref="B326:B328"/>
    <mergeCell ref="C326:C328"/>
    <mergeCell ref="A317:A319"/>
    <mergeCell ref="B317:B319"/>
    <mergeCell ref="C317:C319"/>
    <mergeCell ref="A320:A322"/>
    <mergeCell ref="B320:B322"/>
    <mergeCell ref="C320:C322"/>
    <mergeCell ref="A311:A313"/>
    <mergeCell ref="B311:B313"/>
    <mergeCell ref="C311:C313"/>
    <mergeCell ref="A314:A316"/>
    <mergeCell ref="B314:B316"/>
    <mergeCell ref="C314:C316"/>
    <mergeCell ref="A305:A307"/>
    <mergeCell ref="B305:B307"/>
    <mergeCell ref="C305:C307"/>
    <mergeCell ref="A308:A310"/>
    <mergeCell ref="B308:B310"/>
    <mergeCell ref="C308:C310"/>
    <mergeCell ref="A295:A297"/>
    <mergeCell ref="B295:B297"/>
    <mergeCell ref="C295:C297"/>
    <mergeCell ref="A298:A299"/>
    <mergeCell ref="A301:O301"/>
    <mergeCell ref="A302:A304"/>
    <mergeCell ref="B302:B304"/>
    <mergeCell ref="C302:C304"/>
    <mergeCell ref="A289:A291"/>
    <mergeCell ref="B289:B291"/>
    <mergeCell ref="C289:C291"/>
    <mergeCell ref="A292:A294"/>
    <mergeCell ref="B292:B294"/>
    <mergeCell ref="C292:C294"/>
    <mergeCell ref="A283:A285"/>
    <mergeCell ref="B283:B285"/>
    <mergeCell ref="C283:C285"/>
    <mergeCell ref="A286:A288"/>
    <mergeCell ref="B286:B288"/>
    <mergeCell ref="C286:C288"/>
    <mergeCell ref="A277:A279"/>
    <mergeCell ref="B277:B279"/>
    <mergeCell ref="C277:C279"/>
    <mergeCell ref="A280:A282"/>
    <mergeCell ref="B280:B282"/>
    <mergeCell ref="C280:C282"/>
    <mergeCell ref="A267:A269"/>
    <mergeCell ref="B267:B269"/>
    <mergeCell ref="C267:C269"/>
    <mergeCell ref="A270:A271"/>
    <mergeCell ref="A273:O273"/>
    <mergeCell ref="A274:A276"/>
    <mergeCell ref="B274:B276"/>
    <mergeCell ref="C274:C276"/>
    <mergeCell ref="A261:A263"/>
    <mergeCell ref="B261:B263"/>
    <mergeCell ref="C261:C263"/>
    <mergeCell ref="A264:A266"/>
    <mergeCell ref="B264:B266"/>
    <mergeCell ref="C264:C266"/>
    <mergeCell ref="A255:A257"/>
    <mergeCell ref="B255:B257"/>
    <mergeCell ref="C255:C257"/>
    <mergeCell ref="A258:A260"/>
    <mergeCell ref="B258:B260"/>
    <mergeCell ref="C258:C260"/>
    <mergeCell ref="A249:A251"/>
    <mergeCell ref="B249:B251"/>
    <mergeCell ref="C249:C251"/>
    <mergeCell ref="A252:A254"/>
    <mergeCell ref="B252:B254"/>
    <mergeCell ref="C252:C254"/>
    <mergeCell ref="A243:A245"/>
    <mergeCell ref="B243:B245"/>
    <mergeCell ref="C243:C245"/>
    <mergeCell ref="A246:A248"/>
    <mergeCell ref="B246:B248"/>
    <mergeCell ref="C246:C248"/>
    <mergeCell ref="A233:A234"/>
    <mergeCell ref="A236:O236"/>
    <mergeCell ref="A237:A239"/>
    <mergeCell ref="B237:B239"/>
    <mergeCell ref="C237:C239"/>
    <mergeCell ref="A240:A242"/>
    <mergeCell ref="B240:B242"/>
    <mergeCell ref="C240:C242"/>
    <mergeCell ref="A227:A229"/>
    <mergeCell ref="B227:B229"/>
    <mergeCell ref="C227:C229"/>
    <mergeCell ref="A230:A232"/>
    <mergeCell ref="B230:B232"/>
    <mergeCell ref="C230:C232"/>
    <mergeCell ref="A221:A223"/>
    <mergeCell ref="B221:B223"/>
    <mergeCell ref="C221:C223"/>
    <mergeCell ref="A224:A226"/>
    <mergeCell ref="B224:B226"/>
    <mergeCell ref="C224:C226"/>
    <mergeCell ref="A215:A217"/>
    <mergeCell ref="B215:B217"/>
    <mergeCell ref="C215:C217"/>
    <mergeCell ref="A218:A220"/>
    <mergeCell ref="B218:B220"/>
    <mergeCell ref="C218:C220"/>
    <mergeCell ref="A209:A211"/>
    <mergeCell ref="B209:B211"/>
    <mergeCell ref="C209:C211"/>
    <mergeCell ref="A212:A214"/>
    <mergeCell ref="B212:B214"/>
    <mergeCell ref="C212:C214"/>
    <mergeCell ref="A203:A205"/>
    <mergeCell ref="B203:B205"/>
    <mergeCell ref="C203:C205"/>
    <mergeCell ref="A206:A208"/>
    <mergeCell ref="B206:B208"/>
    <mergeCell ref="C206:C208"/>
    <mergeCell ref="A197:A199"/>
    <mergeCell ref="B197:B199"/>
    <mergeCell ref="C197:C199"/>
    <mergeCell ref="A200:A202"/>
    <mergeCell ref="B200:B202"/>
    <mergeCell ref="C200:C202"/>
    <mergeCell ref="A191:A193"/>
    <mergeCell ref="B191:B193"/>
    <mergeCell ref="C191:C193"/>
    <mergeCell ref="A194:A196"/>
    <mergeCell ref="B194:B196"/>
    <mergeCell ref="C194:C196"/>
    <mergeCell ref="A185:A187"/>
    <mergeCell ref="B185:B187"/>
    <mergeCell ref="C185:C187"/>
    <mergeCell ref="A188:A190"/>
    <mergeCell ref="B188:B190"/>
    <mergeCell ref="C188:C190"/>
    <mergeCell ref="A175:A176"/>
    <mergeCell ref="A178:O178"/>
    <mergeCell ref="A179:A181"/>
    <mergeCell ref="B179:B181"/>
    <mergeCell ref="C179:C181"/>
    <mergeCell ref="A182:A184"/>
    <mergeCell ref="B182:B184"/>
    <mergeCell ref="C182:C184"/>
    <mergeCell ref="A169:A171"/>
    <mergeCell ref="B169:B171"/>
    <mergeCell ref="C169:C171"/>
    <mergeCell ref="A172:A174"/>
    <mergeCell ref="B172:B174"/>
    <mergeCell ref="C172:C174"/>
    <mergeCell ref="A163:A165"/>
    <mergeCell ref="B163:B165"/>
    <mergeCell ref="C163:C165"/>
    <mergeCell ref="A166:A168"/>
    <mergeCell ref="B166:B168"/>
    <mergeCell ref="C166:C168"/>
    <mergeCell ref="A157:A159"/>
    <mergeCell ref="B157:B159"/>
    <mergeCell ref="C157:C159"/>
    <mergeCell ref="A160:A162"/>
    <mergeCell ref="B160:B162"/>
    <mergeCell ref="C160:C162"/>
    <mergeCell ref="A147:A149"/>
    <mergeCell ref="B147:B149"/>
    <mergeCell ref="C147:C149"/>
    <mergeCell ref="A150:A151"/>
    <mergeCell ref="A153:O153"/>
    <mergeCell ref="A154:A156"/>
    <mergeCell ref="B154:B156"/>
    <mergeCell ref="C154:C156"/>
    <mergeCell ref="A141:A143"/>
    <mergeCell ref="B141:B143"/>
    <mergeCell ref="C141:C143"/>
    <mergeCell ref="A144:A146"/>
    <mergeCell ref="B144:B146"/>
    <mergeCell ref="C144:C146"/>
    <mergeCell ref="A135:A137"/>
    <mergeCell ref="B135:B137"/>
    <mergeCell ref="C135:C137"/>
    <mergeCell ref="A138:A140"/>
    <mergeCell ref="B138:B140"/>
    <mergeCell ref="C138:C140"/>
    <mergeCell ref="A129:A131"/>
    <mergeCell ref="B129:B131"/>
    <mergeCell ref="C129:C131"/>
    <mergeCell ref="A132:A134"/>
    <mergeCell ref="B132:B134"/>
    <mergeCell ref="C132:C134"/>
    <mergeCell ref="A126:A128"/>
    <mergeCell ref="B126:B128"/>
    <mergeCell ref="C126:C128"/>
    <mergeCell ref="A120:A122"/>
    <mergeCell ref="B120:B122"/>
    <mergeCell ref="C120:C122"/>
    <mergeCell ref="A123:A125"/>
    <mergeCell ref="B123:B125"/>
    <mergeCell ref="C123:C125"/>
    <mergeCell ref="A110:A111"/>
    <mergeCell ref="A113:O113"/>
    <mergeCell ref="A114:A116"/>
    <mergeCell ref="B114:B116"/>
    <mergeCell ref="C114:C116"/>
    <mergeCell ref="A117:A119"/>
    <mergeCell ref="B117:B119"/>
    <mergeCell ref="C117:C119"/>
    <mergeCell ref="A104:A106"/>
    <mergeCell ref="B104:B106"/>
    <mergeCell ref="C104:C106"/>
    <mergeCell ref="A107:A109"/>
    <mergeCell ref="B107:B109"/>
    <mergeCell ref="C107:C109"/>
    <mergeCell ref="A98:A100"/>
    <mergeCell ref="B98:B100"/>
    <mergeCell ref="C98:C100"/>
    <mergeCell ref="A101:A103"/>
    <mergeCell ref="B101:B103"/>
    <mergeCell ref="C101:C103"/>
    <mergeCell ref="A92:A94"/>
    <mergeCell ref="B92:B94"/>
    <mergeCell ref="C92:C94"/>
    <mergeCell ref="A95:A97"/>
    <mergeCell ref="B95:B97"/>
    <mergeCell ref="C95:C97"/>
    <mergeCell ref="A86:A88"/>
    <mergeCell ref="B86:B88"/>
    <mergeCell ref="C86:C88"/>
    <mergeCell ref="A89:A91"/>
    <mergeCell ref="B89:B91"/>
    <mergeCell ref="C89:C91"/>
    <mergeCell ref="A80:A82"/>
    <mergeCell ref="B80:B82"/>
    <mergeCell ref="C80:C82"/>
    <mergeCell ref="A83:A85"/>
    <mergeCell ref="B83:B85"/>
    <mergeCell ref="C83:C85"/>
    <mergeCell ref="A74:A76"/>
    <mergeCell ref="B74:B76"/>
    <mergeCell ref="C74:C76"/>
    <mergeCell ref="A77:A79"/>
    <mergeCell ref="B77:B79"/>
    <mergeCell ref="C77:C79"/>
    <mergeCell ref="A68:A70"/>
    <mergeCell ref="B68:B70"/>
    <mergeCell ref="C68:C70"/>
    <mergeCell ref="A71:A73"/>
    <mergeCell ref="B71:B73"/>
    <mergeCell ref="C71:C73"/>
    <mergeCell ref="A58:A59"/>
    <mergeCell ref="A61:O61"/>
    <mergeCell ref="A62:A64"/>
    <mergeCell ref="B62:B64"/>
    <mergeCell ref="C62:C64"/>
    <mergeCell ref="A65:A67"/>
    <mergeCell ref="B65:B67"/>
    <mergeCell ref="C65:C67"/>
    <mergeCell ref="A52:A54"/>
    <mergeCell ref="B52:B54"/>
    <mergeCell ref="C52:C54"/>
    <mergeCell ref="A55:A57"/>
    <mergeCell ref="B55:B57"/>
    <mergeCell ref="C55:C57"/>
    <mergeCell ref="A46:A48"/>
    <mergeCell ref="B46:B48"/>
    <mergeCell ref="C46:C48"/>
    <mergeCell ref="A49:A51"/>
    <mergeCell ref="B49:B51"/>
    <mergeCell ref="C49:C51"/>
    <mergeCell ref="A40:A42"/>
    <mergeCell ref="B40:B42"/>
    <mergeCell ref="C40:C42"/>
    <mergeCell ref="A43:A45"/>
    <mergeCell ref="B43:B45"/>
    <mergeCell ref="C43:C45"/>
    <mergeCell ref="A34:A36"/>
    <mergeCell ref="B34:B36"/>
    <mergeCell ref="C34:C36"/>
    <mergeCell ref="A37:A39"/>
    <mergeCell ref="B37:B39"/>
    <mergeCell ref="C37:C39"/>
    <mergeCell ref="A28:A30"/>
    <mergeCell ref="B28:B30"/>
    <mergeCell ref="C28:C30"/>
    <mergeCell ref="A31:A33"/>
    <mergeCell ref="B31:B33"/>
    <mergeCell ref="C31:C33"/>
    <mergeCell ref="A25:A27"/>
    <mergeCell ref="B25:B27"/>
    <mergeCell ref="C25:C27"/>
    <mergeCell ref="A16:A18"/>
    <mergeCell ref="B16:B18"/>
    <mergeCell ref="C16:C18"/>
    <mergeCell ref="A19:A21"/>
    <mergeCell ref="B19:B21"/>
    <mergeCell ref="C19:C21"/>
    <mergeCell ref="A6:P6"/>
    <mergeCell ref="B11:L11"/>
    <mergeCell ref="A13:A14"/>
    <mergeCell ref="B13:B14"/>
    <mergeCell ref="P13:P14"/>
    <mergeCell ref="A15:O15"/>
    <mergeCell ref="A22:A24"/>
    <mergeCell ref="B22:B24"/>
    <mergeCell ref="C22:C24"/>
  </mergeCells>
  <conditionalFormatting sqref="D17:O17">
    <cfRule type="cellIs" dxfId="181" priority="184" operator="greaterThan">
      <formula>0</formula>
    </cfRule>
  </conditionalFormatting>
  <conditionalFormatting sqref="D20:O20">
    <cfRule type="cellIs" dxfId="180" priority="183" operator="greaterThan">
      <formula>0</formula>
    </cfRule>
  </conditionalFormatting>
  <conditionalFormatting sqref="D23:O23">
    <cfRule type="cellIs" dxfId="179" priority="182" operator="greaterThan">
      <formula>0</formula>
    </cfRule>
  </conditionalFormatting>
  <conditionalFormatting sqref="D26:O26">
    <cfRule type="cellIs" dxfId="178" priority="181" operator="greaterThan">
      <formula>0</formula>
    </cfRule>
  </conditionalFormatting>
  <conditionalFormatting sqref="D29:O29">
    <cfRule type="cellIs" dxfId="177" priority="180" operator="greaterThan">
      <formula>0</formula>
    </cfRule>
  </conditionalFormatting>
  <conditionalFormatting sqref="D32:O32">
    <cfRule type="cellIs" dxfId="176" priority="179" operator="greaterThan">
      <formula>0</formula>
    </cfRule>
  </conditionalFormatting>
  <conditionalFormatting sqref="D35:O35">
    <cfRule type="cellIs" dxfId="175" priority="178" operator="greaterThan">
      <formula>0</formula>
    </cfRule>
  </conditionalFormatting>
  <conditionalFormatting sqref="D38:O38">
    <cfRule type="cellIs" dxfId="174" priority="177" operator="greaterThan">
      <formula>0</formula>
    </cfRule>
  </conditionalFormatting>
  <conditionalFormatting sqref="D41:O41">
    <cfRule type="cellIs" dxfId="173" priority="176" operator="greaterThan">
      <formula>0</formula>
    </cfRule>
  </conditionalFormatting>
  <conditionalFormatting sqref="D44:O44">
    <cfRule type="cellIs" dxfId="172" priority="175" operator="greaterThan">
      <formula>0</formula>
    </cfRule>
  </conditionalFormatting>
  <conditionalFormatting sqref="D47:O47">
    <cfRule type="cellIs" dxfId="171" priority="174" operator="greaterThan">
      <formula>0</formula>
    </cfRule>
  </conditionalFormatting>
  <conditionalFormatting sqref="D50:O50">
    <cfRule type="cellIs" dxfId="170" priority="173" operator="greaterThan">
      <formula>0</formula>
    </cfRule>
  </conditionalFormatting>
  <conditionalFormatting sqref="D53:O53">
    <cfRule type="cellIs" dxfId="169" priority="172" operator="greaterThan">
      <formula>0</formula>
    </cfRule>
  </conditionalFormatting>
  <conditionalFormatting sqref="D56:O56">
    <cfRule type="cellIs" dxfId="168" priority="171" operator="greaterThan">
      <formula>0</formula>
    </cfRule>
  </conditionalFormatting>
  <conditionalFormatting sqref="D63:O63">
    <cfRule type="cellIs" dxfId="167" priority="170" operator="greaterThan">
      <formula>0</formula>
    </cfRule>
  </conditionalFormatting>
  <conditionalFormatting sqref="D66:O66">
    <cfRule type="cellIs" dxfId="166" priority="169" operator="greaterThan">
      <formula>0</formula>
    </cfRule>
  </conditionalFormatting>
  <conditionalFormatting sqref="D69:O69">
    <cfRule type="cellIs" dxfId="165" priority="168" operator="greaterThan">
      <formula>0</formula>
    </cfRule>
  </conditionalFormatting>
  <conditionalFormatting sqref="D72:O72">
    <cfRule type="cellIs" dxfId="164" priority="167" operator="greaterThan">
      <formula>0</formula>
    </cfRule>
  </conditionalFormatting>
  <conditionalFormatting sqref="D75:O75">
    <cfRule type="cellIs" dxfId="163" priority="166" operator="greaterThan">
      <formula>0</formula>
    </cfRule>
  </conditionalFormatting>
  <conditionalFormatting sqref="D78:O78">
    <cfRule type="cellIs" dxfId="162" priority="165" operator="greaterThan">
      <formula>0</formula>
    </cfRule>
  </conditionalFormatting>
  <conditionalFormatting sqref="D81:O81">
    <cfRule type="cellIs" dxfId="161" priority="164" operator="greaterThan">
      <formula>0</formula>
    </cfRule>
  </conditionalFormatting>
  <conditionalFormatting sqref="D84:O84">
    <cfRule type="cellIs" dxfId="160" priority="163" operator="greaterThan">
      <formula>0</formula>
    </cfRule>
  </conditionalFormatting>
  <conditionalFormatting sqref="D87:O87">
    <cfRule type="cellIs" dxfId="159" priority="162" operator="greaterThan">
      <formula>0</formula>
    </cfRule>
  </conditionalFormatting>
  <conditionalFormatting sqref="D90:O90">
    <cfRule type="cellIs" dxfId="158" priority="161" operator="greaterThan">
      <formula>0</formula>
    </cfRule>
  </conditionalFormatting>
  <conditionalFormatting sqref="D93:O93">
    <cfRule type="cellIs" dxfId="157" priority="160" operator="greaterThan">
      <formula>0</formula>
    </cfRule>
  </conditionalFormatting>
  <conditionalFormatting sqref="D96:O96">
    <cfRule type="cellIs" dxfId="156" priority="159" operator="greaterThan">
      <formula>0</formula>
    </cfRule>
  </conditionalFormatting>
  <conditionalFormatting sqref="D99:O99">
    <cfRule type="cellIs" dxfId="155" priority="158" operator="greaterThan">
      <formula>0</formula>
    </cfRule>
  </conditionalFormatting>
  <conditionalFormatting sqref="D102:O102">
    <cfRule type="cellIs" dxfId="154" priority="157" operator="greaterThan">
      <formula>0</formula>
    </cfRule>
  </conditionalFormatting>
  <conditionalFormatting sqref="D105:O105">
    <cfRule type="cellIs" dxfId="153" priority="156" operator="greaterThan">
      <formula>0</formula>
    </cfRule>
  </conditionalFormatting>
  <conditionalFormatting sqref="D108:O108">
    <cfRule type="cellIs" dxfId="152" priority="155" operator="greaterThan">
      <formula>0</formula>
    </cfRule>
  </conditionalFormatting>
  <conditionalFormatting sqref="D115:O115">
    <cfRule type="cellIs" dxfId="151" priority="154" operator="greaterThan">
      <formula>0</formula>
    </cfRule>
  </conditionalFormatting>
  <conditionalFormatting sqref="D118:O118">
    <cfRule type="cellIs" dxfId="150" priority="153" operator="greaterThan">
      <formula>0</formula>
    </cfRule>
  </conditionalFormatting>
  <conditionalFormatting sqref="D121:O121">
    <cfRule type="cellIs" dxfId="149" priority="152" operator="greaterThan">
      <formula>0</formula>
    </cfRule>
  </conditionalFormatting>
  <conditionalFormatting sqref="D124:O124">
    <cfRule type="cellIs" dxfId="148" priority="151" operator="greaterThan">
      <formula>0</formula>
    </cfRule>
  </conditionalFormatting>
  <conditionalFormatting sqref="D127:O127">
    <cfRule type="cellIs" dxfId="147" priority="149" operator="greaterThan">
      <formula>0</formula>
    </cfRule>
  </conditionalFormatting>
  <conditionalFormatting sqref="D130:O130">
    <cfRule type="cellIs" dxfId="146" priority="148" operator="greaterThan">
      <formula>0</formula>
    </cfRule>
  </conditionalFormatting>
  <conditionalFormatting sqref="D133:O133">
    <cfRule type="cellIs" dxfId="145" priority="147" operator="greaterThan">
      <formula>0</formula>
    </cfRule>
  </conditionalFormatting>
  <conditionalFormatting sqref="D136:O136">
    <cfRule type="cellIs" dxfId="144" priority="146" operator="greaterThan">
      <formula>0</formula>
    </cfRule>
  </conditionalFormatting>
  <conditionalFormatting sqref="D139:O139">
    <cfRule type="cellIs" dxfId="143" priority="145" operator="greaterThan">
      <formula>0</formula>
    </cfRule>
  </conditionalFormatting>
  <conditionalFormatting sqref="D142:O142">
    <cfRule type="cellIs" dxfId="142" priority="144" operator="greaterThan">
      <formula>0</formula>
    </cfRule>
  </conditionalFormatting>
  <conditionalFormatting sqref="D145:O145">
    <cfRule type="cellIs" dxfId="141" priority="143" operator="greaterThan">
      <formula>0</formula>
    </cfRule>
  </conditionalFormatting>
  <conditionalFormatting sqref="D148:O148">
    <cfRule type="cellIs" dxfId="140" priority="142" operator="greaterThan">
      <formula>0</formula>
    </cfRule>
  </conditionalFormatting>
  <conditionalFormatting sqref="D155:O155">
    <cfRule type="cellIs" dxfId="139" priority="141" operator="greaterThan">
      <formula>0</formula>
    </cfRule>
  </conditionalFormatting>
  <conditionalFormatting sqref="D158:O158">
    <cfRule type="cellIs" dxfId="138" priority="140" operator="greaterThan">
      <formula>0</formula>
    </cfRule>
  </conditionalFormatting>
  <conditionalFormatting sqref="D161:O161">
    <cfRule type="cellIs" dxfId="137" priority="139" operator="greaterThan">
      <formula>0</formula>
    </cfRule>
  </conditionalFormatting>
  <conditionalFormatting sqref="D164:O164">
    <cfRule type="cellIs" dxfId="136" priority="138" operator="greaterThan">
      <formula>0</formula>
    </cfRule>
  </conditionalFormatting>
  <conditionalFormatting sqref="D167:O167">
    <cfRule type="cellIs" dxfId="135" priority="137" operator="greaterThan">
      <formula>0</formula>
    </cfRule>
  </conditionalFormatting>
  <conditionalFormatting sqref="D170:O170">
    <cfRule type="cellIs" dxfId="134" priority="136" operator="greaterThan">
      <formula>0</formula>
    </cfRule>
  </conditionalFormatting>
  <conditionalFormatting sqref="D173:O173">
    <cfRule type="cellIs" dxfId="133" priority="135" operator="greaterThan">
      <formula>0</formula>
    </cfRule>
  </conditionalFormatting>
  <conditionalFormatting sqref="D180:O180">
    <cfRule type="cellIs" dxfId="132" priority="134" operator="greaterThan">
      <formula>0</formula>
    </cfRule>
  </conditionalFormatting>
  <conditionalFormatting sqref="D183:O183">
    <cfRule type="cellIs" dxfId="131" priority="133" operator="greaterThan">
      <formula>0</formula>
    </cfRule>
  </conditionalFormatting>
  <conditionalFormatting sqref="D186:O186">
    <cfRule type="cellIs" dxfId="130" priority="132" operator="greaterThan">
      <formula>0</formula>
    </cfRule>
  </conditionalFormatting>
  <conditionalFormatting sqref="D189:O189">
    <cfRule type="cellIs" dxfId="129" priority="131" operator="greaterThan">
      <formula>0</formula>
    </cfRule>
  </conditionalFormatting>
  <conditionalFormatting sqref="D192:O192">
    <cfRule type="cellIs" dxfId="128" priority="130" operator="greaterThan">
      <formula>0</formula>
    </cfRule>
  </conditionalFormatting>
  <conditionalFormatting sqref="D195:O195">
    <cfRule type="cellIs" dxfId="127" priority="129" operator="greaterThan">
      <formula>0</formula>
    </cfRule>
  </conditionalFormatting>
  <conditionalFormatting sqref="D198:O198">
    <cfRule type="cellIs" dxfId="126" priority="128" operator="greaterThan">
      <formula>0</formula>
    </cfRule>
  </conditionalFormatting>
  <conditionalFormatting sqref="D201:O201">
    <cfRule type="cellIs" dxfId="125" priority="127" operator="greaterThan">
      <formula>0</formula>
    </cfRule>
  </conditionalFormatting>
  <conditionalFormatting sqref="D204:O204">
    <cfRule type="cellIs" dxfId="124" priority="126" operator="greaterThan">
      <formula>0</formula>
    </cfRule>
  </conditionalFormatting>
  <conditionalFormatting sqref="D207:O207">
    <cfRule type="cellIs" dxfId="123" priority="125" operator="greaterThan">
      <formula>0</formula>
    </cfRule>
  </conditionalFormatting>
  <conditionalFormatting sqref="D210:O210">
    <cfRule type="cellIs" dxfId="122" priority="124" operator="greaterThan">
      <formula>0</formula>
    </cfRule>
  </conditionalFormatting>
  <conditionalFormatting sqref="D213:O213">
    <cfRule type="cellIs" dxfId="121" priority="123" operator="greaterThan">
      <formula>0</formula>
    </cfRule>
  </conditionalFormatting>
  <conditionalFormatting sqref="D216:O216">
    <cfRule type="cellIs" dxfId="120" priority="122" operator="greaterThan">
      <formula>0</formula>
    </cfRule>
  </conditionalFormatting>
  <conditionalFormatting sqref="D219:O219">
    <cfRule type="cellIs" dxfId="119" priority="121" operator="greaterThan">
      <formula>0</formula>
    </cfRule>
  </conditionalFormatting>
  <conditionalFormatting sqref="D222:O222">
    <cfRule type="cellIs" dxfId="118" priority="120" operator="greaterThan">
      <formula>0</formula>
    </cfRule>
  </conditionalFormatting>
  <conditionalFormatting sqref="D225:O225">
    <cfRule type="cellIs" dxfId="117" priority="119" operator="greaterThan">
      <formula>0</formula>
    </cfRule>
  </conditionalFormatting>
  <conditionalFormatting sqref="D228:O228">
    <cfRule type="cellIs" dxfId="116" priority="118" operator="greaterThan">
      <formula>0</formula>
    </cfRule>
  </conditionalFormatting>
  <conditionalFormatting sqref="D231:O231">
    <cfRule type="cellIs" dxfId="115" priority="117" operator="greaterThan">
      <formula>0</formula>
    </cfRule>
  </conditionalFormatting>
  <conditionalFormatting sqref="D238:O238">
    <cfRule type="cellIs" dxfId="114" priority="116" operator="greaterThan">
      <formula>0</formula>
    </cfRule>
  </conditionalFormatting>
  <conditionalFormatting sqref="D241:O241">
    <cfRule type="cellIs" dxfId="113" priority="115" operator="greaterThan">
      <formula>0</formula>
    </cfRule>
  </conditionalFormatting>
  <conditionalFormatting sqref="D244:O244">
    <cfRule type="cellIs" dxfId="112" priority="114" operator="greaterThan">
      <formula>0</formula>
    </cfRule>
  </conditionalFormatting>
  <conditionalFormatting sqref="D247:O247">
    <cfRule type="cellIs" dxfId="111" priority="113" operator="greaterThan">
      <formula>0</formula>
    </cfRule>
  </conditionalFormatting>
  <conditionalFormatting sqref="D250:O250">
    <cfRule type="cellIs" dxfId="110" priority="112" operator="greaterThan">
      <formula>0</formula>
    </cfRule>
  </conditionalFormatting>
  <conditionalFormatting sqref="D253:O253">
    <cfRule type="cellIs" dxfId="109" priority="111" operator="greaterThan">
      <formula>0</formula>
    </cfRule>
  </conditionalFormatting>
  <conditionalFormatting sqref="D256:O256">
    <cfRule type="cellIs" dxfId="108" priority="110" operator="greaterThan">
      <formula>0</formula>
    </cfRule>
  </conditionalFormatting>
  <conditionalFormatting sqref="D259:O259">
    <cfRule type="cellIs" dxfId="107" priority="109" operator="greaterThan">
      <formula>0</formula>
    </cfRule>
  </conditionalFormatting>
  <conditionalFormatting sqref="D262:O262">
    <cfRule type="cellIs" dxfId="106" priority="108" operator="greaterThan">
      <formula>0</formula>
    </cfRule>
  </conditionalFormatting>
  <conditionalFormatting sqref="D265:O265">
    <cfRule type="cellIs" dxfId="105" priority="107" operator="greaterThan">
      <formula>0</formula>
    </cfRule>
  </conditionalFormatting>
  <conditionalFormatting sqref="D268:O268">
    <cfRule type="cellIs" dxfId="104" priority="106" operator="greaterThan">
      <formula>0</formula>
    </cfRule>
  </conditionalFormatting>
  <conditionalFormatting sqref="D275:O275">
    <cfRule type="cellIs" dxfId="103" priority="105" operator="greaterThan">
      <formula>0</formula>
    </cfRule>
  </conditionalFormatting>
  <conditionalFormatting sqref="D278:O278">
    <cfRule type="cellIs" dxfId="102" priority="104" operator="greaterThan">
      <formula>0</formula>
    </cfRule>
  </conditionalFormatting>
  <conditionalFormatting sqref="D281:O281">
    <cfRule type="cellIs" dxfId="101" priority="103" operator="greaterThan">
      <formula>0</formula>
    </cfRule>
  </conditionalFormatting>
  <conditionalFormatting sqref="D284:O284">
    <cfRule type="cellIs" dxfId="100" priority="102" operator="greaterThan">
      <formula>0</formula>
    </cfRule>
  </conditionalFormatting>
  <conditionalFormatting sqref="D287:O287">
    <cfRule type="cellIs" dxfId="99" priority="101" operator="greaterThan">
      <formula>0</formula>
    </cfRule>
  </conditionalFormatting>
  <conditionalFormatting sqref="D290:O290">
    <cfRule type="cellIs" dxfId="98" priority="100" operator="greaterThan">
      <formula>0</formula>
    </cfRule>
  </conditionalFormatting>
  <conditionalFormatting sqref="D293:O293">
    <cfRule type="cellIs" dxfId="97" priority="99" operator="greaterThan">
      <formula>0</formula>
    </cfRule>
  </conditionalFormatting>
  <conditionalFormatting sqref="D296:O296">
    <cfRule type="cellIs" dxfId="96" priority="98" operator="greaterThan">
      <formula>0</formula>
    </cfRule>
  </conditionalFormatting>
  <conditionalFormatting sqref="D303:O303">
    <cfRule type="cellIs" dxfId="95" priority="97" operator="greaterThan">
      <formula>0</formula>
    </cfRule>
  </conditionalFormatting>
  <conditionalFormatting sqref="D306:O306">
    <cfRule type="cellIs" dxfId="94" priority="96" operator="greaterThan">
      <formula>0</formula>
    </cfRule>
  </conditionalFormatting>
  <conditionalFormatting sqref="D309:O309">
    <cfRule type="cellIs" dxfId="93" priority="95" operator="greaterThan">
      <formula>0</formula>
    </cfRule>
  </conditionalFormatting>
  <conditionalFormatting sqref="D312:O312">
    <cfRule type="cellIs" dxfId="92" priority="94" operator="greaterThan">
      <formula>0</formula>
    </cfRule>
  </conditionalFormatting>
  <conditionalFormatting sqref="D315:O315">
    <cfRule type="cellIs" dxfId="91" priority="93" operator="greaterThan">
      <formula>0</formula>
    </cfRule>
  </conditionalFormatting>
  <conditionalFormatting sqref="D318:O318">
    <cfRule type="cellIs" dxfId="90" priority="92" operator="greaterThan">
      <formula>0</formula>
    </cfRule>
  </conditionalFormatting>
  <conditionalFormatting sqref="D321:O321">
    <cfRule type="cellIs" dxfId="89" priority="91" operator="greaterThan">
      <formula>0</formula>
    </cfRule>
  </conditionalFormatting>
  <conditionalFormatting sqref="D324:O324">
    <cfRule type="cellIs" dxfId="88" priority="90" operator="greaterThan">
      <formula>0</formula>
    </cfRule>
  </conditionalFormatting>
  <conditionalFormatting sqref="D327:O327">
    <cfRule type="cellIs" dxfId="87" priority="89" operator="greaterThan">
      <formula>0</formula>
    </cfRule>
  </conditionalFormatting>
  <conditionalFormatting sqref="D330:O330">
    <cfRule type="cellIs" dxfId="86" priority="88" operator="greaterThan">
      <formula>0</formula>
    </cfRule>
  </conditionalFormatting>
  <conditionalFormatting sqref="D333:O333">
    <cfRule type="cellIs" dxfId="85" priority="87" operator="greaterThan">
      <formula>0</formula>
    </cfRule>
  </conditionalFormatting>
  <conditionalFormatting sqref="D336:O336">
    <cfRule type="cellIs" dxfId="84" priority="86" operator="greaterThan">
      <formula>0</formula>
    </cfRule>
  </conditionalFormatting>
  <conditionalFormatting sqref="D339:O339">
    <cfRule type="cellIs" dxfId="83" priority="85" operator="greaterThan">
      <formula>0</formula>
    </cfRule>
  </conditionalFormatting>
  <conditionalFormatting sqref="D342:O342">
    <cfRule type="cellIs" dxfId="82" priority="84" operator="greaterThan">
      <formula>0</formula>
    </cfRule>
  </conditionalFormatting>
  <conditionalFormatting sqref="D345:O345">
    <cfRule type="cellIs" dxfId="81" priority="83" operator="greaterThan">
      <formula>0</formula>
    </cfRule>
  </conditionalFormatting>
  <conditionalFormatting sqref="D348:O348">
    <cfRule type="cellIs" dxfId="80" priority="82" operator="greaterThan">
      <formula>0</formula>
    </cfRule>
  </conditionalFormatting>
  <conditionalFormatting sqref="D351:O351">
    <cfRule type="cellIs" dxfId="79" priority="81" operator="greaterThan">
      <formula>0</formula>
    </cfRule>
  </conditionalFormatting>
  <conditionalFormatting sqref="D354:O354">
    <cfRule type="cellIs" dxfId="78" priority="79" operator="greaterThan">
      <formula>0</formula>
    </cfRule>
  </conditionalFormatting>
  <conditionalFormatting sqref="D357:O357">
    <cfRule type="cellIs" dxfId="77" priority="78" operator="greaterThan">
      <formula>0</formula>
    </cfRule>
  </conditionalFormatting>
  <conditionalFormatting sqref="D364:O364">
    <cfRule type="cellIs" dxfId="76" priority="77" operator="greaterThan">
      <formula>0</formula>
    </cfRule>
  </conditionalFormatting>
  <conditionalFormatting sqref="D367:O367">
    <cfRule type="cellIs" dxfId="75" priority="76" operator="greaterThan">
      <formula>0</formula>
    </cfRule>
  </conditionalFormatting>
  <conditionalFormatting sqref="D370:O370">
    <cfRule type="cellIs" dxfId="74" priority="75" operator="greaterThan">
      <formula>0</formula>
    </cfRule>
  </conditionalFormatting>
  <conditionalFormatting sqref="D373:O373">
    <cfRule type="cellIs" dxfId="73" priority="74" operator="greaterThan">
      <formula>0</formula>
    </cfRule>
  </conditionalFormatting>
  <conditionalFormatting sqref="D376:O376">
    <cfRule type="cellIs" dxfId="72" priority="73" operator="greaterThan">
      <formula>0</formula>
    </cfRule>
  </conditionalFormatting>
  <conditionalFormatting sqref="D379:O379">
    <cfRule type="cellIs" dxfId="71" priority="72" operator="greaterThan">
      <formula>0</formula>
    </cfRule>
  </conditionalFormatting>
  <conditionalFormatting sqref="D382:O382">
    <cfRule type="cellIs" dxfId="70" priority="71" operator="greaterThan">
      <formula>0</formula>
    </cfRule>
  </conditionalFormatting>
  <conditionalFormatting sqref="D385:O385">
    <cfRule type="cellIs" dxfId="69" priority="70" operator="greaterThan">
      <formula>0</formula>
    </cfRule>
  </conditionalFormatting>
  <conditionalFormatting sqref="D388:O388">
    <cfRule type="cellIs" dxfId="68" priority="69" operator="greaterThan">
      <formula>0</formula>
    </cfRule>
  </conditionalFormatting>
  <conditionalFormatting sqref="D395:O395">
    <cfRule type="cellIs" dxfId="67" priority="68" operator="greaterThan">
      <formula>0</formula>
    </cfRule>
  </conditionalFormatting>
  <conditionalFormatting sqref="D398:O398">
    <cfRule type="cellIs" dxfId="66" priority="67" operator="greaterThan">
      <formula>0</formula>
    </cfRule>
  </conditionalFormatting>
  <conditionalFormatting sqref="D401:O401">
    <cfRule type="cellIs" dxfId="65" priority="66" operator="greaterThan">
      <formula>0</formula>
    </cfRule>
  </conditionalFormatting>
  <conditionalFormatting sqref="D404:O404">
    <cfRule type="cellIs" dxfId="64" priority="65" operator="greaterThan">
      <formula>0</formula>
    </cfRule>
  </conditionalFormatting>
  <conditionalFormatting sqref="D407:O407">
    <cfRule type="cellIs" dxfId="63" priority="64" operator="greaterThan">
      <formula>0</formula>
    </cfRule>
  </conditionalFormatting>
  <conditionalFormatting sqref="D410:O410">
    <cfRule type="cellIs" dxfId="62" priority="63" operator="greaterThan">
      <formula>0</formula>
    </cfRule>
  </conditionalFormatting>
  <conditionalFormatting sqref="D413:O413">
    <cfRule type="cellIs" dxfId="61" priority="62" operator="greaterThan">
      <formula>0</formula>
    </cfRule>
  </conditionalFormatting>
  <conditionalFormatting sqref="D416:O416">
    <cfRule type="cellIs" dxfId="60" priority="61" operator="greaterThan">
      <formula>0</formula>
    </cfRule>
  </conditionalFormatting>
  <conditionalFormatting sqref="D419:O419">
    <cfRule type="cellIs" dxfId="59" priority="60" operator="greaterThan">
      <formula>0</formula>
    </cfRule>
  </conditionalFormatting>
  <conditionalFormatting sqref="D422:O422">
    <cfRule type="cellIs" dxfId="58" priority="59" operator="greaterThan">
      <formula>0</formula>
    </cfRule>
  </conditionalFormatting>
  <conditionalFormatting sqref="D425:O425">
    <cfRule type="cellIs" dxfId="57" priority="58" operator="greaterThan">
      <formula>0</formula>
    </cfRule>
  </conditionalFormatting>
  <conditionalFormatting sqref="D428:O428">
    <cfRule type="cellIs" dxfId="56" priority="57" operator="greaterThan">
      <formula>0</formula>
    </cfRule>
  </conditionalFormatting>
  <conditionalFormatting sqref="D431:O431">
    <cfRule type="cellIs" dxfId="55" priority="56" operator="greaterThan">
      <formula>0</formula>
    </cfRule>
  </conditionalFormatting>
  <conditionalFormatting sqref="D434:O434">
    <cfRule type="cellIs" dxfId="54" priority="55" operator="greaterThan">
      <formula>0</formula>
    </cfRule>
  </conditionalFormatting>
  <conditionalFormatting sqref="D437:O437">
    <cfRule type="cellIs" dxfId="53" priority="54" operator="greaterThan">
      <formula>0</formula>
    </cfRule>
  </conditionalFormatting>
  <conditionalFormatting sqref="D444:O444">
    <cfRule type="cellIs" dxfId="52" priority="53" operator="greaterThan">
      <formula>0</formula>
    </cfRule>
  </conditionalFormatting>
  <conditionalFormatting sqref="D447:O447">
    <cfRule type="cellIs" dxfId="51" priority="52" operator="greaterThan">
      <formula>0</formula>
    </cfRule>
  </conditionalFormatting>
  <conditionalFormatting sqref="D450:O450">
    <cfRule type="cellIs" dxfId="50" priority="51" operator="greaterThan">
      <formula>0</formula>
    </cfRule>
  </conditionalFormatting>
  <conditionalFormatting sqref="D453:O453">
    <cfRule type="cellIs" dxfId="49" priority="50" operator="greaterThan">
      <formula>0</formula>
    </cfRule>
  </conditionalFormatting>
  <conditionalFormatting sqref="D456:O456">
    <cfRule type="cellIs" dxfId="48" priority="49" operator="greaterThan">
      <formula>0</formula>
    </cfRule>
  </conditionalFormatting>
  <conditionalFormatting sqref="D459:O459">
    <cfRule type="cellIs" dxfId="47" priority="48" operator="greaterThan">
      <formula>0</formula>
    </cfRule>
  </conditionalFormatting>
  <conditionalFormatting sqref="D462:O462">
    <cfRule type="cellIs" dxfId="46" priority="47" operator="greaterThan">
      <formula>0</formula>
    </cfRule>
  </conditionalFormatting>
  <conditionalFormatting sqref="D465:O465">
    <cfRule type="cellIs" dxfId="45" priority="46" operator="greaterThan">
      <formula>0</formula>
    </cfRule>
  </conditionalFormatting>
  <conditionalFormatting sqref="D468:O468">
    <cfRule type="cellIs" dxfId="44" priority="45" operator="greaterThan">
      <formula>0</formula>
    </cfRule>
  </conditionalFormatting>
  <conditionalFormatting sqref="D471:O471">
    <cfRule type="cellIs" dxfId="43" priority="44" operator="greaterThan">
      <formula>0</formula>
    </cfRule>
  </conditionalFormatting>
  <conditionalFormatting sqref="D474:O474">
    <cfRule type="cellIs" dxfId="42" priority="43" operator="greaterThan">
      <formula>0</formula>
    </cfRule>
  </conditionalFormatting>
  <conditionalFormatting sqref="D477:O477">
    <cfRule type="cellIs" dxfId="41" priority="42" operator="greaterThan">
      <formula>0</formula>
    </cfRule>
  </conditionalFormatting>
  <conditionalFormatting sqref="D480:O480">
    <cfRule type="cellIs" dxfId="40" priority="41" operator="greaterThan">
      <formula>0</formula>
    </cfRule>
  </conditionalFormatting>
  <conditionalFormatting sqref="D483:O483">
    <cfRule type="cellIs" dxfId="39" priority="40" operator="greaterThan">
      <formula>0</formula>
    </cfRule>
  </conditionalFormatting>
  <conditionalFormatting sqref="D490:O490">
    <cfRule type="cellIs" dxfId="38" priority="39" operator="greaterThan">
      <formula>0</formula>
    </cfRule>
  </conditionalFormatting>
  <conditionalFormatting sqref="D493:O493">
    <cfRule type="cellIs" dxfId="37" priority="38" operator="greaterThan">
      <formula>0</formula>
    </cfRule>
  </conditionalFormatting>
  <conditionalFormatting sqref="D496:O496">
    <cfRule type="cellIs" dxfId="36" priority="37" operator="greaterThan">
      <formula>0</formula>
    </cfRule>
  </conditionalFormatting>
  <conditionalFormatting sqref="D499:O499">
    <cfRule type="cellIs" dxfId="35" priority="36" operator="greaterThan">
      <formula>0</formula>
    </cfRule>
  </conditionalFormatting>
  <conditionalFormatting sqref="D502:O502">
    <cfRule type="cellIs" dxfId="34" priority="35" operator="greaterThan">
      <formula>0</formula>
    </cfRule>
  </conditionalFormatting>
  <conditionalFormatting sqref="D505:O505">
    <cfRule type="cellIs" dxfId="33" priority="34" operator="greaterThan">
      <formula>0</formula>
    </cfRule>
  </conditionalFormatting>
  <conditionalFormatting sqref="D508:O508">
    <cfRule type="cellIs" dxfId="32" priority="33" operator="greaterThan">
      <formula>0</formula>
    </cfRule>
  </conditionalFormatting>
  <conditionalFormatting sqref="D511:O511">
    <cfRule type="cellIs" dxfId="31" priority="32" operator="greaterThan">
      <formula>0</formula>
    </cfRule>
  </conditionalFormatting>
  <conditionalFormatting sqref="D514:O514">
    <cfRule type="cellIs" dxfId="30" priority="31" operator="greaterThan">
      <formula>0</formula>
    </cfRule>
  </conditionalFormatting>
  <conditionalFormatting sqref="D517:O517">
    <cfRule type="cellIs" dxfId="29" priority="30" operator="greaterThan">
      <formula>0</formula>
    </cfRule>
  </conditionalFormatting>
  <conditionalFormatting sqref="D520:O520">
    <cfRule type="cellIs" dxfId="28" priority="29" operator="greaterThan">
      <formula>0</formula>
    </cfRule>
  </conditionalFormatting>
  <conditionalFormatting sqref="D523:O523">
    <cfRule type="cellIs" dxfId="27" priority="28" operator="greaterThan">
      <formula>0</formula>
    </cfRule>
  </conditionalFormatting>
  <conditionalFormatting sqref="D526:O526">
    <cfRule type="cellIs" dxfId="26" priority="27" operator="greaterThan">
      <formula>0</formula>
    </cfRule>
  </conditionalFormatting>
  <conditionalFormatting sqref="D533:O533">
    <cfRule type="cellIs" dxfId="25" priority="26" operator="greaterThan">
      <formula>0</formula>
    </cfRule>
  </conditionalFormatting>
  <conditionalFormatting sqref="D536:O536">
    <cfRule type="cellIs" dxfId="24" priority="25" operator="greaterThan">
      <formula>0</formula>
    </cfRule>
  </conditionalFormatting>
  <conditionalFormatting sqref="D539:O539">
    <cfRule type="cellIs" dxfId="23" priority="24" operator="greaterThan">
      <formula>0</formula>
    </cfRule>
  </conditionalFormatting>
  <conditionalFormatting sqref="D542:O542">
    <cfRule type="cellIs" dxfId="22" priority="23" operator="greaterThan">
      <formula>0</formula>
    </cfRule>
  </conditionalFormatting>
  <conditionalFormatting sqref="D545:O545">
    <cfRule type="cellIs" dxfId="21" priority="22" operator="greaterThan">
      <formula>0</formula>
    </cfRule>
  </conditionalFormatting>
  <conditionalFormatting sqref="D551:O551">
    <cfRule type="cellIs" dxfId="20" priority="21" operator="greaterThan">
      <formula>0</formula>
    </cfRule>
  </conditionalFormatting>
  <conditionalFormatting sqref="D554:O554">
    <cfRule type="cellIs" dxfId="19" priority="20" operator="greaterThan">
      <formula>0</formula>
    </cfRule>
  </conditionalFormatting>
  <conditionalFormatting sqref="D557:O557">
    <cfRule type="cellIs" dxfId="18" priority="19" operator="greaterThan">
      <formula>0</formula>
    </cfRule>
  </conditionalFormatting>
  <conditionalFormatting sqref="D560:O560">
    <cfRule type="cellIs" dxfId="17" priority="18" operator="greaterThan">
      <formula>0</formula>
    </cfRule>
  </conditionalFormatting>
  <conditionalFormatting sqref="D563:O563">
    <cfRule type="cellIs" dxfId="16" priority="17" operator="greaterThan">
      <formula>0</formula>
    </cfRule>
  </conditionalFormatting>
  <conditionalFormatting sqref="D566:O566">
    <cfRule type="cellIs" dxfId="15" priority="16" operator="greaterThan">
      <formula>0</formula>
    </cfRule>
  </conditionalFormatting>
  <conditionalFormatting sqref="D569:O569">
    <cfRule type="cellIs" dxfId="14" priority="15" operator="greaterThan">
      <formula>0</formula>
    </cfRule>
  </conditionalFormatting>
  <conditionalFormatting sqref="D576:O576">
    <cfRule type="cellIs" dxfId="13" priority="14" operator="greaterThan">
      <formula>0</formula>
    </cfRule>
  </conditionalFormatting>
  <conditionalFormatting sqref="D579:O579">
    <cfRule type="cellIs" dxfId="12" priority="13" operator="greaterThan">
      <formula>0</formula>
    </cfRule>
  </conditionalFormatting>
  <conditionalFormatting sqref="D582:O582">
    <cfRule type="cellIs" dxfId="11" priority="12" operator="greaterThan">
      <formula>0</formula>
    </cfRule>
  </conditionalFormatting>
  <conditionalFormatting sqref="D585:O585">
    <cfRule type="cellIs" dxfId="10" priority="11" operator="greaterThan">
      <formula>0</formula>
    </cfRule>
  </conditionalFormatting>
  <conditionalFormatting sqref="D612:O612">
    <cfRule type="cellIs" dxfId="9" priority="2" operator="greaterThan">
      <formula>0</formula>
    </cfRule>
  </conditionalFormatting>
  <conditionalFormatting sqref="D588:O588">
    <cfRule type="cellIs" dxfId="8" priority="10" operator="greaterThan">
      <formula>0</formula>
    </cfRule>
  </conditionalFormatting>
  <conditionalFormatting sqref="D591:O591">
    <cfRule type="cellIs" dxfId="7" priority="9" operator="greaterThan">
      <formula>0</formula>
    </cfRule>
  </conditionalFormatting>
  <conditionalFormatting sqref="D594:O594">
    <cfRule type="cellIs" dxfId="6" priority="8" operator="greaterThan">
      <formula>0</formula>
    </cfRule>
  </conditionalFormatting>
  <conditionalFormatting sqref="D597:O597">
    <cfRule type="cellIs" dxfId="5" priority="7" operator="greaterThan">
      <formula>0</formula>
    </cfRule>
  </conditionalFormatting>
  <conditionalFormatting sqref="D600:O600">
    <cfRule type="cellIs" dxfId="4" priority="6" operator="greaterThan">
      <formula>0</formula>
    </cfRule>
  </conditionalFormatting>
  <conditionalFormatting sqref="D603:O603">
    <cfRule type="cellIs" dxfId="3" priority="5" operator="greaterThan">
      <formula>0</formula>
    </cfRule>
  </conditionalFormatting>
  <conditionalFormatting sqref="D606:O606">
    <cfRule type="cellIs" dxfId="2" priority="4" operator="greaterThan">
      <formula>0</formula>
    </cfRule>
  </conditionalFormatting>
  <conditionalFormatting sqref="D609:O609">
    <cfRule type="cellIs" dxfId="1" priority="3" operator="greaterThan">
      <formula>0</formula>
    </cfRule>
  </conditionalFormatting>
  <conditionalFormatting sqref="D548:O548">
    <cfRule type="cellIs" dxfId="0" priority="1" operator="greaterThan">
      <formula>0</formula>
    </cfRule>
  </conditionalFormatting>
  <pageMargins left="0.43307086614173229" right="0.23622047244094488" top="0.31496062992125984" bottom="0.28000000000000003" header="0.31496062992125984" footer="0.33"/>
  <pageSetup paperSize="9" scale="71" fitToHeight="0" orientation="landscape" r:id="rId1"/>
  <rowBreaks count="13" manualBreakCount="13">
    <brk id="60" max="16383" man="1"/>
    <brk id="112" max="16383" man="1"/>
    <brk id="152" max="16383" man="1"/>
    <brk id="177" max="16383" man="1"/>
    <brk id="226" max="16383" man="1"/>
    <brk id="272" max="16383" man="1"/>
    <brk id="300" max="16383" man="1"/>
    <brk id="349" max="16383" man="1"/>
    <brk id="392" max="16383" man="1"/>
    <brk id="441" max="16383" man="1"/>
    <brk id="487" max="16383" man="1"/>
    <brk id="530" max="16383" man="1"/>
    <brk id="57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65539"/>
  <sheetViews>
    <sheetView view="pageBreakPreview" zoomScale="85" zoomScaleNormal="82" zoomScaleSheetLayoutView="85" workbookViewId="0"/>
  </sheetViews>
  <sheetFormatPr defaultColWidth="11.5703125" defaultRowHeight="8.4499999999999993" customHeight="1"/>
  <cols>
    <col min="1" max="1" width="29.42578125" style="135" customWidth="1"/>
    <col min="2" max="2" width="15.85546875" style="135" customWidth="1"/>
    <col min="3" max="3" width="10" style="135" customWidth="1"/>
    <col min="4" max="4" width="12.7109375" style="135" customWidth="1"/>
    <col min="5" max="5" width="15" style="135" customWidth="1"/>
    <col min="6" max="6" width="14.28515625" style="135" customWidth="1"/>
    <col min="7" max="7" width="9.5703125" style="135" customWidth="1"/>
    <col min="8" max="8" width="11.85546875" style="135" bestFit="1" customWidth="1"/>
    <col min="9" max="9" width="12.85546875" style="135" customWidth="1"/>
    <col min="10" max="12" width="11.5703125" style="135"/>
    <col min="13" max="13" width="13.7109375" style="136" customWidth="1"/>
    <col min="14" max="256" width="11.5703125" style="135"/>
    <col min="257" max="257" width="41" style="135" customWidth="1"/>
    <col min="258" max="258" width="15.85546875" style="135" customWidth="1"/>
    <col min="259" max="259" width="11.5703125" style="135"/>
    <col min="260" max="260" width="12.140625" style="135" customWidth="1"/>
    <col min="261" max="261" width="12.85546875" style="135" customWidth="1"/>
    <col min="262" max="262" width="10.42578125" style="135" customWidth="1"/>
    <col min="263" max="263" width="11.5703125" style="135"/>
    <col min="264" max="265" width="0" style="135" hidden="1" customWidth="1"/>
    <col min="266" max="268" width="11.5703125" style="135"/>
    <col min="269" max="269" width="13.42578125" style="135" customWidth="1"/>
    <col min="270" max="512" width="11.5703125" style="135"/>
    <col min="513" max="513" width="41" style="135" customWidth="1"/>
    <col min="514" max="514" width="15.85546875" style="135" customWidth="1"/>
    <col min="515" max="515" width="11.5703125" style="135"/>
    <col min="516" max="516" width="12.140625" style="135" customWidth="1"/>
    <col min="517" max="517" width="12.85546875" style="135" customWidth="1"/>
    <col min="518" max="518" width="10.42578125" style="135" customWidth="1"/>
    <col min="519" max="519" width="11.5703125" style="135"/>
    <col min="520" max="521" width="0" style="135" hidden="1" customWidth="1"/>
    <col min="522" max="524" width="11.5703125" style="135"/>
    <col min="525" max="525" width="13.42578125" style="135" customWidth="1"/>
    <col min="526" max="768" width="11.5703125" style="135"/>
    <col min="769" max="769" width="41" style="135" customWidth="1"/>
    <col min="770" max="770" width="15.85546875" style="135" customWidth="1"/>
    <col min="771" max="771" width="11.5703125" style="135"/>
    <col min="772" max="772" width="12.140625" style="135" customWidth="1"/>
    <col min="773" max="773" width="12.85546875" style="135" customWidth="1"/>
    <col min="774" max="774" width="10.42578125" style="135" customWidth="1"/>
    <col min="775" max="775" width="11.5703125" style="135"/>
    <col min="776" max="777" width="0" style="135" hidden="1" customWidth="1"/>
    <col min="778" max="780" width="11.5703125" style="135"/>
    <col min="781" max="781" width="13.42578125" style="135" customWidth="1"/>
    <col min="782" max="1024" width="11.5703125" style="135"/>
    <col min="1025" max="1025" width="41" style="135" customWidth="1"/>
    <col min="1026" max="1026" width="15.85546875" style="135" customWidth="1"/>
    <col min="1027" max="1027" width="11.5703125" style="135"/>
    <col min="1028" max="1028" width="12.140625" style="135" customWidth="1"/>
    <col min="1029" max="1029" width="12.85546875" style="135" customWidth="1"/>
    <col min="1030" max="1030" width="10.42578125" style="135" customWidth="1"/>
    <col min="1031" max="1031" width="11.5703125" style="135"/>
    <col min="1032" max="1033" width="0" style="135" hidden="1" customWidth="1"/>
    <col min="1034" max="1036" width="11.5703125" style="135"/>
    <col min="1037" max="1037" width="13.42578125" style="135" customWidth="1"/>
    <col min="1038" max="1280" width="11.5703125" style="135"/>
    <col min="1281" max="1281" width="41" style="135" customWidth="1"/>
    <col min="1282" max="1282" width="15.85546875" style="135" customWidth="1"/>
    <col min="1283" max="1283" width="11.5703125" style="135"/>
    <col min="1284" max="1284" width="12.140625" style="135" customWidth="1"/>
    <col min="1285" max="1285" width="12.85546875" style="135" customWidth="1"/>
    <col min="1286" max="1286" width="10.42578125" style="135" customWidth="1"/>
    <col min="1287" max="1287" width="11.5703125" style="135"/>
    <col min="1288" max="1289" width="0" style="135" hidden="1" customWidth="1"/>
    <col min="1290" max="1292" width="11.5703125" style="135"/>
    <col min="1293" max="1293" width="13.42578125" style="135" customWidth="1"/>
    <col min="1294" max="1536" width="11.5703125" style="135"/>
    <col min="1537" max="1537" width="41" style="135" customWidth="1"/>
    <col min="1538" max="1538" width="15.85546875" style="135" customWidth="1"/>
    <col min="1539" max="1539" width="11.5703125" style="135"/>
    <col min="1540" max="1540" width="12.140625" style="135" customWidth="1"/>
    <col min="1541" max="1541" width="12.85546875" style="135" customWidth="1"/>
    <col min="1542" max="1542" width="10.42578125" style="135" customWidth="1"/>
    <col min="1543" max="1543" width="11.5703125" style="135"/>
    <col min="1544" max="1545" width="0" style="135" hidden="1" customWidth="1"/>
    <col min="1546" max="1548" width="11.5703125" style="135"/>
    <col min="1549" max="1549" width="13.42578125" style="135" customWidth="1"/>
    <col min="1550" max="1792" width="11.5703125" style="135"/>
    <col min="1793" max="1793" width="41" style="135" customWidth="1"/>
    <col min="1794" max="1794" width="15.85546875" style="135" customWidth="1"/>
    <col min="1795" max="1795" width="11.5703125" style="135"/>
    <col min="1796" max="1796" width="12.140625" style="135" customWidth="1"/>
    <col min="1797" max="1797" width="12.85546875" style="135" customWidth="1"/>
    <col min="1798" max="1798" width="10.42578125" style="135" customWidth="1"/>
    <col min="1799" max="1799" width="11.5703125" style="135"/>
    <col min="1800" max="1801" width="0" style="135" hidden="1" customWidth="1"/>
    <col min="1802" max="1804" width="11.5703125" style="135"/>
    <col min="1805" max="1805" width="13.42578125" style="135" customWidth="1"/>
    <col min="1806" max="2048" width="11.5703125" style="135"/>
    <col min="2049" max="2049" width="41" style="135" customWidth="1"/>
    <col min="2050" max="2050" width="15.85546875" style="135" customWidth="1"/>
    <col min="2051" max="2051" width="11.5703125" style="135"/>
    <col min="2052" max="2052" width="12.140625" style="135" customWidth="1"/>
    <col min="2053" max="2053" width="12.85546875" style="135" customWidth="1"/>
    <col min="2054" max="2054" width="10.42578125" style="135" customWidth="1"/>
    <col min="2055" max="2055" width="11.5703125" style="135"/>
    <col min="2056" max="2057" width="0" style="135" hidden="1" customWidth="1"/>
    <col min="2058" max="2060" width="11.5703125" style="135"/>
    <col min="2061" max="2061" width="13.42578125" style="135" customWidth="1"/>
    <col min="2062" max="2304" width="11.5703125" style="135"/>
    <col min="2305" max="2305" width="41" style="135" customWidth="1"/>
    <col min="2306" max="2306" width="15.85546875" style="135" customWidth="1"/>
    <col min="2307" max="2307" width="11.5703125" style="135"/>
    <col min="2308" max="2308" width="12.140625" style="135" customWidth="1"/>
    <col min="2309" max="2309" width="12.85546875" style="135" customWidth="1"/>
    <col min="2310" max="2310" width="10.42578125" style="135" customWidth="1"/>
    <col min="2311" max="2311" width="11.5703125" style="135"/>
    <col min="2312" max="2313" width="0" style="135" hidden="1" customWidth="1"/>
    <col min="2314" max="2316" width="11.5703125" style="135"/>
    <col min="2317" max="2317" width="13.42578125" style="135" customWidth="1"/>
    <col min="2318" max="2560" width="11.5703125" style="135"/>
    <col min="2561" max="2561" width="41" style="135" customWidth="1"/>
    <col min="2562" max="2562" width="15.85546875" style="135" customWidth="1"/>
    <col min="2563" max="2563" width="11.5703125" style="135"/>
    <col min="2564" max="2564" width="12.140625" style="135" customWidth="1"/>
    <col min="2565" max="2565" width="12.85546875" style="135" customWidth="1"/>
    <col min="2566" max="2566" width="10.42578125" style="135" customWidth="1"/>
    <col min="2567" max="2567" width="11.5703125" style="135"/>
    <col min="2568" max="2569" width="0" style="135" hidden="1" customWidth="1"/>
    <col min="2570" max="2572" width="11.5703125" style="135"/>
    <col min="2573" max="2573" width="13.42578125" style="135" customWidth="1"/>
    <col min="2574" max="2816" width="11.5703125" style="135"/>
    <col min="2817" max="2817" width="41" style="135" customWidth="1"/>
    <col min="2818" max="2818" width="15.85546875" style="135" customWidth="1"/>
    <col min="2819" max="2819" width="11.5703125" style="135"/>
    <col min="2820" max="2820" width="12.140625" style="135" customWidth="1"/>
    <col min="2821" max="2821" width="12.85546875" style="135" customWidth="1"/>
    <col min="2822" max="2822" width="10.42578125" style="135" customWidth="1"/>
    <col min="2823" max="2823" width="11.5703125" style="135"/>
    <col min="2824" max="2825" width="0" style="135" hidden="1" customWidth="1"/>
    <col min="2826" max="2828" width="11.5703125" style="135"/>
    <col min="2829" max="2829" width="13.42578125" style="135" customWidth="1"/>
    <col min="2830" max="3072" width="11.5703125" style="135"/>
    <col min="3073" max="3073" width="41" style="135" customWidth="1"/>
    <col min="3074" max="3074" width="15.85546875" style="135" customWidth="1"/>
    <col min="3075" max="3075" width="11.5703125" style="135"/>
    <col min="3076" max="3076" width="12.140625" style="135" customWidth="1"/>
    <col min="3077" max="3077" width="12.85546875" style="135" customWidth="1"/>
    <col min="3078" max="3078" width="10.42578125" style="135" customWidth="1"/>
    <col min="3079" max="3079" width="11.5703125" style="135"/>
    <col min="3080" max="3081" width="0" style="135" hidden="1" customWidth="1"/>
    <col min="3082" max="3084" width="11.5703125" style="135"/>
    <col min="3085" max="3085" width="13.42578125" style="135" customWidth="1"/>
    <col min="3086" max="3328" width="11.5703125" style="135"/>
    <col min="3329" max="3329" width="41" style="135" customWidth="1"/>
    <col min="3330" max="3330" width="15.85546875" style="135" customWidth="1"/>
    <col min="3331" max="3331" width="11.5703125" style="135"/>
    <col min="3332" max="3332" width="12.140625" style="135" customWidth="1"/>
    <col min="3333" max="3333" width="12.85546875" style="135" customWidth="1"/>
    <col min="3334" max="3334" width="10.42578125" style="135" customWidth="1"/>
    <col min="3335" max="3335" width="11.5703125" style="135"/>
    <col min="3336" max="3337" width="0" style="135" hidden="1" customWidth="1"/>
    <col min="3338" max="3340" width="11.5703125" style="135"/>
    <col min="3341" max="3341" width="13.42578125" style="135" customWidth="1"/>
    <col min="3342" max="3584" width="11.5703125" style="135"/>
    <col min="3585" max="3585" width="41" style="135" customWidth="1"/>
    <col min="3586" max="3586" width="15.85546875" style="135" customWidth="1"/>
    <col min="3587" max="3587" width="11.5703125" style="135"/>
    <col min="3588" max="3588" width="12.140625" style="135" customWidth="1"/>
    <col min="3589" max="3589" width="12.85546875" style="135" customWidth="1"/>
    <col min="3590" max="3590" width="10.42578125" style="135" customWidth="1"/>
    <col min="3591" max="3591" width="11.5703125" style="135"/>
    <col min="3592" max="3593" width="0" style="135" hidden="1" customWidth="1"/>
    <col min="3594" max="3596" width="11.5703125" style="135"/>
    <col min="3597" max="3597" width="13.42578125" style="135" customWidth="1"/>
    <col min="3598" max="3840" width="11.5703125" style="135"/>
    <col min="3841" max="3841" width="41" style="135" customWidth="1"/>
    <col min="3842" max="3842" width="15.85546875" style="135" customWidth="1"/>
    <col min="3843" max="3843" width="11.5703125" style="135"/>
    <col min="3844" max="3844" width="12.140625" style="135" customWidth="1"/>
    <col min="3845" max="3845" width="12.85546875" style="135" customWidth="1"/>
    <col min="3846" max="3846" width="10.42578125" style="135" customWidth="1"/>
    <col min="3847" max="3847" width="11.5703125" style="135"/>
    <col min="3848" max="3849" width="0" style="135" hidden="1" customWidth="1"/>
    <col min="3850" max="3852" width="11.5703125" style="135"/>
    <col min="3853" max="3853" width="13.42578125" style="135" customWidth="1"/>
    <col min="3854" max="4096" width="11.5703125" style="135"/>
    <col min="4097" max="4097" width="41" style="135" customWidth="1"/>
    <col min="4098" max="4098" width="15.85546875" style="135" customWidth="1"/>
    <col min="4099" max="4099" width="11.5703125" style="135"/>
    <col min="4100" max="4100" width="12.140625" style="135" customWidth="1"/>
    <col min="4101" max="4101" width="12.85546875" style="135" customWidth="1"/>
    <col min="4102" max="4102" width="10.42578125" style="135" customWidth="1"/>
    <col min="4103" max="4103" width="11.5703125" style="135"/>
    <col min="4104" max="4105" width="0" style="135" hidden="1" customWidth="1"/>
    <col min="4106" max="4108" width="11.5703125" style="135"/>
    <col min="4109" max="4109" width="13.42578125" style="135" customWidth="1"/>
    <col min="4110" max="4352" width="11.5703125" style="135"/>
    <col min="4353" max="4353" width="41" style="135" customWidth="1"/>
    <col min="4354" max="4354" width="15.85546875" style="135" customWidth="1"/>
    <col min="4355" max="4355" width="11.5703125" style="135"/>
    <col min="4356" max="4356" width="12.140625" style="135" customWidth="1"/>
    <col min="4357" max="4357" width="12.85546875" style="135" customWidth="1"/>
    <col min="4358" max="4358" width="10.42578125" style="135" customWidth="1"/>
    <col min="4359" max="4359" width="11.5703125" style="135"/>
    <col min="4360" max="4361" width="0" style="135" hidden="1" customWidth="1"/>
    <col min="4362" max="4364" width="11.5703125" style="135"/>
    <col min="4365" max="4365" width="13.42578125" style="135" customWidth="1"/>
    <col min="4366" max="4608" width="11.5703125" style="135"/>
    <col min="4609" max="4609" width="41" style="135" customWidth="1"/>
    <col min="4610" max="4610" width="15.85546875" style="135" customWidth="1"/>
    <col min="4611" max="4611" width="11.5703125" style="135"/>
    <col min="4612" max="4612" width="12.140625" style="135" customWidth="1"/>
    <col min="4613" max="4613" width="12.85546875" style="135" customWidth="1"/>
    <col min="4614" max="4614" width="10.42578125" style="135" customWidth="1"/>
    <col min="4615" max="4615" width="11.5703125" style="135"/>
    <col min="4616" max="4617" width="0" style="135" hidden="1" customWidth="1"/>
    <col min="4618" max="4620" width="11.5703125" style="135"/>
    <col min="4621" max="4621" width="13.42578125" style="135" customWidth="1"/>
    <col min="4622" max="4864" width="11.5703125" style="135"/>
    <col min="4865" max="4865" width="41" style="135" customWidth="1"/>
    <col min="4866" max="4866" width="15.85546875" style="135" customWidth="1"/>
    <col min="4867" max="4867" width="11.5703125" style="135"/>
    <col min="4868" max="4868" width="12.140625" style="135" customWidth="1"/>
    <col min="4869" max="4869" width="12.85546875" style="135" customWidth="1"/>
    <col min="4870" max="4870" width="10.42578125" style="135" customWidth="1"/>
    <col min="4871" max="4871" width="11.5703125" style="135"/>
    <col min="4872" max="4873" width="0" style="135" hidden="1" customWidth="1"/>
    <col min="4874" max="4876" width="11.5703125" style="135"/>
    <col min="4877" max="4877" width="13.42578125" style="135" customWidth="1"/>
    <col min="4878" max="5120" width="11.5703125" style="135"/>
    <col min="5121" max="5121" width="41" style="135" customWidth="1"/>
    <col min="5122" max="5122" width="15.85546875" style="135" customWidth="1"/>
    <col min="5123" max="5123" width="11.5703125" style="135"/>
    <col min="5124" max="5124" width="12.140625" style="135" customWidth="1"/>
    <col min="5125" max="5125" width="12.85546875" style="135" customWidth="1"/>
    <col min="5126" max="5126" width="10.42578125" style="135" customWidth="1"/>
    <col min="5127" max="5127" width="11.5703125" style="135"/>
    <col min="5128" max="5129" width="0" style="135" hidden="1" customWidth="1"/>
    <col min="5130" max="5132" width="11.5703125" style="135"/>
    <col min="5133" max="5133" width="13.42578125" style="135" customWidth="1"/>
    <col min="5134" max="5376" width="11.5703125" style="135"/>
    <col min="5377" max="5377" width="41" style="135" customWidth="1"/>
    <col min="5378" max="5378" width="15.85546875" style="135" customWidth="1"/>
    <col min="5379" max="5379" width="11.5703125" style="135"/>
    <col min="5380" max="5380" width="12.140625" style="135" customWidth="1"/>
    <col min="5381" max="5381" width="12.85546875" style="135" customWidth="1"/>
    <col min="5382" max="5382" width="10.42578125" style="135" customWidth="1"/>
    <col min="5383" max="5383" width="11.5703125" style="135"/>
    <col min="5384" max="5385" width="0" style="135" hidden="1" customWidth="1"/>
    <col min="5386" max="5388" width="11.5703125" style="135"/>
    <col min="5389" max="5389" width="13.42578125" style="135" customWidth="1"/>
    <col min="5390" max="5632" width="11.5703125" style="135"/>
    <col min="5633" max="5633" width="41" style="135" customWidth="1"/>
    <col min="5634" max="5634" width="15.85546875" style="135" customWidth="1"/>
    <col min="5635" max="5635" width="11.5703125" style="135"/>
    <col min="5636" max="5636" width="12.140625" style="135" customWidth="1"/>
    <col min="5637" max="5637" width="12.85546875" style="135" customWidth="1"/>
    <col min="5638" max="5638" width="10.42578125" style="135" customWidth="1"/>
    <col min="5639" max="5639" width="11.5703125" style="135"/>
    <col min="5640" max="5641" width="0" style="135" hidden="1" customWidth="1"/>
    <col min="5642" max="5644" width="11.5703125" style="135"/>
    <col min="5645" max="5645" width="13.42578125" style="135" customWidth="1"/>
    <col min="5646" max="5888" width="11.5703125" style="135"/>
    <col min="5889" max="5889" width="41" style="135" customWidth="1"/>
    <col min="5890" max="5890" width="15.85546875" style="135" customWidth="1"/>
    <col min="5891" max="5891" width="11.5703125" style="135"/>
    <col min="5892" max="5892" width="12.140625" style="135" customWidth="1"/>
    <col min="5893" max="5893" width="12.85546875" style="135" customWidth="1"/>
    <col min="5894" max="5894" width="10.42578125" style="135" customWidth="1"/>
    <col min="5895" max="5895" width="11.5703125" style="135"/>
    <col min="5896" max="5897" width="0" style="135" hidden="1" customWidth="1"/>
    <col min="5898" max="5900" width="11.5703125" style="135"/>
    <col min="5901" max="5901" width="13.42578125" style="135" customWidth="1"/>
    <col min="5902" max="6144" width="11.5703125" style="135"/>
    <col min="6145" max="6145" width="41" style="135" customWidth="1"/>
    <col min="6146" max="6146" width="15.85546875" style="135" customWidth="1"/>
    <col min="6147" max="6147" width="11.5703125" style="135"/>
    <col min="6148" max="6148" width="12.140625" style="135" customWidth="1"/>
    <col min="6149" max="6149" width="12.85546875" style="135" customWidth="1"/>
    <col min="6150" max="6150" width="10.42578125" style="135" customWidth="1"/>
    <col min="6151" max="6151" width="11.5703125" style="135"/>
    <col min="6152" max="6153" width="0" style="135" hidden="1" customWidth="1"/>
    <col min="6154" max="6156" width="11.5703125" style="135"/>
    <col min="6157" max="6157" width="13.42578125" style="135" customWidth="1"/>
    <col min="6158" max="6400" width="11.5703125" style="135"/>
    <col min="6401" max="6401" width="41" style="135" customWidth="1"/>
    <col min="6402" max="6402" width="15.85546875" style="135" customWidth="1"/>
    <col min="6403" max="6403" width="11.5703125" style="135"/>
    <col min="6404" max="6404" width="12.140625" style="135" customWidth="1"/>
    <col min="6405" max="6405" width="12.85546875" style="135" customWidth="1"/>
    <col min="6406" max="6406" width="10.42578125" style="135" customWidth="1"/>
    <col min="6407" max="6407" width="11.5703125" style="135"/>
    <col min="6408" max="6409" width="0" style="135" hidden="1" customWidth="1"/>
    <col min="6410" max="6412" width="11.5703125" style="135"/>
    <col min="6413" max="6413" width="13.42578125" style="135" customWidth="1"/>
    <col min="6414" max="6656" width="11.5703125" style="135"/>
    <col min="6657" max="6657" width="41" style="135" customWidth="1"/>
    <col min="6658" max="6658" width="15.85546875" style="135" customWidth="1"/>
    <col min="6659" max="6659" width="11.5703125" style="135"/>
    <col min="6660" max="6660" width="12.140625" style="135" customWidth="1"/>
    <col min="6661" max="6661" width="12.85546875" style="135" customWidth="1"/>
    <col min="6662" max="6662" width="10.42578125" style="135" customWidth="1"/>
    <col min="6663" max="6663" width="11.5703125" style="135"/>
    <col min="6664" max="6665" width="0" style="135" hidden="1" customWidth="1"/>
    <col min="6666" max="6668" width="11.5703125" style="135"/>
    <col min="6669" max="6669" width="13.42578125" style="135" customWidth="1"/>
    <col min="6670" max="6912" width="11.5703125" style="135"/>
    <col min="6913" max="6913" width="41" style="135" customWidth="1"/>
    <col min="6914" max="6914" width="15.85546875" style="135" customWidth="1"/>
    <col min="6915" max="6915" width="11.5703125" style="135"/>
    <col min="6916" max="6916" width="12.140625" style="135" customWidth="1"/>
    <col min="6917" max="6917" width="12.85546875" style="135" customWidth="1"/>
    <col min="6918" max="6918" width="10.42578125" style="135" customWidth="1"/>
    <col min="6919" max="6919" width="11.5703125" style="135"/>
    <col min="6920" max="6921" width="0" style="135" hidden="1" customWidth="1"/>
    <col min="6922" max="6924" width="11.5703125" style="135"/>
    <col min="6925" max="6925" width="13.42578125" style="135" customWidth="1"/>
    <col min="6926" max="7168" width="11.5703125" style="135"/>
    <col min="7169" max="7169" width="41" style="135" customWidth="1"/>
    <col min="7170" max="7170" width="15.85546875" style="135" customWidth="1"/>
    <col min="7171" max="7171" width="11.5703125" style="135"/>
    <col min="7172" max="7172" width="12.140625" style="135" customWidth="1"/>
    <col min="7173" max="7173" width="12.85546875" style="135" customWidth="1"/>
    <col min="7174" max="7174" width="10.42578125" style="135" customWidth="1"/>
    <col min="7175" max="7175" width="11.5703125" style="135"/>
    <col min="7176" max="7177" width="0" style="135" hidden="1" customWidth="1"/>
    <col min="7178" max="7180" width="11.5703125" style="135"/>
    <col min="7181" max="7181" width="13.42578125" style="135" customWidth="1"/>
    <col min="7182" max="7424" width="11.5703125" style="135"/>
    <col min="7425" max="7425" width="41" style="135" customWidth="1"/>
    <col min="7426" max="7426" width="15.85546875" style="135" customWidth="1"/>
    <col min="7427" max="7427" width="11.5703125" style="135"/>
    <col min="7428" max="7428" width="12.140625" style="135" customWidth="1"/>
    <col min="7429" max="7429" width="12.85546875" style="135" customWidth="1"/>
    <col min="7430" max="7430" width="10.42578125" style="135" customWidth="1"/>
    <col min="7431" max="7431" width="11.5703125" style="135"/>
    <col min="7432" max="7433" width="0" style="135" hidden="1" customWidth="1"/>
    <col min="7434" max="7436" width="11.5703125" style="135"/>
    <col min="7437" max="7437" width="13.42578125" style="135" customWidth="1"/>
    <col min="7438" max="7680" width="11.5703125" style="135"/>
    <col min="7681" max="7681" width="41" style="135" customWidth="1"/>
    <col min="7682" max="7682" width="15.85546875" style="135" customWidth="1"/>
    <col min="7683" max="7683" width="11.5703125" style="135"/>
    <col min="7684" max="7684" width="12.140625" style="135" customWidth="1"/>
    <col min="7685" max="7685" width="12.85546875" style="135" customWidth="1"/>
    <col min="7686" max="7686" width="10.42578125" style="135" customWidth="1"/>
    <col min="7687" max="7687" width="11.5703125" style="135"/>
    <col min="7688" max="7689" width="0" style="135" hidden="1" customWidth="1"/>
    <col min="7690" max="7692" width="11.5703125" style="135"/>
    <col min="7693" max="7693" width="13.42578125" style="135" customWidth="1"/>
    <col min="7694" max="7936" width="11.5703125" style="135"/>
    <col min="7937" max="7937" width="41" style="135" customWidth="1"/>
    <col min="7938" max="7938" width="15.85546875" style="135" customWidth="1"/>
    <col min="7939" max="7939" width="11.5703125" style="135"/>
    <col min="7940" max="7940" width="12.140625" style="135" customWidth="1"/>
    <col min="7941" max="7941" width="12.85546875" style="135" customWidth="1"/>
    <col min="7942" max="7942" width="10.42578125" style="135" customWidth="1"/>
    <col min="7943" max="7943" width="11.5703125" style="135"/>
    <col min="7944" max="7945" width="0" style="135" hidden="1" customWidth="1"/>
    <col min="7946" max="7948" width="11.5703125" style="135"/>
    <col min="7949" max="7949" width="13.42578125" style="135" customWidth="1"/>
    <col min="7950" max="8192" width="11.5703125" style="135"/>
    <col min="8193" max="8193" width="41" style="135" customWidth="1"/>
    <col min="8194" max="8194" width="15.85546875" style="135" customWidth="1"/>
    <col min="8195" max="8195" width="11.5703125" style="135"/>
    <col min="8196" max="8196" width="12.140625" style="135" customWidth="1"/>
    <col min="8197" max="8197" width="12.85546875" style="135" customWidth="1"/>
    <col min="8198" max="8198" width="10.42578125" style="135" customWidth="1"/>
    <col min="8199" max="8199" width="11.5703125" style="135"/>
    <col min="8200" max="8201" width="0" style="135" hidden="1" customWidth="1"/>
    <col min="8202" max="8204" width="11.5703125" style="135"/>
    <col min="8205" max="8205" width="13.42578125" style="135" customWidth="1"/>
    <col min="8206" max="8448" width="11.5703125" style="135"/>
    <col min="8449" max="8449" width="41" style="135" customWidth="1"/>
    <col min="8450" max="8450" width="15.85546875" style="135" customWidth="1"/>
    <col min="8451" max="8451" width="11.5703125" style="135"/>
    <col min="8452" max="8452" width="12.140625" style="135" customWidth="1"/>
    <col min="8453" max="8453" width="12.85546875" style="135" customWidth="1"/>
    <col min="8454" max="8454" width="10.42578125" style="135" customWidth="1"/>
    <col min="8455" max="8455" width="11.5703125" style="135"/>
    <col min="8456" max="8457" width="0" style="135" hidden="1" customWidth="1"/>
    <col min="8458" max="8460" width="11.5703125" style="135"/>
    <col min="8461" max="8461" width="13.42578125" style="135" customWidth="1"/>
    <col min="8462" max="8704" width="11.5703125" style="135"/>
    <col min="8705" max="8705" width="41" style="135" customWidth="1"/>
    <col min="8706" max="8706" width="15.85546875" style="135" customWidth="1"/>
    <col min="8707" max="8707" width="11.5703125" style="135"/>
    <col min="8708" max="8708" width="12.140625" style="135" customWidth="1"/>
    <col min="8709" max="8709" width="12.85546875" style="135" customWidth="1"/>
    <col min="8710" max="8710" width="10.42578125" style="135" customWidth="1"/>
    <col min="8711" max="8711" width="11.5703125" style="135"/>
    <col min="8712" max="8713" width="0" style="135" hidden="1" customWidth="1"/>
    <col min="8714" max="8716" width="11.5703125" style="135"/>
    <col min="8717" max="8717" width="13.42578125" style="135" customWidth="1"/>
    <col min="8718" max="8960" width="11.5703125" style="135"/>
    <col min="8961" max="8961" width="41" style="135" customWidth="1"/>
    <col min="8962" max="8962" width="15.85546875" style="135" customWidth="1"/>
    <col min="8963" max="8963" width="11.5703125" style="135"/>
    <col min="8964" max="8964" width="12.140625" style="135" customWidth="1"/>
    <col min="8965" max="8965" width="12.85546875" style="135" customWidth="1"/>
    <col min="8966" max="8966" width="10.42578125" style="135" customWidth="1"/>
    <col min="8967" max="8967" width="11.5703125" style="135"/>
    <col min="8968" max="8969" width="0" style="135" hidden="1" customWidth="1"/>
    <col min="8970" max="8972" width="11.5703125" style="135"/>
    <col min="8973" max="8973" width="13.42578125" style="135" customWidth="1"/>
    <col min="8974" max="9216" width="11.5703125" style="135"/>
    <col min="9217" max="9217" width="41" style="135" customWidth="1"/>
    <col min="9218" max="9218" width="15.85546875" style="135" customWidth="1"/>
    <col min="9219" max="9219" width="11.5703125" style="135"/>
    <col min="9220" max="9220" width="12.140625" style="135" customWidth="1"/>
    <col min="9221" max="9221" width="12.85546875" style="135" customWidth="1"/>
    <col min="9222" max="9222" width="10.42578125" style="135" customWidth="1"/>
    <col min="9223" max="9223" width="11.5703125" style="135"/>
    <col min="9224" max="9225" width="0" style="135" hidden="1" customWidth="1"/>
    <col min="9226" max="9228" width="11.5703125" style="135"/>
    <col min="9229" max="9229" width="13.42578125" style="135" customWidth="1"/>
    <col min="9230" max="9472" width="11.5703125" style="135"/>
    <col min="9473" max="9473" width="41" style="135" customWidth="1"/>
    <col min="9474" max="9474" width="15.85546875" style="135" customWidth="1"/>
    <col min="9475" max="9475" width="11.5703125" style="135"/>
    <col min="9476" max="9476" width="12.140625" style="135" customWidth="1"/>
    <col min="9477" max="9477" width="12.85546875" style="135" customWidth="1"/>
    <col min="9478" max="9478" width="10.42578125" style="135" customWidth="1"/>
    <col min="9479" max="9479" width="11.5703125" style="135"/>
    <col min="9480" max="9481" width="0" style="135" hidden="1" customWidth="1"/>
    <col min="9482" max="9484" width="11.5703125" style="135"/>
    <col min="9485" max="9485" width="13.42578125" style="135" customWidth="1"/>
    <col min="9486" max="9728" width="11.5703125" style="135"/>
    <col min="9729" max="9729" width="41" style="135" customWidth="1"/>
    <col min="9730" max="9730" width="15.85546875" style="135" customWidth="1"/>
    <col min="9731" max="9731" width="11.5703125" style="135"/>
    <col min="9732" max="9732" width="12.140625" style="135" customWidth="1"/>
    <col min="9733" max="9733" width="12.85546875" style="135" customWidth="1"/>
    <col min="9734" max="9734" width="10.42578125" style="135" customWidth="1"/>
    <col min="9735" max="9735" width="11.5703125" style="135"/>
    <col min="9736" max="9737" width="0" style="135" hidden="1" customWidth="1"/>
    <col min="9738" max="9740" width="11.5703125" style="135"/>
    <col min="9741" max="9741" width="13.42578125" style="135" customWidth="1"/>
    <col min="9742" max="9984" width="11.5703125" style="135"/>
    <col min="9985" max="9985" width="41" style="135" customWidth="1"/>
    <col min="9986" max="9986" width="15.85546875" style="135" customWidth="1"/>
    <col min="9987" max="9987" width="11.5703125" style="135"/>
    <col min="9988" max="9988" width="12.140625" style="135" customWidth="1"/>
    <col min="9989" max="9989" width="12.85546875" style="135" customWidth="1"/>
    <col min="9990" max="9990" width="10.42578125" style="135" customWidth="1"/>
    <col min="9991" max="9991" width="11.5703125" style="135"/>
    <col min="9992" max="9993" width="0" style="135" hidden="1" customWidth="1"/>
    <col min="9994" max="9996" width="11.5703125" style="135"/>
    <col min="9997" max="9997" width="13.42578125" style="135" customWidth="1"/>
    <col min="9998" max="10240" width="11.5703125" style="135"/>
    <col min="10241" max="10241" width="41" style="135" customWidth="1"/>
    <col min="10242" max="10242" width="15.85546875" style="135" customWidth="1"/>
    <col min="10243" max="10243" width="11.5703125" style="135"/>
    <col min="10244" max="10244" width="12.140625" style="135" customWidth="1"/>
    <col min="10245" max="10245" width="12.85546875" style="135" customWidth="1"/>
    <col min="10246" max="10246" width="10.42578125" style="135" customWidth="1"/>
    <col min="10247" max="10247" width="11.5703125" style="135"/>
    <col min="10248" max="10249" width="0" style="135" hidden="1" customWidth="1"/>
    <col min="10250" max="10252" width="11.5703125" style="135"/>
    <col min="10253" max="10253" width="13.42578125" style="135" customWidth="1"/>
    <col min="10254" max="10496" width="11.5703125" style="135"/>
    <col min="10497" max="10497" width="41" style="135" customWidth="1"/>
    <col min="10498" max="10498" width="15.85546875" style="135" customWidth="1"/>
    <col min="10499" max="10499" width="11.5703125" style="135"/>
    <col min="10500" max="10500" width="12.140625" style="135" customWidth="1"/>
    <col min="10501" max="10501" width="12.85546875" style="135" customWidth="1"/>
    <col min="10502" max="10502" width="10.42578125" style="135" customWidth="1"/>
    <col min="10503" max="10503" width="11.5703125" style="135"/>
    <col min="10504" max="10505" width="0" style="135" hidden="1" customWidth="1"/>
    <col min="10506" max="10508" width="11.5703125" style="135"/>
    <col min="10509" max="10509" width="13.42578125" style="135" customWidth="1"/>
    <col min="10510" max="10752" width="11.5703125" style="135"/>
    <col min="10753" max="10753" width="41" style="135" customWidth="1"/>
    <col min="10754" max="10754" width="15.85546875" style="135" customWidth="1"/>
    <col min="10755" max="10755" width="11.5703125" style="135"/>
    <col min="10756" max="10756" width="12.140625" style="135" customWidth="1"/>
    <col min="10757" max="10757" width="12.85546875" style="135" customWidth="1"/>
    <col min="10758" max="10758" width="10.42578125" style="135" customWidth="1"/>
    <col min="10759" max="10759" width="11.5703125" style="135"/>
    <col min="10760" max="10761" width="0" style="135" hidden="1" customWidth="1"/>
    <col min="10762" max="10764" width="11.5703125" style="135"/>
    <col min="10765" max="10765" width="13.42578125" style="135" customWidth="1"/>
    <col min="10766" max="11008" width="11.5703125" style="135"/>
    <col min="11009" max="11009" width="41" style="135" customWidth="1"/>
    <col min="11010" max="11010" width="15.85546875" style="135" customWidth="1"/>
    <col min="11011" max="11011" width="11.5703125" style="135"/>
    <col min="11012" max="11012" width="12.140625" style="135" customWidth="1"/>
    <col min="11013" max="11013" width="12.85546875" style="135" customWidth="1"/>
    <col min="11014" max="11014" width="10.42578125" style="135" customWidth="1"/>
    <col min="11015" max="11015" width="11.5703125" style="135"/>
    <col min="11016" max="11017" width="0" style="135" hidden="1" customWidth="1"/>
    <col min="11018" max="11020" width="11.5703125" style="135"/>
    <col min="11021" max="11021" width="13.42578125" style="135" customWidth="1"/>
    <col min="11022" max="11264" width="11.5703125" style="135"/>
    <col min="11265" max="11265" width="41" style="135" customWidth="1"/>
    <col min="11266" max="11266" width="15.85546875" style="135" customWidth="1"/>
    <col min="11267" max="11267" width="11.5703125" style="135"/>
    <col min="11268" max="11268" width="12.140625" style="135" customWidth="1"/>
    <col min="11269" max="11269" width="12.85546875" style="135" customWidth="1"/>
    <col min="11270" max="11270" width="10.42578125" style="135" customWidth="1"/>
    <col min="11271" max="11271" width="11.5703125" style="135"/>
    <col min="11272" max="11273" width="0" style="135" hidden="1" customWidth="1"/>
    <col min="11274" max="11276" width="11.5703125" style="135"/>
    <col min="11277" max="11277" width="13.42578125" style="135" customWidth="1"/>
    <col min="11278" max="11520" width="11.5703125" style="135"/>
    <col min="11521" max="11521" width="41" style="135" customWidth="1"/>
    <col min="11522" max="11522" width="15.85546875" style="135" customWidth="1"/>
    <col min="11523" max="11523" width="11.5703125" style="135"/>
    <col min="11524" max="11524" width="12.140625" style="135" customWidth="1"/>
    <col min="11525" max="11525" width="12.85546875" style="135" customWidth="1"/>
    <col min="11526" max="11526" width="10.42578125" style="135" customWidth="1"/>
    <col min="11527" max="11527" width="11.5703125" style="135"/>
    <col min="11528" max="11529" width="0" style="135" hidden="1" customWidth="1"/>
    <col min="11530" max="11532" width="11.5703125" style="135"/>
    <col min="11533" max="11533" width="13.42578125" style="135" customWidth="1"/>
    <col min="11534" max="11776" width="11.5703125" style="135"/>
    <col min="11777" max="11777" width="41" style="135" customWidth="1"/>
    <col min="11778" max="11778" width="15.85546875" style="135" customWidth="1"/>
    <col min="11779" max="11779" width="11.5703125" style="135"/>
    <col min="11780" max="11780" width="12.140625" style="135" customWidth="1"/>
    <col min="11781" max="11781" width="12.85546875" style="135" customWidth="1"/>
    <col min="11782" max="11782" width="10.42578125" style="135" customWidth="1"/>
    <col min="11783" max="11783" width="11.5703125" style="135"/>
    <col min="11784" max="11785" width="0" style="135" hidden="1" customWidth="1"/>
    <col min="11786" max="11788" width="11.5703125" style="135"/>
    <col min="11789" max="11789" width="13.42578125" style="135" customWidth="1"/>
    <col min="11790" max="12032" width="11.5703125" style="135"/>
    <col min="12033" max="12033" width="41" style="135" customWidth="1"/>
    <col min="12034" max="12034" width="15.85546875" style="135" customWidth="1"/>
    <col min="12035" max="12035" width="11.5703125" style="135"/>
    <col min="12036" max="12036" width="12.140625" style="135" customWidth="1"/>
    <col min="12037" max="12037" width="12.85546875" style="135" customWidth="1"/>
    <col min="12038" max="12038" width="10.42578125" style="135" customWidth="1"/>
    <col min="12039" max="12039" width="11.5703125" style="135"/>
    <col min="12040" max="12041" width="0" style="135" hidden="1" customWidth="1"/>
    <col min="12042" max="12044" width="11.5703125" style="135"/>
    <col min="12045" max="12045" width="13.42578125" style="135" customWidth="1"/>
    <col min="12046" max="12288" width="11.5703125" style="135"/>
    <col min="12289" max="12289" width="41" style="135" customWidth="1"/>
    <col min="12290" max="12290" width="15.85546875" style="135" customWidth="1"/>
    <col min="12291" max="12291" width="11.5703125" style="135"/>
    <col min="12292" max="12292" width="12.140625" style="135" customWidth="1"/>
    <col min="12293" max="12293" width="12.85546875" style="135" customWidth="1"/>
    <col min="12294" max="12294" width="10.42578125" style="135" customWidth="1"/>
    <col min="12295" max="12295" width="11.5703125" style="135"/>
    <col min="12296" max="12297" width="0" style="135" hidden="1" customWidth="1"/>
    <col min="12298" max="12300" width="11.5703125" style="135"/>
    <col min="12301" max="12301" width="13.42578125" style="135" customWidth="1"/>
    <col min="12302" max="12544" width="11.5703125" style="135"/>
    <col min="12545" max="12545" width="41" style="135" customWidth="1"/>
    <col min="12546" max="12546" width="15.85546875" style="135" customWidth="1"/>
    <col min="12547" max="12547" width="11.5703125" style="135"/>
    <col min="12548" max="12548" width="12.140625" style="135" customWidth="1"/>
    <col min="12549" max="12549" width="12.85546875" style="135" customWidth="1"/>
    <col min="12550" max="12550" width="10.42578125" style="135" customWidth="1"/>
    <col min="12551" max="12551" width="11.5703125" style="135"/>
    <col min="12552" max="12553" width="0" style="135" hidden="1" customWidth="1"/>
    <col min="12554" max="12556" width="11.5703125" style="135"/>
    <col min="12557" max="12557" width="13.42578125" style="135" customWidth="1"/>
    <col min="12558" max="12800" width="11.5703125" style="135"/>
    <col min="12801" max="12801" width="41" style="135" customWidth="1"/>
    <col min="12802" max="12802" width="15.85546875" style="135" customWidth="1"/>
    <col min="12803" max="12803" width="11.5703125" style="135"/>
    <col min="12804" max="12804" width="12.140625" style="135" customWidth="1"/>
    <col min="12805" max="12805" width="12.85546875" style="135" customWidth="1"/>
    <col min="12806" max="12806" width="10.42578125" style="135" customWidth="1"/>
    <col min="12807" max="12807" width="11.5703125" style="135"/>
    <col min="12808" max="12809" width="0" style="135" hidden="1" customWidth="1"/>
    <col min="12810" max="12812" width="11.5703125" style="135"/>
    <col min="12813" max="12813" width="13.42578125" style="135" customWidth="1"/>
    <col min="12814" max="13056" width="11.5703125" style="135"/>
    <col min="13057" max="13057" width="41" style="135" customWidth="1"/>
    <col min="13058" max="13058" width="15.85546875" style="135" customWidth="1"/>
    <col min="13059" max="13059" width="11.5703125" style="135"/>
    <col min="13060" max="13060" width="12.140625" style="135" customWidth="1"/>
    <col min="13061" max="13061" width="12.85546875" style="135" customWidth="1"/>
    <col min="13062" max="13062" width="10.42578125" style="135" customWidth="1"/>
    <col min="13063" max="13063" width="11.5703125" style="135"/>
    <col min="13064" max="13065" width="0" style="135" hidden="1" customWidth="1"/>
    <col min="13066" max="13068" width="11.5703125" style="135"/>
    <col min="13069" max="13069" width="13.42578125" style="135" customWidth="1"/>
    <col min="13070" max="13312" width="11.5703125" style="135"/>
    <col min="13313" max="13313" width="41" style="135" customWidth="1"/>
    <col min="13314" max="13314" width="15.85546875" style="135" customWidth="1"/>
    <col min="13315" max="13315" width="11.5703125" style="135"/>
    <col min="13316" max="13316" width="12.140625" style="135" customWidth="1"/>
    <col min="13317" max="13317" width="12.85546875" style="135" customWidth="1"/>
    <col min="13318" max="13318" width="10.42578125" style="135" customWidth="1"/>
    <col min="13319" max="13319" width="11.5703125" style="135"/>
    <col min="13320" max="13321" width="0" style="135" hidden="1" customWidth="1"/>
    <col min="13322" max="13324" width="11.5703125" style="135"/>
    <col min="13325" max="13325" width="13.42578125" style="135" customWidth="1"/>
    <col min="13326" max="13568" width="11.5703125" style="135"/>
    <col min="13569" max="13569" width="41" style="135" customWidth="1"/>
    <col min="13570" max="13570" width="15.85546875" style="135" customWidth="1"/>
    <col min="13571" max="13571" width="11.5703125" style="135"/>
    <col min="13572" max="13572" width="12.140625" style="135" customWidth="1"/>
    <col min="13573" max="13573" width="12.85546875" style="135" customWidth="1"/>
    <col min="13574" max="13574" width="10.42578125" style="135" customWidth="1"/>
    <col min="13575" max="13575" width="11.5703125" style="135"/>
    <col min="13576" max="13577" width="0" style="135" hidden="1" customWidth="1"/>
    <col min="13578" max="13580" width="11.5703125" style="135"/>
    <col min="13581" max="13581" width="13.42578125" style="135" customWidth="1"/>
    <col min="13582" max="13824" width="11.5703125" style="135"/>
    <col min="13825" max="13825" width="41" style="135" customWidth="1"/>
    <col min="13826" max="13826" width="15.85546875" style="135" customWidth="1"/>
    <col min="13827" max="13827" width="11.5703125" style="135"/>
    <col min="13828" max="13828" width="12.140625" style="135" customWidth="1"/>
    <col min="13829" max="13829" width="12.85546875" style="135" customWidth="1"/>
    <col min="13830" max="13830" width="10.42578125" style="135" customWidth="1"/>
    <col min="13831" max="13831" width="11.5703125" style="135"/>
    <col min="13832" max="13833" width="0" style="135" hidden="1" customWidth="1"/>
    <col min="13834" max="13836" width="11.5703125" style="135"/>
    <col min="13837" max="13837" width="13.42578125" style="135" customWidth="1"/>
    <col min="13838" max="14080" width="11.5703125" style="135"/>
    <col min="14081" max="14081" width="41" style="135" customWidth="1"/>
    <col min="14082" max="14082" width="15.85546875" style="135" customWidth="1"/>
    <col min="14083" max="14083" width="11.5703125" style="135"/>
    <col min="14084" max="14084" width="12.140625" style="135" customWidth="1"/>
    <col min="14085" max="14085" width="12.85546875" style="135" customWidth="1"/>
    <col min="14086" max="14086" width="10.42578125" style="135" customWidth="1"/>
    <col min="14087" max="14087" width="11.5703125" style="135"/>
    <col min="14088" max="14089" width="0" style="135" hidden="1" customWidth="1"/>
    <col min="14090" max="14092" width="11.5703125" style="135"/>
    <col min="14093" max="14093" width="13.42578125" style="135" customWidth="1"/>
    <col min="14094" max="14336" width="11.5703125" style="135"/>
    <col min="14337" max="14337" width="41" style="135" customWidth="1"/>
    <col min="14338" max="14338" width="15.85546875" style="135" customWidth="1"/>
    <col min="14339" max="14339" width="11.5703125" style="135"/>
    <col min="14340" max="14340" width="12.140625" style="135" customWidth="1"/>
    <col min="14341" max="14341" width="12.85546875" style="135" customWidth="1"/>
    <col min="14342" max="14342" width="10.42578125" style="135" customWidth="1"/>
    <col min="14343" max="14343" width="11.5703125" style="135"/>
    <col min="14344" max="14345" width="0" style="135" hidden="1" customWidth="1"/>
    <col min="14346" max="14348" width="11.5703125" style="135"/>
    <col min="14349" max="14349" width="13.42578125" style="135" customWidth="1"/>
    <col min="14350" max="14592" width="11.5703125" style="135"/>
    <col min="14593" max="14593" width="41" style="135" customWidth="1"/>
    <col min="14594" max="14594" width="15.85546875" style="135" customWidth="1"/>
    <col min="14595" max="14595" width="11.5703125" style="135"/>
    <col min="14596" max="14596" width="12.140625" style="135" customWidth="1"/>
    <col min="14597" max="14597" width="12.85546875" style="135" customWidth="1"/>
    <col min="14598" max="14598" width="10.42578125" style="135" customWidth="1"/>
    <col min="14599" max="14599" width="11.5703125" style="135"/>
    <col min="14600" max="14601" width="0" style="135" hidden="1" customWidth="1"/>
    <col min="14602" max="14604" width="11.5703125" style="135"/>
    <col min="14605" max="14605" width="13.42578125" style="135" customWidth="1"/>
    <col min="14606" max="14848" width="11.5703125" style="135"/>
    <col min="14849" max="14849" width="41" style="135" customWidth="1"/>
    <col min="14850" max="14850" width="15.85546875" style="135" customWidth="1"/>
    <col min="14851" max="14851" width="11.5703125" style="135"/>
    <col min="14852" max="14852" width="12.140625" style="135" customWidth="1"/>
    <col min="14853" max="14853" width="12.85546875" style="135" customWidth="1"/>
    <col min="14854" max="14854" width="10.42578125" style="135" customWidth="1"/>
    <col min="14855" max="14855" width="11.5703125" style="135"/>
    <col min="14856" max="14857" width="0" style="135" hidden="1" customWidth="1"/>
    <col min="14858" max="14860" width="11.5703125" style="135"/>
    <col min="14861" max="14861" width="13.42578125" style="135" customWidth="1"/>
    <col min="14862" max="15104" width="11.5703125" style="135"/>
    <col min="15105" max="15105" width="41" style="135" customWidth="1"/>
    <col min="15106" max="15106" width="15.85546875" style="135" customWidth="1"/>
    <col min="15107" max="15107" width="11.5703125" style="135"/>
    <col min="15108" max="15108" width="12.140625" style="135" customWidth="1"/>
    <col min="15109" max="15109" width="12.85546875" style="135" customWidth="1"/>
    <col min="15110" max="15110" width="10.42578125" style="135" customWidth="1"/>
    <col min="15111" max="15111" width="11.5703125" style="135"/>
    <col min="15112" max="15113" width="0" style="135" hidden="1" customWidth="1"/>
    <col min="15114" max="15116" width="11.5703125" style="135"/>
    <col min="15117" max="15117" width="13.42578125" style="135" customWidth="1"/>
    <col min="15118" max="15360" width="11.5703125" style="135"/>
    <col min="15361" max="15361" width="41" style="135" customWidth="1"/>
    <col min="15362" max="15362" width="15.85546875" style="135" customWidth="1"/>
    <col min="15363" max="15363" width="11.5703125" style="135"/>
    <col min="15364" max="15364" width="12.140625" style="135" customWidth="1"/>
    <col min="15365" max="15365" width="12.85546875" style="135" customWidth="1"/>
    <col min="15366" max="15366" width="10.42578125" style="135" customWidth="1"/>
    <col min="15367" max="15367" width="11.5703125" style="135"/>
    <col min="15368" max="15369" width="0" style="135" hidden="1" customWidth="1"/>
    <col min="15370" max="15372" width="11.5703125" style="135"/>
    <col min="15373" max="15373" width="13.42578125" style="135" customWidth="1"/>
    <col min="15374" max="15616" width="11.5703125" style="135"/>
    <col min="15617" max="15617" width="41" style="135" customWidth="1"/>
    <col min="15618" max="15618" width="15.85546875" style="135" customWidth="1"/>
    <col min="15619" max="15619" width="11.5703125" style="135"/>
    <col min="15620" max="15620" width="12.140625" style="135" customWidth="1"/>
    <col min="15621" max="15621" width="12.85546875" style="135" customWidth="1"/>
    <col min="15622" max="15622" width="10.42578125" style="135" customWidth="1"/>
    <col min="15623" max="15623" width="11.5703125" style="135"/>
    <col min="15624" max="15625" width="0" style="135" hidden="1" customWidth="1"/>
    <col min="15626" max="15628" width="11.5703125" style="135"/>
    <col min="15629" max="15629" width="13.42578125" style="135" customWidth="1"/>
    <col min="15630" max="15872" width="11.5703125" style="135"/>
    <col min="15873" max="15873" width="41" style="135" customWidth="1"/>
    <col min="15874" max="15874" width="15.85546875" style="135" customWidth="1"/>
    <col min="15875" max="15875" width="11.5703125" style="135"/>
    <col min="15876" max="15876" width="12.140625" style="135" customWidth="1"/>
    <col min="15877" max="15877" width="12.85546875" style="135" customWidth="1"/>
    <col min="15878" max="15878" width="10.42578125" style="135" customWidth="1"/>
    <col min="15879" max="15879" width="11.5703125" style="135"/>
    <col min="15880" max="15881" width="0" style="135" hidden="1" customWidth="1"/>
    <col min="15882" max="15884" width="11.5703125" style="135"/>
    <col min="15885" max="15885" width="13.42578125" style="135" customWidth="1"/>
    <col min="15886" max="16128" width="11.5703125" style="135"/>
    <col min="16129" max="16129" width="41" style="135" customWidth="1"/>
    <col min="16130" max="16130" width="15.85546875" style="135" customWidth="1"/>
    <col min="16131" max="16131" width="11.5703125" style="135"/>
    <col min="16132" max="16132" width="12.140625" style="135" customWidth="1"/>
    <col min="16133" max="16133" width="12.85546875" style="135" customWidth="1"/>
    <col min="16134" max="16134" width="10.42578125" style="135" customWidth="1"/>
    <col min="16135" max="16135" width="11.5703125" style="135"/>
    <col min="16136" max="16137" width="0" style="135" hidden="1" customWidth="1"/>
    <col min="16138" max="16140" width="11.5703125" style="135"/>
    <col min="16141" max="16141" width="13.42578125" style="135" customWidth="1"/>
    <col min="16142" max="16384" width="11.5703125" style="135"/>
  </cols>
  <sheetData>
    <row r="1" spans="1:13" ht="17.100000000000001" customHeight="1">
      <c r="A1" s="134"/>
    </row>
    <row r="2" spans="1:13" ht="18.2" customHeight="1">
      <c r="A2" s="134"/>
    </row>
    <row r="3" spans="1:13" ht="18.2" customHeight="1">
      <c r="A3" s="134"/>
    </row>
    <row r="4" spans="1:13" ht="18.2" customHeight="1">
      <c r="A4" s="134"/>
    </row>
    <row r="5" spans="1:13" ht="18.2" customHeight="1">
      <c r="A5" s="134"/>
    </row>
    <row r="6" spans="1:13" ht="18.2" customHeight="1">
      <c r="A6" s="134"/>
    </row>
    <row r="7" spans="1:13" ht="17.100000000000001" customHeight="1">
      <c r="A7" s="814" t="s">
        <v>6972</v>
      </c>
      <c r="B7" s="814"/>
      <c r="C7" s="814"/>
      <c r="D7" s="814"/>
      <c r="E7" s="814"/>
      <c r="F7" s="814"/>
      <c r="G7" s="814"/>
      <c r="H7" s="814"/>
      <c r="I7" s="814"/>
      <c r="J7" s="814"/>
      <c r="K7" s="814"/>
      <c r="L7" s="814"/>
      <c r="M7" s="814"/>
    </row>
    <row r="8" spans="1:13" ht="14.65" customHeight="1"/>
    <row r="9" spans="1:13" ht="13.5" customHeight="1"/>
    <row r="10" spans="1:13" ht="13.5" customHeight="1">
      <c r="A10" s="815" t="s">
        <v>6973</v>
      </c>
      <c r="B10" s="815"/>
      <c r="C10" s="815"/>
      <c r="D10" s="815"/>
      <c r="E10" s="815"/>
      <c r="F10" s="815"/>
      <c r="G10" s="815"/>
      <c r="H10" s="815"/>
      <c r="I10" s="815"/>
      <c r="J10" s="815"/>
      <c r="K10" s="815"/>
      <c r="L10" s="815"/>
      <c r="M10" s="815"/>
    </row>
    <row r="11" spans="1:13" ht="13.5" customHeight="1">
      <c r="A11" s="137"/>
      <c r="B11" s="137"/>
      <c r="C11" s="138"/>
      <c r="D11" s="137"/>
      <c r="E11" s="137"/>
      <c r="F11" s="137"/>
      <c r="G11" s="137"/>
      <c r="H11" s="137"/>
      <c r="I11" s="137"/>
      <c r="J11" s="137"/>
      <c r="K11" s="137"/>
      <c r="L11" s="137"/>
      <c r="M11" s="137"/>
    </row>
    <row r="12" spans="1:13" ht="15.95" customHeight="1">
      <c r="A12" s="816" t="s">
        <v>6974</v>
      </c>
      <c r="B12" s="816"/>
      <c r="C12" s="816"/>
      <c r="D12" s="816"/>
      <c r="E12" s="816"/>
      <c r="F12" s="816"/>
      <c r="G12" s="816"/>
      <c r="H12" s="816"/>
      <c r="I12" s="816"/>
      <c r="J12" s="816"/>
      <c r="K12" s="816"/>
      <c r="L12" s="816"/>
      <c r="M12" s="816"/>
    </row>
    <row r="13" spans="1:13" ht="15.95" customHeight="1">
      <c r="A13" s="137"/>
      <c r="B13" s="139"/>
      <c r="C13" s="139"/>
      <c r="D13" s="139"/>
      <c r="E13" s="139"/>
      <c r="F13" s="139"/>
      <c r="G13" s="139"/>
      <c r="H13" s="139"/>
      <c r="I13" s="139"/>
      <c r="J13" s="139"/>
      <c r="K13" s="139"/>
      <c r="L13" s="139"/>
      <c r="M13" s="139"/>
    </row>
    <row r="14" spans="1:13" ht="14.45" customHeight="1">
      <c r="A14" s="140"/>
      <c r="B14" s="140"/>
      <c r="C14" s="140"/>
      <c r="D14" s="140"/>
      <c r="E14" s="140"/>
      <c r="F14" s="140"/>
      <c r="G14" s="813" t="s">
        <v>6975</v>
      </c>
      <c r="H14" s="813"/>
      <c r="I14" s="813"/>
      <c r="J14" s="813"/>
      <c r="K14" s="813"/>
      <c r="L14" s="813"/>
      <c r="M14" s="141"/>
    </row>
    <row r="15" spans="1:13" ht="54.75" customHeight="1">
      <c r="A15" s="142" t="s">
        <v>6976</v>
      </c>
      <c r="B15" s="143" t="s">
        <v>6977</v>
      </c>
      <c r="C15" s="144" t="s">
        <v>6978</v>
      </c>
      <c r="D15" s="143" t="s">
        <v>6979</v>
      </c>
      <c r="E15" s="143" t="s">
        <v>6980</v>
      </c>
      <c r="F15" s="144" t="s">
        <v>6981</v>
      </c>
      <c r="G15" s="145" t="s">
        <v>6982</v>
      </c>
      <c r="H15" s="145" t="s">
        <v>6983</v>
      </c>
      <c r="I15" s="146" t="s">
        <v>6984</v>
      </c>
      <c r="J15" s="145" t="s">
        <v>6985</v>
      </c>
      <c r="K15" s="145" t="s">
        <v>6986</v>
      </c>
      <c r="L15" s="145" t="s">
        <v>6987</v>
      </c>
      <c r="M15" s="144" t="s">
        <v>6988</v>
      </c>
    </row>
    <row r="16" spans="1:13" s="150" customFormat="1" ht="14.85" customHeight="1">
      <c r="A16" s="147" t="s">
        <v>6989</v>
      </c>
      <c r="B16" s="148">
        <v>0.04</v>
      </c>
      <c r="C16" s="148">
        <v>7.2000000000000008E-2</v>
      </c>
      <c r="D16" s="148">
        <v>2.8E-3</v>
      </c>
      <c r="E16" s="148">
        <v>1.1999999999999999E-3</v>
      </c>
      <c r="F16" s="148">
        <f>0.97/100</f>
        <v>9.7000000000000003E-3</v>
      </c>
      <c r="G16" s="149">
        <f>+H16*I16</f>
        <v>8.7060000000000002E-3</v>
      </c>
      <c r="H16" s="615">
        <v>0.03</v>
      </c>
      <c r="I16" s="616">
        <v>0.29020000000000001</v>
      </c>
      <c r="J16" s="148">
        <f>0.65/100</f>
        <v>6.5000000000000006E-3</v>
      </c>
      <c r="K16" s="148">
        <f>3/100</f>
        <v>0.03</v>
      </c>
      <c r="L16" s="148">
        <v>0</v>
      </c>
      <c r="M16" s="148">
        <f>((((1+$B16+$E16+$F16))*(1+$D16)*(1+$C16))/(1-$G16-$J16-$K16-L16))-1</f>
        <v>0.18320724830696489</v>
      </c>
    </row>
    <row r="17" spans="1:13" ht="12.75" customHeight="1">
      <c r="A17" s="140"/>
      <c r="B17" s="140"/>
      <c r="C17" s="140"/>
      <c r="D17" s="140"/>
      <c r="E17" s="140"/>
      <c r="F17" s="140"/>
      <c r="G17" s="140"/>
      <c r="H17" s="140"/>
      <c r="I17" s="140"/>
      <c r="J17" s="140"/>
      <c r="K17" s="140"/>
      <c r="L17" s="140"/>
      <c r="M17" s="140"/>
    </row>
    <row r="18" spans="1:13" ht="12.75" customHeight="1">
      <c r="A18" s="140"/>
      <c r="B18" s="140"/>
      <c r="C18" s="140"/>
      <c r="D18" s="140"/>
      <c r="E18" s="140"/>
      <c r="F18" s="140"/>
      <c r="G18" s="140"/>
      <c r="H18" s="140"/>
      <c r="I18" s="140"/>
      <c r="J18" s="140"/>
      <c r="K18" s="140"/>
      <c r="L18" s="140"/>
      <c r="M18" s="140"/>
    </row>
    <row r="19" spans="1:13" ht="16.149999999999999" customHeight="1">
      <c r="A19" s="816" t="s">
        <v>6990</v>
      </c>
      <c r="B19" s="816"/>
      <c r="C19" s="816"/>
      <c r="D19" s="816"/>
      <c r="E19" s="816"/>
      <c r="F19" s="816"/>
      <c r="G19" s="816"/>
      <c r="H19" s="816"/>
      <c r="I19" s="816"/>
      <c r="J19" s="816"/>
      <c r="K19" s="816"/>
      <c r="L19" s="816"/>
      <c r="M19" s="816"/>
    </row>
    <row r="20" spans="1:13" ht="12.75" customHeight="1">
      <c r="A20" s="137"/>
      <c r="B20" s="137"/>
      <c r="C20" s="137"/>
      <c r="D20" s="137"/>
      <c r="E20" s="137"/>
      <c r="F20" s="137"/>
      <c r="G20" s="137"/>
      <c r="H20" s="137"/>
      <c r="I20" s="137"/>
      <c r="J20" s="137"/>
      <c r="K20" s="137"/>
      <c r="L20" s="137"/>
      <c r="M20" s="137"/>
    </row>
    <row r="21" spans="1:13" ht="12.75" customHeight="1">
      <c r="A21" s="140"/>
      <c r="B21" s="140"/>
      <c r="C21" s="140"/>
      <c r="D21" s="140"/>
      <c r="E21" s="140"/>
      <c r="F21" s="140"/>
      <c r="G21" s="813" t="s">
        <v>6975</v>
      </c>
      <c r="H21" s="813"/>
      <c r="I21" s="813"/>
      <c r="J21" s="813"/>
      <c r="K21" s="813"/>
      <c r="L21" s="813"/>
      <c r="M21" s="141"/>
    </row>
    <row r="22" spans="1:13" ht="47.1" customHeight="1">
      <c r="A22" s="142" t="s">
        <v>6991</v>
      </c>
      <c r="B22" s="143" t="s">
        <v>6977</v>
      </c>
      <c r="C22" s="144" t="s">
        <v>6978</v>
      </c>
      <c r="D22" s="143" t="s">
        <v>6979</v>
      </c>
      <c r="E22" s="143" t="s">
        <v>6980</v>
      </c>
      <c r="F22" s="144" t="s">
        <v>6981</v>
      </c>
      <c r="G22" s="145" t="s">
        <v>6982</v>
      </c>
      <c r="H22" s="145" t="s">
        <v>6983</v>
      </c>
      <c r="I22" s="146" t="s">
        <v>6984</v>
      </c>
      <c r="J22" s="145" t="s">
        <v>6985</v>
      </c>
      <c r="K22" s="145" t="s">
        <v>6986</v>
      </c>
      <c r="L22" s="145" t="s">
        <v>6987</v>
      </c>
      <c r="M22" s="144" t="s">
        <v>6992</v>
      </c>
    </row>
    <row r="23" spans="1:13" ht="14.85" customHeight="1">
      <c r="A23" s="147" t="s">
        <v>6993</v>
      </c>
      <c r="B23" s="148">
        <v>3.4500000000000003E-2</v>
      </c>
      <c r="C23" s="148">
        <v>4.8000000000000001E-2</v>
      </c>
      <c r="D23" s="148">
        <v>2.8E-3</v>
      </c>
      <c r="E23" s="148">
        <v>5.9999999999999995E-4</v>
      </c>
      <c r="F23" s="148">
        <v>5.6000000000000008E-3</v>
      </c>
      <c r="G23" s="151"/>
      <c r="H23" s="152"/>
      <c r="I23" s="152"/>
      <c r="J23" s="148">
        <f>0.65/100</f>
        <v>6.5000000000000006E-3</v>
      </c>
      <c r="K23" s="148">
        <f>3/100</f>
        <v>0.03</v>
      </c>
      <c r="L23" s="148">
        <v>0</v>
      </c>
      <c r="M23" s="148">
        <f>(((1+$B23+$E23+$F23)*(1+$D23)*(1+$C23))/(1-$J23-$K23-L23))-1</f>
        <v>0.13514004159833926</v>
      </c>
    </row>
    <row r="24" spans="1:13" ht="12.75" customHeight="1">
      <c r="A24" s="139"/>
      <c r="B24" s="139"/>
      <c r="C24" s="139"/>
      <c r="D24" s="139"/>
      <c r="E24" s="139"/>
      <c r="F24" s="139"/>
      <c r="G24" s="139"/>
      <c r="H24" s="139"/>
      <c r="I24" s="139"/>
      <c r="J24" s="139"/>
      <c r="K24" s="139"/>
      <c r="L24" s="139"/>
      <c r="M24" s="139"/>
    </row>
    <row r="25" spans="1:13" ht="15.95" customHeight="1">
      <c r="A25" s="809" t="s">
        <v>6994</v>
      </c>
      <c r="B25" s="809"/>
      <c r="C25" s="809"/>
      <c r="D25" s="809"/>
      <c r="E25" s="809"/>
      <c r="F25" s="809"/>
      <c r="G25" s="809"/>
      <c r="H25" s="809"/>
      <c r="I25" s="809"/>
      <c r="J25" s="809"/>
      <c r="K25" s="809"/>
      <c r="L25" s="809"/>
      <c r="M25" s="809"/>
    </row>
    <row r="26" spans="1:13" ht="15.6" customHeight="1">
      <c r="A26" s="810" t="s">
        <v>6995</v>
      </c>
      <c r="B26" s="810"/>
      <c r="C26" s="810"/>
      <c r="D26" s="810"/>
      <c r="E26" s="810"/>
      <c r="F26" s="810"/>
      <c r="G26" s="810"/>
      <c r="H26" s="810"/>
      <c r="I26" s="810"/>
      <c r="J26" s="810"/>
      <c r="K26" s="810"/>
      <c r="L26" s="810"/>
      <c r="M26" s="810"/>
    </row>
    <row r="27" spans="1:13" ht="29.85" customHeight="1">
      <c r="A27" s="809" t="s">
        <v>6996</v>
      </c>
      <c r="B27" s="809"/>
      <c r="C27" s="809"/>
      <c r="D27" s="809"/>
      <c r="E27" s="809"/>
      <c r="F27" s="809"/>
      <c r="G27" s="809"/>
      <c r="H27" s="809"/>
      <c r="I27" s="809"/>
      <c r="J27" s="809"/>
      <c r="K27" s="809"/>
      <c r="L27" s="809"/>
      <c r="M27" s="809"/>
    </row>
    <row r="28" spans="1:13" ht="15.95" customHeight="1">
      <c r="A28" s="153"/>
      <c r="B28" s="153"/>
      <c r="C28" s="153"/>
      <c r="D28" s="153"/>
      <c r="E28" s="153"/>
      <c r="F28" s="153"/>
      <c r="G28" s="153"/>
      <c r="H28" s="153"/>
      <c r="I28" s="153"/>
      <c r="J28" s="153"/>
      <c r="K28" s="153"/>
      <c r="L28" s="153"/>
      <c r="M28" s="153"/>
    </row>
    <row r="29" spans="1:13" ht="14.85" customHeight="1">
      <c r="A29" s="153"/>
      <c r="B29" s="154"/>
      <c r="C29" s="154"/>
      <c r="D29" s="154"/>
      <c r="E29" s="155" t="s">
        <v>6997</v>
      </c>
      <c r="F29" s="154"/>
      <c r="G29" s="154"/>
      <c r="H29" s="154"/>
      <c r="I29" s="154"/>
      <c r="J29" s="154"/>
      <c r="K29" s="154"/>
      <c r="L29" s="154"/>
      <c r="M29" s="154"/>
    </row>
    <row r="30" spans="1:13" ht="14.85" customHeight="1">
      <c r="A30" s="153"/>
      <c r="B30" s="154"/>
      <c r="C30" s="154"/>
      <c r="D30" s="154"/>
      <c r="E30" s="802" t="s">
        <v>6998</v>
      </c>
      <c r="F30" s="802"/>
      <c r="G30" s="802"/>
      <c r="H30" s="802"/>
      <c r="I30" s="802"/>
      <c r="J30" s="802"/>
      <c r="K30" s="802"/>
      <c r="L30" s="802"/>
      <c r="M30" s="154"/>
    </row>
    <row r="31" spans="1:13" ht="15.95" customHeight="1">
      <c r="A31" s="153"/>
      <c r="B31" s="154"/>
      <c r="C31" s="154"/>
      <c r="D31" s="154"/>
      <c r="E31" s="802" t="s">
        <v>6999</v>
      </c>
      <c r="F31" s="802"/>
      <c r="G31" s="802"/>
      <c r="H31" s="802"/>
      <c r="I31" s="802"/>
      <c r="J31" s="802"/>
      <c r="K31" s="154"/>
      <c r="L31" s="154"/>
      <c r="M31" s="154"/>
    </row>
    <row r="32" spans="1:13" ht="15.95" customHeight="1">
      <c r="A32" s="153"/>
      <c r="B32" s="154"/>
      <c r="C32" s="154"/>
      <c r="D32" s="154"/>
      <c r="E32" s="156"/>
      <c r="F32" s="154"/>
      <c r="G32" s="154"/>
      <c r="H32" s="154"/>
      <c r="I32" s="154"/>
      <c r="J32" s="154"/>
      <c r="K32" s="154"/>
      <c r="L32" s="154"/>
      <c r="M32" s="154"/>
    </row>
    <row r="33" spans="1:13" ht="150" customHeight="1">
      <c r="A33" s="811" t="s">
        <v>7000</v>
      </c>
      <c r="B33" s="811"/>
      <c r="C33" s="811"/>
      <c r="D33" s="811"/>
      <c r="E33" s="811"/>
      <c r="F33" s="811"/>
      <c r="G33" s="811"/>
      <c r="H33" s="811"/>
      <c r="I33" s="811"/>
      <c r="J33" s="811"/>
      <c r="K33" s="811"/>
      <c r="L33" s="811"/>
      <c r="M33" s="811"/>
    </row>
    <row r="34" spans="1:13" ht="15.95" customHeight="1">
      <c r="A34" s="809" t="s">
        <v>7001</v>
      </c>
      <c r="B34" s="809"/>
      <c r="C34" s="809"/>
      <c r="D34" s="809"/>
      <c r="E34" s="809"/>
      <c r="F34" s="809"/>
      <c r="G34" s="809"/>
      <c r="H34" s="809"/>
      <c r="I34" s="809"/>
      <c r="J34" s="809"/>
      <c r="K34" s="809"/>
      <c r="L34" s="809"/>
      <c r="M34" s="809"/>
    </row>
    <row r="35" spans="1:13" ht="15.95" customHeight="1">
      <c r="A35" s="809" t="s">
        <v>7002</v>
      </c>
      <c r="B35" s="809"/>
      <c r="C35" s="809"/>
      <c r="D35" s="809"/>
      <c r="E35" s="809"/>
      <c r="F35" s="809"/>
      <c r="G35" s="809"/>
      <c r="H35" s="809"/>
      <c r="I35" s="809"/>
      <c r="J35" s="809"/>
      <c r="K35" s="809"/>
      <c r="L35" s="809"/>
      <c r="M35" s="809"/>
    </row>
    <row r="36" spans="1:13" ht="15.95" customHeight="1">
      <c r="A36" s="810" t="s">
        <v>7003</v>
      </c>
      <c r="B36" s="810"/>
      <c r="C36" s="810"/>
      <c r="D36" s="810"/>
      <c r="E36" s="810"/>
      <c r="F36" s="810"/>
      <c r="G36" s="810"/>
      <c r="H36" s="810"/>
      <c r="I36" s="810"/>
      <c r="J36" s="810"/>
      <c r="K36" s="810"/>
      <c r="L36" s="810"/>
      <c r="M36" s="810"/>
    </row>
    <row r="37" spans="1:13" ht="29.85" customHeight="1">
      <c r="A37" s="809" t="s">
        <v>7004</v>
      </c>
      <c r="B37" s="809"/>
      <c r="C37" s="809"/>
      <c r="D37" s="809"/>
      <c r="E37" s="809"/>
      <c r="F37" s="809"/>
      <c r="G37" s="809"/>
      <c r="H37" s="809"/>
      <c r="I37" s="809"/>
      <c r="J37" s="809"/>
      <c r="K37" s="809"/>
      <c r="L37" s="809"/>
      <c r="M37" s="809"/>
    </row>
    <row r="38" spans="1:13" ht="14.85" customHeight="1">
      <c r="A38" s="157"/>
      <c r="B38" s="157"/>
      <c r="C38" s="157"/>
      <c r="D38" s="157"/>
      <c r="E38" s="157"/>
      <c r="F38" s="157"/>
      <c r="G38" s="157"/>
      <c r="H38" s="157"/>
      <c r="I38" s="157"/>
      <c r="J38" s="157"/>
      <c r="K38" s="157"/>
      <c r="L38" s="157"/>
      <c r="M38" s="157"/>
    </row>
    <row r="39" spans="1:13" ht="28.15" customHeight="1">
      <c r="A39" s="812" t="s">
        <v>7005</v>
      </c>
      <c r="B39" s="812"/>
      <c r="C39" s="812"/>
      <c r="D39" s="812"/>
      <c r="E39" s="812"/>
      <c r="F39" s="812"/>
      <c r="G39" s="812"/>
      <c r="H39" s="812"/>
      <c r="I39" s="812"/>
      <c r="J39" s="812"/>
      <c r="K39" s="812"/>
      <c r="L39" s="812"/>
      <c r="M39" s="812"/>
    </row>
    <row r="40" spans="1:13" ht="14.85" customHeight="1">
      <c r="A40" s="158"/>
      <c r="B40" s="139"/>
      <c r="C40" s="139"/>
      <c r="D40" s="139"/>
      <c r="E40" s="155" t="s">
        <v>7006</v>
      </c>
      <c r="F40" s="139"/>
      <c r="G40" s="139"/>
      <c r="H40" s="139"/>
      <c r="I40" s="139"/>
      <c r="J40" s="139"/>
      <c r="K40" s="139"/>
      <c r="L40" s="137"/>
      <c r="M40" s="139"/>
    </row>
    <row r="41" spans="1:13" ht="14.85" customHeight="1">
      <c r="A41" s="139"/>
      <c r="B41" s="139"/>
      <c r="C41" s="139"/>
      <c r="D41" s="139"/>
      <c r="E41" s="802" t="s">
        <v>7007</v>
      </c>
      <c r="F41" s="802"/>
      <c r="G41" s="802"/>
      <c r="H41" s="802"/>
      <c r="I41" s="802"/>
      <c r="J41" s="802"/>
      <c r="K41" s="139"/>
      <c r="L41" s="137"/>
      <c r="M41" s="139"/>
    </row>
    <row r="42" spans="1:13" ht="14.85" customHeight="1">
      <c r="A42" s="139"/>
      <c r="B42" s="139"/>
      <c r="C42" s="139"/>
      <c r="D42" s="139"/>
      <c r="E42" s="802" t="s">
        <v>7008</v>
      </c>
      <c r="F42" s="802"/>
      <c r="G42" s="802"/>
      <c r="H42" s="802"/>
      <c r="I42" s="802"/>
      <c r="J42" s="802"/>
      <c r="K42" s="139"/>
      <c r="L42" s="137"/>
      <c r="M42" s="139"/>
    </row>
    <row r="43" spans="1:13" ht="14.85" customHeight="1">
      <c r="A43" s="139"/>
      <c r="B43" s="139"/>
      <c r="C43" s="139"/>
      <c r="D43" s="139"/>
      <c r="E43" s="802" t="s">
        <v>7009</v>
      </c>
      <c r="F43" s="802"/>
      <c r="G43" s="802"/>
      <c r="H43" s="802"/>
      <c r="I43" s="802"/>
      <c r="J43" s="802"/>
      <c r="K43" s="139"/>
      <c r="L43" s="137"/>
      <c r="M43" s="139"/>
    </row>
    <row r="44" spans="1:13" ht="14.85" customHeight="1">
      <c r="A44" s="139"/>
      <c r="B44" s="139"/>
      <c r="C44" s="139"/>
      <c r="D44" s="139"/>
      <c r="E44" s="802" t="s">
        <v>7010</v>
      </c>
      <c r="F44" s="802"/>
      <c r="G44" s="802"/>
      <c r="H44" s="802"/>
      <c r="I44" s="802"/>
      <c r="J44" s="802"/>
      <c r="K44" s="139"/>
      <c r="L44" s="137"/>
      <c r="M44" s="139"/>
    </row>
    <row r="45" spans="1:13" ht="14.85" customHeight="1">
      <c r="A45" s="139"/>
      <c r="B45" s="139"/>
      <c r="C45" s="139"/>
      <c r="D45" s="139"/>
      <c r="E45" s="802" t="s">
        <v>7011</v>
      </c>
      <c r="F45" s="802"/>
      <c r="G45" s="802"/>
      <c r="H45" s="802"/>
      <c r="I45" s="802"/>
      <c r="J45" s="802"/>
      <c r="K45" s="139"/>
      <c r="L45" s="137"/>
      <c r="M45" s="139"/>
    </row>
    <row r="46" spans="1:13" ht="12.75" customHeight="1">
      <c r="E46" s="802" t="s">
        <v>7012</v>
      </c>
      <c r="F46" s="802"/>
      <c r="G46" s="802"/>
      <c r="H46" s="802"/>
      <c r="I46" s="802"/>
      <c r="J46" s="802"/>
      <c r="L46" s="137"/>
    </row>
    <row r="47" spans="1:13" ht="14.85" customHeight="1">
      <c r="A47" s="137"/>
      <c r="B47" s="140"/>
      <c r="C47" s="140"/>
      <c r="D47" s="140"/>
      <c r="E47" s="156" t="s">
        <v>7013</v>
      </c>
      <c r="F47" s="159"/>
      <c r="G47" s="159"/>
      <c r="H47" s="159"/>
      <c r="I47" s="159"/>
      <c r="J47" s="159"/>
      <c r="K47" s="140"/>
      <c r="L47" s="137"/>
      <c r="M47" s="140"/>
    </row>
    <row r="48" spans="1:13" ht="8.25" customHeight="1">
      <c r="A48" s="140"/>
      <c r="B48" s="140"/>
      <c r="C48" s="140"/>
      <c r="D48" s="140"/>
      <c r="E48" s="140"/>
      <c r="F48" s="156"/>
      <c r="G48" s="159"/>
      <c r="H48" s="159"/>
      <c r="I48" s="159"/>
      <c r="J48" s="159"/>
      <c r="K48" s="159"/>
      <c r="L48" s="140"/>
      <c r="M48" s="140"/>
    </row>
    <row r="49" spans="1:13" ht="14.85" customHeight="1">
      <c r="A49" s="140" t="s">
        <v>7014</v>
      </c>
      <c r="B49" s="140"/>
      <c r="C49" s="140"/>
      <c r="D49" s="140"/>
      <c r="E49" s="140"/>
      <c r="F49" s="156"/>
      <c r="G49" s="159"/>
      <c r="H49" s="159"/>
      <c r="I49" s="159"/>
      <c r="J49" s="159"/>
      <c r="K49" s="159"/>
      <c r="L49" s="140"/>
      <c r="M49" s="140"/>
    </row>
    <row r="50" spans="1:13" ht="30.6" customHeight="1">
      <c r="A50" s="803" t="s">
        <v>7015</v>
      </c>
      <c r="B50" s="803"/>
      <c r="C50" s="803"/>
      <c r="D50" s="803"/>
      <c r="E50" s="803"/>
      <c r="F50" s="803"/>
      <c r="G50" s="803"/>
      <c r="H50" s="803"/>
      <c r="I50" s="803"/>
      <c r="J50" s="803"/>
      <c r="K50" s="803"/>
      <c r="L50" s="803"/>
      <c r="M50" s="803"/>
    </row>
    <row r="51" spans="1:13" ht="15">
      <c r="A51" s="614"/>
      <c r="B51" s="614"/>
      <c r="C51" s="614"/>
      <c r="D51" s="614"/>
      <c r="E51" s="614"/>
      <c r="F51" s="614"/>
      <c r="G51" s="614"/>
      <c r="H51" s="614"/>
      <c r="I51" s="614"/>
      <c r="J51" s="614"/>
      <c r="K51" s="614"/>
      <c r="L51" s="614"/>
      <c r="M51" s="614"/>
    </row>
    <row r="52" spans="1:13" s="613" customFormat="1" ht="31.5" customHeight="1">
      <c r="B52" s="804" t="s">
        <v>7120</v>
      </c>
      <c r="C52" s="804"/>
      <c r="D52" s="804"/>
      <c r="E52" s="804"/>
      <c r="F52" s="804"/>
      <c r="G52" s="804"/>
      <c r="H52" s="804"/>
      <c r="I52" s="804"/>
      <c r="J52" s="804"/>
      <c r="K52" s="626"/>
      <c r="L52" s="626"/>
      <c r="M52" s="627"/>
    </row>
    <row r="53" spans="1:13" s="613" customFormat="1" ht="31.5" customHeight="1">
      <c r="B53" s="821" t="s">
        <v>7110</v>
      </c>
      <c r="C53" s="822"/>
      <c r="D53" s="822"/>
      <c r="E53" s="822"/>
      <c r="F53" s="822"/>
      <c r="G53" s="823"/>
      <c r="H53" s="830">
        <v>5984388.5800000001</v>
      </c>
      <c r="I53" s="831"/>
      <c r="J53" s="628">
        <v>1</v>
      </c>
      <c r="K53" s="626"/>
      <c r="L53" s="626"/>
      <c r="M53" s="627"/>
    </row>
    <row r="54" spans="1:13" s="613" customFormat="1" ht="31.5" customHeight="1">
      <c r="B54" s="824" t="s">
        <v>7118</v>
      </c>
      <c r="C54" s="825"/>
      <c r="D54" s="825"/>
      <c r="E54" s="825"/>
      <c r="F54" s="825"/>
      <c r="G54" s="826"/>
      <c r="H54" s="830">
        <f>+RESUMO!H50</f>
        <v>216219.99086471429</v>
      </c>
      <c r="I54" s="831"/>
      <c r="J54" s="628">
        <f>+H54/$H$53</f>
        <v>3.6130673664361929E-2</v>
      </c>
      <c r="K54" s="626"/>
      <c r="L54" s="626"/>
      <c r="M54" s="627"/>
    </row>
    <row r="55" spans="1:13" s="613" customFormat="1" ht="31.5" customHeight="1">
      <c r="B55" s="824" t="s">
        <v>7117</v>
      </c>
      <c r="C55" s="825"/>
      <c r="D55" s="825"/>
      <c r="E55" s="825"/>
      <c r="F55" s="825"/>
      <c r="G55" s="826"/>
      <c r="H55" s="830">
        <f ca="1">+RESUMO!G43-RESUMO!H50</f>
        <v>4031345.8163068756</v>
      </c>
      <c r="I55" s="831"/>
      <c r="J55" s="628">
        <f ca="1">+H55/$H$53</f>
        <v>0.67364372523865679</v>
      </c>
      <c r="K55" s="626"/>
      <c r="L55" s="626"/>
      <c r="M55" s="627"/>
    </row>
    <row r="56" spans="1:13" s="613" customFormat="1" ht="31.5" customHeight="1">
      <c r="B56" s="827" t="s">
        <v>7112</v>
      </c>
      <c r="C56" s="828"/>
      <c r="D56" s="828"/>
      <c r="E56" s="828"/>
      <c r="F56" s="828"/>
      <c r="G56" s="829"/>
      <c r="H56" s="830">
        <f ca="1">H53-(H55+H54)</f>
        <v>1736822.7728284104</v>
      </c>
      <c r="I56" s="831"/>
      <c r="J56" s="629">
        <f ca="1">+H56/$H$53</f>
        <v>0.29022560109698131</v>
      </c>
      <c r="K56" s="626"/>
      <c r="L56" s="626"/>
      <c r="M56" s="627"/>
    </row>
    <row r="57" spans="1:13" s="613" customFormat="1" ht="31.5" customHeight="1">
      <c r="B57" s="827" t="s">
        <v>7113</v>
      </c>
      <c r="C57" s="828"/>
      <c r="D57" s="828"/>
      <c r="E57" s="828"/>
      <c r="F57" s="828"/>
      <c r="G57" s="829"/>
      <c r="H57" s="832">
        <f ca="1">(H54+H55)/H53</f>
        <v>0.70977439890301874</v>
      </c>
      <c r="I57" s="833"/>
      <c r="J57" s="805"/>
      <c r="K57" s="627"/>
      <c r="L57" s="627"/>
      <c r="M57" s="627"/>
    </row>
    <row r="58" spans="1:13" s="613" customFormat="1" ht="31.5" customHeight="1">
      <c r="B58" s="827" t="s">
        <v>7114</v>
      </c>
      <c r="C58" s="828"/>
      <c r="D58" s="828"/>
      <c r="E58" s="828"/>
      <c r="F58" s="828"/>
      <c r="G58" s="829"/>
      <c r="H58" s="817">
        <f ca="1">1-H57</f>
        <v>0.29022560109698126</v>
      </c>
      <c r="I58" s="818"/>
      <c r="J58" s="806"/>
      <c r="K58" s="627"/>
      <c r="L58" s="627"/>
      <c r="M58" s="627"/>
    </row>
    <row r="59" spans="1:13" s="613" customFormat="1" ht="31.5" customHeight="1">
      <c r="B59" s="824" t="s">
        <v>7119</v>
      </c>
      <c r="C59" s="825"/>
      <c r="D59" s="825"/>
      <c r="E59" s="825"/>
      <c r="F59" s="825"/>
      <c r="G59" s="826"/>
      <c r="H59" s="817">
        <v>0.03</v>
      </c>
      <c r="I59" s="818"/>
      <c r="J59" s="806"/>
      <c r="K59" s="627"/>
      <c r="L59" s="627"/>
      <c r="M59" s="627"/>
    </row>
    <row r="60" spans="1:13" s="613" customFormat="1" ht="31.5" customHeight="1">
      <c r="B60" s="824" t="s">
        <v>7111</v>
      </c>
      <c r="C60" s="825"/>
      <c r="D60" s="825"/>
      <c r="E60" s="825"/>
      <c r="F60" s="825"/>
      <c r="G60" s="826"/>
      <c r="H60" s="819">
        <f ca="1">H59*H58</f>
        <v>8.7067680329094375E-3</v>
      </c>
      <c r="I60" s="820"/>
      <c r="J60" s="807"/>
    </row>
    <row r="61" spans="1:13" s="613" customFormat="1" ht="15"/>
    <row r="62" spans="1:13" s="613" customFormat="1" ht="77.25" customHeight="1">
      <c r="A62" s="808" t="s">
        <v>7115</v>
      </c>
      <c r="B62" s="808"/>
      <c r="C62" s="808"/>
      <c r="D62" s="808"/>
      <c r="E62" s="808"/>
      <c r="F62" s="808"/>
      <c r="G62" s="808"/>
      <c r="H62" s="808"/>
      <c r="I62" s="808"/>
      <c r="J62" s="808"/>
      <c r="K62" s="808"/>
      <c r="L62" s="808"/>
      <c r="M62" s="808"/>
    </row>
    <row r="63" spans="1:13" ht="12.75"/>
    <row r="64" spans="1:13" ht="16.5" customHeight="1">
      <c r="A64" s="135" t="s">
        <v>7016</v>
      </c>
    </row>
    <row r="65" spans="1:13" ht="108" customHeight="1">
      <c r="A65" s="801" t="s">
        <v>7017</v>
      </c>
      <c r="B65" s="801"/>
      <c r="C65" s="801"/>
      <c r="D65" s="801"/>
      <c r="E65" s="801"/>
      <c r="F65" s="801"/>
      <c r="G65" s="801"/>
      <c r="H65" s="801"/>
      <c r="I65" s="801"/>
      <c r="J65" s="801"/>
      <c r="K65" s="801"/>
      <c r="L65" s="801"/>
      <c r="M65" s="801"/>
    </row>
    <row r="65515" ht="12.75" customHeight="1"/>
    <row r="65516" ht="12.75" customHeight="1"/>
    <row r="65517" ht="12.75" customHeight="1"/>
    <row r="65518" ht="12.75" customHeight="1"/>
    <row r="65519" ht="12.75" customHeight="1"/>
    <row r="65520" ht="12.75" customHeight="1"/>
    <row r="65521" ht="12.75" customHeight="1"/>
    <row r="65522" ht="12.75" customHeight="1"/>
    <row r="65523" ht="12.75" customHeight="1"/>
    <row r="65524" ht="12.75" customHeight="1"/>
    <row r="65525" ht="12.75" customHeight="1"/>
    <row r="65526" ht="12.75" customHeight="1"/>
    <row r="65527" ht="12.75" customHeight="1"/>
    <row r="65528" ht="12.75" customHeight="1"/>
    <row r="65529" ht="12.75" customHeight="1"/>
    <row r="65530" ht="12.75" customHeight="1"/>
    <row r="65531" ht="12.75" customHeight="1"/>
    <row r="65532" ht="12.75" customHeight="1"/>
    <row r="65533" ht="12.75" customHeight="1"/>
    <row r="65534" ht="12.75" customHeight="1"/>
    <row r="65535" ht="12.75" customHeight="1"/>
    <row r="65536" ht="12.75" customHeight="1"/>
    <row r="65537" ht="12.75" customHeight="1"/>
    <row r="65538" ht="12.75" customHeight="1"/>
    <row r="65539" ht="12.75" customHeight="1"/>
  </sheetData>
  <sheetProtection selectLockedCells="1" selectUnlockedCells="1"/>
  <mergeCells count="44">
    <mergeCell ref="H53:I53"/>
    <mergeCell ref="H54:I54"/>
    <mergeCell ref="H55:I55"/>
    <mergeCell ref="H56:I56"/>
    <mergeCell ref="H57:I57"/>
    <mergeCell ref="B56:G56"/>
    <mergeCell ref="B57:G57"/>
    <mergeCell ref="B58:G58"/>
    <mergeCell ref="B59:G59"/>
    <mergeCell ref="B60:G60"/>
    <mergeCell ref="G21:L21"/>
    <mergeCell ref="A7:M7"/>
    <mergeCell ref="A10:M10"/>
    <mergeCell ref="A12:M12"/>
    <mergeCell ref="G14:L14"/>
    <mergeCell ref="A19:M19"/>
    <mergeCell ref="E41:J41"/>
    <mergeCell ref="A25:M25"/>
    <mergeCell ref="A26:M26"/>
    <mergeCell ref="A27:M27"/>
    <mergeCell ref="E30:L30"/>
    <mergeCell ref="E31:J31"/>
    <mergeCell ref="A33:M33"/>
    <mergeCell ref="A34:M34"/>
    <mergeCell ref="A35:M35"/>
    <mergeCell ref="A36:M36"/>
    <mergeCell ref="A37:M37"/>
    <mergeCell ref="A39:M39"/>
    <mergeCell ref="A65:M65"/>
    <mergeCell ref="E42:J42"/>
    <mergeCell ref="E43:J43"/>
    <mergeCell ref="E44:J44"/>
    <mergeCell ref="E45:J45"/>
    <mergeCell ref="E46:J46"/>
    <mergeCell ref="A50:M50"/>
    <mergeCell ref="B52:J52"/>
    <mergeCell ref="J57:J60"/>
    <mergeCell ref="A62:M62"/>
    <mergeCell ref="H58:I58"/>
    <mergeCell ref="H59:I59"/>
    <mergeCell ref="H60:I60"/>
    <mergeCell ref="B53:G53"/>
    <mergeCell ref="B54:G54"/>
    <mergeCell ref="B55:G55"/>
  </mergeCells>
  <pageMargins left="0.43307086614173229" right="0.19685039370078741" top="0.35433070866141736" bottom="0.11811023622047245" header="0.31496062992125984" footer="0.15748031496062992"/>
  <pageSetup paperSize="9" scale="53" orientation="portrait" r:id="rId1"/>
  <rowBreaks count="1" manualBreakCount="1">
    <brk id="63" max="16383" man="1"/>
  </rowBreaks>
  <ignoredErrors>
    <ignoredError sqref="G16" unlockedFormula="1"/>
  </ignoredError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C1000"/>
  <sheetViews>
    <sheetView view="pageBreakPreview" zoomScaleNormal="100" zoomScaleSheetLayoutView="100" workbookViewId="0">
      <selection activeCell="I21" sqref="I21:I22"/>
    </sheetView>
  </sheetViews>
  <sheetFormatPr defaultRowHeight="12.75"/>
  <cols>
    <col min="1" max="1" width="7.85546875" style="230" customWidth="1"/>
    <col min="2" max="2" width="20" style="230" customWidth="1"/>
    <col min="3" max="8" width="15.28515625" style="230" customWidth="1"/>
    <col min="9" max="9" width="22.85546875" style="230" customWidth="1"/>
    <col min="10" max="10" width="11.28515625" style="230" customWidth="1"/>
    <col min="11" max="29" width="9.140625" style="230"/>
    <col min="30" max="1025" width="14.42578125" style="230" customWidth="1"/>
    <col min="1026" max="16384" width="9.140625" style="230"/>
  </cols>
  <sheetData>
    <row r="1" spans="1:29" ht="15.75" customHeight="1">
      <c r="A1" s="836" t="s">
        <v>7064</v>
      </c>
      <c r="B1" s="836"/>
      <c r="C1" s="836"/>
      <c r="D1" s="836"/>
      <c r="E1" s="836"/>
      <c r="F1" s="836"/>
      <c r="G1" s="836"/>
      <c r="H1" s="836"/>
      <c r="I1" s="227"/>
      <c r="J1" s="228"/>
      <c r="K1" s="228"/>
      <c r="L1" s="229"/>
      <c r="M1" s="229"/>
      <c r="N1" s="229"/>
      <c r="O1" s="229"/>
      <c r="P1" s="229"/>
      <c r="Q1" s="229"/>
      <c r="R1" s="229"/>
      <c r="S1" s="229"/>
      <c r="T1" s="229"/>
      <c r="U1" s="229"/>
      <c r="V1" s="229"/>
      <c r="W1" s="229"/>
      <c r="X1" s="229"/>
      <c r="Y1" s="229"/>
      <c r="Z1" s="229"/>
      <c r="AA1" s="229"/>
      <c r="AB1" s="229"/>
      <c r="AC1" s="229"/>
    </row>
    <row r="2" spans="1:29" ht="12.75" customHeight="1">
      <c r="A2" s="231"/>
      <c r="B2" s="232"/>
      <c r="C2" s="232"/>
      <c r="D2" s="232"/>
      <c r="E2" s="232"/>
      <c r="F2" s="232"/>
      <c r="G2" s="232"/>
      <c r="H2" s="231"/>
      <c r="J2" s="228"/>
      <c r="L2" s="229"/>
      <c r="M2" s="229"/>
      <c r="N2" s="229"/>
      <c r="O2" s="229"/>
      <c r="P2" s="229"/>
      <c r="Q2" s="229"/>
      <c r="R2" s="229"/>
      <c r="S2" s="229"/>
      <c r="T2" s="229"/>
      <c r="U2" s="229"/>
      <c r="V2" s="229"/>
      <c r="W2" s="229"/>
      <c r="X2" s="229"/>
      <c r="Y2" s="229"/>
      <c r="Z2" s="229"/>
      <c r="AA2" s="229"/>
      <c r="AB2" s="229"/>
      <c r="AC2" s="229"/>
    </row>
    <row r="3" spans="1:29" ht="12.75" customHeight="1">
      <c r="A3" s="837" t="s">
        <v>7065</v>
      </c>
      <c r="B3" s="837" t="s">
        <v>7066</v>
      </c>
      <c r="C3" s="837"/>
      <c r="D3" s="837"/>
      <c r="E3" s="837" t="s">
        <v>7067</v>
      </c>
      <c r="F3" s="233" t="s">
        <v>7068</v>
      </c>
      <c r="G3" s="233" t="s">
        <v>7069</v>
      </c>
      <c r="H3" s="838" t="s">
        <v>7070</v>
      </c>
      <c r="J3" s="228"/>
      <c r="K3" s="228"/>
      <c r="L3" s="229"/>
      <c r="M3" s="229"/>
      <c r="N3" s="229"/>
      <c r="O3" s="229"/>
      <c r="P3" s="229"/>
      <c r="Q3" s="229"/>
      <c r="R3" s="229"/>
      <c r="S3" s="229"/>
      <c r="T3" s="229"/>
      <c r="U3" s="229"/>
      <c r="V3" s="229"/>
      <c r="W3" s="229"/>
      <c r="X3" s="229"/>
      <c r="Y3" s="229"/>
      <c r="Z3" s="229"/>
      <c r="AA3" s="229"/>
      <c r="AB3" s="229"/>
      <c r="AC3" s="229"/>
    </row>
    <row r="4" spans="1:29" ht="12.75" customHeight="1">
      <c r="A4" s="837"/>
      <c r="B4" s="233" t="s">
        <v>7071</v>
      </c>
      <c r="C4" s="233" t="s">
        <v>7072</v>
      </c>
      <c r="D4" s="233" t="s">
        <v>7073</v>
      </c>
      <c r="E4" s="837"/>
      <c r="F4" s="234">
        <v>0.17</v>
      </c>
      <c r="G4" s="234">
        <v>0</v>
      </c>
      <c r="H4" s="838"/>
      <c r="I4" s="235"/>
      <c r="J4" s="235"/>
      <c r="L4" s="229"/>
      <c r="M4" s="229"/>
      <c r="N4" s="229"/>
      <c r="O4" s="229"/>
      <c r="P4" s="229"/>
      <c r="Q4" s="229"/>
      <c r="R4" s="229"/>
      <c r="S4" s="229"/>
      <c r="T4" s="229"/>
      <c r="U4" s="229"/>
      <c r="V4" s="229"/>
      <c r="W4" s="229"/>
      <c r="X4" s="229"/>
      <c r="Y4" s="229"/>
      <c r="Z4" s="229"/>
      <c r="AA4" s="229"/>
      <c r="AB4" s="229"/>
      <c r="AC4" s="229"/>
    </row>
    <row r="5" spans="1:29" ht="5.25" customHeight="1">
      <c r="A5" s="236"/>
      <c r="B5" s="236"/>
      <c r="C5" s="236"/>
      <c r="D5" s="236"/>
      <c r="E5" s="236"/>
      <c r="F5" s="236"/>
      <c r="G5" s="236"/>
      <c r="H5" s="231"/>
      <c r="I5" s="229"/>
      <c r="J5" s="237"/>
      <c r="L5" s="229"/>
      <c r="M5" s="229"/>
      <c r="N5" s="229"/>
      <c r="O5" s="229"/>
      <c r="P5" s="229"/>
      <c r="Q5" s="229"/>
      <c r="R5" s="229"/>
      <c r="S5" s="229"/>
      <c r="T5" s="229"/>
      <c r="U5" s="229"/>
      <c r="V5" s="229"/>
      <c r="W5" s="229"/>
      <c r="X5" s="229"/>
      <c r="Y5" s="229"/>
      <c r="Z5" s="229"/>
      <c r="AA5" s="229"/>
      <c r="AB5" s="229"/>
      <c r="AC5" s="229"/>
    </row>
    <row r="6" spans="1:29" ht="15" customHeight="1">
      <c r="A6" s="238">
        <v>40480</v>
      </c>
      <c r="B6" s="239" t="s">
        <v>7074</v>
      </c>
      <c r="C6" s="240">
        <f>'[4]Com Desoneração'!C6</f>
        <v>4.9263145623389848</v>
      </c>
      <c r="D6" s="241" t="str">
        <f>'[4]Com Desoneração'!D6</f>
        <v>CENTRO-OESTE</v>
      </c>
      <c r="E6" s="241">
        <f t="shared" ref="E6:E18" si="0">C6*1000</f>
        <v>4926.3145623389846</v>
      </c>
      <c r="F6" s="241">
        <f t="shared" ref="F6:F18" si="1">ROUND(E6/(1-$F$4)-E6,2)</f>
        <v>1009</v>
      </c>
      <c r="G6" s="241">
        <f t="shared" ref="G6:G18" si="2">ROUND((E6+F6)*$G$4,2)</f>
        <v>0</v>
      </c>
      <c r="H6" s="242">
        <f>SUM(E6:G6)</f>
        <v>5935.3145623389846</v>
      </c>
      <c r="I6" s="243"/>
      <c r="J6" s="243"/>
      <c r="L6" s="229"/>
      <c r="M6" s="229"/>
      <c r="N6" s="229"/>
      <c r="O6" s="229"/>
      <c r="P6" s="229"/>
      <c r="Q6" s="229"/>
      <c r="R6" s="229"/>
      <c r="S6" s="229"/>
      <c r="T6" s="229"/>
      <c r="U6" s="229"/>
      <c r="V6" s="229"/>
      <c r="W6" s="229"/>
      <c r="X6" s="229"/>
      <c r="Y6" s="229"/>
      <c r="Z6" s="229"/>
      <c r="AA6" s="229"/>
      <c r="AB6" s="229"/>
      <c r="AC6" s="229"/>
    </row>
    <row r="7" spans="1:29" ht="15" customHeight="1">
      <c r="A7" s="238">
        <v>40485</v>
      </c>
      <c r="B7" s="239" t="s">
        <v>7075</v>
      </c>
      <c r="C7" s="240">
        <f>'[4]Com Desoneração'!C7</f>
        <v>2.1533056388479248</v>
      </c>
      <c r="D7" s="241" t="str">
        <f>'[4]Com Desoneração'!D7</f>
        <v>CENTRO-OESTE</v>
      </c>
      <c r="E7" s="241">
        <f t="shared" si="0"/>
        <v>2153.3056388479249</v>
      </c>
      <c r="F7" s="241">
        <f t="shared" si="1"/>
        <v>441.04</v>
      </c>
      <c r="G7" s="241">
        <f t="shared" si="2"/>
        <v>0</v>
      </c>
      <c r="H7" s="242">
        <f t="shared" ref="H7:H18" si="3">SUM(E7:G7)</f>
        <v>2594.3456388479249</v>
      </c>
      <c r="I7" s="243"/>
      <c r="J7" s="243"/>
      <c r="K7" s="229"/>
      <c r="L7" s="229"/>
      <c r="M7" s="229"/>
      <c r="N7" s="229"/>
      <c r="O7" s="229"/>
      <c r="P7" s="229"/>
      <c r="Q7" s="229"/>
      <c r="R7" s="229"/>
      <c r="S7" s="229"/>
      <c r="T7" s="229"/>
      <c r="U7" s="229"/>
      <c r="V7" s="229"/>
      <c r="W7" s="229"/>
      <c r="X7" s="229"/>
      <c r="Y7" s="229"/>
      <c r="Z7" s="229"/>
      <c r="AA7" s="229"/>
      <c r="AB7" s="229"/>
      <c r="AC7" s="229"/>
    </row>
    <row r="8" spans="1:29" ht="15" customHeight="1">
      <c r="A8" s="238">
        <v>40490</v>
      </c>
      <c r="B8" s="239" t="s">
        <v>7076</v>
      </c>
      <c r="C8" s="240">
        <f>'[4]Com Desoneração'!C8</f>
        <v>2.1828263772095058</v>
      </c>
      <c r="D8" s="241" t="str">
        <f>'[4]Com Desoneração'!D8</f>
        <v>CENTRO-OESTE</v>
      </c>
      <c r="E8" s="241">
        <f t="shared" si="0"/>
        <v>2182.8263772095056</v>
      </c>
      <c r="F8" s="241">
        <f t="shared" si="1"/>
        <v>447.08</v>
      </c>
      <c r="G8" s="241">
        <f t="shared" si="2"/>
        <v>0</v>
      </c>
      <c r="H8" s="242">
        <f t="shared" si="3"/>
        <v>2629.9063772095055</v>
      </c>
      <c r="I8" s="243"/>
      <c r="J8" s="243"/>
      <c r="L8" s="229"/>
      <c r="M8" s="229"/>
      <c r="N8" s="229"/>
      <c r="O8" s="229"/>
      <c r="P8" s="229"/>
      <c r="Q8" s="229"/>
      <c r="R8" s="229"/>
      <c r="S8" s="229"/>
      <c r="T8" s="229"/>
      <c r="U8" s="229"/>
      <c r="V8" s="229"/>
      <c r="W8" s="229"/>
      <c r="X8" s="229"/>
      <c r="Y8" s="229"/>
      <c r="Z8" s="229"/>
      <c r="AA8" s="229"/>
      <c r="AB8" s="229"/>
      <c r="AC8" s="229"/>
    </row>
    <row r="9" spans="1:29" ht="15" customHeight="1">
      <c r="A9" s="238">
        <v>40495</v>
      </c>
      <c r="B9" s="239" t="s">
        <v>7077</v>
      </c>
      <c r="C9" s="240">
        <f>'[4]Com Desoneração'!C9</f>
        <v>2.3166645016226242</v>
      </c>
      <c r="D9" s="241" t="str">
        <f>'[4]Com Desoneração'!D9</f>
        <v>CENTRO-OESTE</v>
      </c>
      <c r="E9" s="241">
        <f t="shared" si="0"/>
        <v>2316.6645016226244</v>
      </c>
      <c r="F9" s="241">
        <f t="shared" si="1"/>
        <v>474.5</v>
      </c>
      <c r="G9" s="241">
        <f t="shared" si="2"/>
        <v>0</v>
      </c>
      <c r="H9" s="242">
        <f t="shared" si="3"/>
        <v>2791.1645016226244</v>
      </c>
      <c r="I9" s="243"/>
      <c r="J9" s="243"/>
      <c r="L9" s="229"/>
      <c r="M9" s="229"/>
      <c r="N9" s="229"/>
      <c r="O9" s="229"/>
      <c r="P9" s="229"/>
      <c r="Q9" s="229"/>
      <c r="R9" s="229"/>
      <c r="S9" s="229"/>
      <c r="T9" s="229"/>
      <c r="U9" s="229"/>
      <c r="V9" s="229"/>
      <c r="W9" s="229"/>
      <c r="X9" s="229"/>
      <c r="Y9" s="229"/>
      <c r="Z9" s="229"/>
      <c r="AA9" s="229"/>
      <c r="AB9" s="229"/>
      <c r="AC9" s="229"/>
    </row>
    <row r="10" spans="1:29" ht="15" customHeight="1">
      <c r="A10" s="238">
        <v>40500</v>
      </c>
      <c r="B10" s="239" t="s">
        <v>7078</v>
      </c>
      <c r="C10" s="240">
        <f>'[4]Com Desoneração'!C10</f>
        <v>1.9910841945162538</v>
      </c>
      <c r="D10" s="241" t="str">
        <f>'[4]Com Desoneração'!D10</f>
        <v>GOIÁS</v>
      </c>
      <c r="E10" s="241">
        <f t="shared" si="0"/>
        <v>1991.0841945162538</v>
      </c>
      <c r="F10" s="241">
        <f t="shared" si="1"/>
        <v>407.81</v>
      </c>
      <c r="G10" s="241">
        <f t="shared" si="2"/>
        <v>0</v>
      </c>
      <c r="H10" s="242">
        <f t="shared" si="3"/>
        <v>2398.8941945162537</v>
      </c>
      <c r="I10" s="243"/>
      <c r="J10" s="243"/>
      <c r="L10" s="229"/>
      <c r="M10" s="229"/>
      <c r="N10" s="229"/>
      <c r="O10" s="229"/>
      <c r="P10" s="229"/>
      <c r="Q10" s="229"/>
      <c r="R10" s="229"/>
      <c r="S10" s="229"/>
      <c r="T10" s="229"/>
      <c r="U10" s="229"/>
      <c r="V10" s="229"/>
      <c r="W10" s="229"/>
      <c r="X10" s="229"/>
      <c r="Y10" s="229"/>
      <c r="Z10" s="229"/>
      <c r="AA10" s="229"/>
      <c r="AB10" s="229"/>
      <c r="AC10" s="229"/>
    </row>
    <row r="11" spans="1:29" ht="15" customHeight="1">
      <c r="A11" s="238">
        <v>40501</v>
      </c>
      <c r="B11" s="239" t="s">
        <v>7079</v>
      </c>
      <c r="C11" s="240">
        <f>'[4]Com Desoneração'!C11</f>
        <v>2.3237017172289955</v>
      </c>
      <c r="D11" s="241" t="str">
        <f>'[4]Com Desoneração'!D11</f>
        <v>CENTRO-OESTE</v>
      </c>
      <c r="E11" s="241">
        <f t="shared" si="0"/>
        <v>2323.7017172289957</v>
      </c>
      <c r="F11" s="241">
        <f t="shared" si="1"/>
        <v>475.94</v>
      </c>
      <c r="G11" s="241">
        <f t="shared" si="2"/>
        <v>0</v>
      </c>
      <c r="H11" s="242">
        <f t="shared" si="3"/>
        <v>2799.6417172289957</v>
      </c>
      <c r="I11" s="243"/>
      <c r="J11" s="243"/>
      <c r="L11" s="229"/>
      <c r="M11" s="229"/>
      <c r="N11" s="229"/>
      <c r="O11" s="229"/>
      <c r="P11" s="229"/>
      <c r="Q11" s="229"/>
      <c r="R11" s="229"/>
      <c r="S11" s="229"/>
      <c r="T11" s="229"/>
      <c r="U11" s="229"/>
      <c r="V11" s="229"/>
      <c r="W11" s="229"/>
      <c r="X11" s="229"/>
      <c r="Y11" s="229"/>
      <c r="Z11" s="229"/>
      <c r="AA11" s="229"/>
      <c r="AB11" s="229"/>
      <c r="AC11" s="229"/>
    </row>
    <row r="12" spans="1:29" ht="15" customHeight="1">
      <c r="A12" s="238">
        <v>40505</v>
      </c>
      <c r="B12" s="239" t="s">
        <v>7080</v>
      </c>
      <c r="C12" s="240">
        <f>'[4]Com Desoneração'!C12</f>
        <v>2.1610643416420219</v>
      </c>
      <c r="D12" s="241" t="str">
        <f>'[4]Com Desoneração'!D12</f>
        <v>CENTRO-OESTE</v>
      </c>
      <c r="E12" s="241">
        <f t="shared" si="0"/>
        <v>2161.0643416420221</v>
      </c>
      <c r="F12" s="241">
        <f t="shared" si="1"/>
        <v>442.63</v>
      </c>
      <c r="G12" s="241">
        <f t="shared" si="2"/>
        <v>0</v>
      </c>
      <c r="H12" s="242">
        <f t="shared" si="3"/>
        <v>2603.6943416420222</v>
      </c>
      <c r="I12" s="243"/>
      <c r="J12" s="243"/>
      <c r="L12" s="229"/>
      <c r="M12" s="229"/>
      <c r="N12" s="229"/>
      <c r="O12" s="229"/>
      <c r="P12" s="229"/>
      <c r="Q12" s="229"/>
      <c r="R12" s="229"/>
      <c r="S12" s="229"/>
      <c r="T12" s="229"/>
      <c r="U12" s="229"/>
      <c r="V12" s="229"/>
      <c r="W12" s="229"/>
      <c r="X12" s="229"/>
      <c r="Y12" s="229"/>
      <c r="Z12" s="229"/>
      <c r="AA12" s="229"/>
      <c r="AB12" s="229"/>
      <c r="AC12" s="229"/>
    </row>
    <row r="13" spans="1:29" ht="15" customHeight="1">
      <c r="A13" s="238">
        <v>40510</v>
      </c>
      <c r="B13" s="239" t="s">
        <v>7081</v>
      </c>
      <c r="C13" s="240">
        <f>'[4]Com Desoneração'!C13</f>
        <v>2.0668101791788853</v>
      </c>
      <c r="D13" s="241" t="str">
        <f>'[4]Com Desoneração'!D13</f>
        <v>CENTRO-OESTE</v>
      </c>
      <c r="E13" s="241">
        <f t="shared" si="0"/>
        <v>2066.8101791788854</v>
      </c>
      <c r="F13" s="241">
        <f t="shared" si="1"/>
        <v>423.32</v>
      </c>
      <c r="G13" s="241">
        <f t="shared" si="2"/>
        <v>0</v>
      </c>
      <c r="H13" s="242">
        <f t="shared" si="3"/>
        <v>2490.1301791788856</v>
      </c>
      <c r="I13" s="243"/>
      <c r="J13" s="243"/>
      <c r="L13" s="229"/>
      <c r="M13" s="229"/>
      <c r="N13" s="229"/>
      <c r="O13" s="229"/>
      <c r="P13" s="229"/>
      <c r="Q13" s="229"/>
      <c r="R13" s="229"/>
      <c r="S13" s="229"/>
      <c r="T13" s="229"/>
      <c r="U13" s="229"/>
      <c r="V13" s="229"/>
      <c r="W13" s="229"/>
      <c r="X13" s="229"/>
      <c r="Y13" s="229"/>
      <c r="Z13" s="229"/>
      <c r="AA13" s="229"/>
      <c r="AB13" s="229"/>
      <c r="AC13" s="229"/>
    </row>
    <row r="14" spans="1:29" ht="15" customHeight="1">
      <c r="A14" s="238">
        <v>40511</v>
      </c>
      <c r="B14" s="239" t="s">
        <v>7082</v>
      </c>
      <c r="C14" s="240">
        <f>'[4]Com Desoneração'!C14</f>
        <v>2.9692093517890772</v>
      </c>
      <c r="D14" s="241" t="str">
        <f>'[4]Com Desoneração'!D14</f>
        <v>CENTRO-OESTE</v>
      </c>
      <c r="E14" s="241">
        <f t="shared" si="0"/>
        <v>2969.2093517890771</v>
      </c>
      <c r="F14" s="241">
        <f t="shared" si="1"/>
        <v>608.15</v>
      </c>
      <c r="G14" s="241">
        <f t="shared" si="2"/>
        <v>0</v>
      </c>
      <c r="H14" s="242">
        <f t="shared" si="3"/>
        <v>3577.3593517890772</v>
      </c>
      <c r="I14" s="243"/>
      <c r="J14" s="243"/>
      <c r="L14" s="229"/>
      <c r="M14" s="229"/>
      <c r="N14" s="229"/>
      <c r="O14" s="229"/>
      <c r="P14" s="229"/>
      <c r="Q14" s="229"/>
      <c r="R14" s="229"/>
      <c r="S14" s="229"/>
      <c r="T14" s="229"/>
      <c r="U14" s="229"/>
      <c r="V14" s="229"/>
      <c r="W14" s="229"/>
      <c r="X14" s="229"/>
      <c r="Y14" s="229"/>
      <c r="Z14" s="229"/>
      <c r="AA14" s="229"/>
      <c r="AB14" s="229"/>
      <c r="AC14" s="229"/>
    </row>
    <row r="15" spans="1:29" ht="15" customHeight="1">
      <c r="A15" s="238">
        <v>40515</v>
      </c>
      <c r="B15" s="239" t="s">
        <v>7083</v>
      </c>
      <c r="C15" s="240">
        <f>'[4]Com Desoneração'!C15</f>
        <v>3.2735467324069929</v>
      </c>
      <c r="D15" s="241" t="str">
        <f>'[4]Com Desoneração'!D15</f>
        <v>CENTRO-OESTE</v>
      </c>
      <c r="E15" s="241">
        <f t="shared" si="0"/>
        <v>3273.5467324069928</v>
      </c>
      <c r="F15" s="241">
        <f t="shared" si="1"/>
        <v>670.49</v>
      </c>
      <c r="G15" s="241">
        <f t="shared" si="2"/>
        <v>0</v>
      </c>
      <c r="H15" s="242">
        <f t="shared" si="3"/>
        <v>3944.036732406993</v>
      </c>
      <c r="I15" s="243"/>
      <c r="J15" s="243"/>
      <c r="L15" s="229"/>
      <c r="M15" s="229"/>
      <c r="N15" s="229"/>
      <c r="O15" s="229"/>
      <c r="P15" s="229"/>
      <c r="Q15" s="229"/>
      <c r="R15" s="229"/>
      <c r="S15" s="229"/>
      <c r="T15" s="229"/>
      <c r="U15" s="229"/>
      <c r="V15" s="229"/>
      <c r="W15" s="229"/>
      <c r="X15" s="229"/>
      <c r="Y15" s="229"/>
      <c r="Z15" s="229"/>
      <c r="AA15" s="229"/>
      <c r="AB15" s="229"/>
      <c r="AC15" s="229"/>
    </row>
    <row r="16" spans="1:29" ht="15" customHeight="1">
      <c r="A16" s="238">
        <v>40520</v>
      </c>
      <c r="B16" s="239" t="s">
        <v>7084</v>
      </c>
      <c r="C16" s="240">
        <f>'[4]Com Desoneração'!C16</f>
        <v>3.1176021991135809</v>
      </c>
      <c r="D16" s="241" t="str">
        <f>'[4]Com Desoneração'!D16</f>
        <v>GOIÁS</v>
      </c>
      <c r="E16" s="241">
        <f t="shared" si="0"/>
        <v>3117.6021991135808</v>
      </c>
      <c r="F16" s="241">
        <f t="shared" si="1"/>
        <v>638.54999999999995</v>
      </c>
      <c r="G16" s="241">
        <f t="shared" si="2"/>
        <v>0</v>
      </c>
      <c r="H16" s="242">
        <f t="shared" si="3"/>
        <v>3756.1521991135805</v>
      </c>
      <c r="I16" s="243"/>
      <c r="J16" s="243"/>
      <c r="L16" s="229"/>
      <c r="M16" s="229"/>
      <c r="N16" s="229"/>
      <c r="O16" s="229"/>
      <c r="P16" s="229"/>
      <c r="Q16" s="229"/>
      <c r="R16" s="229"/>
      <c r="S16" s="229"/>
      <c r="T16" s="229"/>
      <c r="U16" s="229"/>
      <c r="V16" s="229"/>
      <c r="W16" s="229"/>
      <c r="X16" s="229"/>
      <c r="Y16" s="229"/>
      <c r="Z16" s="229"/>
      <c r="AA16" s="229"/>
      <c r="AB16" s="229"/>
      <c r="AC16" s="229"/>
    </row>
    <row r="17" spans="1:29" ht="15" customHeight="1">
      <c r="A17" s="238">
        <v>40525</v>
      </c>
      <c r="B17" s="239" t="s">
        <v>7085</v>
      </c>
      <c r="C17" s="240">
        <f>'[4]Com Desoneração'!C17</f>
        <v>2.8517136927488034</v>
      </c>
      <c r="D17" s="241" t="str">
        <f>'[4]Com Desoneração'!D17</f>
        <v>GOIÁS</v>
      </c>
      <c r="E17" s="241">
        <f t="shared" si="0"/>
        <v>2851.7136927488032</v>
      </c>
      <c r="F17" s="241">
        <f t="shared" si="1"/>
        <v>584.09</v>
      </c>
      <c r="G17" s="241">
        <f t="shared" si="2"/>
        <v>0</v>
      </c>
      <c r="H17" s="242">
        <f t="shared" si="3"/>
        <v>3435.8036927488033</v>
      </c>
      <c r="I17" s="243"/>
      <c r="J17" s="243"/>
      <c r="L17" s="229"/>
      <c r="M17" s="229"/>
      <c r="N17" s="229"/>
      <c r="O17" s="229"/>
      <c r="P17" s="229"/>
      <c r="Q17" s="229"/>
      <c r="R17" s="229"/>
      <c r="S17" s="229"/>
      <c r="T17" s="229"/>
      <c r="U17" s="229"/>
      <c r="V17" s="229"/>
      <c r="W17" s="229"/>
      <c r="X17" s="229"/>
      <c r="Y17" s="229"/>
      <c r="Z17" s="229"/>
      <c r="AA17" s="229"/>
      <c r="AB17" s="229"/>
      <c r="AC17" s="229"/>
    </row>
    <row r="18" spans="1:29" ht="15" customHeight="1">
      <c r="A18" s="238">
        <v>40526</v>
      </c>
      <c r="B18" s="239" t="s">
        <v>7086</v>
      </c>
      <c r="C18" s="240">
        <f>'[4]Com Desoneração'!C18</f>
        <v>3.2444312354152673</v>
      </c>
      <c r="D18" s="241" t="str">
        <f>'[4]Com Desoneração'!D18</f>
        <v>BRASIL</v>
      </c>
      <c r="E18" s="241">
        <f t="shared" si="0"/>
        <v>3244.4312354152676</v>
      </c>
      <c r="F18" s="241">
        <f t="shared" si="1"/>
        <v>664.52</v>
      </c>
      <c r="G18" s="241">
        <f t="shared" si="2"/>
        <v>0</v>
      </c>
      <c r="H18" s="242">
        <f t="shared" si="3"/>
        <v>3908.9512354152675</v>
      </c>
      <c r="I18" s="243"/>
      <c r="J18" s="243"/>
      <c r="K18" s="229"/>
      <c r="L18" s="229"/>
      <c r="M18" s="229"/>
      <c r="N18" s="229"/>
      <c r="O18" s="229"/>
      <c r="P18" s="229"/>
      <c r="Q18" s="229"/>
      <c r="R18" s="229"/>
      <c r="S18" s="229"/>
      <c r="T18" s="229"/>
      <c r="U18" s="229"/>
      <c r="V18" s="229"/>
      <c r="W18" s="229"/>
      <c r="X18" s="229"/>
      <c r="Y18" s="229"/>
      <c r="Z18" s="229"/>
      <c r="AA18" s="229"/>
      <c r="AB18" s="229"/>
      <c r="AC18" s="229"/>
    </row>
    <row r="19" spans="1:29" ht="12.75" customHeight="1">
      <c r="A19" s="231"/>
      <c r="H19" s="232"/>
      <c r="I19" s="228"/>
      <c r="J19" s="228"/>
      <c r="K19" s="228"/>
      <c r="L19" s="229"/>
      <c r="M19" s="229"/>
      <c r="N19" s="229"/>
      <c r="O19" s="229"/>
      <c r="P19" s="229"/>
      <c r="Q19" s="229"/>
      <c r="R19" s="229"/>
      <c r="S19" s="229"/>
      <c r="T19" s="229"/>
      <c r="U19" s="229"/>
      <c r="V19" s="229"/>
      <c r="W19" s="229"/>
      <c r="X19" s="229"/>
      <c r="Y19" s="229"/>
      <c r="Z19" s="229"/>
      <c r="AA19" s="229"/>
      <c r="AB19" s="229"/>
      <c r="AC19" s="229"/>
    </row>
    <row r="20" spans="1:29" ht="12.75" customHeight="1">
      <c r="B20" s="233" t="s">
        <v>7087</v>
      </c>
      <c r="D20" s="839" t="s">
        <v>7088</v>
      </c>
      <c r="E20" s="839"/>
      <c r="F20" s="231"/>
      <c r="G20" s="837" t="s">
        <v>7089</v>
      </c>
      <c r="H20" s="837"/>
      <c r="K20" s="228"/>
      <c r="L20" s="229"/>
      <c r="M20" s="229"/>
      <c r="N20" s="229"/>
      <c r="O20" s="229"/>
      <c r="P20" s="229"/>
      <c r="Q20" s="229"/>
      <c r="R20" s="229"/>
      <c r="S20" s="229"/>
      <c r="T20" s="229"/>
      <c r="U20" s="229"/>
      <c r="V20" s="229"/>
      <c r="W20" s="229"/>
      <c r="X20" s="229"/>
      <c r="Y20" s="229"/>
      <c r="Z20" s="229"/>
      <c r="AA20" s="229"/>
      <c r="AB20" s="229"/>
      <c r="AC20" s="229"/>
    </row>
    <row r="21" spans="1:29" ht="33.75">
      <c r="B21" s="834" t="str">
        <f>'[4]Com Desoneração'!B21</f>
        <v>Março de 2021</v>
      </c>
      <c r="D21" s="241" t="s">
        <v>7090</v>
      </c>
      <c r="E21" s="244">
        <v>270.23700000000002</v>
      </c>
      <c r="F21" s="231"/>
      <c r="G21" s="241" t="s">
        <v>7091</v>
      </c>
      <c r="H21" s="241">
        <v>257.39</v>
      </c>
      <c r="I21" s="245" t="str">
        <f>'[4]Com Desoneração'!I21</f>
        <v>Distancia de Transporte (DT) em relação a Distribuidora mais próxima à obra</v>
      </c>
      <c r="K21" s="228"/>
      <c r="L21" s="229"/>
      <c r="M21" s="229"/>
      <c r="N21" s="229"/>
      <c r="O21" s="229"/>
      <c r="P21" s="229"/>
      <c r="Q21" s="229"/>
      <c r="R21" s="229"/>
      <c r="S21" s="229"/>
      <c r="T21" s="229"/>
      <c r="U21" s="229"/>
      <c r="V21" s="229"/>
      <c r="W21" s="229"/>
      <c r="X21" s="229"/>
      <c r="Y21" s="229"/>
      <c r="Z21" s="229"/>
      <c r="AA21" s="229"/>
      <c r="AB21" s="229"/>
      <c r="AC21" s="229"/>
    </row>
    <row r="22" spans="1:29" ht="45">
      <c r="B22" s="834"/>
      <c r="D22" s="241" t="str">
        <f>'[4]Com Desoneração'!D22</f>
        <v>Ipav1 (Mar 21) :</v>
      </c>
      <c r="E22" s="246">
        <f>'[4]Com Desoneração'!E22</f>
        <v>394.16500000000002</v>
      </c>
      <c r="F22" s="231"/>
      <c r="G22" s="238" t="s">
        <v>7092</v>
      </c>
      <c r="H22" s="247">
        <f>(26.939+0.253*H21)/(1-F4)*(1+G4)*(E22/E21)</f>
        <v>161.77814494269666</v>
      </c>
      <c r="I22" s="248" t="str">
        <f>'[4]Com Desoneração'!I22</f>
        <v>Conforme Portaria n°1.977/17 – DNIT : CT = (26,939 + 0,253*DT) / (1 – ICMS) * (1 + BDI) * (Ipav1 / Ipav0)</v>
      </c>
      <c r="K22" s="228"/>
      <c r="L22" s="229"/>
      <c r="M22" s="229"/>
      <c r="N22" s="229"/>
      <c r="O22" s="229"/>
      <c r="P22" s="229"/>
      <c r="Q22" s="229"/>
      <c r="R22" s="229"/>
      <c r="S22" s="229"/>
      <c r="T22" s="229"/>
      <c r="U22" s="229"/>
      <c r="V22" s="229"/>
      <c r="W22" s="229"/>
      <c r="X22" s="229"/>
      <c r="Y22" s="229"/>
      <c r="Z22" s="229"/>
      <c r="AA22" s="229"/>
      <c r="AB22" s="229"/>
      <c r="AC22" s="229"/>
    </row>
    <row r="23" spans="1:29" ht="12.75" customHeight="1">
      <c r="A23" s="231"/>
      <c r="B23" s="232"/>
      <c r="C23" s="232"/>
      <c r="D23" s="232"/>
      <c r="E23" s="232"/>
      <c r="F23" s="232"/>
      <c r="G23" s="232"/>
      <c r="H23" s="232"/>
      <c r="I23" s="228"/>
      <c r="J23" s="228"/>
      <c r="K23" s="228"/>
      <c r="L23" s="229"/>
      <c r="M23" s="229"/>
      <c r="N23" s="229"/>
      <c r="O23" s="229"/>
      <c r="P23" s="229"/>
      <c r="Q23" s="229"/>
      <c r="R23" s="229"/>
      <c r="S23" s="229"/>
      <c r="T23" s="229"/>
      <c r="U23" s="229"/>
      <c r="V23" s="229"/>
      <c r="W23" s="229"/>
      <c r="X23" s="229"/>
      <c r="Y23" s="229"/>
      <c r="Z23" s="229"/>
      <c r="AA23" s="229"/>
      <c r="AB23" s="229"/>
      <c r="AC23" s="229"/>
    </row>
    <row r="24" spans="1:29" ht="12.75" customHeight="1">
      <c r="A24" s="835" t="str">
        <f>'[4]Com Desoneração'!A24</f>
        <v>Goiânia, 03 de maio de 2021</v>
      </c>
      <c r="B24" s="835"/>
      <c r="C24" s="835"/>
      <c r="D24" s="835"/>
      <c r="E24" s="835"/>
      <c r="F24" s="835"/>
      <c r="G24" s="835"/>
      <c r="H24" s="835"/>
      <c r="I24" s="228"/>
      <c r="J24" s="228"/>
      <c r="K24" s="228"/>
      <c r="L24" s="229"/>
      <c r="M24" s="229"/>
      <c r="N24" s="229"/>
      <c r="O24" s="229"/>
      <c r="P24" s="229"/>
      <c r="Q24" s="229"/>
      <c r="R24" s="229"/>
      <c r="S24" s="229"/>
      <c r="T24" s="229"/>
      <c r="U24" s="229"/>
      <c r="V24" s="229"/>
      <c r="W24" s="229"/>
      <c r="X24" s="229"/>
      <c r="Y24" s="229"/>
      <c r="Z24" s="229"/>
      <c r="AA24" s="229"/>
      <c r="AB24" s="229"/>
      <c r="AC24" s="229"/>
    </row>
    <row r="25" spans="1:29" ht="12.75" customHeight="1">
      <c r="A25" s="229"/>
      <c r="B25" s="228"/>
      <c r="C25" s="228"/>
      <c r="D25" s="228"/>
      <c r="E25" s="228"/>
      <c r="F25" s="228"/>
      <c r="G25" s="228"/>
      <c r="H25" s="228"/>
      <c r="I25" s="228"/>
      <c r="J25" s="228"/>
      <c r="K25" s="228"/>
      <c r="L25" s="229"/>
      <c r="M25" s="229"/>
      <c r="N25" s="229"/>
      <c r="O25" s="229"/>
      <c r="P25" s="229"/>
      <c r="Q25" s="229"/>
      <c r="R25" s="229"/>
      <c r="S25" s="229"/>
      <c r="T25" s="229"/>
      <c r="U25" s="229"/>
      <c r="V25" s="229"/>
      <c r="W25" s="229"/>
      <c r="X25" s="229"/>
      <c r="Y25" s="229"/>
      <c r="Z25" s="229"/>
      <c r="AA25" s="229"/>
      <c r="AB25" s="229"/>
      <c r="AC25" s="229"/>
    </row>
    <row r="26" spans="1:29" ht="12.75" customHeight="1">
      <c r="A26" s="229"/>
      <c r="B26" s="228"/>
      <c r="C26" s="228"/>
      <c r="D26" s="228"/>
      <c r="E26" s="228"/>
      <c r="F26" s="228"/>
      <c r="G26" s="228"/>
      <c r="H26" s="228"/>
      <c r="I26" s="228"/>
      <c r="J26" s="228"/>
      <c r="K26" s="228"/>
      <c r="L26" s="229"/>
      <c r="M26" s="229"/>
      <c r="N26" s="229"/>
      <c r="O26" s="229"/>
      <c r="P26" s="229"/>
      <c r="Q26" s="229"/>
      <c r="R26" s="229"/>
      <c r="S26" s="229"/>
      <c r="T26" s="229"/>
      <c r="U26" s="229"/>
      <c r="V26" s="229"/>
      <c r="W26" s="229"/>
      <c r="X26" s="229"/>
      <c r="Y26" s="229"/>
      <c r="Z26" s="229"/>
      <c r="AA26" s="229"/>
      <c r="AB26" s="229"/>
      <c r="AC26" s="229"/>
    </row>
    <row r="27" spans="1:29" ht="12.75" customHeight="1">
      <c r="A27" s="229"/>
      <c r="B27" s="228"/>
      <c r="C27" s="228"/>
      <c r="D27" s="228"/>
      <c r="E27" s="228"/>
      <c r="F27" s="228"/>
      <c r="G27" s="228"/>
      <c r="H27" s="228"/>
      <c r="I27" s="228"/>
      <c r="J27" s="228"/>
      <c r="K27" s="228"/>
      <c r="L27" s="229"/>
      <c r="M27" s="229"/>
      <c r="N27" s="229"/>
      <c r="O27" s="229"/>
      <c r="P27" s="229"/>
      <c r="Q27" s="229"/>
      <c r="R27" s="229"/>
      <c r="S27" s="229"/>
      <c r="T27" s="229"/>
      <c r="U27" s="229"/>
      <c r="V27" s="229"/>
      <c r="W27" s="229"/>
      <c r="X27" s="229"/>
      <c r="Y27" s="229"/>
      <c r="Z27" s="229"/>
      <c r="AA27" s="229"/>
      <c r="AB27" s="229"/>
      <c r="AC27" s="229"/>
    </row>
    <row r="28" spans="1:29" ht="12.75" customHeight="1">
      <c r="A28" s="229"/>
      <c r="B28" s="228"/>
      <c r="C28" s="228"/>
      <c r="D28" s="228"/>
      <c r="E28" s="228"/>
      <c r="F28" s="228"/>
      <c r="G28" s="228"/>
      <c r="H28" s="228"/>
      <c r="I28" s="228"/>
      <c r="J28" s="228"/>
      <c r="K28" s="228"/>
      <c r="L28" s="229"/>
      <c r="M28" s="229"/>
      <c r="N28" s="229"/>
      <c r="O28" s="229"/>
      <c r="P28" s="229"/>
      <c r="Q28" s="229"/>
      <c r="R28" s="229"/>
      <c r="S28" s="229"/>
      <c r="T28" s="229"/>
      <c r="U28" s="229"/>
      <c r="V28" s="229"/>
      <c r="W28" s="229"/>
      <c r="X28" s="229"/>
      <c r="Y28" s="229"/>
      <c r="Z28" s="229"/>
      <c r="AA28" s="229"/>
      <c r="AB28" s="229"/>
      <c r="AC28" s="229"/>
    </row>
    <row r="29" spans="1:29" ht="12.75" customHeight="1">
      <c r="A29" s="229"/>
      <c r="B29" s="228"/>
      <c r="C29" s="228"/>
      <c r="D29" s="228"/>
      <c r="E29" s="228"/>
      <c r="F29" s="228"/>
      <c r="G29" s="228"/>
      <c r="H29" s="228"/>
      <c r="I29" s="228"/>
      <c r="J29" s="228"/>
      <c r="K29" s="228"/>
      <c r="L29" s="229"/>
      <c r="M29" s="229"/>
      <c r="N29" s="229"/>
      <c r="O29" s="229"/>
      <c r="P29" s="229"/>
      <c r="Q29" s="229"/>
      <c r="R29" s="229"/>
      <c r="S29" s="229"/>
      <c r="T29" s="229"/>
      <c r="U29" s="229"/>
      <c r="V29" s="229"/>
      <c r="W29" s="229"/>
      <c r="X29" s="229"/>
      <c r="Y29" s="229"/>
      <c r="Z29" s="229"/>
      <c r="AA29" s="229"/>
      <c r="AB29" s="229"/>
      <c r="AC29" s="229"/>
    </row>
    <row r="30" spans="1:29" ht="12.75" customHeight="1">
      <c r="A30" s="229"/>
      <c r="B30" s="228"/>
      <c r="C30" s="228"/>
      <c r="D30" s="228"/>
      <c r="E30" s="228"/>
      <c r="F30" s="228"/>
      <c r="G30" s="228"/>
      <c r="H30" s="228"/>
      <c r="I30" s="228"/>
      <c r="J30" s="228"/>
      <c r="K30" s="228"/>
      <c r="L30" s="229"/>
      <c r="M30" s="229"/>
      <c r="N30" s="229"/>
      <c r="O30" s="229"/>
      <c r="P30" s="229"/>
      <c r="Q30" s="229"/>
      <c r="R30" s="229"/>
      <c r="S30" s="229"/>
      <c r="T30" s="229"/>
      <c r="U30" s="229"/>
      <c r="V30" s="229"/>
      <c r="W30" s="229"/>
      <c r="X30" s="229"/>
      <c r="Y30" s="229"/>
      <c r="Z30" s="229"/>
      <c r="AA30" s="229"/>
      <c r="AB30" s="229"/>
      <c r="AC30" s="229"/>
    </row>
    <row r="31" spans="1:29" ht="12.75" customHeight="1">
      <c r="A31" s="229"/>
      <c r="B31" s="228"/>
      <c r="C31" s="228"/>
      <c r="D31" s="228"/>
      <c r="E31" s="228"/>
      <c r="F31" s="228"/>
      <c r="G31" s="228"/>
      <c r="H31" s="228"/>
      <c r="I31" s="228"/>
      <c r="J31" s="228"/>
      <c r="K31" s="228"/>
      <c r="L31" s="229"/>
      <c r="M31" s="229"/>
      <c r="N31" s="229"/>
      <c r="O31" s="229"/>
      <c r="P31" s="229"/>
      <c r="Q31" s="229"/>
      <c r="R31" s="229"/>
      <c r="S31" s="229"/>
      <c r="T31" s="229"/>
      <c r="U31" s="229"/>
      <c r="V31" s="229"/>
      <c r="W31" s="229"/>
      <c r="X31" s="229"/>
      <c r="Y31" s="229"/>
      <c r="Z31" s="229"/>
      <c r="AA31" s="229"/>
      <c r="AB31" s="229"/>
      <c r="AC31" s="229"/>
    </row>
    <row r="32" spans="1:29" ht="12.75" customHeight="1">
      <c r="A32" s="229"/>
      <c r="B32" s="228"/>
      <c r="C32" s="228"/>
      <c r="D32" s="228"/>
      <c r="E32" s="228"/>
      <c r="F32" s="228"/>
      <c r="G32" s="228"/>
      <c r="H32" s="228"/>
      <c r="I32" s="228"/>
      <c r="J32" s="228"/>
      <c r="K32" s="228"/>
      <c r="L32" s="229"/>
      <c r="M32" s="229"/>
      <c r="N32" s="229"/>
      <c r="O32" s="229"/>
      <c r="P32" s="229"/>
      <c r="Q32" s="229"/>
      <c r="R32" s="229"/>
      <c r="S32" s="229"/>
      <c r="T32" s="229"/>
      <c r="U32" s="229"/>
      <c r="V32" s="229"/>
      <c r="W32" s="229"/>
      <c r="X32" s="229"/>
      <c r="Y32" s="229"/>
      <c r="Z32" s="229"/>
      <c r="AA32" s="229"/>
      <c r="AB32" s="229"/>
      <c r="AC32" s="229"/>
    </row>
    <row r="33" spans="1:29" ht="12.75" customHeight="1">
      <c r="A33" s="229"/>
      <c r="B33" s="228"/>
      <c r="C33" s="228"/>
      <c r="D33" s="228"/>
      <c r="E33" s="228"/>
      <c r="F33" s="228"/>
      <c r="G33" s="228"/>
      <c r="H33" s="228"/>
      <c r="I33" s="228"/>
      <c r="J33" s="228"/>
      <c r="K33" s="228"/>
      <c r="L33" s="229"/>
      <c r="M33" s="229"/>
      <c r="N33" s="229"/>
      <c r="O33" s="229"/>
      <c r="P33" s="229"/>
      <c r="Q33" s="229"/>
      <c r="R33" s="229"/>
      <c r="S33" s="229"/>
      <c r="T33" s="229"/>
      <c r="U33" s="229"/>
      <c r="V33" s="229"/>
      <c r="W33" s="229"/>
      <c r="X33" s="229"/>
      <c r="Y33" s="229"/>
      <c r="Z33" s="229"/>
      <c r="AA33" s="229"/>
      <c r="AB33" s="229"/>
      <c r="AC33" s="229"/>
    </row>
    <row r="34" spans="1:29" ht="12.75" customHeight="1">
      <c r="A34" s="229"/>
      <c r="B34" s="228"/>
      <c r="C34" s="228"/>
      <c r="D34" s="228"/>
      <c r="E34" s="228"/>
      <c r="F34" s="228"/>
      <c r="G34" s="228"/>
      <c r="H34" s="228"/>
      <c r="I34" s="228"/>
      <c r="J34" s="228"/>
      <c r="K34" s="228"/>
      <c r="L34" s="229"/>
      <c r="M34" s="229"/>
      <c r="N34" s="229"/>
      <c r="O34" s="229"/>
      <c r="P34" s="229"/>
      <c r="Q34" s="229"/>
      <c r="R34" s="229"/>
      <c r="S34" s="229"/>
      <c r="T34" s="229"/>
      <c r="U34" s="229"/>
      <c r="V34" s="229"/>
      <c r="W34" s="229"/>
      <c r="X34" s="229"/>
      <c r="Y34" s="229"/>
      <c r="Z34" s="229"/>
      <c r="AA34" s="229"/>
      <c r="AB34" s="229"/>
      <c r="AC34" s="229"/>
    </row>
    <row r="35" spans="1:29" ht="12.75" customHeight="1">
      <c r="A35" s="229"/>
      <c r="B35" s="228"/>
      <c r="C35" s="228"/>
      <c r="D35" s="228"/>
      <c r="E35" s="228"/>
      <c r="F35" s="228"/>
      <c r="G35" s="228"/>
      <c r="H35" s="228"/>
      <c r="I35" s="228"/>
      <c r="J35" s="228"/>
      <c r="K35" s="228"/>
      <c r="L35" s="229"/>
      <c r="M35" s="229"/>
      <c r="N35" s="229"/>
      <c r="O35" s="229"/>
      <c r="P35" s="229"/>
      <c r="Q35" s="229"/>
      <c r="R35" s="229"/>
      <c r="S35" s="229"/>
      <c r="T35" s="229"/>
      <c r="U35" s="229"/>
      <c r="V35" s="229"/>
      <c r="W35" s="229"/>
      <c r="X35" s="229"/>
      <c r="Y35" s="229"/>
      <c r="Z35" s="229"/>
      <c r="AA35" s="229"/>
      <c r="AB35" s="229"/>
      <c r="AC35" s="229"/>
    </row>
    <row r="36" spans="1:29" ht="12.75" customHeight="1">
      <c r="A36" s="229"/>
      <c r="B36" s="228"/>
      <c r="C36" s="228"/>
      <c r="D36" s="228"/>
      <c r="E36" s="228"/>
      <c r="F36" s="228"/>
      <c r="G36" s="228"/>
      <c r="H36" s="228"/>
      <c r="I36" s="228"/>
      <c r="J36" s="228"/>
      <c r="K36" s="228"/>
      <c r="L36" s="229"/>
      <c r="M36" s="229"/>
      <c r="N36" s="229"/>
      <c r="O36" s="229"/>
      <c r="P36" s="229"/>
      <c r="Q36" s="229"/>
      <c r="R36" s="229"/>
      <c r="S36" s="229"/>
      <c r="T36" s="229"/>
      <c r="U36" s="229"/>
      <c r="V36" s="229"/>
      <c r="W36" s="229"/>
      <c r="X36" s="229"/>
      <c r="Y36" s="229"/>
      <c r="Z36" s="229"/>
      <c r="AA36" s="229"/>
      <c r="AB36" s="229"/>
      <c r="AC36" s="229"/>
    </row>
    <row r="37" spans="1:29" ht="12.75" customHeight="1">
      <c r="A37" s="229"/>
      <c r="B37" s="228"/>
      <c r="C37" s="228"/>
      <c r="D37" s="228"/>
      <c r="E37" s="228"/>
      <c r="F37" s="228"/>
      <c r="G37" s="228"/>
      <c r="H37" s="228"/>
      <c r="I37" s="228"/>
      <c r="J37" s="228"/>
      <c r="K37" s="228"/>
      <c r="L37" s="229"/>
      <c r="M37" s="229"/>
      <c r="N37" s="229"/>
      <c r="O37" s="229"/>
      <c r="P37" s="229"/>
      <c r="Q37" s="229"/>
      <c r="R37" s="229"/>
      <c r="S37" s="229"/>
      <c r="T37" s="229"/>
      <c r="U37" s="229"/>
      <c r="V37" s="229"/>
      <c r="W37" s="229"/>
      <c r="X37" s="229"/>
      <c r="Y37" s="229"/>
      <c r="Z37" s="229"/>
      <c r="AA37" s="229"/>
      <c r="AB37" s="229"/>
      <c r="AC37" s="229"/>
    </row>
    <row r="38" spans="1:29" ht="12.75" customHeight="1">
      <c r="A38" s="229"/>
      <c r="B38" s="228"/>
      <c r="C38" s="228"/>
      <c r="D38" s="228"/>
      <c r="E38" s="228"/>
      <c r="F38" s="228"/>
      <c r="G38" s="228"/>
      <c r="H38" s="228"/>
      <c r="I38" s="228"/>
      <c r="J38" s="228"/>
      <c r="K38" s="228"/>
      <c r="L38" s="229"/>
      <c r="M38" s="229"/>
      <c r="N38" s="229"/>
      <c r="O38" s="229"/>
      <c r="P38" s="229"/>
      <c r="Q38" s="229"/>
      <c r="R38" s="229"/>
      <c r="S38" s="229"/>
      <c r="T38" s="229"/>
      <c r="U38" s="229"/>
      <c r="V38" s="229"/>
      <c r="W38" s="229"/>
      <c r="X38" s="229"/>
      <c r="Y38" s="229"/>
      <c r="Z38" s="229"/>
      <c r="AA38" s="229"/>
      <c r="AB38" s="229"/>
      <c r="AC38" s="229"/>
    </row>
    <row r="39" spans="1:29" ht="12.75" customHeight="1">
      <c r="A39" s="229"/>
      <c r="B39" s="228"/>
      <c r="C39" s="228"/>
      <c r="D39" s="228"/>
      <c r="E39" s="228"/>
      <c r="F39" s="228"/>
      <c r="G39" s="228"/>
      <c r="H39" s="228"/>
      <c r="I39" s="228"/>
      <c r="J39" s="228"/>
      <c r="K39" s="228"/>
      <c r="L39" s="229"/>
      <c r="M39" s="229"/>
      <c r="N39" s="229"/>
      <c r="O39" s="229"/>
      <c r="P39" s="229"/>
      <c r="Q39" s="229"/>
      <c r="R39" s="229"/>
      <c r="S39" s="229"/>
      <c r="T39" s="229"/>
      <c r="U39" s="229"/>
      <c r="V39" s="229"/>
      <c r="W39" s="229"/>
      <c r="X39" s="229"/>
      <c r="Y39" s="229"/>
      <c r="Z39" s="229"/>
      <c r="AA39" s="229"/>
      <c r="AB39" s="229"/>
      <c r="AC39" s="229"/>
    </row>
    <row r="40" spans="1:29" ht="12.75" customHeight="1">
      <c r="A40" s="229"/>
      <c r="B40" s="228"/>
      <c r="C40" s="228"/>
      <c r="D40" s="228"/>
      <c r="E40" s="228"/>
      <c r="F40" s="228"/>
      <c r="G40" s="228"/>
      <c r="H40" s="228"/>
      <c r="I40" s="228"/>
      <c r="J40" s="228"/>
      <c r="K40" s="228"/>
      <c r="L40" s="229"/>
      <c r="M40" s="229"/>
      <c r="N40" s="229"/>
      <c r="O40" s="229"/>
      <c r="P40" s="229"/>
      <c r="Q40" s="229"/>
      <c r="R40" s="229"/>
      <c r="S40" s="229"/>
      <c r="T40" s="229"/>
      <c r="U40" s="229"/>
      <c r="V40" s="229"/>
      <c r="W40" s="229"/>
      <c r="X40" s="229"/>
      <c r="Y40" s="229"/>
      <c r="Z40" s="229"/>
      <c r="AA40" s="229"/>
      <c r="AB40" s="229"/>
      <c r="AC40" s="229"/>
    </row>
    <row r="41" spans="1:29" ht="12.75" customHeight="1">
      <c r="A41" s="229"/>
      <c r="B41" s="228"/>
      <c r="C41" s="228"/>
      <c r="D41" s="228"/>
      <c r="E41" s="228"/>
      <c r="F41" s="228"/>
      <c r="G41" s="228"/>
      <c r="H41" s="228"/>
      <c r="I41" s="228"/>
      <c r="J41" s="228"/>
      <c r="K41" s="228"/>
      <c r="L41" s="229"/>
      <c r="M41" s="229"/>
      <c r="N41" s="229"/>
      <c r="O41" s="229"/>
      <c r="P41" s="229"/>
      <c r="Q41" s="229"/>
      <c r="R41" s="229"/>
      <c r="S41" s="229"/>
      <c r="T41" s="229"/>
      <c r="U41" s="229"/>
      <c r="V41" s="229"/>
      <c r="W41" s="229"/>
      <c r="X41" s="229"/>
      <c r="Y41" s="229"/>
      <c r="Z41" s="229"/>
      <c r="AA41" s="229"/>
      <c r="AB41" s="229"/>
      <c r="AC41" s="229"/>
    </row>
    <row r="42" spans="1:29" ht="12.75" customHeight="1">
      <c r="A42" s="229"/>
      <c r="B42" s="228"/>
      <c r="C42" s="228"/>
      <c r="D42" s="228"/>
      <c r="E42" s="228"/>
      <c r="F42" s="228"/>
      <c r="G42" s="228"/>
      <c r="H42" s="228"/>
      <c r="I42" s="228"/>
      <c r="J42" s="228"/>
      <c r="K42" s="228"/>
      <c r="L42" s="229"/>
      <c r="M42" s="229"/>
      <c r="N42" s="229"/>
      <c r="O42" s="229"/>
      <c r="P42" s="229"/>
      <c r="Q42" s="229"/>
      <c r="R42" s="229"/>
      <c r="S42" s="229"/>
      <c r="T42" s="229"/>
      <c r="U42" s="229"/>
      <c r="V42" s="229"/>
      <c r="W42" s="229"/>
      <c r="X42" s="229"/>
      <c r="Y42" s="229"/>
      <c r="Z42" s="229"/>
      <c r="AA42" s="229"/>
      <c r="AB42" s="229"/>
      <c r="AC42" s="229"/>
    </row>
    <row r="43" spans="1:29" ht="12.75" customHeight="1">
      <c r="A43" s="229"/>
      <c r="B43" s="228"/>
      <c r="C43" s="228"/>
      <c r="D43" s="228"/>
      <c r="E43" s="228"/>
      <c r="F43" s="228"/>
      <c r="G43" s="228"/>
      <c r="H43" s="228"/>
      <c r="I43" s="228"/>
      <c r="J43" s="228"/>
      <c r="K43" s="228"/>
      <c r="L43" s="229"/>
      <c r="M43" s="229"/>
      <c r="N43" s="229"/>
      <c r="O43" s="229"/>
      <c r="P43" s="229"/>
      <c r="Q43" s="229"/>
      <c r="R43" s="229"/>
      <c r="S43" s="229"/>
      <c r="T43" s="229"/>
      <c r="U43" s="229"/>
      <c r="V43" s="229"/>
      <c r="W43" s="229"/>
      <c r="X43" s="229"/>
      <c r="Y43" s="229"/>
      <c r="Z43" s="229"/>
      <c r="AA43" s="229"/>
      <c r="AB43" s="229"/>
      <c r="AC43" s="229"/>
    </row>
    <row r="44" spans="1:29" ht="12.75" customHeight="1">
      <c r="A44" s="229"/>
      <c r="B44" s="228"/>
      <c r="C44" s="228"/>
      <c r="D44" s="228"/>
      <c r="E44" s="228"/>
      <c r="F44" s="228"/>
      <c r="G44" s="228"/>
      <c r="H44" s="228"/>
      <c r="I44" s="228"/>
      <c r="J44" s="228"/>
      <c r="K44" s="228"/>
      <c r="L44" s="229"/>
      <c r="M44" s="229"/>
      <c r="N44" s="229"/>
      <c r="O44" s="229"/>
      <c r="P44" s="229"/>
      <c r="Q44" s="229"/>
      <c r="R44" s="229"/>
      <c r="S44" s="229"/>
      <c r="T44" s="229"/>
      <c r="U44" s="229"/>
      <c r="V44" s="229"/>
      <c r="W44" s="229"/>
      <c r="X44" s="229"/>
      <c r="Y44" s="229"/>
      <c r="Z44" s="229"/>
      <c r="AA44" s="229"/>
      <c r="AB44" s="229"/>
      <c r="AC44" s="229"/>
    </row>
    <row r="45" spans="1:29" ht="12.75" customHeight="1">
      <c r="A45" s="229"/>
      <c r="B45" s="228"/>
      <c r="C45" s="228"/>
      <c r="D45" s="228"/>
      <c r="E45" s="228"/>
      <c r="F45" s="228"/>
      <c r="G45" s="228"/>
      <c r="H45" s="228"/>
      <c r="I45" s="228"/>
      <c r="J45" s="228"/>
      <c r="K45" s="228"/>
      <c r="L45" s="229"/>
      <c r="M45" s="229"/>
      <c r="N45" s="229"/>
      <c r="O45" s="229"/>
      <c r="P45" s="229"/>
      <c r="Q45" s="229"/>
      <c r="R45" s="229"/>
      <c r="S45" s="229"/>
      <c r="T45" s="229"/>
      <c r="U45" s="229"/>
      <c r="V45" s="229"/>
      <c r="W45" s="229"/>
      <c r="X45" s="229"/>
      <c r="Y45" s="229"/>
      <c r="Z45" s="229"/>
      <c r="AA45" s="229"/>
      <c r="AB45" s="229"/>
      <c r="AC45" s="229"/>
    </row>
    <row r="46" spans="1:29" ht="12.75" customHeight="1">
      <c r="A46" s="229"/>
      <c r="B46" s="228"/>
      <c r="C46" s="228"/>
      <c r="D46" s="228"/>
      <c r="E46" s="228"/>
      <c r="F46" s="228"/>
      <c r="G46" s="228"/>
      <c r="H46" s="228"/>
      <c r="I46" s="228"/>
      <c r="J46" s="228"/>
      <c r="K46" s="228"/>
      <c r="L46" s="229"/>
      <c r="M46" s="229"/>
      <c r="N46" s="229"/>
      <c r="O46" s="229"/>
      <c r="P46" s="229"/>
      <c r="Q46" s="229"/>
      <c r="R46" s="229"/>
      <c r="S46" s="229"/>
      <c r="T46" s="229"/>
      <c r="U46" s="229"/>
      <c r="V46" s="229"/>
      <c r="W46" s="229"/>
      <c r="X46" s="229"/>
      <c r="Y46" s="229"/>
      <c r="Z46" s="229"/>
      <c r="AA46" s="229"/>
      <c r="AB46" s="229"/>
      <c r="AC46" s="229"/>
    </row>
    <row r="47" spans="1:29" ht="12.75" customHeight="1">
      <c r="A47" s="229"/>
      <c r="B47" s="228"/>
      <c r="C47" s="228"/>
      <c r="D47" s="228"/>
      <c r="E47" s="228"/>
      <c r="F47" s="228"/>
      <c r="G47" s="228"/>
      <c r="H47" s="228"/>
      <c r="I47" s="228"/>
      <c r="J47" s="228"/>
      <c r="K47" s="228"/>
      <c r="L47" s="229"/>
      <c r="M47" s="229"/>
      <c r="N47" s="229"/>
      <c r="O47" s="229"/>
      <c r="P47" s="229"/>
      <c r="Q47" s="229"/>
      <c r="R47" s="229"/>
      <c r="S47" s="229"/>
      <c r="T47" s="229"/>
      <c r="U47" s="229"/>
      <c r="V47" s="229"/>
      <c r="W47" s="229"/>
      <c r="X47" s="229"/>
      <c r="Y47" s="229"/>
      <c r="Z47" s="229"/>
      <c r="AA47" s="229"/>
      <c r="AB47" s="229"/>
      <c r="AC47" s="229"/>
    </row>
    <row r="48" spans="1:29" ht="12.75" customHeight="1">
      <c r="A48" s="229"/>
      <c r="B48" s="228"/>
      <c r="C48" s="228"/>
      <c r="D48" s="228"/>
      <c r="E48" s="228"/>
      <c r="F48" s="228"/>
      <c r="G48" s="228"/>
      <c r="H48" s="228"/>
      <c r="I48" s="228"/>
      <c r="J48" s="228"/>
      <c r="K48" s="228"/>
      <c r="L48" s="229"/>
      <c r="M48" s="229"/>
      <c r="N48" s="229"/>
      <c r="O48" s="229"/>
      <c r="P48" s="229"/>
      <c r="Q48" s="229"/>
      <c r="R48" s="229"/>
      <c r="S48" s="229"/>
      <c r="T48" s="229"/>
      <c r="U48" s="229"/>
      <c r="V48" s="229"/>
      <c r="W48" s="229"/>
      <c r="X48" s="229"/>
      <c r="Y48" s="229"/>
      <c r="Z48" s="229"/>
      <c r="AA48" s="229"/>
      <c r="AB48" s="229"/>
      <c r="AC48" s="229"/>
    </row>
    <row r="49" spans="1:29" ht="12.75" customHeight="1">
      <c r="A49" s="229"/>
      <c r="B49" s="228"/>
      <c r="C49" s="228"/>
      <c r="D49" s="228"/>
      <c r="E49" s="228"/>
      <c r="F49" s="228"/>
      <c r="G49" s="228"/>
      <c r="H49" s="228"/>
      <c r="I49" s="228"/>
      <c r="J49" s="228"/>
      <c r="K49" s="228"/>
      <c r="L49" s="229"/>
      <c r="M49" s="229"/>
      <c r="N49" s="229"/>
      <c r="O49" s="229"/>
      <c r="P49" s="229"/>
      <c r="Q49" s="229"/>
      <c r="R49" s="229"/>
      <c r="S49" s="229"/>
      <c r="T49" s="229"/>
      <c r="U49" s="229"/>
      <c r="V49" s="229"/>
      <c r="W49" s="229"/>
      <c r="X49" s="229"/>
      <c r="Y49" s="229"/>
      <c r="Z49" s="229"/>
      <c r="AA49" s="229"/>
      <c r="AB49" s="229"/>
      <c r="AC49" s="229"/>
    </row>
    <row r="50" spans="1:29" ht="12.75" customHeight="1">
      <c r="A50" s="229"/>
      <c r="B50" s="228"/>
      <c r="C50" s="228"/>
      <c r="D50" s="228"/>
      <c r="E50" s="228"/>
      <c r="F50" s="228"/>
      <c r="G50" s="228"/>
      <c r="H50" s="228"/>
      <c r="I50" s="228"/>
      <c r="J50" s="228"/>
      <c r="K50" s="228"/>
      <c r="L50" s="229"/>
      <c r="M50" s="229"/>
      <c r="N50" s="229"/>
      <c r="O50" s="229"/>
      <c r="P50" s="229"/>
      <c r="Q50" s="229"/>
      <c r="R50" s="229"/>
      <c r="S50" s="229"/>
      <c r="T50" s="229"/>
      <c r="U50" s="229"/>
      <c r="V50" s="229"/>
      <c r="W50" s="229"/>
      <c r="X50" s="229"/>
      <c r="Y50" s="229"/>
      <c r="Z50" s="229"/>
      <c r="AA50" s="229"/>
      <c r="AB50" s="229"/>
      <c r="AC50" s="229"/>
    </row>
    <row r="51" spans="1:29" ht="12.75" customHeight="1">
      <c r="A51" s="229"/>
      <c r="B51" s="228"/>
      <c r="C51" s="228"/>
      <c r="D51" s="228"/>
      <c r="E51" s="228"/>
      <c r="F51" s="228"/>
      <c r="G51" s="228"/>
      <c r="H51" s="228"/>
      <c r="I51" s="228"/>
      <c r="J51" s="228"/>
      <c r="K51" s="228"/>
      <c r="L51" s="229"/>
      <c r="M51" s="229"/>
      <c r="N51" s="229"/>
      <c r="O51" s="229"/>
      <c r="P51" s="229"/>
      <c r="Q51" s="229"/>
      <c r="R51" s="229"/>
      <c r="S51" s="229"/>
      <c r="T51" s="229"/>
      <c r="U51" s="229"/>
      <c r="V51" s="229"/>
      <c r="W51" s="229"/>
      <c r="X51" s="229"/>
      <c r="Y51" s="229"/>
      <c r="Z51" s="229"/>
      <c r="AA51" s="229"/>
      <c r="AB51" s="229"/>
      <c r="AC51" s="229"/>
    </row>
    <row r="52" spans="1:29" ht="12.75" customHeight="1">
      <c r="A52" s="229"/>
      <c r="B52" s="228"/>
      <c r="C52" s="228"/>
      <c r="D52" s="228"/>
      <c r="E52" s="228"/>
      <c r="F52" s="228"/>
      <c r="G52" s="228"/>
      <c r="H52" s="228"/>
      <c r="I52" s="228"/>
      <c r="J52" s="228"/>
      <c r="K52" s="228"/>
      <c r="L52" s="229"/>
      <c r="M52" s="229"/>
      <c r="N52" s="229"/>
      <c r="O52" s="229"/>
      <c r="P52" s="229"/>
      <c r="Q52" s="229"/>
      <c r="R52" s="229"/>
      <c r="S52" s="229"/>
      <c r="T52" s="229"/>
      <c r="U52" s="229"/>
      <c r="V52" s="229"/>
      <c r="W52" s="229"/>
      <c r="X52" s="229"/>
      <c r="Y52" s="229"/>
      <c r="Z52" s="229"/>
      <c r="AA52" s="229"/>
      <c r="AB52" s="229"/>
      <c r="AC52" s="229"/>
    </row>
    <row r="53" spans="1:29" ht="12.75" customHeight="1">
      <c r="A53" s="229"/>
      <c r="B53" s="228"/>
      <c r="C53" s="228"/>
      <c r="D53" s="228"/>
      <c r="E53" s="228"/>
      <c r="F53" s="228"/>
      <c r="G53" s="228"/>
      <c r="H53" s="228"/>
      <c r="I53" s="228"/>
      <c r="J53" s="228"/>
      <c r="K53" s="228"/>
      <c r="L53" s="229"/>
      <c r="M53" s="229"/>
      <c r="N53" s="229"/>
      <c r="O53" s="229"/>
      <c r="P53" s="229"/>
      <c r="Q53" s="229"/>
      <c r="R53" s="229"/>
      <c r="S53" s="229"/>
      <c r="T53" s="229"/>
      <c r="U53" s="229"/>
      <c r="V53" s="229"/>
      <c r="W53" s="229"/>
      <c r="X53" s="229"/>
      <c r="Y53" s="229"/>
      <c r="Z53" s="229"/>
      <c r="AA53" s="229"/>
      <c r="AB53" s="229"/>
      <c r="AC53" s="229"/>
    </row>
    <row r="54" spans="1:29" ht="12.75" customHeight="1">
      <c r="A54" s="229"/>
      <c r="B54" s="228"/>
      <c r="C54" s="228"/>
      <c r="D54" s="228"/>
      <c r="E54" s="228"/>
      <c r="F54" s="228"/>
      <c r="G54" s="228"/>
      <c r="H54" s="228"/>
      <c r="I54" s="228"/>
      <c r="J54" s="228"/>
      <c r="K54" s="228"/>
      <c r="L54" s="229"/>
      <c r="M54" s="229"/>
      <c r="N54" s="229"/>
      <c r="O54" s="229"/>
      <c r="P54" s="229"/>
      <c r="Q54" s="229"/>
      <c r="R54" s="229"/>
      <c r="S54" s="229"/>
      <c r="T54" s="229"/>
      <c r="U54" s="229"/>
      <c r="V54" s="229"/>
      <c r="W54" s="229"/>
      <c r="X54" s="229"/>
      <c r="Y54" s="229"/>
      <c r="Z54" s="229"/>
      <c r="AA54" s="229"/>
      <c r="AB54" s="229"/>
      <c r="AC54" s="229"/>
    </row>
    <row r="55" spans="1:29" ht="12.75" customHeight="1">
      <c r="A55" s="229"/>
      <c r="B55" s="228"/>
      <c r="C55" s="228"/>
      <c r="D55" s="228"/>
      <c r="E55" s="228"/>
      <c r="F55" s="228"/>
      <c r="G55" s="228"/>
      <c r="H55" s="228"/>
      <c r="I55" s="228"/>
      <c r="J55" s="228"/>
      <c r="K55" s="228"/>
      <c r="L55" s="229"/>
      <c r="M55" s="229"/>
      <c r="N55" s="229"/>
      <c r="O55" s="229"/>
      <c r="P55" s="229"/>
      <c r="Q55" s="229"/>
      <c r="R55" s="229"/>
      <c r="S55" s="229"/>
      <c r="T55" s="229"/>
      <c r="U55" s="229"/>
      <c r="V55" s="229"/>
      <c r="W55" s="229"/>
      <c r="X55" s="229"/>
      <c r="Y55" s="229"/>
      <c r="Z55" s="229"/>
      <c r="AA55" s="229"/>
      <c r="AB55" s="229"/>
      <c r="AC55" s="229"/>
    </row>
    <row r="56" spans="1:29" ht="12.75" customHeight="1">
      <c r="A56" s="229"/>
      <c r="B56" s="228"/>
      <c r="C56" s="228"/>
      <c r="D56" s="228"/>
      <c r="E56" s="228"/>
      <c r="F56" s="228"/>
      <c r="G56" s="228"/>
      <c r="H56" s="228"/>
      <c r="I56" s="228"/>
      <c r="J56" s="228"/>
      <c r="K56" s="228"/>
      <c r="L56" s="229"/>
      <c r="M56" s="229"/>
      <c r="N56" s="229"/>
      <c r="O56" s="229"/>
      <c r="P56" s="229"/>
      <c r="Q56" s="229"/>
      <c r="R56" s="229"/>
      <c r="S56" s="229"/>
      <c r="T56" s="229"/>
      <c r="U56" s="229"/>
      <c r="V56" s="229"/>
      <c r="W56" s="229"/>
      <c r="X56" s="229"/>
      <c r="Y56" s="229"/>
      <c r="Z56" s="229"/>
      <c r="AA56" s="229"/>
      <c r="AB56" s="229"/>
      <c r="AC56" s="229"/>
    </row>
    <row r="57" spans="1:29" ht="12.75" customHeight="1">
      <c r="A57" s="229"/>
      <c r="B57" s="228"/>
      <c r="C57" s="228"/>
      <c r="D57" s="228"/>
      <c r="E57" s="228"/>
      <c r="F57" s="228"/>
      <c r="G57" s="228"/>
      <c r="H57" s="228"/>
      <c r="I57" s="228"/>
      <c r="J57" s="228"/>
      <c r="K57" s="228"/>
      <c r="L57" s="229"/>
      <c r="M57" s="229"/>
      <c r="N57" s="229"/>
      <c r="O57" s="229"/>
      <c r="P57" s="229"/>
      <c r="Q57" s="229"/>
      <c r="R57" s="229"/>
      <c r="S57" s="229"/>
      <c r="T57" s="229"/>
      <c r="U57" s="229"/>
      <c r="V57" s="229"/>
      <c r="W57" s="229"/>
      <c r="X57" s="229"/>
      <c r="Y57" s="229"/>
      <c r="Z57" s="229"/>
      <c r="AA57" s="229"/>
      <c r="AB57" s="229"/>
      <c r="AC57" s="229"/>
    </row>
    <row r="58" spans="1:29" ht="12.75" customHeight="1">
      <c r="A58" s="229"/>
      <c r="B58" s="228"/>
      <c r="C58" s="228"/>
      <c r="D58" s="228"/>
      <c r="E58" s="228"/>
      <c r="F58" s="228"/>
      <c r="G58" s="228"/>
      <c r="H58" s="228"/>
      <c r="I58" s="228"/>
      <c r="J58" s="228"/>
      <c r="K58" s="228"/>
      <c r="L58" s="229"/>
      <c r="M58" s="229"/>
      <c r="N58" s="229"/>
      <c r="O58" s="229"/>
      <c r="P58" s="229"/>
      <c r="Q58" s="229"/>
      <c r="R58" s="229"/>
      <c r="S58" s="229"/>
      <c r="T58" s="229"/>
      <c r="U58" s="229"/>
      <c r="V58" s="229"/>
      <c r="W58" s="229"/>
      <c r="X58" s="229"/>
      <c r="Y58" s="229"/>
      <c r="Z58" s="229"/>
      <c r="AA58" s="229"/>
      <c r="AB58" s="229"/>
      <c r="AC58" s="229"/>
    </row>
    <row r="59" spans="1:29" ht="12.75" customHeight="1">
      <c r="A59" s="229"/>
      <c r="B59" s="228"/>
      <c r="C59" s="228"/>
      <c r="D59" s="228"/>
      <c r="E59" s="228"/>
      <c r="F59" s="228"/>
      <c r="G59" s="228"/>
      <c r="H59" s="228"/>
      <c r="I59" s="228"/>
      <c r="J59" s="228"/>
      <c r="K59" s="228"/>
      <c r="L59" s="229"/>
      <c r="M59" s="229"/>
      <c r="N59" s="229"/>
      <c r="O59" s="229"/>
      <c r="P59" s="229"/>
      <c r="Q59" s="229"/>
      <c r="R59" s="229"/>
      <c r="S59" s="229"/>
      <c r="T59" s="229"/>
      <c r="U59" s="229"/>
      <c r="V59" s="229"/>
      <c r="W59" s="229"/>
      <c r="X59" s="229"/>
      <c r="Y59" s="229"/>
      <c r="Z59" s="229"/>
      <c r="AA59" s="229"/>
      <c r="AB59" s="229"/>
      <c r="AC59" s="229"/>
    </row>
    <row r="60" spans="1:29" ht="12.75" customHeight="1">
      <c r="A60" s="229"/>
      <c r="B60" s="228"/>
      <c r="C60" s="228"/>
      <c r="D60" s="228"/>
      <c r="E60" s="228"/>
      <c r="F60" s="228"/>
      <c r="G60" s="228"/>
      <c r="H60" s="228"/>
      <c r="I60" s="228"/>
      <c r="J60" s="228"/>
      <c r="K60" s="228"/>
      <c r="L60" s="229"/>
      <c r="M60" s="229"/>
      <c r="N60" s="229"/>
      <c r="O60" s="229"/>
      <c r="P60" s="229"/>
      <c r="Q60" s="229"/>
      <c r="R60" s="229"/>
      <c r="S60" s="229"/>
      <c r="T60" s="229"/>
      <c r="U60" s="229"/>
      <c r="V60" s="229"/>
      <c r="W60" s="229"/>
      <c r="X60" s="229"/>
      <c r="Y60" s="229"/>
      <c r="Z60" s="229"/>
      <c r="AA60" s="229"/>
      <c r="AB60" s="229"/>
      <c r="AC60" s="229"/>
    </row>
    <row r="61" spans="1:29" ht="12.75" customHeight="1">
      <c r="A61" s="229"/>
      <c r="B61" s="228"/>
      <c r="C61" s="228"/>
      <c r="D61" s="228"/>
      <c r="E61" s="228"/>
      <c r="F61" s="228"/>
      <c r="G61" s="228"/>
      <c r="H61" s="228"/>
      <c r="I61" s="228"/>
      <c r="J61" s="228"/>
      <c r="K61" s="228"/>
      <c r="L61" s="229"/>
      <c r="M61" s="229"/>
      <c r="N61" s="229"/>
      <c r="O61" s="229"/>
      <c r="P61" s="229"/>
      <c r="Q61" s="229"/>
      <c r="R61" s="229"/>
      <c r="S61" s="229"/>
      <c r="T61" s="229"/>
      <c r="U61" s="229"/>
      <c r="V61" s="229"/>
      <c r="W61" s="229"/>
      <c r="X61" s="229"/>
      <c r="Y61" s="229"/>
      <c r="Z61" s="229"/>
      <c r="AA61" s="229"/>
      <c r="AB61" s="229"/>
      <c r="AC61" s="229"/>
    </row>
    <row r="62" spans="1:29" ht="12.75" customHeight="1">
      <c r="A62" s="229"/>
      <c r="B62" s="228"/>
      <c r="C62" s="228"/>
      <c r="D62" s="228"/>
      <c r="E62" s="228"/>
      <c r="F62" s="228"/>
      <c r="G62" s="228"/>
      <c r="H62" s="228"/>
      <c r="I62" s="228"/>
      <c r="J62" s="228"/>
      <c r="K62" s="228"/>
      <c r="L62" s="229"/>
      <c r="M62" s="229"/>
      <c r="N62" s="229"/>
      <c r="O62" s="229"/>
      <c r="P62" s="229"/>
      <c r="Q62" s="229"/>
      <c r="R62" s="229"/>
      <c r="S62" s="229"/>
      <c r="T62" s="229"/>
      <c r="U62" s="229"/>
      <c r="V62" s="229"/>
      <c r="W62" s="229"/>
      <c r="X62" s="229"/>
      <c r="Y62" s="229"/>
      <c r="Z62" s="229"/>
      <c r="AA62" s="229"/>
      <c r="AB62" s="229"/>
      <c r="AC62" s="229"/>
    </row>
    <row r="63" spans="1:29" ht="12.75" customHeight="1">
      <c r="A63" s="229"/>
      <c r="B63" s="228"/>
      <c r="C63" s="228"/>
      <c r="D63" s="228"/>
      <c r="E63" s="228"/>
      <c r="F63" s="228"/>
      <c r="G63" s="228"/>
      <c r="H63" s="228"/>
      <c r="I63" s="228"/>
      <c r="J63" s="228"/>
      <c r="K63" s="228"/>
      <c r="L63" s="229"/>
      <c r="M63" s="229"/>
      <c r="N63" s="229"/>
      <c r="O63" s="229"/>
      <c r="P63" s="229"/>
      <c r="Q63" s="229"/>
      <c r="R63" s="229"/>
      <c r="S63" s="229"/>
      <c r="T63" s="229"/>
      <c r="U63" s="229"/>
      <c r="V63" s="229"/>
      <c r="W63" s="229"/>
      <c r="X63" s="229"/>
      <c r="Y63" s="229"/>
      <c r="Z63" s="229"/>
      <c r="AA63" s="229"/>
      <c r="AB63" s="229"/>
      <c r="AC63" s="229"/>
    </row>
    <row r="64" spans="1:29" ht="12.75" customHeight="1">
      <c r="A64" s="229"/>
      <c r="B64" s="228"/>
      <c r="C64" s="228"/>
      <c r="D64" s="228"/>
      <c r="E64" s="228"/>
      <c r="F64" s="228"/>
      <c r="G64" s="228"/>
      <c r="H64" s="228"/>
      <c r="I64" s="228"/>
      <c r="J64" s="228"/>
      <c r="K64" s="228"/>
      <c r="L64" s="229"/>
      <c r="M64" s="229"/>
      <c r="N64" s="229"/>
      <c r="O64" s="229"/>
      <c r="P64" s="229"/>
      <c r="Q64" s="229"/>
      <c r="R64" s="229"/>
      <c r="S64" s="229"/>
      <c r="T64" s="229"/>
      <c r="U64" s="229"/>
      <c r="V64" s="229"/>
      <c r="W64" s="229"/>
      <c r="X64" s="229"/>
      <c r="Y64" s="229"/>
      <c r="Z64" s="229"/>
      <c r="AA64" s="229"/>
      <c r="AB64" s="229"/>
      <c r="AC64" s="229"/>
    </row>
    <row r="65" spans="1:29" ht="12.75" customHeight="1">
      <c r="A65" s="229"/>
      <c r="B65" s="228"/>
      <c r="C65" s="228"/>
      <c r="D65" s="228"/>
      <c r="E65" s="228"/>
      <c r="F65" s="228"/>
      <c r="G65" s="228"/>
      <c r="H65" s="228"/>
      <c r="I65" s="228"/>
      <c r="J65" s="228"/>
      <c r="K65" s="228"/>
      <c r="L65" s="229"/>
      <c r="M65" s="229"/>
      <c r="N65" s="229"/>
      <c r="O65" s="229"/>
      <c r="P65" s="229"/>
      <c r="Q65" s="229"/>
      <c r="R65" s="229"/>
      <c r="S65" s="229"/>
      <c r="T65" s="229"/>
      <c r="U65" s="229"/>
      <c r="V65" s="229"/>
      <c r="W65" s="229"/>
      <c r="X65" s="229"/>
      <c r="Y65" s="229"/>
      <c r="Z65" s="229"/>
      <c r="AA65" s="229"/>
      <c r="AB65" s="229"/>
      <c r="AC65" s="229"/>
    </row>
    <row r="66" spans="1:29" ht="12.75" customHeight="1">
      <c r="A66" s="229"/>
      <c r="B66" s="228"/>
      <c r="C66" s="228"/>
      <c r="D66" s="228"/>
      <c r="E66" s="228"/>
      <c r="F66" s="228"/>
      <c r="G66" s="228"/>
      <c r="H66" s="228"/>
      <c r="I66" s="228"/>
      <c r="J66" s="228"/>
      <c r="K66" s="228"/>
      <c r="L66" s="229"/>
      <c r="M66" s="229"/>
      <c r="N66" s="229"/>
      <c r="O66" s="229"/>
      <c r="P66" s="229"/>
      <c r="Q66" s="229"/>
      <c r="R66" s="229"/>
      <c r="S66" s="229"/>
      <c r="T66" s="229"/>
      <c r="U66" s="229"/>
      <c r="V66" s="229"/>
      <c r="W66" s="229"/>
      <c r="X66" s="229"/>
      <c r="Y66" s="229"/>
      <c r="Z66" s="229"/>
      <c r="AA66" s="229"/>
      <c r="AB66" s="229"/>
      <c r="AC66" s="229"/>
    </row>
    <row r="67" spans="1:29" ht="12.75" customHeight="1">
      <c r="A67" s="229"/>
      <c r="B67" s="228"/>
      <c r="C67" s="228"/>
      <c r="D67" s="228"/>
      <c r="E67" s="228"/>
      <c r="F67" s="228"/>
      <c r="G67" s="228"/>
      <c r="H67" s="228"/>
      <c r="I67" s="228"/>
      <c r="J67" s="228"/>
      <c r="K67" s="228"/>
      <c r="L67" s="229"/>
      <c r="M67" s="229"/>
      <c r="N67" s="229"/>
      <c r="O67" s="229"/>
      <c r="P67" s="229"/>
      <c r="Q67" s="229"/>
      <c r="R67" s="229"/>
      <c r="S67" s="229"/>
      <c r="T67" s="229"/>
      <c r="U67" s="229"/>
      <c r="V67" s="229"/>
      <c r="W67" s="229"/>
      <c r="X67" s="229"/>
      <c r="Y67" s="229"/>
      <c r="Z67" s="229"/>
      <c r="AA67" s="229"/>
      <c r="AB67" s="229"/>
      <c r="AC67" s="229"/>
    </row>
    <row r="68" spans="1:29" ht="12.75" customHeight="1">
      <c r="A68" s="229"/>
      <c r="B68" s="228"/>
      <c r="C68" s="228"/>
      <c r="D68" s="228"/>
      <c r="E68" s="228"/>
      <c r="F68" s="228"/>
      <c r="G68" s="228"/>
      <c r="H68" s="228"/>
      <c r="I68" s="228"/>
      <c r="J68" s="228"/>
      <c r="K68" s="228"/>
      <c r="L68" s="229"/>
      <c r="M68" s="229"/>
      <c r="N68" s="229"/>
      <c r="O68" s="229"/>
      <c r="P68" s="229"/>
      <c r="Q68" s="229"/>
      <c r="R68" s="229"/>
      <c r="S68" s="229"/>
      <c r="T68" s="229"/>
      <c r="U68" s="229"/>
      <c r="V68" s="229"/>
      <c r="W68" s="229"/>
      <c r="X68" s="229"/>
      <c r="Y68" s="229"/>
      <c r="Z68" s="229"/>
      <c r="AA68" s="229"/>
      <c r="AB68" s="229"/>
      <c r="AC68" s="229"/>
    </row>
    <row r="69" spans="1:29" ht="12.75" customHeight="1">
      <c r="A69" s="229"/>
      <c r="B69" s="228"/>
      <c r="C69" s="228"/>
      <c r="D69" s="228"/>
      <c r="E69" s="228"/>
      <c r="F69" s="228"/>
      <c r="G69" s="228"/>
      <c r="H69" s="228"/>
      <c r="I69" s="228"/>
      <c r="J69" s="228"/>
      <c r="K69" s="228"/>
      <c r="L69" s="229"/>
      <c r="M69" s="229"/>
      <c r="N69" s="229"/>
      <c r="O69" s="229"/>
      <c r="P69" s="229"/>
      <c r="Q69" s="229"/>
      <c r="R69" s="229"/>
      <c r="S69" s="229"/>
      <c r="T69" s="229"/>
      <c r="U69" s="229"/>
      <c r="V69" s="229"/>
      <c r="W69" s="229"/>
      <c r="X69" s="229"/>
      <c r="Y69" s="229"/>
      <c r="Z69" s="229"/>
      <c r="AA69" s="229"/>
      <c r="AB69" s="229"/>
      <c r="AC69" s="229"/>
    </row>
    <row r="70" spans="1:29" ht="12.75" customHeight="1">
      <c r="A70" s="229"/>
      <c r="B70" s="228"/>
      <c r="C70" s="228"/>
      <c r="D70" s="228"/>
      <c r="E70" s="228"/>
      <c r="F70" s="228"/>
      <c r="G70" s="228"/>
      <c r="H70" s="228"/>
      <c r="I70" s="228"/>
      <c r="J70" s="228"/>
      <c r="K70" s="228"/>
      <c r="L70" s="229"/>
      <c r="M70" s="229"/>
      <c r="N70" s="229"/>
      <c r="O70" s="229"/>
      <c r="P70" s="229"/>
      <c r="Q70" s="229"/>
      <c r="R70" s="229"/>
      <c r="S70" s="229"/>
      <c r="T70" s="229"/>
      <c r="U70" s="229"/>
      <c r="V70" s="229"/>
      <c r="W70" s="229"/>
      <c r="X70" s="229"/>
      <c r="Y70" s="229"/>
      <c r="Z70" s="229"/>
      <c r="AA70" s="229"/>
      <c r="AB70" s="229"/>
      <c r="AC70" s="229"/>
    </row>
    <row r="71" spans="1:29" ht="12.75" customHeight="1">
      <c r="A71" s="229"/>
      <c r="B71" s="228"/>
      <c r="C71" s="228"/>
      <c r="D71" s="228"/>
      <c r="E71" s="228"/>
      <c r="F71" s="228"/>
      <c r="G71" s="228"/>
      <c r="H71" s="228"/>
      <c r="I71" s="228"/>
      <c r="J71" s="228"/>
      <c r="K71" s="228"/>
      <c r="L71" s="229"/>
      <c r="M71" s="229"/>
      <c r="N71" s="229"/>
      <c r="O71" s="229"/>
      <c r="P71" s="229"/>
      <c r="Q71" s="229"/>
      <c r="R71" s="229"/>
      <c r="S71" s="229"/>
      <c r="T71" s="229"/>
      <c r="U71" s="229"/>
      <c r="V71" s="229"/>
      <c r="W71" s="229"/>
      <c r="X71" s="229"/>
      <c r="Y71" s="229"/>
      <c r="Z71" s="229"/>
      <c r="AA71" s="229"/>
      <c r="AB71" s="229"/>
      <c r="AC71" s="229"/>
    </row>
    <row r="72" spans="1:29" ht="12.75" customHeight="1">
      <c r="A72" s="229"/>
      <c r="B72" s="228"/>
      <c r="C72" s="228"/>
      <c r="D72" s="228"/>
      <c r="E72" s="228"/>
      <c r="F72" s="228"/>
      <c r="G72" s="228"/>
      <c r="H72" s="228"/>
      <c r="I72" s="228"/>
      <c r="J72" s="228"/>
      <c r="K72" s="228"/>
      <c r="L72" s="229"/>
      <c r="M72" s="229"/>
      <c r="N72" s="229"/>
      <c r="O72" s="229"/>
      <c r="P72" s="229"/>
      <c r="Q72" s="229"/>
      <c r="R72" s="229"/>
      <c r="S72" s="229"/>
      <c r="T72" s="229"/>
      <c r="U72" s="229"/>
      <c r="V72" s="229"/>
      <c r="W72" s="229"/>
      <c r="X72" s="229"/>
      <c r="Y72" s="229"/>
      <c r="Z72" s="229"/>
      <c r="AA72" s="229"/>
      <c r="AB72" s="229"/>
      <c r="AC72" s="229"/>
    </row>
    <row r="73" spans="1:29" ht="12.75" customHeight="1">
      <c r="A73" s="229"/>
      <c r="B73" s="228"/>
      <c r="C73" s="228"/>
      <c r="D73" s="228"/>
      <c r="E73" s="228"/>
      <c r="F73" s="228"/>
      <c r="G73" s="228"/>
      <c r="H73" s="228"/>
      <c r="I73" s="228"/>
      <c r="J73" s="228"/>
      <c r="K73" s="228"/>
      <c r="L73" s="229"/>
      <c r="M73" s="229"/>
      <c r="N73" s="229"/>
      <c r="O73" s="229"/>
      <c r="P73" s="229"/>
      <c r="Q73" s="229"/>
      <c r="R73" s="229"/>
      <c r="S73" s="229"/>
      <c r="T73" s="229"/>
      <c r="U73" s="229"/>
      <c r="V73" s="229"/>
      <c r="W73" s="229"/>
      <c r="X73" s="229"/>
      <c r="Y73" s="229"/>
      <c r="Z73" s="229"/>
      <c r="AA73" s="229"/>
      <c r="AB73" s="229"/>
      <c r="AC73" s="229"/>
    </row>
    <row r="74" spans="1:29" ht="12.75" customHeight="1">
      <c r="A74" s="229"/>
      <c r="B74" s="228"/>
      <c r="C74" s="228"/>
      <c r="D74" s="228"/>
      <c r="E74" s="228"/>
      <c r="F74" s="228"/>
      <c r="G74" s="228"/>
      <c r="H74" s="228"/>
      <c r="I74" s="228"/>
      <c r="J74" s="228"/>
      <c r="K74" s="228"/>
      <c r="L74" s="229"/>
      <c r="M74" s="229"/>
      <c r="N74" s="229"/>
      <c r="O74" s="229"/>
      <c r="P74" s="229"/>
      <c r="Q74" s="229"/>
      <c r="R74" s="229"/>
      <c r="S74" s="229"/>
      <c r="T74" s="229"/>
      <c r="U74" s="229"/>
      <c r="V74" s="229"/>
      <c r="W74" s="229"/>
      <c r="X74" s="229"/>
      <c r="Y74" s="229"/>
      <c r="Z74" s="229"/>
      <c r="AA74" s="229"/>
      <c r="AB74" s="229"/>
      <c r="AC74" s="229"/>
    </row>
    <row r="75" spans="1:29" ht="12.75" customHeight="1">
      <c r="A75" s="229"/>
      <c r="B75" s="228"/>
      <c r="C75" s="228"/>
      <c r="D75" s="228"/>
      <c r="E75" s="228"/>
      <c r="F75" s="228"/>
      <c r="G75" s="228"/>
      <c r="H75" s="228"/>
      <c r="I75" s="228"/>
      <c r="J75" s="228"/>
      <c r="K75" s="228"/>
      <c r="L75" s="229"/>
      <c r="M75" s="229"/>
      <c r="N75" s="229"/>
      <c r="O75" s="229"/>
      <c r="P75" s="229"/>
      <c r="Q75" s="229"/>
      <c r="R75" s="229"/>
      <c r="S75" s="229"/>
      <c r="T75" s="229"/>
      <c r="U75" s="229"/>
      <c r="V75" s="229"/>
      <c r="W75" s="229"/>
      <c r="X75" s="229"/>
      <c r="Y75" s="229"/>
      <c r="Z75" s="229"/>
      <c r="AA75" s="229"/>
      <c r="AB75" s="229"/>
      <c r="AC75" s="229"/>
    </row>
    <row r="76" spans="1:29" ht="12.75" customHeight="1">
      <c r="A76" s="229"/>
      <c r="B76" s="228"/>
      <c r="C76" s="228"/>
      <c r="D76" s="228"/>
      <c r="E76" s="228"/>
      <c r="F76" s="228"/>
      <c r="G76" s="228"/>
      <c r="H76" s="228"/>
      <c r="I76" s="228"/>
      <c r="J76" s="228"/>
      <c r="K76" s="228"/>
      <c r="L76" s="229"/>
      <c r="M76" s="229"/>
      <c r="N76" s="229"/>
      <c r="O76" s="229"/>
      <c r="P76" s="229"/>
      <c r="Q76" s="229"/>
      <c r="R76" s="229"/>
      <c r="S76" s="229"/>
      <c r="T76" s="229"/>
      <c r="U76" s="229"/>
      <c r="V76" s="229"/>
      <c r="W76" s="229"/>
      <c r="X76" s="229"/>
      <c r="Y76" s="229"/>
      <c r="Z76" s="229"/>
      <c r="AA76" s="229"/>
      <c r="AB76" s="229"/>
      <c r="AC76" s="229"/>
    </row>
    <row r="77" spans="1:29" ht="12.75" customHeight="1">
      <c r="A77" s="229"/>
      <c r="B77" s="228"/>
      <c r="C77" s="228"/>
      <c r="D77" s="228"/>
      <c r="E77" s="228"/>
      <c r="F77" s="228"/>
      <c r="G77" s="228"/>
      <c r="H77" s="228"/>
      <c r="I77" s="228"/>
      <c r="J77" s="228"/>
      <c r="K77" s="228"/>
      <c r="L77" s="229"/>
      <c r="M77" s="229"/>
      <c r="N77" s="229"/>
      <c r="O77" s="229"/>
      <c r="P77" s="229"/>
      <c r="Q77" s="229"/>
      <c r="R77" s="229"/>
      <c r="S77" s="229"/>
      <c r="T77" s="229"/>
      <c r="U77" s="229"/>
      <c r="V77" s="229"/>
      <c r="W77" s="229"/>
      <c r="X77" s="229"/>
      <c r="Y77" s="229"/>
      <c r="Z77" s="229"/>
      <c r="AA77" s="229"/>
      <c r="AB77" s="229"/>
      <c r="AC77" s="229"/>
    </row>
    <row r="78" spans="1:29" ht="12.75" customHeight="1">
      <c r="A78" s="229"/>
      <c r="B78" s="228"/>
      <c r="C78" s="228"/>
      <c r="D78" s="228"/>
      <c r="E78" s="228"/>
      <c r="F78" s="228"/>
      <c r="G78" s="228"/>
      <c r="H78" s="228"/>
      <c r="I78" s="228"/>
      <c r="J78" s="228"/>
      <c r="K78" s="228"/>
      <c r="L78" s="229"/>
      <c r="M78" s="229"/>
      <c r="N78" s="229"/>
      <c r="O78" s="229"/>
      <c r="P78" s="229"/>
      <c r="Q78" s="229"/>
      <c r="R78" s="229"/>
      <c r="S78" s="229"/>
      <c r="T78" s="229"/>
      <c r="U78" s="229"/>
      <c r="V78" s="229"/>
      <c r="W78" s="229"/>
      <c r="X78" s="229"/>
      <c r="Y78" s="229"/>
      <c r="Z78" s="229"/>
      <c r="AA78" s="229"/>
      <c r="AB78" s="229"/>
      <c r="AC78" s="229"/>
    </row>
    <row r="79" spans="1:29" ht="12.75" customHeight="1">
      <c r="A79" s="229"/>
      <c r="B79" s="228"/>
      <c r="C79" s="228"/>
      <c r="D79" s="228"/>
      <c r="E79" s="228"/>
      <c r="F79" s="228"/>
      <c r="G79" s="228"/>
      <c r="H79" s="228"/>
      <c r="I79" s="228"/>
      <c r="J79" s="228"/>
      <c r="K79" s="228"/>
      <c r="L79" s="229"/>
      <c r="M79" s="229"/>
      <c r="N79" s="229"/>
      <c r="O79" s="229"/>
      <c r="P79" s="229"/>
      <c r="Q79" s="229"/>
      <c r="R79" s="229"/>
      <c r="S79" s="229"/>
      <c r="T79" s="229"/>
      <c r="U79" s="229"/>
      <c r="V79" s="229"/>
      <c r="W79" s="229"/>
      <c r="X79" s="229"/>
      <c r="Y79" s="229"/>
      <c r="Z79" s="229"/>
      <c r="AA79" s="229"/>
      <c r="AB79" s="229"/>
      <c r="AC79" s="229"/>
    </row>
    <row r="80" spans="1:29" ht="12.75" customHeight="1">
      <c r="A80" s="229"/>
      <c r="B80" s="228"/>
      <c r="C80" s="228"/>
      <c r="D80" s="228"/>
      <c r="E80" s="228"/>
      <c r="F80" s="228"/>
      <c r="G80" s="228"/>
      <c r="H80" s="228"/>
      <c r="I80" s="228"/>
      <c r="J80" s="228"/>
      <c r="K80" s="228"/>
      <c r="L80" s="229"/>
      <c r="M80" s="229"/>
      <c r="N80" s="229"/>
      <c r="O80" s="229"/>
      <c r="P80" s="229"/>
      <c r="Q80" s="229"/>
      <c r="R80" s="229"/>
      <c r="S80" s="229"/>
      <c r="T80" s="229"/>
      <c r="U80" s="229"/>
      <c r="V80" s="229"/>
      <c r="W80" s="229"/>
      <c r="X80" s="229"/>
      <c r="Y80" s="229"/>
      <c r="Z80" s="229"/>
      <c r="AA80" s="229"/>
      <c r="AB80" s="229"/>
      <c r="AC80" s="229"/>
    </row>
    <row r="81" spans="1:29" ht="12.75" customHeight="1">
      <c r="A81" s="229"/>
      <c r="B81" s="228"/>
      <c r="C81" s="228"/>
      <c r="D81" s="228"/>
      <c r="E81" s="228"/>
      <c r="F81" s="228"/>
      <c r="G81" s="228"/>
      <c r="H81" s="228"/>
      <c r="I81" s="228"/>
      <c r="J81" s="228"/>
      <c r="K81" s="228"/>
      <c r="L81" s="229"/>
      <c r="M81" s="229"/>
      <c r="N81" s="229"/>
      <c r="O81" s="229"/>
      <c r="P81" s="229"/>
      <c r="Q81" s="229"/>
      <c r="R81" s="229"/>
      <c r="S81" s="229"/>
      <c r="T81" s="229"/>
      <c r="U81" s="229"/>
      <c r="V81" s="229"/>
      <c r="W81" s="229"/>
      <c r="X81" s="229"/>
      <c r="Y81" s="229"/>
      <c r="Z81" s="229"/>
      <c r="AA81" s="229"/>
      <c r="AB81" s="229"/>
      <c r="AC81" s="229"/>
    </row>
    <row r="82" spans="1:29" ht="12.75" customHeight="1">
      <c r="A82" s="229"/>
      <c r="B82" s="228"/>
      <c r="C82" s="228"/>
      <c r="D82" s="228"/>
      <c r="E82" s="228"/>
      <c r="F82" s="228"/>
      <c r="G82" s="228"/>
      <c r="H82" s="228"/>
      <c r="I82" s="228"/>
      <c r="J82" s="228"/>
      <c r="K82" s="228"/>
      <c r="L82" s="229"/>
      <c r="M82" s="229"/>
      <c r="N82" s="229"/>
      <c r="O82" s="229"/>
      <c r="P82" s="229"/>
      <c r="Q82" s="229"/>
      <c r="R82" s="229"/>
      <c r="S82" s="229"/>
      <c r="T82" s="229"/>
      <c r="U82" s="229"/>
      <c r="V82" s="229"/>
      <c r="W82" s="229"/>
      <c r="X82" s="229"/>
      <c r="Y82" s="229"/>
      <c r="Z82" s="229"/>
      <c r="AA82" s="229"/>
      <c r="AB82" s="229"/>
      <c r="AC82" s="229"/>
    </row>
    <row r="83" spans="1:29" ht="12.75" customHeight="1">
      <c r="A83" s="229"/>
      <c r="B83" s="228"/>
      <c r="C83" s="228"/>
      <c r="D83" s="228"/>
      <c r="E83" s="228"/>
      <c r="F83" s="228"/>
      <c r="G83" s="228"/>
      <c r="H83" s="228"/>
      <c r="I83" s="228"/>
      <c r="J83" s="228"/>
      <c r="K83" s="228"/>
      <c r="L83" s="229"/>
      <c r="M83" s="229"/>
      <c r="N83" s="229"/>
      <c r="O83" s="229"/>
      <c r="P83" s="229"/>
      <c r="Q83" s="229"/>
      <c r="R83" s="229"/>
      <c r="S83" s="229"/>
      <c r="T83" s="229"/>
      <c r="U83" s="229"/>
      <c r="V83" s="229"/>
      <c r="W83" s="229"/>
      <c r="X83" s="229"/>
      <c r="Y83" s="229"/>
      <c r="Z83" s="229"/>
      <c r="AA83" s="229"/>
      <c r="AB83" s="229"/>
      <c r="AC83" s="229"/>
    </row>
    <row r="84" spans="1:29" ht="12.75" customHeight="1">
      <c r="A84" s="229"/>
      <c r="B84" s="228"/>
      <c r="C84" s="228"/>
      <c r="D84" s="228"/>
      <c r="E84" s="228"/>
      <c r="F84" s="228"/>
      <c r="G84" s="228"/>
      <c r="H84" s="228"/>
      <c r="I84" s="228"/>
      <c r="J84" s="228"/>
      <c r="K84" s="228"/>
      <c r="L84" s="229"/>
      <c r="M84" s="229"/>
      <c r="N84" s="229"/>
      <c r="O84" s="229"/>
      <c r="P84" s="229"/>
      <c r="Q84" s="229"/>
      <c r="R84" s="229"/>
      <c r="S84" s="229"/>
      <c r="T84" s="229"/>
      <c r="U84" s="229"/>
      <c r="V84" s="229"/>
      <c r="W84" s="229"/>
      <c r="X84" s="229"/>
      <c r="Y84" s="229"/>
      <c r="Z84" s="229"/>
      <c r="AA84" s="229"/>
      <c r="AB84" s="229"/>
      <c r="AC84" s="229"/>
    </row>
    <row r="85" spans="1:29" ht="12.75" customHeight="1">
      <c r="A85" s="229"/>
      <c r="B85" s="228"/>
      <c r="C85" s="228"/>
      <c r="D85" s="228"/>
      <c r="E85" s="228"/>
      <c r="F85" s="228"/>
      <c r="G85" s="228"/>
      <c r="H85" s="228"/>
      <c r="I85" s="228"/>
      <c r="J85" s="228"/>
      <c r="K85" s="228"/>
      <c r="L85" s="229"/>
      <c r="M85" s="229"/>
      <c r="N85" s="229"/>
      <c r="O85" s="229"/>
      <c r="P85" s="229"/>
      <c r="Q85" s="229"/>
      <c r="R85" s="229"/>
      <c r="S85" s="229"/>
      <c r="T85" s="229"/>
      <c r="U85" s="229"/>
      <c r="V85" s="229"/>
      <c r="W85" s="229"/>
      <c r="X85" s="229"/>
      <c r="Y85" s="229"/>
      <c r="Z85" s="229"/>
      <c r="AA85" s="229"/>
      <c r="AB85" s="229"/>
      <c r="AC85" s="229"/>
    </row>
    <row r="86" spans="1:29" ht="12.75" customHeight="1">
      <c r="A86" s="229"/>
      <c r="B86" s="228"/>
      <c r="C86" s="228"/>
      <c r="D86" s="228"/>
      <c r="E86" s="228"/>
      <c r="F86" s="228"/>
      <c r="G86" s="228"/>
      <c r="H86" s="228"/>
      <c r="I86" s="228"/>
      <c r="J86" s="228"/>
      <c r="K86" s="228"/>
      <c r="L86" s="229"/>
      <c r="M86" s="229"/>
      <c r="N86" s="229"/>
      <c r="O86" s="229"/>
      <c r="P86" s="229"/>
      <c r="Q86" s="229"/>
      <c r="R86" s="229"/>
      <c r="S86" s="229"/>
      <c r="T86" s="229"/>
      <c r="U86" s="229"/>
      <c r="V86" s="229"/>
      <c r="W86" s="229"/>
      <c r="X86" s="229"/>
      <c r="Y86" s="229"/>
      <c r="Z86" s="229"/>
      <c r="AA86" s="229"/>
      <c r="AB86" s="229"/>
      <c r="AC86" s="229"/>
    </row>
    <row r="87" spans="1:29" ht="12.75" customHeight="1">
      <c r="A87" s="229"/>
      <c r="B87" s="228"/>
      <c r="C87" s="228"/>
      <c r="D87" s="228"/>
      <c r="E87" s="228"/>
      <c r="F87" s="228"/>
      <c r="G87" s="228"/>
      <c r="H87" s="228"/>
      <c r="I87" s="228"/>
      <c r="J87" s="228"/>
      <c r="K87" s="228"/>
      <c r="L87" s="229"/>
      <c r="M87" s="229"/>
      <c r="N87" s="229"/>
      <c r="O87" s="229"/>
      <c r="P87" s="229"/>
      <c r="Q87" s="229"/>
      <c r="R87" s="229"/>
      <c r="S87" s="229"/>
      <c r="T87" s="229"/>
      <c r="U87" s="229"/>
      <c r="V87" s="229"/>
      <c r="W87" s="229"/>
      <c r="X87" s="229"/>
      <c r="Y87" s="229"/>
      <c r="Z87" s="229"/>
      <c r="AA87" s="229"/>
      <c r="AB87" s="229"/>
      <c r="AC87" s="229"/>
    </row>
    <row r="88" spans="1:29" ht="12.75" customHeight="1">
      <c r="A88" s="229"/>
      <c r="B88" s="228"/>
      <c r="C88" s="228"/>
      <c r="D88" s="228"/>
      <c r="E88" s="228"/>
      <c r="F88" s="228"/>
      <c r="G88" s="228"/>
      <c r="H88" s="228"/>
      <c r="I88" s="228"/>
      <c r="J88" s="228"/>
      <c r="K88" s="228"/>
      <c r="L88" s="229"/>
      <c r="M88" s="229"/>
      <c r="N88" s="229"/>
      <c r="O88" s="229"/>
      <c r="P88" s="229"/>
      <c r="Q88" s="229"/>
      <c r="R88" s="229"/>
      <c r="S88" s="229"/>
      <c r="T88" s="229"/>
      <c r="U88" s="229"/>
      <c r="V88" s="229"/>
      <c r="W88" s="229"/>
      <c r="X88" s="229"/>
      <c r="Y88" s="229"/>
      <c r="Z88" s="229"/>
      <c r="AA88" s="229"/>
      <c r="AB88" s="229"/>
      <c r="AC88" s="229"/>
    </row>
    <row r="89" spans="1:29" ht="12.75" customHeight="1">
      <c r="A89" s="229"/>
      <c r="B89" s="228"/>
      <c r="C89" s="228"/>
      <c r="D89" s="228"/>
      <c r="E89" s="228"/>
      <c r="F89" s="228"/>
      <c r="G89" s="228"/>
      <c r="H89" s="228"/>
      <c r="I89" s="228"/>
      <c r="J89" s="228"/>
      <c r="K89" s="228"/>
      <c r="L89" s="229"/>
      <c r="M89" s="229"/>
      <c r="N89" s="229"/>
      <c r="O89" s="229"/>
      <c r="P89" s="229"/>
      <c r="Q89" s="229"/>
      <c r="R89" s="229"/>
      <c r="S89" s="229"/>
      <c r="T89" s="229"/>
      <c r="U89" s="229"/>
      <c r="V89" s="229"/>
      <c r="W89" s="229"/>
      <c r="X89" s="229"/>
      <c r="Y89" s="229"/>
      <c r="Z89" s="229"/>
      <c r="AA89" s="229"/>
      <c r="AB89" s="229"/>
      <c r="AC89" s="229"/>
    </row>
    <row r="90" spans="1:29" ht="12.75" customHeight="1">
      <c r="A90" s="229"/>
      <c r="B90" s="228"/>
      <c r="C90" s="228"/>
      <c r="D90" s="228"/>
      <c r="E90" s="228"/>
      <c r="F90" s="228"/>
      <c r="G90" s="228"/>
      <c r="H90" s="228"/>
      <c r="I90" s="228"/>
      <c r="J90" s="228"/>
      <c r="K90" s="228"/>
      <c r="L90" s="229"/>
      <c r="M90" s="229"/>
      <c r="N90" s="229"/>
      <c r="O90" s="229"/>
      <c r="P90" s="229"/>
      <c r="Q90" s="229"/>
      <c r="R90" s="229"/>
      <c r="S90" s="229"/>
      <c r="T90" s="229"/>
      <c r="U90" s="229"/>
      <c r="V90" s="229"/>
      <c r="W90" s="229"/>
      <c r="X90" s="229"/>
      <c r="Y90" s="229"/>
      <c r="Z90" s="229"/>
      <c r="AA90" s="229"/>
      <c r="AB90" s="229"/>
      <c r="AC90" s="229"/>
    </row>
    <row r="91" spans="1:29" ht="12.75" customHeight="1">
      <c r="A91" s="229"/>
      <c r="B91" s="228"/>
      <c r="C91" s="228"/>
      <c r="D91" s="228"/>
      <c r="E91" s="228"/>
      <c r="F91" s="228"/>
      <c r="G91" s="228"/>
      <c r="H91" s="228"/>
      <c r="I91" s="228"/>
      <c r="J91" s="228"/>
      <c r="K91" s="228"/>
      <c r="L91" s="229"/>
      <c r="M91" s="229"/>
      <c r="N91" s="229"/>
      <c r="O91" s="229"/>
      <c r="P91" s="229"/>
      <c r="Q91" s="229"/>
      <c r="R91" s="229"/>
      <c r="S91" s="229"/>
      <c r="T91" s="229"/>
      <c r="U91" s="229"/>
      <c r="V91" s="229"/>
      <c r="W91" s="229"/>
      <c r="X91" s="229"/>
      <c r="Y91" s="229"/>
      <c r="Z91" s="229"/>
      <c r="AA91" s="229"/>
      <c r="AB91" s="229"/>
      <c r="AC91" s="229"/>
    </row>
    <row r="92" spans="1:29" ht="12.75" customHeight="1">
      <c r="A92" s="229"/>
      <c r="B92" s="228"/>
      <c r="C92" s="228"/>
      <c r="D92" s="228"/>
      <c r="E92" s="228"/>
      <c r="F92" s="228"/>
      <c r="G92" s="228"/>
      <c r="H92" s="228"/>
      <c r="I92" s="228"/>
      <c r="J92" s="228"/>
      <c r="K92" s="228"/>
      <c r="L92" s="229"/>
      <c r="M92" s="229"/>
      <c r="N92" s="229"/>
      <c r="O92" s="229"/>
      <c r="P92" s="229"/>
      <c r="Q92" s="229"/>
      <c r="R92" s="229"/>
      <c r="S92" s="229"/>
      <c r="T92" s="229"/>
      <c r="U92" s="229"/>
      <c r="V92" s="229"/>
      <c r="W92" s="229"/>
      <c r="X92" s="229"/>
      <c r="Y92" s="229"/>
      <c r="Z92" s="229"/>
      <c r="AA92" s="229"/>
      <c r="AB92" s="229"/>
      <c r="AC92" s="229"/>
    </row>
    <row r="93" spans="1:29" ht="12.75" customHeight="1">
      <c r="A93" s="229"/>
      <c r="B93" s="228"/>
      <c r="C93" s="228"/>
      <c r="D93" s="228"/>
      <c r="E93" s="228"/>
      <c r="F93" s="228"/>
      <c r="G93" s="228"/>
      <c r="H93" s="228"/>
      <c r="I93" s="228"/>
      <c r="J93" s="228"/>
      <c r="K93" s="228"/>
      <c r="L93" s="229"/>
      <c r="M93" s="229"/>
      <c r="N93" s="229"/>
      <c r="O93" s="229"/>
      <c r="P93" s="229"/>
      <c r="Q93" s="229"/>
      <c r="R93" s="229"/>
      <c r="S93" s="229"/>
      <c r="T93" s="229"/>
      <c r="U93" s="229"/>
      <c r="V93" s="229"/>
      <c r="W93" s="229"/>
      <c r="X93" s="229"/>
      <c r="Y93" s="229"/>
      <c r="Z93" s="229"/>
      <c r="AA93" s="229"/>
      <c r="AB93" s="229"/>
      <c r="AC93" s="229"/>
    </row>
    <row r="94" spans="1:29" ht="12.75" customHeight="1">
      <c r="A94" s="229"/>
      <c r="B94" s="228"/>
      <c r="C94" s="228"/>
      <c r="D94" s="228"/>
      <c r="E94" s="228"/>
      <c r="F94" s="228"/>
      <c r="G94" s="228"/>
      <c r="H94" s="228"/>
      <c r="I94" s="228"/>
      <c r="J94" s="228"/>
      <c r="K94" s="228"/>
      <c r="L94" s="229"/>
      <c r="M94" s="229"/>
      <c r="N94" s="229"/>
      <c r="O94" s="229"/>
      <c r="P94" s="229"/>
      <c r="Q94" s="229"/>
      <c r="R94" s="229"/>
      <c r="S94" s="229"/>
      <c r="T94" s="229"/>
      <c r="U94" s="229"/>
      <c r="V94" s="229"/>
      <c r="W94" s="229"/>
      <c r="X94" s="229"/>
      <c r="Y94" s="229"/>
      <c r="Z94" s="229"/>
      <c r="AA94" s="229"/>
      <c r="AB94" s="229"/>
      <c r="AC94" s="229"/>
    </row>
    <row r="95" spans="1:29" ht="12.75" customHeight="1">
      <c r="A95" s="229"/>
      <c r="B95" s="228"/>
      <c r="C95" s="228"/>
      <c r="D95" s="228"/>
      <c r="E95" s="228"/>
      <c r="F95" s="228"/>
      <c r="G95" s="228"/>
      <c r="H95" s="228"/>
      <c r="I95" s="228"/>
      <c r="J95" s="228"/>
      <c r="K95" s="228"/>
      <c r="L95" s="229"/>
      <c r="M95" s="229"/>
      <c r="N95" s="229"/>
      <c r="O95" s="229"/>
      <c r="P95" s="229"/>
      <c r="Q95" s="229"/>
      <c r="R95" s="229"/>
      <c r="S95" s="229"/>
      <c r="T95" s="229"/>
      <c r="U95" s="229"/>
      <c r="V95" s="229"/>
      <c r="W95" s="229"/>
      <c r="X95" s="229"/>
      <c r="Y95" s="229"/>
      <c r="Z95" s="229"/>
      <c r="AA95" s="229"/>
      <c r="AB95" s="229"/>
      <c r="AC95" s="229"/>
    </row>
    <row r="96" spans="1:29" ht="12.75" customHeight="1">
      <c r="A96" s="229"/>
      <c r="B96" s="228"/>
      <c r="C96" s="228"/>
      <c r="D96" s="228"/>
      <c r="E96" s="228"/>
      <c r="F96" s="228"/>
      <c r="G96" s="228"/>
      <c r="H96" s="228"/>
      <c r="I96" s="228"/>
      <c r="J96" s="228"/>
      <c r="K96" s="228"/>
      <c r="L96" s="229"/>
      <c r="M96" s="229"/>
      <c r="N96" s="229"/>
      <c r="O96" s="229"/>
      <c r="P96" s="229"/>
      <c r="Q96" s="229"/>
      <c r="R96" s="229"/>
      <c r="S96" s="229"/>
      <c r="T96" s="229"/>
      <c r="U96" s="229"/>
      <c r="V96" s="229"/>
      <c r="W96" s="229"/>
      <c r="X96" s="229"/>
      <c r="Y96" s="229"/>
      <c r="Z96" s="229"/>
      <c r="AA96" s="229"/>
      <c r="AB96" s="229"/>
      <c r="AC96" s="229"/>
    </row>
    <row r="97" spans="1:29" ht="12.75" customHeight="1">
      <c r="A97" s="229"/>
      <c r="B97" s="228"/>
      <c r="C97" s="228"/>
      <c r="D97" s="228"/>
      <c r="E97" s="228"/>
      <c r="F97" s="228"/>
      <c r="G97" s="228"/>
      <c r="H97" s="228"/>
      <c r="I97" s="228"/>
      <c r="J97" s="228"/>
      <c r="K97" s="228"/>
      <c r="L97" s="229"/>
      <c r="M97" s="229"/>
      <c r="N97" s="229"/>
      <c r="O97" s="229"/>
      <c r="P97" s="229"/>
      <c r="Q97" s="229"/>
      <c r="R97" s="229"/>
      <c r="S97" s="229"/>
      <c r="T97" s="229"/>
      <c r="U97" s="229"/>
      <c r="V97" s="229"/>
      <c r="W97" s="229"/>
      <c r="X97" s="229"/>
      <c r="Y97" s="229"/>
      <c r="Z97" s="229"/>
      <c r="AA97" s="229"/>
      <c r="AB97" s="229"/>
      <c r="AC97" s="229"/>
    </row>
    <row r="98" spans="1:29" ht="12.75" customHeight="1">
      <c r="A98" s="229"/>
      <c r="B98" s="228"/>
      <c r="C98" s="228"/>
      <c r="D98" s="228"/>
      <c r="E98" s="228"/>
      <c r="F98" s="228"/>
      <c r="G98" s="228"/>
      <c r="H98" s="228"/>
      <c r="I98" s="228"/>
      <c r="J98" s="228"/>
      <c r="K98" s="228"/>
      <c r="L98" s="229"/>
      <c r="M98" s="229"/>
      <c r="N98" s="229"/>
      <c r="O98" s="229"/>
      <c r="P98" s="229"/>
      <c r="Q98" s="229"/>
      <c r="R98" s="229"/>
      <c r="S98" s="229"/>
      <c r="T98" s="229"/>
      <c r="U98" s="229"/>
      <c r="V98" s="229"/>
      <c r="W98" s="229"/>
      <c r="X98" s="229"/>
      <c r="Y98" s="229"/>
      <c r="Z98" s="229"/>
      <c r="AA98" s="229"/>
      <c r="AB98" s="229"/>
      <c r="AC98" s="229"/>
    </row>
    <row r="99" spans="1:29" ht="12.75" customHeight="1">
      <c r="A99" s="229"/>
      <c r="B99" s="228"/>
      <c r="C99" s="228"/>
      <c r="D99" s="228"/>
      <c r="E99" s="228"/>
      <c r="F99" s="228"/>
      <c r="G99" s="228"/>
      <c r="H99" s="228"/>
      <c r="I99" s="228"/>
      <c r="J99" s="228"/>
      <c r="K99" s="228"/>
      <c r="L99" s="229"/>
      <c r="M99" s="229"/>
      <c r="N99" s="229"/>
      <c r="O99" s="229"/>
      <c r="P99" s="229"/>
      <c r="Q99" s="229"/>
      <c r="R99" s="229"/>
      <c r="S99" s="229"/>
      <c r="T99" s="229"/>
      <c r="U99" s="229"/>
      <c r="V99" s="229"/>
      <c r="W99" s="229"/>
      <c r="X99" s="229"/>
      <c r="Y99" s="229"/>
      <c r="Z99" s="229"/>
      <c r="AA99" s="229"/>
      <c r="AB99" s="229"/>
      <c r="AC99" s="229"/>
    </row>
    <row r="100" spans="1:29" ht="12.75" customHeight="1">
      <c r="A100" s="229"/>
      <c r="B100" s="228"/>
      <c r="C100" s="228"/>
      <c r="D100" s="228"/>
      <c r="E100" s="228"/>
      <c r="F100" s="228"/>
      <c r="G100" s="228"/>
      <c r="H100" s="228"/>
      <c r="I100" s="228"/>
      <c r="J100" s="228"/>
      <c r="K100" s="228"/>
      <c r="L100" s="229"/>
      <c r="M100" s="229"/>
      <c r="N100" s="229"/>
      <c r="O100" s="229"/>
      <c r="P100" s="229"/>
      <c r="Q100" s="229"/>
      <c r="R100" s="229"/>
      <c r="S100" s="229"/>
      <c r="T100" s="229"/>
      <c r="U100" s="229"/>
      <c r="V100" s="229"/>
      <c r="W100" s="229"/>
      <c r="X100" s="229"/>
      <c r="Y100" s="229"/>
      <c r="Z100" s="229"/>
      <c r="AA100" s="229"/>
      <c r="AB100" s="229"/>
      <c r="AC100" s="229"/>
    </row>
    <row r="101" spans="1:29" ht="12.75" customHeight="1">
      <c r="A101" s="229"/>
      <c r="B101" s="228"/>
      <c r="C101" s="228"/>
      <c r="D101" s="228"/>
      <c r="E101" s="228"/>
      <c r="F101" s="228"/>
      <c r="G101" s="228"/>
      <c r="H101" s="228"/>
      <c r="I101" s="228"/>
      <c r="J101" s="228"/>
      <c r="K101" s="228"/>
      <c r="L101" s="229"/>
      <c r="M101" s="229"/>
      <c r="N101" s="229"/>
      <c r="O101" s="229"/>
      <c r="P101" s="229"/>
      <c r="Q101" s="229"/>
      <c r="R101" s="229"/>
      <c r="S101" s="229"/>
      <c r="T101" s="229"/>
      <c r="U101" s="229"/>
      <c r="V101" s="229"/>
      <c r="W101" s="229"/>
      <c r="X101" s="229"/>
      <c r="Y101" s="229"/>
      <c r="Z101" s="229"/>
      <c r="AA101" s="229"/>
      <c r="AB101" s="229"/>
      <c r="AC101" s="229"/>
    </row>
    <row r="102" spans="1:29" ht="12.75" customHeight="1">
      <c r="A102" s="229"/>
      <c r="B102" s="228"/>
      <c r="C102" s="228"/>
      <c r="D102" s="228"/>
      <c r="E102" s="228"/>
      <c r="F102" s="228"/>
      <c r="G102" s="228"/>
      <c r="H102" s="228"/>
      <c r="I102" s="228"/>
      <c r="J102" s="228"/>
      <c r="K102" s="228"/>
      <c r="L102" s="229"/>
      <c r="M102" s="229"/>
      <c r="N102" s="229"/>
      <c r="O102" s="229"/>
      <c r="P102" s="229"/>
      <c r="Q102" s="229"/>
      <c r="R102" s="229"/>
      <c r="S102" s="229"/>
      <c r="T102" s="229"/>
      <c r="U102" s="229"/>
      <c r="V102" s="229"/>
      <c r="W102" s="229"/>
      <c r="X102" s="229"/>
      <c r="Y102" s="229"/>
      <c r="Z102" s="229"/>
      <c r="AA102" s="229"/>
      <c r="AB102" s="229"/>
      <c r="AC102" s="229"/>
    </row>
    <row r="103" spans="1:29" ht="12.75" customHeight="1">
      <c r="A103" s="229"/>
      <c r="B103" s="228"/>
      <c r="C103" s="228"/>
      <c r="D103" s="228"/>
      <c r="E103" s="228"/>
      <c r="F103" s="228"/>
      <c r="G103" s="228"/>
      <c r="H103" s="228"/>
      <c r="I103" s="228"/>
      <c r="J103" s="228"/>
      <c r="K103" s="228"/>
      <c r="L103" s="229"/>
      <c r="M103" s="229"/>
      <c r="N103" s="229"/>
      <c r="O103" s="229"/>
      <c r="P103" s="229"/>
      <c r="Q103" s="229"/>
      <c r="R103" s="229"/>
      <c r="S103" s="229"/>
      <c r="T103" s="229"/>
      <c r="U103" s="229"/>
      <c r="V103" s="229"/>
      <c r="W103" s="229"/>
      <c r="X103" s="229"/>
      <c r="Y103" s="229"/>
      <c r="Z103" s="229"/>
      <c r="AA103" s="229"/>
      <c r="AB103" s="229"/>
      <c r="AC103" s="229"/>
    </row>
    <row r="104" spans="1:29" ht="12.75" customHeight="1">
      <c r="A104" s="229"/>
      <c r="B104" s="228"/>
      <c r="C104" s="228"/>
      <c r="D104" s="228"/>
      <c r="E104" s="228"/>
      <c r="F104" s="228"/>
      <c r="G104" s="228"/>
      <c r="H104" s="228"/>
      <c r="I104" s="228"/>
      <c r="J104" s="228"/>
      <c r="K104" s="228"/>
      <c r="L104" s="229"/>
      <c r="M104" s="229"/>
      <c r="N104" s="229"/>
      <c r="O104" s="229"/>
      <c r="P104" s="229"/>
      <c r="Q104" s="229"/>
      <c r="R104" s="229"/>
      <c r="S104" s="229"/>
      <c r="T104" s="229"/>
      <c r="U104" s="229"/>
      <c r="V104" s="229"/>
      <c r="W104" s="229"/>
      <c r="X104" s="229"/>
      <c r="Y104" s="229"/>
      <c r="Z104" s="229"/>
      <c r="AA104" s="229"/>
      <c r="AB104" s="229"/>
      <c r="AC104" s="229"/>
    </row>
    <row r="105" spans="1:29" ht="12.75" customHeight="1">
      <c r="A105" s="229"/>
      <c r="B105" s="228"/>
      <c r="C105" s="228"/>
      <c r="D105" s="228"/>
      <c r="E105" s="228"/>
      <c r="F105" s="228"/>
      <c r="G105" s="228"/>
      <c r="H105" s="228"/>
      <c r="I105" s="228"/>
      <c r="J105" s="228"/>
      <c r="K105" s="228"/>
      <c r="L105" s="229"/>
      <c r="M105" s="229"/>
      <c r="N105" s="229"/>
      <c r="O105" s="229"/>
      <c r="P105" s="229"/>
      <c r="Q105" s="229"/>
      <c r="R105" s="229"/>
      <c r="S105" s="229"/>
      <c r="T105" s="229"/>
      <c r="U105" s="229"/>
      <c r="V105" s="229"/>
      <c r="W105" s="229"/>
      <c r="X105" s="229"/>
      <c r="Y105" s="229"/>
      <c r="Z105" s="229"/>
      <c r="AA105" s="229"/>
      <c r="AB105" s="229"/>
      <c r="AC105" s="229"/>
    </row>
    <row r="106" spans="1:29" ht="12.75" customHeight="1">
      <c r="A106" s="229"/>
      <c r="B106" s="228"/>
      <c r="C106" s="228"/>
      <c r="D106" s="228"/>
      <c r="E106" s="228"/>
      <c r="F106" s="228"/>
      <c r="G106" s="228"/>
      <c r="H106" s="228"/>
      <c r="I106" s="228"/>
      <c r="J106" s="228"/>
      <c r="K106" s="228"/>
      <c r="L106" s="229"/>
      <c r="M106" s="229"/>
      <c r="N106" s="229"/>
      <c r="O106" s="229"/>
      <c r="P106" s="229"/>
      <c r="Q106" s="229"/>
      <c r="R106" s="229"/>
      <c r="S106" s="229"/>
      <c r="T106" s="229"/>
      <c r="U106" s="229"/>
      <c r="V106" s="229"/>
      <c r="W106" s="229"/>
      <c r="X106" s="229"/>
      <c r="Y106" s="229"/>
      <c r="Z106" s="229"/>
      <c r="AA106" s="229"/>
      <c r="AB106" s="229"/>
      <c r="AC106" s="229"/>
    </row>
    <row r="107" spans="1:29" ht="12.75" customHeight="1">
      <c r="A107" s="229"/>
      <c r="B107" s="228"/>
      <c r="C107" s="228"/>
      <c r="D107" s="228"/>
      <c r="E107" s="228"/>
      <c r="F107" s="228"/>
      <c r="G107" s="228"/>
      <c r="H107" s="228"/>
      <c r="I107" s="228"/>
      <c r="J107" s="228"/>
      <c r="K107" s="228"/>
      <c r="L107" s="229"/>
      <c r="M107" s="229"/>
      <c r="N107" s="229"/>
      <c r="O107" s="229"/>
      <c r="P107" s="229"/>
      <c r="Q107" s="229"/>
      <c r="R107" s="229"/>
      <c r="S107" s="229"/>
      <c r="T107" s="229"/>
      <c r="U107" s="229"/>
      <c r="V107" s="229"/>
      <c r="W107" s="229"/>
      <c r="X107" s="229"/>
      <c r="Y107" s="229"/>
      <c r="Z107" s="229"/>
      <c r="AA107" s="229"/>
      <c r="AB107" s="229"/>
      <c r="AC107" s="229"/>
    </row>
    <row r="108" spans="1:29" ht="12.75" customHeight="1">
      <c r="A108" s="229"/>
      <c r="B108" s="228"/>
      <c r="C108" s="228"/>
      <c r="D108" s="228"/>
      <c r="E108" s="228"/>
      <c r="F108" s="228"/>
      <c r="G108" s="228"/>
      <c r="H108" s="228"/>
      <c r="I108" s="228"/>
      <c r="J108" s="228"/>
      <c r="K108" s="228"/>
      <c r="L108" s="229"/>
      <c r="M108" s="229"/>
      <c r="N108" s="229"/>
      <c r="O108" s="229"/>
      <c r="P108" s="229"/>
      <c r="Q108" s="229"/>
      <c r="R108" s="229"/>
      <c r="S108" s="229"/>
      <c r="T108" s="229"/>
      <c r="U108" s="229"/>
      <c r="V108" s="229"/>
      <c r="W108" s="229"/>
      <c r="X108" s="229"/>
      <c r="Y108" s="229"/>
      <c r="Z108" s="229"/>
      <c r="AA108" s="229"/>
      <c r="AB108" s="229"/>
      <c r="AC108" s="229"/>
    </row>
    <row r="109" spans="1:29" ht="12.75" customHeight="1">
      <c r="A109" s="229"/>
      <c r="B109" s="228"/>
      <c r="C109" s="228"/>
      <c r="D109" s="228"/>
      <c r="E109" s="228"/>
      <c r="F109" s="228"/>
      <c r="G109" s="228"/>
      <c r="H109" s="228"/>
      <c r="I109" s="228"/>
      <c r="J109" s="228"/>
      <c r="K109" s="228"/>
      <c r="L109" s="229"/>
      <c r="M109" s="229"/>
      <c r="N109" s="229"/>
      <c r="O109" s="229"/>
      <c r="P109" s="229"/>
      <c r="Q109" s="229"/>
      <c r="R109" s="229"/>
      <c r="S109" s="229"/>
      <c r="T109" s="229"/>
      <c r="U109" s="229"/>
      <c r="V109" s="229"/>
      <c r="W109" s="229"/>
      <c r="X109" s="229"/>
      <c r="Y109" s="229"/>
      <c r="Z109" s="229"/>
      <c r="AA109" s="229"/>
      <c r="AB109" s="229"/>
      <c r="AC109" s="229"/>
    </row>
    <row r="110" spans="1:29" ht="12.75" customHeight="1">
      <c r="A110" s="229"/>
      <c r="B110" s="228"/>
      <c r="C110" s="228"/>
      <c r="D110" s="228"/>
      <c r="E110" s="228"/>
      <c r="F110" s="228"/>
      <c r="G110" s="228"/>
      <c r="H110" s="228"/>
      <c r="I110" s="228"/>
      <c r="J110" s="228"/>
      <c r="K110" s="228"/>
      <c r="L110" s="229"/>
      <c r="M110" s="229"/>
      <c r="N110" s="229"/>
      <c r="O110" s="229"/>
      <c r="P110" s="229"/>
      <c r="Q110" s="229"/>
      <c r="R110" s="229"/>
      <c r="S110" s="229"/>
      <c r="T110" s="229"/>
      <c r="U110" s="229"/>
      <c r="V110" s="229"/>
      <c r="W110" s="229"/>
      <c r="X110" s="229"/>
      <c r="Y110" s="229"/>
      <c r="Z110" s="229"/>
      <c r="AA110" s="229"/>
      <c r="AB110" s="229"/>
      <c r="AC110" s="229"/>
    </row>
    <row r="111" spans="1:29" ht="12.75" customHeight="1">
      <c r="A111" s="229"/>
      <c r="B111" s="228"/>
      <c r="C111" s="228"/>
      <c r="D111" s="228"/>
      <c r="E111" s="228"/>
      <c r="F111" s="228"/>
      <c r="G111" s="228"/>
      <c r="H111" s="228"/>
      <c r="I111" s="228"/>
      <c r="J111" s="228"/>
      <c r="K111" s="228"/>
      <c r="L111" s="229"/>
      <c r="M111" s="229"/>
      <c r="N111" s="229"/>
      <c r="O111" s="229"/>
      <c r="P111" s="229"/>
      <c r="Q111" s="229"/>
      <c r="R111" s="229"/>
      <c r="S111" s="229"/>
      <c r="T111" s="229"/>
      <c r="U111" s="229"/>
      <c r="V111" s="229"/>
      <c r="W111" s="229"/>
      <c r="X111" s="229"/>
      <c r="Y111" s="229"/>
      <c r="Z111" s="229"/>
      <c r="AA111" s="229"/>
      <c r="AB111" s="229"/>
      <c r="AC111" s="229"/>
    </row>
    <row r="112" spans="1:29" ht="12.75" customHeight="1">
      <c r="A112" s="229"/>
      <c r="B112" s="228"/>
      <c r="C112" s="228"/>
      <c r="D112" s="228"/>
      <c r="E112" s="228"/>
      <c r="F112" s="228"/>
      <c r="G112" s="228"/>
      <c r="H112" s="228"/>
      <c r="I112" s="228"/>
      <c r="J112" s="228"/>
      <c r="K112" s="228"/>
      <c r="L112" s="229"/>
      <c r="M112" s="229"/>
      <c r="N112" s="229"/>
      <c r="O112" s="229"/>
      <c r="P112" s="229"/>
      <c r="Q112" s="229"/>
      <c r="R112" s="229"/>
      <c r="S112" s="229"/>
      <c r="T112" s="229"/>
      <c r="U112" s="229"/>
      <c r="V112" s="229"/>
      <c r="W112" s="229"/>
      <c r="X112" s="229"/>
      <c r="Y112" s="229"/>
      <c r="Z112" s="229"/>
      <c r="AA112" s="229"/>
      <c r="AB112" s="229"/>
      <c r="AC112" s="229"/>
    </row>
    <row r="113" spans="1:29" ht="12.75" customHeight="1">
      <c r="A113" s="229"/>
      <c r="B113" s="228"/>
      <c r="C113" s="228"/>
      <c r="D113" s="228"/>
      <c r="E113" s="228"/>
      <c r="F113" s="228"/>
      <c r="G113" s="228"/>
      <c r="H113" s="228"/>
      <c r="I113" s="228"/>
      <c r="J113" s="228"/>
      <c r="K113" s="228"/>
      <c r="L113" s="229"/>
      <c r="M113" s="229"/>
      <c r="N113" s="229"/>
      <c r="O113" s="229"/>
      <c r="P113" s="229"/>
      <c r="Q113" s="229"/>
      <c r="R113" s="229"/>
      <c r="S113" s="229"/>
      <c r="T113" s="229"/>
      <c r="U113" s="229"/>
      <c r="V113" s="229"/>
      <c r="W113" s="229"/>
      <c r="X113" s="229"/>
      <c r="Y113" s="229"/>
      <c r="Z113" s="229"/>
      <c r="AA113" s="229"/>
      <c r="AB113" s="229"/>
      <c r="AC113" s="229"/>
    </row>
    <row r="114" spans="1:29" ht="12.75" customHeight="1">
      <c r="A114" s="229"/>
      <c r="B114" s="228"/>
      <c r="C114" s="228"/>
      <c r="D114" s="228"/>
      <c r="E114" s="228"/>
      <c r="F114" s="228"/>
      <c r="G114" s="228"/>
      <c r="H114" s="228"/>
      <c r="I114" s="228"/>
      <c r="J114" s="228"/>
      <c r="K114" s="228"/>
      <c r="L114" s="229"/>
      <c r="M114" s="229"/>
      <c r="N114" s="229"/>
      <c r="O114" s="229"/>
      <c r="P114" s="229"/>
      <c r="Q114" s="229"/>
      <c r="R114" s="229"/>
      <c r="S114" s="229"/>
      <c r="T114" s="229"/>
      <c r="U114" s="229"/>
      <c r="V114" s="229"/>
      <c r="W114" s="229"/>
      <c r="X114" s="229"/>
      <c r="Y114" s="229"/>
      <c r="Z114" s="229"/>
      <c r="AA114" s="229"/>
      <c r="AB114" s="229"/>
      <c r="AC114" s="229"/>
    </row>
    <row r="115" spans="1:29" ht="12.75" customHeight="1">
      <c r="A115" s="229"/>
      <c r="B115" s="228"/>
      <c r="C115" s="228"/>
      <c r="D115" s="228"/>
      <c r="E115" s="228"/>
      <c r="F115" s="228"/>
      <c r="G115" s="228"/>
      <c r="H115" s="228"/>
      <c r="I115" s="228"/>
      <c r="J115" s="228"/>
      <c r="K115" s="228"/>
      <c r="L115" s="229"/>
      <c r="M115" s="229"/>
      <c r="N115" s="229"/>
      <c r="O115" s="229"/>
      <c r="P115" s="229"/>
      <c r="Q115" s="229"/>
      <c r="R115" s="229"/>
      <c r="S115" s="229"/>
      <c r="T115" s="229"/>
      <c r="U115" s="229"/>
      <c r="V115" s="229"/>
      <c r="W115" s="229"/>
      <c r="X115" s="229"/>
      <c r="Y115" s="229"/>
      <c r="Z115" s="229"/>
      <c r="AA115" s="229"/>
      <c r="AB115" s="229"/>
      <c r="AC115" s="229"/>
    </row>
    <row r="116" spans="1:29" ht="12.75" customHeight="1">
      <c r="A116" s="229"/>
      <c r="B116" s="228"/>
      <c r="C116" s="228"/>
      <c r="D116" s="228"/>
      <c r="E116" s="228"/>
      <c r="F116" s="228"/>
      <c r="G116" s="228"/>
      <c r="H116" s="228"/>
      <c r="I116" s="228"/>
      <c r="J116" s="228"/>
      <c r="K116" s="228"/>
      <c r="L116" s="229"/>
      <c r="M116" s="229"/>
      <c r="N116" s="229"/>
      <c r="O116" s="229"/>
      <c r="P116" s="229"/>
      <c r="Q116" s="229"/>
      <c r="R116" s="229"/>
      <c r="S116" s="229"/>
      <c r="T116" s="229"/>
      <c r="U116" s="229"/>
      <c r="V116" s="229"/>
      <c r="W116" s="229"/>
      <c r="X116" s="229"/>
      <c r="Y116" s="229"/>
      <c r="Z116" s="229"/>
      <c r="AA116" s="229"/>
      <c r="AB116" s="229"/>
      <c r="AC116" s="229"/>
    </row>
    <row r="117" spans="1:29" ht="12.75" customHeight="1">
      <c r="A117" s="229"/>
      <c r="B117" s="228"/>
      <c r="C117" s="228"/>
      <c r="D117" s="228"/>
      <c r="E117" s="228"/>
      <c r="F117" s="228"/>
      <c r="G117" s="228"/>
      <c r="H117" s="228"/>
      <c r="I117" s="228"/>
      <c r="J117" s="228"/>
      <c r="K117" s="228"/>
      <c r="L117" s="229"/>
      <c r="M117" s="229"/>
      <c r="N117" s="229"/>
      <c r="O117" s="229"/>
      <c r="P117" s="229"/>
      <c r="Q117" s="229"/>
      <c r="R117" s="229"/>
      <c r="S117" s="229"/>
      <c r="T117" s="229"/>
      <c r="U117" s="229"/>
      <c r="V117" s="229"/>
      <c r="W117" s="229"/>
      <c r="X117" s="229"/>
      <c r="Y117" s="229"/>
      <c r="Z117" s="229"/>
      <c r="AA117" s="229"/>
      <c r="AB117" s="229"/>
      <c r="AC117" s="229"/>
    </row>
    <row r="118" spans="1:29" ht="12.75" customHeight="1">
      <c r="A118" s="229"/>
      <c r="B118" s="228"/>
      <c r="C118" s="228"/>
      <c r="D118" s="228"/>
      <c r="E118" s="228"/>
      <c r="F118" s="228"/>
      <c r="G118" s="228"/>
      <c r="H118" s="228"/>
      <c r="I118" s="228"/>
      <c r="J118" s="228"/>
      <c r="K118" s="228"/>
      <c r="L118" s="229"/>
      <c r="M118" s="229"/>
      <c r="N118" s="229"/>
      <c r="O118" s="229"/>
      <c r="P118" s="229"/>
      <c r="Q118" s="229"/>
      <c r="R118" s="229"/>
      <c r="S118" s="229"/>
      <c r="T118" s="229"/>
      <c r="U118" s="229"/>
      <c r="V118" s="229"/>
      <c r="W118" s="229"/>
      <c r="X118" s="229"/>
      <c r="Y118" s="229"/>
      <c r="Z118" s="229"/>
      <c r="AA118" s="229"/>
      <c r="AB118" s="229"/>
      <c r="AC118" s="229"/>
    </row>
    <row r="119" spans="1:29" ht="12.75" customHeight="1">
      <c r="A119" s="229"/>
      <c r="B119" s="228"/>
      <c r="C119" s="228"/>
      <c r="D119" s="228"/>
      <c r="E119" s="228"/>
      <c r="F119" s="228"/>
      <c r="G119" s="228"/>
      <c r="H119" s="228"/>
      <c r="I119" s="228"/>
      <c r="J119" s="228"/>
      <c r="K119" s="228"/>
      <c r="L119" s="229"/>
      <c r="M119" s="229"/>
      <c r="N119" s="229"/>
      <c r="O119" s="229"/>
      <c r="P119" s="229"/>
      <c r="Q119" s="229"/>
      <c r="R119" s="229"/>
      <c r="S119" s="229"/>
      <c r="T119" s="229"/>
      <c r="U119" s="229"/>
      <c r="V119" s="229"/>
      <c r="W119" s="229"/>
      <c r="X119" s="229"/>
      <c r="Y119" s="229"/>
      <c r="Z119" s="229"/>
      <c r="AA119" s="229"/>
      <c r="AB119" s="229"/>
      <c r="AC119" s="229"/>
    </row>
    <row r="120" spans="1:29" ht="12.75" customHeight="1">
      <c r="A120" s="229"/>
      <c r="B120" s="228"/>
      <c r="C120" s="228"/>
      <c r="D120" s="228"/>
      <c r="E120" s="228"/>
      <c r="F120" s="228"/>
      <c r="G120" s="228"/>
      <c r="H120" s="228"/>
      <c r="I120" s="228"/>
      <c r="J120" s="228"/>
      <c r="K120" s="228"/>
      <c r="L120" s="229"/>
      <c r="M120" s="229"/>
      <c r="N120" s="229"/>
      <c r="O120" s="229"/>
      <c r="P120" s="229"/>
      <c r="Q120" s="229"/>
      <c r="R120" s="229"/>
      <c r="S120" s="229"/>
      <c r="T120" s="229"/>
      <c r="U120" s="229"/>
      <c r="V120" s="229"/>
      <c r="W120" s="229"/>
      <c r="X120" s="229"/>
      <c r="Y120" s="229"/>
      <c r="Z120" s="229"/>
      <c r="AA120" s="229"/>
      <c r="AB120" s="229"/>
      <c r="AC120" s="229"/>
    </row>
    <row r="121" spans="1:29" ht="12.75" customHeight="1">
      <c r="A121" s="229"/>
      <c r="B121" s="228"/>
      <c r="C121" s="228"/>
      <c r="D121" s="228"/>
      <c r="E121" s="228"/>
      <c r="F121" s="228"/>
      <c r="G121" s="228"/>
      <c r="H121" s="228"/>
      <c r="I121" s="228"/>
      <c r="J121" s="228"/>
      <c r="K121" s="228"/>
      <c r="L121" s="229"/>
      <c r="M121" s="229"/>
      <c r="N121" s="229"/>
      <c r="O121" s="229"/>
      <c r="P121" s="229"/>
      <c r="Q121" s="229"/>
      <c r="R121" s="229"/>
      <c r="S121" s="229"/>
      <c r="T121" s="229"/>
      <c r="U121" s="229"/>
      <c r="V121" s="229"/>
      <c r="W121" s="229"/>
      <c r="X121" s="229"/>
      <c r="Y121" s="229"/>
      <c r="Z121" s="229"/>
      <c r="AA121" s="229"/>
      <c r="AB121" s="229"/>
      <c r="AC121" s="229"/>
    </row>
    <row r="122" spans="1:29" ht="12.75" customHeight="1">
      <c r="A122" s="229"/>
      <c r="B122" s="228"/>
      <c r="C122" s="228"/>
      <c r="D122" s="228"/>
      <c r="E122" s="228"/>
      <c r="F122" s="228"/>
      <c r="G122" s="228"/>
      <c r="H122" s="228"/>
      <c r="I122" s="228"/>
      <c r="J122" s="228"/>
      <c r="K122" s="228"/>
      <c r="L122" s="229"/>
      <c r="M122" s="229"/>
      <c r="N122" s="229"/>
      <c r="O122" s="229"/>
      <c r="P122" s="229"/>
      <c r="Q122" s="229"/>
      <c r="R122" s="229"/>
      <c r="S122" s="229"/>
      <c r="T122" s="229"/>
      <c r="U122" s="229"/>
      <c r="V122" s="229"/>
      <c r="W122" s="229"/>
      <c r="X122" s="229"/>
      <c r="Y122" s="229"/>
      <c r="Z122" s="229"/>
      <c r="AA122" s="229"/>
      <c r="AB122" s="229"/>
      <c r="AC122" s="229"/>
    </row>
    <row r="123" spans="1:29" ht="12.75" customHeight="1">
      <c r="A123" s="229"/>
      <c r="B123" s="228"/>
      <c r="C123" s="228"/>
      <c r="D123" s="228"/>
      <c r="E123" s="228"/>
      <c r="F123" s="228"/>
      <c r="G123" s="228"/>
      <c r="H123" s="228"/>
      <c r="I123" s="228"/>
      <c r="J123" s="228"/>
      <c r="K123" s="228"/>
      <c r="L123" s="229"/>
      <c r="M123" s="229"/>
      <c r="N123" s="229"/>
      <c r="O123" s="229"/>
      <c r="P123" s="229"/>
      <c r="Q123" s="229"/>
      <c r="R123" s="229"/>
      <c r="S123" s="229"/>
      <c r="T123" s="229"/>
      <c r="U123" s="229"/>
      <c r="V123" s="229"/>
      <c r="W123" s="229"/>
      <c r="X123" s="229"/>
      <c r="Y123" s="229"/>
      <c r="Z123" s="229"/>
      <c r="AA123" s="229"/>
      <c r="AB123" s="229"/>
      <c r="AC123" s="229"/>
    </row>
    <row r="124" spans="1:29" ht="12.75" customHeight="1">
      <c r="A124" s="229"/>
      <c r="B124" s="228"/>
      <c r="C124" s="228"/>
      <c r="D124" s="228"/>
      <c r="E124" s="228"/>
      <c r="F124" s="228"/>
      <c r="G124" s="228"/>
      <c r="H124" s="228"/>
      <c r="I124" s="228"/>
      <c r="J124" s="228"/>
      <c r="K124" s="228"/>
      <c r="L124" s="229"/>
      <c r="M124" s="229"/>
      <c r="N124" s="229"/>
      <c r="O124" s="229"/>
      <c r="P124" s="229"/>
      <c r="Q124" s="229"/>
      <c r="R124" s="229"/>
      <c r="S124" s="229"/>
      <c r="T124" s="229"/>
      <c r="U124" s="229"/>
      <c r="V124" s="229"/>
      <c r="W124" s="229"/>
      <c r="X124" s="229"/>
      <c r="Y124" s="229"/>
      <c r="Z124" s="229"/>
      <c r="AA124" s="229"/>
      <c r="AB124" s="229"/>
      <c r="AC124" s="229"/>
    </row>
    <row r="125" spans="1:29" ht="12.75" customHeight="1">
      <c r="A125" s="229"/>
      <c r="B125" s="228"/>
      <c r="C125" s="228"/>
      <c r="D125" s="228"/>
      <c r="E125" s="228"/>
      <c r="F125" s="228"/>
      <c r="G125" s="228"/>
      <c r="H125" s="228"/>
      <c r="I125" s="228"/>
      <c r="J125" s="228"/>
      <c r="K125" s="228"/>
      <c r="L125" s="229"/>
      <c r="M125" s="229"/>
      <c r="N125" s="229"/>
      <c r="O125" s="229"/>
      <c r="P125" s="229"/>
      <c r="Q125" s="229"/>
      <c r="R125" s="229"/>
      <c r="S125" s="229"/>
      <c r="T125" s="229"/>
      <c r="U125" s="229"/>
      <c r="V125" s="229"/>
      <c r="W125" s="229"/>
      <c r="X125" s="229"/>
      <c r="Y125" s="229"/>
      <c r="Z125" s="229"/>
      <c r="AA125" s="229"/>
      <c r="AB125" s="229"/>
      <c r="AC125" s="229"/>
    </row>
    <row r="126" spans="1:29" ht="12.75" customHeight="1">
      <c r="A126" s="229"/>
      <c r="B126" s="228"/>
      <c r="C126" s="228"/>
      <c r="D126" s="228"/>
      <c r="E126" s="228"/>
      <c r="F126" s="228"/>
      <c r="G126" s="228"/>
      <c r="H126" s="228"/>
      <c r="I126" s="228"/>
      <c r="J126" s="228"/>
      <c r="K126" s="228"/>
      <c r="L126" s="229"/>
      <c r="M126" s="229"/>
      <c r="N126" s="229"/>
      <c r="O126" s="229"/>
      <c r="P126" s="229"/>
      <c r="Q126" s="229"/>
      <c r="R126" s="229"/>
      <c r="S126" s="229"/>
      <c r="T126" s="229"/>
      <c r="U126" s="229"/>
      <c r="V126" s="229"/>
      <c r="W126" s="229"/>
      <c r="X126" s="229"/>
      <c r="Y126" s="229"/>
      <c r="Z126" s="229"/>
      <c r="AA126" s="229"/>
      <c r="AB126" s="229"/>
      <c r="AC126" s="229"/>
    </row>
    <row r="127" spans="1:29" ht="12.75" customHeight="1">
      <c r="A127" s="229"/>
      <c r="B127" s="228"/>
      <c r="C127" s="228"/>
      <c r="D127" s="228"/>
      <c r="E127" s="228"/>
      <c r="F127" s="228"/>
      <c r="G127" s="228"/>
      <c r="H127" s="228"/>
      <c r="I127" s="228"/>
      <c r="J127" s="228"/>
      <c r="K127" s="228"/>
      <c r="L127" s="229"/>
      <c r="M127" s="229"/>
      <c r="N127" s="229"/>
      <c r="O127" s="229"/>
      <c r="P127" s="229"/>
      <c r="Q127" s="229"/>
      <c r="R127" s="229"/>
      <c r="S127" s="229"/>
      <c r="T127" s="229"/>
      <c r="U127" s="229"/>
      <c r="V127" s="229"/>
      <c r="W127" s="229"/>
      <c r="X127" s="229"/>
      <c r="Y127" s="229"/>
      <c r="Z127" s="229"/>
      <c r="AA127" s="229"/>
      <c r="AB127" s="229"/>
      <c r="AC127" s="229"/>
    </row>
    <row r="128" spans="1:29" ht="12.75" customHeight="1">
      <c r="A128" s="229"/>
      <c r="B128" s="228"/>
      <c r="C128" s="228"/>
      <c r="D128" s="228"/>
      <c r="E128" s="228"/>
      <c r="F128" s="228"/>
      <c r="G128" s="228"/>
      <c r="H128" s="228"/>
      <c r="I128" s="228"/>
      <c r="J128" s="228"/>
      <c r="K128" s="228"/>
      <c r="L128" s="229"/>
      <c r="M128" s="229"/>
      <c r="N128" s="229"/>
      <c r="O128" s="229"/>
      <c r="P128" s="229"/>
      <c r="Q128" s="229"/>
      <c r="R128" s="229"/>
      <c r="S128" s="229"/>
      <c r="T128" s="229"/>
      <c r="U128" s="229"/>
      <c r="V128" s="229"/>
      <c r="W128" s="229"/>
      <c r="X128" s="229"/>
      <c r="Y128" s="229"/>
      <c r="Z128" s="229"/>
      <c r="AA128" s="229"/>
      <c r="AB128" s="229"/>
      <c r="AC128" s="229"/>
    </row>
    <row r="129" spans="1:29" ht="12.75" customHeight="1">
      <c r="A129" s="229"/>
      <c r="B129" s="228"/>
      <c r="C129" s="228"/>
      <c r="D129" s="228"/>
      <c r="E129" s="228"/>
      <c r="F129" s="228"/>
      <c r="G129" s="228"/>
      <c r="H129" s="228"/>
      <c r="I129" s="228"/>
      <c r="J129" s="228"/>
      <c r="K129" s="228"/>
      <c r="L129" s="229"/>
      <c r="M129" s="229"/>
      <c r="N129" s="229"/>
      <c r="O129" s="229"/>
      <c r="P129" s="229"/>
      <c r="Q129" s="229"/>
      <c r="R129" s="229"/>
      <c r="S129" s="229"/>
      <c r="T129" s="229"/>
      <c r="U129" s="229"/>
      <c r="V129" s="229"/>
      <c r="W129" s="229"/>
      <c r="X129" s="229"/>
      <c r="Y129" s="229"/>
      <c r="Z129" s="229"/>
      <c r="AA129" s="229"/>
      <c r="AB129" s="229"/>
      <c r="AC129" s="229"/>
    </row>
    <row r="130" spans="1:29" ht="12.75" customHeight="1">
      <c r="A130" s="229"/>
      <c r="B130" s="228"/>
      <c r="C130" s="228"/>
      <c r="D130" s="228"/>
      <c r="E130" s="228"/>
      <c r="F130" s="228"/>
      <c r="G130" s="228"/>
      <c r="H130" s="228"/>
      <c r="I130" s="228"/>
      <c r="J130" s="228"/>
      <c r="K130" s="228"/>
      <c r="L130" s="229"/>
      <c r="M130" s="229"/>
      <c r="N130" s="229"/>
      <c r="O130" s="229"/>
      <c r="P130" s="229"/>
      <c r="Q130" s="229"/>
      <c r="R130" s="229"/>
      <c r="S130" s="229"/>
      <c r="T130" s="229"/>
      <c r="U130" s="229"/>
      <c r="V130" s="229"/>
      <c r="W130" s="229"/>
      <c r="X130" s="229"/>
      <c r="Y130" s="229"/>
      <c r="Z130" s="229"/>
      <c r="AA130" s="229"/>
      <c r="AB130" s="229"/>
      <c r="AC130" s="229"/>
    </row>
    <row r="131" spans="1:29" ht="12.75" customHeight="1">
      <c r="A131" s="229"/>
      <c r="B131" s="228"/>
      <c r="C131" s="228"/>
      <c r="D131" s="228"/>
      <c r="E131" s="228"/>
      <c r="F131" s="228"/>
      <c r="G131" s="228"/>
      <c r="H131" s="228"/>
      <c r="I131" s="228"/>
      <c r="J131" s="228"/>
      <c r="K131" s="228"/>
      <c r="L131" s="229"/>
      <c r="M131" s="229"/>
      <c r="N131" s="229"/>
      <c r="O131" s="229"/>
      <c r="P131" s="229"/>
      <c r="Q131" s="229"/>
      <c r="R131" s="229"/>
      <c r="S131" s="229"/>
      <c r="T131" s="229"/>
      <c r="U131" s="229"/>
      <c r="V131" s="229"/>
      <c r="W131" s="229"/>
      <c r="X131" s="229"/>
      <c r="Y131" s="229"/>
      <c r="Z131" s="229"/>
      <c r="AA131" s="229"/>
      <c r="AB131" s="229"/>
      <c r="AC131" s="229"/>
    </row>
    <row r="132" spans="1:29" ht="12.75" customHeight="1">
      <c r="A132" s="229"/>
      <c r="B132" s="228"/>
      <c r="C132" s="228"/>
      <c r="D132" s="228"/>
      <c r="E132" s="228"/>
      <c r="F132" s="228"/>
      <c r="G132" s="228"/>
      <c r="H132" s="228"/>
      <c r="I132" s="228"/>
      <c r="J132" s="228"/>
      <c r="K132" s="228"/>
      <c r="L132" s="229"/>
      <c r="M132" s="229"/>
      <c r="N132" s="229"/>
      <c r="O132" s="229"/>
      <c r="P132" s="229"/>
      <c r="Q132" s="229"/>
      <c r="R132" s="229"/>
      <c r="S132" s="229"/>
      <c r="T132" s="229"/>
      <c r="U132" s="229"/>
      <c r="V132" s="229"/>
      <c r="W132" s="229"/>
      <c r="X132" s="229"/>
      <c r="Y132" s="229"/>
      <c r="Z132" s="229"/>
      <c r="AA132" s="229"/>
      <c r="AB132" s="229"/>
      <c r="AC132" s="229"/>
    </row>
    <row r="133" spans="1:29" ht="12.75" customHeight="1">
      <c r="A133" s="229"/>
      <c r="B133" s="228"/>
      <c r="C133" s="228"/>
      <c r="D133" s="228"/>
      <c r="E133" s="228"/>
      <c r="F133" s="228"/>
      <c r="G133" s="228"/>
      <c r="H133" s="228"/>
      <c r="I133" s="228"/>
      <c r="J133" s="228"/>
      <c r="K133" s="228"/>
      <c r="L133" s="229"/>
      <c r="M133" s="229"/>
      <c r="N133" s="229"/>
      <c r="O133" s="229"/>
      <c r="P133" s="229"/>
      <c r="Q133" s="229"/>
      <c r="R133" s="229"/>
      <c r="S133" s="229"/>
      <c r="T133" s="229"/>
      <c r="U133" s="229"/>
      <c r="V133" s="229"/>
      <c r="W133" s="229"/>
      <c r="X133" s="229"/>
      <c r="Y133" s="229"/>
      <c r="Z133" s="229"/>
      <c r="AA133" s="229"/>
      <c r="AB133" s="229"/>
      <c r="AC133" s="229"/>
    </row>
    <row r="134" spans="1:29" ht="12.75" customHeight="1">
      <c r="A134" s="229"/>
      <c r="B134" s="228"/>
      <c r="C134" s="228"/>
      <c r="D134" s="228"/>
      <c r="E134" s="228"/>
      <c r="F134" s="228"/>
      <c r="G134" s="228"/>
      <c r="H134" s="228"/>
      <c r="I134" s="228"/>
      <c r="J134" s="228"/>
      <c r="K134" s="228"/>
      <c r="L134" s="229"/>
      <c r="M134" s="229"/>
      <c r="N134" s="229"/>
      <c r="O134" s="229"/>
      <c r="P134" s="229"/>
      <c r="Q134" s="229"/>
      <c r="R134" s="229"/>
      <c r="S134" s="229"/>
      <c r="T134" s="229"/>
      <c r="U134" s="229"/>
      <c r="V134" s="229"/>
      <c r="W134" s="229"/>
      <c r="X134" s="229"/>
      <c r="Y134" s="229"/>
      <c r="Z134" s="229"/>
      <c r="AA134" s="229"/>
      <c r="AB134" s="229"/>
      <c r="AC134" s="229"/>
    </row>
    <row r="135" spans="1:29" ht="12.75" customHeight="1">
      <c r="A135" s="229"/>
      <c r="B135" s="228"/>
      <c r="C135" s="228"/>
      <c r="D135" s="228"/>
      <c r="E135" s="228"/>
      <c r="F135" s="228"/>
      <c r="G135" s="228"/>
      <c r="H135" s="228"/>
      <c r="I135" s="228"/>
      <c r="J135" s="228"/>
      <c r="K135" s="228"/>
      <c r="L135" s="229"/>
      <c r="M135" s="229"/>
      <c r="N135" s="229"/>
      <c r="O135" s="229"/>
      <c r="P135" s="229"/>
      <c r="Q135" s="229"/>
      <c r="R135" s="229"/>
      <c r="S135" s="229"/>
      <c r="T135" s="229"/>
      <c r="U135" s="229"/>
      <c r="V135" s="229"/>
      <c r="W135" s="229"/>
      <c r="X135" s="229"/>
      <c r="Y135" s="229"/>
      <c r="Z135" s="229"/>
      <c r="AA135" s="229"/>
      <c r="AB135" s="229"/>
      <c r="AC135" s="229"/>
    </row>
    <row r="136" spans="1:29" ht="12.75" customHeight="1">
      <c r="A136" s="229"/>
      <c r="B136" s="228"/>
      <c r="C136" s="228"/>
      <c r="D136" s="228"/>
      <c r="E136" s="228"/>
      <c r="F136" s="228"/>
      <c r="G136" s="228"/>
      <c r="H136" s="228"/>
      <c r="I136" s="228"/>
      <c r="J136" s="228"/>
      <c r="K136" s="228"/>
      <c r="L136" s="229"/>
      <c r="M136" s="229"/>
      <c r="N136" s="229"/>
      <c r="O136" s="229"/>
      <c r="P136" s="229"/>
      <c r="Q136" s="229"/>
      <c r="R136" s="229"/>
      <c r="S136" s="229"/>
      <c r="T136" s="229"/>
      <c r="U136" s="229"/>
      <c r="V136" s="229"/>
      <c r="W136" s="229"/>
      <c r="X136" s="229"/>
      <c r="Y136" s="229"/>
      <c r="Z136" s="229"/>
      <c r="AA136" s="229"/>
      <c r="AB136" s="229"/>
      <c r="AC136" s="229"/>
    </row>
    <row r="137" spans="1:29" ht="12.75" customHeight="1">
      <c r="A137" s="229"/>
      <c r="B137" s="228"/>
      <c r="C137" s="228"/>
      <c r="D137" s="228"/>
      <c r="E137" s="228"/>
      <c r="F137" s="228"/>
      <c r="G137" s="228"/>
      <c r="H137" s="228"/>
      <c r="I137" s="228"/>
      <c r="J137" s="228"/>
      <c r="K137" s="228"/>
      <c r="L137" s="229"/>
      <c r="M137" s="229"/>
      <c r="N137" s="229"/>
      <c r="O137" s="229"/>
      <c r="P137" s="229"/>
      <c r="Q137" s="229"/>
      <c r="R137" s="229"/>
      <c r="S137" s="229"/>
      <c r="T137" s="229"/>
      <c r="U137" s="229"/>
      <c r="V137" s="229"/>
      <c r="W137" s="229"/>
      <c r="X137" s="229"/>
      <c r="Y137" s="229"/>
      <c r="Z137" s="229"/>
      <c r="AA137" s="229"/>
      <c r="AB137" s="229"/>
      <c r="AC137" s="229"/>
    </row>
    <row r="138" spans="1:29" ht="12.75" customHeight="1">
      <c r="A138" s="229"/>
      <c r="B138" s="228"/>
      <c r="C138" s="228"/>
      <c r="D138" s="228"/>
      <c r="E138" s="228"/>
      <c r="F138" s="228"/>
      <c r="G138" s="228"/>
      <c r="H138" s="228"/>
      <c r="I138" s="228"/>
      <c r="J138" s="228"/>
      <c r="K138" s="228"/>
      <c r="L138" s="229"/>
      <c r="M138" s="229"/>
      <c r="N138" s="229"/>
      <c r="O138" s="229"/>
      <c r="P138" s="229"/>
      <c r="Q138" s="229"/>
      <c r="R138" s="229"/>
      <c r="S138" s="229"/>
      <c r="T138" s="229"/>
      <c r="U138" s="229"/>
      <c r="V138" s="229"/>
      <c r="W138" s="229"/>
      <c r="X138" s="229"/>
      <c r="Y138" s="229"/>
      <c r="Z138" s="229"/>
      <c r="AA138" s="229"/>
      <c r="AB138" s="229"/>
      <c r="AC138" s="229"/>
    </row>
    <row r="139" spans="1:29" ht="12.75" customHeight="1">
      <c r="A139" s="229"/>
      <c r="B139" s="228"/>
      <c r="C139" s="228"/>
      <c r="D139" s="228"/>
      <c r="E139" s="228"/>
      <c r="F139" s="228"/>
      <c r="G139" s="228"/>
      <c r="H139" s="228"/>
      <c r="I139" s="228"/>
      <c r="J139" s="228"/>
      <c r="K139" s="228"/>
      <c r="L139" s="229"/>
      <c r="M139" s="229"/>
      <c r="N139" s="229"/>
      <c r="O139" s="229"/>
      <c r="P139" s="229"/>
      <c r="Q139" s="229"/>
      <c r="R139" s="229"/>
      <c r="S139" s="229"/>
      <c r="T139" s="229"/>
      <c r="U139" s="229"/>
      <c r="V139" s="229"/>
      <c r="W139" s="229"/>
      <c r="X139" s="229"/>
      <c r="Y139" s="229"/>
      <c r="Z139" s="229"/>
      <c r="AA139" s="229"/>
      <c r="AB139" s="229"/>
      <c r="AC139" s="229"/>
    </row>
    <row r="140" spans="1:29" ht="12.75" customHeight="1">
      <c r="A140" s="229"/>
      <c r="B140" s="228"/>
      <c r="C140" s="228"/>
      <c r="D140" s="228"/>
      <c r="E140" s="228"/>
      <c r="F140" s="228"/>
      <c r="G140" s="228"/>
      <c r="H140" s="228"/>
      <c r="I140" s="228"/>
      <c r="J140" s="228"/>
      <c r="K140" s="228"/>
      <c r="L140" s="229"/>
      <c r="M140" s="229"/>
      <c r="N140" s="229"/>
      <c r="O140" s="229"/>
      <c r="P140" s="229"/>
      <c r="Q140" s="229"/>
      <c r="R140" s="229"/>
      <c r="S140" s="229"/>
      <c r="T140" s="229"/>
      <c r="U140" s="229"/>
      <c r="V140" s="229"/>
      <c r="W140" s="229"/>
      <c r="X140" s="229"/>
      <c r="Y140" s="229"/>
      <c r="Z140" s="229"/>
      <c r="AA140" s="229"/>
      <c r="AB140" s="229"/>
      <c r="AC140" s="229"/>
    </row>
    <row r="141" spans="1:29" ht="12.75" customHeight="1">
      <c r="A141" s="229"/>
      <c r="B141" s="228"/>
      <c r="C141" s="228"/>
      <c r="D141" s="228"/>
      <c r="E141" s="228"/>
      <c r="F141" s="228"/>
      <c r="G141" s="228"/>
      <c r="H141" s="228"/>
      <c r="I141" s="228"/>
      <c r="J141" s="228"/>
      <c r="K141" s="228"/>
      <c r="L141" s="229"/>
      <c r="M141" s="229"/>
      <c r="N141" s="229"/>
      <c r="O141" s="229"/>
      <c r="P141" s="229"/>
      <c r="Q141" s="229"/>
      <c r="R141" s="229"/>
      <c r="S141" s="229"/>
      <c r="T141" s="229"/>
      <c r="U141" s="229"/>
      <c r="V141" s="229"/>
      <c r="W141" s="229"/>
      <c r="X141" s="229"/>
      <c r="Y141" s="229"/>
      <c r="Z141" s="229"/>
      <c r="AA141" s="229"/>
      <c r="AB141" s="229"/>
      <c r="AC141" s="229"/>
    </row>
    <row r="142" spans="1:29" ht="12.75" customHeight="1">
      <c r="A142" s="229"/>
      <c r="B142" s="228"/>
      <c r="C142" s="228"/>
      <c r="D142" s="228"/>
      <c r="E142" s="228"/>
      <c r="F142" s="228"/>
      <c r="G142" s="228"/>
      <c r="H142" s="228"/>
      <c r="I142" s="228"/>
      <c r="J142" s="228"/>
      <c r="K142" s="228"/>
      <c r="L142" s="229"/>
      <c r="M142" s="229"/>
      <c r="N142" s="229"/>
      <c r="O142" s="229"/>
      <c r="P142" s="229"/>
      <c r="Q142" s="229"/>
      <c r="R142" s="229"/>
      <c r="S142" s="229"/>
      <c r="T142" s="229"/>
      <c r="U142" s="229"/>
      <c r="V142" s="229"/>
      <c r="W142" s="229"/>
      <c r="X142" s="229"/>
      <c r="Y142" s="229"/>
      <c r="Z142" s="229"/>
      <c r="AA142" s="229"/>
      <c r="AB142" s="229"/>
      <c r="AC142" s="229"/>
    </row>
    <row r="143" spans="1:29" ht="12.75" customHeight="1">
      <c r="A143" s="229"/>
      <c r="B143" s="228"/>
      <c r="C143" s="228"/>
      <c r="D143" s="228"/>
      <c r="E143" s="228"/>
      <c r="F143" s="228"/>
      <c r="G143" s="228"/>
      <c r="H143" s="228"/>
      <c r="I143" s="228"/>
      <c r="J143" s="228"/>
      <c r="K143" s="228"/>
      <c r="L143" s="229"/>
      <c r="M143" s="229"/>
      <c r="N143" s="229"/>
      <c r="O143" s="229"/>
      <c r="P143" s="229"/>
      <c r="Q143" s="229"/>
      <c r="R143" s="229"/>
      <c r="S143" s="229"/>
      <c r="T143" s="229"/>
      <c r="U143" s="229"/>
      <c r="V143" s="229"/>
      <c r="W143" s="229"/>
      <c r="X143" s="229"/>
      <c r="Y143" s="229"/>
      <c r="Z143" s="229"/>
      <c r="AA143" s="229"/>
      <c r="AB143" s="229"/>
      <c r="AC143" s="229"/>
    </row>
    <row r="144" spans="1:29" ht="12.75" customHeight="1">
      <c r="A144" s="229"/>
      <c r="B144" s="228"/>
      <c r="C144" s="228"/>
      <c r="D144" s="228"/>
      <c r="E144" s="228"/>
      <c r="F144" s="228"/>
      <c r="G144" s="228"/>
      <c r="H144" s="228"/>
      <c r="I144" s="228"/>
      <c r="J144" s="228"/>
      <c r="K144" s="228"/>
      <c r="L144" s="229"/>
      <c r="M144" s="229"/>
      <c r="N144" s="229"/>
      <c r="O144" s="229"/>
      <c r="P144" s="229"/>
      <c r="Q144" s="229"/>
      <c r="R144" s="229"/>
      <c r="S144" s="229"/>
      <c r="T144" s="229"/>
      <c r="U144" s="229"/>
      <c r="V144" s="229"/>
      <c r="W144" s="229"/>
      <c r="X144" s="229"/>
      <c r="Y144" s="229"/>
      <c r="Z144" s="229"/>
      <c r="AA144" s="229"/>
      <c r="AB144" s="229"/>
      <c r="AC144" s="229"/>
    </row>
    <row r="145" spans="1:29" ht="12.75" customHeight="1">
      <c r="A145" s="229"/>
      <c r="B145" s="228"/>
      <c r="C145" s="228"/>
      <c r="D145" s="228"/>
      <c r="E145" s="228"/>
      <c r="F145" s="228"/>
      <c r="G145" s="228"/>
      <c r="H145" s="228"/>
      <c r="I145" s="228"/>
      <c r="J145" s="228"/>
      <c r="K145" s="228"/>
      <c r="L145" s="229"/>
      <c r="M145" s="229"/>
      <c r="N145" s="229"/>
      <c r="O145" s="229"/>
      <c r="P145" s="229"/>
      <c r="Q145" s="229"/>
      <c r="R145" s="229"/>
      <c r="S145" s="229"/>
      <c r="T145" s="229"/>
      <c r="U145" s="229"/>
      <c r="V145" s="229"/>
      <c r="W145" s="229"/>
      <c r="X145" s="229"/>
      <c r="Y145" s="229"/>
      <c r="Z145" s="229"/>
      <c r="AA145" s="229"/>
      <c r="AB145" s="229"/>
      <c r="AC145" s="229"/>
    </row>
    <row r="146" spans="1:29" ht="12.75" customHeight="1">
      <c r="A146" s="229"/>
      <c r="B146" s="228"/>
      <c r="C146" s="228"/>
      <c r="D146" s="228"/>
      <c r="E146" s="228"/>
      <c r="F146" s="228"/>
      <c r="G146" s="228"/>
      <c r="H146" s="228"/>
      <c r="I146" s="228"/>
      <c r="J146" s="228"/>
      <c r="K146" s="228"/>
      <c r="L146" s="229"/>
      <c r="M146" s="229"/>
      <c r="N146" s="229"/>
      <c r="O146" s="229"/>
      <c r="P146" s="229"/>
      <c r="Q146" s="229"/>
      <c r="R146" s="229"/>
      <c r="S146" s="229"/>
      <c r="T146" s="229"/>
      <c r="U146" s="229"/>
      <c r="V146" s="229"/>
      <c r="W146" s="229"/>
      <c r="X146" s="229"/>
      <c r="Y146" s="229"/>
      <c r="Z146" s="229"/>
      <c r="AA146" s="229"/>
      <c r="AB146" s="229"/>
      <c r="AC146" s="229"/>
    </row>
    <row r="147" spans="1:29" ht="12.75" customHeight="1">
      <c r="A147" s="229"/>
      <c r="B147" s="228"/>
      <c r="C147" s="228"/>
      <c r="D147" s="228"/>
      <c r="E147" s="228"/>
      <c r="F147" s="228"/>
      <c r="G147" s="228"/>
      <c r="H147" s="228"/>
      <c r="I147" s="228"/>
      <c r="J147" s="228"/>
      <c r="K147" s="228"/>
      <c r="L147" s="229"/>
      <c r="M147" s="229"/>
      <c r="N147" s="229"/>
      <c r="O147" s="229"/>
      <c r="P147" s="229"/>
      <c r="Q147" s="229"/>
      <c r="R147" s="229"/>
      <c r="S147" s="229"/>
      <c r="T147" s="229"/>
      <c r="U147" s="229"/>
      <c r="V147" s="229"/>
      <c r="W147" s="229"/>
      <c r="X147" s="229"/>
      <c r="Y147" s="229"/>
      <c r="Z147" s="229"/>
      <c r="AA147" s="229"/>
      <c r="AB147" s="229"/>
      <c r="AC147" s="229"/>
    </row>
    <row r="148" spans="1:29" ht="12.75" customHeight="1">
      <c r="A148" s="229"/>
      <c r="B148" s="228"/>
      <c r="C148" s="228"/>
      <c r="D148" s="228"/>
      <c r="E148" s="228"/>
      <c r="F148" s="228"/>
      <c r="G148" s="228"/>
      <c r="H148" s="228"/>
      <c r="I148" s="228"/>
      <c r="J148" s="228"/>
      <c r="K148" s="228"/>
      <c r="L148" s="229"/>
      <c r="M148" s="229"/>
      <c r="N148" s="229"/>
      <c r="O148" s="229"/>
      <c r="P148" s="229"/>
      <c r="Q148" s="229"/>
      <c r="R148" s="229"/>
      <c r="S148" s="229"/>
      <c r="T148" s="229"/>
      <c r="U148" s="229"/>
      <c r="V148" s="229"/>
      <c r="W148" s="229"/>
      <c r="X148" s="229"/>
      <c r="Y148" s="229"/>
      <c r="Z148" s="229"/>
      <c r="AA148" s="229"/>
      <c r="AB148" s="229"/>
      <c r="AC148" s="229"/>
    </row>
    <row r="149" spans="1:29" ht="12.75" customHeight="1">
      <c r="A149" s="229"/>
      <c r="B149" s="228"/>
      <c r="C149" s="228"/>
      <c r="D149" s="228"/>
      <c r="E149" s="228"/>
      <c r="F149" s="228"/>
      <c r="G149" s="228"/>
      <c r="H149" s="228"/>
      <c r="I149" s="228"/>
      <c r="J149" s="228"/>
      <c r="K149" s="228"/>
      <c r="L149" s="229"/>
      <c r="M149" s="229"/>
      <c r="N149" s="229"/>
      <c r="O149" s="229"/>
      <c r="P149" s="229"/>
      <c r="Q149" s="229"/>
      <c r="R149" s="229"/>
      <c r="S149" s="229"/>
      <c r="T149" s="229"/>
      <c r="U149" s="229"/>
      <c r="V149" s="229"/>
      <c r="W149" s="229"/>
      <c r="X149" s="229"/>
      <c r="Y149" s="229"/>
      <c r="Z149" s="229"/>
      <c r="AA149" s="229"/>
      <c r="AB149" s="229"/>
      <c r="AC149" s="229"/>
    </row>
    <row r="150" spans="1:29" ht="12.75" customHeight="1">
      <c r="A150" s="229"/>
      <c r="B150" s="228"/>
      <c r="C150" s="228"/>
      <c r="D150" s="228"/>
      <c r="E150" s="228"/>
      <c r="F150" s="228"/>
      <c r="G150" s="228"/>
      <c r="H150" s="228"/>
      <c r="I150" s="228"/>
      <c r="J150" s="228"/>
      <c r="K150" s="228"/>
      <c r="L150" s="229"/>
      <c r="M150" s="229"/>
      <c r="N150" s="229"/>
      <c r="O150" s="229"/>
      <c r="P150" s="229"/>
      <c r="Q150" s="229"/>
      <c r="R150" s="229"/>
      <c r="S150" s="229"/>
      <c r="T150" s="229"/>
      <c r="U150" s="229"/>
      <c r="V150" s="229"/>
      <c r="W150" s="229"/>
      <c r="X150" s="229"/>
      <c r="Y150" s="229"/>
      <c r="Z150" s="229"/>
      <c r="AA150" s="229"/>
      <c r="AB150" s="229"/>
      <c r="AC150" s="229"/>
    </row>
    <row r="151" spans="1:29" ht="12.75" customHeight="1">
      <c r="A151" s="229"/>
      <c r="B151" s="228"/>
      <c r="C151" s="228"/>
      <c r="D151" s="228"/>
      <c r="E151" s="228"/>
      <c r="F151" s="228"/>
      <c r="G151" s="228"/>
      <c r="H151" s="228"/>
      <c r="I151" s="228"/>
      <c r="J151" s="228"/>
      <c r="K151" s="228"/>
      <c r="L151" s="229"/>
      <c r="M151" s="229"/>
      <c r="N151" s="229"/>
      <c r="O151" s="229"/>
      <c r="P151" s="229"/>
      <c r="Q151" s="229"/>
      <c r="R151" s="229"/>
      <c r="S151" s="229"/>
      <c r="T151" s="229"/>
      <c r="U151" s="229"/>
      <c r="V151" s="229"/>
      <c r="W151" s="229"/>
      <c r="X151" s="229"/>
      <c r="Y151" s="229"/>
      <c r="Z151" s="229"/>
      <c r="AA151" s="229"/>
      <c r="AB151" s="229"/>
      <c r="AC151" s="229"/>
    </row>
    <row r="152" spans="1:29" ht="12.75" customHeight="1">
      <c r="A152" s="229"/>
      <c r="B152" s="228"/>
      <c r="C152" s="228"/>
      <c r="D152" s="228"/>
      <c r="E152" s="228"/>
      <c r="F152" s="228"/>
      <c r="G152" s="228"/>
      <c r="H152" s="228"/>
      <c r="I152" s="228"/>
      <c r="J152" s="228"/>
      <c r="K152" s="228"/>
      <c r="L152" s="229"/>
      <c r="M152" s="229"/>
      <c r="N152" s="229"/>
      <c r="O152" s="229"/>
      <c r="P152" s="229"/>
      <c r="Q152" s="229"/>
      <c r="R152" s="229"/>
      <c r="S152" s="229"/>
      <c r="T152" s="229"/>
      <c r="U152" s="229"/>
      <c r="V152" s="229"/>
      <c r="W152" s="229"/>
      <c r="X152" s="229"/>
      <c r="Y152" s="229"/>
      <c r="Z152" s="229"/>
      <c r="AA152" s="229"/>
      <c r="AB152" s="229"/>
      <c r="AC152" s="229"/>
    </row>
    <row r="153" spans="1:29" ht="12.75" customHeight="1">
      <c r="A153" s="229"/>
      <c r="B153" s="228"/>
      <c r="C153" s="228"/>
      <c r="D153" s="228"/>
      <c r="E153" s="228"/>
      <c r="F153" s="228"/>
      <c r="G153" s="228"/>
      <c r="H153" s="228"/>
      <c r="I153" s="228"/>
      <c r="J153" s="228"/>
      <c r="K153" s="228"/>
      <c r="L153" s="229"/>
      <c r="M153" s="229"/>
      <c r="N153" s="229"/>
      <c r="O153" s="229"/>
      <c r="P153" s="229"/>
      <c r="Q153" s="229"/>
      <c r="R153" s="229"/>
      <c r="S153" s="229"/>
      <c r="T153" s="229"/>
      <c r="U153" s="229"/>
      <c r="V153" s="229"/>
      <c r="W153" s="229"/>
      <c r="X153" s="229"/>
      <c r="Y153" s="229"/>
      <c r="Z153" s="229"/>
      <c r="AA153" s="229"/>
      <c r="AB153" s="229"/>
      <c r="AC153" s="229"/>
    </row>
    <row r="154" spans="1:29" ht="12.75" customHeight="1">
      <c r="A154" s="229"/>
      <c r="B154" s="228"/>
      <c r="C154" s="228"/>
      <c r="D154" s="228"/>
      <c r="E154" s="228"/>
      <c r="F154" s="228"/>
      <c r="G154" s="228"/>
      <c r="H154" s="228"/>
      <c r="I154" s="228"/>
      <c r="J154" s="228"/>
      <c r="K154" s="228"/>
      <c r="L154" s="229"/>
      <c r="M154" s="229"/>
      <c r="N154" s="229"/>
      <c r="O154" s="229"/>
      <c r="P154" s="229"/>
      <c r="Q154" s="229"/>
      <c r="R154" s="229"/>
      <c r="S154" s="229"/>
      <c r="T154" s="229"/>
      <c r="U154" s="229"/>
      <c r="V154" s="229"/>
      <c r="W154" s="229"/>
      <c r="X154" s="229"/>
      <c r="Y154" s="229"/>
      <c r="Z154" s="229"/>
      <c r="AA154" s="229"/>
      <c r="AB154" s="229"/>
      <c r="AC154" s="229"/>
    </row>
    <row r="155" spans="1:29" ht="12.75" customHeight="1">
      <c r="A155" s="229"/>
      <c r="B155" s="228"/>
      <c r="C155" s="228"/>
      <c r="D155" s="228"/>
      <c r="E155" s="228"/>
      <c r="F155" s="228"/>
      <c r="G155" s="228"/>
      <c r="H155" s="228"/>
      <c r="I155" s="228"/>
      <c r="J155" s="228"/>
      <c r="K155" s="228"/>
      <c r="L155" s="229"/>
      <c r="M155" s="229"/>
      <c r="N155" s="229"/>
      <c r="O155" s="229"/>
      <c r="P155" s="229"/>
      <c r="Q155" s="229"/>
      <c r="R155" s="229"/>
      <c r="S155" s="229"/>
      <c r="T155" s="229"/>
      <c r="U155" s="229"/>
      <c r="V155" s="229"/>
      <c r="W155" s="229"/>
      <c r="X155" s="229"/>
      <c r="Y155" s="229"/>
      <c r="Z155" s="229"/>
      <c r="AA155" s="229"/>
      <c r="AB155" s="229"/>
      <c r="AC155" s="229"/>
    </row>
    <row r="156" spans="1:29" ht="12.75" customHeight="1">
      <c r="A156" s="229"/>
      <c r="B156" s="228"/>
      <c r="C156" s="228"/>
      <c r="D156" s="228"/>
      <c r="E156" s="228"/>
      <c r="F156" s="228"/>
      <c r="G156" s="228"/>
      <c r="H156" s="228"/>
      <c r="I156" s="228"/>
      <c r="J156" s="228"/>
      <c r="K156" s="228"/>
      <c r="L156" s="229"/>
      <c r="M156" s="229"/>
      <c r="N156" s="229"/>
      <c r="O156" s="229"/>
      <c r="P156" s="229"/>
      <c r="Q156" s="229"/>
      <c r="R156" s="229"/>
      <c r="S156" s="229"/>
      <c r="T156" s="229"/>
      <c r="U156" s="229"/>
      <c r="V156" s="229"/>
      <c r="W156" s="229"/>
      <c r="X156" s="229"/>
      <c r="Y156" s="229"/>
      <c r="Z156" s="229"/>
      <c r="AA156" s="229"/>
      <c r="AB156" s="229"/>
      <c r="AC156" s="229"/>
    </row>
    <row r="157" spans="1:29" ht="12.75" customHeight="1">
      <c r="A157" s="229"/>
      <c r="B157" s="228"/>
      <c r="C157" s="228"/>
      <c r="D157" s="228"/>
      <c r="E157" s="228"/>
      <c r="F157" s="228"/>
      <c r="G157" s="228"/>
      <c r="H157" s="228"/>
      <c r="I157" s="228"/>
      <c r="J157" s="228"/>
      <c r="K157" s="228"/>
      <c r="L157" s="229"/>
      <c r="M157" s="229"/>
      <c r="N157" s="229"/>
      <c r="O157" s="229"/>
      <c r="P157" s="229"/>
      <c r="Q157" s="229"/>
      <c r="R157" s="229"/>
      <c r="S157" s="229"/>
      <c r="T157" s="229"/>
      <c r="U157" s="229"/>
      <c r="V157" s="229"/>
      <c r="W157" s="229"/>
      <c r="X157" s="229"/>
      <c r="Y157" s="229"/>
      <c r="Z157" s="229"/>
      <c r="AA157" s="229"/>
      <c r="AB157" s="229"/>
      <c r="AC157" s="229"/>
    </row>
    <row r="158" spans="1:29" ht="12.75" customHeight="1">
      <c r="A158" s="229"/>
      <c r="B158" s="228"/>
      <c r="C158" s="228"/>
      <c r="D158" s="228"/>
      <c r="E158" s="228"/>
      <c r="F158" s="228"/>
      <c r="G158" s="228"/>
      <c r="H158" s="228"/>
      <c r="I158" s="228"/>
      <c r="J158" s="228"/>
      <c r="K158" s="228"/>
      <c r="L158" s="229"/>
      <c r="M158" s="229"/>
      <c r="N158" s="229"/>
      <c r="O158" s="229"/>
      <c r="P158" s="229"/>
      <c r="Q158" s="229"/>
      <c r="R158" s="229"/>
      <c r="S158" s="229"/>
      <c r="T158" s="229"/>
      <c r="U158" s="229"/>
      <c r="V158" s="229"/>
      <c r="W158" s="229"/>
      <c r="X158" s="229"/>
      <c r="Y158" s="229"/>
      <c r="Z158" s="229"/>
      <c r="AA158" s="229"/>
      <c r="AB158" s="229"/>
      <c r="AC158" s="229"/>
    </row>
    <row r="159" spans="1:29" ht="12.75" customHeight="1">
      <c r="A159" s="229"/>
      <c r="B159" s="228"/>
      <c r="C159" s="228"/>
      <c r="D159" s="228"/>
      <c r="E159" s="228"/>
      <c r="F159" s="228"/>
      <c r="G159" s="228"/>
      <c r="H159" s="228"/>
      <c r="I159" s="228"/>
      <c r="J159" s="228"/>
      <c r="K159" s="228"/>
      <c r="L159" s="229"/>
      <c r="M159" s="229"/>
      <c r="N159" s="229"/>
      <c r="O159" s="229"/>
      <c r="P159" s="229"/>
      <c r="Q159" s="229"/>
      <c r="R159" s="229"/>
      <c r="S159" s="229"/>
      <c r="T159" s="229"/>
      <c r="U159" s="229"/>
      <c r="V159" s="229"/>
      <c r="W159" s="229"/>
      <c r="X159" s="229"/>
      <c r="Y159" s="229"/>
      <c r="Z159" s="229"/>
      <c r="AA159" s="229"/>
      <c r="AB159" s="229"/>
      <c r="AC159" s="229"/>
    </row>
    <row r="160" spans="1:29" ht="12.75" customHeight="1">
      <c r="A160" s="229"/>
      <c r="B160" s="228"/>
      <c r="C160" s="228"/>
      <c r="D160" s="228"/>
      <c r="E160" s="228"/>
      <c r="F160" s="228"/>
      <c r="G160" s="228"/>
      <c r="H160" s="228"/>
      <c r="I160" s="228"/>
      <c r="J160" s="228"/>
      <c r="K160" s="228"/>
      <c r="L160" s="229"/>
      <c r="M160" s="229"/>
      <c r="N160" s="229"/>
      <c r="O160" s="229"/>
      <c r="P160" s="229"/>
      <c r="Q160" s="229"/>
      <c r="R160" s="229"/>
      <c r="S160" s="229"/>
      <c r="T160" s="229"/>
      <c r="U160" s="229"/>
      <c r="V160" s="229"/>
      <c r="W160" s="229"/>
      <c r="X160" s="229"/>
      <c r="Y160" s="229"/>
      <c r="Z160" s="229"/>
      <c r="AA160" s="229"/>
      <c r="AB160" s="229"/>
      <c r="AC160" s="229"/>
    </row>
    <row r="161" spans="1:29" ht="12.75" customHeight="1">
      <c r="A161" s="229"/>
      <c r="B161" s="228"/>
      <c r="C161" s="228"/>
      <c r="D161" s="228"/>
      <c r="E161" s="228"/>
      <c r="F161" s="228"/>
      <c r="G161" s="228"/>
      <c r="H161" s="228"/>
      <c r="I161" s="228"/>
      <c r="J161" s="228"/>
      <c r="K161" s="228"/>
      <c r="L161" s="229"/>
      <c r="M161" s="229"/>
      <c r="N161" s="229"/>
      <c r="O161" s="229"/>
      <c r="P161" s="229"/>
      <c r="Q161" s="229"/>
      <c r="R161" s="229"/>
      <c r="S161" s="229"/>
      <c r="T161" s="229"/>
      <c r="U161" s="229"/>
      <c r="V161" s="229"/>
      <c r="W161" s="229"/>
      <c r="X161" s="229"/>
      <c r="Y161" s="229"/>
      <c r="Z161" s="229"/>
      <c r="AA161" s="229"/>
      <c r="AB161" s="229"/>
      <c r="AC161" s="229"/>
    </row>
    <row r="162" spans="1:29" ht="12.75" customHeight="1">
      <c r="A162" s="229"/>
      <c r="B162" s="228"/>
      <c r="C162" s="228"/>
      <c r="D162" s="228"/>
      <c r="E162" s="228"/>
      <c r="F162" s="228"/>
      <c r="G162" s="228"/>
      <c r="H162" s="228"/>
      <c r="I162" s="228"/>
      <c r="J162" s="228"/>
      <c r="K162" s="228"/>
      <c r="L162" s="229"/>
      <c r="M162" s="229"/>
      <c r="N162" s="229"/>
      <c r="O162" s="229"/>
      <c r="P162" s="229"/>
      <c r="Q162" s="229"/>
      <c r="R162" s="229"/>
      <c r="S162" s="229"/>
      <c r="T162" s="229"/>
      <c r="U162" s="229"/>
      <c r="V162" s="229"/>
      <c r="W162" s="229"/>
      <c r="X162" s="229"/>
      <c r="Y162" s="229"/>
      <c r="Z162" s="229"/>
      <c r="AA162" s="229"/>
      <c r="AB162" s="229"/>
      <c r="AC162" s="229"/>
    </row>
    <row r="163" spans="1:29" ht="12.75" customHeight="1">
      <c r="A163" s="229"/>
      <c r="B163" s="228"/>
      <c r="C163" s="228"/>
      <c r="D163" s="228"/>
      <c r="E163" s="228"/>
      <c r="F163" s="228"/>
      <c r="G163" s="228"/>
      <c r="H163" s="228"/>
      <c r="I163" s="228"/>
      <c r="J163" s="228"/>
      <c r="K163" s="228"/>
      <c r="L163" s="229"/>
      <c r="M163" s="229"/>
      <c r="N163" s="229"/>
      <c r="O163" s="229"/>
      <c r="P163" s="229"/>
      <c r="Q163" s="229"/>
      <c r="R163" s="229"/>
      <c r="S163" s="229"/>
      <c r="T163" s="229"/>
      <c r="U163" s="229"/>
      <c r="V163" s="229"/>
      <c r="W163" s="229"/>
      <c r="X163" s="229"/>
      <c r="Y163" s="229"/>
      <c r="Z163" s="229"/>
      <c r="AA163" s="229"/>
      <c r="AB163" s="229"/>
      <c r="AC163" s="229"/>
    </row>
    <row r="164" spans="1:29" ht="12.75" customHeight="1">
      <c r="A164" s="229"/>
      <c r="B164" s="228"/>
      <c r="C164" s="228"/>
      <c r="D164" s="228"/>
      <c r="E164" s="228"/>
      <c r="F164" s="228"/>
      <c r="G164" s="228"/>
      <c r="H164" s="228"/>
      <c r="I164" s="228"/>
      <c r="J164" s="228"/>
      <c r="K164" s="228"/>
      <c r="L164" s="229"/>
      <c r="M164" s="229"/>
      <c r="N164" s="229"/>
      <c r="O164" s="229"/>
      <c r="P164" s="229"/>
      <c r="Q164" s="229"/>
      <c r="R164" s="229"/>
      <c r="S164" s="229"/>
      <c r="T164" s="229"/>
      <c r="U164" s="229"/>
      <c r="V164" s="229"/>
      <c r="W164" s="229"/>
      <c r="X164" s="229"/>
      <c r="Y164" s="229"/>
      <c r="Z164" s="229"/>
      <c r="AA164" s="229"/>
      <c r="AB164" s="229"/>
      <c r="AC164" s="229"/>
    </row>
    <row r="165" spans="1:29" ht="12.75" customHeight="1">
      <c r="A165" s="229"/>
      <c r="B165" s="228"/>
      <c r="C165" s="228"/>
      <c r="D165" s="228"/>
      <c r="E165" s="228"/>
      <c r="F165" s="228"/>
      <c r="G165" s="228"/>
      <c r="H165" s="228"/>
      <c r="I165" s="228"/>
      <c r="J165" s="228"/>
      <c r="K165" s="228"/>
      <c r="L165" s="229"/>
      <c r="M165" s="229"/>
      <c r="N165" s="229"/>
      <c r="O165" s="229"/>
      <c r="P165" s="229"/>
      <c r="Q165" s="229"/>
      <c r="R165" s="229"/>
      <c r="S165" s="229"/>
      <c r="T165" s="229"/>
      <c r="U165" s="229"/>
      <c r="V165" s="229"/>
      <c r="W165" s="229"/>
      <c r="X165" s="229"/>
      <c r="Y165" s="229"/>
      <c r="Z165" s="229"/>
      <c r="AA165" s="229"/>
      <c r="AB165" s="229"/>
      <c r="AC165" s="229"/>
    </row>
    <row r="166" spans="1:29" ht="12.75" customHeight="1">
      <c r="A166" s="229"/>
      <c r="B166" s="228"/>
      <c r="C166" s="228"/>
      <c r="D166" s="228"/>
      <c r="E166" s="228"/>
      <c r="F166" s="228"/>
      <c r="G166" s="228"/>
      <c r="H166" s="228"/>
      <c r="I166" s="228"/>
      <c r="J166" s="228"/>
      <c r="K166" s="228"/>
      <c r="L166" s="229"/>
      <c r="M166" s="229"/>
      <c r="N166" s="229"/>
      <c r="O166" s="229"/>
      <c r="P166" s="229"/>
      <c r="Q166" s="229"/>
      <c r="R166" s="229"/>
      <c r="S166" s="229"/>
      <c r="T166" s="229"/>
      <c r="U166" s="229"/>
      <c r="V166" s="229"/>
      <c r="W166" s="229"/>
      <c r="X166" s="229"/>
      <c r="Y166" s="229"/>
      <c r="Z166" s="229"/>
      <c r="AA166" s="229"/>
      <c r="AB166" s="229"/>
      <c r="AC166" s="229"/>
    </row>
    <row r="167" spans="1:29" ht="12.75" customHeight="1">
      <c r="A167" s="229"/>
      <c r="B167" s="228"/>
      <c r="C167" s="228"/>
      <c r="D167" s="228"/>
      <c r="E167" s="228"/>
      <c r="F167" s="228"/>
      <c r="G167" s="228"/>
      <c r="H167" s="228"/>
      <c r="I167" s="228"/>
      <c r="J167" s="228"/>
      <c r="K167" s="228"/>
      <c r="L167" s="229"/>
      <c r="M167" s="229"/>
      <c r="N167" s="229"/>
      <c r="O167" s="229"/>
      <c r="P167" s="229"/>
      <c r="Q167" s="229"/>
      <c r="R167" s="229"/>
      <c r="S167" s="229"/>
      <c r="T167" s="229"/>
      <c r="U167" s="229"/>
      <c r="V167" s="229"/>
      <c r="W167" s="229"/>
      <c r="X167" s="229"/>
      <c r="Y167" s="229"/>
      <c r="Z167" s="229"/>
      <c r="AA167" s="229"/>
      <c r="AB167" s="229"/>
      <c r="AC167" s="229"/>
    </row>
    <row r="168" spans="1:29" ht="12.75" customHeight="1">
      <c r="A168" s="229"/>
      <c r="B168" s="228"/>
      <c r="C168" s="228"/>
      <c r="D168" s="228"/>
      <c r="E168" s="228"/>
      <c r="F168" s="228"/>
      <c r="G168" s="228"/>
      <c r="H168" s="228"/>
      <c r="I168" s="228"/>
      <c r="J168" s="228"/>
      <c r="K168" s="228"/>
      <c r="L168" s="229"/>
      <c r="M168" s="229"/>
      <c r="N168" s="229"/>
      <c r="O168" s="229"/>
      <c r="P168" s="229"/>
      <c r="Q168" s="229"/>
      <c r="R168" s="229"/>
      <c r="S168" s="229"/>
      <c r="T168" s="229"/>
      <c r="U168" s="229"/>
      <c r="V168" s="229"/>
      <c r="W168" s="229"/>
      <c r="X168" s="229"/>
      <c r="Y168" s="229"/>
      <c r="Z168" s="229"/>
      <c r="AA168" s="229"/>
      <c r="AB168" s="229"/>
      <c r="AC168" s="229"/>
    </row>
    <row r="169" spans="1:29" ht="12.75" customHeight="1">
      <c r="A169" s="229"/>
      <c r="B169" s="228"/>
      <c r="C169" s="228"/>
      <c r="D169" s="228"/>
      <c r="E169" s="228"/>
      <c r="F169" s="228"/>
      <c r="G169" s="228"/>
      <c r="H169" s="228"/>
      <c r="I169" s="228"/>
      <c r="J169" s="228"/>
      <c r="K169" s="228"/>
      <c r="L169" s="229"/>
      <c r="M169" s="229"/>
      <c r="N169" s="229"/>
      <c r="O169" s="229"/>
      <c r="P169" s="229"/>
      <c r="Q169" s="229"/>
      <c r="R169" s="229"/>
      <c r="S169" s="229"/>
      <c r="T169" s="229"/>
      <c r="U169" s="229"/>
      <c r="V169" s="229"/>
      <c r="W169" s="229"/>
      <c r="X169" s="229"/>
      <c r="Y169" s="229"/>
      <c r="Z169" s="229"/>
      <c r="AA169" s="229"/>
      <c r="AB169" s="229"/>
      <c r="AC169" s="229"/>
    </row>
    <row r="170" spans="1:29" ht="12.75" customHeight="1">
      <c r="A170" s="229"/>
      <c r="B170" s="228"/>
      <c r="C170" s="228"/>
      <c r="D170" s="228"/>
      <c r="E170" s="228"/>
      <c r="F170" s="228"/>
      <c r="G170" s="228"/>
      <c r="H170" s="228"/>
      <c r="I170" s="228"/>
      <c r="J170" s="228"/>
      <c r="K170" s="228"/>
      <c r="L170" s="229"/>
      <c r="M170" s="229"/>
      <c r="N170" s="229"/>
      <c r="O170" s="229"/>
      <c r="P170" s="229"/>
      <c r="Q170" s="229"/>
      <c r="R170" s="229"/>
      <c r="S170" s="229"/>
      <c r="T170" s="229"/>
      <c r="U170" s="229"/>
      <c r="V170" s="229"/>
      <c r="W170" s="229"/>
      <c r="X170" s="229"/>
      <c r="Y170" s="229"/>
      <c r="Z170" s="229"/>
      <c r="AA170" s="229"/>
      <c r="AB170" s="229"/>
      <c r="AC170" s="229"/>
    </row>
    <row r="171" spans="1:29" ht="12.75" customHeight="1">
      <c r="A171" s="229"/>
      <c r="B171" s="228"/>
      <c r="C171" s="228"/>
      <c r="D171" s="228"/>
      <c r="E171" s="228"/>
      <c r="F171" s="228"/>
      <c r="G171" s="228"/>
      <c r="H171" s="228"/>
      <c r="I171" s="228"/>
      <c r="J171" s="228"/>
      <c r="K171" s="228"/>
      <c r="L171" s="229"/>
      <c r="M171" s="229"/>
      <c r="N171" s="229"/>
      <c r="O171" s="229"/>
      <c r="P171" s="229"/>
      <c r="Q171" s="229"/>
      <c r="R171" s="229"/>
      <c r="S171" s="229"/>
      <c r="T171" s="229"/>
      <c r="U171" s="229"/>
      <c r="V171" s="229"/>
      <c r="W171" s="229"/>
      <c r="X171" s="229"/>
      <c r="Y171" s="229"/>
      <c r="Z171" s="229"/>
      <c r="AA171" s="229"/>
      <c r="AB171" s="229"/>
      <c r="AC171" s="229"/>
    </row>
    <row r="172" spans="1:29" ht="12.75" customHeight="1">
      <c r="A172" s="229"/>
      <c r="B172" s="228"/>
      <c r="C172" s="228"/>
      <c r="D172" s="228"/>
      <c r="E172" s="228"/>
      <c r="F172" s="228"/>
      <c r="G172" s="228"/>
      <c r="H172" s="228"/>
      <c r="I172" s="228"/>
      <c r="J172" s="228"/>
      <c r="K172" s="228"/>
      <c r="L172" s="229"/>
      <c r="M172" s="229"/>
      <c r="N172" s="229"/>
      <c r="O172" s="229"/>
      <c r="P172" s="229"/>
      <c r="Q172" s="229"/>
      <c r="R172" s="229"/>
      <c r="S172" s="229"/>
      <c r="T172" s="229"/>
      <c r="U172" s="229"/>
      <c r="V172" s="229"/>
      <c r="W172" s="229"/>
      <c r="X172" s="229"/>
      <c r="Y172" s="229"/>
      <c r="Z172" s="229"/>
      <c r="AA172" s="229"/>
      <c r="AB172" s="229"/>
      <c r="AC172" s="229"/>
    </row>
    <row r="173" spans="1:29" ht="12.75" customHeight="1">
      <c r="A173" s="229"/>
      <c r="B173" s="228"/>
      <c r="C173" s="228"/>
      <c r="D173" s="228"/>
      <c r="E173" s="228"/>
      <c r="F173" s="228"/>
      <c r="G173" s="228"/>
      <c r="H173" s="228"/>
      <c r="I173" s="228"/>
      <c r="J173" s="228"/>
      <c r="K173" s="228"/>
      <c r="L173" s="229"/>
      <c r="M173" s="229"/>
      <c r="N173" s="229"/>
      <c r="O173" s="229"/>
      <c r="P173" s="229"/>
      <c r="Q173" s="229"/>
      <c r="R173" s="229"/>
      <c r="S173" s="229"/>
      <c r="T173" s="229"/>
      <c r="U173" s="229"/>
      <c r="V173" s="229"/>
      <c r="W173" s="229"/>
      <c r="X173" s="229"/>
      <c r="Y173" s="229"/>
      <c r="Z173" s="229"/>
      <c r="AA173" s="229"/>
      <c r="AB173" s="229"/>
      <c r="AC173" s="229"/>
    </row>
    <row r="174" spans="1:29" ht="12.75" customHeight="1">
      <c r="A174" s="229"/>
      <c r="B174" s="228"/>
      <c r="C174" s="228"/>
      <c r="D174" s="228"/>
      <c r="E174" s="228"/>
      <c r="F174" s="228"/>
      <c r="G174" s="228"/>
      <c r="H174" s="228"/>
      <c r="I174" s="228"/>
      <c r="J174" s="228"/>
      <c r="K174" s="228"/>
      <c r="L174" s="229"/>
      <c r="M174" s="229"/>
      <c r="N174" s="229"/>
      <c r="O174" s="229"/>
      <c r="P174" s="229"/>
      <c r="Q174" s="229"/>
      <c r="R174" s="229"/>
      <c r="S174" s="229"/>
      <c r="T174" s="229"/>
      <c r="U174" s="229"/>
      <c r="V174" s="229"/>
      <c r="W174" s="229"/>
      <c r="X174" s="229"/>
      <c r="Y174" s="229"/>
      <c r="Z174" s="229"/>
      <c r="AA174" s="229"/>
      <c r="AB174" s="229"/>
      <c r="AC174" s="229"/>
    </row>
    <row r="175" spans="1:29" ht="12.75" customHeight="1">
      <c r="A175" s="229"/>
      <c r="B175" s="228"/>
      <c r="C175" s="228"/>
      <c r="D175" s="228"/>
      <c r="E175" s="228"/>
      <c r="F175" s="228"/>
      <c r="G175" s="228"/>
      <c r="H175" s="228"/>
      <c r="I175" s="228"/>
      <c r="J175" s="228"/>
      <c r="K175" s="228"/>
      <c r="L175" s="229"/>
      <c r="M175" s="229"/>
      <c r="N175" s="229"/>
      <c r="O175" s="229"/>
      <c r="P175" s="229"/>
      <c r="Q175" s="229"/>
      <c r="R175" s="229"/>
      <c r="S175" s="229"/>
      <c r="T175" s="229"/>
      <c r="U175" s="229"/>
      <c r="V175" s="229"/>
      <c r="W175" s="229"/>
      <c r="X175" s="229"/>
      <c r="Y175" s="229"/>
      <c r="Z175" s="229"/>
      <c r="AA175" s="229"/>
      <c r="AB175" s="229"/>
      <c r="AC175" s="229"/>
    </row>
    <row r="176" spans="1:29" ht="12.75" customHeight="1">
      <c r="A176" s="229"/>
      <c r="B176" s="228"/>
      <c r="C176" s="228"/>
      <c r="D176" s="228"/>
      <c r="E176" s="228"/>
      <c r="F176" s="228"/>
      <c r="G176" s="228"/>
      <c r="H176" s="228"/>
      <c r="I176" s="228"/>
      <c r="J176" s="228"/>
      <c r="K176" s="228"/>
      <c r="L176" s="229"/>
      <c r="M176" s="229"/>
      <c r="N176" s="229"/>
      <c r="O176" s="229"/>
      <c r="P176" s="229"/>
      <c r="Q176" s="229"/>
      <c r="R176" s="229"/>
      <c r="S176" s="229"/>
      <c r="T176" s="229"/>
      <c r="U176" s="229"/>
      <c r="V176" s="229"/>
      <c r="W176" s="229"/>
      <c r="X176" s="229"/>
      <c r="Y176" s="229"/>
      <c r="Z176" s="229"/>
      <c r="AA176" s="229"/>
      <c r="AB176" s="229"/>
      <c r="AC176" s="229"/>
    </row>
    <row r="177" spans="1:29" ht="12.75" customHeight="1">
      <c r="A177" s="229"/>
      <c r="B177" s="228"/>
      <c r="C177" s="228"/>
      <c r="D177" s="228"/>
      <c r="E177" s="228"/>
      <c r="F177" s="228"/>
      <c r="G177" s="228"/>
      <c r="H177" s="228"/>
      <c r="I177" s="228"/>
      <c r="J177" s="228"/>
      <c r="K177" s="228"/>
      <c r="L177" s="229"/>
      <c r="M177" s="229"/>
      <c r="N177" s="229"/>
      <c r="O177" s="229"/>
      <c r="P177" s="229"/>
      <c r="Q177" s="229"/>
      <c r="R177" s="229"/>
      <c r="S177" s="229"/>
      <c r="T177" s="229"/>
      <c r="U177" s="229"/>
      <c r="V177" s="229"/>
      <c r="W177" s="229"/>
      <c r="X177" s="229"/>
      <c r="Y177" s="229"/>
      <c r="Z177" s="229"/>
      <c r="AA177" s="229"/>
      <c r="AB177" s="229"/>
      <c r="AC177" s="229"/>
    </row>
    <row r="178" spans="1:29" ht="12.75" customHeight="1">
      <c r="A178" s="229"/>
      <c r="B178" s="228"/>
      <c r="C178" s="228"/>
      <c r="D178" s="228"/>
      <c r="E178" s="228"/>
      <c r="F178" s="228"/>
      <c r="G178" s="228"/>
      <c r="H178" s="228"/>
      <c r="I178" s="228"/>
      <c r="J178" s="228"/>
      <c r="K178" s="228"/>
      <c r="L178" s="229"/>
      <c r="M178" s="229"/>
      <c r="N178" s="229"/>
      <c r="O178" s="229"/>
      <c r="P178" s="229"/>
      <c r="Q178" s="229"/>
      <c r="R178" s="229"/>
      <c r="S178" s="229"/>
      <c r="T178" s="229"/>
      <c r="U178" s="229"/>
      <c r="V178" s="229"/>
      <c r="W178" s="229"/>
      <c r="X178" s="229"/>
      <c r="Y178" s="229"/>
      <c r="Z178" s="229"/>
      <c r="AA178" s="229"/>
      <c r="AB178" s="229"/>
      <c r="AC178" s="229"/>
    </row>
    <row r="179" spans="1:29" ht="12.75" customHeight="1">
      <c r="A179" s="229"/>
      <c r="B179" s="228"/>
      <c r="C179" s="228"/>
      <c r="D179" s="228"/>
      <c r="E179" s="228"/>
      <c r="F179" s="228"/>
      <c r="G179" s="228"/>
      <c r="H179" s="228"/>
      <c r="I179" s="228"/>
      <c r="J179" s="228"/>
      <c r="K179" s="228"/>
      <c r="L179" s="229"/>
      <c r="M179" s="229"/>
      <c r="N179" s="229"/>
      <c r="O179" s="229"/>
      <c r="P179" s="229"/>
      <c r="Q179" s="229"/>
      <c r="R179" s="229"/>
      <c r="S179" s="229"/>
      <c r="T179" s="229"/>
      <c r="U179" s="229"/>
      <c r="V179" s="229"/>
      <c r="W179" s="229"/>
      <c r="X179" s="229"/>
      <c r="Y179" s="229"/>
      <c r="Z179" s="229"/>
      <c r="AA179" s="229"/>
      <c r="AB179" s="229"/>
      <c r="AC179" s="229"/>
    </row>
    <row r="180" spans="1:29" ht="12.75" customHeight="1">
      <c r="A180" s="229"/>
      <c r="B180" s="228"/>
      <c r="C180" s="228"/>
      <c r="D180" s="228"/>
      <c r="E180" s="228"/>
      <c r="F180" s="228"/>
      <c r="G180" s="228"/>
      <c r="H180" s="228"/>
      <c r="I180" s="228"/>
      <c r="J180" s="228"/>
      <c r="K180" s="228"/>
      <c r="L180" s="229"/>
      <c r="M180" s="229"/>
      <c r="N180" s="229"/>
      <c r="O180" s="229"/>
      <c r="P180" s="229"/>
      <c r="Q180" s="229"/>
      <c r="R180" s="229"/>
      <c r="S180" s="229"/>
      <c r="T180" s="229"/>
      <c r="U180" s="229"/>
      <c r="V180" s="229"/>
      <c r="W180" s="229"/>
      <c r="X180" s="229"/>
      <c r="Y180" s="229"/>
      <c r="Z180" s="229"/>
      <c r="AA180" s="229"/>
      <c r="AB180" s="229"/>
      <c r="AC180" s="229"/>
    </row>
    <row r="181" spans="1:29" ht="12.75" customHeight="1">
      <c r="A181" s="229"/>
      <c r="B181" s="228"/>
      <c r="C181" s="228"/>
      <c r="D181" s="228"/>
      <c r="E181" s="228"/>
      <c r="F181" s="228"/>
      <c r="G181" s="228"/>
      <c r="H181" s="228"/>
      <c r="I181" s="228"/>
      <c r="J181" s="228"/>
      <c r="K181" s="228"/>
      <c r="L181" s="229"/>
      <c r="M181" s="229"/>
      <c r="N181" s="229"/>
      <c r="O181" s="229"/>
      <c r="P181" s="229"/>
      <c r="Q181" s="229"/>
      <c r="R181" s="229"/>
      <c r="S181" s="229"/>
      <c r="T181" s="229"/>
      <c r="U181" s="229"/>
      <c r="V181" s="229"/>
      <c r="W181" s="229"/>
      <c r="X181" s="229"/>
      <c r="Y181" s="229"/>
      <c r="Z181" s="229"/>
      <c r="AA181" s="229"/>
      <c r="AB181" s="229"/>
      <c r="AC181" s="229"/>
    </row>
    <row r="182" spans="1:29" ht="12.75" customHeight="1">
      <c r="A182" s="229"/>
      <c r="B182" s="228"/>
      <c r="C182" s="228"/>
      <c r="D182" s="228"/>
      <c r="E182" s="228"/>
      <c r="F182" s="228"/>
      <c r="G182" s="228"/>
      <c r="H182" s="228"/>
      <c r="I182" s="228"/>
      <c r="J182" s="228"/>
      <c r="K182" s="228"/>
      <c r="L182" s="229"/>
      <c r="M182" s="229"/>
      <c r="N182" s="229"/>
      <c r="O182" s="229"/>
      <c r="P182" s="229"/>
      <c r="Q182" s="229"/>
      <c r="R182" s="229"/>
      <c r="S182" s="229"/>
      <c r="T182" s="229"/>
      <c r="U182" s="229"/>
      <c r="V182" s="229"/>
      <c r="W182" s="229"/>
      <c r="X182" s="229"/>
      <c r="Y182" s="229"/>
      <c r="Z182" s="229"/>
      <c r="AA182" s="229"/>
      <c r="AB182" s="229"/>
      <c r="AC182" s="229"/>
    </row>
    <row r="183" spans="1:29" ht="12.75" customHeight="1">
      <c r="A183" s="229"/>
      <c r="B183" s="228"/>
      <c r="C183" s="228"/>
      <c r="D183" s="228"/>
      <c r="E183" s="228"/>
      <c r="F183" s="228"/>
      <c r="G183" s="228"/>
      <c r="H183" s="228"/>
      <c r="I183" s="228"/>
      <c r="J183" s="228"/>
      <c r="K183" s="228"/>
      <c r="L183" s="229"/>
      <c r="M183" s="229"/>
      <c r="N183" s="229"/>
      <c r="O183" s="229"/>
      <c r="P183" s="229"/>
      <c r="Q183" s="229"/>
      <c r="R183" s="229"/>
      <c r="S183" s="229"/>
      <c r="T183" s="229"/>
      <c r="U183" s="229"/>
      <c r="V183" s="229"/>
      <c r="W183" s="229"/>
      <c r="X183" s="229"/>
      <c r="Y183" s="229"/>
      <c r="Z183" s="229"/>
      <c r="AA183" s="229"/>
      <c r="AB183" s="229"/>
      <c r="AC183" s="229"/>
    </row>
    <row r="184" spans="1:29" ht="12.75" customHeight="1">
      <c r="A184" s="229"/>
      <c r="B184" s="228"/>
      <c r="C184" s="228"/>
      <c r="D184" s="228"/>
      <c r="E184" s="228"/>
      <c r="F184" s="228"/>
      <c r="G184" s="228"/>
      <c r="H184" s="228"/>
      <c r="I184" s="228"/>
      <c r="J184" s="228"/>
      <c r="K184" s="228"/>
      <c r="L184" s="229"/>
      <c r="M184" s="229"/>
      <c r="N184" s="229"/>
      <c r="O184" s="229"/>
      <c r="P184" s="229"/>
      <c r="Q184" s="229"/>
      <c r="R184" s="229"/>
      <c r="S184" s="229"/>
      <c r="T184" s="229"/>
      <c r="U184" s="229"/>
      <c r="V184" s="229"/>
      <c r="W184" s="229"/>
      <c r="X184" s="229"/>
      <c r="Y184" s="229"/>
      <c r="Z184" s="229"/>
      <c r="AA184" s="229"/>
      <c r="AB184" s="229"/>
      <c r="AC184" s="229"/>
    </row>
    <row r="185" spans="1:29" ht="12.75" customHeight="1">
      <c r="A185" s="229"/>
      <c r="B185" s="228"/>
      <c r="C185" s="228"/>
      <c r="D185" s="228"/>
      <c r="E185" s="228"/>
      <c r="F185" s="228"/>
      <c r="G185" s="228"/>
      <c r="H185" s="228"/>
      <c r="I185" s="228"/>
      <c r="J185" s="228"/>
      <c r="K185" s="228"/>
      <c r="L185" s="229"/>
      <c r="M185" s="229"/>
      <c r="N185" s="229"/>
      <c r="O185" s="229"/>
      <c r="P185" s="229"/>
      <c r="Q185" s="229"/>
      <c r="R185" s="229"/>
      <c r="S185" s="229"/>
      <c r="T185" s="229"/>
      <c r="U185" s="229"/>
      <c r="V185" s="229"/>
      <c r="W185" s="229"/>
      <c r="X185" s="229"/>
      <c r="Y185" s="229"/>
      <c r="Z185" s="229"/>
      <c r="AA185" s="229"/>
      <c r="AB185" s="229"/>
      <c r="AC185" s="229"/>
    </row>
    <row r="186" spans="1:29" ht="12.75" customHeight="1">
      <c r="A186" s="229"/>
      <c r="B186" s="228"/>
      <c r="C186" s="228"/>
      <c r="D186" s="228"/>
      <c r="E186" s="228"/>
      <c r="F186" s="228"/>
      <c r="G186" s="228"/>
      <c r="H186" s="228"/>
      <c r="I186" s="228"/>
      <c r="J186" s="228"/>
      <c r="K186" s="228"/>
      <c r="L186" s="229"/>
      <c r="M186" s="229"/>
      <c r="N186" s="229"/>
      <c r="O186" s="229"/>
      <c r="P186" s="229"/>
      <c r="Q186" s="229"/>
      <c r="R186" s="229"/>
      <c r="S186" s="229"/>
      <c r="T186" s="229"/>
      <c r="U186" s="229"/>
      <c r="V186" s="229"/>
      <c r="W186" s="229"/>
      <c r="X186" s="229"/>
      <c r="Y186" s="229"/>
      <c r="Z186" s="229"/>
      <c r="AA186" s="229"/>
      <c r="AB186" s="229"/>
      <c r="AC186" s="229"/>
    </row>
    <row r="187" spans="1:29" ht="12.75" customHeight="1">
      <c r="A187" s="229"/>
      <c r="B187" s="228"/>
      <c r="C187" s="228"/>
      <c r="D187" s="228"/>
      <c r="E187" s="228"/>
      <c r="F187" s="228"/>
      <c r="G187" s="228"/>
      <c r="H187" s="228"/>
      <c r="I187" s="228"/>
      <c r="J187" s="228"/>
      <c r="K187" s="228"/>
      <c r="L187" s="229"/>
      <c r="M187" s="229"/>
      <c r="N187" s="229"/>
      <c r="O187" s="229"/>
      <c r="P187" s="229"/>
      <c r="Q187" s="229"/>
      <c r="R187" s="229"/>
      <c r="S187" s="229"/>
      <c r="T187" s="229"/>
      <c r="U187" s="229"/>
      <c r="V187" s="229"/>
      <c r="W187" s="229"/>
      <c r="X187" s="229"/>
      <c r="Y187" s="229"/>
      <c r="Z187" s="229"/>
      <c r="AA187" s="229"/>
      <c r="AB187" s="229"/>
      <c r="AC187" s="229"/>
    </row>
    <row r="188" spans="1:29" ht="12.75" customHeight="1">
      <c r="A188" s="229"/>
      <c r="B188" s="228"/>
      <c r="C188" s="228"/>
      <c r="D188" s="228"/>
      <c r="E188" s="228"/>
      <c r="F188" s="228"/>
      <c r="G188" s="228"/>
      <c r="H188" s="228"/>
      <c r="I188" s="228"/>
      <c r="J188" s="228"/>
      <c r="K188" s="228"/>
      <c r="L188" s="229"/>
      <c r="M188" s="229"/>
      <c r="N188" s="229"/>
      <c r="O188" s="229"/>
      <c r="P188" s="229"/>
      <c r="Q188" s="229"/>
      <c r="R188" s="229"/>
      <c r="S188" s="229"/>
      <c r="T188" s="229"/>
      <c r="U188" s="229"/>
      <c r="V188" s="229"/>
      <c r="W188" s="229"/>
      <c r="X188" s="229"/>
      <c r="Y188" s="229"/>
      <c r="Z188" s="229"/>
      <c r="AA188" s="229"/>
      <c r="AB188" s="229"/>
      <c r="AC188" s="229"/>
    </row>
    <row r="189" spans="1:29" ht="12.75" customHeight="1">
      <c r="A189" s="229"/>
      <c r="B189" s="228"/>
      <c r="C189" s="228"/>
      <c r="D189" s="228"/>
      <c r="E189" s="228"/>
      <c r="F189" s="228"/>
      <c r="G189" s="228"/>
      <c r="H189" s="228"/>
      <c r="I189" s="228"/>
      <c r="J189" s="228"/>
      <c r="K189" s="228"/>
      <c r="L189" s="229"/>
      <c r="M189" s="229"/>
      <c r="N189" s="229"/>
      <c r="O189" s="229"/>
      <c r="P189" s="229"/>
      <c r="Q189" s="229"/>
      <c r="R189" s="229"/>
      <c r="S189" s="229"/>
      <c r="T189" s="229"/>
      <c r="U189" s="229"/>
      <c r="V189" s="229"/>
      <c r="W189" s="229"/>
      <c r="X189" s="229"/>
      <c r="Y189" s="229"/>
      <c r="Z189" s="229"/>
      <c r="AA189" s="229"/>
      <c r="AB189" s="229"/>
      <c r="AC189" s="229"/>
    </row>
    <row r="190" spans="1:29" ht="12.75" customHeight="1">
      <c r="A190" s="229"/>
      <c r="B190" s="228"/>
      <c r="C190" s="228"/>
      <c r="D190" s="228"/>
      <c r="E190" s="228"/>
      <c r="F190" s="228"/>
      <c r="G190" s="228"/>
      <c r="H190" s="228"/>
      <c r="I190" s="228"/>
      <c r="J190" s="228"/>
      <c r="K190" s="228"/>
      <c r="L190" s="229"/>
      <c r="M190" s="229"/>
      <c r="N190" s="229"/>
      <c r="O190" s="229"/>
      <c r="P190" s="229"/>
      <c r="Q190" s="229"/>
      <c r="R190" s="229"/>
      <c r="S190" s="229"/>
      <c r="T190" s="229"/>
      <c r="U190" s="229"/>
      <c r="V190" s="229"/>
      <c r="W190" s="229"/>
      <c r="X190" s="229"/>
      <c r="Y190" s="229"/>
      <c r="Z190" s="229"/>
      <c r="AA190" s="229"/>
      <c r="AB190" s="229"/>
      <c r="AC190" s="229"/>
    </row>
    <row r="191" spans="1:29" ht="12.75" customHeight="1">
      <c r="A191" s="229"/>
      <c r="B191" s="228"/>
      <c r="C191" s="228"/>
      <c r="D191" s="228"/>
      <c r="E191" s="228"/>
      <c r="F191" s="228"/>
      <c r="G191" s="228"/>
      <c r="H191" s="228"/>
      <c r="I191" s="228"/>
      <c r="J191" s="228"/>
      <c r="K191" s="228"/>
      <c r="L191" s="229"/>
      <c r="M191" s="229"/>
      <c r="N191" s="229"/>
      <c r="O191" s="229"/>
      <c r="P191" s="229"/>
      <c r="Q191" s="229"/>
      <c r="R191" s="229"/>
      <c r="S191" s="229"/>
      <c r="T191" s="229"/>
      <c r="U191" s="229"/>
      <c r="V191" s="229"/>
      <c r="W191" s="229"/>
      <c r="X191" s="229"/>
      <c r="Y191" s="229"/>
      <c r="Z191" s="229"/>
      <c r="AA191" s="229"/>
      <c r="AB191" s="229"/>
      <c r="AC191" s="229"/>
    </row>
    <row r="192" spans="1:29" ht="12.75" customHeight="1">
      <c r="A192" s="229"/>
      <c r="B192" s="228"/>
      <c r="C192" s="228"/>
      <c r="D192" s="228"/>
      <c r="E192" s="228"/>
      <c r="F192" s="228"/>
      <c r="G192" s="228"/>
      <c r="H192" s="228"/>
      <c r="I192" s="228"/>
      <c r="J192" s="228"/>
      <c r="K192" s="228"/>
      <c r="L192" s="229"/>
      <c r="M192" s="229"/>
      <c r="N192" s="229"/>
      <c r="O192" s="229"/>
      <c r="P192" s="229"/>
      <c r="Q192" s="229"/>
      <c r="R192" s="229"/>
      <c r="S192" s="229"/>
      <c r="T192" s="229"/>
      <c r="U192" s="229"/>
      <c r="V192" s="229"/>
      <c r="W192" s="229"/>
      <c r="X192" s="229"/>
      <c r="Y192" s="229"/>
      <c r="Z192" s="229"/>
      <c r="AA192" s="229"/>
      <c r="AB192" s="229"/>
      <c r="AC192" s="229"/>
    </row>
    <row r="193" spans="1:29" ht="12.75" customHeight="1">
      <c r="A193" s="229"/>
      <c r="B193" s="228"/>
      <c r="C193" s="228"/>
      <c r="D193" s="228"/>
      <c r="E193" s="228"/>
      <c r="F193" s="228"/>
      <c r="G193" s="228"/>
      <c r="H193" s="228"/>
      <c r="I193" s="228"/>
      <c r="J193" s="228"/>
      <c r="K193" s="228"/>
      <c r="L193" s="229"/>
      <c r="M193" s="229"/>
      <c r="N193" s="229"/>
      <c r="O193" s="229"/>
      <c r="P193" s="229"/>
      <c r="Q193" s="229"/>
      <c r="R193" s="229"/>
      <c r="S193" s="229"/>
      <c r="T193" s="229"/>
      <c r="U193" s="229"/>
      <c r="V193" s="229"/>
      <c r="W193" s="229"/>
      <c r="X193" s="229"/>
      <c r="Y193" s="229"/>
      <c r="Z193" s="229"/>
      <c r="AA193" s="229"/>
      <c r="AB193" s="229"/>
      <c r="AC193" s="229"/>
    </row>
    <row r="194" spans="1:29" ht="12.75" customHeight="1">
      <c r="A194" s="229"/>
      <c r="B194" s="228"/>
      <c r="C194" s="228"/>
      <c r="D194" s="228"/>
      <c r="E194" s="228"/>
      <c r="F194" s="228"/>
      <c r="G194" s="228"/>
      <c r="H194" s="228"/>
      <c r="I194" s="228"/>
      <c r="J194" s="228"/>
      <c r="K194" s="228"/>
      <c r="L194" s="229"/>
      <c r="M194" s="229"/>
      <c r="N194" s="229"/>
      <c r="O194" s="229"/>
      <c r="P194" s="229"/>
      <c r="Q194" s="229"/>
      <c r="R194" s="229"/>
      <c r="S194" s="229"/>
      <c r="T194" s="229"/>
      <c r="U194" s="229"/>
      <c r="V194" s="229"/>
      <c r="W194" s="229"/>
      <c r="X194" s="229"/>
      <c r="Y194" s="229"/>
      <c r="Z194" s="229"/>
      <c r="AA194" s="229"/>
      <c r="AB194" s="229"/>
      <c r="AC194" s="229"/>
    </row>
    <row r="195" spans="1:29" ht="12.75" customHeight="1">
      <c r="A195" s="229"/>
      <c r="B195" s="228"/>
      <c r="C195" s="228"/>
      <c r="D195" s="228"/>
      <c r="E195" s="228"/>
      <c r="F195" s="228"/>
      <c r="G195" s="228"/>
      <c r="H195" s="228"/>
      <c r="I195" s="228"/>
      <c r="J195" s="228"/>
      <c r="K195" s="228"/>
      <c r="L195" s="229"/>
      <c r="M195" s="229"/>
      <c r="N195" s="229"/>
      <c r="O195" s="229"/>
      <c r="P195" s="229"/>
      <c r="Q195" s="229"/>
      <c r="R195" s="229"/>
      <c r="S195" s="229"/>
      <c r="T195" s="229"/>
      <c r="U195" s="229"/>
      <c r="V195" s="229"/>
      <c r="W195" s="229"/>
      <c r="X195" s="229"/>
      <c r="Y195" s="229"/>
      <c r="Z195" s="229"/>
      <c r="AA195" s="229"/>
      <c r="AB195" s="229"/>
      <c r="AC195" s="229"/>
    </row>
    <row r="196" spans="1:29" ht="12.75" customHeight="1">
      <c r="A196" s="229"/>
      <c r="B196" s="228"/>
      <c r="C196" s="228"/>
      <c r="D196" s="228"/>
      <c r="E196" s="228"/>
      <c r="F196" s="228"/>
      <c r="G196" s="228"/>
      <c r="H196" s="228"/>
      <c r="I196" s="228"/>
      <c r="J196" s="228"/>
      <c r="K196" s="228"/>
      <c r="L196" s="229"/>
      <c r="M196" s="229"/>
      <c r="N196" s="229"/>
      <c r="O196" s="229"/>
      <c r="P196" s="229"/>
      <c r="Q196" s="229"/>
      <c r="R196" s="229"/>
      <c r="S196" s="229"/>
      <c r="T196" s="229"/>
      <c r="U196" s="229"/>
      <c r="V196" s="229"/>
      <c r="W196" s="229"/>
      <c r="X196" s="229"/>
      <c r="Y196" s="229"/>
      <c r="Z196" s="229"/>
      <c r="AA196" s="229"/>
      <c r="AB196" s="229"/>
      <c r="AC196" s="229"/>
    </row>
    <row r="197" spans="1:29" ht="12.75" customHeight="1">
      <c r="A197" s="229"/>
      <c r="B197" s="228"/>
      <c r="C197" s="228"/>
      <c r="D197" s="228"/>
      <c r="E197" s="228"/>
      <c r="F197" s="228"/>
      <c r="G197" s="228"/>
      <c r="H197" s="228"/>
      <c r="I197" s="228"/>
      <c r="J197" s="228"/>
      <c r="K197" s="228"/>
      <c r="L197" s="229"/>
      <c r="M197" s="229"/>
      <c r="N197" s="229"/>
      <c r="O197" s="229"/>
      <c r="P197" s="229"/>
      <c r="Q197" s="229"/>
      <c r="R197" s="229"/>
      <c r="S197" s="229"/>
      <c r="T197" s="229"/>
      <c r="U197" s="229"/>
      <c r="V197" s="229"/>
      <c r="W197" s="229"/>
      <c r="X197" s="229"/>
      <c r="Y197" s="229"/>
      <c r="Z197" s="229"/>
      <c r="AA197" s="229"/>
      <c r="AB197" s="229"/>
      <c r="AC197" s="229"/>
    </row>
    <row r="198" spans="1:29" ht="12.75" customHeight="1">
      <c r="A198" s="229"/>
      <c r="B198" s="228"/>
      <c r="C198" s="228"/>
      <c r="D198" s="228"/>
      <c r="E198" s="228"/>
      <c r="F198" s="228"/>
      <c r="G198" s="228"/>
      <c r="H198" s="228"/>
      <c r="I198" s="228"/>
      <c r="J198" s="228"/>
      <c r="K198" s="228"/>
      <c r="L198" s="229"/>
      <c r="M198" s="229"/>
      <c r="N198" s="229"/>
      <c r="O198" s="229"/>
      <c r="P198" s="229"/>
      <c r="Q198" s="229"/>
      <c r="R198" s="229"/>
      <c r="S198" s="229"/>
      <c r="T198" s="229"/>
      <c r="U198" s="229"/>
      <c r="V198" s="229"/>
      <c r="W198" s="229"/>
      <c r="X198" s="229"/>
      <c r="Y198" s="229"/>
      <c r="Z198" s="229"/>
      <c r="AA198" s="229"/>
      <c r="AB198" s="229"/>
      <c r="AC198" s="229"/>
    </row>
    <row r="199" spans="1:29" ht="12.75" customHeight="1">
      <c r="A199" s="229"/>
      <c r="B199" s="228"/>
      <c r="C199" s="228"/>
      <c r="D199" s="228"/>
      <c r="E199" s="228"/>
      <c r="F199" s="228"/>
      <c r="G199" s="228"/>
      <c r="H199" s="228"/>
      <c r="I199" s="228"/>
      <c r="J199" s="228"/>
      <c r="K199" s="228"/>
      <c r="L199" s="229"/>
      <c r="M199" s="229"/>
      <c r="N199" s="229"/>
      <c r="O199" s="229"/>
      <c r="P199" s="229"/>
      <c r="Q199" s="229"/>
      <c r="R199" s="229"/>
      <c r="S199" s="229"/>
      <c r="T199" s="229"/>
      <c r="U199" s="229"/>
      <c r="V199" s="229"/>
      <c r="W199" s="229"/>
      <c r="X199" s="229"/>
      <c r="Y199" s="229"/>
      <c r="Z199" s="229"/>
      <c r="AA199" s="229"/>
      <c r="AB199" s="229"/>
      <c r="AC199" s="229"/>
    </row>
    <row r="200" spans="1:29" ht="12.75" customHeight="1">
      <c r="A200" s="229"/>
      <c r="B200" s="228"/>
      <c r="C200" s="228"/>
      <c r="D200" s="228"/>
      <c r="E200" s="228"/>
      <c r="F200" s="228"/>
      <c r="G200" s="228"/>
      <c r="H200" s="228"/>
      <c r="I200" s="228"/>
      <c r="J200" s="228"/>
      <c r="K200" s="228"/>
      <c r="L200" s="229"/>
      <c r="M200" s="229"/>
      <c r="N200" s="229"/>
      <c r="O200" s="229"/>
      <c r="P200" s="229"/>
      <c r="Q200" s="229"/>
      <c r="R200" s="229"/>
      <c r="S200" s="229"/>
      <c r="T200" s="229"/>
      <c r="U200" s="229"/>
      <c r="V200" s="229"/>
      <c r="W200" s="229"/>
      <c r="X200" s="229"/>
      <c r="Y200" s="229"/>
      <c r="Z200" s="229"/>
      <c r="AA200" s="229"/>
      <c r="AB200" s="229"/>
      <c r="AC200" s="229"/>
    </row>
    <row r="201" spans="1:29" ht="12.75" customHeight="1">
      <c r="A201" s="229"/>
      <c r="B201" s="228"/>
      <c r="C201" s="228"/>
      <c r="D201" s="228"/>
      <c r="E201" s="228"/>
      <c r="F201" s="228"/>
      <c r="G201" s="228"/>
      <c r="H201" s="228"/>
      <c r="I201" s="228"/>
      <c r="J201" s="228"/>
      <c r="K201" s="228"/>
      <c r="L201" s="229"/>
      <c r="M201" s="229"/>
      <c r="N201" s="229"/>
      <c r="O201" s="229"/>
      <c r="P201" s="229"/>
      <c r="Q201" s="229"/>
      <c r="R201" s="229"/>
      <c r="S201" s="229"/>
      <c r="T201" s="229"/>
      <c r="U201" s="229"/>
      <c r="V201" s="229"/>
      <c r="W201" s="229"/>
      <c r="X201" s="229"/>
      <c r="Y201" s="229"/>
      <c r="Z201" s="229"/>
      <c r="AA201" s="229"/>
      <c r="AB201" s="229"/>
      <c r="AC201" s="229"/>
    </row>
    <row r="202" spans="1:29" ht="12.75" customHeight="1">
      <c r="A202" s="229"/>
      <c r="B202" s="228"/>
      <c r="C202" s="228"/>
      <c r="D202" s="228"/>
      <c r="E202" s="228"/>
      <c r="F202" s="228"/>
      <c r="G202" s="228"/>
      <c r="H202" s="228"/>
      <c r="I202" s="228"/>
      <c r="J202" s="228"/>
      <c r="K202" s="228"/>
      <c r="L202" s="229"/>
      <c r="M202" s="229"/>
      <c r="N202" s="229"/>
      <c r="O202" s="229"/>
      <c r="P202" s="229"/>
      <c r="Q202" s="229"/>
      <c r="R202" s="229"/>
      <c r="S202" s="229"/>
      <c r="T202" s="229"/>
      <c r="U202" s="229"/>
      <c r="V202" s="229"/>
      <c r="W202" s="229"/>
      <c r="X202" s="229"/>
      <c r="Y202" s="229"/>
      <c r="Z202" s="229"/>
      <c r="AA202" s="229"/>
      <c r="AB202" s="229"/>
      <c r="AC202" s="229"/>
    </row>
    <row r="203" spans="1:29" ht="12.75" customHeight="1">
      <c r="A203" s="229"/>
      <c r="B203" s="228"/>
      <c r="C203" s="228"/>
      <c r="D203" s="228"/>
      <c r="E203" s="228"/>
      <c r="F203" s="228"/>
      <c r="G203" s="228"/>
      <c r="H203" s="228"/>
      <c r="I203" s="228"/>
      <c r="J203" s="228"/>
      <c r="K203" s="228"/>
      <c r="L203" s="229"/>
      <c r="M203" s="229"/>
      <c r="N203" s="229"/>
      <c r="O203" s="229"/>
      <c r="P203" s="229"/>
      <c r="Q203" s="229"/>
      <c r="R203" s="229"/>
      <c r="S203" s="229"/>
      <c r="T203" s="229"/>
      <c r="U203" s="229"/>
      <c r="V203" s="229"/>
      <c r="W203" s="229"/>
      <c r="X203" s="229"/>
      <c r="Y203" s="229"/>
      <c r="Z203" s="229"/>
      <c r="AA203" s="229"/>
      <c r="AB203" s="229"/>
      <c r="AC203" s="229"/>
    </row>
    <row r="204" spans="1:29" ht="12.75" customHeight="1">
      <c r="A204" s="229"/>
      <c r="B204" s="228"/>
      <c r="C204" s="228"/>
      <c r="D204" s="228"/>
      <c r="E204" s="228"/>
      <c r="F204" s="228"/>
      <c r="G204" s="228"/>
      <c r="H204" s="228"/>
      <c r="I204" s="228"/>
      <c r="J204" s="228"/>
      <c r="K204" s="228"/>
      <c r="L204" s="229"/>
      <c r="M204" s="229"/>
      <c r="N204" s="229"/>
      <c r="O204" s="229"/>
      <c r="P204" s="229"/>
      <c r="Q204" s="229"/>
      <c r="R204" s="229"/>
      <c r="S204" s="229"/>
      <c r="T204" s="229"/>
      <c r="U204" s="229"/>
      <c r="V204" s="229"/>
      <c r="W204" s="229"/>
      <c r="X204" s="229"/>
      <c r="Y204" s="229"/>
      <c r="Z204" s="229"/>
      <c r="AA204" s="229"/>
      <c r="AB204" s="229"/>
      <c r="AC204" s="229"/>
    </row>
    <row r="205" spans="1:29" ht="12.75" customHeight="1">
      <c r="A205" s="229"/>
      <c r="B205" s="228"/>
      <c r="C205" s="228"/>
      <c r="D205" s="228"/>
      <c r="E205" s="228"/>
      <c r="F205" s="228"/>
      <c r="G205" s="228"/>
      <c r="H205" s="228"/>
      <c r="I205" s="228"/>
      <c r="J205" s="228"/>
      <c r="K205" s="228"/>
      <c r="L205" s="229"/>
      <c r="M205" s="229"/>
      <c r="N205" s="229"/>
      <c r="O205" s="229"/>
      <c r="P205" s="229"/>
      <c r="Q205" s="229"/>
      <c r="R205" s="229"/>
      <c r="S205" s="229"/>
      <c r="T205" s="229"/>
      <c r="U205" s="229"/>
      <c r="V205" s="229"/>
      <c r="W205" s="229"/>
      <c r="X205" s="229"/>
      <c r="Y205" s="229"/>
      <c r="Z205" s="229"/>
      <c r="AA205" s="229"/>
      <c r="AB205" s="229"/>
      <c r="AC205" s="229"/>
    </row>
    <row r="206" spans="1:29" ht="12.75" customHeight="1">
      <c r="A206" s="229"/>
      <c r="B206" s="228"/>
      <c r="C206" s="228"/>
      <c r="D206" s="228"/>
      <c r="E206" s="228"/>
      <c r="F206" s="228"/>
      <c r="G206" s="228"/>
      <c r="H206" s="228"/>
      <c r="I206" s="228"/>
      <c r="J206" s="228"/>
      <c r="K206" s="228"/>
      <c r="L206" s="229"/>
      <c r="M206" s="229"/>
      <c r="N206" s="229"/>
      <c r="O206" s="229"/>
      <c r="P206" s="229"/>
      <c r="Q206" s="229"/>
      <c r="R206" s="229"/>
      <c r="S206" s="229"/>
      <c r="T206" s="229"/>
      <c r="U206" s="229"/>
      <c r="V206" s="229"/>
      <c r="W206" s="229"/>
      <c r="X206" s="229"/>
      <c r="Y206" s="229"/>
      <c r="Z206" s="229"/>
      <c r="AA206" s="229"/>
      <c r="AB206" s="229"/>
      <c r="AC206" s="229"/>
    </row>
    <row r="207" spans="1:29" ht="12.75" customHeight="1">
      <c r="A207" s="229"/>
      <c r="B207" s="228"/>
      <c r="C207" s="228"/>
      <c r="D207" s="228"/>
      <c r="E207" s="228"/>
      <c r="F207" s="228"/>
      <c r="G207" s="228"/>
      <c r="H207" s="228"/>
      <c r="I207" s="228"/>
      <c r="J207" s="228"/>
      <c r="K207" s="228"/>
      <c r="L207" s="229"/>
      <c r="M207" s="229"/>
      <c r="N207" s="229"/>
      <c r="O207" s="229"/>
      <c r="P207" s="229"/>
      <c r="Q207" s="229"/>
      <c r="R207" s="229"/>
      <c r="S207" s="229"/>
      <c r="T207" s="229"/>
      <c r="U207" s="229"/>
      <c r="V207" s="229"/>
      <c r="W207" s="229"/>
      <c r="X207" s="229"/>
      <c r="Y207" s="229"/>
      <c r="Z207" s="229"/>
      <c r="AA207" s="229"/>
      <c r="AB207" s="229"/>
      <c r="AC207" s="229"/>
    </row>
    <row r="208" spans="1:29" ht="12.75" customHeight="1">
      <c r="A208" s="229"/>
      <c r="B208" s="228"/>
      <c r="C208" s="228"/>
      <c r="D208" s="228"/>
      <c r="E208" s="228"/>
      <c r="F208" s="228"/>
      <c r="G208" s="228"/>
      <c r="H208" s="228"/>
      <c r="I208" s="228"/>
      <c r="J208" s="228"/>
      <c r="K208" s="228"/>
      <c r="L208" s="229"/>
      <c r="M208" s="229"/>
      <c r="N208" s="229"/>
      <c r="O208" s="229"/>
      <c r="P208" s="229"/>
      <c r="Q208" s="229"/>
      <c r="R208" s="229"/>
      <c r="S208" s="229"/>
      <c r="T208" s="229"/>
      <c r="U208" s="229"/>
      <c r="V208" s="229"/>
      <c r="W208" s="229"/>
      <c r="X208" s="229"/>
      <c r="Y208" s="229"/>
      <c r="Z208" s="229"/>
      <c r="AA208" s="229"/>
      <c r="AB208" s="229"/>
      <c r="AC208" s="229"/>
    </row>
    <row r="209" spans="1:29" ht="12.75" customHeight="1">
      <c r="A209" s="229"/>
      <c r="B209" s="228"/>
      <c r="C209" s="228"/>
      <c r="D209" s="228"/>
      <c r="E209" s="228"/>
      <c r="F209" s="228"/>
      <c r="G209" s="228"/>
      <c r="H209" s="228"/>
      <c r="I209" s="228"/>
      <c r="J209" s="228"/>
      <c r="K209" s="228"/>
      <c r="L209" s="229"/>
      <c r="M209" s="229"/>
      <c r="N209" s="229"/>
      <c r="O209" s="229"/>
      <c r="P209" s="229"/>
      <c r="Q209" s="229"/>
      <c r="R209" s="229"/>
      <c r="S209" s="229"/>
      <c r="T209" s="229"/>
      <c r="U209" s="229"/>
      <c r="V209" s="229"/>
      <c r="W209" s="229"/>
      <c r="X209" s="229"/>
      <c r="Y209" s="229"/>
      <c r="Z209" s="229"/>
      <c r="AA209" s="229"/>
      <c r="AB209" s="229"/>
      <c r="AC209" s="229"/>
    </row>
    <row r="210" spans="1:29" ht="12.75" customHeight="1">
      <c r="A210" s="229"/>
      <c r="B210" s="228"/>
      <c r="C210" s="228"/>
      <c r="D210" s="228"/>
      <c r="E210" s="228"/>
      <c r="F210" s="228"/>
      <c r="G210" s="228"/>
      <c r="H210" s="228"/>
      <c r="I210" s="228"/>
      <c r="J210" s="228"/>
      <c r="K210" s="228"/>
      <c r="L210" s="229"/>
      <c r="M210" s="229"/>
      <c r="N210" s="229"/>
      <c r="O210" s="229"/>
      <c r="P210" s="229"/>
      <c r="Q210" s="229"/>
      <c r="R210" s="229"/>
      <c r="S210" s="229"/>
      <c r="T210" s="229"/>
      <c r="U210" s="229"/>
      <c r="V210" s="229"/>
      <c r="W210" s="229"/>
      <c r="X210" s="229"/>
      <c r="Y210" s="229"/>
      <c r="Z210" s="229"/>
      <c r="AA210" s="229"/>
      <c r="AB210" s="229"/>
      <c r="AC210" s="229"/>
    </row>
    <row r="211" spans="1:29" ht="12.75" customHeight="1">
      <c r="A211" s="229"/>
      <c r="B211" s="228"/>
      <c r="C211" s="228"/>
      <c r="D211" s="228"/>
      <c r="E211" s="228"/>
      <c r="F211" s="228"/>
      <c r="G211" s="228"/>
      <c r="H211" s="228"/>
      <c r="I211" s="228"/>
      <c r="J211" s="228"/>
      <c r="K211" s="228"/>
      <c r="L211" s="229"/>
      <c r="M211" s="229"/>
      <c r="N211" s="229"/>
      <c r="O211" s="229"/>
      <c r="P211" s="229"/>
      <c r="Q211" s="229"/>
      <c r="R211" s="229"/>
      <c r="S211" s="229"/>
      <c r="T211" s="229"/>
      <c r="U211" s="229"/>
      <c r="V211" s="229"/>
      <c r="W211" s="229"/>
      <c r="X211" s="229"/>
      <c r="Y211" s="229"/>
      <c r="Z211" s="229"/>
      <c r="AA211" s="229"/>
      <c r="AB211" s="229"/>
      <c r="AC211" s="229"/>
    </row>
    <row r="212" spans="1:29" ht="12.75" customHeight="1">
      <c r="A212" s="229"/>
      <c r="B212" s="228"/>
      <c r="C212" s="228"/>
      <c r="D212" s="228"/>
      <c r="E212" s="228"/>
      <c r="F212" s="228"/>
      <c r="G212" s="228"/>
      <c r="H212" s="228"/>
      <c r="I212" s="228"/>
      <c r="J212" s="228"/>
      <c r="K212" s="228"/>
      <c r="L212" s="229"/>
      <c r="M212" s="229"/>
      <c r="N212" s="229"/>
      <c r="O212" s="229"/>
      <c r="P212" s="229"/>
      <c r="Q212" s="229"/>
      <c r="R212" s="229"/>
      <c r="S212" s="229"/>
      <c r="T212" s="229"/>
      <c r="U212" s="229"/>
      <c r="V212" s="229"/>
      <c r="W212" s="229"/>
      <c r="X212" s="229"/>
      <c r="Y212" s="229"/>
      <c r="Z212" s="229"/>
      <c r="AA212" s="229"/>
      <c r="AB212" s="229"/>
      <c r="AC212" s="229"/>
    </row>
    <row r="213" spans="1:29" ht="12.75" customHeight="1">
      <c r="A213" s="229"/>
      <c r="B213" s="228"/>
      <c r="C213" s="228"/>
      <c r="D213" s="228"/>
      <c r="E213" s="228"/>
      <c r="F213" s="228"/>
      <c r="G213" s="228"/>
      <c r="H213" s="228"/>
      <c r="I213" s="228"/>
      <c r="J213" s="228"/>
      <c r="K213" s="228"/>
      <c r="L213" s="229"/>
      <c r="M213" s="229"/>
      <c r="N213" s="229"/>
      <c r="O213" s="229"/>
      <c r="P213" s="229"/>
      <c r="Q213" s="229"/>
      <c r="R213" s="229"/>
      <c r="S213" s="229"/>
      <c r="T213" s="229"/>
      <c r="U213" s="229"/>
      <c r="V213" s="229"/>
      <c r="W213" s="229"/>
      <c r="X213" s="229"/>
      <c r="Y213" s="229"/>
      <c r="Z213" s="229"/>
      <c r="AA213" s="229"/>
      <c r="AB213" s="229"/>
      <c r="AC213" s="229"/>
    </row>
    <row r="214" spans="1:29" ht="12.75" customHeight="1">
      <c r="A214" s="229"/>
      <c r="B214" s="228"/>
      <c r="C214" s="228"/>
      <c r="D214" s="228"/>
      <c r="E214" s="228"/>
      <c r="F214" s="228"/>
      <c r="G214" s="228"/>
      <c r="H214" s="228"/>
      <c r="I214" s="228"/>
      <c r="J214" s="228"/>
      <c r="K214" s="228"/>
      <c r="L214" s="229"/>
      <c r="M214" s="229"/>
      <c r="N214" s="229"/>
      <c r="O214" s="229"/>
      <c r="P214" s="229"/>
      <c r="Q214" s="229"/>
      <c r="R214" s="229"/>
      <c r="S214" s="229"/>
      <c r="T214" s="229"/>
      <c r="U214" s="229"/>
      <c r="V214" s="229"/>
      <c r="W214" s="229"/>
      <c r="X214" s="229"/>
      <c r="Y214" s="229"/>
      <c r="Z214" s="229"/>
      <c r="AA214" s="229"/>
      <c r="AB214" s="229"/>
      <c r="AC214" s="229"/>
    </row>
    <row r="215" spans="1:29" ht="12.75" customHeight="1">
      <c r="A215" s="229"/>
      <c r="B215" s="228"/>
      <c r="C215" s="228"/>
      <c r="D215" s="228"/>
      <c r="E215" s="228"/>
      <c r="F215" s="228"/>
      <c r="G215" s="228"/>
      <c r="H215" s="228"/>
      <c r="I215" s="228"/>
      <c r="J215" s="228"/>
      <c r="K215" s="228"/>
      <c r="L215" s="229"/>
      <c r="M215" s="229"/>
      <c r="N215" s="229"/>
      <c r="O215" s="229"/>
      <c r="P215" s="229"/>
      <c r="Q215" s="229"/>
      <c r="R215" s="229"/>
      <c r="S215" s="229"/>
      <c r="T215" s="229"/>
      <c r="U215" s="229"/>
      <c r="V215" s="229"/>
      <c r="W215" s="229"/>
      <c r="X215" s="229"/>
      <c r="Y215" s="229"/>
      <c r="Z215" s="229"/>
      <c r="AA215" s="229"/>
      <c r="AB215" s="229"/>
      <c r="AC215" s="229"/>
    </row>
    <row r="216" spans="1:29" ht="12.75" customHeight="1">
      <c r="A216" s="229"/>
      <c r="B216" s="228"/>
      <c r="C216" s="228"/>
      <c r="D216" s="228"/>
      <c r="E216" s="228"/>
      <c r="F216" s="228"/>
      <c r="G216" s="228"/>
      <c r="H216" s="228"/>
      <c r="I216" s="228"/>
      <c r="J216" s="228"/>
      <c r="K216" s="228"/>
      <c r="L216" s="229"/>
      <c r="M216" s="229"/>
      <c r="N216" s="229"/>
      <c r="O216" s="229"/>
      <c r="P216" s="229"/>
      <c r="Q216" s="229"/>
      <c r="R216" s="229"/>
      <c r="S216" s="229"/>
      <c r="T216" s="229"/>
      <c r="U216" s="229"/>
      <c r="V216" s="229"/>
      <c r="W216" s="229"/>
      <c r="X216" s="229"/>
      <c r="Y216" s="229"/>
      <c r="Z216" s="229"/>
      <c r="AA216" s="229"/>
      <c r="AB216" s="229"/>
      <c r="AC216" s="229"/>
    </row>
    <row r="217" spans="1:29" ht="12.75" customHeight="1">
      <c r="A217" s="229"/>
      <c r="B217" s="228"/>
      <c r="C217" s="228"/>
      <c r="D217" s="228"/>
      <c r="E217" s="228"/>
      <c r="F217" s="228"/>
      <c r="G217" s="228"/>
      <c r="H217" s="228"/>
      <c r="I217" s="228"/>
      <c r="J217" s="228"/>
      <c r="K217" s="228"/>
      <c r="L217" s="229"/>
      <c r="M217" s="229"/>
      <c r="N217" s="229"/>
      <c r="O217" s="229"/>
      <c r="P217" s="229"/>
      <c r="Q217" s="229"/>
      <c r="R217" s="229"/>
      <c r="S217" s="229"/>
      <c r="T217" s="229"/>
      <c r="U217" s="229"/>
      <c r="V217" s="229"/>
      <c r="W217" s="229"/>
      <c r="X217" s="229"/>
      <c r="Y217" s="229"/>
      <c r="Z217" s="229"/>
      <c r="AA217" s="229"/>
      <c r="AB217" s="229"/>
      <c r="AC217" s="229"/>
    </row>
    <row r="218" spans="1:29" ht="12.75" customHeight="1">
      <c r="A218" s="229"/>
      <c r="B218" s="228"/>
      <c r="C218" s="228"/>
      <c r="D218" s="228"/>
      <c r="E218" s="228"/>
      <c r="F218" s="228"/>
      <c r="G218" s="228"/>
      <c r="H218" s="228"/>
      <c r="I218" s="228"/>
      <c r="J218" s="228"/>
      <c r="K218" s="228"/>
      <c r="L218" s="229"/>
      <c r="M218" s="229"/>
      <c r="N218" s="229"/>
      <c r="O218" s="229"/>
      <c r="P218" s="229"/>
      <c r="Q218" s="229"/>
      <c r="R218" s="229"/>
      <c r="S218" s="229"/>
      <c r="T218" s="229"/>
      <c r="U218" s="229"/>
      <c r="V218" s="229"/>
      <c r="W218" s="229"/>
      <c r="X218" s="229"/>
      <c r="Y218" s="229"/>
      <c r="Z218" s="229"/>
      <c r="AA218" s="229"/>
      <c r="AB218" s="229"/>
      <c r="AC218" s="229"/>
    </row>
    <row r="219" spans="1:29" ht="12.75" customHeight="1">
      <c r="A219" s="229"/>
      <c r="B219" s="228"/>
      <c r="C219" s="228"/>
      <c r="D219" s="228"/>
      <c r="E219" s="228"/>
      <c r="F219" s="228"/>
      <c r="G219" s="228"/>
      <c r="H219" s="228"/>
      <c r="I219" s="228"/>
      <c r="J219" s="228"/>
      <c r="K219" s="228"/>
      <c r="L219" s="229"/>
      <c r="M219" s="229"/>
      <c r="N219" s="229"/>
      <c r="O219" s="229"/>
      <c r="P219" s="229"/>
      <c r="Q219" s="229"/>
      <c r="R219" s="229"/>
      <c r="S219" s="229"/>
      <c r="T219" s="229"/>
      <c r="U219" s="229"/>
      <c r="V219" s="229"/>
      <c r="W219" s="229"/>
      <c r="X219" s="229"/>
      <c r="Y219" s="229"/>
      <c r="Z219" s="229"/>
      <c r="AA219" s="229"/>
      <c r="AB219" s="229"/>
      <c r="AC219" s="229"/>
    </row>
    <row r="220" spans="1:29" ht="12.75" customHeight="1">
      <c r="A220" s="229"/>
      <c r="B220" s="228"/>
      <c r="C220" s="228"/>
      <c r="D220" s="228"/>
      <c r="E220" s="228"/>
      <c r="F220" s="228"/>
      <c r="G220" s="228"/>
      <c r="H220" s="228"/>
      <c r="I220" s="228"/>
      <c r="J220" s="228"/>
      <c r="K220" s="228"/>
      <c r="L220" s="229"/>
      <c r="M220" s="229"/>
      <c r="N220" s="229"/>
      <c r="O220" s="229"/>
      <c r="P220" s="229"/>
      <c r="Q220" s="229"/>
      <c r="R220" s="229"/>
      <c r="S220" s="229"/>
      <c r="T220" s="229"/>
      <c r="U220" s="229"/>
      <c r="V220" s="229"/>
      <c r="W220" s="229"/>
      <c r="X220" s="229"/>
      <c r="Y220" s="229"/>
      <c r="Z220" s="229"/>
      <c r="AA220" s="229"/>
      <c r="AB220" s="229"/>
      <c r="AC220" s="229"/>
    </row>
    <row r="221" spans="1:29" ht="12.75" customHeight="1">
      <c r="A221" s="229"/>
      <c r="B221" s="228"/>
      <c r="C221" s="228"/>
      <c r="D221" s="228"/>
      <c r="E221" s="228"/>
      <c r="F221" s="228"/>
      <c r="G221" s="228"/>
      <c r="H221" s="228"/>
      <c r="I221" s="228"/>
      <c r="J221" s="228"/>
      <c r="K221" s="228"/>
      <c r="L221" s="229"/>
      <c r="M221" s="229"/>
      <c r="N221" s="229"/>
      <c r="O221" s="229"/>
      <c r="P221" s="229"/>
      <c r="Q221" s="229"/>
      <c r="R221" s="229"/>
      <c r="S221" s="229"/>
      <c r="T221" s="229"/>
      <c r="U221" s="229"/>
      <c r="V221" s="229"/>
      <c r="W221" s="229"/>
      <c r="X221" s="229"/>
      <c r="Y221" s="229"/>
      <c r="Z221" s="229"/>
      <c r="AA221" s="229"/>
      <c r="AB221" s="229"/>
      <c r="AC221" s="229"/>
    </row>
    <row r="222" spans="1:29" ht="12.75" customHeight="1">
      <c r="A222" s="229"/>
      <c r="B222" s="228"/>
      <c r="C222" s="228"/>
      <c r="D222" s="228"/>
      <c r="E222" s="228"/>
      <c r="F222" s="228"/>
      <c r="G222" s="228"/>
      <c r="H222" s="228"/>
      <c r="I222" s="228"/>
      <c r="J222" s="228"/>
      <c r="K222" s="228"/>
      <c r="L222" s="229"/>
      <c r="M222" s="229"/>
      <c r="N222" s="229"/>
      <c r="O222" s="229"/>
      <c r="P222" s="229"/>
      <c r="Q222" s="229"/>
      <c r="R222" s="229"/>
      <c r="S222" s="229"/>
      <c r="T222" s="229"/>
      <c r="U222" s="229"/>
      <c r="V222" s="229"/>
      <c r="W222" s="229"/>
      <c r="X222" s="229"/>
      <c r="Y222" s="229"/>
      <c r="Z222" s="229"/>
      <c r="AA222" s="229"/>
      <c r="AB222" s="229"/>
      <c r="AC222" s="229"/>
    </row>
    <row r="223" spans="1:29" ht="12.75" customHeight="1">
      <c r="A223" s="229"/>
      <c r="B223" s="228"/>
      <c r="C223" s="228"/>
      <c r="D223" s="228"/>
      <c r="E223" s="228"/>
      <c r="F223" s="228"/>
      <c r="G223" s="228"/>
      <c r="H223" s="228"/>
      <c r="I223" s="228"/>
      <c r="J223" s="228"/>
      <c r="K223" s="228"/>
      <c r="L223" s="229"/>
      <c r="M223" s="229"/>
      <c r="N223" s="229"/>
      <c r="O223" s="229"/>
      <c r="P223" s="229"/>
      <c r="Q223" s="229"/>
      <c r="R223" s="229"/>
      <c r="S223" s="229"/>
      <c r="T223" s="229"/>
      <c r="U223" s="229"/>
      <c r="V223" s="229"/>
      <c r="W223" s="229"/>
      <c r="X223" s="229"/>
      <c r="Y223" s="229"/>
      <c r="Z223" s="229"/>
      <c r="AA223" s="229"/>
      <c r="AB223" s="229"/>
      <c r="AC223" s="229"/>
    </row>
    <row r="224" spans="1:29" ht="12.75" customHeight="1">
      <c r="A224" s="229"/>
      <c r="B224" s="228"/>
      <c r="C224" s="228"/>
      <c r="D224" s="228"/>
      <c r="E224" s="228"/>
      <c r="F224" s="228"/>
      <c r="G224" s="228"/>
      <c r="H224" s="228"/>
      <c r="I224" s="228"/>
      <c r="J224" s="228"/>
      <c r="K224" s="228"/>
      <c r="L224" s="229"/>
      <c r="M224" s="229"/>
      <c r="N224" s="229"/>
      <c r="O224" s="229"/>
      <c r="P224" s="229"/>
      <c r="Q224" s="229"/>
      <c r="R224" s="229"/>
      <c r="S224" s="229"/>
      <c r="T224" s="229"/>
      <c r="U224" s="229"/>
      <c r="V224" s="229"/>
      <c r="W224" s="229"/>
      <c r="X224" s="229"/>
      <c r="Y224" s="229"/>
      <c r="Z224" s="229"/>
      <c r="AA224" s="229"/>
      <c r="AB224" s="229"/>
      <c r="AC224" s="229"/>
    </row>
    <row r="225" spans="1:29" ht="12.75" customHeight="1">
      <c r="A225" s="229"/>
      <c r="B225" s="228"/>
      <c r="C225" s="228"/>
      <c r="D225" s="228"/>
      <c r="E225" s="228"/>
      <c r="F225" s="228"/>
      <c r="G225" s="228"/>
      <c r="H225" s="228"/>
      <c r="I225" s="228"/>
      <c r="J225" s="228"/>
      <c r="K225" s="228"/>
      <c r="L225" s="229"/>
      <c r="M225" s="229"/>
      <c r="N225" s="229"/>
      <c r="O225" s="229"/>
      <c r="P225" s="229"/>
      <c r="Q225" s="229"/>
      <c r="R225" s="229"/>
      <c r="S225" s="229"/>
      <c r="T225" s="229"/>
      <c r="U225" s="229"/>
      <c r="V225" s="229"/>
      <c r="W225" s="229"/>
      <c r="X225" s="229"/>
      <c r="Y225" s="229"/>
      <c r="Z225" s="229"/>
      <c r="AA225" s="229"/>
      <c r="AB225" s="229"/>
      <c r="AC225" s="229"/>
    </row>
    <row r="226" spans="1:29" ht="12.75" customHeight="1">
      <c r="A226" s="229"/>
      <c r="B226" s="228"/>
      <c r="C226" s="228"/>
      <c r="D226" s="228"/>
      <c r="E226" s="228"/>
      <c r="F226" s="228"/>
      <c r="G226" s="228"/>
      <c r="H226" s="228"/>
      <c r="I226" s="228"/>
      <c r="J226" s="228"/>
      <c r="K226" s="228"/>
      <c r="L226" s="229"/>
      <c r="M226" s="229"/>
      <c r="N226" s="229"/>
      <c r="O226" s="229"/>
      <c r="P226" s="229"/>
      <c r="Q226" s="229"/>
      <c r="R226" s="229"/>
      <c r="S226" s="229"/>
      <c r="T226" s="229"/>
      <c r="U226" s="229"/>
      <c r="V226" s="229"/>
      <c r="W226" s="229"/>
      <c r="X226" s="229"/>
      <c r="Y226" s="229"/>
      <c r="Z226" s="229"/>
      <c r="AA226" s="229"/>
      <c r="AB226" s="229"/>
      <c r="AC226" s="229"/>
    </row>
    <row r="227" spans="1:29" ht="12.75" customHeight="1">
      <c r="A227" s="229"/>
      <c r="B227" s="228"/>
      <c r="C227" s="228"/>
      <c r="D227" s="228"/>
      <c r="E227" s="228"/>
      <c r="F227" s="228"/>
      <c r="G227" s="228"/>
      <c r="H227" s="228"/>
      <c r="I227" s="228"/>
      <c r="J227" s="228"/>
      <c r="K227" s="228"/>
      <c r="L227" s="229"/>
      <c r="M227" s="229"/>
      <c r="N227" s="229"/>
      <c r="O227" s="229"/>
      <c r="P227" s="229"/>
      <c r="Q227" s="229"/>
      <c r="R227" s="229"/>
      <c r="S227" s="229"/>
      <c r="T227" s="229"/>
      <c r="U227" s="229"/>
      <c r="V227" s="229"/>
      <c r="W227" s="229"/>
      <c r="X227" s="229"/>
      <c r="Y227" s="229"/>
      <c r="Z227" s="229"/>
      <c r="AA227" s="229"/>
      <c r="AB227" s="229"/>
      <c r="AC227" s="229"/>
    </row>
    <row r="228" spans="1:29" ht="12.75" customHeight="1">
      <c r="A228" s="229"/>
      <c r="B228" s="228"/>
      <c r="C228" s="228"/>
      <c r="D228" s="228"/>
      <c r="E228" s="228"/>
      <c r="F228" s="228"/>
      <c r="G228" s="228"/>
      <c r="H228" s="228"/>
      <c r="I228" s="228"/>
      <c r="J228" s="228"/>
      <c r="K228" s="228"/>
      <c r="L228" s="229"/>
      <c r="M228" s="229"/>
      <c r="N228" s="229"/>
      <c r="O228" s="229"/>
      <c r="P228" s="229"/>
      <c r="Q228" s="229"/>
      <c r="R228" s="229"/>
      <c r="S228" s="229"/>
      <c r="T228" s="229"/>
      <c r="U228" s="229"/>
      <c r="V228" s="229"/>
      <c r="W228" s="229"/>
      <c r="X228" s="229"/>
      <c r="Y228" s="229"/>
      <c r="Z228" s="229"/>
      <c r="AA228" s="229"/>
      <c r="AB228" s="229"/>
      <c r="AC228" s="229"/>
    </row>
    <row r="229" spans="1:29" ht="12.75" customHeight="1">
      <c r="A229" s="229"/>
      <c r="B229" s="228"/>
      <c r="C229" s="228"/>
      <c r="D229" s="228"/>
      <c r="E229" s="228"/>
      <c r="F229" s="228"/>
      <c r="G229" s="228"/>
      <c r="H229" s="228"/>
      <c r="I229" s="228"/>
      <c r="J229" s="228"/>
      <c r="K229" s="228"/>
      <c r="L229" s="229"/>
      <c r="M229" s="229"/>
      <c r="N229" s="229"/>
      <c r="O229" s="229"/>
      <c r="P229" s="229"/>
      <c r="Q229" s="229"/>
      <c r="R229" s="229"/>
      <c r="S229" s="229"/>
      <c r="T229" s="229"/>
      <c r="U229" s="229"/>
      <c r="V229" s="229"/>
      <c r="W229" s="229"/>
      <c r="X229" s="229"/>
      <c r="Y229" s="229"/>
      <c r="Z229" s="229"/>
      <c r="AA229" s="229"/>
      <c r="AB229" s="229"/>
      <c r="AC229" s="229"/>
    </row>
    <row r="230" spans="1:29" ht="12.75" customHeight="1">
      <c r="A230" s="229"/>
      <c r="B230" s="228"/>
      <c r="C230" s="228"/>
      <c r="D230" s="228"/>
      <c r="E230" s="228"/>
      <c r="F230" s="228"/>
      <c r="G230" s="228"/>
      <c r="H230" s="228"/>
      <c r="I230" s="228"/>
      <c r="J230" s="228"/>
      <c r="K230" s="228"/>
      <c r="L230" s="229"/>
      <c r="M230" s="229"/>
      <c r="N230" s="229"/>
      <c r="O230" s="229"/>
      <c r="P230" s="229"/>
      <c r="Q230" s="229"/>
      <c r="R230" s="229"/>
      <c r="S230" s="229"/>
      <c r="T230" s="229"/>
      <c r="U230" s="229"/>
      <c r="V230" s="229"/>
      <c r="W230" s="229"/>
      <c r="X230" s="229"/>
      <c r="Y230" s="229"/>
      <c r="Z230" s="229"/>
      <c r="AA230" s="229"/>
      <c r="AB230" s="229"/>
      <c r="AC230" s="229"/>
    </row>
    <row r="231" spans="1:29" ht="12.75" customHeight="1">
      <c r="A231" s="229"/>
      <c r="B231" s="228"/>
      <c r="C231" s="228"/>
      <c r="D231" s="228"/>
      <c r="E231" s="228"/>
      <c r="F231" s="228"/>
      <c r="G231" s="228"/>
      <c r="H231" s="228"/>
      <c r="I231" s="228"/>
      <c r="J231" s="228"/>
      <c r="K231" s="228"/>
      <c r="L231" s="229"/>
      <c r="M231" s="229"/>
      <c r="N231" s="229"/>
      <c r="O231" s="229"/>
      <c r="P231" s="229"/>
      <c r="Q231" s="229"/>
      <c r="R231" s="229"/>
      <c r="S231" s="229"/>
      <c r="T231" s="229"/>
      <c r="U231" s="229"/>
      <c r="V231" s="229"/>
      <c r="W231" s="229"/>
      <c r="X231" s="229"/>
      <c r="Y231" s="229"/>
      <c r="Z231" s="229"/>
      <c r="AA231" s="229"/>
      <c r="AB231" s="229"/>
      <c r="AC231" s="229"/>
    </row>
    <row r="232" spans="1:29" ht="12.75" customHeight="1">
      <c r="A232" s="229"/>
      <c r="B232" s="228"/>
      <c r="C232" s="228"/>
      <c r="D232" s="228"/>
      <c r="E232" s="228"/>
      <c r="F232" s="228"/>
      <c r="G232" s="228"/>
      <c r="H232" s="228"/>
      <c r="I232" s="228"/>
      <c r="J232" s="228"/>
      <c r="K232" s="228"/>
      <c r="L232" s="229"/>
      <c r="M232" s="229"/>
      <c r="N232" s="229"/>
      <c r="O232" s="229"/>
      <c r="P232" s="229"/>
      <c r="Q232" s="229"/>
      <c r="R232" s="229"/>
      <c r="S232" s="229"/>
      <c r="T232" s="229"/>
      <c r="U232" s="229"/>
      <c r="V232" s="229"/>
      <c r="W232" s="229"/>
      <c r="X232" s="229"/>
      <c r="Y232" s="229"/>
      <c r="Z232" s="229"/>
      <c r="AA232" s="229"/>
      <c r="AB232" s="229"/>
      <c r="AC232" s="229"/>
    </row>
    <row r="233" spans="1:29" ht="12.75" customHeight="1">
      <c r="A233" s="229"/>
      <c r="B233" s="228"/>
      <c r="C233" s="228"/>
      <c r="D233" s="228"/>
      <c r="E233" s="228"/>
      <c r="F233" s="228"/>
      <c r="G233" s="228"/>
      <c r="H233" s="228"/>
      <c r="I233" s="228"/>
      <c r="J233" s="228"/>
      <c r="K233" s="228"/>
      <c r="L233" s="229"/>
      <c r="M233" s="229"/>
      <c r="N233" s="229"/>
      <c r="O233" s="229"/>
      <c r="P233" s="229"/>
      <c r="Q233" s="229"/>
      <c r="R233" s="229"/>
      <c r="S233" s="229"/>
      <c r="T233" s="229"/>
      <c r="U233" s="229"/>
      <c r="V233" s="229"/>
      <c r="W233" s="229"/>
      <c r="X233" s="229"/>
      <c r="Y233" s="229"/>
      <c r="Z233" s="229"/>
      <c r="AA233" s="229"/>
      <c r="AB233" s="229"/>
      <c r="AC233" s="229"/>
    </row>
    <row r="234" spans="1:29" ht="12.75" customHeight="1">
      <c r="A234" s="229"/>
      <c r="B234" s="228"/>
      <c r="C234" s="228"/>
      <c r="D234" s="228"/>
      <c r="E234" s="228"/>
      <c r="F234" s="228"/>
      <c r="G234" s="228"/>
      <c r="H234" s="228"/>
      <c r="I234" s="228"/>
      <c r="J234" s="228"/>
      <c r="K234" s="228"/>
      <c r="L234" s="229"/>
      <c r="M234" s="229"/>
      <c r="N234" s="229"/>
      <c r="O234" s="229"/>
      <c r="P234" s="229"/>
      <c r="Q234" s="229"/>
      <c r="R234" s="229"/>
      <c r="S234" s="229"/>
      <c r="T234" s="229"/>
      <c r="U234" s="229"/>
      <c r="V234" s="229"/>
      <c r="W234" s="229"/>
      <c r="X234" s="229"/>
      <c r="Y234" s="229"/>
      <c r="Z234" s="229"/>
      <c r="AA234" s="229"/>
      <c r="AB234" s="229"/>
      <c r="AC234" s="229"/>
    </row>
    <row r="235" spans="1:29" ht="12.75" customHeight="1">
      <c r="A235" s="229"/>
      <c r="B235" s="228"/>
      <c r="C235" s="228"/>
      <c r="D235" s="228"/>
      <c r="E235" s="228"/>
      <c r="F235" s="228"/>
      <c r="G235" s="228"/>
      <c r="H235" s="228"/>
      <c r="I235" s="228"/>
      <c r="J235" s="228"/>
      <c r="K235" s="228"/>
      <c r="L235" s="229"/>
      <c r="M235" s="229"/>
      <c r="N235" s="229"/>
      <c r="O235" s="229"/>
      <c r="P235" s="229"/>
      <c r="Q235" s="229"/>
      <c r="R235" s="229"/>
      <c r="S235" s="229"/>
      <c r="T235" s="229"/>
      <c r="U235" s="229"/>
      <c r="V235" s="229"/>
      <c r="W235" s="229"/>
      <c r="X235" s="229"/>
      <c r="Y235" s="229"/>
      <c r="Z235" s="229"/>
      <c r="AA235" s="229"/>
      <c r="AB235" s="229"/>
      <c r="AC235" s="229"/>
    </row>
    <row r="236" spans="1:29" ht="12.75" customHeight="1">
      <c r="A236" s="229"/>
      <c r="B236" s="228"/>
      <c r="C236" s="228"/>
      <c r="D236" s="228"/>
      <c r="E236" s="228"/>
      <c r="F236" s="228"/>
      <c r="G236" s="228"/>
      <c r="H236" s="228"/>
      <c r="I236" s="228"/>
      <c r="J236" s="228"/>
      <c r="K236" s="228"/>
      <c r="L236" s="229"/>
      <c r="M236" s="229"/>
      <c r="N236" s="229"/>
      <c r="O236" s="229"/>
      <c r="P236" s="229"/>
      <c r="Q236" s="229"/>
      <c r="R236" s="229"/>
      <c r="S236" s="229"/>
      <c r="T236" s="229"/>
      <c r="U236" s="229"/>
      <c r="V236" s="229"/>
      <c r="W236" s="229"/>
      <c r="X236" s="229"/>
      <c r="Y236" s="229"/>
      <c r="Z236" s="229"/>
      <c r="AA236" s="229"/>
      <c r="AB236" s="229"/>
      <c r="AC236" s="229"/>
    </row>
    <row r="237" spans="1:29" ht="12.75" customHeight="1">
      <c r="A237" s="229"/>
      <c r="B237" s="228"/>
      <c r="C237" s="228"/>
      <c r="D237" s="228"/>
      <c r="E237" s="228"/>
      <c r="F237" s="228"/>
      <c r="G237" s="228"/>
      <c r="H237" s="228"/>
      <c r="I237" s="228"/>
      <c r="J237" s="228"/>
      <c r="K237" s="228"/>
      <c r="L237" s="229"/>
      <c r="M237" s="229"/>
      <c r="N237" s="229"/>
      <c r="O237" s="229"/>
      <c r="P237" s="229"/>
      <c r="Q237" s="229"/>
      <c r="R237" s="229"/>
      <c r="S237" s="229"/>
      <c r="T237" s="229"/>
      <c r="U237" s="229"/>
      <c r="V237" s="229"/>
      <c r="W237" s="229"/>
      <c r="X237" s="229"/>
      <c r="Y237" s="229"/>
      <c r="Z237" s="229"/>
      <c r="AA237" s="229"/>
      <c r="AB237" s="229"/>
      <c r="AC237" s="229"/>
    </row>
    <row r="238" spans="1:29" ht="12.75" customHeight="1">
      <c r="A238" s="229"/>
      <c r="B238" s="228"/>
      <c r="C238" s="228"/>
      <c r="D238" s="228"/>
      <c r="E238" s="228"/>
      <c r="F238" s="228"/>
      <c r="G238" s="228"/>
      <c r="H238" s="228"/>
      <c r="I238" s="228"/>
      <c r="J238" s="228"/>
      <c r="K238" s="228"/>
      <c r="L238" s="229"/>
      <c r="M238" s="229"/>
      <c r="N238" s="229"/>
      <c r="O238" s="229"/>
      <c r="P238" s="229"/>
      <c r="Q238" s="229"/>
      <c r="R238" s="229"/>
      <c r="S238" s="229"/>
      <c r="T238" s="229"/>
      <c r="U238" s="229"/>
      <c r="V238" s="229"/>
      <c r="W238" s="229"/>
      <c r="X238" s="229"/>
      <c r="Y238" s="229"/>
      <c r="Z238" s="229"/>
      <c r="AA238" s="229"/>
      <c r="AB238" s="229"/>
      <c r="AC238" s="229"/>
    </row>
    <row r="239" spans="1:29" ht="12.75" customHeight="1">
      <c r="A239" s="229"/>
      <c r="B239" s="228"/>
      <c r="C239" s="228"/>
      <c r="D239" s="228"/>
      <c r="E239" s="228"/>
      <c r="F239" s="228"/>
      <c r="G239" s="228"/>
      <c r="H239" s="228"/>
      <c r="I239" s="228"/>
      <c r="J239" s="228"/>
      <c r="K239" s="228"/>
      <c r="L239" s="229"/>
      <c r="M239" s="229"/>
      <c r="N239" s="229"/>
      <c r="O239" s="229"/>
      <c r="P239" s="229"/>
      <c r="Q239" s="229"/>
      <c r="R239" s="229"/>
      <c r="S239" s="229"/>
      <c r="T239" s="229"/>
      <c r="U239" s="229"/>
      <c r="V239" s="229"/>
      <c r="W239" s="229"/>
      <c r="X239" s="229"/>
      <c r="Y239" s="229"/>
      <c r="Z239" s="229"/>
      <c r="AA239" s="229"/>
      <c r="AB239" s="229"/>
      <c r="AC239" s="229"/>
    </row>
    <row r="240" spans="1:29" ht="12.75" customHeight="1">
      <c r="A240" s="229"/>
      <c r="B240" s="228"/>
      <c r="C240" s="228"/>
      <c r="D240" s="228"/>
      <c r="E240" s="228"/>
      <c r="F240" s="228"/>
      <c r="G240" s="228"/>
      <c r="H240" s="228"/>
      <c r="I240" s="228"/>
      <c r="J240" s="228"/>
      <c r="K240" s="228"/>
      <c r="L240" s="229"/>
      <c r="M240" s="229"/>
      <c r="N240" s="229"/>
      <c r="O240" s="229"/>
      <c r="P240" s="229"/>
      <c r="Q240" s="229"/>
      <c r="R240" s="229"/>
      <c r="S240" s="229"/>
      <c r="T240" s="229"/>
      <c r="U240" s="229"/>
      <c r="V240" s="229"/>
      <c r="W240" s="229"/>
      <c r="X240" s="229"/>
      <c r="Y240" s="229"/>
      <c r="Z240" s="229"/>
      <c r="AA240" s="229"/>
      <c r="AB240" s="229"/>
      <c r="AC240" s="229"/>
    </row>
    <row r="241" spans="1:29" ht="12.75" customHeight="1">
      <c r="A241" s="229"/>
      <c r="B241" s="228"/>
      <c r="C241" s="228"/>
      <c r="D241" s="228"/>
      <c r="E241" s="228"/>
      <c r="F241" s="228"/>
      <c r="G241" s="228"/>
      <c r="H241" s="228"/>
      <c r="I241" s="228"/>
      <c r="J241" s="228"/>
      <c r="K241" s="228"/>
      <c r="L241" s="229"/>
      <c r="M241" s="229"/>
      <c r="N241" s="229"/>
      <c r="O241" s="229"/>
      <c r="P241" s="229"/>
      <c r="Q241" s="229"/>
      <c r="R241" s="229"/>
      <c r="S241" s="229"/>
      <c r="T241" s="229"/>
      <c r="U241" s="229"/>
      <c r="V241" s="229"/>
      <c r="W241" s="229"/>
      <c r="X241" s="229"/>
      <c r="Y241" s="229"/>
      <c r="Z241" s="229"/>
      <c r="AA241" s="229"/>
      <c r="AB241" s="229"/>
      <c r="AC241" s="229"/>
    </row>
    <row r="242" spans="1:29" ht="12.75" customHeight="1">
      <c r="A242" s="229"/>
      <c r="B242" s="228"/>
      <c r="C242" s="228"/>
      <c r="D242" s="228"/>
      <c r="E242" s="228"/>
      <c r="F242" s="228"/>
      <c r="G242" s="228"/>
      <c r="H242" s="228"/>
      <c r="I242" s="228"/>
      <c r="J242" s="228"/>
      <c r="K242" s="228"/>
      <c r="L242" s="229"/>
      <c r="M242" s="229"/>
      <c r="N242" s="229"/>
      <c r="O242" s="229"/>
      <c r="P242" s="229"/>
      <c r="Q242" s="229"/>
      <c r="R242" s="229"/>
      <c r="S242" s="229"/>
      <c r="T242" s="229"/>
      <c r="U242" s="229"/>
      <c r="V242" s="229"/>
      <c r="W242" s="229"/>
      <c r="X242" s="229"/>
      <c r="Y242" s="229"/>
      <c r="Z242" s="229"/>
      <c r="AA242" s="229"/>
      <c r="AB242" s="229"/>
      <c r="AC242" s="229"/>
    </row>
    <row r="243" spans="1:29" ht="12.75" customHeight="1">
      <c r="A243" s="229"/>
      <c r="B243" s="228"/>
      <c r="C243" s="228"/>
      <c r="D243" s="228"/>
      <c r="E243" s="228"/>
      <c r="F243" s="228"/>
      <c r="G243" s="228"/>
      <c r="H243" s="228"/>
      <c r="I243" s="228"/>
      <c r="J243" s="228"/>
      <c r="K243" s="228"/>
      <c r="L243" s="229"/>
      <c r="M243" s="229"/>
      <c r="N243" s="229"/>
      <c r="O243" s="229"/>
      <c r="P243" s="229"/>
      <c r="Q243" s="229"/>
      <c r="R243" s="229"/>
      <c r="S243" s="229"/>
      <c r="T243" s="229"/>
      <c r="U243" s="229"/>
      <c r="V243" s="229"/>
      <c r="W243" s="229"/>
      <c r="X243" s="229"/>
      <c r="Y243" s="229"/>
      <c r="Z243" s="229"/>
      <c r="AA243" s="229"/>
      <c r="AB243" s="229"/>
      <c r="AC243" s="229"/>
    </row>
    <row r="244" spans="1:29" ht="12.75" customHeight="1">
      <c r="A244" s="229"/>
      <c r="B244" s="228"/>
      <c r="C244" s="228"/>
      <c r="D244" s="228"/>
      <c r="E244" s="228"/>
      <c r="F244" s="228"/>
      <c r="G244" s="228"/>
      <c r="H244" s="228"/>
      <c r="I244" s="228"/>
      <c r="J244" s="228"/>
      <c r="K244" s="228"/>
      <c r="L244" s="229"/>
      <c r="M244" s="229"/>
      <c r="N244" s="229"/>
      <c r="O244" s="229"/>
      <c r="P244" s="229"/>
      <c r="Q244" s="229"/>
      <c r="R244" s="229"/>
      <c r="S244" s="229"/>
      <c r="T244" s="229"/>
      <c r="U244" s="229"/>
      <c r="V244" s="229"/>
      <c r="W244" s="229"/>
      <c r="X244" s="229"/>
      <c r="Y244" s="229"/>
      <c r="Z244" s="229"/>
      <c r="AA244" s="229"/>
      <c r="AB244" s="229"/>
      <c r="AC244" s="229"/>
    </row>
    <row r="245" spans="1:29" ht="12.75" customHeight="1">
      <c r="A245" s="229"/>
      <c r="B245" s="228"/>
      <c r="C245" s="228"/>
      <c r="D245" s="228"/>
      <c r="E245" s="228"/>
      <c r="F245" s="228"/>
      <c r="G245" s="228"/>
      <c r="H245" s="228"/>
      <c r="I245" s="228"/>
      <c r="J245" s="228"/>
      <c r="K245" s="228"/>
      <c r="L245" s="229"/>
      <c r="M245" s="229"/>
      <c r="N245" s="229"/>
      <c r="O245" s="229"/>
      <c r="P245" s="229"/>
      <c r="Q245" s="229"/>
      <c r="R245" s="229"/>
      <c r="S245" s="229"/>
      <c r="T245" s="229"/>
      <c r="U245" s="229"/>
      <c r="V245" s="229"/>
      <c r="W245" s="229"/>
      <c r="X245" s="229"/>
      <c r="Y245" s="229"/>
      <c r="Z245" s="229"/>
      <c r="AA245" s="229"/>
      <c r="AB245" s="229"/>
      <c r="AC245" s="229"/>
    </row>
    <row r="246" spans="1:29" ht="12.75" customHeight="1">
      <c r="A246" s="229"/>
      <c r="B246" s="228"/>
      <c r="C246" s="228"/>
      <c r="D246" s="228"/>
      <c r="E246" s="228"/>
      <c r="F246" s="228"/>
      <c r="G246" s="228"/>
      <c r="H246" s="228"/>
      <c r="I246" s="228"/>
      <c r="J246" s="228"/>
      <c r="K246" s="228"/>
      <c r="L246" s="229"/>
      <c r="M246" s="229"/>
      <c r="N246" s="229"/>
      <c r="O246" s="229"/>
      <c r="P246" s="229"/>
      <c r="Q246" s="229"/>
      <c r="R246" s="229"/>
      <c r="S246" s="229"/>
      <c r="T246" s="229"/>
      <c r="U246" s="229"/>
      <c r="V246" s="229"/>
      <c r="W246" s="229"/>
      <c r="X246" s="229"/>
      <c r="Y246" s="229"/>
      <c r="Z246" s="229"/>
      <c r="AA246" s="229"/>
      <c r="AB246" s="229"/>
      <c r="AC246" s="229"/>
    </row>
    <row r="247" spans="1:29" ht="12.75" customHeight="1">
      <c r="A247" s="229"/>
      <c r="B247" s="228"/>
      <c r="C247" s="228"/>
      <c r="D247" s="228"/>
      <c r="E247" s="228"/>
      <c r="F247" s="228"/>
      <c r="G247" s="228"/>
      <c r="H247" s="228"/>
      <c r="I247" s="228"/>
      <c r="J247" s="228"/>
      <c r="K247" s="228"/>
      <c r="L247" s="229"/>
      <c r="M247" s="229"/>
      <c r="N247" s="229"/>
      <c r="O247" s="229"/>
      <c r="P247" s="229"/>
      <c r="Q247" s="229"/>
      <c r="R247" s="229"/>
      <c r="S247" s="229"/>
      <c r="T247" s="229"/>
      <c r="U247" s="229"/>
      <c r="V247" s="229"/>
      <c r="W247" s="229"/>
      <c r="X247" s="229"/>
      <c r="Y247" s="229"/>
      <c r="Z247" s="229"/>
      <c r="AA247" s="229"/>
      <c r="AB247" s="229"/>
      <c r="AC247" s="229"/>
    </row>
    <row r="248" spans="1:29" ht="12.75" customHeight="1">
      <c r="A248" s="229"/>
      <c r="B248" s="228"/>
      <c r="C248" s="228"/>
      <c r="D248" s="228"/>
      <c r="E248" s="228"/>
      <c r="F248" s="228"/>
      <c r="G248" s="228"/>
      <c r="H248" s="228"/>
      <c r="I248" s="228"/>
      <c r="J248" s="228"/>
      <c r="K248" s="228"/>
      <c r="L248" s="229"/>
      <c r="M248" s="229"/>
      <c r="N248" s="229"/>
      <c r="O248" s="229"/>
      <c r="P248" s="229"/>
      <c r="Q248" s="229"/>
      <c r="R248" s="229"/>
      <c r="S248" s="229"/>
      <c r="T248" s="229"/>
      <c r="U248" s="229"/>
      <c r="V248" s="229"/>
      <c r="W248" s="229"/>
      <c r="X248" s="229"/>
      <c r="Y248" s="229"/>
      <c r="Z248" s="229"/>
      <c r="AA248" s="229"/>
      <c r="AB248" s="229"/>
      <c r="AC248" s="229"/>
    </row>
    <row r="249" spans="1:29" ht="12.75" customHeight="1">
      <c r="A249" s="229"/>
      <c r="B249" s="228"/>
      <c r="C249" s="228"/>
      <c r="D249" s="228"/>
      <c r="E249" s="228"/>
      <c r="F249" s="228"/>
      <c r="G249" s="228"/>
      <c r="H249" s="228"/>
      <c r="I249" s="228"/>
      <c r="J249" s="228"/>
      <c r="K249" s="228"/>
      <c r="L249" s="229"/>
      <c r="M249" s="229"/>
      <c r="N249" s="229"/>
      <c r="O249" s="229"/>
      <c r="P249" s="229"/>
      <c r="Q249" s="229"/>
      <c r="R249" s="229"/>
      <c r="S249" s="229"/>
      <c r="T249" s="229"/>
      <c r="U249" s="229"/>
      <c r="V249" s="229"/>
      <c r="W249" s="229"/>
      <c r="X249" s="229"/>
      <c r="Y249" s="229"/>
      <c r="Z249" s="229"/>
      <c r="AA249" s="229"/>
      <c r="AB249" s="229"/>
      <c r="AC249" s="229"/>
    </row>
    <row r="250" spans="1:29" ht="12.75" customHeight="1">
      <c r="A250" s="229"/>
      <c r="B250" s="228"/>
      <c r="C250" s="228"/>
      <c r="D250" s="228"/>
      <c r="E250" s="228"/>
      <c r="F250" s="228"/>
      <c r="G250" s="228"/>
      <c r="H250" s="228"/>
      <c r="I250" s="228"/>
      <c r="J250" s="228"/>
      <c r="K250" s="228"/>
      <c r="L250" s="229"/>
      <c r="M250" s="229"/>
      <c r="N250" s="229"/>
      <c r="O250" s="229"/>
      <c r="P250" s="229"/>
      <c r="Q250" s="229"/>
      <c r="R250" s="229"/>
      <c r="S250" s="229"/>
      <c r="T250" s="229"/>
      <c r="U250" s="229"/>
      <c r="V250" s="229"/>
      <c r="W250" s="229"/>
      <c r="X250" s="229"/>
      <c r="Y250" s="229"/>
      <c r="Z250" s="229"/>
      <c r="AA250" s="229"/>
      <c r="AB250" s="229"/>
      <c r="AC250" s="229"/>
    </row>
    <row r="251" spans="1:29" ht="12.75" customHeight="1">
      <c r="A251" s="229"/>
      <c r="B251" s="228"/>
      <c r="C251" s="228"/>
      <c r="D251" s="228"/>
      <c r="E251" s="228"/>
      <c r="F251" s="228"/>
      <c r="G251" s="228"/>
      <c r="H251" s="228"/>
      <c r="I251" s="228"/>
      <c r="J251" s="228"/>
      <c r="K251" s="228"/>
      <c r="L251" s="229"/>
      <c r="M251" s="229"/>
      <c r="N251" s="229"/>
      <c r="O251" s="229"/>
      <c r="P251" s="229"/>
      <c r="Q251" s="229"/>
      <c r="R251" s="229"/>
      <c r="S251" s="229"/>
      <c r="T251" s="229"/>
      <c r="U251" s="229"/>
      <c r="V251" s="229"/>
      <c r="W251" s="229"/>
      <c r="X251" s="229"/>
      <c r="Y251" s="229"/>
      <c r="Z251" s="229"/>
      <c r="AA251" s="229"/>
      <c r="AB251" s="229"/>
      <c r="AC251" s="229"/>
    </row>
    <row r="252" spans="1:29" ht="12.75" customHeight="1">
      <c r="A252" s="229"/>
      <c r="B252" s="228"/>
      <c r="C252" s="228"/>
      <c r="D252" s="228"/>
      <c r="E252" s="228"/>
      <c r="F252" s="228"/>
      <c r="G252" s="228"/>
      <c r="H252" s="228"/>
      <c r="I252" s="228"/>
      <c r="J252" s="228"/>
      <c r="K252" s="228"/>
      <c r="L252" s="229"/>
      <c r="M252" s="229"/>
      <c r="N252" s="229"/>
      <c r="O252" s="229"/>
      <c r="P252" s="229"/>
      <c r="Q252" s="229"/>
      <c r="R252" s="229"/>
      <c r="S252" s="229"/>
      <c r="T252" s="229"/>
      <c r="U252" s="229"/>
      <c r="V252" s="229"/>
      <c r="W252" s="229"/>
      <c r="X252" s="229"/>
      <c r="Y252" s="229"/>
      <c r="Z252" s="229"/>
      <c r="AA252" s="229"/>
      <c r="AB252" s="229"/>
      <c r="AC252" s="229"/>
    </row>
    <row r="253" spans="1:29" ht="12.75" customHeight="1">
      <c r="A253" s="229"/>
      <c r="B253" s="228"/>
      <c r="C253" s="228"/>
      <c r="D253" s="228"/>
      <c r="E253" s="228"/>
      <c r="F253" s="228"/>
      <c r="G253" s="228"/>
      <c r="H253" s="228"/>
      <c r="I253" s="228"/>
      <c r="J253" s="228"/>
      <c r="K253" s="228"/>
      <c r="L253" s="229"/>
      <c r="M253" s="229"/>
      <c r="N253" s="229"/>
      <c r="O253" s="229"/>
      <c r="P253" s="229"/>
      <c r="Q253" s="229"/>
      <c r="R253" s="229"/>
      <c r="S253" s="229"/>
      <c r="T253" s="229"/>
      <c r="U253" s="229"/>
      <c r="V253" s="229"/>
      <c r="W253" s="229"/>
      <c r="X253" s="229"/>
      <c r="Y253" s="229"/>
      <c r="Z253" s="229"/>
      <c r="AA253" s="229"/>
      <c r="AB253" s="229"/>
      <c r="AC253" s="229"/>
    </row>
    <row r="254" spans="1:29" ht="12.75" customHeight="1">
      <c r="A254" s="229"/>
      <c r="B254" s="228"/>
      <c r="C254" s="228"/>
      <c r="D254" s="228"/>
      <c r="E254" s="228"/>
      <c r="F254" s="228"/>
      <c r="G254" s="228"/>
      <c r="H254" s="228"/>
      <c r="I254" s="228"/>
      <c r="J254" s="228"/>
      <c r="K254" s="228"/>
      <c r="L254" s="229"/>
      <c r="M254" s="229"/>
      <c r="N254" s="229"/>
      <c r="O254" s="229"/>
      <c r="P254" s="229"/>
      <c r="Q254" s="229"/>
      <c r="R254" s="229"/>
      <c r="S254" s="229"/>
      <c r="T254" s="229"/>
      <c r="U254" s="229"/>
      <c r="V254" s="229"/>
      <c r="W254" s="229"/>
      <c r="X254" s="229"/>
      <c r="Y254" s="229"/>
      <c r="Z254" s="229"/>
      <c r="AA254" s="229"/>
      <c r="AB254" s="229"/>
      <c r="AC254" s="229"/>
    </row>
    <row r="255" spans="1:29" ht="12.75" customHeight="1">
      <c r="A255" s="229"/>
      <c r="B255" s="228"/>
      <c r="C255" s="228"/>
      <c r="D255" s="228"/>
      <c r="E255" s="228"/>
      <c r="F255" s="228"/>
      <c r="G255" s="228"/>
      <c r="H255" s="228"/>
      <c r="I255" s="228"/>
      <c r="J255" s="228"/>
      <c r="K255" s="228"/>
      <c r="L255" s="229"/>
      <c r="M255" s="229"/>
      <c r="N255" s="229"/>
      <c r="O255" s="229"/>
      <c r="P255" s="229"/>
      <c r="Q255" s="229"/>
      <c r="R255" s="229"/>
      <c r="S255" s="229"/>
      <c r="T255" s="229"/>
      <c r="U255" s="229"/>
      <c r="V255" s="229"/>
      <c r="W255" s="229"/>
      <c r="X255" s="229"/>
      <c r="Y255" s="229"/>
      <c r="Z255" s="229"/>
      <c r="AA255" s="229"/>
      <c r="AB255" s="229"/>
      <c r="AC255" s="229"/>
    </row>
    <row r="256" spans="1:29" ht="12.75" customHeight="1">
      <c r="A256" s="229"/>
      <c r="B256" s="228"/>
      <c r="C256" s="228"/>
      <c r="D256" s="228"/>
      <c r="E256" s="228"/>
      <c r="F256" s="228"/>
      <c r="G256" s="228"/>
      <c r="H256" s="228"/>
      <c r="I256" s="228"/>
      <c r="J256" s="228"/>
      <c r="K256" s="228"/>
      <c r="L256" s="229"/>
      <c r="M256" s="229"/>
      <c r="N256" s="229"/>
      <c r="O256" s="229"/>
      <c r="P256" s="229"/>
      <c r="Q256" s="229"/>
      <c r="R256" s="229"/>
      <c r="S256" s="229"/>
      <c r="T256" s="229"/>
      <c r="U256" s="229"/>
      <c r="V256" s="229"/>
      <c r="W256" s="229"/>
      <c r="X256" s="229"/>
      <c r="Y256" s="229"/>
      <c r="Z256" s="229"/>
      <c r="AA256" s="229"/>
      <c r="AB256" s="229"/>
      <c r="AC256" s="229"/>
    </row>
    <row r="257" spans="1:29" ht="12.75" customHeight="1">
      <c r="A257" s="229"/>
      <c r="B257" s="228"/>
      <c r="C257" s="228"/>
      <c r="D257" s="228"/>
      <c r="E257" s="228"/>
      <c r="F257" s="228"/>
      <c r="G257" s="228"/>
      <c r="H257" s="228"/>
      <c r="I257" s="228"/>
      <c r="J257" s="228"/>
      <c r="K257" s="228"/>
      <c r="L257" s="229"/>
      <c r="M257" s="229"/>
      <c r="N257" s="229"/>
      <c r="O257" s="229"/>
      <c r="P257" s="229"/>
      <c r="Q257" s="229"/>
      <c r="R257" s="229"/>
      <c r="S257" s="229"/>
      <c r="T257" s="229"/>
      <c r="U257" s="229"/>
      <c r="V257" s="229"/>
      <c r="W257" s="229"/>
      <c r="X257" s="229"/>
      <c r="Y257" s="229"/>
      <c r="Z257" s="229"/>
      <c r="AA257" s="229"/>
      <c r="AB257" s="229"/>
      <c r="AC257" s="229"/>
    </row>
    <row r="258" spans="1:29" ht="12.75" customHeight="1">
      <c r="A258" s="229"/>
      <c r="B258" s="228"/>
      <c r="C258" s="228"/>
      <c r="D258" s="228"/>
      <c r="E258" s="228"/>
      <c r="F258" s="228"/>
      <c r="G258" s="228"/>
      <c r="H258" s="228"/>
      <c r="I258" s="228"/>
      <c r="J258" s="228"/>
      <c r="K258" s="228"/>
      <c r="L258" s="229"/>
      <c r="M258" s="229"/>
      <c r="N258" s="229"/>
      <c r="O258" s="229"/>
      <c r="P258" s="229"/>
      <c r="Q258" s="229"/>
      <c r="R258" s="229"/>
      <c r="S258" s="229"/>
      <c r="T258" s="229"/>
      <c r="U258" s="229"/>
      <c r="V258" s="229"/>
      <c r="W258" s="229"/>
      <c r="X258" s="229"/>
      <c r="Y258" s="229"/>
      <c r="Z258" s="229"/>
      <c r="AA258" s="229"/>
      <c r="AB258" s="229"/>
      <c r="AC258" s="229"/>
    </row>
    <row r="259" spans="1:29" ht="12.75" customHeight="1">
      <c r="A259" s="229"/>
      <c r="B259" s="228"/>
      <c r="C259" s="228"/>
      <c r="D259" s="228"/>
      <c r="E259" s="228"/>
      <c r="F259" s="228"/>
      <c r="G259" s="228"/>
      <c r="H259" s="228"/>
      <c r="I259" s="228"/>
      <c r="J259" s="228"/>
      <c r="K259" s="228"/>
      <c r="L259" s="229"/>
      <c r="M259" s="229"/>
      <c r="N259" s="229"/>
      <c r="O259" s="229"/>
      <c r="P259" s="229"/>
      <c r="Q259" s="229"/>
      <c r="R259" s="229"/>
      <c r="S259" s="229"/>
      <c r="T259" s="229"/>
      <c r="U259" s="229"/>
      <c r="V259" s="229"/>
      <c r="W259" s="229"/>
      <c r="X259" s="229"/>
      <c r="Y259" s="229"/>
      <c r="Z259" s="229"/>
      <c r="AA259" s="229"/>
      <c r="AB259" s="229"/>
      <c r="AC259" s="229"/>
    </row>
    <row r="260" spans="1:29" ht="12.75" customHeight="1">
      <c r="A260" s="229"/>
      <c r="B260" s="228"/>
      <c r="C260" s="228"/>
      <c r="D260" s="228"/>
      <c r="E260" s="228"/>
      <c r="F260" s="228"/>
      <c r="G260" s="228"/>
      <c r="H260" s="228"/>
      <c r="I260" s="228"/>
      <c r="J260" s="228"/>
      <c r="K260" s="228"/>
      <c r="L260" s="229"/>
      <c r="M260" s="229"/>
      <c r="N260" s="229"/>
      <c r="O260" s="229"/>
      <c r="P260" s="229"/>
      <c r="Q260" s="229"/>
      <c r="R260" s="229"/>
      <c r="S260" s="229"/>
      <c r="T260" s="229"/>
      <c r="U260" s="229"/>
      <c r="V260" s="229"/>
      <c r="W260" s="229"/>
      <c r="X260" s="229"/>
      <c r="Y260" s="229"/>
      <c r="Z260" s="229"/>
      <c r="AA260" s="229"/>
      <c r="AB260" s="229"/>
      <c r="AC260" s="229"/>
    </row>
    <row r="261" spans="1:29" ht="12.75" customHeight="1">
      <c r="A261" s="229"/>
      <c r="B261" s="228"/>
      <c r="C261" s="228"/>
      <c r="D261" s="228"/>
      <c r="E261" s="228"/>
      <c r="F261" s="228"/>
      <c r="G261" s="228"/>
      <c r="H261" s="228"/>
      <c r="I261" s="228"/>
      <c r="J261" s="228"/>
      <c r="K261" s="228"/>
      <c r="L261" s="229"/>
      <c r="M261" s="229"/>
      <c r="N261" s="229"/>
      <c r="O261" s="229"/>
      <c r="P261" s="229"/>
      <c r="Q261" s="229"/>
      <c r="R261" s="229"/>
      <c r="S261" s="229"/>
      <c r="T261" s="229"/>
      <c r="U261" s="229"/>
      <c r="V261" s="229"/>
      <c r="W261" s="229"/>
      <c r="X261" s="229"/>
      <c r="Y261" s="229"/>
      <c r="Z261" s="229"/>
      <c r="AA261" s="229"/>
      <c r="AB261" s="229"/>
      <c r="AC261" s="229"/>
    </row>
    <row r="262" spans="1:29" ht="12.75" customHeight="1">
      <c r="A262" s="229"/>
      <c r="B262" s="228"/>
      <c r="C262" s="228"/>
      <c r="D262" s="228"/>
      <c r="E262" s="228"/>
      <c r="F262" s="228"/>
      <c r="G262" s="228"/>
      <c r="H262" s="228"/>
      <c r="I262" s="228"/>
      <c r="J262" s="228"/>
      <c r="K262" s="228"/>
      <c r="L262" s="229"/>
      <c r="M262" s="229"/>
      <c r="N262" s="229"/>
      <c r="O262" s="229"/>
      <c r="P262" s="229"/>
      <c r="Q262" s="229"/>
      <c r="R262" s="229"/>
      <c r="S262" s="229"/>
      <c r="T262" s="229"/>
      <c r="U262" s="229"/>
      <c r="V262" s="229"/>
      <c r="W262" s="229"/>
      <c r="X262" s="229"/>
      <c r="Y262" s="229"/>
      <c r="Z262" s="229"/>
      <c r="AA262" s="229"/>
      <c r="AB262" s="229"/>
      <c r="AC262" s="229"/>
    </row>
    <row r="263" spans="1:29" ht="12.75" customHeight="1">
      <c r="A263" s="229"/>
      <c r="B263" s="228"/>
      <c r="C263" s="228"/>
      <c r="D263" s="228"/>
      <c r="E263" s="228"/>
      <c r="F263" s="228"/>
      <c r="G263" s="228"/>
      <c r="H263" s="228"/>
      <c r="I263" s="228"/>
      <c r="J263" s="228"/>
      <c r="K263" s="228"/>
      <c r="L263" s="229"/>
      <c r="M263" s="229"/>
      <c r="N263" s="229"/>
      <c r="O263" s="229"/>
      <c r="P263" s="229"/>
      <c r="Q263" s="229"/>
      <c r="R263" s="229"/>
      <c r="S263" s="229"/>
      <c r="T263" s="229"/>
      <c r="U263" s="229"/>
      <c r="V263" s="229"/>
      <c r="W263" s="229"/>
      <c r="X263" s="229"/>
      <c r="Y263" s="229"/>
      <c r="Z263" s="229"/>
      <c r="AA263" s="229"/>
      <c r="AB263" s="229"/>
      <c r="AC263" s="229"/>
    </row>
    <row r="264" spans="1:29" ht="12.75" customHeight="1">
      <c r="A264" s="229"/>
      <c r="B264" s="228"/>
      <c r="C264" s="228"/>
      <c r="D264" s="228"/>
      <c r="E264" s="228"/>
      <c r="F264" s="228"/>
      <c r="G264" s="228"/>
      <c r="H264" s="228"/>
      <c r="I264" s="228"/>
      <c r="J264" s="228"/>
      <c r="K264" s="228"/>
      <c r="L264" s="229"/>
      <c r="M264" s="229"/>
      <c r="N264" s="229"/>
      <c r="O264" s="229"/>
      <c r="P264" s="229"/>
      <c r="Q264" s="229"/>
      <c r="R264" s="229"/>
      <c r="S264" s="229"/>
      <c r="T264" s="229"/>
      <c r="U264" s="229"/>
      <c r="V264" s="229"/>
      <c r="W264" s="229"/>
      <c r="X264" s="229"/>
      <c r="Y264" s="229"/>
      <c r="Z264" s="229"/>
      <c r="AA264" s="229"/>
      <c r="AB264" s="229"/>
      <c r="AC264" s="229"/>
    </row>
    <row r="265" spans="1:29" ht="12.75" customHeight="1">
      <c r="A265" s="229"/>
      <c r="B265" s="228"/>
      <c r="C265" s="228"/>
      <c r="D265" s="228"/>
      <c r="E265" s="228"/>
      <c r="F265" s="228"/>
      <c r="G265" s="228"/>
      <c r="H265" s="228"/>
      <c r="I265" s="228"/>
      <c r="J265" s="228"/>
      <c r="K265" s="228"/>
      <c r="L265" s="229"/>
      <c r="M265" s="229"/>
      <c r="N265" s="229"/>
      <c r="O265" s="229"/>
      <c r="P265" s="229"/>
      <c r="Q265" s="229"/>
      <c r="R265" s="229"/>
      <c r="S265" s="229"/>
      <c r="T265" s="229"/>
      <c r="U265" s="229"/>
      <c r="V265" s="229"/>
      <c r="W265" s="229"/>
      <c r="X265" s="229"/>
      <c r="Y265" s="229"/>
      <c r="Z265" s="229"/>
      <c r="AA265" s="229"/>
      <c r="AB265" s="229"/>
      <c r="AC265" s="229"/>
    </row>
    <row r="266" spans="1:29" ht="12.75" customHeight="1">
      <c r="A266" s="229"/>
      <c r="B266" s="228"/>
      <c r="C266" s="228"/>
      <c r="D266" s="228"/>
      <c r="E266" s="228"/>
      <c r="F266" s="228"/>
      <c r="G266" s="228"/>
      <c r="H266" s="228"/>
      <c r="I266" s="228"/>
      <c r="J266" s="228"/>
      <c r="K266" s="228"/>
      <c r="L266" s="229"/>
      <c r="M266" s="229"/>
      <c r="N266" s="229"/>
      <c r="O266" s="229"/>
      <c r="P266" s="229"/>
      <c r="Q266" s="229"/>
      <c r="R266" s="229"/>
      <c r="S266" s="229"/>
      <c r="T266" s="229"/>
      <c r="U266" s="229"/>
      <c r="V266" s="229"/>
      <c r="W266" s="229"/>
      <c r="X266" s="229"/>
      <c r="Y266" s="229"/>
      <c r="Z266" s="229"/>
      <c r="AA266" s="229"/>
      <c r="AB266" s="229"/>
      <c r="AC266" s="229"/>
    </row>
    <row r="267" spans="1:29" ht="12.75" customHeight="1">
      <c r="A267" s="229"/>
      <c r="B267" s="228"/>
      <c r="C267" s="228"/>
      <c r="D267" s="228"/>
      <c r="E267" s="228"/>
      <c r="F267" s="228"/>
      <c r="G267" s="228"/>
      <c r="H267" s="228"/>
      <c r="I267" s="228"/>
      <c r="J267" s="228"/>
      <c r="K267" s="228"/>
      <c r="L267" s="229"/>
      <c r="M267" s="229"/>
      <c r="N267" s="229"/>
      <c r="O267" s="229"/>
      <c r="P267" s="229"/>
      <c r="Q267" s="229"/>
      <c r="R267" s="229"/>
      <c r="S267" s="229"/>
      <c r="T267" s="229"/>
      <c r="U267" s="229"/>
      <c r="V267" s="229"/>
      <c r="W267" s="229"/>
      <c r="X267" s="229"/>
      <c r="Y267" s="229"/>
      <c r="Z267" s="229"/>
      <c r="AA267" s="229"/>
      <c r="AB267" s="229"/>
      <c r="AC267" s="229"/>
    </row>
    <row r="268" spans="1:29" ht="12.75" customHeight="1">
      <c r="A268" s="229"/>
      <c r="B268" s="228"/>
      <c r="C268" s="228"/>
      <c r="D268" s="228"/>
      <c r="E268" s="228"/>
      <c r="F268" s="228"/>
      <c r="G268" s="228"/>
      <c r="H268" s="228"/>
      <c r="I268" s="228"/>
      <c r="J268" s="228"/>
      <c r="K268" s="228"/>
      <c r="L268" s="229"/>
      <c r="M268" s="229"/>
      <c r="N268" s="229"/>
      <c r="O268" s="229"/>
      <c r="P268" s="229"/>
      <c r="Q268" s="229"/>
      <c r="R268" s="229"/>
      <c r="S268" s="229"/>
      <c r="T268" s="229"/>
      <c r="U268" s="229"/>
      <c r="V268" s="229"/>
      <c r="W268" s="229"/>
      <c r="X268" s="229"/>
      <c r="Y268" s="229"/>
      <c r="Z268" s="229"/>
      <c r="AA268" s="229"/>
      <c r="AB268" s="229"/>
      <c r="AC268" s="229"/>
    </row>
    <row r="269" spans="1:29" ht="12.75" customHeight="1">
      <c r="A269" s="229"/>
      <c r="B269" s="228"/>
      <c r="C269" s="228"/>
      <c r="D269" s="228"/>
      <c r="E269" s="228"/>
      <c r="F269" s="228"/>
      <c r="G269" s="228"/>
      <c r="H269" s="228"/>
      <c r="I269" s="228"/>
      <c r="J269" s="228"/>
      <c r="K269" s="228"/>
      <c r="L269" s="229"/>
      <c r="M269" s="229"/>
      <c r="N269" s="229"/>
      <c r="O269" s="229"/>
      <c r="P269" s="229"/>
      <c r="Q269" s="229"/>
      <c r="R269" s="229"/>
      <c r="S269" s="229"/>
      <c r="T269" s="229"/>
      <c r="U269" s="229"/>
      <c r="V269" s="229"/>
      <c r="W269" s="229"/>
      <c r="X269" s="229"/>
      <c r="Y269" s="229"/>
      <c r="Z269" s="229"/>
      <c r="AA269" s="229"/>
      <c r="AB269" s="229"/>
      <c r="AC269" s="229"/>
    </row>
    <row r="270" spans="1:29" ht="12.75" customHeight="1">
      <c r="A270" s="229"/>
      <c r="B270" s="228"/>
      <c r="C270" s="228"/>
      <c r="D270" s="228"/>
      <c r="E270" s="228"/>
      <c r="F270" s="228"/>
      <c r="G270" s="228"/>
      <c r="H270" s="228"/>
      <c r="I270" s="228"/>
      <c r="J270" s="228"/>
      <c r="K270" s="228"/>
      <c r="L270" s="229"/>
      <c r="M270" s="229"/>
      <c r="N270" s="229"/>
      <c r="O270" s="229"/>
      <c r="P270" s="229"/>
      <c r="Q270" s="229"/>
      <c r="R270" s="229"/>
      <c r="S270" s="229"/>
      <c r="T270" s="229"/>
      <c r="U270" s="229"/>
      <c r="V270" s="229"/>
      <c r="W270" s="229"/>
      <c r="X270" s="229"/>
      <c r="Y270" s="229"/>
      <c r="Z270" s="229"/>
      <c r="AA270" s="229"/>
      <c r="AB270" s="229"/>
      <c r="AC270" s="229"/>
    </row>
    <row r="271" spans="1:29" ht="12.75" customHeight="1">
      <c r="A271" s="229"/>
      <c r="B271" s="228"/>
      <c r="C271" s="228"/>
      <c r="D271" s="228"/>
      <c r="E271" s="228"/>
      <c r="F271" s="228"/>
      <c r="G271" s="228"/>
      <c r="H271" s="228"/>
      <c r="I271" s="228"/>
      <c r="J271" s="228"/>
      <c r="K271" s="228"/>
      <c r="L271" s="229"/>
      <c r="M271" s="229"/>
      <c r="N271" s="229"/>
      <c r="O271" s="229"/>
      <c r="P271" s="229"/>
      <c r="Q271" s="229"/>
      <c r="R271" s="229"/>
      <c r="S271" s="229"/>
      <c r="T271" s="229"/>
      <c r="U271" s="229"/>
      <c r="V271" s="229"/>
      <c r="W271" s="229"/>
      <c r="X271" s="229"/>
      <c r="Y271" s="229"/>
      <c r="Z271" s="229"/>
      <c r="AA271" s="229"/>
      <c r="AB271" s="229"/>
      <c r="AC271" s="229"/>
    </row>
    <row r="272" spans="1:29" ht="12.75" customHeight="1">
      <c r="A272" s="229"/>
      <c r="B272" s="228"/>
      <c r="C272" s="228"/>
      <c r="D272" s="228"/>
      <c r="E272" s="228"/>
      <c r="F272" s="228"/>
      <c r="G272" s="228"/>
      <c r="H272" s="228"/>
      <c r="I272" s="228"/>
      <c r="J272" s="228"/>
      <c r="K272" s="228"/>
      <c r="L272" s="229"/>
      <c r="M272" s="229"/>
      <c r="N272" s="229"/>
      <c r="O272" s="229"/>
      <c r="P272" s="229"/>
      <c r="Q272" s="229"/>
      <c r="R272" s="229"/>
      <c r="S272" s="229"/>
      <c r="T272" s="229"/>
      <c r="U272" s="229"/>
      <c r="V272" s="229"/>
      <c r="W272" s="229"/>
      <c r="X272" s="229"/>
      <c r="Y272" s="229"/>
      <c r="Z272" s="229"/>
      <c r="AA272" s="229"/>
      <c r="AB272" s="229"/>
      <c r="AC272" s="229"/>
    </row>
    <row r="273" spans="1:29" ht="12.75" customHeight="1">
      <c r="A273" s="229"/>
      <c r="B273" s="228"/>
      <c r="C273" s="228"/>
      <c r="D273" s="228"/>
      <c r="E273" s="228"/>
      <c r="F273" s="228"/>
      <c r="G273" s="228"/>
      <c r="H273" s="228"/>
      <c r="I273" s="228"/>
      <c r="J273" s="228"/>
      <c r="K273" s="228"/>
      <c r="L273" s="229"/>
      <c r="M273" s="229"/>
      <c r="N273" s="229"/>
      <c r="O273" s="229"/>
      <c r="P273" s="229"/>
      <c r="Q273" s="229"/>
      <c r="R273" s="229"/>
      <c r="S273" s="229"/>
      <c r="T273" s="229"/>
      <c r="U273" s="229"/>
      <c r="V273" s="229"/>
      <c r="W273" s="229"/>
      <c r="X273" s="229"/>
      <c r="Y273" s="229"/>
      <c r="Z273" s="229"/>
      <c r="AA273" s="229"/>
      <c r="AB273" s="229"/>
      <c r="AC273" s="229"/>
    </row>
    <row r="274" spans="1:29" ht="12.75" customHeight="1">
      <c r="A274" s="229"/>
      <c r="B274" s="228"/>
      <c r="C274" s="228"/>
      <c r="D274" s="228"/>
      <c r="E274" s="228"/>
      <c r="F274" s="228"/>
      <c r="G274" s="228"/>
      <c r="H274" s="228"/>
      <c r="I274" s="228"/>
      <c r="J274" s="228"/>
      <c r="K274" s="228"/>
      <c r="L274" s="229"/>
      <c r="M274" s="229"/>
      <c r="N274" s="229"/>
      <c r="O274" s="229"/>
      <c r="P274" s="229"/>
      <c r="Q274" s="229"/>
      <c r="R274" s="229"/>
      <c r="S274" s="229"/>
      <c r="T274" s="229"/>
      <c r="U274" s="229"/>
      <c r="V274" s="229"/>
      <c r="W274" s="229"/>
      <c r="X274" s="229"/>
      <c r="Y274" s="229"/>
      <c r="Z274" s="229"/>
      <c r="AA274" s="229"/>
      <c r="AB274" s="229"/>
      <c r="AC274" s="229"/>
    </row>
    <row r="275" spans="1:29" ht="12.75" customHeight="1">
      <c r="A275" s="229"/>
      <c r="B275" s="228"/>
      <c r="C275" s="228"/>
      <c r="D275" s="228"/>
      <c r="E275" s="228"/>
      <c r="F275" s="228"/>
      <c r="G275" s="228"/>
      <c r="H275" s="228"/>
      <c r="I275" s="228"/>
      <c r="J275" s="228"/>
      <c r="K275" s="228"/>
      <c r="L275" s="229"/>
      <c r="M275" s="229"/>
      <c r="N275" s="229"/>
      <c r="O275" s="229"/>
      <c r="P275" s="229"/>
      <c r="Q275" s="229"/>
      <c r="R275" s="229"/>
      <c r="S275" s="229"/>
      <c r="T275" s="229"/>
      <c r="U275" s="229"/>
      <c r="V275" s="229"/>
      <c r="W275" s="229"/>
      <c r="X275" s="229"/>
      <c r="Y275" s="229"/>
      <c r="Z275" s="229"/>
      <c r="AA275" s="229"/>
      <c r="AB275" s="229"/>
      <c r="AC275" s="229"/>
    </row>
    <row r="276" spans="1:29" ht="12.75" customHeight="1">
      <c r="A276" s="229"/>
      <c r="B276" s="228"/>
      <c r="C276" s="228"/>
      <c r="D276" s="228"/>
      <c r="E276" s="228"/>
      <c r="F276" s="228"/>
      <c r="G276" s="228"/>
      <c r="H276" s="228"/>
      <c r="I276" s="228"/>
      <c r="J276" s="228"/>
      <c r="K276" s="228"/>
      <c r="L276" s="229"/>
      <c r="M276" s="229"/>
      <c r="N276" s="229"/>
      <c r="O276" s="229"/>
      <c r="P276" s="229"/>
      <c r="Q276" s="229"/>
      <c r="R276" s="229"/>
      <c r="S276" s="229"/>
      <c r="T276" s="229"/>
      <c r="U276" s="229"/>
      <c r="V276" s="229"/>
      <c r="W276" s="229"/>
      <c r="X276" s="229"/>
      <c r="Y276" s="229"/>
      <c r="Z276" s="229"/>
      <c r="AA276" s="229"/>
      <c r="AB276" s="229"/>
      <c r="AC276" s="229"/>
    </row>
    <row r="277" spans="1:29" ht="12.75" customHeight="1">
      <c r="A277" s="229"/>
      <c r="B277" s="228"/>
      <c r="C277" s="228"/>
      <c r="D277" s="228"/>
      <c r="E277" s="228"/>
      <c r="F277" s="228"/>
      <c r="G277" s="228"/>
      <c r="H277" s="228"/>
      <c r="I277" s="228"/>
      <c r="J277" s="228"/>
      <c r="K277" s="228"/>
      <c r="L277" s="229"/>
      <c r="M277" s="229"/>
      <c r="N277" s="229"/>
      <c r="O277" s="229"/>
      <c r="P277" s="229"/>
      <c r="Q277" s="229"/>
      <c r="R277" s="229"/>
      <c r="S277" s="229"/>
      <c r="T277" s="229"/>
      <c r="U277" s="229"/>
      <c r="V277" s="229"/>
      <c r="W277" s="229"/>
      <c r="X277" s="229"/>
      <c r="Y277" s="229"/>
      <c r="Z277" s="229"/>
      <c r="AA277" s="229"/>
      <c r="AB277" s="229"/>
      <c r="AC277" s="229"/>
    </row>
    <row r="278" spans="1:29" ht="12.75" customHeight="1">
      <c r="A278" s="229"/>
      <c r="B278" s="228"/>
      <c r="C278" s="228"/>
      <c r="D278" s="228"/>
      <c r="E278" s="228"/>
      <c r="F278" s="228"/>
      <c r="G278" s="228"/>
      <c r="H278" s="228"/>
      <c r="I278" s="228"/>
      <c r="J278" s="228"/>
      <c r="K278" s="228"/>
      <c r="L278" s="229"/>
      <c r="M278" s="229"/>
      <c r="N278" s="229"/>
      <c r="O278" s="229"/>
      <c r="P278" s="229"/>
      <c r="Q278" s="229"/>
      <c r="R278" s="229"/>
      <c r="S278" s="229"/>
      <c r="T278" s="229"/>
      <c r="U278" s="229"/>
      <c r="V278" s="229"/>
      <c r="W278" s="229"/>
      <c r="X278" s="229"/>
      <c r="Y278" s="229"/>
      <c r="Z278" s="229"/>
      <c r="AA278" s="229"/>
      <c r="AB278" s="229"/>
      <c r="AC278" s="229"/>
    </row>
    <row r="279" spans="1:29" ht="12.75" customHeight="1">
      <c r="A279" s="229"/>
      <c r="B279" s="228"/>
      <c r="C279" s="228"/>
      <c r="D279" s="228"/>
      <c r="E279" s="228"/>
      <c r="F279" s="228"/>
      <c r="G279" s="228"/>
      <c r="H279" s="228"/>
      <c r="I279" s="228"/>
      <c r="J279" s="228"/>
      <c r="K279" s="228"/>
      <c r="L279" s="229"/>
      <c r="M279" s="229"/>
      <c r="N279" s="229"/>
      <c r="O279" s="229"/>
      <c r="P279" s="229"/>
      <c r="Q279" s="229"/>
      <c r="R279" s="229"/>
      <c r="S279" s="229"/>
      <c r="T279" s="229"/>
      <c r="U279" s="229"/>
      <c r="V279" s="229"/>
      <c r="W279" s="229"/>
      <c r="X279" s="229"/>
      <c r="Y279" s="229"/>
      <c r="Z279" s="229"/>
      <c r="AA279" s="229"/>
      <c r="AB279" s="229"/>
      <c r="AC279" s="229"/>
    </row>
    <row r="280" spans="1:29" ht="12.75" customHeight="1">
      <c r="A280" s="229"/>
      <c r="B280" s="228"/>
      <c r="C280" s="228"/>
      <c r="D280" s="228"/>
      <c r="E280" s="228"/>
      <c r="F280" s="228"/>
      <c r="G280" s="228"/>
      <c r="H280" s="228"/>
      <c r="I280" s="228"/>
      <c r="J280" s="228"/>
      <c r="K280" s="228"/>
      <c r="L280" s="229"/>
      <c r="M280" s="229"/>
      <c r="N280" s="229"/>
      <c r="O280" s="229"/>
      <c r="P280" s="229"/>
      <c r="Q280" s="229"/>
      <c r="R280" s="229"/>
      <c r="S280" s="229"/>
      <c r="T280" s="229"/>
      <c r="U280" s="229"/>
      <c r="V280" s="229"/>
      <c r="W280" s="229"/>
      <c r="X280" s="229"/>
      <c r="Y280" s="229"/>
      <c r="Z280" s="229"/>
      <c r="AA280" s="229"/>
      <c r="AB280" s="229"/>
      <c r="AC280" s="229"/>
    </row>
    <row r="281" spans="1:29" ht="12.75" customHeight="1">
      <c r="A281" s="229"/>
      <c r="B281" s="228"/>
      <c r="C281" s="228"/>
      <c r="D281" s="228"/>
      <c r="E281" s="228"/>
      <c r="F281" s="228"/>
      <c r="G281" s="228"/>
      <c r="H281" s="228"/>
      <c r="I281" s="228"/>
      <c r="J281" s="228"/>
      <c r="K281" s="228"/>
      <c r="L281" s="229"/>
      <c r="M281" s="229"/>
      <c r="N281" s="229"/>
      <c r="O281" s="229"/>
      <c r="P281" s="229"/>
      <c r="Q281" s="229"/>
      <c r="R281" s="229"/>
      <c r="S281" s="229"/>
      <c r="T281" s="229"/>
      <c r="U281" s="229"/>
      <c r="V281" s="229"/>
      <c r="W281" s="229"/>
      <c r="X281" s="229"/>
      <c r="Y281" s="229"/>
      <c r="Z281" s="229"/>
      <c r="AA281" s="229"/>
      <c r="AB281" s="229"/>
      <c r="AC281" s="229"/>
    </row>
    <row r="282" spans="1:29" ht="12.75" customHeight="1">
      <c r="A282" s="229"/>
      <c r="B282" s="228"/>
      <c r="C282" s="228"/>
      <c r="D282" s="228"/>
      <c r="E282" s="228"/>
      <c r="F282" s="228"/>
      <c r="G282" s="228"/>
      <c r="H282" s="228"/>
      <c r="I282" s="228"/>
      <c r="J282" s="228"/>
      <c r="K282" s="228"/>
      <c r="L282" s="229"/>
      <c r="M282" s="229"/>
      <c r="N282" s="229"/>
      <c r="O282" s="229"/>
      <c r="P282" s="229"/>
      <c r="Q282" s="229"/>
      <c r="R282" s="229"/>
      <c r="S282" s="229"/>
      <c r="T282" s="229"/>
      <c r="U282" s="229"/>
      <c r="V282" s="229"/>
      <c r="W282" s="229"/>
      <c r="X282" s="229"/>
      <c r="Y282" s="229"/>
      <c r="Z282" s="229"/>
      <c r="AA282" s="229"/>
      <c r="AB282" s="229"/>
      <c r="AC282" s="229"/>
    </row>
    <row r="283" spans="1:29" ht="12.75" customHeight="1">
      <c r="A283" s="229"/>
      <c r="B283" s="228"/>
      <c r="C283" s="228"/>
      <c r="D283" s="228"/>
      <c r="E283" s="228"/>
      <c r="F283" s="228"/>
      <c r="G283" s="228"/>
      <c r="H283" s="228"/>
      <c r="I283" s="228"/>
      <c r="J283" s="228"/>
      <c r="K283" s="228"/>
      <c r="L283" s="229"/>
      <c r="M283" s="229"/>
      <c r="N283" s="229"/>
      <c r="O283" s="229"/>
      <c r="P283" s="229"/>
      <c r="Q283" s="229"/>
      <c r="R283" s="229"/>
      <c r="S283" s="229"/>
      <c r="T283" s="229"/>
      <c r="U283" s="229"/>
      <c r="V283" s="229"/>
      <c r="W283" s="229"/>
      <c r="X283" s="229"/>
      <c r="Y283" s="229"/>
      <c r="Z283" s="229"/>
      <c r="AA283" s="229"/>
      <c r="AB283" s="229"/>
      <c r="AC283" s="229"/>
    </row>
    <row r="284" spans="1:29" ht="12.75" customHeight="1">
      <c r="A284" s="229"/>
      <c r="B284" s="228"/>
      <c r="C284" s="228"/>
      <c r="D284" s="228"/>
      <c r="E284" s="228"/>
      <c r="F284" s="228"/>
      <c r="G284" s="228"/>
      <c r="H284" s="228"/>
      <c r="I284" s="228"/>
      <c r="J284" s="228"/>
      <c r="K284" s="228"/>
      <c r="L284" s="229"/>
      <c r="M284" s="229"/>
      <c r="N284" s="229"/>
      <c r="O284" s="229"/>
      <c r="P284" s="229"/>
      <c r="Q284" s="229"/>
      <c r="R284" s="229"/>
      <c r="S284" s="229"/>
      <c r="T284" s="229"/>
      <c r="U284" s="229"/>
      <c r="V284" s="229"/>
      <c r="W284" s="229"/>
      <c r="X284" s="229"/>
      <c r="Y284" s="229"/>
      <c r="Z284" s="229"/>
      <c r="AA284" s="229"/>
      <c r="AB284" s="229"/>
      <c r="AC284" s="229"/>
    </row>
    <row r="285" spans="1:29" ht="12.75" customHeight="1">
      <c r="A285" s="229"/>
      <c r="B285" s="228"/>
      <c r="C285" s="228"/>
      <c r="D285" s="228"/>
      <c r="E285" s="228"/>
      <c r="F285" s="228"/>
      <c r="G285" s="228"/>
      <c r="H285" s="228"/>
      <c r="I285" s="228"/>
      <c r="J285" s="228"/>
      <c r="K285" s="228"/>
      <c r="L285" s="229"/>
      <c r="M285" s="229"/>
      <c r="N285" s="229"/>
      <c r="O285" s="229"/>
      <c r="P285" s="229"/>
      <c r="Q285" s="229"/>
      <c r="R285" s="229"/>
      <c r="S285" s="229"/>
      <c r="T285" s="229"/>
      <c r="U285" s="229"/>
      <c r="V285" s="229"/>
      <c r="W285" s="229"/>
      <c r="X285" s="229"/>
      <c r="Y285" s="229"/>
      <c r="Z285" s="229"/>
      <c r="AA285" s="229"/>
      <c r="AB285" s="229"/>
      <c r="AC285" s="229"/>
    </row>
    <row r="286" spans="1:29" ht="12.75" customHeight="1">
      <c r="A286" s="229"/>
      <c r="B286" s="228"/>
      <c r="C286" s="228"/>
      <c r="D286" s="228"/>
      <c r="E286" s="228"/>
      <c r="F286" s="228"/>
      <c r="G286" s="228"/>
      <c r="H286" s="228"/>
      <c r="I286" s="228"/>
      <c r="J286" s="228"/>
      <c r="K286" s="228"/>
      <c r="L286" s="229"/>
      <c r="M286" s="229"/>
      <c r="N286" s="229"/>
      <c r="O286" s="229"/>
      <c r="P286" s="229"/>
      <c r="Q286" s="229"/>
      <c r="R286" s="229"/>
      <c r="S286" s="229"/>
      <c r="T286" s="229"/>
      <c r="U286" s="229"/>
      <c r="V286" s="229"/>
      <c r="W286" s="229"/>
      <c r="X286" s="229"/>
      <c r="Y286" s="229"/>
      <c r="Z286" s="229"/>
      <c r="AA286" s="229"/>
      <c r="AB286" s="229"/>
      <c r="AC286" s="229"/>
    </row>
    <row r="287" spans="1:29" ht="12.75" customHeight="1">
      <c r="A287" s="229"/>
      <c r="B287" s="228"/>
      <c r="C287" s="228"/>
      <c r="D287" s="228"/>
      <c r="E287" s="228"/>
      <c r="F287" s="228"/>
      <c r="G287" s="228"/>
      <c r="H287" s="228"/>
      <c r="I287" s="228"/>
      <c r="J287" s="228"/>
      <c r="K287" s="228"/>
      <c r="L287" s="229"/>
      <c r="M287" s="229"/>
      <c r="N287" s="229"/>
      <c r="O287" s="229"/>
      <c r="P287" s="229"/>
      <c r="Q287" s="229"/>
      <c r="R287" s="229"/>
      <c r="S287" s="229"/>
      <c r="T287" s="229"/>
      <c r="U287" s="229"/>
      <c r="V287" s="229"/>
      <c r="W287" s="229"/>
      <c r="X287" s="229"/>
      <c r="Y287" s="229"/>
      <c r="Z287" s="229"/>
      <c r="AA287" s="229"/>
      <c r="AB287" s="229"/>
      <c r="AC287" s="229"/>
    </row>
    <row r="288" spans="1:29" ht="12.75" customHeight="1">
      <c r="A288" s="229"/>
      <c r="B288" s="228"/>
      <c r="C288" s="228"/>
      <c r="D288" s="228"/>
      <c r="E288" s="228"/>
      <c r="F288" s="228"/>
      <c r="G288" s="228"/>
      <c r="H288" s="228"/>
      <c r="I288" s="228"/>
      <c r="J288" s="228"/>
      <c r="K288" s="228"/>
      <c r="L288" s="229"/>
      <c r="M288" s="229"/>
      <c r="N288" s="229"/>
      <c r="O288" s="229"/>
      <c r="P288" s="229"/>
      <c r="Q288" s="229"/>
      <c r="R288" s="229"/>
      <c r="S288" s="229"/>
      <c r="T288" s="229"/>
      <c r="U288" s="229"/>
      <c r="V288" s="229"/>
      <c r="W288" s="229"/>
      <c r="X288" s="229"/>
      <c r="Y288" s="229"/>
      <c r="Z288" s="229"/>
      <c r="AA288" s="229"/>
      <c r="AB288" s="229"/>
      <c r="AC288" s="229"/>
    </row>
    <row r="289" spans="1:29" ht="12.75" customHeight="1">
      <c r="A289" s="229"/>
      <c r="B289" s="228"/>
      <c r="C289" s="228"/>
      <c r="D289" s="228"/>
      <c r="E289" s="228"/>
      <c r="F289" s="228"/>
      <c r="G289" s="228"/>
      <c r="H289" s="228"/>
      <c r="I289" s="228"/>
      <c r="J289" s="228"/>
      <c r="K289" s="228"/>
      <c r="L289" s="229"/>
      <c r="M289" s="229"/>
      <c r="N289" s="229"/>
      <c r="O289" s="229"/>
      <c r="P289" s="229"/>
      <c r="Q289" s="229"/>
      <c r="R289" s="229"/>
      <c r="S289" s="229"/>
      <c r="T289" s="229"/>
      <c r="U289" s="229"/>
      <c r="V289" s="229"/>
      <c r="W289" s="229"/>
      <c r="X289" s="229"/>
      <c r="Y289" s="229"/>
      <c r="Z289" s="229"/>
      <c r="AA289" s="229"/>
      <c r="AB289" s="229"/>
      <c r="AC289" s="229"/>
    </row>
    <row r="290" spans="1:29" ht="12.75" customHeight="1">
      <c r="A290" s="229"/>
      <c r="B290" s="228"/>
      <c r="C290" s="228"/>
      <c r="D290" s="228"/>
      <c r="E290" s="228"/>
      <c r="F290" s="228"/>
      <c r="G290" s="228"/>
      <c r="H290" s="228"/>
      <c r="I290" s="228"/>
      <c r="J290" s="228"/>
      <c r="K290" s="228"/>
      <c r="L290" s="229"/>
      <c r="M290" s="229"/>
      <c r="N290" s="229"/>
      <c r="O290" s="229"/>
      <c r="P290" s="229"/>
      <c r="Q290" s="229"/>
      <c r="R290" s="229"/>
      <c r="S290" s="229"/>
      <c r="T290" s="229"/>
      <c r="U290" s="229"/>
      <c r="V290" s="229"/>
      <c r="W290" s="229"/>
      <c r="X290" s="229"/>
      <c r="Y290" s="229"/>
      <c r="Z290" s="229"/>
      <c r="AA290" s="229"/>
      <c r="AB290" s="229"/>
      <c r="AC290" s="229"/>
    </row>
    <row r="291" spans="1:29" ht="12.75" customHeight="1">
      <c r="A291" s="229"/>
      <c r="B291" s="228"/>
      <c r="C291" s="228"/>
      <c r="D291" s="228"/>
      <c r="E291" s="228"/>
      <c r="F291" s="228"/>
      <c r="G291" s="228"/>
      <c r="H291" s="228"/>
      <c r="I291" s="228"/>
      <c r="J291" s="228"/>
      <c r="K291" s="228"/>
      <c r="L291" s="229"/>
      <c r="M291" s="229"/>
      <c r="N291" s="229"/>
      <c r="O291" s="229"/>
      <c r="P291" s="229"/>
      <c r="Q291" s="229"/>
      <c r="R291" s="229"/>
      <c r="S291" s="229"/>
      <c r="T291" s="229"/>
      <c r="U291" s="229"/>
      <c r="V291" s="229"/>
      <c r="W291" s="229"/>
      <c r="X291" s="229"/>
      <c r="Y291" s="229"/>
      <c r="Z291" s="229"/>
      <c r="AA291" s="229"/>
      <c r="AB291" s="229"/>
      <c r="AC291" s="229"/>
    </row>
    <row r="292" spans="1:29" ht="12.75" customHeight="1">
      <c r="A292" s="229"/>
      <c r="B292" s="228"/>
      <c r="C292" s="228"/>
      <c r="D292" s="228"/>
      <c r="E292" s="228"/>
      <c r="F292" s="228"/>
      <c r="G292" s="228"/>
      <c r="H292" s="228"/>
      <c r="I292" s="228"/>
      <c r="J292" s="228"/>
      <c r="K292" s="228"/>
      <c r="L292" s="229"/>
      <c r="M292" s="229"/>
      <c r="N292" s="229"/>
      <c r="O292" s="229"/>
      <c r="P292" s="229"/>
      <c r="Q292" s="229"/>
      <c r="R292" s="229"/>
      <c r="S292" s="229"/>
      <c r="T292" s="229"/>
      <c r="U292" s="229"/>
      <c r="V292" s="229"/>
      <c r="W292" s="229"/>
      <c r="X292" s="229"/>
      <c r="Y292" s="229"/>
      <c r="Z292" s="229"/>
      <c r="AA292" s="229"/>
      <c r="AB292" s="229"/>
      <c r="AC292" s="229"/>
    </row>
    <row r="293" spans="1:29" ht="12.75" customHeight="1">
      <c r="A293" s="229"/>
      <c r="B293" s="228"/>
      <c r="C293" s="228"/>
      <c r="D293" s="228"/>
      <c r="E293" s="228"/>
      <c r="F293" s="228"/>
      <c r="G293" s="228"/>
      <c r="H293" s="228"/>
      <c r="I293" s="228"/>
      <c r="J293" s="228"/>
      <c r="K293" s="228"/>
      <c r="L293" s="229"/>
      <c r="M293" s="229"/>
      <c r="N293" s="229"/>
      <c r="O293" s="229"/>
      <c r="P293" s="229"/>
      <c r="Q293" s="229"/>
      <c r="R293" s="229"/>
      <c r="S293" s="229"/>
      <c r="T293" s="229"/>
      <c r="U293" s="229"/>
      <c r="V293" s="229"/>
      <c r="W293" s="229"/>
      <c r="X293" s="229"/>
      <c r="Y293" s="229"/>
      <c r="Z293" s="229"/>
      <c r="AA293" s="229"/>
      <c r="AB293" s="229"/>
      <c r="AC293" s="229"/>
    </row>
    <row r="294" spans="1:29" ht="12.75" customHeight="1">
      <c r="A294" s="229"/>
      <c r="B294" s="228"/>
      <c r="C294" s="228"/>
      <c r="D294" s="228"/>
      <c r="E294" s="228"/>
      <c r="F294" s="228"/>
      <c r="G294" s="228"/>
      <c r="H294" s="228"/>
      <c r="I294" s="228"/>
      <c r="J294" s="228"/>
      <c r="K294" s="228"/>
      <c r="L294" s="229"/>
      <c r="M294" s="229"/>
      <c r="N294" s="229"/>
      <c r="O294" s="229"/>
      <c r="P294" s="229"/>
      <c r="Q294" s="229"/>
      <c r="R294" s="229"/>
      <c r="S294" s="229"/>
      <c r="T294" s="229"/>
      <c r="U294" s="229"/>
      <c r="V294" s="229"/>
      <c r="W294" s="229"/>
      <c r="X294" s="229"/>
      <c r="Y294" s="229"/>
      <c r="Z294" s="229"/>
      <c r="AA294" s="229"/>
      <c r="AB294" s="229"/>
      <c r="AC294" s="229"/>
    </row>
    <row r="295" spans="1:29" ht="12.75" customHeight="1">
      <c r="A295" s="229"/>
      <c r="B295" s="228"/>
      <c r="C295" s="228"/>
      <c r="D295" s="228"/>
      <c r="E295" s="228"/>
      <c r="F295" s="228"/>
      <c r="G295" s="228"/>
      <c r="H295" s="228"/>
      <c r="I295" s="228"/>
      <c r="J295" s="228"/>
      <c r="K295" s="228"/>
      <c r="L295" s="229"/>
      <c r="M295" s="229"/>
      <c r="N295" s="229"/>
      <c r="O295" s="229"/>
      <c r="P295" s="229"/>
      <c r="Q295" s="229"/>
      <c r="R295" s="229"/>
      <c r="S295" s="229"/>
      <c r="T295" s="229"/>
      <c r="U295" s="229"/>
      <c r="V295" s="229"/>
      <c r="W295" s="229"/>
      <c r="X295" s="229"/>
      <c r="Y295" s="229"/>
      <c r="Z295" s="229"/>
      <c r="AA295" s="229"/>
      <c r="AB295" s="229"/>
      <c r="AC295" s="229"/>
    </row>
    <row r="296" spans="1:29" ht="12.75" customHeight="1">
      <c r="A296" s="229"/>
      <c r="B296" s="228"/>
      <c r="C296" s="228"/>
      <c r="D296" s="228"/>
      <c r="E296" s="228"/>
      <c r="F296" s="228"/>
      <c r="G296" s="228"/>
      <c r="H296" s="228"/>
      <c r="I296" s="228"/>
      <c r="J296" s="228"/>
      <c r="K296" s="228"/>
      <c r="L296" s="229"/>
      <c r="M296" s="229"/>
      <c r="N296" s="229"/>
      <c r="O296" s="229"/>
      <c r="P296" s="229"/>
      <c r="Q296" s="229"/>
      <c r="R296" s="229"/>
      <c r="S296" s="229"/>
      <c r="T296" s="229"/>
      <c r="U296" s="229"/>
      <c r="V296" s="229"/>
      <c r="W296" s="229"/>
      <c r="X296" s="229"/>
      <c r="Y296" s="229"/>
      <c r="Z296" s="229"/>
      <c r="AA296" s="229"/>
      <c r="AB296" s="229"/>
      <c r="AC296" s="229"/>
    </row>
    <row r="297" spans="1:29" ht="12.75" customHeight="1">
      <c r="A297" s="229"/>
      <c r="B297" s="228"/>
      <c r="C297" s="228"/>
      <c r="D297" s="228"/>
      <c r="E297" s="228"/>
      <c r="F297" s="228"/>
      <c r="G297" s="228"/>
      <c r="H297" s="228"/>
      <c r="I297" s="228"/>
      <c r="J297" s="228"/>
      <c r="K297" s="228"/>
      <c r="L297" s="229"/>
      <c r="M297" s="229"/>
      <c r="N297" s="229"/>
      <c r="O297" s="229"/>
      <c r="P297" s="229"/>
      <c r="Q297" s="229"/>
      <c r="R297" s="229"/>
      <c r="S297" s="229"/>
      <c r="T297" s="229"/>
      <c r="U297" s="229"/>
      <c r="V297" s="229"/>
      <c r="W297" s="229"/>
      <c r="X297" s="229"/>
      <c r="Y297" s="229"/>
      <c r="Z297" s="229"/>
      <c r="AA297" s="229"/>
      <c r="AB297" s="229"/>
      <c r="AC297" s="229"/>
    </row>
    <row r="298" spans="1:29" ht="12.75" customHeight="1">
      <c r="A298" s="229"/>
      <c r="B298" s="228"/>
      <c r="C298" s="228"/>
      <c r="D298" s="228"/>
      <c r="E298" s="228"/>
      <c r="F298" s="228"/>
      <c r="G298" s="228"/>
      <c r="H298" s="228"/>
      <c r="I298" s="228"/>
      <c r="J298" s="228"/>
      <c r="K298" s="228"/>
      <c r="L298" s="229"/>
      <c r="M298" s="229"/>
      <c r="N298" s="229"/>
      <c r="O298" s="229"/>
      <c r="P298" s="229"/>
      <c r="Q298" s="229"/>
      <c r="R298" s="229"/>
      <c r="S298" s="229"/>
      <c r="T298" s="229"/>
      <c r="U298" s="229"/>
      <c r="V298" s="229"/>
      <c r="W298" s="229"/>
      <c r="X298" s="229"/>
      <c r="Y298" s="229"/>
      <c r="Z298" s="229"/>
      <c r="AA298" s="229"/>
      <c r="AB298" s="229"/>
      <c r="AC298" s="229"/>
    </row>
    <row r="299" spans="1:29" ht="12.75" customHeight="1">
      <c r="A299" s="229"/>
      <c r="B299" s="228"/>
      <c r="C299" s="228"/>
      <c r="D299" s="228"/>
      <c r="E299" s="228"/>
      <c r="F299" s="228"/>
      <c r="G299" s="228"/>
      <c r="H299" s="228"/>
      <c r="I299" s="228"/>
      <c r="J299" s="228"/>
      <c r="K299" s="228"/>
      <c r="L299" s="229"/>
      <c r="M299" s="229"/>
      <c r="N299" s="229"/>
      <c r="O299" s="229"/>
      <c r="P299" s="229"/>
      <c r="Q299" s="229"/>
      <c r="R299" s="229"/>
      <c r="S299" s="229"/>
      <c r="T299" s="229"/>
      <c r="U299" s="229"/>
      <c r="V299" s="229"/>
      <c r="W299" s="229"/>
      <c r="X299" s="229"/>
      <c r="Y299" s="229"/>
      <c r="Z299" s="229"/>
      <c r="AA299" s="229"/>
      <c r="AB299" s="229"/>
      <c r="AC299" s="229"/>
    </row>
    <row r="300" spans="1:29" ht="12.75" customHeight="1">
      <c r="A300" s="229"/>
      <c r="B300" s="228"/>
      <c r="C300" s="228"/>
      <c r="D300" s="228"/>
      <c r="E300" s="228"/>
      <c r="F300" s="228"/>
      <c r="G300" s="228"/>
      <c r="H300" s="228"/>
      <c r="I300" s="228"/>
      <c r="J300" s="228"/>
      <c r="K300" s="228"/>
      <c r="L300" s="229"/>
      <c r="M300" s="229"/>
      <c r="N300" s="229"/>
      <c r="O300" s="229"/>
      <c r="P300" s="229"/>
      <c r="Q300" s="229"/>
      <c r="R300" s="229"/>
      <c r="S300" s="229"/>
      <c r="T300" s="229"/>
      <c r="U300" s="229"/>
      <c r="V300" s="229"/>
      <c r="W300" s="229"/>
      <c r="X300" s="229"/>
      <c r="Y300" s="229"/>
      <c r="Z300" s="229"/>
      <c r="AA300" s="229"/>
      <c r="AB300" s="229"/>
      <c r="AC300" s="229"/>
    </row>
    <row r="301" spans="1:29" ht="12.75" customHeight="1">
      <c r="A301" s="229"/>
      <c r="B301" s="228"/>
      <c r="C301" s="228"/>
      <c r="D301" s="228"/>
      <c r="E301" s="228"/>
      <c r="F301" s="228"/>
      <c r="G301" s="228"/>
      <c r="H301" s="228"/>
      <c r="I301" s="228"/>
      <c r="J301" s="228"/>
      <c r="K301" s="228"/>
      <c r="L301" s="229"/>
      <c r="M301" s="229"/>
      <c r="N301" s="229"/>
      <c r="O301" s="229"/>
      <c r="P301" s="229"/>
      <c r="Q301" s="229"/>
      <c r="R301" s="229"/>
      <c r="S301" s="229"/>
      <c r="T301" s="229"/>
      <c r="U301" s="229"/>
      <c r="V301" s="229"/>
      <c r="W301" s="229"/>
      <c r="X301" s="229"/>
      <c r="Y301" s="229"/>
      <c r="Z301" s="229"/>
      <c r="AA301" s="229"/>
      <c r="AB301" s="229"/>
      <c r="AC301" s="229"/>
    </row>
    <row r="302" spans="1:29" ht="12.75" customHeight="1">
      <c r="A302" s="229"/>
      <c r="B302" s="228"/>
      <c r="C302" s="228"/>
      <c r="D302" s="228"/>
      <c r="E302" s="228"/>
      <c r="F302" s="228"/>
      <c r="G302" s="228"/>
      <c r="H302" s="228"/>
      <c r="I302" s="228"/>
      <c r="J302" s="228"/>
      <c r="K302" s="228"/>
      <c r="L302" s="229"/>
      <c r="M302" s="229"/>
      <c r="N302" s="229"/>
      <c r="O302" s="229"/>
      <c r="P302" s="229"/>
      <c r="Q302" s="229"/>
      <c r="R302" s="229"/>
      <c r="S302" s="229"/>
      <c r="T302" s="229"/>
      <c r="U302" s="229"/>
      <c r="V302" s="229"/>
      <c r="W302" s="229"/>
      <c r="X302" s="229"/>
      <c r="Y302" s="229"/>
      <c r="Z302" s="229"/>
      <c r="AA302" s="229"/>
      <c r="AB302" s="229"/>
      <c r="AC302" s="229"/>
    </row>
    <row r="303" spans="1:29" ht="12.75" customHeight="1">
      <c r="A303" s="229"/>
      <c r="B303" s="228"/>
      <c r="C303" s="228"/>
      <c r="D303" s="228"/>
      <c r="E303" s="228"/>
      <c r="F303" s="228"/>
      <c r="G303" s="228"/>
      <c r="H303" s="228"/>
      <c r="I303" s="228"/>
      <c r="J303" s="228"/>
      <c r="K303" s="228"/>
      <c r="L303" s="229"/>
      <c r="M303" s="229"/>
      <c r="N303" s="229"/>
      <c r="O303" s="229"/>
      <c r="P303" s="229"/>
      <c r="Q303" s="229"/>
      <c r="R303" s="229"/>
      <c r="S303" s="229"/>
      <c r="T303" s="229"/>
      <c r="U303" s="229"/>
      <c r="V303" s="229"/>
      <c r="W303" s="229"/>
      <c r="X303" s="229"/>
      <c r="Y303" s="229"/>
      <c r="Z303" s="229"/>
      <c r="AA303" s="229"/>
      <c r="AB303" s="229"/>
      <c r="AC303" s="229"/>
    </row>
    <row r="304" spans="1:29" ht="12.75" customHeight="1">
      <c r="A304" s="229"/>
      <c r="B304" s="228"/>
      <c r="C304" s="228"/>
      <c r="D304" s="228"/>
      <c r="E304" s="228"/>
      <c r="F304" s="228"/>
      <c r="G304" s="228"/>
      <c r="H304" s="228"/>
      <c r="I304" s="228"/>
      <c r="J304" s="228"/>
      <c r="K304" s="228"/>
      <c r="L304" s="229"/>
      <c r="M304" s="229"/>
      <c r="N304" s="229"/>
      <c r="O304" s="229"/>
      <c r="P304" s="229"/>
      <c r="Q304" s="229"/>
      <c r="R304" s="229"/>
      <c r="S304" s="229"/>
      <c r="T304" s="229"/>
      <c r="U304" s="229"/>
      <c r="V304" s="229"/>
      <c r="W304" s="229"/>
      <c r="X304" s="229"/>
      <c r="Y304" s="229"/>
      <c r="Z304" s="229"/>
      <c r="AA304" s="229"/>
      <c r="AB304" s="229"/>
      <c r="AC304" s="229"/>
    </row>
    <row r="305" spans="1:29" ht="12.75" customHeight="1">
      <c r="A305" s="229"/>
      <c r="B305" s="228"/>
      <c r="C305" s="228"/>
      <c r="D305" s="228"/>
      <c r="E305" s="228"/>
      <c r="F305" s="228"/>
      <c r="G305" s="228"/>
      <c r="H305" s="228"/>
      <c r="I305" s="228"/>
      <c r="J305" s="228"/>
      <c r="K305" s="228"/>
      <c r="L305" s="229"/>
      <c r="M305" s="229"/>
      <c r="N305" s="229"/>
      <c r="O305" s="229"/>
      <c r="P305" s="229"/>
      <c r="Q305" s="229"/>
      <c r="R305" s="229"/>
      <c r="S305" s="229"/>
      <c r="T305" s="229"/>
      <c r="U305" s="229"/>
      <c r="V305" s="229"/>
      <c r="W305" s="229"/>
      <c r="X305" s="229"/>
      <c r="Y305" s="229"/>
      <c r="Z305" s="229"/>
      <c r="AA305" s="229"/>
      <c r="AB305" s="229"/>
      <c r="AC305" s="229"/>
    </row>
    <row r="306" spans="1:29" ht="12.75" customHeight="1">
      <c r="A306" s="229"/>
      <c r="B306" s="228"/>
      <c r="C306" s="228"/>
      <c r="D306" s="228"/>
      <c r="E306" s="228"/>
      <c r="F306" s="228"/>
      <c r="G306" s="228"/>
      <c r="H306" s="228"/>
      <c r="I306" s="228"/>
      <c r="J306" s="228"/>
      <c r="K306" s="228"/>
      <c r="L306" s="229"/>
      <c r="M306" s="229"/>
      <c r="N306" s="229"/>
      <c r="O306" s="229"/>
      <c r="P306" s="229"/>
      <c r="Q306" s="229"/>
      <c r="R306" s="229"/>
      <c r="S306" s="229"/>
      <c r="T306" s="229"/>
      <c r="U306" s="229"/>
      <c r="V306" s="229"/>
      <c r="W306" s="229"/>
      <c r="X306" s="229"/>
      <c r="Y306" s="229"/>
      <c r="Z306" s="229"/>
      <c r="AA306" s="229"/>
      <c r="AB306" s="229"/>
      <c r="AC306" s="229"/>
    </row>
    <row r="307" spans="1:29" ht="12.75" customHeight="1">
      <c r="A307" s="229"/>
      <c r="B307" s="228"/>
      <c r="C307" s="228"/>
      <c r="D307" s="228"/>
      <c r="E307" s="228"/>
      <c r="F307" s="228"/>
      <c r="G307" s="228"/>
      <c r="H307" s="228"/>
      <c r="I307" s="228"/>
      <c r="J307" s="228"/>
      <c r="K307" s="228"/>
      <c r="L307" s="229"/>
      <c r="M307" s="229"/>
      <c r="N307" s="229"/>
      <c r="O307" s="229"/>
      <c r="P307" s="229"/>
      <c r="Q307" s="229"/>
      <c r="R307" s="229"/>
      <c r="S307" s="229"/>
      <c r="T307" s="229"/>
      <c r="U307" s="229"/>
      <c r="V307" s="229"/>
      <c r="W307" s="229"/>
      <c r="X307" s="229"/>
      <c r="Y307" s="229"/>
      <c r="Z307" s="229"/>
      <c r="AA307" s="229"/>
      <c r="AB307" s="229"/>
      <c r="AC307" s="229"/>
    </row>
    <row r="308" spans="1:29" ht="12.75" customHeight="1">
      <c r="A308" s="229"/>
      <c r="B308" s="228"/>
      <c r="C308" s="228"/>
      <c r="D308" s="228"/>
      <c r="E308" s="228"/>
      <c r="F308" s="228"/>
      <c r="G308" s="228"/>
      <c r="H308" s="228"/>
      <c r="I308" s="228"/>
      <c r="J308" s="228"/>
      <c r="K308" s="228"/>
      <c r="L308" s="229"/>
      <c r="M308" s="229"/>
      <c r="N308" s="229"/>
      <c r="O308" s="229"/>
      <c r="P308" s="229"/>
      <c r="Q308" s="229"/>
      <c r="R308" s="229"/>
      <c r="S308" s="229"/>
      <c r="T308" s="229"/>
      <c r="U308" s="229"/>
      <c r="V308" s="229"/>
      <c r="W308" s="229"/>
      <c r="X308" s="229"/>
      <c r="Y308" s="229"/>
      <c r="Z308" s="229"/>
      <c r="AA308" s="229"/>
      <c r="AB308" s="229"/>
      <c r="AC308" s="229"/>
    </row>
    <row r="309" spans="1:29" ht="12.75" customHeight="1">
      <c r="A309" s="229"/>
      <c r="B309" s="228"/>
      <c r="C309" s="228"/>
      <c r="D309" s="228"/>
      <c r="E309" s="228"/>
      <c r="F309" s="228"/>
      <c r="G309" s="228"/>
      <c r="H309" s="228"/>
      <c r="I309" s="228"/>
      <c r="J309" s="228"/>
      <c r="K309" s="228"/>
      <c r="L309" s="229"/>
      <c r="M309" s="229"/>
      <c r="N309" s="229"/>
      <c r="O309" s="229"/>
      <c r="P309" s="229"/>
      <c r="Q309" s="229"/>
      <c r="R309" s="229"/>
      <c r="S309" s="229"/>
      <c r="T309" s="229"/>
      <c r="U309" s="229"/>
      <c r="V309" s="229"/>
      <c r="W309" s="229"/>
      <c r="X309" s="229"/>
      <c r="Y309" s="229"/>
      <c r="Z309" s="229"/>
      <c r="AA309" s="229"/>
      <c r="AB309" s="229"/>
      <c r="AC309" s="229"/>
    </row>
    <row r="310" spans="1:29" ht="12.75" customHeight="1">
      <c r="A310" s="229"/>
      <c r="B310" s="228"/>
      <c r="C310" s="228"/>
      <c r="D310" s="228"/>
      <c r="E310" s="228"/>
      <c r="F310" s="228"/>
      <c r="G310" s="228"/>
      <c r="H310" s="228"/>
      <c r="I310" s="228"/>
      <c r="J310" s="228"/>
      <c r="K310" s="228"/>
      <c r="L310" s="229"/>
      <c r="M310" s="229"/>
      <c r="N310" s="229"/>
      <c r="O310" s="229"/>
      <c r="P310" s="229"/>
      <c r="Q310" s="229"/>
      <c r="R310" s="229"/>
      <c r="S310" s="229"/>
      <c r="T310" s="229"/>
      <c r="U310" s="229"/>
      <c r="V310" s="229"/>
      <c r="W310" s="229"/>
      <c r="X310" s="229"/>
      <c r="Y310" s="229"/>
      <c r="Z310" s="229"/>
      <c r="AA310" s="229"/>
      <c r="AB310" s="229"/>
      <c r="AC310" s="229"/>
    </row>
    <row r="311" spans="1:29" ht="12.75" customHeight="1">
      <c r="A311" s="229"/>
      <c r="B311" s="228"/>
      <c r="C311" s="228"/>
      <c r="D311" s="228"/>
      <c r="E311" s="228"/>
      <c r="F311" s="228"/>
      <c r="G311" s="228"/>
      <c r="H311" s="228"/>
      <c r="I311" s="228"/>
      <c r="J311" s="228"/>
      <c r="K311" s="228"/>
      <c r="L311" s="229"/>
      <c r="M311" s="229"/>
      <c r="N311" s="229"/>
      <c r="O311" s="229"/>
      <c r="P311" s="229"/>
      <c r="Q311" s="229"/>
      <c r="R311" s="229"/>
      <c r="S311" s="229"/>
      <c r="T311" s="229"/>
      <c r="U311" s="229"/>
      <c r="V311" s="229"/>
      <c r="W311" s="229"/>
      <c r="X311" s="229"/>
      <c r="Y311" s="229"/>
      <c r="Z311" s="229"/>
      <c r="AA311" s="229"/>
      <c r="AB311" s="229"/>
      <c r="AC311" s="229"/>
    </row>
    <row r="312" spans="1:29" ht="12.75" customHeight="1">
      <c r="A312" s="229"/>
      <c r="B312" s="228"/>
      <c r="C312" s="228"/>
      <c r="D312" s="228"/>
      <c r="E312" s="228"/>
      <c r="F312" s="228"/>
      <c r="G312" s="228"/>
      <c r="H312" s="228"/>
      <c r="I312" s="228"/>
      <c r="J312" s="228"/>
      <c r="K312" s="228"/>
      <c r="L312" s="229"/>
      <c r="M312" s="229"/>
      <c r="N312" s="229"/>
      <c r="O312" s="229"/>
      <c r="P312" s="229"/>
      <c r="Q312" s="229"/>
      <c r="R312" s="229"/>
      <c r="S312" s="229"/>
      <c r="T312" s="229"/>
      <c r="U312" s="229"/>
      <c r="V312" s="229"/>
      <c r="W312" s="229"/>
      <c r="X312" s="229"/>
      <c r="Y312" s="229"/>
      <c r="Z312" s="229"/>
      <c r="AA312" s="229"/>
      <c r="AB312" s="229"/>
      <c r="AC312" s="229"/>
    </row>
    <row r="313" spans="1:29" ht="12.75" customHeight="1">
      <c r="A313" s="229"/>
      <c r="B313" s="228"/>
      <c r="C313" s="228"/>
      <c r="D313" s="228"/>
      <c r="E313" s="228"/>
      <c r="F313" s="228"/>
      <c r="G313" s="228"/>
      <c r="H313" s="228"/>
      <c r="I313" s="228"/>
      <c r="J313" s="228"/>
      <c r="K313" s="228"/>
      <c r="L313" s="229"/>
      <c r="M313" s="229"/>
      <c r="N313" s="229"/>
      <c r="O313" s="229"/>
      <c r="P313" s="229"/>
      <c r="Q313" s="229"/>
      <c r="R313" s="229"/>
      <c r="S313" s="229"/>
      <c r="T313" s="229"/>
      <c r="U313" s="229"/>
      <c r="V313" s="229"/>
      <c r="W313" s="229"/>
      <c r="X313" s="229"/>
      <c r="Y313" s="229"/>
      <c r="Z313" s="229"/>
      <c r="AA313" s="229"/>
      <c r="AB313" s="229"/>
      <c r="AC313" s="229"/>
    </row>
    <row r="314" spans="1:29" ht="12.75" customHeight="1">
      <c r="A314" s="229"/>
      <c r="B314" s="228"/>
      <c r="C314" s="228"/>
      <c r="D314" s="228"/>
      <c r="E314" s="228"/>
      <c r="F314" s="228"/>
      <c r="G314" s="228"/>
      <c r="H314" s="228"/>
      <c r="I314" s="228"/>
      <c r="J314" s="228"/>
      <c r="K314" s="228"/>
      <c r="L314" s="229"/>
      <c r="M314" s="229"/>
      <c r="N314" s="229"/>
      <c r="O314" s="229"/>
      <c r="P314" s="229"/>
      <c r="Q314" s="229"/>
      <c r="R314" s="229"/>
      <c r="S314" s="229"/>
      <c r="T314" s="229"/>
      <c r="U314" s="229"/>
      <c r="V314" s="229"/>
      <c r="W314" s="229"/>
      <c r="X314" s="229"/>
      <c r="Y314" s="229"/>
      <c r="Z314" s="229"/>
      <c r="AA314" s="229"/>
      <c r="AB314" s="229"/>
      <c r="AC314" s="229"/>
    </row>
    <row r="315" spans="1:29" ht="12.75" customHeight="1">
      <c r="A315" s="229"/>
      <c r="B315" s="228"/>
      <c r="C315" s="228"/>
      <c r="D315" s="228"/>
      <c r="E315" s="228"/>
      <c r="F315" s="228"/>
      <c r="G315" s="228"/>
      <c r="H315" s="228"/>
      <c r="I315" s="228"/>
      <c r="J315" s="228"/>
      <c r="K315" s="228"/>
      <c r="L315" s="229"/>
      <c r="M315" s="229"/>
      <c r="N315" s="229"/>
      <c r="O315" s="229"/>
      <c r="P315" s="229"/>
      <c r="Q315" s="229"/>
      <c r="R315" s="229"/>
      <c r="S315" s="229"/>
      <c r="T315" s="229"/>
      <c r="U315" s="229"/>
      <c r="V315" s="229"/>
      <c r="W315" s="229"/>
      <c r="X315" s="229"/>
      <c r="Y315" s="229"/>
      <c r="Z315" s="229"/>
      <c r="AA315" s="229"/>
      <c r="AB315" s="229"/>
      <c r="AC315" s="229"/>
    </row>
    <row r="316" spans="1:29" ht="12.75" customHeight="1">
      <c r="A316" s="229"/>
      <c r="B316" s="228"/>
      <c r="C316" s="228"/>
      <c r="D316" s="228"/>
      <c r="E316" s="228"/>
      <c r="F316" s="228"/>
      <c r="G316" s="228"/>
      <c r="H316" s="228"/>
      <c r="I316" s="228"/>
      <c r="J316" s="228"/>
      <c r="K316" s="228"/>
      <c r="L316" s="229"/>
      <c r="M316" s="229"/>
      <c r="N316" s="229"/>
      <c r="O316" s="229"/>
      <c r="P316" s="229"/>
      <c r="Q316" s="229"/>
      <c r="R316" s="229"/>
      <c r="S316" s="229"/>
      <c r="T316" s="229"/>
      <c r="U316" s="229"/>
      <c r="V316" s="229"/>
      <c r="W316" s="229"/>
      <c r="X316" s="229"/>
      <c r="Y316" s="229"/>
      <c r="Z316" s="229"/>
      <c r="AA316" s="229"/>
      <c r="AB316" s="229"/>
      <c r="AC316" s="229"/>
    </row>
    <row r="317" spans="1:29" ht="12.75" customHeight="1">
      <c r="A317" s="229"/>
      <c r="B317" s="228"/>
      <c r="C317" s="228"/>
      <c r="D317" s="228"/>
      <c r="E317" s="228"/>
      <c r="F317" s="228"/>
      <c r="G317" s="228"/>
      <c r="H317" s="228"/>
      <c r="I317" s="228"/>
      <c r="J317" s="228"/>
      <c r="K317" s="228"/>
      <c r="L317" s="229"/>
      <c r="M317" s="229"/>
      <c r="N317" s="229"/>
      <c r="O317" s="229"/>
      <c r="P317" s="229"/>
      <c r="Q317" s="229"/>
      <c r="R317" s="229"/>
      <c r="S317" s="229"/>
      <c r="T317" s="229"/>
      <c r="U317" s="229"/>
      <c r="V317" s="229"/>
      <c r="W317" s="229"/>
      <c r="X317" s="229"/>
      <c r="Y317" s="229"/>
      <c r="Z317" s="229"/>
      <c r="AA317" s="229"/>
      <c r="AB317" s="229"/>
      <c r="AC317" s="229"/>
    </row>
    <row r="318" spans="1:29" ht="12.75" customHeight="1">
      <c r="A318" s="229"/>
      <c r="B318" s="228"/>
      <c r="C318" s="228"/>
      <c r="D318" s="228"/>
      <c r="E318" s="228"/>
      <c r="F318" s="228"/>
      <c r="G318" s="228"/>
      <c r="H318" s="228"/>
      <c r="I318" s="228"/>
      <c r="J318" s="228"/>
      <c r="K318" s="228"/>
      <c r="L318" s="229"/>
      <c r="M318" s="229"/>
      <c r="N318" s="229"/>
      <c r="O318" s="229"/>
      <c r="P318" s="229"/>
      <c r="Q318" s="229"/>
      <c r="R318" s="229"/>
      <c r="S318" s="229"/>
      <c r="T318" s="229"/>
      <c r="U318" s="229"/>
      <c r="V318" s="229"/>
      <c r="W318" s="229"/>
      <c r="X318" s="229"/>
      <c r="Y318" s="229"/>
      <c r="Z318" s="229"/>
      <c r="AA318" s="229"/>
      <c r="AB318" s="229"/>
      <c r="AC318" s="229"/>
    </row>
    <row r="319" spans="1:29" ht="12.75" customHeight="1">
      <c r="A319" s="229"/>
      <c r="B319" s="228"/>
      <c r="C319" s="228"/>
      <c r="D319" s="228"/>
      <c r="E319" s="228"/>
      <c r="F319" s="228"/>
      <c r="G319" s="228"/>
      <c r="H319" s="228"/>
      <c r="I319" s="228"/>
      <c r="J319" s="228"/>
      <c r="K319" s="228"/>
      <c r="L319" s="229"/>
      <c r="M319" s="229"/>
      <c r="N319" s="229"/>
      <c r="O319" s="229"/>
      <c r="P319" s="229"/>
      <c r="Q319" s="229"/>
      <c r="R319" s="229"/>
      <c r="S319" s="229"/>
      <c r="T319" s="229"/>
      <c r="U319" s="229"/>
      <c r="V319" s="229"/>
      <c r="W319" s="229"/>
      <c r="X319" s="229"/>
      <c r="Y319" s="229"/>
      <c r="Z319" s="229"/>
      <c r="AA319" s="229"/>
      <c r="AB319" s="229"/>
      <c r="AC319" s="229"/>
    </row>
    <row r="320" spans="1:29" ht="12.75" customHeight="1">
      <c r="A320" s="229"/>
      <c r="B320" s="228"/>
      <c r="C320" s="228"/>
      <c r="D320" s="228"/>
      <c r="E320" s="228"/>
      <c r="F320" s="228"/>
      <c r="G320" s="228"/>
      <c r="H320" s="228"/>
      <c r="I320" s="228"/>
      <c r="J320" s="228"/>
      <c r="K320" s="228"/>
      <c r="L320" s="229"/>
      <c r="M320" s="229"/>
      <c r="N320" s="229"/>
      <c r="O320" s="229"/>
      <c r="P320" s="229"/>
      <c r="Q320" s="229"/>
      <c r="R320" s="229"/>
      <c r="S320" s="229"/>
      <c r="T320" s="229"/>
      <c r="U320" s="229"/>
      <c r="V320" s="229"/>
      <c r="W320" s="229"/>
      <c r="X320" s="229"/>
      <c r="Y320" s="229"/>
      <c r="Z320" s="229"/>
      <c r="AA320" s="229"/>
      <c r="AB320" s="229"/>
      <c r="AC320" s="229"/>
    </row>
    <row r="321" spans="1:29" ht="12.75" customHeight="1">
      <c r="A321" s="229"/>
      <c r="B321" s="228"/>
      <c r="C321" s="228"/>
      <c r="D321" s="228"/>
      <c r="E321" s="228"/>
      <c r="F321" s="228"/>
      <c r="G321" s="228"/>
      <c r="H321" s="228"/>
      <c r="I321" s="228"/>
      <c r="J321" s="228"/>
      <c r="K321" s="228"/>
      <c r="L321" s="229"/>
      <c r="M321" s="229"/>
      <c r="N321" s="229"/>
      <c r="O321" s="229"/>
      <c r="P321" s="229"/>
      <c r="Q321" s="229"/>
      <c r="R321" s="229"/>
      <c r="S321" s="229"/>
      <c r="T321" s="229"/>
      <c r="U321" s="229"/>
      <c r="V321" s="229"/>
      <c r="W321" s="229"/>
      <c r="X321" s="229"/>
      <c r="Y321" s="229"/>
      <c r="Z321" s="229"/>
      <c r="AA321" s="229"/>
      <c r="AB321" s="229"/>
      <c r="AC321" s="229"/>
    </row>
    <row r="322" spans="1:29" ht="12.75" customHeight="1">
      <c r="A322" s="229"/>
      <c r="B322" s="228"/>
      <c r="C322" s="228"/>
      <c r="D322" s="228"/>
      <c r="E322" s="228"/>
      <c r="F322" s="228"/>
      <c r="G322" s="228"/>
      <c r="H322" s="228"/>
      <c r="I322" s="228"/>
      <c r="J322" s="228"/>
      <c r="K322" s="228"/>
      <c r="L322" s="229"/>
      <c r="M322" s="229"/>
      <c r="N322" s="229"/>
      <c r="O322" s="229"/>
      <c r="P322" s="229"/>
      <c r="Q322" s="229"/>
      <c r="R322" s="229"/>
      <c r="S322" s="229"/>
      <c r="T322" s="229"/>
      <c r="U322" s="229"/>
      <c r="V322" s="229"/>
      <c r="W322" s="229"/>
      <c r="X322" s="229"/>
      <c r="Y322" s="229"/>
      <c r="Z322" s="229"/>
      <c r="AA322" s="229"/>
      <c r="AB322" s="229"/>
      <c r="AC322" s="229"/>
    </row>
    <row r="323" spans="1:29" ht="12.75" customHeight="1">
      <c r="A323" s="229"/>
      <c r="B323" s="228"/>
      <c r="C323" s="228"/>
      <c r="D323" s="228"/>
      <c r="E323" s="228"/>
      <c r="F323" s="228"/>
      <c r="G323" s="228"/>
      <c r="H323" s="228"/>
      <c r="I323" s="228"/>
      <c r="J323" s="228"/>
      <c r="K323" s="228"/>
      <c r="L323" s="229"/>
      <c r="M323" s="229"/>
      <c r="N323" s="229"/>
      <c r="O323" s="229"/>
      <c r="P323" s="229"/>
      <c r="Q323" s="229"/>
      <c r="R323" s="229"/>
      <c r="S323" s="229"/>
      <c r="T323" s="229"/>
      <c r="U323" s="229"/>
      <c r="V323" s="229"/>
      <c r="W323" s="229"/>
      <c r="X323" s="229"/>
      <c r="Y323" s="229"/>
      <c r="Z323" s="229"/>
      <c r="AA323" s="229"/>
      <c r="AB323" s="229"/>
      <c r="AC323" s="229"/>
    </row>
    <row r="324" spans="1:29" ht="12.75" customHeight="1">
      <c r="A324" s="229"/>
      <c r="B324" s="228"/>
      <c r="C324" s="228"/>
      <c r="D324" s="228"/>
      <c r="E324" s="228"/>
      <c r="F324" s="228"/>
      <c r="G324" s="228"/>
      <c r="H324" s="228"/>
      <c r="I324" s="228"/>
      <c r="J324" s="228"/>
      <c r="K324" s="228"/>
      <c r="L324" s="229"/>
      <c r="M324" s="229"/>
      <c r="N324" s="229"/>
      <c r="O324" s="229"/>
      <c r="P324" s="229"/>
      <c r="Q324" s="229"/>
      <c r="R324" s="229"/>
      <c r="S324" s="229"/>
      <c r="T324" s="229"/>
      <c r="U324" s="229"/>
      <c r="V324" s="229"/>
      <c r="W324" s="229"/>
      <c r="X324" s="229"/>
      <c r="Y324" s="229"/>
      <c r="Z324" s="229"/>
      <c r="AA324" s="229"/>
      <c r="AB324" s="229"/>
      <c r="AC324" s="229"/>
    </row>
    <row r="325" spans="1:29" ht="12.75" customHeight="1">
      <c r="A325" s="229"/>
      <c r="B325" s="228"/>
      <c r="C325" s="228"/>
      <c r="D325" s="228"/>
      <c r="E325" s="228"/>
      <c r="F325" s="228"/>
      <c r="G325" s="228"/>
      <c r="H325" s="228"/>
      <c r="I325" s="228"/>
      <c r="J325" s="228"/>
      <c r="K325" s="228"/>
      <c r="L325" s="229"/>
      <c r="M325" s="229"/>
      <c r="N325" s="229"/>
      <c r="O325" s="229"/>
      <c r="P325" s="229"/>
      <c r="Q325" s="229"/>
      <c r="R325" s="229"/>
      <c r="S325" s="229"/>
      <c r="T325" s="229"/>
      <c r="U325" s="229"/>
      <c r="V325" s="229"/>
      <c r="W325" s="229"/>
      <c r="X325" s="229"/>
      <c r="Y325" s="229"/>
      <c r="Z325" s="229"/>
      <c r="AA325" s="229"/>
      <c r="AB325" s="229"/>
      <c r="AC325" s="229"/>
    </row>
    <row r="326" spans="1:29" ht="12.75" customHeight="1">
      <c r="A326" s="229"/>
      <c r="B326" s="228"/>
      <c r="C326" s="228"/>
      <c r="D326" s="228"/>
      <c r="E326" s="228"/>
      <c r="F326" s="228"/>
      <c r="G326" s="228"/>
      <c r="H326" s="228"/>
      <c r="I326" s="228"/>
      <c r="J326" s="228"/>
      <c r="K326" s="228"/>
      <c r="L326" s="229"/>
      <c r="M326" s="229"/>
      <c r="N326" s="229"/>
      <c r="O326" s="229"/>
      <c r="P326" s="229"/>
      <c r="Q326" s="229"/>
      <c r="R326" s="229"/>
      <c r="S326" s="229"/>
      <c r="T326" s="229"/>
      <c r="U326" s="229"/>
      <c r="V326" s="229"/>
      <c r="W326" s="229"/>
      <c r="X326" s="229"/>
      <c r="Y326" s="229"/>
      <c r="Z326" s="229"/>
      <c r="AA326" s="229"/>
      <c r="AB326" s="229"/>
      <c r="AC326" s="229"/>
    </row>
    <row r="327" spans="1:29" ht="12.75" customHeight="1">
      <c r="A327" s="229"/>
      <c r="B327" s="228"/>
      <c r="C327" s="228"/>
      <c r="D327" s="228"/>
      <c r="E327" s="228"/>
      <c r="F327" s="228"/>
      <c r="G327" s="228"/>
      <c r="H327" s="228"/>
      <c r="I327" s="228"/>
      <c r="J327" s="228"/>
      <c r="K327" s="228"/>
      <c r="L327" s="229"/>
      <c r="M327" s="229"/>
      <c r="N327" s="229"/>
      <c r="O327" s="229"/>
      <c r="P327" s="229"/>
      <c r="Q327" s="229"/>
      <c r="R327" s="229"/>
      <c r="S327" s="229"/>
      <c r="T327" s="229"/>
      <c r="U327" s="229"/>
      <c r="V327" s="229"/>
      <c r="W327" s="229"/>
      <c r="X327" s="229"/>
      <c r="Y327" s="229"/>
      <c r="Z327" s="229"/>
      <c r="AA327" s="229"/>
      <c r="AB327" s="229"/>
      <c r="AC327" s="229"/>
    </row>
    <row r="328" spans="1:29" ht="12.75" customHeight="1">
      <c r="A328" s="229"/>
      <c r="B328" s="228"/>
      <c r="C328" s="228"/>
      <c r="D328" s="228"/>
      <c r="E328" s="228"/>
      <c r="F328" s="228"/>
      <c r="G328" s="228"/>
      <c r="H328" s="228"/>
      <c r="I328" s="228"/>
      <c r="J328" s="228"/>
      <c r="K328" s="228"/>
      <c r="L328" s="229"/>
      <c r="M328" s="229"/>
      <c r="N328" s="229"/>
      <c r="O328" s="229"/>
      <c r="P328" s="229"/>
      <c r="Q328" s="229"/>
      <c r="R328" s="229"/>
      <c r="S328" s="229"/>
      <c r="T328" s="229"/>
      <c r="U328" s="229"/>
      <c r="V328" s="229"/>
      <c r="W328" s="229"/>
      <c r="X328" s="229"/>
      <c r="Y328" s="229"/>
      <c r="Z328" s="229"/>
      <c r="AA328" s="229"/>
      <c r="AB328" s="229"/>
      <c r="AC328" s="229"/>
    </row>
    <row r="329" spans="1:29" ht="12.75" customHeight="1">
      <c r="A329" s="229"/>
      <c r="B329" s="228"/>
      <c r="C329" s="228"/>
      <c r="D329" s="228"/>
      <c r="E329" s="228"/>
      <c r="F329" s="228"/>
      <c r="G329" s="228"/>
      <c r="H329" s="228"/>
      <c r="I329" s="228"/>
      <c r="J329" s="228"/>
      <c r="K329" s="228"/>
      <c r="L329" s="229"/>
      <c r="M329" s="229"/>
      <c r="N329" s="229"/>
      <c r="O329" s="229"/>
      <c r="P329" s="229"/>
      <c r="Q329" s="229"/>
      <c r="R329" s="229"/>
      <c r="S329" s="229"/>
      <c r="T329" s="229"/>
      <c r="U329" s="229"/>
      <c r="V329" s="229"/>
      <c r="W329" s="229"/>
      <c r="X329" s="229"/>
      <c r="Y329" s="229"/>
      <c r="Z329" s="229"/>
      <c r="AA329" s="229"/>
      <c r="AB329" s="229"/>
      <c r="AC329" s="229"/>
    </row>
    <row r="330" spans="1:29" ht="12.75" customHeight="1">
      <c r="A330" s="229"/>
      <c r="B330" s="228"/>
      <c r="C330" s="228"/>
      <c r="D330" s="228"/>
      <c r="E330" s="228"/>
      <c r="F330" s="228"/>
      <c r="G330" s="228"/>
      <c r="H330" s="228"/>
      <c r="I330" s="228"/>
      <c r="J330" s="228"/>
      <c r="K330" s="228"/>
      <c r="L330" s="229"/>
      <c r="M330" s="229"/>
      <c r="N330" s="229"/>
      <c r="O330" s="229"/>
      <c r="P330" s="229"/>
      <c r="Q330" s="229"/>
      <c r="R330" s="229"/>
      <c r="S330" s="229"/>
      <c r="T330" s="229"/>
      <c r="U330" s="229"/>
      <c r="V330" s="229"/>
      <c r="W330" s="229"/>
      <c r="X330" s="229"/>
      <c r="Y330" s="229"/>
      <c r="Z330" s="229"/>
      <c r="AA330" s="229"/>
      <c r="AB330" s="229"/>
      <c r="AC330" s="229"/>
    </row>
    <row r="331" spans="1:29" ht="12.75" customHeight="1">
      <c r="A331" s="229"/>
      <c r="B331" s="228"/>
      <c r="C331" s="228"/>
      <c r="D331" s="228"/>
      <c r="E331" s="228"/>
      <c r="F331" s="228"/>
      <c r="G331" s="228"/>
      <c r="H331" s="228"/>
      <c r="I331" s="228"/>
      <c r="J331" s="228"/>
      <c r="K331" s="228"/>
      <c r="L331" s="229"/>
      <c r="M331" s="229"/>
      <c r="N331" s="229"/>
      <c r="O331" s="229"/>
      <c r="P331" s="229"/>
      <c r="Q331" s="229"/>
      <c r="R331" s="229"/>
      <c r="S331" s="229"/>
      <c r="T331" s="229"/>
      <c r="U331" s="229"/>
      <c r="V331" s="229"/>
      <c r="W331" s="229"/>
      <c r="X331" s="229"/>
      <c r="Y331" s="229"/>
      <c r="Z331" s="229"/>
      <c r="AA331" s="229"/>
      <c r="AB331" s="229"/>
      <c r="AC331" s="229"/>
    </row>
    <row r="332" spans="1:29" ht="12.75" customHeight="1">
      <c r="A332" s="229"/>
      <c r="B332" s="228"/>
      <c r="C332" s="228"/>
      <c r="D332" s="228"/>
      <c r="E332" s="228"/>
      <c r="F332" s="228"/>
      <c r="G332" s="228"/>
      <c r="H332" s="228"/>
      <c r="I332" s="228"/>
      <c r="J332" s="228"/>
      <c r="K332" s="228"/>
      <c r="L332" s="229"/>
      <c r="M332" s="229"/>
      <c r="N332" s="229"/>
      <c r="O332" s="229"/>
      <c r="P332" s="229"/>
      <c r="Q332" s="229"/>
      <c r="R332" s="229"/>
      <c r="S332" s="229"/>
      <c r="T332" s="229"/>
      <c r="U332" s="229"/>
      <c r="V332" s="229"/>
      <c r="W332" s="229"/>
      <c r="X332" s="229"/>
      <c r="Y332" s="229"/>
      <c r="Z332" s="229"/>
      <c r="AA332" s="229"/>
      <c r="AB332" s="229"/>
      <c r="AC332" s="229"/>
    </row>
    <row r="333" spans="1:29" ht="12.75" customHeight="1">
      <c r="A333" s="229"/>
      <c r="B333" s="228"/>
      <c r="C333" s="228"/>
      <c r="D333" s="228"/>
      <c r="E333" s="228"/>
      <c r="F333" s="228"/>
      <c r="G333" s="228"/>
      <c r="H333" s="228"/>
      <c r="I333" s="228"/>
      <c r="J333" s="228"/>
      <c r="K333" s="228"/>
      <c r="L333" s="229"/>
      <c r="M333" s="229"/>
      <c r="N333" s="229"/>
      <c r="O333" s="229"/>
      <c r="P333" s="229"/>
      <c r="Q333" s="229"/>
      <c r="R333" s="229"/>
      <c r="S333" s="229"/>
      <c r="T333" s="229"/>
      <c r="U333" s="229"/>
      <c r="V333" s="229"/>
      <c r="W333" s="229"/>
      <c r="X333" s="229"/>
      <c r="Y333" s="229"/>
      <c r="Z333" s="229"/>
      <c r="AA333" s="229"/>
      <c r="AB333" s="229"/>
      <c r="AC333" s="229"/>
    </row>
    <row r="334" spans="1:29" ht="12.75" customHeight="1">
      <c r="A334" s="229"/>
      <c r="B334" s="228"/>
      <c r="C334" s="228"/>
      <c r="D334" s="228"/>
      <c r="E334" s="228"/>
      <c r="F334" s="228"/>
      <c r="G334" s="228"/>
      <c r="H334" s="228"/>
      <c r="I334" s="228"/>
      <c r="J334" s="228"/>
      <c r="K334" s="228"/>
      <c r="L334" s="229"/>
      <c r="M334" s="229"/>
      <c r="N334" s="229"/>
      <c r="O334" s="229"/>
      <c r="P334" s="229"/>
      <c r="Q334" s="229"/>
      <c r="R334" s="229"/>
      <c r="S334" s="229"/>
      <c r="T334" s="229"/>
      <c r="U334" s="229"/>
      <c r="V334" s="229"/>
      <c r="W334" s="229"/>
      <c r="X334" s="229"/>
      <c r="Y334" s="229"/>
      <c r="Z334" s="229"/>
      <c r="AA334" s="229"/>
      <c r="AB334" s="229"/>
      <c r="AC334" s="229"/>
    </row>
    <row r="335" spans="1:29" ht="12.75" customHeight="1">
      <c r="A335" s="229"/>
      <c r="B335" s="228"/>
      <c r="C335" s="228"/>
      <c r="D335" s="228"/>
      <c r="E335" s="228"/>
      <c r="F335" s="228"/>
      <c r="G335" s="228"/>
      <c r="H335" s="228"/>
      <c r="I335" s="228"/>
      <c r="J335" s="228"/>
      <c r="K335" s="228"/>
      <c r="L335" s="229"/>
      <c r="M335" s="229"/>
      <c r="N335" s="229"/>
      <c r="O335" s="229"/>
      <c r="P335" s="229"/>
      <c r="Q335" s="229"/>
      <c r="R335" s="229"/>
      <c r="S335" s="229"/>
      <c r="T335" s="229"/>
      <c r="U335" s="229"/>
      <c r="V335" s="229"/>
      <c r="W335" s="229"/>
      <c r="X335" s="229"/>
      <c r="Y335" s="229"/>
      <c r="Z335" s="229"/>
      <c r="AA335" s="229"/>
      <c r="AB335" s="229"/>
      <c r="AC335" s="229"/>
    </row>
    <row r="336" spans="1:29" ht="12.75" customHeight="1">
      <c r="A336" s="229"/>
      <c r="B336" s="228"/>
      <c r="C336" s="228"/>
      <c r="D336" s="228"/>
      <c r="E336" s="228"/>
      <c r="F336" s="228"/>
      <c r="G336" s="228"/>
      <c r="H336" s="228"/>
      <c r="I336" s="228"/>
      <c r="J336" s="228"/>
      <c r="K336" s="228"/>
      <c r="L336" s="229"/>
      <c r="M336" s="229"/>
      <c r="N336" s="229"/>
      <c r="O336" s="229"/>
      <c r="P336" s="229"/>
      <c r="Q336" s="229"/>
      <c r="R336" s="229"/>
      <c r="S336" s="229"/>
      <c r="T336" s="229"/>
      <c r="U336" s="229"/>
      <c r="V336" s="229"/>
      <c r="W336" s="229"/>
      <c r="X336" s="229"/>
      <c r="Y336" s="229"/>
      <c r="Z336" s="229"/>
      <c r="AA336" s="229"/>
      <c r="AB336" s="229"/>
      <c r="AC336" s="229"/>
    </row>
    <row r="337" spans="1:29" ht="12.75" customHeight="1">
      <c r="A337" s="229"/>
      <c r="B337" s="228"/>
      <c r="C337" s="228"/>
      <c r="D337" s="228"/>
      <c r="E337" s="228"/>
      <c r="F337" s="228"/>
      <c r="G337" s="228"/>
      <c r="H337" s="228"/>
      <c r="I337" s="228"/>
      <c r="J337" s="228"/>
      <c r="K337" s="228"/>
      <c r="L337" s="229"/>
      <c r="M337" s="229"/>
      <c r="N337" s="229"/>
      <c r="O337" s="229"/>
      <c r="P337" s="229"/>
      <c r="Q337" s="229"/>
      <c r="R337" s="229"/>
      <c r="S337" s="229"/>
      <c r="T337" s="229"/>
      <c r="U337" s="229"/>
      <c r="V337" s="229"/>
      <c r="W337" s="229"/>
      <c r="X337" s="229"/>
      <c r="Y337" s="229"/>
      <c r="Z337" s="229"/>
      <c r="AA337" s="229"/>
      <c r="AB337" s="229"/>
      <c r="AC337" s="229"/>
    </row>
    <row r="338" spans="1:29" ht="12.75" customHeight="1">
      <c r="A338" s="229"/>
      <c r="B338" s="228"/>
      <c r="C338" s="228"/>
      <c r="D338" s="228"/>
      <c r="E338" s="228"/>
      <c r="F338" s="228"/>
      <c r="G338" s="228"/>
      <c r="H338" s="228"/>
      <c r="I338" s="228"/>
      <c r="J338" s="228"/>
      <c r="K338" s="228"/>
      <c r="L338" s="229"/>
      <c r="M338" s="229"/>
      <c r="N338" s="229"/>
      <c r="O338" s="229"/>
      <c r="P338" s="229"/>
      <c r="Q338" s="229"/>
      <c r="R338" s="229"/>
      <c r="S338" s="229"/>
      <c r="T338" s="229"/>
      <c r="U338" s="229"/>
      <c r="V338" s="229"/>
      <c r="W338" s="229"/>
      <c r="X338" s="229"/>
      <c r="Y338" s="229"/>
      <c r="Z338" s="229"/>
      <c r="AA338" s="229"/>
      <c r="AB338" s="229"/>
      <c r="AC338" s="229"/>
    </row>
    <row r="339" spans="1:29" ht="12.75" customHeight="1">
      <c r="A339" s="229"/>
      <c r="B339" s="228"/>
      <c r="C339" s="228"/>
      <c r="D339" s="228"/>
      <c r="E339" s="228"/>
      <c r="F339" s="228"/>
      <c r="G339" s="228"/>
      <c r="H339" s="228"/>
      <c r="I339" s="228"/>
      <c r="J339" s="228"/>
      <c r="K339" s="228"/>
      <c r="L339" s="229"/>
      <c r="M339" s="229"/>
      <c r="N339" s="229"/>
      <c r="O339" s="229"/>
      <c r="P339" s="229"/>
      <c r="Q339" s="229"/>
      <c r="R339" s="229"/>
      <c r="S339" s="229"/>
      <c r="T339" s="229"/>
      <c r="U339" s="229"/>
      <c r="V339" s="229"/>
      <c r="W339" s="229"/>
      <c r="X339" s="229"/>
      <c r="Y339" s="229"/>
      <c r="Z339" s="229"/>
      <c r="AA339" s="229"/>
      <c r="AB339" s="229"/>
      <c r="AC339" s="229"/>
    </row>
    <row r="340" spans="1:29" ht="12.75" customHeight="1">
      <c r="A340" s="229"/>
      <c r="B340" s="228"/>
      <c r="C340" s="228"/>
      <c r="D340" s="228"/>
      <c r="E340" s="228"/>
      <c r="F340" s="228"/>
      <c r="G340" s="228"/>
      <c r="H340" s="228"/>
      <c r="I340" s="228"/>
      <c r="J340" s="228"/>
      <c r="K340" s="228"/>
      <c r="L340" s="229"/>
      <c r="M340" s="229"/>
      <c r="N340" s="229"/>
      <c r="O340" s="229"/>
      <c r="P340" s="229"/>
      <c r="Q340" s="229"/>
      <c r="R340" s="229"/>
      <c r="S340" s="229"/>
      <c r="T340" s="229"/>
      <c r="U340" s="229"/>
      <c r="V340" s="229"/>
      <c r="W340" s="229"/>
      <c r="X340" s="229"/>
      <c r="Y340" s="229"/>
      <c r="Z340" s="229"/>
      <c r="AA340" s="229"/>
      <c r="AB340" s="229"/>
      <c r="AC340" s="229"/>
    </row>
    <row r="341" spans="1:29" ht="12.75" customHeight="1">
      <c r="A341" s="229"/>
      <c r="B341" s="228"/>
      <c r="C341" s="228"/>
      <c r="D341" s="228"/>
      <c r="E341" s="228"/>
      <c r="F341" s="228"/>
      <c r="G341" s="228"/>
      <c r="H341" s="228"/>
      <c r="I341" s="228"/>
      <c r="J341" s="228"/>
      <c r="K341" s="228"/>
      <c r="L341" s="229"/>
      <c r="M341" s="229"/>
      <c r="N341" s="229"/>
      <c r="O341" s="229"/>
      <c r="P341" s="229"/>
      <c r="Q341" s="229"/>
      <c r="R341" s="229"/>
      <c r="S341" s="229"/>
      <c r="T341" s="229"/>
      <c r="U341" s="229"/>
      <c r="V341" s="229"/>
      <c r="W341" s="229"/>
      <c r="X341" s="229"/>
      <c r="Y341" s="229"/>
      <c r="Z341" s="229"/>
      <c r="AA341" s="229"/>
      <c r="AB341" s="229"/>
      <c r="AC341" s="229"/>
    </row>
    <row r="342" spans="1:29" ht="12.75" customHeight="1">
      <c r="A342" s="229"/>
      <c r="B342" s="228"/>
      <c r="C342" s="228"/>
      <c r="D342" s="228"/>
      <c r="E342" s="228"/>
      <c r="F342" s="228"/>
      <c r="G342" s="228"/>
      <c r="H342" s="228"/>
      <c r="I342" s="228"/>
      <c r="J342" s="228"/>
      <c r="K342" s="228"/>
      <c r="L342" s="229"/>
      <c r="M342" s="229"/>
      <c r="N342" s="229"/>
      <c r="O342" s="229"/>
      <c r="P342" s="229"/>
      <c r="Q342" s="229"/>
      <c r="R342" s="229"/>
      <c r="S342" s="229"/>
      <c r="T342" s="229"/>
      <c r="U342" s="229"/>
      <c r="V342" s="229"/>
      <c r="W342" s="229"/>
      <c r="X342" s="229"/>
      <c r="Y342" s="229"/>
      <c r="Z342" s="229"/>
      <c r="AA342" s="229"/>
      <c r="AB342" s="229"/>
      <c r="AC342" s="229"/>
    </row>
    <row r="343" spans="1:29" ht="12.75" customHeight="1">
      <c r="A343" s="229"/>
      <c r="B343" s="228"/>
      <c r="C343" s="228"/>
      <c r="D343" s="228"/>
      <c r="E343" s="228"/>
      <c r="F343" s="228"/>
      <c r="G343" s="228"/>
      <c r="H343" s="228"/>
      <c r="I343" s="228"/>
      <c r="J343" s="228"/>
      <c r="K343" s="228"/>
      <c r="L343" s="229"/>
      <c r="M343" s="229"/>
      <c r="N343" s="229"/>
      <c r="O343" s="229"/>
      <c r="P343" s="229"/>
      <c r="Q343" s="229"/>
      <c r="R343" s="229"/>
      <c r="S343" s="229"/>
      <c r="T343" s="229"/>
      <c r="U343" s="229"/>
      <c r="V343" s="229"/>
      <c r="W343" s="229"/>
      <c r="X343" s="229"/>
      <c r="Y343" s="229"/>
      <c r="Z343" s="229"/>
      <c r="AA343" s="229"/>
      <c r="AB343" s="229"/>
      <c r="AC343" s="229"/>
    </row>
    <row r="344" spans="1:29" ht="12.75" customHeight="1">
      <c r="A344" s="229"/>
      <c r="B344" s="228"/>
      <c r="C344" s="228"/>
      <c r="D344" s="228"/>
      <c r="E344" s="228"/>
      <c r="F344" s="228"/>
      <c r="G344" s="228"/>
      <c r="H344" s="228"/>
      <c r="I344" s="228"/>
      <c r="J344" s="228"/>
      <c r="K344" s="228"/>
      <c r="L344" s="229"/>
      <c r="M344" s="229"/>
      <c r="N344" s="229"/>
      <c r="O344" s="229"/>
      <c r="P344" s="229"/>
      <c r="Q344" s="229"/>
      <c r="R344" s="229"/>
      <c r="S344" s="229"/>
      <c r="T344" s="229"/>
      <c r="U344" s="229"/>
      <c r="V344" s="229"/>
      <c r="W344" s="229"/>
      <c r="X344" s="229"/>
      <c r="Y344" s="229"/>
      <c r="Z344" s="229"/>
      <c r="AA344" s="229"/>
      <c r="AB344" s="229"/>
      <c r="AC344" s="229"/>
    </row>
    <row r="345" spans="1:29" ht="12.75" customHeight="1">
      <c r="A345" s="229"/>
      <c r="B345" s="228"/>
      <c r="C345" s="228"/>
      <c r="D345" s="228"/>
      <c r="E345" s="228"/>
      <c r="F345" s="228"/>
      <c r="G345" s="228"/>
      <c r="H345" s="228"/>
      <c r="I345" s="228"/>
      <c r="J345" s="228"/>
      <c r="K345" s="228"/>
      <c r="L345" s="229"/>
      <c r="M345" s="229"/>
      <c r="N345" s="229"/>
      <c r="O345" s="229"/>
      <c r="P345" s="229"/>
      <c r="Q345" s="229"/>
      <c r="R345" s="229"/>
      <c r="S345" s="229"/>
      <c r="T345" s="229"/>
      <c r="U345" s="229"/>
      <c r="V345" s="229"/>
      <c r="W345" s="229"/>
      <c r="X345" s="229"/>
      <c r="Y345" s="229"/>
      <c r="Z345" s="229"/>
      <c r="AA345" s="229"/>
      <c r="AB345" s="229"/>
      <c r="AC345" s="229"/>
    </row>
    <row r="346" spans="1:29" ht="12.75" customHeight="1">
      <c r="A346" s="229"/>
      <c r="B346" s="228"/>
      <c r="C346" s="228"/>
      <c r="D346" s="228"/>
      <c r="E346" s="228"/>
      <c r="F346" s="228"/>
      <c r="G346" s="228"/>
      <c r="H346" s="228"/>
      <c r="I346" s="228"/>
      <c r="J346" s="228"/>
      <c r="K346" s="228"/>
      <c r="L346" s="229"/>
      <c r="M346" s="229"/>
      <c r="N346" s="229"/>
      <c r="O346" s="229"/>
      <c r="P346" s="229"/>
      <c r="Q346" s="229"/>
      <c r="R346" s="229"/>
      <c r="S346" s="229"/>
      <c r="T346" s="229"/>
      <c r="U346" s="229"/>
      <c r="V346" s="229"/>
      <c r="W346" s="229"/>
      <c r="X346" s="229"/>
      <c r="Y346" s="229"/>
      <c r="Z346" s="229"/>
      <c r="AA346" s="229"/>
      <c r="AB346" s="229"/>
      <c r="AC346" s="229"/>
    </row>
    <row r="347" spans="1:29" ht="12.75" customHeight="1">
      <c r="A347" s="229"/>
      <c r="B347" s="228"/>
      <c r="C347" s="228"/>
      <c r="D347" s="228"/>
      <c r="E347" s="228"/>
      <c r="F347" s="228"/>
      <c r="G347" s="228"/>
      <c r="H347" s="228"/>
      <c r="I347" s="228"/>
      <c r="J347" s="228"/>
      <c r="K347" s="228"/>
      <c r="L347" s="229"/>
      <c r="M347" s="229"/>
      <c r="N347" s="229"/>
      <c r="O347" s="229"/>
      <c r="P347" s="229"/>
      <c r="Q347" s="229"/>
      <c r="R347" s="229"/>
      <c r="S347" s="229"/>
      <c r="T347" s="229"/>
      <c r="U347" s="229"/>
      <c r="V347" s="229"/>
      <c r="W347" s="229"/>
      <c r="X347" s="229"/>
      <c r="Y347" s="229"/>
      <c r="Z347" s="229"/>
      <c r="AA347" s="229"/>
      <c r="AB347" s="229"/>
      <c r="AC347" s="229"/>
    </row>
    <row r="348" spans="1:29" ht="12.75" customHeight="1">
      <c r="A348" s="229"/>
      <c r="B348" s="228"/>
      <c r="C348" s="228"/>
      <c r="D348" s="228"/>
      <c r="E348" s="228"/>
      <c r="F348" s="228"/>
      <c r="G348" s="228"/>
      <c r="H348" s="228"/>
      <c r="I348" s="228"/>
      <c r="J348" s="228"/>
      <c r="K348" s="228"/>
      <c r="L348" s="229"/>
      <c r="M348" s="229"/>
      <c r="N348" s="229"/>
      <c r="O348" s="229"/>
      <c r="P348" s="229"/>
      <c r="Q348" s="229"/>
      <c r="R348" s="229"/>
      <c r="S348" s="229"/>
      <c r="T348" s="229"/>
      <c r="U348" s="229"/>
      <c r="V348" s="229"/>
      <c r="W348" s="229"/>
      <c r="X348" s="229"/>
      <c r="Y348" s="229"/>
      <c r="Z348" s="229"/>
      <c r="AA348" s="229"/>
      <c r="AB348" s="229"/>
      <c r="AC348" s="229"/>
    </row>
    <row r="349" spans="1:29" ht="12.75" customHeight="1">
      <c r="A349" s="229"/>
      <c r="B349" s="228"/>
      <c r="C349" s="228"/>
      <c r="D349" s="228"/>
      <c r="E349" s="228"/>
      <c r="F349" s="228"/>
      <c r="G349" s="228"/>
      <c r="H349" s="228"/>
      <c r="I349" s="228"/>
      <c r="J349" s="228"/>
      <c r="K349" s="228"/>
      <c r="L349" s="229"/>
      <c r="M349" s="229"/>
      <c r="N349" s="229"/>
      <c r="O349" s="229"/>
      <c r="P349" s="229"/>
      <c r="Q349" s="229"/>
      <c r="R349" s="229"/>
      <c r="S349" s="229"/>
      <c r="T349" s="229"/>
      <c r="U349" s="229"/>
      <c r="V349" s="229"/>
      <c r="W349" s="229"/>
      <c r="X349" s="229"/>
      <c r="Y349" s="229"/>
      <c r="Z349" s="229"/>
      <c r="AA349" s="229"/>
      <c r="AB349" s="229"/>
      <c r="AC349" s="229"/>
    </row>
    <row r="350" spans="1:29" ht="12.75" customHeight="1">
      <c r="A350" s="229"/>
      <c r="B350" s="228"/>
      <c r="C350" s="228"/>
      <c r="D350" s="228"/>
      <c r="E350" s="228"/>
      <c r="F350" s="228"/>
      <c r="G350" s="228"/>
      <c r="H350" s="228"/>
      <c r="I350" s="228"/>
      <c r="J350" s="228"/>
      <c r="K350" s="228"/>
      <c r="L350" s="229"/>
      <c r="M350" s="229"/>
      <c r="N350" s="229"/>
      <c r="O350" s="229"/>
      <c r="P350" s="229"/>
      <c r="Q350" s="229"/>
      <c r="R350" s="229"/>
      <c r="S350" s="229"/>
      <c r="T350" s="229"/>
      <c r="U350" s="229"/>
      <c r="V350" s="229"/>
      <c r="W350" s="229"/>
      <c r="X350" s="229"/>
      <c r="Y350" s="229"/>
      <c r="Z350" s="229"/>
      <c r="AA350" s="229"/>
      <c r="AB350" s="229"/>
      <c r="AC350" s="229"/>
    </row>
    <row r="351" spans="1:29" ht="12.75" customHeight="1">
      <c r="A351" s="229"/>
      <c r="B351" s="228"/>
      <c r="C351" s="228"/>
      <c r="D351" s="228"/>
      <c r="E351" s="228"/>
      <c r="F351" s="228"/>
      <c r="G351" s="228"/>
      <c r="H351" s="228"/>
      <c r="I351" s="228"/>
      <c r="J351" s="228"/>
      <c r="K351" s="228"/>
      <c r="L351" s="229"/>
      <c r="M351" s="229"/>
      <c r="N351" s="229"/>
      <c r="O351" s="229"/>
      <c r="P351" s="229"/>
      <c r="Q351" s="229"/>
      <c r="R351" s="229"/>
      <c r="S351" s="229"/>
      <c r="T351" s="229"/>
      <c r="U351" s="229"/>
      <c r="V351" s="229"/>
      <c r="W351" s="229"/>
      <c r="X351" s="229"/>
      <c r="Y351" s="229"/>
      <c r="Z351" s="229"/>
      <c r="AA351" s="229"/>
      <c r="AB351" s="229"/>
      <c r="AC351" s="229"/>
    </row>
    <row r="352" spans="1:29" ht="12.75" customHeight="1">
      <c r="A352" s="229"/>
      <c r="B352" s="228"/>
      <c r="C352" s="228"/>
      <c r="D352" s="228"/>
      <c r="E352" s="228"/>
      <c r="F352" s="228"/>
      <c r="G352" s="228"/>
      <c r="H352" s="228"/>
      <c r="I352" s="228"/>
      <c r="J352" s="228"/>
      <c r="K352" s="228"/>
      <c r="L352" s="229"/>
      <c r="M352" s="229"/>
      <c r="N352" s="229"/>
      <c r="O352" s="229"/>
      <c r="P352" s="229"/>
      <c r="Q352" s="229"/>
      <c r="R352" s="229"/>
      <c r="S352" s="229"/>
      <c r="T352" s="229"/>
      <c r="U352" s="229"/>
      <c r="V352" s="229"/>
      <c r="W352" s="229"/>
      <c r="X352" s="229"/>
      <c r="Y352" s="229"/>
      <c r="Z352" s="229"/>
      <c r="AA352" s="229"/>
      <c r="AB352" s="229"/>
      <c r="AC352" s="229"/>
    </row>
    <row r="353" spans="1:29" ht="12.75" customHeight="1">
      <c r="A353" s="229"/>
      <c r="B353" s="228"/>
      <c r="C353" s="228"/>
      <c r="D353" s="228"/>
      <c r="E353" s="228"/>
      <c r="F353" s="228"/>
      <c r="G353" s="228"/>
      <c r="H353" s="228"/>
      <c r="I353" s="228"/>
      <c r="J353" s="228"/>
      <c r="K353" s="228"/>
      <c r="L353" s="229"/>
      <c r="M353" s="229"/>
      <c r="N353" s="229"/>
      <c r="O353" s="229"/>
      <c r="P353" s="229"/>
      <c r="Q353" s="229"/>
      <c r="R353" s="229"/>
      <c r="S353" s="229"/>
      <c r="T353" s="229"/>
      <c r="U353" s="229"/>
      <c r="V353" s="229"/>
      <c r="W353" s="229"/>
      <c r="X353" s="229"/>
      <c r="Y353" s="229"/>
      <c r="Z353" s="229"/>
      <c r="AA353" s="229"/>
      <c r="AB353" s="229"/>
      <c r="AC353" s="229"/>
    </row>
    <row r="354" spans="1:29" ht="12.75" customHeight="1">
      <c r="A354" s="229"/>
      <c r="B354" s="228"/>
      <c r="C354" s="228"/>
      <c r="D354" s="228"/>
      <c r="E354" s="228"/>
      <c r="F354" s="228"/>
      <c r="G354" s="228"/>
      <c r="H354" s="228"/>
      <c r="I354" s="228"/>
      <c r="J354" s="228"/>
      <c r="K354" s="228"/>
      <c r="L354" s="229"/>
      <c r="M354" s="229"/>
      <c r="N354" s="229"/>
      <c r="O354" s="229"/>
      <c r="P354" s="229"/>
      <c r="Q354" s="229"/>
      <c r="R354" s="229"/>
      <c r="S354" s="229"/>
      <c r="T354" s="229"/>
      <c r="U354" s="229"/>
      <c r="V354" s="229"/>
      <c r="W354" s="229"/>
      <c r="X354" s="229"/>
      <c r="Y354" s="229"/>
      <c r="Z354" s="229"/>
      <c r="AA354" s="229"/>
      <c r="AB354" s="229"/>
      <c r="AC354" s="229"/>
    </row>
    <row r="355" spans="1:29" ht="12.75" customHeight="1">
      <c r="A355" s="229"/>
      <c r="B355" s="228"/>
      <c r="C355" s="228"/>
      <c r="D355" s="228"/>
      <c r="E355" s="228"/>
      <c r="F355" s="228"/>
      <c r="G355" s="228"/>
      <c r="H355" s="228"/>
      <c r="I355" s="228"/>
      <c r="J355" s="228"/>
      <c r="K355" s="228"/>
      <c r="L355" s="229"/>
      <c r="M355" s="229"/>
      <c r="N355" s="229"/>
      <c r="O355" s="229"/>
      <c r="P355" s="229"/>
      <c r="Q355" s="229"/>
      <c r="R355" s="229"/>
      <c r="S355" s="229"/>
      <c r="T355" s="229"/>
      <c r="U355" s="229"/>
      <c r="V355" s="229"/>
      <c r="W355" s="229"/>
      <c r="X355" s="229"/>
      <c r="Y355" s="229"/>
      <c r="Z355" s="229"/>
      <c r="AA355" s="229"/>
      <c r="AB355" s="229"/>
      <c r="AC355" s="229"/>
    </row>
    <row r="356" spans="1:29" ht="12.75" customHeight="1">
      <c r="A356" s="229"/>
      <c r="B356" s="228"/>
      <c r="C356" s="228"/>
      <c r="D356" s="228"/>
      <c r="E356" s="228"/>
      <c r="F356" s="228"/>
      <c r="G356" s="228"/>
      <c r="H356" s="228"/>
      <c r="I356" s="228"/>
      <c r="J356" s="228"/>
      <c r="K356" s="228"/>
      <c r="L356" s="229"/>
      <c r="M356" s="229"/>
      <c r="N356" s="229"/>
      <c r="O356" s="229"/>
      <c r="P356" s="229"/>
      <c r="Q356" s="229"/>
      <c r="R356" s="229"/>
      <c r="S356" s="229"/>
      <c r="T356" s="229"/>
      <c r="U356" s="229"/>
      <c r="V356" s="229"/>
      <c r="W356" s="229"/>
      <c r="X356" s="229"/>
      <c r="Y356" s="229"/>
      <c r="Z356" s="229"/>
      <c r="AA356" s="229"/>
      <c r="AB356" s="229"/>
      <c r="AC356" s="229"/>
    </row>
    <row r="357" spans="1:29" ht="12.75" customHeight="1">
      <c r="A357" s="229"/>
      <c r="B357" s="228"/>
      <c r="C357" s="228"/>
      <c r="D357" s="228"/>
      <c r="E357" s="228"/>
      <c r="F357" s="228"/>
      <c r="G357" s="228"/>
      <c r="H357" s="228"/>
      <c r="I357" s="228"/>
      <c r="J357" s="228"/>
      <c r="K357" s="228"/>
      <c r="L357" s="229"/>
      <c r="M357" s="229"/>
      <c r="N357" s="229"/>
      <c r="O357" s="229"/>
      <c r="P357" s="229"/>
      <c r="Q357" s="229"/>
      <c r="R357" s="229"/>
      <c r="S357" s="229"/>
      <c r="T357" s="229"/>
      <c r="U357" s="229"/>
      <c r="V357" s="229"/>
      <c r="W357" s="229"/>
      <c r="X357" s="229"/>
      <c r="Y357" s="229"/>
      <c r="Z357" s="229"/>
      <c r="AA357" s="229"/>
      <c r="AB357" s="229"/>
      <c r="AC357" s="229"/>
    </row>
    <row r="358" spans="1:29" ht="12.75" customHeight="1">
      <c r="A358" s="229"/>
      <c r="B358" s="228"/>
      <c r="C358" s="228"/>
      <c r="D358" s="228"/>
      <c r="E358" s="228"/>
      <c r="F358" s="228"/>
      <c r="G358" s="228"/>
      <c r="H358" s="228"/>
      <c r="I358" s="228"/>
      <c r="J358" s="228"/>
      <c r="K358" s="228"/>
      <c r="L358" s="229"/>
      <c r="M358" s="229"/>
      <c r="N358" s="229"/>
      <c r="O358" s="229"/>
      <c r="P358" s="229"/>
      <c r="Q358" s="229"/>
      <c r="R358" s="229"/>
      <c r="S358" s="229"/>
      <c r="T358" s="229"/>
      <c r="U358" s="229"/>
      <c r="V358" s="229"/>
      <c r="W358" s="229"/>
      <c r="X358" s="229"/>
      <c r="Y358" s="229"/>
      <c r="Z358" s="229"/>
      <c r="AA358" s="229"/>
      <c r="AB358" s="229"/>
      <c r="AC358" s="229"/>
    </row>
    <row r="359" spans="1:29" ht="12.75" customHeight="1">
      <c r="A359" s="229"/>
      <c r="B359" s="228"/>
      <c r="C359" s="228"/>
      <c r="D359" s="228"/>
      <c r="E359" s="228"/>
      <c r="F359" s="228"/>
      <c r="G359" s="228"/>
      <c r="H359" s="228"/>
      <c r="I359" s="228"/>
      <c r="J359" s="228"/>
      <c r="K359" s="228"/>
      <c r="L359" s="229"/>
      <c r="M359" s="229"/>
      <c r="N359" s="229"/>
      <c r="O359" s="229"/>
      <c r="P359" s="229"/>
      <c r="Q359" s="229"/>
      <c r="R359" s="229"/>
      <c r="S359" s="229"/>
      <c r="T359" s="229"/>
      <c r="U359" s="229"/>
      <c r="V359" s="229"/>
      <c r="W359" s="229"/>
      <c r="X359" s="229"/>
      <c r="Y359" s="229"/>
      <c r="Z359" s="229"/>
      <c r="AA359" s="229"/>
      <c r="AB359" s="229"/>
      <c r="AC359" s="229"/>
    </row>
    <row r="360" spans="1:29" ht="12.75" customHeight="1">
      <c r="A360" s="229"/>
      <c r="B360" s="228"/>
      <c r="C360" s="228"/>
      <c r="D360" s="228"/>
      <c r="E360" s="228"/>
      <c r="F360" s="228"/>
      <c r="G360" s="228"/>
      <c r="H360" s="228"/>
      <c r="I360" s="228"/>
      <c r="J360" s="228"/>
      <c r="K360" s="228"/>
      <c r="L360" s="229"/>
      <c r="M360" s="229"/>
      <c r="N360" s="229"/>
      <c r="O360" s="229"/>
      <c r="P360" s="229"/>
      <c r="Q360" s="229"/>
      <c r="R360" s="229"/>
      <c r="S360" s="229"/>
      <c r="T360" s="229"/>
      <c r="U360" s="229"/>
      <c r="V360" s="229"/>
      <c r="W360" s="229"/>
      <c r="X360" s="229"/>
      <c r="Y360" s="229"/>
      <c r="Z360" s="229"/>
      <c r="AA360" s="229"/>
      <c r="AB360" s="229"/>
      <c r="AC360" s="229"/>
    </row>
    <row r="361" spans="1:29" ht="12.75" customHeight="1">
      <c r="A361" s="229"/>
      <c r="B361" s="228"/>
      <c r="C361" s="228"/>
      <c r="D361" s="228"/>
      <c r="E361" s="228"/>
      <c r="F361" s="228"/>
      <c r="G361" s="228"/>
      <c r="H361" s="228"/>
      <c r="I361" s="228"/>
      <c r="J361" s="228"/>
      <c r="K361" s="228"/>
      <c r="L361" s="229"/>
      <c r="M361" s="229"/>
      <c r="N361" s="229"/>
      <c r="O361" s="229"/>
      <c r="P361" s="229"/>
      <c r="Q361" s="229"/>
      <c r="R361" s="229"/>
      <c r="S361" s="229"/>
      <c r="T361" s="229"/>
      <c r="U361" s="229"/>
      <c r="V361" s="229"/>
      <c r="W361" s="229"/>
      <c r="X361" s="229"/>
      <c r="Y361" s="229"/>
      <c r="Z361" s="229"/>
      <c r="AA361" s="229"/>
      <c r="AB361" s="229"/>
      <c r="AC361" s="229"/>
    </row>
    <row r="362" spans="1:29" ht="12.75" customHeight="1">
      <c r="A362" s="229"/>
      <c r="B362" s="228"/>
      <c r="C362" s="228"/>
      <c r="D362" s="228"/>
      <c r="E362" s="228"/>
      <c r="F362" s="228"/>
      <c r="G362" s="228"/>
      <c r="H362" s="228"/>
      <c r="I362" s="228"/>
      <c r="J362" s="228"/>
      <c r="K362" s="228"/>
      <c r="L362" s="229"/>
      <c r="M362" s="229"/>
      <c r="N362" s="229"/>
      <c r="O362" s="229"/>
      <c r="P362" s="229"/>
      <c r="Q362" s="229"/>
      <c r="R362" s="229"/>
      <c r="S362" s="229"/>
      <c r="T362" s="229"/>
      <c r="U362" s="229"/>
      <c r="V362" s="229"/>
      <c r="W362" s="229"/>
      <c r="X362" s="229"/>
      <c r="Y362" s="229"/>
      <c r="Z362" s="229"/>
      <c r="AA362" s="229"/>
      <c r="AB362" s="229"/>
      <c r="AC362" s="229"/>
    </row>
    <row r="363" spans="1:29" ht="12.75" customHeight="1">
      <c r="A363" s="229"/>
      <c r="B363" s="228"/>
      <c r="C363" s="228"/>
      <c r="D363" s="228"/>
      <c r="E363" s="228"/>
      <c r="F363" s="228"/>
      <c r="G363" s="228"/>
      <c r="H363" s="228"/>
      <c r="I363" s="228"/>
      <c r="J363" s="228"/>
      <c r="K363" s="228"/>
      <c r="L363" s="229"/>
      <c r="M363" s="229"/>
      <c r="N363" s="229"/>
      <c r="O363" s="229"/>
      <c r="P363" s="229"/>
      <c r="Q363" s="229"/>
      <c r="R363" s="229"/>
      <c r="S363" s="229"/>
      <c r="T363" s="229"/>
      <c r="U363" s="229"/>
      <c r="V363" s="229"/>
      <c r="W363" s="229"/>
      <c r="X363" s="229"/>
      <c r="Y363" s="229"/>
      <c r="Z363" s="229"/>
      <c r="AA363" s="229"/>
      <c r="AB363" s="229"/>
      <c r="AC363" s="229"/>
    </row>
    <row r="364" spans="1:29" ht="12.75" customHeight="1">
      <c r="A364" s="229"/>
      <c r="B364" s="228"/>
      <c r="C364" s="228"/>
      <c r="D364" s="228"/>
      <c r="E364" s="228"/>
      <c r="F364" s="228"/>
      <c r="G364" s="228"/>
      <c r="H364" s="228"/>
      <c r="I364" s="228"/>
      <c r="J364" s="228"/>
      <c r="K364" s="228"/>
      <c r="L364" s="229"/>
      <c r="M364" s="229"/>
      <c r="N364" s="229"/>
      <c r="O364" s="229"/>
      <c r="P364" s="229"/>
      <c r="Q364" s="229"/>
      <c r="R364" s="229"/>
      <c r="S364" s="229"/>
      <c r="T364" s="229"/>
      <c r="U364" s="229"/>
      <c r="V364" s="229"/>
      <c r="W364" s="229"/>
      <c r="X364" s="229"/>
      <c r="Y364" s="229"/>
      <c r="Z364" s="229"/>
      <c r="AA364" s="229"/>
      <c r="AB364" s="229"/>
      <c r="AC364" s="229"/>
    </row>
    <row r="365" spans="1:29" ht="12.75" customHeight="1">
      <c r="A365" s="229"/>
      <c r="B365" s="228"/>
      <c r="C365" s="228"/>
      <c r="D365" s="228"/>
      <c r="E365" s="228"/>
      <c r="F365" s="228"/>
      <c r="G365" s="228"/>
      <c r="H365" s="228"/>
      <c r="I365" s="228"/>
      <c r="J365" s="228"/>
      <c r="K365" s="228"/>
      <c r="L365" s="229"/>
      <c r="M365" s="229"/>
      <c r="N365" s="229"/>
      <c r="O365" s="229"/>
      <c r="P365" s="229"/>
      <c r="Q365" s="229"/>
      <c r="R365" s="229"/>
      <c r="S365" s="229"/>
      <c r="T365" s="229"/>
      <c r="U365" s="229"/>
      <c r="V365" s="229"/>
      <c r="W365" s="229"/>
      <c r="X365" s="229"/>
      <c r="Y365" s="229"/>
      <c r="Z365" s="229"/>
      <c r="AA365" s="229"/>
      <c r="AB365" s="229"/>
      <c r="AC365" s="229"/>
    </row>
    <row r="366" spans="1:29" ht="12.75" customHeight="1">
      <c r="A366" s="229"/>
      <c r="B366" s="228"/>
      <c r="C366" s="228"/>
      <c r="D366" s="228"/>
      <c r="E366" s="228"/>
      <c r="F366" s="228"/>
      <c r="G366" s="228"/>
      <c r="H366" s="228"/>
      <c r="I366" s="228"/>
      <c r="J366" s="228"/>
      <c r="K366" s="228"/>
      <c r="L366" s="229"/>
      <c r="M366" s="229"/>
      <c r="N366" s="229"/>
      <c r="O366" s="229"/>
      <c r="P366" s="229"/>
      <c r="Q366" s="229"/>
      <c r="R366" s="229"/>
      <c r="S366" s="229"/>
      <c r="T366" s="229"/>
      <c r="U366" s="229"/>
      <c r="V366" s="229"/>
      <c r="W366" s="229"/>
      <c r="X366" s="229"/>
      <c r="Y366" s="229"/>
      <c r="Z366" s="229"/>
      <c r="AA366" s="229"/>
      <c r="AB366" s="229"/>
      <c r="AC366" s="229"/>
    </row>
    <row r="367" spans="1:29" ht="12.75" customHeight="1">
      <c r="A367" s="229"/>
      <c r="B367" s="228"/>
      <c r="C367" s="228"/>
      <c r="D367" s="228"/>
      <c r="E367" s="228"/>
      <c r="F367" s="228"/>
      <c r="G367" s="228"/>
      <c r="H367" s="228"/>
      <c r="I367" s="228"/>
      <c r="J367" s="228"/>
      <c r="K367" s="228"/>
      <c r="L367" s="229"/>
      <c r="M367" s="229"/>
      <c r="N367" s="229"/>
      <c r="O367" s="229"/>
      <c r="P367" s="229"/>
      <c r="Q367" s="229"/>
      <c r="R367" s="229"/>
      <c r="S367" s="229"/>
      <c r="T367" s="229"/>
      <c r="U367" s="229"/>
      <c r="V367" s="229"/>
      <c r="W367" s="229"/>
      <c r="X367" s="229"/>
      <c r="Y367" s="229"/>
      <c r="Z367" s="229"/>
      <c r="AA367" s="229"/>
      <c r="AB367" s="229"/>
      <c r="AC367" s="229"/>
    </row>
    <row r="368" spans="1:29" ht="12.75" customHeight="1">
      <c r="A368" s="229"/>
      <c r="B368" s="228"/>
      <c r="C368" s="228"/>
      <c r="D368" s="228"/>
      <c r="E368" s="228"/>
      <c r="F368" s="228"/>
      <c r="G368" s="228"/>
      <c r="H368" s="228"/>
      <c r="I368" s="228"/>
      <c r="J368" s="228"/>
      <c r="K368" s="228"/>
      <c r="L368" s="229"/>
      <c r="M368" s="229"/>
      <c r="N368" s="229"/>
      <c r="O368" s="229"/>
      <c r="P368" s="229"/>
      <c r="Q368" s="229"/>
      <c r="R368" s="229"/>
      <c r="S368" s="229"/>
      <c r="T368" s="229"/>
      <c r="U368" s="229"/>
      <c r="V368" s="229"/>
      <c r="W368" s="229"/>
      <c r="X368" s="229"/>
      <c r="Y368" s="229"/>
      <c r="Z368" s="229"/>
      <c r="AA368" s="229"/>
      <c r="AB368" s="229"/>
      <c r="AC368" s="229"/>
    </row>
    <row r="369" spans="1:29" ht="12.75" customHeight="1">
      <c r="A369" s="229"/>
      <c r="B369" s="228"/>
      <c r="C369" s="228"/>
      <c r="D369" s="228"/>
      <c r="E369" s="228"/>
      <c r="F369" s="228"/>
      <c r="G369" s="228"/>
      <c r="H369" s="228"/>
      <c r="I369" s="228"/>
      <c r="J369" s="228"/>
      <c r="K369" s="228"/>
      <c r="L369" s="229"/>
      <c r="M369" s="229"/>
      <c r="N369" s="229"/>
      <c r="O369" s="229"/>
      <c r="P369" s="229"/>
      <c r="Q369" s="229"/>
      <c r="R369" s="229"/>
      <c r="S369" s="229"/>
      <c r="T369" s="229"/>
      <c r="U369" s="229"/>
      <c r="V369" s="229"/>
      <c r="W369" s="229"/>
      <c r="X369" s="229"/>
      <c r="Y369" s="229"/>
      <c r="Z369" s="229"/>
      <c r="AA369" s="229"/>
      <c r="AB369" s="229"/>
      <c r="AC369" s="229"/>
    </row>
    <row r="370" spans="1:29" ht="12.75" customHeight="1">
      <c r="A370" s="229"/>
      <c r="B370" s="228"/>
      <c r="C370" s="228"/>
      <c r="D370" s="228"/>
      <c r="E370" s="228"/>
      <c r="F370" s="228"/>
      <c r="G370" s="228"/>
      <c r="H370" s="228"/>
      <c r="I370" s="228"/>
      <c r="J370" s="228"/>
      <c r="K370" s="228"/>
      <c r="L370" s="229"/>
      <c r="M370" s="229"/>
      <c r="N370" s="229"/>
      <c r="O370" s="229"/>
      <c r="P370" s="229"/>
      <c r="Q370" s="229"/>
      <c r="R370" s="229"/>
      <c r="S370" s="229"/>
      <c r="T370" s="229"/>
      <c r="U370" s="229"/>
      <c r="V370" s="229"/>
      <c r="W370" s="229"/>
      <c r="X370" s="229"/>
      <c r="Y370" s="229"/>
      <c r="Z370" s="229"/>
      <c r="AA370" s="229"/>
      <c r="AB370" s="229"/>
      <c r="AC370" s="229"/>
    </row>
    <row r="371" spans="1:29" ht="12.75" customHeight="1">
      <c r="A371" s="229"/>
      <c r="B371" s="228"/>
      <c r="C371" s="228"/>
      <c r="D371" s="228"/>
      <c r="E371" s="228"/>
      <c r="F371" s="228"/>
      <c r="G371" s="228"/>
      <c r="H371" s="228"/>
      <c r="I371" s="228"/>
      <c r="J371" s="228"/>
      <c r="K371" s="228"/>
      <c r="L371" s="229"/>
      <c r="M371" s="229"/>
      <c r="N371" s="229"/>
      <c r="O371" s="229"/>
      <c r="P371" s="229"/>
      <c r="Q371" s="229"/>
      <c r="R371" s="229"/>
      <c r="S371" s="229"/>
      <c r="T371" s="229"/>
      <c r="U371" s="229"/>
      <c r="V371" s="229"/>
      <c r="W371" s="229"/>
      <c r="X371" s="229"/>
      <c r="Y371" s="229"/>
      <c r="Z371" s="229"/>
      <c r="AA371" s="229"/>
      <c r="AB371" s="229"/>
      <c r="AC371" s="229"/>
    </row>
    <row r="372" spans="1:29" ht="12.75" customHeight="1">
      <c r="A372" s="229"/>
      <c r="B372" s="228"/>
      <c r="C372" s="228"/>
      <c r="D372" s="228"/>
      <c r="E372" s="228"/>
      <c r="F372" s="228"/>
      <c r="G372" s="228"/>
      <c r="H372" s="228"/>
      <c r="I372" s="228"/>
      <c r="J372" s="228"/>
      <c r="K372" s="228"/>
      <c r="L372" s="229"/>
      <c r="M372" s="229"/>
      <c r="N372" s="229"/>
      <c r="O372" s="229"/>
      <c r="P372" s="229"/>
      <c r="Q372" s="229"/>
      <c r="R372" s="229"/>
      <c r="S372" s="229"/>
      <c r="T372" s="229"/>
      <c r="U372" s="229"/>
      <c r="V372" s="229"/>
      <c r="W372" s="229"/>
      <c r="X372" s="229"/>
      <c r="Y372" s="229"/>
      <c r="Z372" s="229"/>
      <c r="AA372" s="229"/>
      <c r="AB372" s="229"/>
      <c r="AC372" s="229"/>
    </row>
    <row r="373" spans="1:29" ht="12.75" customHeight="1">
      <c r="A373" s="229"/>
      <c r="B373" s="228"/>
      <c r="C373" s="228"/>
      <c r="D373" s="228"/>
      <c r="E373" s="228"/>
      <c r="F373" s="228"/>
      <c r="G373" s="228"/>
      <c r="H373" s="228"/>
      <c r="I373" s="228"/>
      <c r="J373" s="228"/>
      <c r="K373" s="228"/>
      <c r="L373" s="229"/>
      <c r="M373" s="229"/>
      <c r="N373" s="229"/>
      <c r="O373" s="229"/>
      <c r="P373" s="229"/>
      <c r="Q373" s="229"/>
      <c r="R373" s="229"/>
      <c r="S373" s="229"/>
      <c r="T373" s="229"/>
      <c r="U373" s="229"/>
      <c r="V373" s="229"/>
      <c r="W373" s="229"/>
      <c r="X373" s="229"/>
      <c r="Y373" s="229"/>
      <c r="Z373" s="229"/>
      <c r="AA373" s="229"/>
      <c r="AB373" s="229"/>
      <c r="AC373" s="229"/>
    </row>
    <row r="374" spans="1:29" ht="12.75" customHeight="1">
      <c r="A374" s="229"/>
      <c r="B374" s="228"/>
      <c r="C374" s="228"/>
      <c r="D374" s="228"/>
      <c r="E374" s="228"/>
      <c r="F374" s="228"/>
      <c r="G374" s="228"/>
      <c r="H374" s="228"/>
      <c r="I374" s="228"/>
      <c r="J374" s="228"/>
      <c r="K374" s="228"/>
      <c r="L374" s="229"/>
      <c r="M374" s="229"/>
      <c r="N374" s="229"/>
      <c r="O374" s="229"/>
      <c r="P374" s="229"/>
      <c r="Q374" s="229"/>
      <c r="R374" s="229"/>
      <c r="S374" s="229"/>
      <c r="T374" s="229"/>
      <c r="U374" s="229"/>
      <c r="V374" s="229"/>
      <c r="W374" s="229"/>
      <c r="X374" s="229"/>
      <c r="Y374" s="229"/>
      <c r="Z374" s="229"/>
      <c r="AA374" s="229"/>
      <c r="AB374" s="229"/>
      <c r="AC374" s="229"/>
    </row>
    <row r="375" spans="1:29" ht="12.75" customHeight="1">
      <c r="A375" s="229"/>
      <c r="B375" s="228"/>
      <c r="C375" s="228"/>
      <c r="D375" s="228"/>
      <c r="E375" s="228"/>
      <c r="F375" s="228"/>
      <c r="G375" s="228"/>
      <c r="H375" s="228"/>
      <c r="I375" s="228"/>
      <c r="J375" s="228"/>
      <c r="K375" s="228"/>
      <c r="L375" s="229"/>
      <c r="M375" s="229"/>
      <c r="N375" s="229"/>
      <c r="O375" s="229"/>
      <c r="P375" s="229"/>
      <c r="Q375" s="229"/>
      <c r="R375" s="229"/>
      <c r="S375" s="229"/>
      <c r="T375" s="229"/>
      <c r="U375" s="229"/>
      <c r="V375" s="229"/>
      <c r="W375" s="229"/>
      <c r="X375" s="229"/>
      <c r="Y375" s="229"/>
      <c r="Z375" s="229"/>
      <c r="AA375" s="229"/>
      <c r="AB375" s="229"/>
      <c r="AC375" s="229"/>
    </row>
    <row r="376" spans="1:29" ht="12.75" customHeight="1">
      <c r="A376" s="229"/>
      <c r="B376" s="228"/>
      <c r="C376" s="228"/>
      <c r="D376" s="228"/>
      <c r="E376" s="228"/>
      <c r="F376" s="228"/>
      <c r="G376" s="228"/>
      <c r="H376" s="228"/>
      <c r="I376" s="228"/>
      <c r="J376" s="228"/>
      <c r="K376" s="228"/>
      <c r="L376" s="229"/>
      <c r="M376" s="229"/>
      <c r="N376" s="229"/>
      <c r="O376" s="229"/>
      <c r="P376" s="229"/>
      <c r="Q376" s="229"/>
      <c r="R376" s="229"/>
      <c r="S376" s="229"/>
      <c r="T376" s="229"/>
      <c r="U376" s="229"/>
      <c r="V376" s="229"/>
      <c r="W376" s="229"/>
      <c r="X376" s="229"/>
      <c r="Y376" s="229"/>
      <c r="Z376" s="229"/>
      <c r="AA376" s="229"/>
      <c r="AB376" s="229"/>
      <c r="AC376" s="229"/>
    </row>
    <row r="377" spans="1:29" ht="12.75" customHeight="1">
      <c r="A377" s="229"/>
      <c r="B377" s="228"/>
      <c r="C377" s="228"/>
      <c r="D377" s="228"/>
      <c r="E377" s="228"/>
      <c r="F377" s="228"/>
      <c r="G377" s="228"/>
      <c r="H377" s="228"/>
      <c r="I377" s="228"/>
      <c r="J377" s="228"/>
      <c r="K377" s="228"/>
      <c r="L377" s="229"/>
      <c r="M377" s="229"/>
      <c r="N377" s="229"/>
      <c r="O377" s="229"/>
      <c r="P377" s="229"/>
      <c r="Q377" s="229"/>
      <c r="R377" s="229"/>
      <c r="S377" s="229"/>
      <c r="T377" s="229"/>
      <c r="U377" s="229"/>
      <c r="V377" s="229"/>
      <c r="W377" s="229"/>
      <c r="X377" s="229"/>
      <c r="Y377" s="229"/>
      <c r="Z377" s="229"/>
      <c r="AA377" s="229"/>
      <c r="AB377" s="229"/>
      <c r="AC377" s="229"/>
    </row>
    <row r="378" spans="1:29" ht="12.75" customHeight="1">
      <c r="A378" s="229"/>
      <c r="B378" s="228"/>
      <c r="C378" s="228"/>
      <c r="D378" s="228"/>
      <c r="E378" s="228"/>
      <c r="F378" s="228"/>
      <c r="G378" s="228"/>
      <c r="H378" s="228"/>
      <c r="I378" s="228"/>
      <c r="J378" s="228"/>
      <c r="K378" s="228"/>
      <c r="L378" s="229"/>
      <c r="M378" s="229"/>
      <c r="N378" s="229"/>
      <c r="O378" s="229"/>
      <c r="P378" s="229"/>
      <c r="Q378" s="229"/>
      <c r="R378" s="229"/>
      <c r="S378" s="229"/>
      <c r="T378" s="229"/>
      <c r="U378" s="229"/>
      <c r="V378" s="229"/>
      <c r="W378" s="229"/>
      <c r="X378" s="229"/>
      <c r="Y378" s="229"/>
      <c r="Z378" s="229"/>
      <c r="AA378" s="229"/>
      <c r="AB378" s="229"/>
      <c r="AC378" s="229"/>
    </row>
    <row r="379" spans="1:29" ht="12.75" customHeight="1">
      <c r="A379" s="229"/>
      <c r="B379" s="228"/>
      <c r="C379" s="228"/>
      <c r="D379" s="228"/>
      <c r="E379" s="228"/>
      <c r="F379" s="228"/>
      <c r="G379" s="228"/>
      <c r="H379" s="228"/>
      <c r="I379" s="228"/>
      <c r="J379" s="228"/>
      <c r="K379" s="228"/>
      <c r="L379" s="229"/>
      <c r="M379" s="229"/>
      <c r="N379" s="229"/>
      <c r="O379" s="229"/>
      <c r="P379" s="229"/>
      <c r="Q379" s="229"/>
      <c r="R379" s="229"/>
      <c r="S379" s="229"/>
      <c r="T379" s="229"/>
      <c r="U379" s="229"/>
      <c r="V379" s="229"/>
      <c r="W379" s="229"/>
      <c r="X379" s="229"/>
      <c r="Y379" s="229"/>
      <c r="Z379" s="229"/>
      <c r="AA379" s="229"/>
      <c r="AB379" s="229"/>
      <c r="AC379" s="229"/>
    </row>
    <row r="380" spans="1:29" ht="12.75" customHeight="1">
      <c r="A380" s="229"/>
      <c r="B380" s="228"/>
      <c r="C380" s="228"/>
      <c r="D380" s="228"/>
      <c r="E380" s="228"/>
      <c r="F380" s="228"/>
      <c r="G380" s="228"/>
      <c r="H380" s="228"/>
      <c r="I380" s="228"/>
      <c r="J380" s="228"/>
      <c r="K380" s="228"/>
      <c r="L380" s="229"/>
      <c r="M380" s="229"/>
      <c r="N380" s="229"/>
      <c r="O380" s="229"/>
      <c r="P380" s="229"/>
      <c r="Q380" s="229"/>
      <c r="R380" s="229"/>
      <c r="S380" s="229"/>
      <c r="T380" s="229"/>
      <c r="U380" s="229"/>
      <c r="V380" s="229"/>
      <c r="W380" s="229"/>
      <c r="X380" s="229"/>
      <c r="Y380" s="229"/>
      <c r="Z380" s="229"/>
      <c r="AA380" s="229"/>
      <c r="AB380" s="229"/>
      <c r="AC380" s="229"/>
    </row>
    <row r="381" spans="1:29" ht="12.75" customHeight="1">
      <c r="A381" s="229"/>
      <c r="B381" s="228"/>
      <c r="C381" s="228"/>
      <c r="D381" s="228"/>
      <c r="E381" s="228"/>
      <c r="F381" s="228"/>
      <c r="G381" s="228"/>
      <c r="H381" s="228"/>
      <c r="I381" s="228"/>
      <c r="J381" s="228"/>
      <c r="K381" s="228"/>
      <c r="L381" s="229"/>
      <c r="M381" s="229"/>
      <c r="N381" s="229"/>
      <c r="O381" s="229"/>
      <c r="P381" s="229"/>
      <c r="Q381" s="229"/>
      <c r="R381" s="229"/>
      <c r="S381" s="229"/>
      <c r="T381" s="229"/>
      <c r="U381" s="229"/>
      <c r="V381" s="229"/>
      <c r="W381" s="229"/>
      <c r="X381" s="229"/>
      <c r="Y381" s="229"/>
      <c r="Z381" s="229"/>
      <c r="AA381" s="229"/>
      <c r="AB381" s="229"/>
      <c r="AC381" s="229"/>
    </row>
    <row r="382" spans="1:29" ht="12.75" customHeight="1">
      <c r="A382" s="229"/>
      <c r="B382" s="228"/>
      <c r="C382" s="228"/>
      <c r="D382" s="228"/>
      <c r="E382" s="228"/>
      <c r="F382" s="228"/>
      <c r="G382" s="228"/>
      <c r="H382" s="228"/>
      <c r="I382" s="228"/>
      <c r="J382" s="228"/>
      <c r="K382" s="228"/>
      <c r="L382" s="229"/>
      <c r="M382" s="229"/>
      <c r="N382" s="229"/>
      <c r="O382" s="229"/>
      <c r="P382" s="229"/>
      <c r="Q382" s="229"/>
      <c r="R382" s="229"/>
      <c r="S382" s="229"/>
      <c r="T382" s="229"/>
      <c r="U382" s="229"/>
      <c r="V382" s="229"/>
      <c r="W382" s="229"/>
      <c r="X382" s="229"/>
      <c r="Y382" s="229"/>
      <c r="Z382" s="229"/>
      <c r="AA382" s="229"/>
      <c r="AB382" s="229"/>
      <c r="AC382" s="229"/>
    </row>
    <row r="383" spans="1:29" ht="12.75" customHeight="1">
      <c r="A383" s="229"/>
      <c r="B383" s="228"/>
      <c r="C383" s="228"/>
      <c r="D383" s="228"/>
      <c r="E383" s="228"/>
      <c r="F383" s="228"/>
      <c r="G383" s="228"/>
      <c r="H383" s="228"/>
      <c r="I383" s="228"/>
      <c r="J383" s="228"/>
      <c r="K383" s="228"/>
      <c r="L383" s="229"/>
      <c r="M383" s="229"/>
      <c r="N383" s="229"/>
      <c r="O383" s="229"/>
      <c r="P383" s="229"/>
      <c r="Q383" s="229"/>
      <c r="R383" s="229"/>
      <c r="S383" s="229"/>
      <c r="T383" s="229"/>
      <c r="U383" s="229"/>
      <c r="V383" s="229"/>
      <c r="W383" s="229"/>
      <c r="X383" s="229"/>
      <c r="Y383" s="229"/>
      <c r="Z383" s="229"/>
      <c r="AA383" s="229"/>
      <c r="AB383" s="229"/>
      <c r="AC383" s="229"/>
    </row>
    <row r="384" spans="1:29" ht="12.75" customHeight="1">
      <c r="A384" s="229"/>
      <c r="B384" s="228"/>
      <c r="C384" s="228"/>
      <c r="D384" s="228"/>
      <c r="E384" s="228"/>
      <c r="F384" s="228"/>
      <c r="G384" s="228"/>
      <c r="H384" s="228"/>
      <c r="I384" s="228"/>
      <c r="J384" s="228"/>
      <c r="K384" s="228"/>
      <c r="L384" s="229"/>
      <c r="M384" s="229"/>
      <c r="N384" s="229"/>
      <c r="O384" s="229"/>
      <c r="P384" s="229"/>
      <c r="Q384" s="229"/>
      <c r="R384" s="229"/>
      <c r="S384" s="229"/>
      <c r="T384" s="229"/>
      <c r="U384" s="229"/>
      <c r="V384" s="229"/>
      <c r="W384" s="229"/>
      <c r="X384" s="229"/>
      <c r="Y384" s="229"/>
      <c r="Z384" s="229"/>
      <c r="AA384" s="229"/>
      <c r="AB384" s="229"/>
      <c r="AC384" s="229"/>
    </row>
    <row r="385" spans="1:29" ht="12.75" customHeight="1">
      <c r="A385" s="229"/>
      <c r="B385" s="228"/>
      <c r="C385" s="228"/>
      <c r="D385" s="228"/>
      <c r="E385" s="228"/>
      <c r="F385" s="228"/>
      <c r="G385" s="228"/>
      <c r="H385" s="228"/>
      <c r="I385" s="228"/>
      <c r="J385" s="228"/>
      <c r="K385" s="228"/>
      <c r="L385" s="229"/>
      <c r="M385" s="229"/>
      <c r="N385" s="229"/>
      <c r="O385" s="229"/>
      <c r="P385" s="229"/>
      <c r="Q385" s="229"/>
      <c r="R385" s="229"/>
      <c r="S385" s="229"/>
      <c r="T385" s="229"/>
      <c r="U385" s="229"/>
      <c r="V385" s="229"/>
      <c r="W385" s="229"/>
      <c r="X385" s="229"/>
      <c r="Y385" s="229"/>
      <c r="Z385" s="229"/>
      <c r="AA385" s="229"/>
      <c r="AB385" s="229"/>
      <c r="AC385" s="229"/>
    </row>
    <row r="386" spans="1:29" ht="12.75" customHeight="1">
      <c r="A386" s="229"/>
      <c r="B386" s="228"/>
      <c r="C386" s="228"/>
      <c r="D386" s="228"/>
      <c r="E386" s="228"/>
      <c r="F386" s="228"/>
      <c r="G386" s="228"/>
      <c r="H386" s="228"/>
      <c r="I386" s="228"/>
      <c r="J386" s="228"/>
      <c r="K386" s="228"/>
      <c r="L386" s="229"/>
      <c r="M386" s="229"/>
      <c r="N386" s="229"/>
      <c r="O386" s="229"/>
      <c r="P386" s="229"/>
      <c r="Q386" s="229"/>
      <c r="R386" s="229"/>
      <c r="S386" s="229"/>
      <c r="T386" s="229"/>
      <c r="U386" s="229"/>
      <c r="V386" s="229"/>
      <c r="W386" s="229"/>
      <c r="X386" s="229"/>
      <c r="Y386" s="229"/>
      <c r="Z386" s="229"/>
      <c r="AA386" s="229"/>
      <c r="AB386" s="229"/>
      <c r="AC386" s="229"/>
    </row>
    <row r="387" spans="1:29" ht="12.75" customHeight="1">
      <c r="A387" s="229"/>
      <c r="B387" s="228"/>
      <c r="C387" s="228"/>
      <c r="D387" s="228"/>
      <c r="E387" s="228"/>
      <c r="F387" s="228"/>
      <c r="G387" s="228"/>
      <c r="H387" s="228"/>
      <c r="I387" s="228"/>
      <c r="J387" s="228"/>
      <c r="K387" s="228"/>
      <c r="L387" s="229"/>
      <c r="M387" s="229"/>
      <c r="N387" s="229"/>
      <c r="O387" s="229"/>
      <c r="P387" s="229"/>
      <c r="Q387" s="229"/>
      <c r="R387" s="229"/>
      <c r="S387" s="229"/>
      <c r="T387" s="229"/>
      <c r="U387" s="229"/>
      <c r="V387" s="229"/>
      <c r="W387" s="229"/>
      <c r="X387" s="229"/>
      <c r="Y387" s="229"/>
      <c r="Z387" s="229"/>
      <c r="AA387" s="229"/>
      <c r="AB387" s="229"/>
      <c r="AC387" s="229"/>
    </row>
    <row r="388" spans="1:29" ht="12.75" customHeight="1">
      <c r="A388" s="229"/>
      <c r="B388" s="228"/>
      <c r="C388" s="228"/>
      <c r="D388" s="228"/>
      <c r="E388" s="228"/>
      <c r="F388" s="228"/>
      <c r="G388" s="228"/>
      <c r="H388" s="228"/>
      <c r="I388" s="228"/>
      <c r="J388" s="228"/>
      <c r="K388" s="228"/>
      <c r="L388" s="229"/>
      <c r="M388" s="229"/>
      <c r="N388" s="229"/>
      <c r="O388" s="229"/>
      <c r="P388" s="229"/>
      <c r="Q388" s="229"/>
      <c r="R388" s="229"/>
      <c r="S388" s="229"/>
      <c r="T388" s="229"/>
      <c r="U388" s="229"/>
      <c r="V388" s="229"/>
      <c r="W388" s="229"/>
      <c r="X388" s="229"/>
      <c r="Y388" s="229"/>
      <c r="Z388" s="229"/>
      <c r="AA388" s="229"/>
      <c r="AB388" s="229"/>
      <c r="AC388" s="229"/>
    </row>
    <row r="389" spans="1:29" ht="12.75" customHeight="1">
      <c r="A389" s="229"/>
      <c r="B389" s="228"/>
      <c r="C389" s="228"/>
      <c r="D389" s="228"/>
      <c r="E389" s="228"/>
      <c r="F389" s="228"/>
      <c r="G389" s="228"/>
      <c r="H389" s="228"/>
      <c r="I389" s="228"/>
      <c r="J389" s="228"/>
      <c r="K389" s="228"/>
      <c r="L389" s="229"/>
      <c r="M389" s="229"/>
      <c r="N389" s="229"/>
      <c r="O389" s="229"/>
      <c r="P389" s="229"/>
      <c r="Q389" s="229"/>
      <c r="R389" s="229"/>
      <c r="S389" s="229"/>
      <c r="T389" s="229"/>
      <c r="U389" s="229"/>
      <c r="V389" s="229"/>
      <c r="W389" s="229"/>
      <c r="X389" s="229"/>
      <c r="Y389" s="229"/>
      <c r="Z389" s="229"/>
      <c r="AA389" s="229"/>
      <c r="AB389" s="229"/>
      <c r="AC389" s="229"/>
    </row>
    <row r="390" spans="1:29" ht="12.75" customHeight="1">
      <c r="A390" s="229"/>
      <c r="B390" s="228"/>
      <c r="C390" s="228"/>
      <c r="D390" s="228"/>
      <c r="E390" s="228"/>
      <c r="F390" s="228"/>
      <c r="G390" s="228"/>
      <c r="H390" s="228"/>
      <c r="I390" s="228"/>
      <c r="J390" s="228"/>
      <c r="K390" s="228"/>
      <c r="L390" s="229"/>
      <c r="M390" s="229"/>
      <c r="N390" s="229"/>
      <c r="O390" s="229"/>
      <c r="P390" s="229"/>
      <c r="Q390" s="229"/>
      <c r="R390" s="229"/>
      <c r="S390" s="229"/>
      <c r="T390" s="229"/>
      <c r="U390" s="229"/>
      <c r="V390" s="229"/>
      <c r="W390" s="229"/>
      <c r="X390" s="229"/>
      <c r="Y390" s="229"/>
      <c r="Z390" s="229"/>
      <c r="AA390" s="229"/>
      <c r="AB390" s="229"/>
      <c r="AC390" s="229"/>
    </row>
    <row r="391" spans="1:29" ht="12.75" customHeight="1">
      <c r="A391" s="229"/>
      <c r="B391" s="228"/>
      <c r="C391" s="228"/>
      <c r="D391" s="228"/>
      <c r="E391" s="228"/>
      <c r="F391" s="228"/>
      <c r="G391" s="228"/>
      <c r="H391" s="228"/>
      <c r="I391" s="228"/>
      <c r="J391" s="228"/>
      <c r="K391" s="228"/>
      <c r="L391" s="229"/>
      <c r="M391" s="229"/>
      <c r="N391" s="229"/>
      <c r="O391" s="229"/>
      <c r="P391" s="229"/>
      <c r="Q391" s="229"/>
      <c r="R391" s="229"/>
      <c r="S391" s="229"/>
      <c r="T391" s="229"/>
      <c r="U391" s="229"/>
      <c r="V391" s="229"/>
      <c r="W391" s="229"/>
      <c r="X391" s="229"/>
      <c r="Y391" s="229"/>
      <c r="Z391" s="229"/>
      <c r="AA391" s="229"/>
      <c r="AB391" s="229"/>
      <c r="AC391" s="229"/>
    </row>
    <row r="392" spans="1:29" ht="12.75" customHeight="1">
      <c r="A392" s="229"/>
      <c r="B392" s="228"/>
      <c r="C392" s="228"/>
      <c r="D392" s="228"/>
      <c r="E392" s="228"/>
      <c r="F392" s="228"/>
      <c r="G392" s="228"/>
      <c r="H392" s="228"/>
      <c r="I392" s="228"/>
      <c r="J392" s="228"/>
      <c r="K392" s="228"/>
      <c r="L392" s="229"/>
      <c r="M392" s="229"/>
      <c r="N392" s="229"/>
      <c r="O392" s="229"/>
      <c r="P392" s="229"/>
      <c r="Q392" s="229"/>
      <c r="R392" s="229"/>
      <c r="S392" s="229"/>
      <c r="T392" s="229"/>
      <c r="U392" s="229"/>
      <c r="V392" s="229"/>
      <c r="W392" s="229"/>
      <c r="X392" s="229"/>
      <c r="Y392" s="229"/>
      <c r="Z392" s="229"/>
      <c r="AA392" s="229"/>
      <c r="AB392" s="229"/>
      <c r="AC392" s="229"/>
    </row>
    <row r="393" spans="1:29" ht="12.75" customHeight="1">
      <c r="A393" s="229"/>
      <c r="B393" s="228"/>
      <c r="C393" s="228"/>
      <c r="D393" s="228"/>
      <c r="E393" s="228"/>
      <c r="F393" s="228"/>
      <c r="G393" s="228"/>
      <c r="H393" s="228"/>
      <c r="I393" s="228"/>
      <c r="J393" s="228"/>
      <c r="K393" s="228"/>
      <c r="L393" s="229"/>
      <c r="M393" s="229"/>
      <c r="N393" s="229"/>
      <c r="O393" s="229"/>
      <c r="P393" s="229"/>
      <c r="Q393" s="229"/>
      <c r="R393" s="229"/>
      <c r="S393" s="229"/>
      <c r="T393" s="229"/>
      <c r="U393" s="229"/>
      <c r="V393" s="229"/>
      <c r="W393" s="229"/>
      <c r="X393" s="229"/>
      <c r="Y393" s="229"/>
      <c r="Z393" s="229"/>
      <c r="AA393" s="229"/>
      <c r="AB393" s="229"/>
      <c r="AC393" s="229"/>
    </row>
    <row r="394" spans="1:29" ht="12.75" customHeight="1">
      <c r="A394" s="229"/>
      <c r="B394" s="228"/>
      <c r="C394" s="228"/>
      <c r="D394" s="228"/>
      <c r="E394" s="228"/>
      <c r="F394" s="228"/>
      <c r="G394" s="228"/>
      <c r="H394" s="228"/>
      <c r="I394" s="228"/>
      <c r="J394" s="228"/>
      <c r="K394" s="228"/>
      <c r="L394" s="229"/>
      <c r="M394" s="229"/>
      <c r="N394" s="229"/>
      <c r="O394" s="229"/>
      <c r="P394" s="229"/>
      <c r="Q394" s="229"/>
      <c r="R394" s="229"/>
      <c r="S394" s="229"/>
      <c r="T394" s="229"/>
      <c r="U394" s="229"/>
      <c r="V394" s="229"/>
      <c r="W394" s="229"/>
      <c r="X394" s="229"/>
      <c r="Y394" s="229"/>
      <c r="Z394" s="229"/>
      <c r="AA394" s="229"/>
      <c r="AB394" s="229"/>
      <c r="AC394" s="229"/>
    </row>
    <row r="395" spans="1:29" ht="12.75" customHeight="1">
      <c r="A395" s="229"/>
      <c r="B395" s="228"/>
      <c r="C395" s="228"/>
      <c r="D395" s="228"/>
      <c r="E395" s="228"/>
      <c r="F395" s="228"/>
      <c r="G395" s="228"/>
      <c r="H395" s="228"/>
      <c r="I395" s="228"/>
      <c r="J395" s="228"/>
      <c r="K395" s="228"/>
      <c r="L395" s="229"/>
      <c r="M395" s="229"/>
      <c r="N395" s="229"/>
      <c r="O395" s="229"/>
      <c r="P395" s="229"/>
      <c r="Q395" s="229"/>
      <c r="R395" s="229"/>
      <c r="S395" s="229"/>
      <c r="T395" s="229"/>
      <c r="U395" s="229"/>
      <c r="V395" s="229"/>
      <c r="W395" s="229"/>
      <c r="X395" s="229"/>
      <c r="Y395" s="229"/>
      <c r="Z395" s="229"/>
      <c r="AA395" s="229"/>
      <c r="AB395" s="229"/>
      <c r="AC395" s="229"/>
    </row>
    <row r="396" spans="1:29" ht="12.75" customHeight="1">
      <c r="A396" s="229"/>
      <c r="B396" s="228"/>
      <c r="C396" s="228"/>
      <c r="D396" s="228"/>
      <c r="E396" s="228"/>
      <c r="F396" s="228"/>
      <c r="G396" s="228"/>
      <c r="H396" s="228"/>
      <c r="I396" s="228"/>
      <c r="J396" s="228"/>
      <c r="K396" s="228"/>
      <c r="L396" s="229"/>
      <c r="M396" s="229"/>
      <c r="N396" s="229"/>
      <c r="O396" s="229"/>
      <c r="P396" s="229"/>
      <c r="Q396" s="229"/>
      <c r="R396" s="229"/>
      <c r="S396" s="229"/>
      <c r="T396" s="229"/>
      <c r="U396" s="229"/>
      <c r="V396" s="229"/>
      <c r="W396" s="229"/>
      <c r="X396" s="229"/>
      <c r="Y396" s="229"/>
      <c r="Z396" s="229"/>
      <c r="AA396" s="229"/>
      <c r="AB396" s="229"/>
      <c r="AC396" s="229"/>
    </row>
    <row r="397" spans="1:29" ht="12.75" customHeight="1">
      <c r="A397" s="229"/>
      <c r="B397" s="228"/>
      <c r="C397" s="228"/>
      <c r="D397" s="228"/>
      <c r="E397" s="228"/>
      <c r="F397" s="228"/>
      <c r="G397" s="228"/>
      <c r="H397" s="228"/>
      <c r="I397" s="228"/>
      <c r="J397" s="228"/>
      <c r="K397" s="228"/>
      <c r="L397" s="229"/>
      <c r="M397" s="229"/>
      <c r="N397" s="229"/>
      <c r="O397" s="229"/>
      <c r="P397" s="229"/>
      <c r="Q397" s="229"/>
      <c r="R397" s="229"/>
      <c r="S397" s="229"/>
      <c r="T397" s="229"/>
      <c r="U397" s="229"/>
      <c r="V397" s="229"/>
      <c r="W397" s="229"/>
      <c r="X397" s="229"/>
      <c r="Y397" s="229"/>
      <c r="Z397" s="229"/>
      <c r="AA397" s="229"/>
      <c r="AB397" s="229"/>
      <c r="AC397" s="229"/>
    </row>
    <row r="398" spans="1:29" ht="12.75" customHeight="1">
      <c r="A398" s="229"/>
      <c r="B398" s="228"/>
      <c r="C398" s="228"/>
      <c r="D398" s="228"/>
      <c r="E398" s="228"/>
      <c r="F398" s="228"/>
      <c r="G398" s="228"/>
      <c r="H398" s="228"/>
      <c r="I398" s="228"/>
      <c r="J398" s="228"/>
      <c r="K398" s="228"/>
      <c r="L398" s="229"/>
      <c r="M398" s="229"/>
      <c r="N398" s="229"/>
      <c r="O398" s="229"/>
      <c r="P398" s="229"/>
      <c r="Q398" s="229"/>
      <c r="R398" s="229"/>
      <c r="S398" s="229"/>
      <c r="T398" s="229"/>
      <c r="U398" s="229"/>
      <c r="V398" s="229"/>
      <c r="W398" s="229"/>
      <c r="X398" s="229"/>
      <c r="Y398" s="229"/>
      <c r="Z398" s="229"/>
      <c r="AA398" s="229"/>
      <c r="AB398" s="229"/>
      <c r="AC398" s="229"/>
    </row>
    <row r="399" spans="1:29" ht="12.75" customHeight="1">
      <c r="A399" s="229"/>
      <c r="B399" s="228"/>
      <c r="C399" s="228"/>
      <c r="D399" s="228"/>
      <c r="E399" s="228"/>
      <c r="F399" s="228"/>
      <c r="G399" s="228"/>
      <c r="H399" s="228"/>
      <c r="I399" s="228"/>
      <c r="J399" s="228"/>
      <c r="K399" s="228"/>
      <c r="L399" s="229"/>
      <c r="M399" s="229"/>
      <c r="N399" s="229"/>
      <c r="O399" s="229"/>
      <c r="P399" s="229"/>
      <c r="Q399" s="229"/>
      <c r="R399" s="229"/>
      <c r="S399" s="229"/>
      <c r="T399" s="229"/>
      <c r="U399" s="229"/>
      <c r="V399" s="229"/>
      <c r="W399" s="229"/>
      <c r="X399" s="229"/>
      <c r="Y399" s="229"/>
      <c r="Z399" s="229"/>
      <c r="AA399" s="229"/>
      <c r="AB399" s="229"/>
      <c r="AC399" s="229"/>
    </row>
    <row r="400" spans="1:29" ht="12.75" customHeight="1">
      <c r="A400" s="229"/>
      <c r="B400" s="228"/>
      <c r="C400" s="228"/>
      <c r="D400" s="228"/>
      <c r="E400" s="228"/>
      <c r="F400" s="228"/>
      <c r="G400" s="228"/>
      <c r="H400" s="228"/>
      <c r="I400" s="228"/>
      <c r="J400" s="228"/>
      <c r="K400" s="228"/>
      <c r="L400" s="229"/>
      <c r="M400" s="229"/>
      <c r="N400" s="229"/>
      <c r="O400" s="229"/>
      <c r="P400" s="229"/>
      <c r="Q400" s="229"/>
      <c r="R400" s="229"/>
      <c r="S400" s="229"/>
      <c r="T400" s="229"/>
      <c r="U400" s="229"/>
      <c r="V400" s="229"/>
      <c r="W400" s="229"/>
      <c r="X400" s="229"/>
      <c r="Y400" s="229"/>
      <c r="Z400" s="229"/>
      <c r="AA400" s="229"/>
      <c r="AB400" s="229"/>
      <c r="AC400" s="229"/>
    </row>
    <row r="401" spans="1:29" ht="12.75" customHeight="1">
      <c r="A401" s="229"/>
      <c r="B401" s="228"/>
      <c r="C401" s="228"/>
      <c r="D401" s="228"/>
      <c r="E401" s="228"/>
      <c r="F401" s="228"/>
      <c r="G401" s="228"/>
      <c r="H401" s="228"/>
      <c r="I401" s="228"/>
      <c r="J401" s="228"/>
      <c r="K401" s="228"/>
      <c r="L401" s="229"/>
      <c r="M401" s="229"/>
      <c r="N401" s="229"/>
      <c r="O401" s="229"/>
      <c r="P401" s="229"/>
      <c r="Q401" s="229"/>
      <c r="R401" s="229"/>
      <c r="S401" s="229"/>
      <c r="T401" s="229"/>
      <c r="U401" s="229"/>
      <c r="V401" s="229"/>
      <c r="W401" s="229"/>
      <c r="X401" s="229"/>
      <c r="Y401" s="229"/>
      <c r="Z401" s="229"/>
      <c r="AA401" s="229"/>
      <c r="AB401" s="229"/>
      <c r="AC401" s="229"/>
    </row>
    <row r="402" spans="1:29" ht="12.75" customHeight="1">
      <c r="A402" s="229"/>
      <c r="B402" s="228"/>
      <c r="C402" s="228"/>
      <c r="D402" s="228"/>
      <c r="E402" s="228"/>
      <c r="F402" s="228"/>
      <c r="G402" s="228"/>
      <c r="H402" s="228"/>
      <c r="I402" s="228"/>
      <c r="J402" s="228"/>
      <c r="K402" s="228"/>
      <c r="L402" s="229"/>
      <c r="M402" s="229"/>
      <c r="N402" s="229"/>
      <c r="O402" s="229"/>
      <c r="P402" s="229"/>
      <c r="Q402" s="229"/>
      <c r="R402" s="229"/>
      <c r="S402" s="229"/>
      <c r="T402" s="229"/>
      <c r="U402" s="229"/>
      <c r="V402" s="229"/>
      <c r="W402" s="229"/>
      <c r="X402" s="229"/>
      <c r="Y402" s="229"/>
      <c r="Z402" s="229"/>
      <c r="AA402" s="229"/>
      <c r="AB402" s="229"/>
      <c r="AC402" s="229"/>
    </row>
    <row r="403" spans="1:29" ht="12.75" customHeight="1">
      <c r="A403" s="229"/>
      <c r="B403" s="228"/>
      <c r="C403" s="228"/>
      <c r="D403" s="228"/>
      <c r="E403" s="228"/>
      <c r="F403" s="228"/>
      <c r="G403" s="228"/>
      <c r="H403" s="228"/>
      <c r="I403" s="228"/>
      <c r="J403" s="228"/>
      <c r="K403" s="228"/>
      <c r="L403" s="229"/>
      <c r="M403" s="229"/>
      <c r="N403" s="229"/>
      <c r="O403" s="229"/>
      <c r="P403" s="229"/>
      <c r="Q403" s="229"/>
      <c r="R403" s="229"/>
      <c r="S403" s="229"/>
      <c r="T403" s="229"/>
      <c r="U403" s="229"/>
      <c r="V403" s="229"/>
      <c r="W403" s="229"/>
      <c r="X403" s="229"/>
      <c r="Y403" s="229"/>
      <c r="Z403" s="229"/>
      <c r="AA403" s="229"/>
      <c r="AB403" s="229"/>
      <c r="AC403" s="229"/>
    </row>
    <row r="404" spans="1:29" ht="12.75" customHeight="1">
      <c r="A404" s="229"/>
      <c r="B404" s="228"/>
      <c r="C404" s="228"/>
      <c r="D404" s="228"/>
      <c r="E404" s="228"/>
      <c r="F404" s="228"/>
      <c r="G404" s="228"/>
      <c r="H404" s="228"/>
      <c r="I404" s="228"/>
      <c r="J404" s="228"/>
      <c r="K404" s="228"/>
      <c r="L404" s="229"/>
      <c r="M404" s="229"/>
      <c r="N404" s="229"/>
      <c r="O404" s="229"/>
      <c r="P404" s="229"/>
      <c r="Q404" s="229"/>
      <c r="R404" s="229"/>
      <c r="S404" s="229"/>
      <c r="T404" s="229"/>
      <c r="U404" s="229"/>
      <c r="V404" s="229"/>
      <c r="W404" s="229"/>
      <c r="X404" s="229"/>
      <c r="Y404" s="229"/>
      <c r="Z404" s="229"/>
      <c r="AA404" s="229"/>
      <c r="AB404" s="229"/>
      <c r="AC404" s="229"/>
    </row>
    <row r="405" spans="1:29" ht="12.75" customHeight="1">
      <c r="A405" s="229"/>
      <c r="B405" s="228"/>
      <c r="C405" s="228"/>
      <c r="D405" s="228"/>
      <c r="E405" s="228"/>
      <c r="F405" s="228"/>
      <c r="G405" s="228"/>
      <c r="H405" s="228"/>
      <c r="I405" s="228"/>
      <c r="J405" s="228"/>
      <c r="K405" s="228"/>
      <c r="L405" s="229"/>
      <c r="M405" s="229"/>
      <c r="N405" s="229"/>
      <c r="O405" s="229"/>
      <c r="P405" s="229"/>
      <c r="Q405" s="229"/>
      <c r="R405" s="229"/>
      <c r="S405" s="229"/>
      <c r="T405" s="229"/>
      <c r="U405" s="229"/>
      <c r="V405" s="229"/>
      <c r="W405" s="229"/>
      <c r="X405" s="229"/>
      <c r="Y405" s="229"/>
      <c r="Z405" s="229"/>
      <c r="AA405" s="229"/>
      <c r="AB405" s="229"/>
      <c r="AC405" s="229"/>
    </row>
    <row r="406" spans="1:29" ht="12.75" customHeight="1">
      <c r="A406" s="229"/>
      <c r="B406" s="228"/>
      <c r="C406" s="228"/>
      <c r="D406" s="228"/>
      <c r="E406" s="228"/>
      <c r="F406" s="228"/>
      <c r="G406" s="228"/>
      <c r="H406" s="228"/>
      <c r="I406" s="228"/>
      <c r="J406" s="228"/>
      <c r="K406" s="228"/>
      <c r="L406" s="229"/>
      <c r="M406" s="229"/>
      <c r="N406" s="229"/>
      <c r="O406" s="229"/>
      <c r="P406" s="229"/>
      <c r="Q406" s="229"/>
      <c r="R406" s="229"/>
      <c r="S406" s="229"/>
      <c r="T406" s="229"/>
      <c r="U406" s="229"/>
      <c r="V406" s="229"/>
      <c r="W406" s="229"/>
      <c r="X406" s="229"/>
      <c r="Y406" s="229"/>
      <c r="Z406" s="229"/>
      <c r="AA406" s="229"/>
      <c r="AB406" s="229"/>
      <c r="AC406" s="229"/>
    </row>
    <row r="407" spans="1:29" ht="12.75" customHeight="1">
      <c r="A407" s="229"/>
      <c r="B407" s="228"/>
      <c r="C407" s="228"/>
      <c r="D407" s="228"/>
      <c r="E407" s="228"/>
      <c r="F407" s="228"/>
      <c r="G407" s="228"/>
      <c r="H407" s="228"/>
      <c r="I407" s="228"/>
      <c r="J407" s="228"/>
      <c r="K407" s="228"/>
      <c r="L407" s="229"/>
      <c r="M407" s="229"/>
      <c r="N407" s="229"/>
      <c r="O407" s="229"/>
      <c r="P407" s="229"/>
      <c r="Q407" s="229"/>
      <c r="R407" s="229"/>
      <c r="S407" s="229"/>
      <c r="T407" s="229"/>
      <c r="U407" s="229"/>
      <c r="V407" s="229"/>
      <c r="W407" s="229"/>
      <c r="X407" s="229"/>
      <c r="Y407" s="229"/>
      <c r="Z407" s="229"/>
      <c r="AA407" s="229"/>
      <c r="AB407" s="229"/>
      <c r="AC407" s="229"/>
    </row>
    <row r="408" spans="1:29" ht="12.75" customHeight="1">
      <c r="A408" s="229"/>
      <c r="B408" s="228"/>
      <c r="C408" s="228"/>
      <c r="D408" s="228"/>
      <c r="E408" s="228"/>
      <c r="F408" s="228"/>
      <c r="G408" s="228"/>
      <c r="H408" s="228"/>
      <c r="I408" s="228"/>
      <c r="J408" s="228"/>
      <c r="K408" s="228"/>
      <c r="L408" s="229"/>
      <c r="M408" s="229"/>
      <c r="N408" s="229"/>
      <c r="O408" s="229"/>
      <c r="P408" s="229"/>
      <c r="Q408" s="229"/>
      <c r="R408" s="229"/>
      <c r="S408" s="229"/>
      <c r="T408" s="229"/>
      <c r="U408" s="229"/>
      <c r="V408" s="229"/>
      <c r="W408" s="229"/>
      <c r="X408" s="229"/>
      <c r="Y408" s="229"/>
      <c r="Z408" s="229"/>
      <c r="AA408" s="229"/>
      <c r="AB408" s="229"/>
      <c r="AC408" s="229"/>
    </row>
    <row r="409" spans="1:29" ht="12.75" customHeight="1">
      <c r="A409" s="229"/>
      <c r="B409" s="228"/>
      <c r="C409" s="228"/>
      <c r="D409" s="228"/>
      <c r="E409" s="228"/>
      <c r="F409" s="228"/>
      <c r="G409" s="228"/>
      <c r="H409" s="228"/>
      <c r="I409" s="228"/>
      <c r="J409" s="228"/>
      <c r="K409" s="228"/>
      <c r="L409" s="229"/>
      <c r="M409" s="229"/>
      <c r="N409" s="229"/>
      <c r="O409" s="229"/>
      <c r="P409" s="229"/>
      <c r="Q409" s="229"/>
      <c r="R409" s="229"/>
      <c r="S409" s="229"/>
      <c r="T409" s="229"/>
      <c r="U409" s="229"/>
      <c r="V409" s="229"/>
      <c r="W409" s="229"/>
      <c r="X409" s="229"/>
      <c r="Y409" s="229"/>
      <c r="Z409" s="229"/>
      <c r="AA409" s="229"/>
      <c r="AB409" s="229"/>
      <c r="AC409" s="229"/>
    </row>
    <row r="410" spans="1:29" ht="12.75" customHeight="1">
      <c r="A410" s="229"/>
      <c r="B410" s="228"/>
      <c r="C410" s="228"/>
      <c r="D410" s="228"/>
      <c r="E410" s="228"/>
      <c r="F410" s="228"/>
      <c r="G410" s="228"/>
      <c r="H410" s="228"/>
      <c r="I410" s="228"/>
      <c r="J410" s="228"/>
      <c r="K410" s="228"/>
      <c r="L410" s="229"/>
      <c r="M410" s="229"/>
      <c r="N410" s="229"/>
      <c r="O410" s="229"/>
      <c r="P410" s="229"/>
      <c r="Q410" s="229"/>
      <c r="R410" s="229"/>
      <c r="S410" s="229"/>
      <c r="T410" s="229"/>
      <c r="U410" s="229"/>
      <c r="V410" s="229"/>
      <c r="W410" s="229"/>
      <c r="X410" s="229"/>
      <c r="Y410" s="229"/>
      <c r="Z410" s="229"/>
      <c r="AA410" s="229"/>
      <c r="AB410" s="229"/>
      <c r="AC410" s="229"/>
    </row>
    <row r="411" spans="1:29" ht="12.75" customHeight="1">
      <c r="A411" s="229"/>
      <c r="B411" s="228"/>
      <c r="C411" s="228"/>
      <c r="D411" s="228"/>
      <c r="E411" s="228"/>
      <c r="F411" s="228"/>
      <c r="G411" s="228"/>
      <c r="H411" s="228"/>
      <c r="I411" s="228"/>
      <c r="J411" s="228"/>
      <c r="K411" s="228"/>
      <c r="L411" s="229"/>
      <c r="M411" s="229"/>
      <c r="N411" s="229"/>
      <c r="O411" s="229"/>
      <c r="P411" s="229"/>
      <c r="Q411" s="229"/>
      <c r="R411" s="229"/>
      <c r="S411" s="229"/>
      <c r="T411" s="229"/>
      <c r="U411" s="229"/>
      <c r="V411" s="229"/>
      <c r="W411" s="229"/>
      <c r="X411" s="229"/>
      <c r="Y411" s="229"/>
      <c r="Z411" s="229"/>
      <c r="AA411" s="229"/>
      <c r="AB411" s="229"/>
      <c r="AC411" s="229"/>
    </row>
    <row r="412" spans="1:29" ht="12.75" customHeight="1">
      <c r="A412" s="229"/>
      <c r="B412" s="228"/>
      <c r="C412" s="228"/>
      <c r="D412" s="228"/>
      <c r="E412" s="228"/>
      <c r="F412" s="228"/>
      <c r="G412" s="228"/>
      <c r="H412" s="228"/>
      <c r="I412" s="228"/>
      <c r="J412" s="228"/>
      <c r="K412" s="228"/>
      <c r="L412" s="229"/>
      <c r="M412" s="229"/>
      <c r="N412" s="229"/>
      <c r="O412" s="229"/>
      <c r="P412" s="229"/>
      <c r="Q412" s="229"/>
      <c r="R412" s="229"/>
      <c r="S412" s="229"/>
      <c r="T412" s="229"/>
      <c r="U412" s="229"/>
      <c r="V412" s="229"/>
      <c r="W412" s="229"/>
      <c r="X412" s="229"/>
      <c r="Y412" s="229"/>
      <c r="Z412" s="229"/>
      <c r="AA412" s="229"/>
      <c r="AB412" s="229"/>
      <c r="AC412" s="229"/>
    </row>
    <row r="413" spans="1:29" ht="12.75" customHeight="1">
      <c r="A413" s="229"/>
      <c r="B413" s="228"/>
      <c r="C413" s="228"/>
      <c r="D413" s="228"/>
      <c r="E413" s="228"/>
      <c r="F413" s="228"/>
      <c r="G413" s="228"/>
      <c r="H413" s="228"/>
      <c r="I413" s="228"/>
      <c r="J413" s="228"/>
      <c r="K413" s="228"/>
      <c r="L413" s="229"/>
      <c r="M413" s="229"/>
      <c r="N413" s="229"/>
      <c r="O413" s="229"/>
      <c r="P413" s="229"/>
      <c r="Q413" s="229"/>
      <c r="R413" s="229"/>
      <c r="S413" s="229"/>
      <c r="T413" s="229"/>
      <c r="U413" s="229"/>
      <c r="V413" s="229"/>
      <c r="W413" s="229"/>
      <c r="X413" s="229"/>
      <c r="Y413" s="229"/>
      <c r="Z413" s="229"/>
      <c r="AA413" s="229"/>
      <c r="AB413" s="229"/>
      <c r="AC413" s="229"/>
    </row>
    <row r="414" spans="1:29" ht="12.75" customHeight="1">
      <c r="A414" s="229"/>
      <c r="B414" s="228"/>
      <c r="C414" s="228"/>
      <c r="D414" s="228"/>
      <c r="E414" s="228"/>
      <c r="F414" s="228"/>
      <c r="G414" s="228"/>
      <c r="H414" s="228"/>
      <c r="I414" s="228"/>
      <c r="J414" s="228"/>
      <c r="K414" s="228"/>
      <c r="L414" s="229"/>
      <c r="M414" s="229"/>
      <c r="N414" s="229"/>
      <c r="O414" s="229"/>
      <c r="P414" s="229"/>
      <c r="Q414" s="229"/>
      <c r="R414" s="229"/>
      <c r="S414" s="229"/>
      <c r="T414" s="229"/>
      <c r="U414" s="229"/>
      <c r="V414" s="229"/>
      <c r="W414" s="229"/>
      <c r="X414" s="229"/>
      <c r="Y414" s="229"/>
      <c r="Z414" s="229"/>
      <c r="AA414" s="229"/>
      <c r="AB414" s="229"/>
      <c r="AC414" s="229"/>
    </row>
    <row r="415" spans="1:29" ht="12.75" customHeight="1">
      <c r="A415" s="229"/>
      <c r="B415" s="228"/>
      <c r="C415" s="228"/>
      <c r="D415" s="228"/>
      <c r="E415" s="228"/>
      <c r="F415" s="228"/>
      <c r="G415" s="228"/>
      <c r="H415" s="228"/>
      <c r="I415" s="228"/>
      <c r="J415" s="228"/>
      <c r="K415" s="228"/>
      <c r="L415" s="229"/>
      <c r="M415" s="229"/>
      <c r="N415" s="229"/>
      <c r="O415" s="229"/>
      <c r="P415" s="229"/>
      <c r="Q415" s="229"/>
      <c r="R415" s="229"/>
      <c r="S415" s="229"/>
      <c r="T415" s="229"/>
      <c r="U415" s="229"/>
      <c r="V415" s="229"/>
      <c r="W415" s="229"/>
      <c r="X415" s="229"/>
      <c r="Y415" s="229"/>
      <c r="Z415" s="229"/>
      <c r="AA415" s="229"/>
      <c r="AB415" s="229"/>
      <c r="AC415" s="229"/>
    </row>
    <row r="416" spans="1:29" ht="12.75" customHeight="1">
      <c r="A416" s="229"/>
      <c r="B416" s="228"/>
      <c r="C416" s="228"/>
      <c r="D416" s="228"/>
      <c r="E416" s="228"/>
      <c r="F416" s="228"/>
      <c r="G416" s="228"/>
      <c r="H416" s="228"/>
      <c r="I416" s="228"/>
      <c r="J416" s="228"/>
      <c r="K416" s="228"/>
      <c r="L416" s="229"/>
      <c r="M416" s="229"/>
      <c r="N416" s="229"/>
      <c r="O416" s="229"/>
      <c r="P416" s="229"/>
      <c r="Q416" s="229"/>
      <c r="R416" s="229"/>
      <c r="S416" s="229"/>
      <c r="T416" s="229"/>
      <c r="U416" s="229"/>
      <c r="V416" s="229"/>
      <c r="W416" s="229"/>
      <c r="X416" s="229"/>
      <c r="Y416" s="229"/>
      <c r="Z416" s="229"/>
      <c r="AA416" s="229"/>
      <c r="AB416" s="229"/>
      <c r="AC416" s="229"/>
    </row>
    <row r="417" spans="1:29" ht="12.75" customHeight="1">
      <c r="A417" s="229"/>
      <c r="B417" s="228"/>
      <c r="C417" s="228"/>
      <c r="D417" s="228"/>
      <c r="E417" s="228"/>
      <c r="F417" s="228"/>
      <c r="G417" s="228"/>
      <c r="H417" s="228"/>
      <c r="I417" s="228"/>
      <c r="J417" s="228"/>
      <c r="K417" s="228"/>
      <c r="L417" s="229"/>
      <c r="M417" s="229"/>
      <c r="N417" s="229"/>
      <c r="O417" s="229"/>
      <c r="P417" s="229"/>
      <c r="Q417" s="229"/>
      <c r="R417" s="229"/>
      <c r="S417" s="229"/>
      <c r="T417" s="229"/>
      <c r="U417" s="229"/>
      <c r="V417" s="229"/>
      <c r="W417" s="229"/>
      <c r="X417" s="229"/>
      <c r="Y417" s="229"/>
      <c r="Z417" s="229"/>
      <c r="AA417" s="229"/>
      <c r="AB417" s="229"/>
      <c r="AC417" s="229"/>
    </row>
    <row r="418" spans="1:29" ht="12.75" customHeight="1">
      <c r="A418" s="229"/>
      <c r="B418" s="228"/>
      <c r="C418" s="228"/>
      <c r="D418" s="228"/>
      <c r="E418" s="228"/>
      <c r="F418" s="228"/>
      <c r="G418" s="228"/>
      <c r="H418" s="228"/>
      <c r="I418" s="228"/>
      <c r="J418" s="228"/>
      <c r="K418" s="228"/>
      <c r="L418" s="229"/>
      <c r="M418" s="229"/>
      <c r="N418" s="229"/>
      <c r="O418" s="229"/>
      <c r="P418" s="229"/>
      <c r="Q418" s="229"/>
      <c r="R418" s="229"/>
      <c r="S418" s="229"/>
      <c r="T418" s="229"/>
      <c r="U418" s="229"/>
      <c r="V418" s="229"/>
      <c r="W418" s="229"/>
      <c r="X418" s="229"/>
      <c r="Y418" s="229"/>
      <c r="Z418" s="229"/>
      <c r="AA418" s="229"/>
      <c r="AB418" s="229"/>
      <c r="AC418" s="229"/>
    </row>
    <row r="419" spans="1:29" ht="12.75" customHeight="1">
      <c r="A419" s="229"/>
      <c r="B419" s="228"/>
      <c r="C419" s="228"/>
      <c r="D419" s="228"/>
      <c r="E419" s="228"/>
      <c r="F419" s="228"/>
      <c r="G419" s="228"/>
      <c r="H419" s="228"/>
      <c r="I419" s="228"/>
      <c r="J419" s="228"/>
      <c r="K419" s="228"/>
      <c r="L419" s="229"/>
      <c r="M419" s="229"/>
      <c r="N419" s="229"/>
      <c r="O419" s="229"/>
      <c r="P419" s="229"/>
      <c r="Q419" s="229"/>
      <c r="R419" s="229"/>
      <c r="S419" s="229"/>
      <c r="T419" s="229"/>
      <c r="U419" s="229"/>
      <c r="V419" s="229"/>
      <c r="W419" s="229"/>
      <c r="X419" s="229"/>
      <c r="Y419" s="229"/>
      <c r="Z419" s="229"/>
      <c r="AA419" s="229"/>
      <c r="AB419" s="229"/>
      <c r="AC419" s="229"/>
    </row>
    <row r="420" spans="1:29" ht="12.75" customHeight="1">
      <c r="A420" s="229"/>
      <c r="B420" s="228"/>
      <c r="C420" s="228"/>
      <c r="D420" s="228"/>
      <c r="E420" s="228"/>
      <c r="F420" s="228"/>
      <c r="G420" s="228"/>
      <c r="H420" s="228"/>
      <c r="I420" s="228"/>
      <c r="J420" s="228"/>
      <c r="K420" s="228"/>
      <c r="L420" s="229"/>
      <c r="M420" s="229"/>
      <c r="N420" s="229"/>
      <c r="O420" s="229"/>
      <c r="P420" s="229"/>
      <c r="Q420" s="229"/>
      <c r="R420" s="229"/>
      <c r="S420" s="229"/>
      <c r="T420" s="229"/>
      <c r="U420" s="229"/>
      <c r="V420" s="229"/>
      <c r="W420" s="229"/>
      <c r="X420" s="229"/>
      <c r="Y420" s="229"/>
      <c r="Z420" s="229"/>
      <c r="AA420" s="229"/>
      <c r="AB420" s="229"/>
      <c r="AC420" s="229"/>
    </row>
    <row r="421" spans="1:29" ht="12.75" customHeight="1">
      <c r="A421" s="229"/>
      <c r="B421" s="228"/>
      <c r="C421" s="228"/>
      <c r="D421" s="228"/>
      <c r="E421" s="228"/>
      <c r="F421" s="228"/>
      <c r="G421" s="228"/>
      <c r="H421" s="228"/>
      <c r="I421" s="228"/>
      <c r="J421" s="228"/>
      <c r="K421" s="228"/>
      <c r="L421" s="229"/>
      <c r="M421" s="229"/>
      <c r="N421" s="229"/>
      <c r="O421" s="229"/>
      <c r="P421" s="229"/>
      <c r="Q421" s="229"/>
      <c r="R421" s="229"/>
      <c r="S421" s="229"/>
      <c r="T421" s="229"/>
      <c r="U421" s="229"/>
      <c r="V421" s="229"/>
      <c r="W421" s="229"/>
      <c r="X421" s="229"/>
      <c r="Y421" s="229"/>
      <c r="Z421" s="229"/>
      <c r="AA421" s="229"/>
      <c r="AB421" s="229"/>
      <c r="AC421" s="229"/>
    </row>
    <row r="422" spans="1:29" ht="12.75" customHeight="1">
      <c r="A422" s="229"/>
      <c r="B422" s="228"/>
      <c r="C422" s="228"/>
      <c r="D422" s="228"/>
      <c r="E422" s="228"/>
      <c r="F422" s="228"/>
      <c r="G422" s="228"/>
      <c r="H422" s="228"/>
      <c r="I422" s="228"/>
      <c r="J422" s="228"/>
      <c r="K422" s="228"/>
      <c r="L422" s="229"/>
      <c r="M422" s="229"/>
      <c r="N422" s="229"/>
      <c r="O422" s="229"/>
      <c r="P422" s="229"/>
      <c r="Q422" s="229"/>
      <c r="R422" s="229"/>
      <c r="S422" s="229"/>
      <c r="T422" s="229"/>
      <c r="U422" s="229"/>
      <c r="V422" s="229"/>
      <c r="W422" s="229"/>
      <c r="X422" s="229"/>
      <c r="Y422" s="229"/>
      <c r="Z422" s="229"/>
      <c r="AA422" s="229"/>
      <c r="AB422" s="229"/>
      <c r="AC422" s="229"/>
    </row>
    <row r="423" spans="1:29" ht="12.75" customHeight="1">
      <c r="A423" s="229"/>
      <c r="B423" s="228"/>
      <c r="C423" s="228"/>
      <c r="D423" s="228"/>
      <c r="E423" s="228"/>
      <c r="F423" s="228"/>
      <c r="G423" s="228"/>
      <c r="H423" s="228"/>
      <c r="I423" s="228"/>
      <c r="J423" s="228"/>
      <c r="K423" s="228"/>
      <c r="L423" s="229"/>
      <c r="M423" s="229"/>
      <c r="N423" s="229"/>
      <c r="O423" s="229"/>
      <c r="P423" s="229"/>
      <c r="Q423" s="229"/>
      <c r="R423" s="229"/>
      <c r="S423" s="229"/>
      <c r="T423" s="229"/>
      <c r="U423" s="229"/>
      <c r="V423" s="229"/>
      <c r="W423" s="229"/>
      <c r="X423" s="229"/>
      <c r="Y423" s="229"/>
      <c r="Z423" s="229"/>
      <c r="AA423" s="229"/>
      <c r="AB423" s="229"/>
      <c r="AC423" s="229"/>
    </row>
    <row r="424" spans="1:29" ht="12.75" customHeight="1">
      <c r="A424" s="229"/>
      <c r="B424" s="228"/>
      <c r="C424" s="228"/>
      <c r="D424" s="228"/>
      <c r="E424" s="228"/>
      <c r="F424" s="228"/>
      <c r="G424" s="228"/>
      <c r="H424" s="228"/>
      <c r="I424" s="228"/>
      <c r="J424" s="228"/>
      <c r="K424" s="228"/>
      <c r="L424" s="229"/>
      <c r="M424" s="229"/>
      <c r="N424" s="229"/>
      <c r="O424" s="229"/>
      <c r="P424" s="229"/>
      <c r="Q424" s="229"/>
      <c r="R424" s="229"/>
      <c r="S424" s="229"/>
      <c r="T424" s="229"/>
      <c r="U424" s="229"/>
      <c r="V424" s="229"/>
      <c r="W424" s="229"/>
      <c r="X424" s="229"/>
      <c r="Y424" s="229"/>
      <c r="Z424" s="229"/>
      <c r="AA424" s="229"/>
      <c r="AB424" s="229"/>
      <c r="AC424" s="229"/>
    </row>
    <row r="425" spans="1:29" ht="12.75" customHeight="1">
      <c r="A425" s="229"/>
      <c r="B425" s="228"/>
      <c r="C425" s="228"/>
      <c r="D425" s="228"/>
      <c r="E425" s="228"/>
      <c r="F425" s="228"/>
      <c r="G425" s="228"/>
      <c r="H425" s="228"/>
      <c r="I425" s="228"/>
      <c r="J425" s="228"/>
      <c r="K425" s="228"/>
      <c r="L425" s="229"/>
      <c r="M425" s="229"/>
      <c r="N425" s="229"/>
      <c r="O425" s="229"/>
      <c r="P425" s="229"/>
      <c r="Q425" s="229"/>
      <c r="R425" s="229"/>
      <c r="S425" s="229"/>
      <c r="T425" s="229"/>
      <c r="U425" s="229"/>
      <c r="V425" s="229"/>
      <c r="W425" s="229"/>
      <c r="X425" s="229"/>
      <c r="Y425" s="229"/>
      <c r="Z425" s="229"/>
      <c r="AA425" s="229"/>
      <c r="AB425" s="229"/>
      <c r="AC425" s="229"/>
    </row>
    <row r="426" spans="1:29" ht="12.75" customHeight="1">
      <c r="A426" s="229"/>
      <c r="B426" s="228"/>
      <c r="C426" s="228"/>
      <c r="D426" s="228"/>
      <c r="E426" s="228"/>
      <c r="F426" s="228"/>
      <c r="G426" s="228"/>
      <c r="H426" s="228"/>
      <c r="I426" s="228"/>
      <c r="J426" s="228"/>
      <c r="K426" s="228"/>
      <c r="L426" s="229"/>
      <c r="M426" s="229"/>
      <c r="N426" s="229"/>
      <c r="O426" s="229"/>
      <c r="P426" s="229"/>
      <c r="Q426" s="229"/>
      <c r="R426" s="229"/>
      <c r="S426" s="229"/>
      <c r="T426" s="229"/>
      <c r="U426" s="229"/>
      <c r="V426" s="229"/>
      <c r="W426" s="229"/>
      <c r="X426" s="229"/>
      <c r="Y426" s="229"/>
      <c r="Z426" s="229"/>
      <c r="AA426" s="229"/>
      <c r="AB426" s="229"/>
      <c r="AC426" s="229"/>
    </row>
    <row r="427" spans="1:29" ht="12.75" customHeight="1">
      <c r="A427" s="229"/>
      <c r="B427" s="228"/>
      <c r="C427" s="228"/>
      <c r="D427" s="228"/>
      <c r="E427" s="228"/>
      <c r="F427" s="228"/>
      <c r="G427" s="228"/>
      <c r="H427" s="228"/>
      <c r="I427" s="228"/>
      <c r="J427" s="228"/>
      <c r="K427" s="228"/>
      <c r="L427" s="229"/>
      <c r="M427" s="229"/>
      <c r="N427" s="229"/>
      <c r="O427" s="229"/>
      <c r="P427" s="229"/>
      <c r="Q427" s="229"/>
      <c r="R427" s="229"/>
      <c r="S427" s="229"/>
      <c r="T427" s="229"/>
      <c r="U427" s="229"/>
      <c r="V427" s="229"/>
      <c r="W427" s="229"/>
      <c r="X427" s="229"/>
      <c r="Y427" s="229"/>
      <c r="Z427" s="229"/>
      <c r="AA427" s="229"/>
      <c r="AB427" s="229"/>
      <c r="AC427" s="229"/>
    </row>
    <row r="428" spans="1:29" ht="12.75" customHeight="1">
      <c r="A428" s="229"/>
      <c r="B428" s="228"/>
      <c r="C428" s="228"/>
      <c r="D428" s="228"/>
      <c r="E428" s="228"/>
      <c r="F428" s="228"/>
      <c r="G428" s="228"/>
      <c r="H428" s="228"/>
      <c r="I428" s="228"/>
      <c r="J428" s="228"/>
      <c r="K428" s="228"/>
      <c r="L428" s="229"/>
      <c r="M428" s="229"/>
      <c r="N428" s="229"/>
      <c r="O428" s="229"/>
      <c r="P428" s="229"/>
      <c r="Q428" s="229"/>
      <c r="R428" s="229"/>
      <c r="S428" s="229"/>
      <c r="T428" s="229"/>
      <c r="U428" s="229"/>
      <c r="V428" s="229"/>
      <c r="W428" s="229"/>
      <c r="X428" s="229"/>
      <c r="Y428" s="229"/>
      <c r="Z428" s="229"/>
      <c r="AA428" s="229"/>
      <c r="AB428" s="229"/>
      <c r="AC428" s="229"/>
    </row>
    <row r="429" spans="1:29" ht="12.75" customHeight="1">
      <c r="A429" s="229"/>
      <c r="B429" s="228"/>
      <c r="C429" s="228"/>
      <c r="D429" s="228"/>
      <c r="E429" s="228"/>
      <c r="F429" s="228"/>
      <c r="G429" s="228"/>
      <c r="H429" s="228"/>
      <c r="I429" s="228"/>
      <c r="J429" s="228"/>
      <c r="K429" s="228"/>
      <c r="L429" s="229"/>
      <c r="M429" s="229"/>
      <c r="N429" s="229"/>
      <c r="O429" s="229"/>
      <c r="P429" s="229"/>
      <c r="Q429" s="229"/>
      <c r="R429" s="229"/>
      <c r="S429" s="229"/>
      <c r="T429" s="229"/>
      <c r="U429" s="229"/>
      <c r="V429" s="229"/>
      <c r="W429" s="229"/>
      <c r="X429" s="229"/>
      <c r="Y429" s="229"/>
      <c r="Z429" s="229"/>
      <c r="AA429" s="229"/>
      <c r="AB429" s="229"/>
      <c r="AC429" s="229"/>
    </row>
    <row r="430" spans="1:29" ht="12.75" customHeight="1">
      <c r="A430" s="229"/>
      <c r="B430" s="228"/>
      <c r="C430" s="228"/>
      <c r="D430" s="228"/>
      <c r="E430" s="228"/>
      <c r="F430" s="228"/>
      <c r="G430" s="228"/>
      <c r="H430" s="228"/>
      <c r="I430" s="228"/>
      <c r="J430" s="228"/>
      <c r="K430" s="228"/>
      <c r="L430" s="229"/>
      <c r="M430" s="229"/>
      <c r="N430" s="229"/>
      <c r="O430" s="229"/>
      <c r="P430" s="229"/>
      <c r="Q430" s="229"/>
      <c r="R430" s="229"/>
      <c r="S430" s="229"/>
      <c r="T430" s="229"/>
      <c r="U430" s="229"/>
      <c r="V430" s="229"/>
      <c r="W430" s="229"/>
      <c r="X430" s="229"/>
      <c r="Y430" s="229"/>
      <c r="Z430" s="229"/>
      <c r="AA430" s="229"/>
      <c r="AB430" s="229"/>
      <c r="AC430" s="229"/>
    </row>
    <row r="431" spans="1:29" ht="12.75" customHeight="1">
      <c r="A431" s="229"/>
      <c r="B431" s="228"/>
      <c r="C431" s="228"/>
      <c r="D431" s="228"/>
      <c r="E431" s="228"/>
      <c r="F431" s="228"/>
      <c r="G431" s="228"/>
      <c r="H431" s="228"/>
      <c r="I431" s="228"/>
      <c r="J431" s="228"/>
      <c r="K431" s="228"/>
      <c r="L431" s="229"/>
      <c r="M431" s="229"/>
      <c r="N431" s="229"/>
      <c r="O431" s="229"/>
      <c r="P431" s="229"/>
      <c r="Q431" s="229"/>
      <c r="R431" s="229"/>
      <c r="S431" s="229"/>
      <c r="T431" s="229"/>
      <c r="U431" s="229"/>
      <c r="V431" s="229"/>
      <c r="W431" s="229"/>
      <c r="X431" s="229"/>
      <c r="Y431" s="229"/>
      <c r="Z431" s="229"/>
      <c r="AA431" s="229"/>
      <c r="AB431" s="229"/>
      <c r="AC431" s="229"/>
    </row>
    <row r="432" spans="1:29" ht="12.75" customHeight="1">
      <c r="A432" s="229"/>
      <c r="B432" s="228"/>
      <c r="C432" s="228"/>
      <c r="D432" s="228"/>
      <c r="E432" s="228"/>
      <c r="F432" s="228"/>
      <c r="G432" s="228"/>
      <c r="H432" s="228"/>
      <c r="I432" s="228"/>
      <c r="J432" s="228"/>
      <c r="K432" s="228"/>
      <c r="L432" s="229"/>
      <c r="M432" s="229"/>
      <c r="N432" s="229"/>
      <c r="O432" s="229"/>
      <c r="P432" s="229"/>
      <c r="Q432" s="229"/>
      <c r="R432" s="229"/>
      <c r="S432" s="229"/>
      <c r="T432" s="229"/>
      <c r="U432" s="229"/>
      <c r="V432" s="229"/>
      <c r="W432" s="229"/>
      <c r="X432" s="229"/>
      <c r="Y432" s="229"/>
      <c r="Z432" s="229"/>
      <c r="AA432" s="229"/>
      <c r="AB432" s="229"/>
      <c r="AC432" s="229"/>
    </row>
    <row r="433" spans="1:29" ht="12.75" customHeight="1">
      <c r="A433" s="229"/>
      <c r="B433" s="228"/>
      <c r="C433" s="228"/>
      <c r="D433" s="228"/>
      <c r="E433" s="228"/>
      <c r="F433" s="228"/>
      <c r="G433" s="228"/>
      <c r="H433" s="228"/>
      <c r="I433" s="228"/>
      <c r="J433" s="228"/>
      <c r="K433" s="228"/>
      <c r="L433" s="229"/>
      <c r="M433" s="229"/>
      <c r="N433" s="229"/>
      <c r="O433" s="229"/>
      <c r="P433" s="229"/>
      <c r="Q433" s="229"/>
      <c r="R433" s="229"/>
      <c r="S433" s="229"/>
      <c r="T433" s="229"/>
      <c r="U433" s="229"/>
      <c r="V433" s="229"/>
      <c r="W433" s="229"/>
      <c r="X433" s="229"/>
      <c r="Y433" s="229"/>
      <c r="Z433" s="229"/>
      <c r="AA433" s="229"/>
      <c r="AB433" s="229"/>
      <c r="AC433" s="229"/>
    </row>
    <row r="434" spans="1:29" ht="12.75" customHeight="1">
      <c r="A434" s="229"/>
      <c r="B434" s="228"/>
      <c r="C434" s="228"/>
      <c r="D434" s="228"/>
      <c r="E434" s="228"/>
      <c r="F434" s="228"/>
      <c r="G434" s="228"/>
      <c r="H434" s="228"/>
      <c r="I434" s="228"/>
      <c r="J434" s="228"/>
      <c r="K434" s="228"/>
      <c r="L434" s="229"/>
      <c r="M434" s="229"/>
      <c r="N434" s="229"/>
      <c r="O434" s="229"/>
      <c r="P434" s="229"/>
      <c r="Q434" s="229"/>
      <c r="R434" s="229"/>
      <c r="S434" s="229"/>
      <c r="T434" s="229"/>
      <c r="U434" s="229"/>
      <c r="V434" s="229"/>
      <c r="W434" s="229"/>
      <c r="X434" s="229"/>
      <c r="Y434" s="229"/>
      <c r="Z434" s="229"/>
      <c r="AA434" s="229"/>
      <c r="AB434" s="229"/>
      <c r="AC434" s="229"/>
    </row>
    <row r="435" spans="1:29" ht="12.75" customHeight="1">
      <c r="A435" s="229"/>
      <c r="B435" s="228"/>
      <c r="C435" s="228"/>
      <c r="D435" s="228"/>
      <c r="E435" s="228"/>
      <c r="F435" s="228"/>
      <c r="G435" s="228"/>
      <c r="H435" s="228"/>
      <c r="I435" s="228"/>
      <c r="J435" s="228"/>
      <c r="K435" s="228"/>
      <c r="L435" s="229"/>
      <c r="M435" s="229"/>
      <c r="N435" s="229"/>
      <c r="O435" s="229"/>
      <c r="P435" s="229"/>
      <c r="Q435" s="229"/>
      <c r="R435" s="229"/>
      <c r="S435" s="229"/>
      <c r="T435" s="229"/>
      <c r="U435" s="229"/>
      <c r="V435" s="229"/>
      <c r="W435" s="229"/>
      <c r="X435" s="229"/>
      <c r="Y435" s="229"/>
      <c r="Z435" s="229"/>
      <c r="AA435" s="229"/>
      <c r="AB435" s="229"/>
      <c r="AC435" s="229"/>
    </row>
    <row r="436" spans="1:29" ht="12.75" customHeight="1">
      <c r="A436" s="229"/>
      <c r="B436" s="228"/>
      <c r="C436" s="228"/>
      <c r="D436" s="228"/>
      <c r="E436" s="228"/>
      <c r="F436" s="228"/>
      <c r="G436" s="228"/>
      <c r="H436" s="228"/>
      <c r="I436" s="228"/>
      <c r="J436" s="228"/>
      <c r="K436" s="228"/>
      <c r="L436" s="229"/>
      <c r="M436" s="229"/>
      <c r="N436" s="229"/>
      <c r="O436" s="229"/>
      <c r="P436" s="229"/>
      <c r="Q436" s="229"/>
      <c r="R436" s="229"/>
      <c r="S436" s="229"/>
      <c r="T436" s="229"/>
      <c r="U436" s="229"/>
      <c r="V436" s="229"/>
      <c r="W436" s="229"/>
      <c r="X436" s="229"/>
      <c r="Y436" s="229"/>
      <c r="Z436" s="229"/>
      <c r="AA436" s="229"/>
      <c r="AB436" s="229"/>
      <c r="AC436" s="229"/>
    </row>
    <row r="437" spans="1:29" ht="12.75" customHeight="1">
      <c r="A437" s="229"/>
      <c r="B437" s="228"/>
      <c r="C437" s="228"/>
      <c r="D437" s="228"/>
      <c r="E437" s="228"/>
      <c r="F437" s="228"/>
      <c r="G437" s="228"/>
      <c r="H437" s="228"/>
      <c r="I437" s="228"/>
      <c r="J437" s="228"/>
      <c r="K437" s="228"/>
      <c r="L437" s="229"/>
      <c r="M437" s="229"/>
      <c r="N437" s="229"/>
      <c r="O437" s="229"/>
      <c r="P437" s="229"/>
      <c r="Q437" s="229"/>
      <c r="R437" s="229"/>
      <c r="S437" s="229"/>
      <c r="T437" s="229"/>
      <c r="U437" s="229"/>
      <c r="V437" s="229"/>
      <c r="W437" s="229"/>
      <c r="X437" s="229"/>
      <c r="Y437" s="229"/>
      <c r="Z437" s="229"/>
      <c r="AA437" s="229"/>
      <c r="AB437" s="229"/>
      <c r="AC437" s="229"/>
    </row>
    <row r="438" spans="1:29" ht="12.75" customHeight="1">
      <c r="A438" s="229"/>
      <c r="B438" s="228"/>
      <c r="C438" s="228"/>
      <c r="D438" s="228"/>
      <c r="E438" s="228"/>
      <c r="F438" s="228"/>
      <c r="G438" s="228"/>
      <c r="H438" s="228"/>
      <c r="I438" s="228"/>
      <c r="J438" s="228"/>
      <c r="K438" s="228"/>
      <c r="L438" s="229"/>
      <c r="M438" s="229"/>
      <c r="N438" s="229"/>
      <c r="O438" s="229"/>
      <c r="P438" s="229"/>
      <c r="Q438" s="229"/>
      <c r="R438" s="229"/>
      <c r="S438" s="229"/>
      <c r="T438" s="229"/>
      <c r="U438" s="229"/>
      <c r="V438" s="229"/>
      <c r="W438" s="229"/>
      <c r="X438" s="229"/>
      <c r="Y438" s="229"/>
      <c r="Z438" s="229"/>
      <c r="AA438" s="229"/>
      <c r="AB438" s="229"/>
      <c r="AC438" s="229"/>
    </row>
    <row r="439" spans="1:29" ht="12.75" customHeight="1">
      <c r="A439" s="229"/>
      <c r="B439" s="228"/>
      <c r="C439" s="228"/>
      <c r="D439" s="228"/>
      <c r="E439" s="228"/>
      <c r="F439" s="228"/>
      <c r="G439" s="228"/>
      <c r="H439" s="228"/>
      <c r="I439" s="228"/>
      <c r="J439" s="228"/>
      <c r="K439" s="228"/>
      <c r="L439" s="229"/>
      <c r="M439" s="229"/>
      <c r="N439" s="229"/>
      <c r="O439" s="229"/>
      <c r="P439" s="229"/>
      <c r="Q439" s="229"/>
      <c r="R439" s="229"/>
      <c r="S439" s="229"/>
      <c r="T439" s="229"/>
      <c r="U439" s="229"/>
      <c r="V439" s="229"/>
      <c r="W439" s="229"/>
      <c r="X439" s="229"/>
      <c r="Y439" s="229"/>
      <c r="Z439" s="229"/>
      <c r="AA439" s="229"/>
      <c r="AB439" s="229"/>
      <c r="AC439" s="229"/>
    </row>
    <row r="440" spans="1:29" ht="12.75" customHeight="1">
      <c r="A440" s="229"/>
      <c r="B440" s="228"/>
      <c r="C440" s="228"/>
      <c r="D440" s="228"/>
      <c r="E440" s="228"/>
      <c r="F440" s="228"/>
      <c r="G440" s="228"/>
      <c r="H440" s="228"/>
      <c r="I440" s="228"/>
      <c r="J440" s="228"/>
      <c r="K440" s="228"/>
      <c r="L440" s="229"/>
      <c r="M440" s="229"/>
      <c r="N440" s="229"/>
      <c r="O440" s="229"/>
      <c r="P440" s="229"/>
      <c r="Q440" s="229"/>
      <c r="R440" s="229"/>
      <c r="S440" s="229"/>
      <c r="T440" s="229"/>
      <c r="U440" s="229"/>
      <c r="V440" s="229"/>
      <c r="W440" s="229"/>
      <c r="X440" s="229"/>
      <c r="Y440" s="229"/>
      <c r="Z440" s="229"/>
      <c r="AA440" s="229"/>
      <c r="AB440" s="229"/>
      <c r="AC440" s="229"/>
    </row>
    <row r="441" spans="1:29" ht="12.75" customHeight="1">
      <c r="A441" s="229"/>
      <c r="B441" s="228"/>
      <c r="C441" s="228"/>
      <c r="D441" s="228"/>
      <c r="E441" s="228"/>
      <c r="F441" s="228"/>
      <c r="G441" s="228"/>
      <c r="H441" s="228"/>
      <c r="I441" s="228"/>
      <c r="J441" s="228"/>
      <c r="K441" s="228"/>
      <c r="L441" s="229"/>
      <c r="M441" s="229"/>
      <c r="N441" s="229"/>
      <c r="O441" s="229"/>
      <c r="P441" s="229"/>
      <c r="Q441" s="229"/>
      <c r="R441" s="229"/>
      <c r="S441" s="229"/>
      <c r="T441" s="229"/>
      <c r="U441" s="229"/>
      <c r="V441" s="229"/>
      <c r="W441" s="229"/>
      <c r="X441" s="229"/>
      <c r="Y441" s="229"/>
      <c r="Z441" s="229"/>
      <c r="AA441" s="229"/>
      <c r="AB441" s="229"/>
      <c r="AC441" s="229"/>
    </row>
    <row r="442" spans="1:29" ht="12.75" customHeight="1">
      <c r="A442" s="229"/>
      <c r="B442" s="228"/>
      <c r="C442" s="228"/>
      <c r="D442" s="228"/>
      <c r="E442" s="228"/>
      <c r="F442" s="228"/>
      <c r="G442" s="228"/>
      <c r="H442" s="228"/>
      <c r="I442" s="228"/>
      <c r="J442" s="228"/>
      <c r="K442" s="228"/>
      <c r="L442" s="229"/>
      <c r="M442" s="229"/>
      <c r="N442" s="229"/>
      <c r="O442" s="229"/>
      <c r="P442" s="229"/>
      <c r="Q442" s="229"/>
      <c r="R442" s="229"/>
      <c r="S442" s="229"/>
      <c r="T442" s="229"/>
      <c r="U442" s="229"/>
      <c r="V442" s="229"/>
      <c r="W442" s="229"/>
      <c r="X442" s="229"/>
      <c r="Y442" s="229"/>
      <c r="Z442" s="229"/>
      <c r="AA442" s="229"/>
      <c r="AB442" s="229"/>
      <c r="AC442" s="229"/>
    </row>
    <row r="443" spans="1:29" ht="12.75" customHeight="1">
      <c r="A443" s="229"/>
      <c r="B443" s="228"/>
      <c r="C443" s="228"/>
      <c r="D443" s="228"/>
      <c r="E443" s="228"/>
      <c r="F443" s="228"/>
      <c r="G443" s="228"/>
      <c r="H443" s="228"/>
      <c r="I443" s="228"/>
      <c r="J443" s="228"/>
      <c r="K443" s="228"/>
      <c r="L443" s="229"/>
      <c r="M443" s="229"/>
      <c r="N443" s="229"/>
      <c r="O443" s="229"/>
      <c r="P443" s="229"/>
      <c r="Q443" s="229"/>
      <c r="R443" s="229"/>
      <c r="S443" s="229"/>
      <c r="T443" s="229"/>
      <c r="U443" s="229"/>
      <c r="V443" s="229"/>
      <c r="W443" s="229"/>
      <c r="X443" s="229"/>
      <c r="Y443" s="229"/>
      <c r="Z443" s="229"/>
      <c r="AA443" s="229"/>
      <c r="AB443" s="229"/>
      <c r="AC443" s="229"/>
    </row>
    <row r="444" spans="1:29" ht="12.75" customHeight="1">
      <c r="A444" s="229"/>
      <c r="B444" s="228"/>
      <c r="C444" s="228"/>
      <c r="D444" s="228"/>
      <c r="E444" s="228"/>
      <c r="F444" s="228"/>
      <c r="G444" s="228"/>
      <c r="H444" s="228"/>
      <c r="I444" s="228"/>
      <c r="J444" s="228"/>
      <c r="K444" s="228"/>
      <c r="L444" s="229"/>
      <c r="M444" s="229"/>
      <c r="N444" s="229"/>
      <c r="O444" s="229"/>
      <c r="P444" s="229"/>
      <c r="Q444" s="229"/>
      <c r="R444" s="229"/>
      <c r="S444" s="229"/>
      <c r="T444" s="229"/>
      <c r="U444" s="229"/>
      <c r="V444" s="229"/>
      <c r="W444" s="229"/>
      <c r="X444" s="229"/>
      <c r="Y444" s="229"/>
      <c r="Z444" s="229"/>
      <c r="AA444" s="229"/>
      <c r="AB444" s="229"/>
      <c r="AC444" s="229"/>
    </row>
    <row r="445" spans="1:29" ht="12.75" customHeight="1">
      <c r="A445" s="229"/>
      <c r="B445" s="228"/>
      <c r="C445" s="228"/>
      <c r="D445" s="228"/>
      <c r="E445" s="228"/>
      <c r="F445" s="228"/>
      <c r="G445" s="228"/>
      <c r="H445" s="228"/>
      <c r="I445" s="228"/>
      <c r="J445" s="228"/>
      <c r="K445" s="228"/>
      <c r="L445" s="229"/>
      <c r="M445" s="229"/>
      <c r="N445" s="229"/>
      <c r="O445" s="229"/>
      <c r="P445" s="229"/>
      <c r="Q445" s="229"/>
      <c r="R445" s="229"/>
      <c r="S445" s="229"/>
      <c r="T445" s="229"/>
      <c r="U445" s="229"/>
      <c r="V445" s="229"/>
      <c r="W445" s="229"/>
      <c r="X445" s="229"/>
      <c r="Y445" s="229"/>
      <c r="Z445" s="229"/>
      <c r="AA445" s="229"/>
      <c r="AB445" s="229"/>
      <c r="AC445" s="229"/>
    </row>
    <row r="446" spans="1:29" ht="12.75" customHeight="1">
      <c r="A446" s="229"/>
      <c r="B446" s="228"/>
      <c r="C446" s="228"/>
      <c r="D446" s="228"/>
      <c r="E446" s="228"/>
      <c r="F446" s="228"/>
      <c r="G446" s="228"/>
      <c r="H446" s="228"/>
      <c r="I446" s="228"/>
      <c r="J446" s="228"/>
      <c r="K446" s="228"/>
      <c r="L446" s="229"/>
      <c r="M446" s="229"/>
      <c r="N446" s="229"/>
      <c r="O446" s="229"/>
      <c r="P446" s="229"/>
      <c r="Q446" s="229"/>
      <c r="R446" s="229"/>
      <c r="S446" s="229"/>
      <c r="T446" s="229"/>
      <c r="U446" s="229"/>
      <c r="V446" s="229"/>
      <c r="W446" s="229"/>
      <c r="X446" s="229"/>
      <c r="Y446" s="229"/>
      <c r="Z446" s="229"/>
      <c r="AA446" s="229"/>
      <c r="AB446" s="229"/>
      <c r="AC446" s="229"/>
    </row>
    <row r="447" spans="1:29" ht="12.75" customHeight="1">
      <c r="A447" s="229"/>
      <c r="B447" s="228"/>
      <c r="C447" s="228"/>
      <c r="D447" s="228"/>
      <c r="E447" s="228"/>
      <c r="F447" s="228"/>
      <c r="G447" s="228"/>
      <c r="H447" s="228"/>
      <c r="I447" s="228"/>
      <c r="J447" s="228"/>
      <c r="K447" s="228"/>
      <c r="L447" s="229"/>
      <c r="M447" s="229"/>
      <c r="N447" s="229"/>
      <c r="O447" s="229"/>
      <c r="P447" s="229"/>
      <c r="Q447" s="229"/>
      <c r="R447" s="229"/>
      <c r="S447" s="229"/>
      <c r="T447" s="229"/>
      <c r="U447" s="229"/>
      <c r="V447" s="229"/>
      <c r="W447" s="229"/>
      <c r="X447" s="229"/>
      <c r="Y447" s="229"/>
      <c r="Z447" s="229"/>
      <c r="AA447" s="229"/>
      <c r="AB447" s="229"/>
      <c r="AC447" s="229"/>
    </row>
    <row r="448" spans="1:29" ht="12.75" customHeight="1">
      <c r="A448" s="229"/>
      <c r="B448" s="228"/>
      <c r="C448" s="228"/>
      <c r="D448" s="228"/>
      <c r="E448" s="228"/>
      <c r="F448" s="228"/>
      <c r="G448" s="228"/>
      <c r="H448" s="228"/>
      <c r="I448" s="228"/>
      <c r="J448" s="228"/>
      <c r="K448" s="228"/>
      <c r="L448" s="229"/>
      <c r="M448" s="229"/>
      <c r="N448" s="229"/>
      <c r="O448" s="229"/>
      <c r="P448" s="229"/>
      <c r="Q448" s="229"/>
      <c r="R448" s="229"/>
      <c r="S448" s="229"/>
      <c r="T448" s="229"/>
      <c r="U448" s="229"/>
      <c r="V448" s="229"/>
      <c r="W448" s="229"/>
      <c r="X448" s="229"/>
      <c r="Y448" s="229"/>
      <c r="Z448" s="229"/>
      <c r="AA448" s="229"/>
      <c r="AB448" s="229"/>
      <c r="AC448" s="229"/>
    </row>
    <row r="449" spans="1:29" ht="12.75" customHeight="1">
      <c r="A449" s="229"/>
      <c r="B449" s="228"/>
      <c r="C449" s="228"/>
      <c r="D449" s="228"/>
      <c r="E449" s="228"/>
      <c r="F449" s="228"/>
      <c r="G449" s="228"/>
      <c r="H449" s="228"/>
      <c r="I449" s="228"/>
      <c r="J449" s="228"/>
      <c r="K449" s="228"/>
      <c r="L449" s="229"/>
      <c r="M449" s="229"/>
      <c r="N449" s="229"/>
      <c r="O449" s="229"/>
      <c r="P449" s="229"/>
      <c r="Q449" s="229"/>
      <c r="R449" s="229"/>
      <c r="S449" s="229"/>
      <c r="T449" s="229"/>
      <c r="U449" s="229"/>
      <c r="V449" s="229"/>
      <c r="W449" s="229"/>
      <c r="X449" s="229"/>
      <c r="Y449" s="229"/>
      <c r="Z449" s="229"/>
      <c r="AA449" s="229"/>
      <c r="AB449" s="229"/>
      <c r="AC449" s="229"/>
    </row>
    <row r="450" spans="1:29" ht="12.75" customHeight="1">
      <c r="A450" s="229"/>
      <c r="B450" s="228"/>
      <c r="C450" s="228"/>
      <c r="D450" s="228"/>
      <c r="E450" s="228"/>
      <c r="F450" s="228"/>
      <c r="G450" s="228"/>
      <c r="H450" s="228"/>
      <c r="I450" s="228"/>
      <c r="J450" s="228"/>
      <c r="K450" s="228"/>
      <c r="L450" s="229"/>
      <c r="M450" s="229"/>
      <c r="N450" s="229"/>
      <c r="O450" s="229"/>
      <c r="P450" s="229"/>
      <c r="Q450" s="229"/>
      <c r="R450" s="229"/>
      <c r="S450" s="229"/>
      <c r="T450" s="229"/>
      <c r="U450" s="229"/>
      <c r="V450" s="229"/>
      <c r="W450" s="229"/>
      <c r="X450" s="229"/>
      <c r="Y450" s="229"/>
      <c r="Z450" s="229"/>
      <c r="AA450" s="229"/>
      <c r="AB450" s="229"/>
      <c r="AC450" s="229"/>
    </row>
    <row r="451" spans="1:29" ht="12.75" customHeight="1">
      <c r="A451" s="229"/>
      <c r="B451" s="228"/>
      <c r="C451" s="228"/>
      <c r="D451" s="228"/>
      <c r="E451" s="228"/>
      <c r="F451" s="228"/>
      <c r="G451" s="228"/>
      <c r="H451" s="228"/>
      <c r="I451" s="228"/>
      <c r="J451" s="228"/>
      <c r="K451" s="228"/>
      <c r="L451" s="229"/>
      <c r="M451" s="229"/>
      <c r="N451" s="229"/>
      <c r="O451" s="229"/>
      <c r="P451" s="229"/>
      <c r="Q451" s="229"/>
      <c r="R451" s="229"/>
      <c r="S451" s="229"/>
      <c r="T451" s="229"/>
      <c r="U451" s="229"/>
      <c r="V451" s="229"/>
      <c r="W451" s="229"/>
      <c r="X451" s="229"/>
      <c r="Y451" s="229"/>
      <c r="Z451" s="229"/>
      <c r="AA451" s="229"/>
      <c r="AB451" s="229"/>
      <c r="AC451" s="229"/>
    </row>
    <row r="452" spans="1:29" ht="12.75" customHeight="1">
      <c r="A452" s="229"/>
      <c r="B452" s="228"/>
      <c r="C452" s="228"/>
      <c r="D452" s="228"/>
      <c r="E452" s="228"/>
      <c r="F452" s="228"/>
      <c r="G452" s="228"/>
      <c r="H452" s="228"/>
      <c r="I452" s="228"/>
      <c r="J452" s="228"/>
      <c r="K452" s="228"/>
      <c r="L452" s="229"/>
      <c r="M452" s="229"/>
      <c r="N452" s="229"/>
      <c r="O452" s="229"/>
      <c r="P452" s="229"/>
      <c r="Q452" s="229"/>
      <c r="R452" s="229"/>
      <c r="S452" s="229"/>
      <c r="T452" s="229"/>
      <c r="U452" s="229"/>
      <c r="V452" s="229"/>
      <c r="W452" s="229"/>
      <c r="X452" s="229"/>
      <c r="Y452" s="229"/>
      <c r="Z452" s="229"/>
      <c r="AA452" s="229"/>
      <c r="AB452" s="229"/>
      <c r="AC452" s="229"/>
    </row>
    <row r="453" spans="1:29" ht="12.75" customHeight="1">
      <c r="A453" s="229"/>
      <c r="B453" s="228"/>
      <c r="C453" s="228"/>
      <c r="D453" s="228"/>
      <c r="E453" s="228"/>
      <c r="F453" s="228"/>
      <c r="G453" s="228"/>
      <c r="H453" s="228"/>
      <c r="I453" s="228"/>
      <c r="J453" s="228"/>
      <c r="K453" s="228"/>
      <c r="L453" s="229"/>
      <c r="M453" s="229"/>
      <c r="N453" s="229"/>
      <c r="O453" s="229"/>
      <c r="P453" s="229"/>
      <c r="Q453" s="229"/>
      <c r="R453" s="229"/>
      <c r="S453" s="229"/>
      <c r="T453" s="229"/>
      <c r="U453" s="229"/>
      <c r="V453" s="229"/>
      <c r="W453" s="229"/>
      <c r="X453" s="229"/>
      <c r="Y453" s="229"/>
      <c r="Z453" s="229"/>
      <c r="AA453" s="229"/>
      <c r="AB453" s="229"/>
      <c r="AC453" s="229"/>
    </row>
    <row r="454" spans="1:29" ht="12.75" customHeight="1">
      <c r="A454" s="229"/>
      <c r="B454" s="228"/>
      <c r="C454" s="228"/>
      <c r="D454" s="228"/>
      <c r="E454" s="228"/>
      <c r="F454" s="228"/>
      <c r="G454" s="228"/>
      <c r="H454" s="228"/>
      <c r="I454" s="228"/>
      <c r="J454" s="228"/>
      <c r="K454" s="228"/>
      <c r="L454" s="229"/>
      <c r="M454" s="229"/>
      <c r="N454" s="229"/>
      <c r="O454" s="229"/>
      <c r="P454" s="229"/>
      <c r="Q454" s="229"/>
      <c r="R454" s="229"/>
      <c r="S454" s="229"/>
      <c r="T454" s="229"/>
      <c r="U454" s="229"/>
      <c r="V454" s="229"/>
      <c r="W454" s="229"/>
      <c r="X454" s="229"/>
      <c r="Y454" s="229"/>
      <c r="Z454" s="229"/>
      <c r="AA454" s="229"/>
      <c r="AB454" s="229"/>
      <c r="AC454" s="229"/>
    </row>
    <row r="455" spans="1:29" ht="12.75" customHeight="1">
      <c r="A455" s="229"/>
      <c r="B455" s="228"/>
      <c r="C455" s="228"/>
      <c r="D455" s="228"/>
      <c r="E455" s="228"/>
      <c r="F455" s="228"/>
      <c r="G455" s="228"/>
      <c r="H455" s="228"/>
      <c r="I455" s="228"/>
      <c r="J455" s="228"/>
      <c r="K455" s="228"/>
      <c r="L455" s="229"/>
      <c r="M455" s="229"/>
      <c r="N455" s="229"/>
      <c r="O455" s="229"/>
      <c r="P455" s="229"/>
      <c r="Q455" s="229"/>
      <c r="R455" s="229"/>
      <c r="S455" s="229"/>
      <c r="T455" s="229"/>
      <c r="U455" s="229"/>
      <c r="V455" s="229"/>
      <c r="W455" s="229"/>
      <c r="X455" s="229"/>
      <c r="Y455" s="229"/>
      <c r="Z455" s="229"/>
      <c r="AA455" s="229"/>
      <c r="AB455" s="229"/>
      <c r="AC455" s="229"/>
    </row>
    <row r="456" spans="1:29" ht="12.75" customHeight="1">
      <c r="A456" s="229"/>
      <c r="B456" s="228"/>
      <c r="C456" s="228"/>
      <c r="D456" s="228"/>
      <c r="E456" s="228"/>
      <c r="F456" s="228"/>
      <c r="G456" s="228"/>
      <c r="H456" s="228"/>
      <c r="I456" s="228"/>
      <c r="J456" s="228"/>
      <c r="K456" s="228"/>
      <c r="L456" s="229"/>
      <c r="M456" s="229"/>
      <c r="N456" s="229"/>
      <c r="O456" s="229"/>
      <c r="P456" s="229"/>
      <c r="Q456" s="229"/>
      <c r="R456" s="229"/>
      <c r="S456" s="229"/>
      <c r="T456" s="229"/>
      <c r="U456" s="229"/>
      <c r="V456" s="229"/>
      <c r="W456" s="229"/>
      <c r="X456" s="229"/>
      <c r="Y456" s="229"/>
      <c r="Z456" s="229"/>
      <c r="AA456" s="229"/>
      <c r="AB456" s="229"/>
      <c r="AC456" s="229"/>
    </row>
    <row r="457" spans="1:29" ht="12.75" customHeight="1">
      <c r="A457" s="229"/>
      <c r="B457" s="228"/>
      <c r="C457" s="228"/>
      <c r="D457" s="228"/>
      <c r="E457" s="228"/>
      <c r="F457" s="228"/>
      <c r="G457" s="228"/>
      <c r="H457" s="228"/>
      <c r="I457" s="228"/>
      <c r="J457" s="228"/>
      <c r="K457" s="228"/>
      <c r="L457" s="229"/>
      <c r="M457" s="229"/>
      <c r="N457" s="229"/>
      <c r="O457" s="229"/>
      <c r="P457" s="229"/>
      <c r="Q457" s="229"/>
      <c r="R457" s="229"/>
      <c r="S457" s="229"/>
      <c r="T457" s="229"/>
      <c r="U457" s="229"/>
      <c r="V457" s="229"/>
      <c r="W457" s="229"/>
      <c r="X457" s="229"/>
      <c r="Y457" s="229"/>
      <c r="Z457" s="229"/>
      <c r="AA457" s="229"/>
      <c r="AB457" s="229"/>
      <c r="AC457" s="229"/>
    </row>
    <row r="458" spans="1:29" ht="12.75" customHeight="1">
      <c r="A458" s="229"/>
      <c r="B458" s="228"/>
      <c r="C458" s="228"/>
      <c r="D458" s="228"/>
      <c r="E458" s="228"/>
      <c r="F458" s="228"/>
      <c r="G458" s="228"/>
      <c r="H458" s="228"/>
      <c r="I458" s="228"/>
      <c r="J458" s="228"/>
      <c r="K458" s="228"/>
      <c r="L458" s="229"/>
      <c r="M458" s="229"/>
      <c r="N458" s="229"/>
      <c r="O458" s="229"/>
      <c r="P458" s="229"/>
      <c r="Q458" s="229"/>
      <c r="R458" s="229"/>
      <c r="S458" s="229"/>
      <c r="T458" s="229"/>
      <c r="U458" s="229"/>
      <c r="V458" s="229"/>
      <c r="W458" s="229"/>
      <c r="X458" s="229"/>
      <c r="Y458" s="229"/>
      <c r="Z458" s="229"/>
      <c r="AA458" s="229"/>
      <c r="AB458" s="229"/>
      <c r="AC458" s="229"/>
    </row>
    <row r="459" spans="1:29" ht="12.75" customHeight="1">
      <c r="A459" s="229"/>
      <c r="B459" s="228"/>
      <c r="C459" s="228"/>
      <c r="D459" s="228"/>
      <c r="E459" s="228"/>
      <c r="F459" s="228"/>
      <c r="G459" s="228"/>
      <c r="H459" s="228"/>
      <c r="I459" s="228"/>
      <c r="J459" s="228"/>
      <c r="K459" s="228"/>
      <c r="L459" s="229"/>
      <c r="M459" s="229"/>
      <c r="N459" s="229"/>
      <c r="O459" s="229"/>
      <c r="P459" s="229"/>
      <c r="Q459" s="229"/>
      <c r="R459" s="229"/>
      <c r="S459" s="229"/>
      <c r="T459" s="229"/>
      <c r="U459" s="229"/>
      <c r="V459" s="229"/>
      <c r="W459" s="229"/>
      <c r="X459" s="229"/>
      <c r="Y459" s="229"/>
      <c r="Z459" s="229"/>
      <c r="AA459" s="229"/>
      <c r="AB459" s="229"/>
      <c r="AC459" s="229"/>
    </row>
    <row r="460" spans="1:29" ht="12.75" customHeight="1">
      <c r="A460" s="229"/>
      <c r="B460" s="228"/>
      <c r="C460" s="228"/>
      <c r="D460" s="228"/>
      <c r="E460" s="228"/>
      <c r="F460" s="228"/>
      <c r="G460" s="228"/>
      <c r="H460" s="228"/>
      <c r="I460" s="228"/>
      <c r="J460" s="228"/>
      <c r="K460" s="228"/>
      <c r="L460" s="229"/>
      <c r="M460" s="229"/>
      <c r="N460" s="229"/>
      <c r="O460" s="229"/>
      <c r="P460" s="229"/>
      <c r="Q460" s="229"/>
      <c r="R460" s="229"/>
      <c r="S460" s="229"/>
      <c r="T460" s="229"/>
      <c r="U460" s="229"/>
      <c r="V460" s="229"/>
      <c r="W460" s="229"/>
      <c r="X460" s="229"/>
      <c r="Y460" s="229"/>
      <c r="Z460" s="229"/>
      <c r="AA460" s="229"/>
      <c r="AB460" s="229"/>
      <c r="AC460" s="229"/>
    </row>
    <row r="461" spans="1:29" ht="12.75" customHeight="1">
      <c r="A461" s="229"/>
      <c r="B461" s="228"/>
      <c r="C461" s="228"/>
      <c r="D461" s="228"/>
      <c r="E461" s="228"/>
      <c r="F461" s="228"/>
      <c r="G461" s="228"/>
      <c r="H461" s="228"/>
      <c r="I461" s="228"/>
      <c r="J461" s="228"/>
      <c r="K461" s="228"/>
      <c r="L461" s="229"/>
      <c r="M461" s="229"/>
      <c r="N461" s="229"/>
      <c r="O461" s="229"/>
      <c r="P461" s="229"/>
      <c r="Q461" s="229"/>
      <c r="R461" s="229"/>
      <c r="S461" s="229"/>
      <c r="T461" s="229"/>
      <c r="U461" s="229"/>
      <c r="V461" s="229"/>
      <c r="W461" s="229"/>
      <c r="X461" s="229"/>
      <c r="Y461" s="229"/>
      <c r="Z461" s="229"/>
      <c r="AA461" s="229"/>
      <c r="AB461" s="229"/>
      <c r="AC461" s="229"/>
    </row>
    <row r="462" spans="1:29" ht="12.75" customHeight="1">
      <c r="A462" s="229"/>
      <c r="B462" s="228"/>
      <c r="C462" s="228"/>
      <c r="D462" s="228"/>
      <c r="E462" s="228"/>
      <c r="F462" s="228"/>
      <c r="G462" s="228"/>
      <c r="H462" s="228"/>
      <c r="I462" s="228"/>
      <c r="J462" s="228"/>
      <c r="K462" s="228"/>
      <c r="L462" s="229"/>
      <c r="M462" s="229"/>
      <c r="N462" s="229"/>
      <c r="O462" s="229"/>
      <c r="P462" s="229"/>
      <c r="Q462" s="229"/>
      <c r="R462" s="229"/>
      <c r="S462" s="229"/>
      <c r="T462" s="229"/>
      <c r="U462" s="229"/>
      <c r="V462" s="229"/>
      <c r="W462" s="229"/>
      <c r="X462" s="229"/>
      <c r="Y462" s="229"/>
      <c r="Z462" s="229"/>
      <c r="AA462" s="229"/>
      <c r="AB462" s="229"/>
      <c r="AC462" s="229"/>
    </row>
    <row r="463" spans="1:29" ht="12.75" customHeight="1">
      <c r="A463" s="229"/>
      <c r="B463" s="228"/>
      <c r="C463" s="228"/>
      <c r="D463" s="228"/>
      <c r="E463" s="228"/>
      <c r="F463" s="228"/>
      <c r="G463" s="228"/>
      <c r="H463" s="228"/>
      <c r="I463" s="228"/>
      <c r="J463" s="228"/>
      <c r="K463" s="228"/>
      <c r="L463" s="229"/>
      <c r="M463" s="229"/>
      <c r="N463" s="229"/>
      <c r="O463" s="229"/>
      <c r="P463" s="229"/>
      <c r="Q463" s="229"/>
      <c r="R463" s="229"/>
      <c r="S463" s="229"/>
      <c r="T463" s="229"/>
      <c r="U463" s="229"/>
      <c r="V463" s="229"/>
      <c r="W463" s="229"/>
      <c r="X463" s="229"/>
      <c r="Y463" s="229"/>
      <c r="Z463" s="229"/>
      <c r="AA463" s="229"/>
      <c r="AB463" s="229"/>
      <c r="AC463" s="229"/>
    </row>
    <row r="464" spans="1:29" ht="12.75" customHeight="1">
      <c r="A464" s="229"/>
      <c r="B464" s="228"/>
      <c r="C464" s="228"/>
      <c r="D464" s="228"/>
      <c r="E464" s="228"/>
      <c r="F464" s="228"/>
      <c r="G464" s="228"/>
      <c r="H464" s="228"/>
      <c r="I464" s="228"/>
      <c r="J464" s="228"/>
      <c r="K464" s="228"/>
      <c r="L464" s="229"/>
      <c r="M464" s="229"/>
      <c r="N464" s="229"/>
      <c r="O464" s="229"/>
      <c r="P464" s="229"/>
      <c r="Q464" s="229"/>
      <c r="R464" s="229"/>
      <c r="S464" s="229"/>
      <c r="T464" s="229"/>
      <c r="U464" s="229"/>
      <c r="V464" s="229"/>
      <c r="W464" s="229"/>
      <c r="X464" s="229"/>
      <c r="Y464" s="229"/>
      <c r="Z464" s="229"/>
      <c r="AA464" s="229"/>
      <c r="AB464" s="229"/>
      <c r="AC464" s="229"/>
    </row>
    <row r="465" spans="1:29" ht="12.75" customHeight="1">
      <c r="A465" s="229"/>
      <c r="B465" s="228"/>
      <c r="C465" s="228"/>
      <c r="D465" s="228"/>
      <c r="E465" s="228"/>
      <c r="F465" s="228"/>
      <c r="G465" s="228"/>
      <c r="H465" s="228"/>
      <c r="I465" s="228"/>
      <c r="J465" s="228"/>
      <c r="K465" s="228"/>
      <c r="L465" s="229"/>
      <c r="M465" s="229"/>
      <c r="N465" s="229"/>
      <c r="O465" s="229"/>
      <c r="P465" s="229"/>
      <c r="Q465" s="229"/>
      <c r="R465" s="229"/>
      <c r="S465" s="229"/>
      <c r="T465" s="229"/>
      <c r="U465" s="229"/>
      <c r="V465" s="229"/>
      <c r="W465" s="229"/>
      <c r="X465" s="229"/>
      <c r="Y465" s="229"/>
      <c r="Z465" s="229"/>
      <c r="AA465" s="229"/>
      <c r="AB465" s="229"/>
      <c r="AC465" s="229"/>
    </row>
    <row r="466" spans="1:29" ht="12.75" customHeight="1">
      <c r="A466" s="229"/>
      <c r="B466" s="228"/>
      <c r="C466" s="228"/>
      <c r="D466" s="228"/>
      <c r="E466" s="228"/>
      <c r="F466" s="228"/>
      <c r="G466" s="228"/>
      <c r="H466" s="228"/>
      <c r="I466" s="228"/>
      <c r="J466" s="228"/>
      <c r="K466" s="228"/>
      <c r="L466" s="229"/>
      <c r="M466" s="229"/>
      <c r="N466" s="229"/>
      <c r="O466" s="229"/>
      <c r="P466" s="229"/>
      <c r="Q466" s="229"/>
      <c r="R466" s="229"/>
      <c r="S466" s="229"/>
      <c r="T466" s="229"/>
      <c r="U466" s="229"/>
      <c r="V466" s="229"/>
      <c r="W466" s="229"/>
      <c r="X466" s="229"/>
      <c r="Y466" s="229"/>
      <c r="Z466" s="229"/>
      <c r="AA466" s="229"/>
      <c r="AB466" s="229"/>
      <c r="AC466" s="229"/>
    </row>
    <row r="467" spans="1:29" ht="12.75" customHeight="1">
      <c r="A467" s="229"/>
      <c r="B467" s="228"/>
      <c r="C467" s="228"/>
      <c r="D467" s="228"/>
      <c r="E467" s="228"/>
      <c r="F467" s="228"/>
      <c r="G467" s="228"/>
      <c r="H467" s="228"/>
      <c r="I467" s="228"/>
      <c r="J467" s="228"/>
      <c r="K467" s="228"/>
      <c r="L467" s="229"/>
      <c r="M467" s="229"/>
      <c r="N467" s="229"/>
      <c r="O467" s="229"/>
      <c r="P467" s="229"/>
      <c r="Q467" s="229"/>
      <c r="R467" s="229"/>
      <c r="S467" s="229"/>
      <c r="T467" s="229"/>
      <c r="U467" s="229"/>
      <c r="V467" s="229"/>
      <c r="W467" s="229"/>
      <c r="X467" s="229"/>
      <c r="Y467" s="229"/>
      <c r="Z467" s="229"/>
      <c r="AA467" s="229"/>
      <c r="AB467" s="229"/>
      <c r="AC467" s="229"/>
    </row>
    <row r="468" spans="1:29" ht="12.75" customHeight="1">
      <c r="A468" s="229"/>
      <c r="B468" s="228"/>
      <c r="C468" s="228"/>
      <c r="D468" s="228"/>
      <c r="E468" s="228"/>
      <c r="F468" s="228"/>
      <c r="G468" s="228"/>
      <c r="H468" s="228"/>
      <c r="I468" s="228"/>
      <c r="J468" s="228"/>
      <c r="K468" s="228"/>
      <c r="L468" s="229"/>
      <c r="M468" s="229"/>
      <c r="N468" s="229"/>
      <c r="O468" s="229"/>
      <c r="P468" s="229"/>
      <c r="Q468" s="229"/>
      <c r="R468" s="229"/>
      <c r="S468" s="229"/>
      <c r="T468" s="229"/>
      <c r="U468" s="229"/>
      <c r="V468" s="229"/>
      <c r="W468" s="229"/>
      <c r="X468" s="229"/>
      <c r="Y468" s="229"/>
      <c r="Z468" s="229"/>
      <c r="AA468" s="229"/>
      <c r="AB468" s="229"/>
      <c r="AC468" s="229"/>
    </row>
    <row r="469" spans="1:29" ht="12.75" customHeight="1">
      <c r="A469" s="229"/>
      <c r="B469" s="228"/>
      <c r="C469" s="228"/>
      <c r="D469" s="228"/>
      <c r="E469" s="228"/>
      <c r="F469" s="228"/>
      <c r="G469" s="228"/>
      <c r="H469" s="228"/>
      <c r="I469" s="228"/>
      <c r="J469" s="228"/>
      <c r="K469" s="228"/>
      <c r="L469" s="229"/>
      <c r="M469" s="229"/>
      <c r="N469" s="229"/>
      <c r="O469" s="229"/>
      <c r="P469" s="229"/>
      <c r="Q469" s="229"/>
      <c r="R469" s="229"/>
      <c r="S469" s="229"/>
      <c r="T469" s="229"/>
      <c r="U469" s="229"/>
      <c r="V469" s="229"/>
      <c r="W469" s="229"/>
      <c r="X469" s="229"/>
      <c r="Y469" s="229"/>
      <c r="Z469" s="229"/>
      <c r="AA469" s="229"/>
      <c r="AB469" s="229"/>
      <c r="AC469" s="229"/>
    </row>
    <row r="470" spans="1:29" ht="12.75" customHeight="1">
      <c r="A470" s="229"/>
      <c r="B470" s="228"/>
      <c r="C470" s="228"/>
      <c r="D470" s="228"/>
      <c r="E470" s="228"/>
      <c r="F470" s="228"/>
      <c r="G470" s="228"/>
      <c r="H470" s="228"/>
      <c r="I470" s="228"/>
      <c r="J470" s="228"/>
      <c r="K470" s="228"/>
      <c r="L470" s="229"/>
      <c r="M470" s="229"/>
      <c r="N470" s="229"/>
      <c r="O470" s="229"/>
      <c r="P470" s="229"/>
      <c r="Q470" s="229"/>
      <c r="R470" s="229"/>
      <c r="S470" s="229"/>
      <c r="T470" s="229"/>
      <c r="U470" s="229"/>
      <c r="V470" s="229"/>
      <c r="W470" s="229"/>
      <c r="X470" s="229"/>
      <c r="Y470" s="229"/>
      <c r="Z470" s="229"/>
      <c r="AA470" s="229"/>
      <c r="AB470" s="229"/>
      <c r="AC470" s="229"/>
    </row>
    <row r="471" spans="1:29" ht="12.75" customHeight="1">
      <c r="A471" s="229"/>
      <c r="B471" s="228"/>
      <c r="C471" s="228"/>
      <c r="D471" s="228"/>
      <c r="E471" s="228"/>
      <c r="F471" s="228"/>
      <c r="G471" s="228"/>
      <c r="H471" s="228"/>
      <c r="I471" s="228"/>
      <c r="J471" s="228"/>
      <c r="K471" s="228"/>
      <c r="L471" s="229"/>
      <c r="M471" s="229"/>
      <c r="N471" s="229"/>
      <c r="O471" s="229"/>
      <c r="P471" s="229"/>
      <c r="Q471" s="229"/>
      <c r="R471" s="229"/>
      <c r="S471" s="229"/>
      <c r="T471" s="229"/>
      <c r="U471" s="229"/>
      <c r="V471" s="229"/>
      <c r="W471" s="229"/>
      <c r="X471" s="229"/>
      <c r="Y471" s="229"/>
      <c r="Z471" s="229"/>
      <c r="AA471" s="229"/>
      <c r="AB471" s="229"/>
      <c r="AC471" s="229"/>
    </row>
    <row r="472" spans="1:29" ht="12.75" customHeight="1">
      <c r="A472" s="229"/>
      <c r="B472" s="228"/>
      <c r="C472" s="228"/>
      <c r="D472" s="228"/>
      <c r="E472" s="228"/>
      <c r="F472" s="228"/>
      <c r="G472" s="228"/>
      <c r="H472" s="228"/>
      <c r="I472" s="228"/>
      <c r="J472" s="228"/>
      <c r="K472" s="228"/>
      <c r="L472" s="229"/>
      <c r="M472" s="229"/>
      <c r="N472" s="229"/>
      <c r="O472" s="229"/>
      <c r="P472" s="229"/>
      <c r="Q472" s="229"/>
      <c r="R472" s="229"/>
      <c r="S472" s="229"/>
      <c r="T472" s="229"/>
      <c r="U472" s="229"/>
      <c r="V472" s="229"/>
      <c r="W472" s="229"/>
      <c r="X472" s="229"/>
      <c r="Y472" s="229"/>
      <c r="Z472" s="229"/>
      <c r="AA472" s="229"/>
      <c r="AB472" s="229"/>
      <c r="AC472" s="229"/>
    </row>
    <row r="473" spans="1:29" ht="12.75" customHeight="1">
      <c r="A473" s="229"/>
      <c r="B473" s="228"/>
      <c r="C473" s="228"/>
      <c r="D473" s="228"/>
      <c r="E473" s="228"/>
      <c r="F473" s="228"/>
      <c r="G473" s="228"/>
      <c r="H473" s="228"/>
      <c r="I473" s="228"/>
      <c r="J473" s="228"/>
      <c r="K473" s="228"/>
      <c r="L473" s="229"/>
      <c r="M473" s="229"/>
      <c r="N473" s="229"/>
      <c r="O473" s="229"/>
      <c r="P473" s="229"/>
      <c r="Q473" s="229"/>
      <c r="R473" s="229"/>
      <c r="S473" s="229"/>
      <c r="T473" s="229"/>
      <c r="U473" s="229"/>
      <c r="V473" s="229"/>
      <c r="W473" s="229"/>
      <c r="X473" s="229"/>
      <c r="Y473" s="229"/>
      <c r="Z473" s="229"/>
      <c r="AA473" s="229"/>
      <c r="AB473" s="229"/>
      <c r="AC473" s="229"/>
    </row>
    <row r="474" spans="1:29" ht="12.75" customHeight="1">
      <c r="A474" s="229"/>
      <c r="B474" s="228"/>
      <c r="C474" s="228"/>
      <c r="D474" s="228"/>
      <c r="E474" s="228"/>
      <c r="F474" s="228"/>
      <c r="G474" s="228"/>
      <c r="H474" s="228"/>
      <c r="I474" s="228"/>
      <c r="J474" s="228"/>
      <c r="K474" s="228"/>
      <c r="L474" s="229"/>
      <c r="M474" s="229"/>
      <c r="N474" s="229"/>
      <c r="O474" s="229"/>
      <c r="P474" s="229"/>
      <c r="Q474" s="229"/>
      <c r="R474" s="229"/>
      <c r="S474" s="229"/>
      <c r="T474" s="229"/>
      <c r="U474" s="229"/>
      <c r="V474" s="229"/>
      <c r="W474" s="229"/>
      <c r="X474" s="229"/>
      <c r="Y474" s="229"/>
      <c r="Z474" s="229"/>
      <c r="AA474" s="229"/>
      <c r="AB474" s="229"/>
      <c r="AC474" s="229"/>
    </row>
    <row r="475" spans="1:29" ht="12.75" customHeight="1">
      <c r="A475" s="229"/>
      <c r="B475" s="228"/>
      <c r="C475" s="228"/>
      <c r="D475" s="228"/>
      <c r="E475" s="228"/>
      <c r="F475" s="228"/>
      <c r="G475" s="228"/>
      <c r="H475" s="228"/>
      <c r="I475" s="228"/>
      <c r="J475" s="228"/>
      <c r="K475" s="228"/>
      <c r="L475" s="229"/>
      <c r="M475" s="229"/>
      <c r="N475" s="229"/>
      <c r="O475" s="229"/>
      <c r="P475" s="229"/>
      <c r="Q475" s="229"/>
      <c r="R475" s="229"/>
      <c r="S475" s="229"/>
      <c r="T475" s="229"/>
      <c r="U475" s="229"/>
      <c r="V475" s="229"/>
      <c r="W475" s="229"/>
      <c r="X475" s="229"/>
      <c r="Y475" s="229"/>
      <c r="Z475" s="229"/>
      <c r="AA475" s="229"/>
      <c r="AB475" s="229"/>
      <c r="AC475" s="229"/>
    </row>
    <row r="476" spans="1:29" ht="12.75" customHeight="1">
      <c r="A476" s="229"/>
      <c r="B476" s="228"/>
      <c r="C476" s="228"/>
      <c r="D476" s="228"/>
      <c r="E476" s="228"/>
      <c r="F476" s="228"/>
      <c r="G476" s="228"/>
      <c r="H476" s="228"/>
      <c r="I476" s="228"/>
      <c r="J476" s="228"/>
      <c r="K476" s="228"/>
      <c r="L476" s="229"/>
      <c r="M476" s="229"/>
      <c r="N476" s="229"/>
      <c r="O476" s="229"/>
      <c r="P476" s="229"/>
      <c r="Q476" s="229"/>
      <c r="R476" s="229"/>
      <c r="S476" s="229"/>
      <c r="T476" s="229"/>
      <c r="U476" s="229"/>
      <c r="V476" s="229"/>
      <c r="W476" s="229"/>
      <c r="X476" s="229"/>
      <c r="Y476" s="229"/>
      <c r="Z476" s="229"/>
      <c r="AA476" s="229"/>
      <c r="AB476" s="229"/>
      <c r="AC476" s="229"/>
    </row>
    <row r="477" spans="1:29" ht="12.75" customHeight="1">
      <c r="A477" s="229"/>
      <c r="B477" s="228"/>
      <c r="C477" s="228"/>
      <c r="D477" s="228"/>
      <c r="E477" s="228"/>
      <c r="F477" s="228"/>
      <c r="G477" s="228"/>
      <c r="H477" s="228"/>
      <c r="I477" s="228"/>
      <c r="J477" s="228"/>
      <c r="K477" s="228"/>
      <c r="L477" s="229"/>
      <c r="M477" s="229"/>
      <c r="N477" s="229"/>
      <c r="O477" s="229"/>
      <c r="P477" s="229"/>
      <c r="Q477" s="229"/>
      <c r="R477" s="229"/>
      <c r="S477" s="229"/>
      <c r="T477" s="229"/>
      <c r="U477" s="229"/>
      <c r="V477" s="229"/>
      <c r="W477" s="229"/>
      <c r="X477" s="229"/>
      <c r="Y477" s="229"/>
      <c r="Z477" s="229"/>
      <c r="AA477" s="229"/>
      <c r="AB477" s="229"/>
      <c r="AC477" s="229"/>
    </row>
    <row r="478" spans="1:29" ht="12.75" customHeight="1">
      <c r="A478" s="229"/>
      <c r="B478" s="228"/>
      <c r="C478" s="228"/>
      <c r="D478" s="228"/>
      <c r="E478" s="228"/>
      <c r="F478" s="228"/>
      <c r="G478" s="228"/>
      <c r="H478" s="228"/>
      <c r="I478" s="228"/>
      <c r="J478" s="228"/>
      <c r="K478" s="228"/>
      <c r="L478" s="229"/>
      <c r="M478" s="229"/>
      <c r="N478" s="229"/>
      <c r="O478" s="229"/>
      <c r="P478" s="229"/>
      <c r="Q478" s="229"/>
      <c r="R478" s="229"/>
      <c r="S478" s="229"/>
      <c r="T478" s="229"/>
      <c r="U478" s="229"/>
      <c r="V478" s="229"/>
      <c r="W478" s="229"/>
      <c r="X478" s="229"/>
      <c r="Y478" s="229"/>
      <c r="Z478" s="229"/>
      <c r="AA478" s="229"/>
      <c r="AB478" s="229"/>
      <c r="AC478" s="229"/>
    </row>
    <row r="479" spans="1:29" ht="12.75" customHeight="1">
      <c r="A479" s="229"/>
      <c r="B479" s="228"/>
      <c r="C479" s="228"/>
      <c r="D479" s="228"/>
      <c r="E479" s="228"/>
      <c r="F479" s="228"/>
      <c r="G479" s="228"/>
      <c r="H479" s="228"/>
      <c r="I479" s="228"/>
      <c r="J479" s="228"/>
      <c r="K479" s="228"/>
      <c r="L479" s="229"/>
      <c r="M479" s="229"/>
      <c r="N479" s="229"/>
      <c r="O479" s="229"/>
      <c r="P479" s="229"/>
      <c r="Q479" s="229"/>
      <c r="R479" s="229"/>
      <c r="S479" s="229"/>
      <c r="T479" s="229"/>
      <c r="U479" s="229"/>
      <c r="V479" s="229"/>
      <c r="W479" s="229"/>
      <c r="X479" s="229"/>
      <c r="Y479" s="229"/>
      <c r="Z479" s="229"/>
      <c r="AA479" s="229"/>
      <c r="AB479" s="229"/>
      <c r="AC479" s="229"/>
    </row>
    <row r="480" spans="1:29" ht="12.75" customHeight="1">
      <c r="A480" s="229"/>
      <c r="B480" s="228"/>
      <c r="C480" s="228"/>
      <c r="D480" s="228"/>
      <c r="E480" s="228"/>
      <c r="F480" s="228"/>
      <c r="G480" s="228"/>
      <c r="H480" s="228"/>
      <c r="I480" s="228"/>
      <c r="J480" s="228"/>
      <c r="K480" s="228"/>
      <c r="L480" s="229"/>
      <c r="M480" s="229"/>
      <c r="N480" s="229"/>
      <c r="O480" s="229"/>
      <c r="P480" s="229"/>
      <c r="Q480" s="229"/>
      <c r="R480" s="229"/>
      <c r="S480" s="229"/>
      <c r="T480" s="229"/>
      <c r="U480" s="229"/>
      <c r="V480" s="229"/>
      <c r="W480" s="229"/>
      <c r="X480" s="229"/>
      <c r="Y480" s="229"/>
      <c r="Z480" s="229"/>
      <c r="AA480" s="229"/>
      <c r="AB480" s="229"/>
      <c r="AC480" s="229"/>
    </row>
    <row r="481" spans="1:29" ht="12.75" customHeight="1">
      <c r="A481" s="229"/>
      <c r="B481" s="228"/>
      <c r="C481" s="228"/>
      <c r="D481" s="228"/>
      <c r="E481" s="228"/>
      <c r="F481" s="228"/>
      <c r="G481" s="228"/>
      <c r="H481" s="228"/>
      <c r="I481" s="228"/>
      <c r="J481" s="228"/>
      <c r="K481" s="228"/>
      <c r="L481" s="229"/>
      <c r="M481" s="229"/>
      <c r="N481" s="229"/>
      <c r="O481" s="229"/>
      <c r="P481" s="229"/>
      <c r="Q481" s="229"/>
      <c r="R481" s="229"/>
      <c r="S481" s="229"/>
      <c r="T481" s="229"/>
      <c r="U481" s="229"/>
      <c r="V481" s="229"/>
      <c r="W481" s="229"/>
      <c r="X481" s="229"/>
      <c r="Y481" s="229"/>
      <c r="Z481" s="229"/>
      <c r="AA481" s="229"/>
      <c r="AB481" s="229"/>
      <c r="AC481" s="229"/>
    </row>
    <row r="482" spans="1:29" ht="12.75" customHeight="1">
      <c r="A482" s="229"/>
      <c r="B482" s="228"/>
      <c r="C482" s="228"/>
      <c r="D482" s="228"/>
      <c r="E482" s="228"/>
      <c r="F482" s="228"/>
      <c r="G482" s="228"/>
      <c r="H482" s="228"/>
      <c r="I482" s="228"/>
      <c r="J482" s="228"/>
      <c r="K482" s="228"/>
      <c r="L482" s="229"/>
      <c r="M482" s="229"/>
      <c r="N482" s="229"/>
      <c r="O482" s="229"/>
      <c r="P482" s="229"/>
      <c r="Q482" s="229"/>
      <c r="R482" s="229"/>
      <c r="S482" s="229"/>
      <c r="T482" s="229"/>
      <c r="U482" s="229"/>
      <c r="V482" s="229"/>
      <c r="W482" s="229"/>
      <c r="X482" s="229"/>
      <c r="Y482" s="229"/>
      <c r="Z482" s="229"/>
      <c r="AA482" s="229"/>
      <c r="AB482" s="229"/>
      <c r="AC482" s="229"/>
    </row>
    <row r="483" spans="1:29" ht="12.75" customHeight="1">
      <c r="A483" s="229"/>
      <c r="B483" s="228"/>
      <c r="C483" s="228"/>
      <c r="D483" s="228"/>
      <c r="E483" s="228"/>
      <c r="F483" s="228"/>
      <c r="G483" s="228"/>
      <c r="H483" s="228"/>
      <c r="I483" s="228"/>
      <c r="J483" s="228"/>
      <c r="K483" s="228"/>
      <c r="L483" s="229"/>
      <c r="M483" s="229"/>
      <c r="N483" s="229"/>
      <c r="O483" s="229"/>
      <c r="P483" s="229"/>
      <c r="Q483" s="229"/>
      <c r="R483" s="229"/>
      <c r="S483" s="229"/>
      <c r="T483" s="229"/>
      <c r="U483" s="229"/>
      <c r="V483" s="229"/>
      <c r="W483" s="229"/>
      <c r="X483" s="229"/>
      <c r="Y483" s="229"/>
      <c r="Z483" s="229"/>
      <c r="AA483" s="229"/>
      <c r="AB483" s="229"/>
      <c r="AC483" s="229"/>
    </row>
    <row r="484" spans="1:29" ht="12.75" customHeight="1">
      <c r="A484" s="229"/>
      <c r="B484" s="228"/>
      <c r="C484" s="228"/>
      <c r="D484" s="228"/>
      <c r="E484" s="228"/>
      <c r="F484" s="228"/>
      <c r="G484" s="228"/>
      <c r="H484" s="228"/>
      <c r="I484" s="228"/>
      <c r="J484" s="228"/>
      <c r="K484" s="228"/>
      <c r="L484" s="229"/>
      <c r="M484" s="229"/>
      <c r="N484" s="229"/>
      <c r="O484" s="229"/>
      <c r="P484" s="229"/>
      <c r="Q484" s="229"/>
      <c r="R484" s="229"/>
      <c r="S484" s="229"/>
      <c r="T484" s="229"/>
      <c r="U484" s="229"/>
      <c r="V484" s="229"/>
      <c r="W484" s="229"/>
      <c r="X484" s="229"/>
      <c r="Y484" s="229"/>
      <c r="Z484" s="229"/>
      <c r="AA484" s="229"/>
      <c r="AB484" s="229"/>
      <c r="AC484" s="229"/>
    </row>
    <row r="485" spans="1:29" ht="12.75" customHeight="1">
      <c r="A485" s="229"/>
      <c r="B485" s="228"/>
      <c r="C485" s="228"/>
      <c r="D485" s="228"/>
      <c r="E485" s="228"/>
      <c r="F485" s="228"/>
      <c r="G485" s="228"/>
      <c r="H485" s="228"/>
      <c r="I485" s="228"/>
      <c r="J485" s="228"/>
      <c r="K485" s="228"/>
      <c r="L485" s="229"/>
      <c r="M485" s="229"/>
      <c r="N485" s="229"/>
      <c r="O485" s="229"/>
      <c r="P485" s="229"/>
      <c r="Q485" s="229"/>
      <c r="R485" s="229"/>
      <c r="S485" s="229"/>
      <c r="T485" s="229"/>
      <c r="U485" s="229"/>
      <c r="V485" s="229"/>
      <c r="W485" s="229"/>
      <c r="X485" s="229"/>
      <c r="Y485" s="229"/>
      <c r="Z485" s="229"/>
      <c r="AA485" s="229"/>
      <c r="AB485" s="229"/>
      <c r="AC485" s="229"/>
    </row>
    <row r="486" spans="1:29" ht="12.75" customHeight="1">
      <c r="A486" s="229"/>
      <c r="B486" s="228"/>
      <c r="C486" s="228"/>
      <c r="D486" s="228"/>
      <c r="E486" s="228"/>
      <c r="F486" s="228"/>
      <c r="G486" s="228"/>
      <c r="H486" s="228"/>
      <c r="I486" s="228"/>
      <c r="J486" s="228"/>
      <c r="K486" s="228"/>
      <c r="L486" s="229"/>
      <c r="M486" s="229"/>
      <c r="N486" s="229"/>
      <c r="O486" s="229"/>
      <c r="P486" s="229"/>
      <c r="Q486" s="229"/>
      <c r="R486" s="229"/>
      <c r="S486" s="229"/>
      <c r="T486" s="229"/>
      <c r="U486" s="229"/>
      <c r="V486" s="229"/>
      <c r="W486" s="229"/>
      <c r="X486" s="229"/>
      <c r="Y486" s="229"/>
      <c r="Z486" s="229"/>
      <c r="AA486" s="229"/>
      <c r="AB486" s="229"/>
      <c r="AC486" s="229"/>
    </row>
    <row r="487" spans="1:29" ht="12.75" customHeight="1">
      <c r="A487" s="229"/>
      <c r="B487" s="228"/>
      <c r="C487" s="228"/>
      <c r="D487" s="228"/>
      <c r="E487" s="228"/>
      <c r="F487" s="228"/>
      <c r="G487" s="228"/>
      <c r="H487" s="228"/>
      <c r="I487" s="228"/>
      <c r="J487" s="228"/>
      <c r="K487" s="228"/>
      <c r="L487" s="229"/>
      <c r="M487" s="229"/>
      <c r="N487" s="229"/>
      <c r="O487" s="229"/>
      <c r="P487" s="229"/>
      <c r="Q487" s="229"/>
      <c r="R487" s="229"/>
      <c r="S487" s="229"/>
      <c r="T487" s="229"/>
      <c r="U487" s="229"/>
      <c r="V487" s="229"/>
      <c r="W487" s="229"/>
      <c r="X487" s="229"/>
      <c r="Y487" s="229"/>
      <c r="Z487" s="229"/>
      <c r="AA487" s="229"/>
      <c r="AB487" s="229"/>
      <c r="AC487" s="229"/>
    </row>
    <row r="488" spans="1:29" ht="12.75" customHeight="1">
      <c r="A488" s="229"/>
      <c r="B488" s="228"/>
      <c r="C488" s="228"/>
      <c r="D488" s="228"/>
      <c r="E488" s="228"/>
      <c r="F488" s="228"/>
      <c r="G488" s="228"/>
      <c r="H488" s="228"/>
      <c r="I488" s="228"/>
      <c r="J488" s="228"/>
      <c r="K488" s="228"/>
      <c r="L488" s="229"/>
      <c r="M488" s="229"/>
      <c r="N488" s="229"/>
      <c r="O488" s="229"/>
      <c r="P488" s="229"/>
      <c r="Q488" s="229"/>
      <c r="R488" s="229"/>
      <c r="S488" s="229"/>
      <c r="T488" s="229"/>
      <c r="U488" s="229"/>
      <c r="V488" s="229"/>
      <c r="W488" s="229"/>
      <c r="X488" s="229"/>
      <c r="Y488" s="229"/>
      <c r="Z488" s="229"/>
      <c r="AA488" s="229"/>
      <c r="AB488" s="229"/>
      <c r="AC488" s="229"/>
    </row>
    <row r="489" spans="1:29" ht="12.75" customHeight="1">
      <c r="A489" s="229"/>
      <c r="B489" s="228"/>
      <c r="C489" s="228"/>
      <c r="D489" s="228"/>
      <c r="E489" s="228"/>
      <c r="F489" s="228"/>
      <c r="G489" s="228"/>
      <c r="H489" s="228"/>
      <c r="I489" s="228"/>
      <c r="J489" s="228"/>
      <c r="K489" s="228"/>
      <c r="L489" s="229"/>
      <c r="M489" s="229"/>
      <c r="N489" s="229"/>
      <c r="O489" s="229"/>
      <c r="P489" s="229"/>
      <c r="Q489" s="229"/>
      <c r="R489" s="229"/>
      <c r="S489" s="229"/>
      <c r="T489" s="229"/>
      <c r="U489" s="229"/>
      <c r="V489" s="229"/>
      <c r="W489" s="229"/>
      <c r="X489" s="229"/>
      <c r="Y489" s="229"/>
      <c r="Z489" s="229"/>
      <c r="AA489" s="229"/>
      <c r="AB489" s="229"/>
      <c r="AC489" s="229"/>
    </row>
    <row r="490" spans="1:29" ht="12.75" customHeight="1">
      <c r="A490" s="229"/>
      <c r="B490" s="228"/>
      <c r="C490" s="228"/>
      <c r="D490" s="228"/>
      <c r="E490" s="228"/>
      <c r="F490" s="228"/>
      <c r="G490" s="228"/>
      <c r="H490" s="228"/>
      <c r="I490" s="228"/>
      <c r="J490" s="228"/>
      <c r="K490" s="228"/>
      <c r="L490" s="229"/>
      <c r="M490" s="229"/>
      <c r="N490" s="229"/>
      <c r="O490" s="229"/>
      <c r="P490" s="229"/>
      <c r="Q490" s="229"/>
      <c r="R490" s="229"/>
      <c r="S490" s="229"/>
      <c r="T490" s="229"/>
      <c r="U490" s="229"/>
      <c r="V490" s="229"/>
      <c r="W490" s="229"/>
      <c r="X490" s="229"/>
      <c r="Y490" s="229"/>
      <c r="Z490" s="229"/>
      <c r="AA490" s="229"/>
      <c r="AB490" s="229"/>
      <c r="AC490" s="229"/>
    </row>
    <row r="491" spans="1:29" ht="12.75" customHeight="1">
      <c r="A491" s="229"/>
      <c r="B491" s="228"/>
      <c r="C491" s="228"/>
      <c r="D491" s="228"/>
      <c r="E491" s="228"/>
      <c r="F491" s="228"/>
      <c r="G491" s="228"/>
      <c r="H491" s="228"/>
      <c r="I491" s="228"/>
      <c r="J491" s="228"/>
      <c r="K491" s="228"/>
      <c r="L491" s="229"/>
      <c r="M491" s="229"/>
      <c r="N491" s="229"/>
      <c r="O491" s="229"/>
      <c r="P491" s="229"/>
      <c r="Q491" s="229"/>
      <c r="R491" s="229"/>
      <c r="S491" s="229"/>
      <c r="T491" s="229"/>
      <c r="U491" s="229"/>
      <c r="V491" s="229"/>
      <c r="W491" s="229"/>
      <c r="X491" s="229"/>
      <c r="Y491" s="229"/>
      <c r="Z491" s="229"/>
      <c r="AA491" s="229"/>
      <c r="AB491" s="229"/>
      <c r="AC491" s="229"/>
    </row>
    <row r="492" spans="1:29" ht="12.75" customHeight="1">
      <c r="A492" s="229"/>
      <c r="B492" s="228"/>
      <c r="C492" s="228"/>
      <c r="D492" s="228"/>
      <c r="E492" s="228"/>
      <c r="F492" s="228"/>
      <c r="G492" s="228"/>
      <c r="H492" s="228"/>
      <c r="I492" s="228"/>
      <c r="J492" s="228"/>
      <c r="K492" s="228"/>
      <c r="L492" s="229"/>
      <c r="M492" s="229"/>
      <c r="N492" s="229"/>
      <c r="O492" s="229"/>
      <c r="P492" s="229"/>
      <c r="Q492" s="229"/>
      <c r="R492" s="229"/>
      <c r="S492" s="229"/>
      <c r="T492" s="229"/>
      <c r="U492" s="229"/>
      <c r="V492" s="229"/>
      <c r="W492" s="229"/>
      <c r="X492" s="229"/>
      <c r="Y492" s="229"/>
      <c r="Z492" s="229"/>
      <c r="AA492" s="229"/>
      <c r="AB492" s="229"/>
      <c r="AC492" s="229"/>
    </row>
    <row r="493" spans="1:29" ht="12.75" customHeight="1">
      <c r="A493" s="229"/>
      <c r="B493" s="228"/>
      <c r="C493" s="228"/>
      <c r="D493" s="228"/>
      <c r="E493" s="228"/>
      <c r="F493" s="228"/>
      <c r="G493" s="228"/>
      <c r="H493" s="228"/>
      <c r="I493" s="228"/>
      <c r="J493" s="228"/>
      <c r="K493" s="228"/>
      <c r="L493" s="229"/>
      <c r="M493" s="229"/>
      <c r="N493" s="229"/>
      <c r="O493" s="229"/>
      <c r="P493" s="229"/>
      <c r="Q493" s="229"/>
      <c r="R493" s="229"/>
      <c r="S493" s="229"/>
      <c r="T493" s="229"/>
      <c r="U493" s="229"/>
      <c r="V493" s="229"/>
      <c r="W493" s="229"/>
      <c r="X493" s="229"/>
      <c r="Y493" s="229"/>
      <c r="Z493" s="229"/>
      <c r="AA493" s="229"/>
      <c r="AB493" s="229"/>
      <c r="AC493" s="229"/>
    </row>
    <row r="494" spans="1:29" ht="12.75" customHeight="1">
      <c r="A494" s="229"/>
      <c r="B494" s="228"/>
      <c r="C494" s="228"/>
      <c r="D494" s="228"/>
      <c r="E494" s="228"/>
      <c r="F494" s="228"/>
      <c r="G494" s="228"/>
      <c r="H494" s="228"/>
      <c r="I494" s="228"/>
      <c r="J494" s="228"/>
      <c r="K494" s="228"/>
      <c r="L494" s="229"/>
      <c r="M494" s="229"/>
      <c r="N494" s="229"/>
      <c r="O494" s="229"/>
      <c r="P494" s="229"/>
      <c r="Q494" s="229"/>
      <c r="R494" s="229"/>
      <c r="S494" s="229"/>
      <c r="T494" s="229"/>
      <c r="U494" s="229"/>
      <c r="V494" s="229"/>
      <c r="W494" s="229"/>
      <c r="X494" s="229"/>
      <c r="Y494" s="229"/>
      <c r="Z494" s="229"/>
      <c r="AA494" s="229"/>
      <c r="AB494" s="229"/>
      <c r="AC494" s="229"/>
    </row>
    <row r="495" spans="1:29" ht="12.75" customHeight="1">
      <c r="A495" s="229"/>
      <c r="B495" s="228"/>
      <c r="C495" s="228"/>
      <c r="D495" s="228"/>
      <c r="E495" s="228"/>
      <c r="F495" s="228"/>
      <c r="G495" s="228"/>
      <c r="H495" s="228"/>
      <c r="I495" s="228"/>
      <c r="J495" s="228"/>
      <c r="K495" s="228"/>
      <c r="L495" s="229"/>
      <c r="M495" s="229"/>
      <c r="N495" s="229"/>
      <c r="O495" s="229"/>
      <c r="P495" s="229"/>
      <c r="Q495" s="229"/>
      <c r="R495" s="229"/>
      <c r="S495" s="229"/>
      <c r="T495" s="229"/>
      <c r="U495" s="229"/>
      <c r="V495" s="229"/>
      <c r="W495" s="229"/>
      <c r="X495" s="229"/>
      <c r="Y495" s="229"/>
      <c r="Z495" s="229"/>
      <c r="AA495" s="229"/>
      <c r="AB495" s="229"/>
      <c r="AC495" s="229"/>
    </row>
    <row r="496" spans="1:29" ht="12.75" customHeight="1">
      <c r="A496" s="229"/>
      <c r="B496" s="228"/>
      <c r="C496" s="228"/>
      <c r="D496" s="228"/>
      <c r="E496" s="228"/>
      <c r="F496" s="228"/>
      <c r="G496" s="228"/>
      <c r="H496" s="228"/>
      <c r="I496" s="228"/>
      <c r="J496" s="228"/>
      <c r="K496" s="228"/>
      <c r="L496" s="229"/>
      <c r="M496" s="229"/>
      <c r="N496" s="229"/>
      <c r="O496" s="229"/>
      <c r="P496" s="229"/>
      <c r="Q496" s="229"/>
      <c r="R496" s="229"/>
      <c r="S496" s="229"/>
      <c r="T496" s="229"/>
      <c r="U496" s="229"/>
      <c r="V496" s="229"/>
      <c r="W496" s="229"/>
      <c r="X496" s="229"/>
      <c r="Y496" s="229"/>
      <c r="Z496" s="229"/>
      <c r="AA496" s="229"/>
      <c r="AB496" s="229"/>
      <c r="AC496" s="229"/>
    </row>
    <row r="497" spans="1:29" ht="12.75" customHeight="1">
      <c r="A497" s="229"/>
      <c r="B497" s="228"/>
      <c r="C497" s="228"/>
      <c r="D497" s="228"/>
      <c r="E497" s="228"/>
      <c r="F497" s="228"/>
      <c r="G497" s="228"/>
      <c r="H497" s="228"/>
      <c r="I497" s="228"/>
      <c r="J497" s="228"/>
      <c r="K497" s="228"/>
      <c r="L497" s="229"/>
      <c r="M497" s="229"/>
      <c r="N497" s="229"/>
      <c r="O497" s="229"/>
      <c r="P497" s="229"/>
      <c r="Q497" s="229"/>
      <c r="R497" s="229"/>
      <c r="S497" s="229"/>
      <c r="T497" s="229"/>
      <c r="U497" s="229"/>
      <c r="V497" s="229"/>
      <c r="W497" s="229"/>
      <c r="X497" s="229"/>
      <c r="Y497" s="229"/>
      <c r="Z497" s="229"/>
      <c r="AA497" s="229"/>
      <c r="AB497" s="229"/>
      <c r="AC497" s="229"/>
    </row>
    <row r="498" spans="1:29" ht="12.75" customHeight="1">
      <c r="A498" s="229"/>
      <c r="B498" s="228"/>
      <c r="C498" s="228"/>
      <c r="D498" s="228"/>
      <c r="E498" s="228"/>
      <c r="F498" s="228"/>
      <c r="G498" s="228"/>
      <c r="H498" s="228"/>
      <c r="I498" s="228"/>
      <c r="J498" s="228"/>
      <c r="K498" s="228"/>
      <c r="L498" s="229"/>
      <c r="M498" s="229"/>
      <c r="N498" s="229"/>
      <c r="O498" s="229"/>
      <c r="P498" s="229"/>
      <c r="Q498" s="229"/>
      <c r="R498" s="229"/>
      <c r="S498" s="229"/>
      <c r="T498" s="229"/>
      <c r="U498" s="229"/>
      <c r="V498" s="229"/>
      <c r="W498" s="229"/>
      <c r="X498" s="229"/>
      <c r="Y498" s="229"/>
      <c r="Z498" s="229"/>
      <c r="AA498" s="229"/>
      <c r="AB498" s="229"/>
      <c r="AC498" s="229"/>
    </row>
    <row r="499" spans="1:29" ht="12.75" customHeight="1">
      <c r="A499" s="229"/>
      <c r="B499" s="228"/>
      <c r="C499" s="228"/>
      <c r="D499" s="228"/>
      <c r="E499" s="228"/>
      <c r="F499" s="228"/>
      <c r="G499" s="228"/>
      <c r="H499" s="228"/>
      <c r="I499" s="228"/>
      <c r="J499" s="228"/>
      <c r="K499" s="228"/>
      <c r="L499" s="229"/>
      <c r="M499" s="229"/>
      <c r="N499" s="229"/>
      <c r="O499" s="229"/>
      <c r="P499" s="229"/>
      <c r="Q499" s="229"/>
      <c r="R499" s="229"/>
      <c r="S499" s="229"/>
      <c r="T499" s="229"/>
      <c r="U499" s="229"/>
      <c r="V499" s="229"/>
      <c r="W499" s="229"/>
      <c r="X499" s="229"/>
      <c r="Y499" s="229"/>
      <c r="Z499" s="229"/>
      <c r="AA499" s="229"/>
      <c r="AB499" s="229"/>
      <c r="AC499" s="229"/>
    </row>
    <row r="500" spans="1:29" ht="12.75" customHeight="1">
      <c r="A500" s="229"/>
      <c r="B500" s="228"/>
      <c r="C500" s="228"/>
      <c r="D500" s="228"/>
      <c r="E500" s="228"/>
      <c r="F500" s="228"/>
      <c r="G500" s="228"/>
      <c r="H500" s="228"/>
      <c r="I500" s="228"/>
      <c r="J500" s="228"/>
      <c r="K500" s="228"/>
      <c r="L500" s="229"/>
      <c r="M500" s="229"/>
      <c r="N500" s="229"/>
      <c r="O500" s="229"/>
      <c r="P500" s="229"/>
      <c r="Q500" s="229"/>
      <c r="R500" s="229"/>
      <c r="S500" s="229"/>
      <c r="T500" s="229"/>
      <c r="U500" s="229"/>
      <c r="V500" s="229"/>
      <c r="W500" s="229"/>
      <c r="X500" s="229"/>
      <c r="Y500" s="229"/>
      <c r="Z500" s="229"/>
      <c r="AA500" s="229"/>
      <c r="AB500" s="229"/>
      <c r="AC500" s="229"/>
    </row>
    <row r="501" spans="1:29" ht="12.75" customHeight="1">
      <c r="A501" s="229"/>
      <c r="B501" s="228"/>
      <c r="C501" s="228"/>
      <c r="D501" s="228"/>
      <c r="E501" s="228"/>
      <c r="F501" s="228"/>
      <c r="G501" s="228"/>
      <c r="H501" s="228"/>
      <c r="I501" s="228"/>
      <c r="J501" s="228"/>
      <c r="K501" s="228"/>
      <c r="L501" s="229"/>
      <c r="M501" s="229"/>
      <c r="N501" s="229"/>
      <c r="O501" s="229"/>
      <c r="P501" s="229"/>
      <c r="Q501" s="229"/>
      <c r="R501" s="229"/>
      <c r="S501" s="229"/>
      <c r="T501" s="229"/>
      <c r="U501" s="229"/>
      <c r="V501" s="229"/>
      <c r="W501" s="229"/>
      <c r="X501" s="229"/>
      <c r="Y501" s="229"/>
      <c r="Z501" s="229"/>
      <c r="AA501" s="229"/>
      <c r="AB501" s="229"/>
      <c r="AC501" s="229"/>
    </row>
    <row r="502" spans="1:29" ht="12.75" customHeight="1">
      <c r="A502" s="229"/>
      <c r="B502" s="228"/>
      <c r="C502" s="228"/>
      <c r="D502" s="228"/>
      <c r="E502" s="228"/>
      <c r="F502" s="228"/>
      <c r="G502" s="228"/>
      <c r="H502" s="228"/>
      <c r="I502" s="228"/>
      <c r="J502" s="228"/>
      <c r="K502" s="228"/>
      <c r="L502" s="229"/>
      <c r="M502" s="229"/>
      <c r="N502" s="229"/>
      <c r="O502" s="229"/>
      <c r="P502" s="229"/>
      <c r="Q502" s="229"/>
      <c r="R502" s="229"/>
      <c r="S502" s="229"/>
      <c r="T502" s="229"/>
      <c r="U502" s="229"/>
      <c r="V502" s="229"/>
      <c r="W502" s="229"/>
      <c r="X502" s="229"/>
      <c r="Y502" s="229"/>
      <c r="Z502" s="229"/>
      <c r="AA502" s="229"/>
      <c r="AB502" s="229"/>
      <c r="AC502" s="229"/>
    </row>
    <row r="503" spans="1:29" ht="12.75" customHeight="1">
      <c r="A503" s="229"/>
      <c r="B503" s="228"/>
      <c r="C503" s="228"/>
      <c r="D503" s="228"/>
      <c r="E503" s="228"/>
      <c r="F503" s="228"/>
      <c r="G503" s="228"/>
      <c r="H503" s="228"/>
      <c r="I503" s="228"/>
      <c r="J503" s="228"/>
      <c r="K503" s="228"/>
      <c r="L503" s="229"/>
      <c r="M503" s="229"/>
      <c r="N503" s="229"/>
      <c r="O503" s="229"/>
      <c r="P503" s="229"/>
      <c r="Q503" s="229"/>
      <c r="R503" s="229"/>
      <c r="S503" s="229"/>
      <c r="T503" s="229"/>
      <c r="U503" s="229"/>
      <c r="V503" s="229"/>
      <c r="W503" s="229"/>
      <c r="X503" s="229"/>
      <c r="Y503" s="229"/>
      <c r="Z503" s="229"/>
      <c r="AA503" s="229"/>
      <c r="AB503" s="229"/>
      <c r="AC503" s="229"/>
    </row>
    <row r="504" spans="1:29" ht="12.75" customHeight="1">
      <c r="A504" s="229"/>
      <c r="B504" s="228"/>
      <c r="C504" s="228"/>
      <c r="D504" s="228"/>
      <c r="E504" s="228"/>
      <c r="F504" s="228"/>
      <c r="G504" s="228"/>
      <c r="H504" s="228"/>
      <c r="I504" s="228"/>
      <c r="J504" s="228"/>
      <c r="K504" s="228"/>
      <c r="L504" s="229"/>
      <c r="M504" s="229"/>
      <c r="N504" s="229"/>
      <c r="O504" s="229"/>
      <c r="P504" s="229"/>
      <c r="Q504" s="229"/>
      <c r="R504" s="229"/>
      <c r="S504" s="229"/>
      <c r="T504" s="229"/>
      <c r="U504" s="229"/>
      <c r="V504" s="229"/>
      <c r="W504" s="229"/>
      <c r="X504" s="229"/>
      <c r="Y504" s="229"/>
      <c r="Z504" s="229"/>
      <c r="AA504" s="229"/>
      <c r="AB504" s="229"/>
      <c r="AC504" s="229"/>
    </row>
    <row r="505" spans="1:29" ht="12.75" customHeight="1">
      <c r="A505" s="229"/>
      <c r="B505" s="228"/>
      <c r="C505" s="228"/>
      <c r="D505" s="228"/>
      <c r="E505" s="228"/>
      <c r="F505" s="228"/>
      <c r="G505" s="228"/>
      <c r="H505" s="228"/>
      <c r="I505" s="228"/>
      <c r="J505" s="228"/>
      <c r="K505" s="228"/>
      <c r="L505" s="229"/>
      <c r="M505" s="229"/>
      <c r="N505" s="229"/>
      <c r="O505" s="229"/>
      <c r="P505" s="229"/>
      <c r="Q505" s="229"/>
      <c r="R505" s="229"/>
      <c r="S505" s="229"/>
      <c r="T505" s="229"/>
      <c r="U505" s="229"/>
      <c r="V505" s="229"/>
      <c r="W505" s="229"/>
      <c r="X505" s="229"/>
      <c r="Y505" s="229"/>
      <c r="Z505" s="229"/>
      <c r="AA505" s="229"/>
      <c r="AB505" s="229"/>
      <c r="AC505" s="229"/>
    </row>
    <row r="506" spans="1:29" ht="12.75" customHeight="1">
      <c r="A506" s="229"/>
      <c r="B506" s="228"/>
      <c r="C506" s="228"/>
      <c r="D506" s="228"/>
      <c r="E506" s="228"/>
      <c r="F506" s="228"/>
      <c r="G506" s="228"/>
      <c r="H506" s="228"/>
      <c r="I506" s="228"/>
      <c r="J506" s="228"/>
      <c r="K506" s="228"/>
      <c r="L506" s="229"/>
      <c r="M506" s="229"/>
      <c r="N506" s="229"/>
      <c r="O506" s="229"/>
      <c r="P506" s="229"/>
      <c r="Q506" s="229"/>
      <c r="R506" s="229"/>
      <c r="S506" s="229"/>
      <c r="T506" s="229"/>
      <c r="U506" s="229"/>
      <c r="V506" s="229"/>
      <c r="W506" s="229"/>
      <c r="X506" s="229"/>
      <c r="Y506" s="229"/>
      <c r="Z506" s="229"/>
      <c r="AA506" s="229"/>
      <c r="AB506" s="229"/>
      <c r="AC506" s="229"/>
    </row>
    <row r="507" spans="1:29" ht="12.75" customHeight="1">
      <c r="A507" s="229"/>
      <c r="B507" s="228"/>
      <c r="C507" s="228"/>
      <c r="D507" s="228"/>
      <c r="E507" s="228"/>
      <c r="F507" s="228"/>
      <c r="G507" s="228"/>
      <c r="H507" s="228"/>
      <c r="I507" s="228"/>
      <c r="J507" s="228"/>
      <c r="K507" s="228"/>
      <c r="L507" s="229"/>
      <c r="M507" s="229"/>
      <c r="N507" s="229"/>
      <c r="O507" s="229"/>
      <c r="P507" s="229"/>
      <c r="Q507" s="229"/>
      <c r="R507" s="229"/>
      <c r="S507" s="229"/>
      <c r="T507" s="229"/>
      <c r="U507" s="229"/>
      <c r="V507" s="229"/>
      <c r="W507" s="229"/>
      <c r="X507" s="229"/>
      <c r="Y507" s="229"/>
      <c r="Z507" s="229"/>
      <c r="AA507" s="229"/>
      <c r="AB507" s="229"/>
      <c r="AC507" s="229"/>
    </row>
    <row r="508" spans="1:29" ht="12.75" customHeight="1">
      <c r="A508" s="229"/>
      <c r="B508" s="228"/>
      <c r="C508" s="228"/>
      <c r="D508" s="228"/>
      <c r="E508" s="228"/>
      <c r="F508" s="228"/>
      <c r="G508" s="228"/>
      <c r="H508" s="228"/>
      <c r="I508" s="228"/>
      <c r="J508" s="228"/>
      <c r="K508" s="228"/>
      <c r="L508" s="229"/>
      <c r="M508" s="229"/>
      <c r="N508" s="229"/>
      <c r="O508" s="229"/>
      <c r="P508" s="229"/>
      <c r="Q508" s="229"/>
      <c r="R508" s="229"/>
      <c r="S508" s="229"/>
      <c r="T508" s="229"/>
      <c r="U508" s="229"/>
      <c r="V508" s="229"/>
      <c r="W508" s="229"/>
      <c r="X508" s="229"/>
      <c r="Y508" s="229"/>
      <c r="Z508" s="229"/>
      <c r="AA508" s="229"/>
      <c r="AB508" s="229"/>
      <c r="AC508" s="229"/>
    </row>
    <row r="509" spans="1:29" ht="12.75" customHeight="1">
      <c r="A509" s="229"/>
      <c r="B509" s="228"/>
      <c r="C509" s="228"/>
      <c r="D509" s="228"/>
      <c r="E509" s="228"/>
      <c r="F509" s="228"/>
      <c r="G509" s="228"/>
      <c r="H509" s="228"/>
      <c r="I509" s="228"/>
      <c r="J509" s="228"/>
      <c r="K509" s="228"/>
      <c r="L509" s="229"/>
      <c r="M509" s="229"/>
      <c r="N509" s="229"/>
      <c r="O509" s="229"/>
      <c r="P509" s="229"/>
      <c r="Q509" s="229"/>
      <c r="R509" s="229"/>
      <c r="S509" s="229"/>
      <c r="T509" s="229"/>
      <c r="U509" s="229"/>
      <c r="V509" s="229"/>
      <c r="W509" s="229"/>
      <c r="X509" s="229"/>
      <c r="Y509" s="229"/>
      <c r="Z509" s="229"/>
      <c r="AA509" s="229"/>
      <c r="AB509" s="229"/>
      <c r="AC509" s="229"/>
    </row>
    <row r="510" spans="1:29" ht="12.75" customHeight="1">
      <c r="A510" s="229"/>
      <c r="B510" s="228"/>
      <c r="C510" s="228"/>
      <c r="D510" s="228"/>
      <c r="E510" s="228"/>
      <c r="F510" s="228"/>
      <c r="G510" s="228"/>
      <c r="H510" s="228"/>
      <c r="I510" s="228"/>
      <c r="J510" s="228"/>
      <c r="K510" s="228"/>
      <c r="L510" s="229"/>
      <c r="M510" s="229"/>
      <c r="N510" s="229"/>
      <c r="O510" s="229"/>
      <c r="P510" s="229"/>
      <c r="Q510" s="229"/>
      <c r="R510" s="229"/>
      <c r="S510" s="229"/>
      <c r="T510" s="229"/>
      <c r="U510" s="229"/>
      <c r="V510" s="229"/>
      <c r="W510" s="229"/>
      <c r="X510" s="229"/>
      <c r="Y510" s="229"/>
      <c r="Z510" s="229"/>
      <c r="AA510" s="229"/>
      <c r="AB510" s="229"/>
      <c r="AC510" s="229"/>
    </row>
    <row r="511" spans="1:29" ht="12.75" customHeight="1">
      <c r="A511" s="229"/>
      <c r="B511" s="228"/>
      <c r="C511" s="228"/>
      <c r="D511" s="228"/>
      <c r="E511" s="228"/>
      <c r="F511" s="228"/>
      <c r="G511" s="228"/>
      <c r="H511" s="228"/>
      <c r="I511" s="228"/>
      <c r="J511" s="228"/>
      <c r="K511" s="228"/>
      <c r="L511" s="229"/>
      <c r="M511" s="229"/>
      <c r="N511" s="229"/>
      <c r="O511" s="229"/>
      <c r="P511" s="229"/>
      <c r="Q511" s="229"/>
      <c r="R511" s="229"/>
      <c r="S511" s="229"/>
      <c r="T511" s="229"/>
      <c r="U511" s="229"/>
      <c r="V511" s="229"/>
      <c r="W511" s="229"/>
      <c r="X511" s="229"/>
      <c r="Y511" s="229"/>
      <c r="Z511" s="229"/>
      <c r="AA511" s="229"/>
      <c r="AB511" s="229"/>
      <c r="AC511" s="229"/>
    </row>
    <row r="512" spans="1:29" ht="12.75" customHeight="1">
      <c r="A512" s="229"/>
      <c r="B512" s="228"/>
      <c r="C512" s="228"/>
      <c r="D512" s="228"/>
      <c r="E512" s="228"/>
      <c r="F512" s="228"/>
      <c r="G512" s="228"/>
      <c r="H512" s="228"/>
      <c r="I512" s="228"/>
      <c r="J512" s="228"/>
      <c r="K512" s="228"/>
      <c r="L512" s="229"/>
      <c r="M512" s="229"/>
      <c r="N512" s="229"/>
      <c r="O512" s="229"/>
      <c r="P512" s="229"/>
      <c r="Q512" s="229"/>
      <c r="R512" s="229"/>
      <c r="S512" s="229"/>
      <c r="T512" s="229"/>
      <c r="U512" s="229"/>
      <c r="V512" s="229"/>
      <c r="W512" s="229"/>
      <c r="X512" s="229"/>
      <c r="Y512" s="229"/>
      <c r="Z512" s="229"/>
      <c r="AA512" s="229"/>
      <c r="AB512" s="229"/>
      <c r="AC512" s="229"/>
    </row>
    <row r="513" spans="1:29" ht="12.75" customHeight="1">
      <c r="A513" s="229"/>
      <c r="B513" s="228"/>
      <c r="C513" s="228"/>
      <c r="D513" s="228"/>
      <c r="E513" s="228"/>
      <c r="F513" s="228"/>
      <c r="G513" s="228"/>
      <c r="H513" s="228"/>
      <c r="I513" s="228"/>
      <c r="J513" s="228"/>
      <c r="K513" s="228"/>
      <c r="L513" s="229"/>
      <c r="M513" s="229"/>
      <c r="N513" s="229"/>
      <c r="O513" s="229"/>
      <c r="P513" s="229"/>
      <c r="Q513" s="229"/>
      <c r="R513" s="229"/>
      <c r="S513" s="229"/>
      <c r="T513" s="229"/>
      <c r="U513" s="229"/>
      <c r="V513" s="229"/>
      <c r="W513" s="229"/>
      <c r="X513" s="229"/>
      <c r="Y513" s="229"/>
      <c r="Z513" s="229"/>
      <c r="AA513" s="229"/>
      <c r="AB513" s="229"/>
      <c r="AC513" s="229"/>
    </row>
    <row r="514" spans="1:29" ht="12.75" customHeight="1">
      <c r="A514" s="229"/>
      <c r="B514" s="228"/>
      <c r="C514" s="228"/>
      <c r="D514" s="228"/>
      <c r="E514" s="228"/>
      <c r="F514" s="228"/>
      <c r="G514" s="228"/>
      <c r="H514" s="228"/>
      <c r="I514" s="228"/>
      <c r="J514" s="228"/>
      <c r="K514" s="228"/>
      <c r="L514" s="229"/>
      <c r="M514" s="229"/>
      <c r="N514" s="229"/>
      <c r="O514" s="229"/>
      <c r="P514" s="229"/>
      <c r="Q514" s="229"/>
      <c r="R514" s="229"/>
      <c r="S514" s="229"/>
      <c r="T514" s="229"/>
      <c r="U514" s="229"/>
      <c r="V514" s="229"/>
      <c r="W514" s="229"/>
      <c r="X514" s="229"/>
      <c r="Y514" s="229"/>
      <c r="Z514" s="229"/>
      <c r="AA514" s="229"/>
      <c r="AB514" s="229"/>
      <c r="AC514" s="229"/>
    </row>
    <row r="515" spans="1:29" ht="12.75" customHeight="1">
      <c r="A515" s="229"/>
      <c r="B515" s="228"/>
      <c r="C515" s="228"/>
      <c r="D515" s="228"/>
      <c r="E515" s="228"/>
      <c r="F515" s="228"/>
      <c r="G515" s="228"/>
      <c r="H515" s="228"/>
      <c r="I515" s="228"/>
      <c r="J515" s="228"/>
      <c r="K515" s="228"/>
      <c r="L515" s="229"/>
      <c r="M515" s="229"/>
      <c r="N515" s="229"/>
      <c r="O515" s="229"/>
      <c r="P515" s="229"/>
      <c r="Q515" s="229"/>
      <c r="R515" s="229"/>
      <c r="S515" s="229"/>
      <c r="T515" s="229"/>
      <c r="U515" s="229"/>
      <c r="V515" s="229"/>
      <c r="W515" s="229"/>
      <c r="X515" s="229"/>
      <c r="Y515" s="229"/>
      <c r="Z515" s="229"/>
      <c r="AA515" s="229"/>
      <c r="AB515" s="229"/>
      <c r="AC515" s="229"/>
    </row>
    <row r="516" spans="1:29" ht="12.75" customHeight="1">
      <c r="A516" s="229"/>
      <c r="B516" s="228"/>
      <c r="C516" s="228"/>
      <c r="D516" s="228"/>
      <c r="E516" s="228"/>
      <c r="F516" s="228"/>
      <c r="G516" s="228"/>
      <c r="H516" s="228"/>
      <c r="I516" s="228"/>
      <c r="J516" s="228"/>
      <c r="K516" s="228"/>
      <c r="L516" s="229"/>
      <c r="M516" s="229"/>
      <c r="N516" s="229"/>
      <c r="O516" s="229"/>
      <c r="P516" s="229"/>
      <c r="Q516" s="229"/>
      <c r="R516" s="229"/>
      <c r="S516" s="229"/>
      <c r="T516" s="229"/>
      <c r="U516" s="229"/>
      <c r="V516" s="229"/>
      <c r="W516" s="229"/>
      <c r="X516" s="229"/>
      <c r="Y516" s="229"/>
      <c r="Z516" s="229"/>
      <c r="AA516" s="229"/>
      <c r="AB516" s="229"/>
      <c r="AC516" s="229"/>
    </row>
    <row r="517" spans="1:29" ht="12.75" customHeight="1">
      <c r="A517" s="229"/>
      <c r="B517" s="228"/>
      <c r="C517" s="228"/>
      <c r="D517" s="228"/>
      <c r="E517" s="228"/>
      <c r="F517" s="228"/>
      <c r="G517" s="228"/>
      <c r="H517" s="228"/>
      <c r="I517" s="228"/>
      <c r="J517" s="228"/>
      <c r="K517" s="228"/>
      <c r="L517" s="229"/>
      <c r="M517" s="229"/>
      <c r="N517" s="229"/>
      <c r="O517" s="229"/>
      <c r="P517" s="229"/>
      <c r="Q517" s="229"/>
      <c r="R517" s="229"/>
      <c r="S517" s="229"/>
      <c r="T517" s="229"/>
      <c r="U517" s="229"/>
      <c r="V517" s="229"/>
      <c r="W517" s="229"/>
      <c r="X517" s="229"/>
      <c r="Y517" s="229"/>
      <c r="Z517" s="229"/>
      <c r="AA517" s="229"/>
      <c r="AB517" s="229"/>
      <c r="AC517" s="229"/>
    </row>
    <row r="518" spans="1:29" ht="12.75" customHeight="1">
      <c r="A518" s="229"/>
      <c r="B518" s="228"/>
      <c r="C518" s="228"/>
      <c r="D518" s="228"/>
      <c r="E518" s="228"/>
      <c r="F518" s="228"/>
      <c r="G518" s="228"/>
      <c r="H518" s="228"/>
      <c r="I518" s="228"/>
      <c r="J518" s="228"/>
      <c r="K518" s="228"/>
      <c r="L518" s="229"/>
      <c r="M518" s="229"/>
      <c r="N518" s="229"/>
      <c r="O518" s="229"/>
      <c r="P518" s="229"/>
      <c r="Q518" s="229"/>
      <c r="R518" s="229"/>
      <c r="S518" s="229"/>
      <c r="T518" s="229"/>
      <c r="U518" s="229"/>
      <c r="V518" s="229"/>
      <c r="W518" s="229"/>
      <c r="X518" s="229"/>
      <c r="Y518" s="229"/>
      <c r="Z518" s="229"/>
      <c r="AA518" s="229"/>
      <c r="AB518" s="229"/>
      <c r="AC518" s="229"/>
    </row>
    <row r="519" spans="1:29" ht="12.75" customHeight="1">
      <c r="A519" s="229"/>
      <c r="B519" s="228"/>
      <c r="C519" s="228"/>
      <c r="D519" s="228"/>
      <c r="E519" s="228"/>
      <c r="F519" s="228"/>
      <c r="G519" s="228"/>
      <c r="H519" s="228"/>
      <c r="I519" s="228"/>
      <c r="J519" s="228"/>
      <c r="K519" s="228"/>
      <c r="L519" s="229"/>
      <c r="M519" s="229"/>
      <c r="N519" s="229"/>
      <c r="O519" s="229"/>
      <c r="P519" s="229"/>
      <c r="Q519" s="229"/>
      <c r="R519" s="229"/>
      <c r="S519" s="229"/>
      <c r="T519" s="229"/>
      <c r="U519" s="229"/>
      <c r="V519" s="229"/>
      <c r="W519" s="229"/>
      <c r="X519" s="229"/>
      <c r="Y519" s="229"/>
      <c r="Z519" s="229"/>
      <c r="AA519" s="229"/>
      <c r="AB519" s="229"/>
      <c r="AC519" s="229"/>
    </row>
    <row r="520" spans="1:29" ht="12.75" customHeight="1">
      <c r="A520" s="229"/>
      <c r="B520" s="228"/>
      <c r="C520" s="228"/>
      <c r="D520" s="228"/>
      <c r="E520" s="228"/>
      <c r="F520" s="228"/>
      <c r="G520" s="228"/>
      <c r="H520" s="228"/>
      <c r="I520" s="228"/>
      <c r="J520" s="228"/>
      <c r="K520" s="228"/>
      <c r="L520" s="229"/>
      <c r="M520" s="229"/>
      <c r="N520" s="229"/>
      <c r="O520" s="229"/>
      <c r="P520" s="229"/>
      <c r="Q520" s="229"/>
      <c r="R520" s="229"/>
      <c r="S520" s="229"/>
      <c r="T520" s="229"/>
      <c r="U520" s="229"/>
      <c r="V520" s="229"/>
      <c r="W520" s="229"/>
      <c r="X520" s="229"/>
      <c r="Y520" s="229"/>
      <c r="Z520" s="229"/>
      <c r="AA520" s="229"/>
      <c r="AB520" s="229"/>
      <c r="AC520" s="229"/>
    </row>
    <row r="521" spans="1:29" ht="12.75" customHeight="1">
      <c r="A521" s="229"/>
      <c r="B521" s="228"/>
      <c r="C521" s="228"/>
      <c r="D521" s="228"/>
      <c r="E521" s="228"/>
      <c r="F521" s="228"/>
      <c r="G521" s="228"/>
      <c r="H521" s="228"/>
      <c r="I521" s="228"/>
      <c r="J521" s="228"/>
      <c r="K521" s="228"/>
      <c r="L521" s="229"/>
      <c r="M521" s="229"/>
      <c r="N521" s="229"/>
      <c r="O521" s="229"/>
      <c r="P521" s="229"/>
      <c r="Q521" s="229"/>
      <c r="R521" s="229"/>
      <c r="S521" s="229"/>
      <c r="T521" s="229"/>
      <c r="U521" s="229"/>
      <c r="V521" s="229"/>
      <c r="W521" s="229"/>
      <c r="X521" s="229"/>
      <c r="Y521" s="229"/>
      <c r="Z521" s="229"/>
      <c r="AA521" s="229"/>
      <c r="AB521" s="229"/>
      <c r="AC521" s="229"/>
    </row>
    <row r="522" spans="1:29" ht="12.75" customHeight="1">
      <c r="A522" s="229"/>
      <c r="B522" s="228"/>
      <c r="C522" s="228"/>
      <c r="D522" s="228"/>
      <c r="E522" s="228"/>
      <c r="F522" s="228"/>
      <c r="G522" s="228"/>
      <c r="H522" s="228"/>
      <c r="I522" s="228"/>
      <c r="J522" s="228"/>
      <c r="K522" s="228"/>
      <c r="L522" s="229"/>
      <c r="M522" s="229"/>
      <c r="N522" s="229"/>
      <c r="O522" s="229"/>
      <c r="P522" s="229"/>
      <c r="Q522" s="229"/>
      <c r="R522" s="229"/>
      <c r="S522" s="229"/>
      <c r="T522" s="229"/>
      <c r="U522" s="229"/>
      <c r="V522" s="229"/>
      <c r="W522" s="229"/>
      <c r="X522" s="229"/>
      <c r="Y522" s="229"/>
      <c r="Z522" s="229"/>
      <c r="AA522" s="229"/>
      <c r="AB522" s="229"/>
      <c r="AC522" s="229"/>
    </row>
    <row r="523" spans="1:29" ht="12.75" customHeight="1">
      <c r="A523" s="229"/>
      <c r="B523" s="228"/>
      <c r="C523" s="228"/>
      <c r="D523" s="228"/>
      <c r="E523" s="228"/>
      <c r="F523" s="228"/>
      <c r="G523" s="228"/>
      <c r="H523" s="228"/>
      <c r="I523" s="228"/>
      <c r="J523" s="228"/>
      <c r="K523" s="228"/>
      <c r="L523" s="229"/>
      <c r="M523" s="229"/>
      <c r="N523" s="229"/>
      <c r="O523" s="229"/>
      <c r="P523" s="229"/>
      <c r="Q523" s="229"/>
      <c r="R523" s="229"/>
      <c r="S523" s="229"/>
      <c r="T523" s="229"/>
      <c r="U523" s="229"/>
      <c r="V523" s="229"/>
      <c r="W523" s="229"/>
      <c r="X523" s="229"/>
      <c r="Y523" s="229"/>
      <c r="Z523" s="229"/>
      <c r="AA523" s="229"/>
      <c r="AB523" s="229"/>
      <c r="AC523" s="229"/>
    </row>
    <row r="524" spans="1:29" ht="12.75" customHeight="1">
      <c r="A524" s="229"/>
      <c r="B524" s="228"/>
      <c r="C524" s="228"/>
      <c r="D524" s="228"/>
      <c r="E524" s="228"/>
      <c r="F524" s="228"/>
      <c r="G524" s="228"/>
      <c r="H524" s="228"/>
      <c r="I524" s="228"/>
      <c r="J524" s="228"/>
      <c r="K524" s="228"/>
      <c r="L524" s="229"/>
      <c r="M524" s="229"/>
      <c r="N524" s="229"/>
      <c r="O524" s="229"/>
      <c r="P524" s="229"/>
      <c r="Q524" s="229"/>
      <c r="R524" s="229"/>
      <c r="S524" s="229"/>
      <c r="T524" s="229"/>
      <c r="U524" s="229"/>
      <c r="V524" s="229"/>
      <c r="W524" s="229"/>
      <c r="X524" s="229"/>
      <c r="Y524" s="229"/>
      <c r="Z524" s="229"/>
      <c r="AA524" s="229"/>
      <c r="AB524" s="229"/>
      <c r="AC524" s="229"/>
    </row>
    <row r="525" spans="1:29" ht="12.75" customHeight="1">
      <c r="A525" s="229"/>
      <c r="B525" s="228"/>
      <c r="C525" s="228"/>
      <c r="D525" s="228"/>
      <c r="E525" s="228"/>
      <c r="F525" s="228"/>
      <c r="G525" s="228"/>
      <c r="H525" s="228"/>
      <c r="I525" s="228"/>
      <c r="J525" s="228"/>
      <c r="K525" s="228"/>
      <c r="L525" s="229"/>
      <c r="M525" s="229"/>
      <c r="N525" s="229"/>
      <c r="O525" s="229"/>
      <c r="P525" s="229"/>
      <c r="Q525" s="229"/>
      <c r="R525" s="229"/>
      <c r="S525" s="229"/>
      <c r="T525" s="229"/>
      <c r="U525" s="229"/>
      <c r="V525" s="229"/>
      <c r="W525" s="229"/>
      <c r="X525" s="229"/>
      <c r="Y525" s="229"/>
      <c r="Z525" s="229"/>
      <c r="AA525" s="229"/>
      <c r="AB525" s="229"/>
      <c r="AC525" s="229"/>
    </row>
    <row r="526" spans="1:29" ht="12.75" customHeight="1">
      <c r="A526" s="229"/>
      <c r="B526" s="228"/>
      <c r="C526" s="228"/>
      <c r="D526" s="228"/>
      <c r="E526" s="228"/>
      <c r="F526" s="228"/>
      <c r="G526" s="228"/>
      <c r="H526" s="228"/>
      <c r="I526" s="228"/>
      <c r="J526" s="228"/>
      <c r="K526" s="228"/>
      <c r="L526" s="229"/>
      <c r="M526" s="229"/>
      <c r="N526" s="229"/>
      <c r="O526" s="229"/>
      <c r="P526" s="229"/>
      <c r="Q526" s="229"/>
      <c r="R526" s="229"/>
      <c r="S526" s="229"/>
      <c r="T526" s="229"/>
      <c r="U526" s="229"/>
      <c r="V526" s="229"/>
      <c r="W526" s="229"/>
      <c r="X526" s="229"/>
      <c r="Y526" s="229"/>
      <c r="Z526" s="229"/>
      <c r="AA526" s="229"/>
      <c r="AB526" s="229"/>
      <c r="AC526" s="229"/>
    </row>
    <row r="527" spans="1:29" ht="12.75" customHeight="1">
      <c r="A527" s="229"/>
      <c r="B527" s="228"/>
      <c r="C527" s="228"/>
      <c r="D527" s="228"/>
      <c r="E527" s="228"/>
      <c r="F527" s="228"/>
      <c r="G527" s="228"/>
      <c r="H527" s="228"/>
      <c r="I527" s="228"/>
      <c r="J527" s="228"/>
      <c r="K527" s="228"/>
      <c r="L527" s="229"/>
      <c r="M527" s="229"/>
      <c r="N527" s="229"/>
      <c r="O527" s="229"/>
      <c r="P527" s="229"/>
      <c r="Q527" s="229"/>
      <c r="R527" s="229"/>
      <c r="S527" s="229"/>
      <c r="T527" s="229"/>
      <c r="U527" s="229"/>
      <c r="V527" s="229"/>
      <c r="W527" s="229"/>
      <c r="X527" s="229"/>
      <c r="Y527" s="229"/>
      <c r="Z527" s="229"/>
      <c r="AA527" s="229"/>
      <c r="AB527" s="229"/>
      <c r="AC527" s="229"/>
    </row>
    <row r="528" spans="1:29" ht="12.75" customHeight="1">
      <c r="A528" s="229"/>
      <c r="B528" s="228"/>
      <c r="C528" s="228"/>
      <c r="D528" s="228"/>
      <c r="E528" s="228"/>
      <c r="F528" s="228"/>
      <c r="G528" s="228"/>
      <c r="H528" s="228"/>
      <c r="I528" s="228"/>
      <c r="J528" s="228"/>
      <c r="K528" s="228"/>
      <c r="L528" s="229"/>
      <c r="M528" s="229"/>
      <c r="N528" s="229"/>
      <c r="O528" s="229"/>
      <c r="P528" s="229"/>
      <c r="Q528" s="229"/>
      <c r="R528" s="229"/>
      <c r="S528" s="229"/>
      <c r="T528" s="229"/>
      <c r="U528" s="229"/>
      <c r="V528" s="229"/>
      <c r="W528" s="229"/>
      <c r="X528" s="229"/>
      <c r="Y528" s="229"/>
      <c r="Z528" s="229"/>
      <c r="AA528" s="229"/>
      <c r="AB528" s="229"/>
      <c r="AC528" s="229"/>
    </row>
    <row r="529" spans="1:29" ht="12.75" customHeight="1">
      <c r="A529" s="229"/>
      <c r="B529" s="228"/>
      <c r="C529" s="228"/>
      <c r="D529" s="228"/>
      <c r="E529" s="228"/>
      <c r="F529" s="228"/>
      <c r="G529" s="228"/>
      <c r="H529" s="228"/>
      <c r="I529" s="228"/>
      <c r="J529" s="228"/>
      <c r="K529" s="228"/>
      <c r="L529" s="229"/>
      <c r="M529" s="229"/>
      <c r="N529" s="229"/>
      <c r="O529" s="229"/>
      <c r="P529" s="229"/>
      <c r="Q529" s="229"/>
      <c r="R529" s="229"/>
      <c r="S529" s="229"/>
      <c r="T529" s="229"/>
      <c r="U529" s="229"/>
      <c r="V529" s="229"/>
      <c r="W529" s="229"/>
      <c r="X529" s="229"/>
      <c r="Y529" s="229"/>
      <c r="Z529" s="229"/>
      <c r="AA529" s="229"/>
      <c r="AB529" s="229"/>
      <c r="AC529" s="229"/>
    </row>
    <row r="530" spans="1:29" ht="12.75" customHeight="1">
      <c r="A530" s="229"/>
      <c r="B530" s="228"/>
      <c r="C530" s="228"/>
      <c r="D530" s="228"/>
      <c r="E530" s="228"/>
      <c r="F530" s="228"/>
      <c r="G530" s="228"/>
      <c r="H530" s="228"/>
      <c r="I530" s="228"/>
      <c r="J530" s="228"/>
      <c r="K530" s="228"/>
      <c r="L530" s="229"/>
      <c r="M530" s="229"/>
      <c r="N530" s="229"/>
      <c r="O530" s="229"/>
      <c r="P530" s="229"/>
      <c r="Q530" s="229"/>
      <c r="R530" s="229"/>
      <c r="S530" s="229"/>
      <c r="T530" s="229"/>
      <c r="U530" s="229"/>
      <c r="V530" s="229"/>
      <c r="W530" s="229"/>
      <c r="X530" s="229"/>
      <c r="Y530" s="229"/>
      <c r="Z530" s="229"/>
      <c r="AA530" s="229"/>
      <c r="AB530" s="229"/>
      <c r="AC530" s="229"/>
    </row>
    <row r="531" spans="1:29" ht="12.75" customHeight="1">
      <c r="A531" s="229"/>
      <c r="B531" s="228"/>
      <c r="C531" s="228"/>
      <c r="D531" s="228"/>
      <c r="E531" s="228"/>
      <c r="F531" s="228"/>
      <c r="G531" s="228"/>
      <c r="H531" s="228"/>
      <c r="I531" s="228"/>
      <c r="J531" s="228"/>
      <c r="K531" s="228"/>
      <c r="L531" s="229"/>
      <c r="M531" s="229"/>
      <c r="N531" s="229"/>
      <c r="O531" s="229"/>
      <c r="P531" s="229"/>
      <c r="Q531" s="229"/>
      <c r="R531" s="229"/>
      <c r="S531" s="229"/>
      <c r="T531" s="229"/>
      <c r="U531" s="229"/>
      <c r="V531" s="229"/>
      <c r="W531" s="229"/>
      <c r="X531" s="229"/>
      <c r="Y531" s="229"/>
      <c r="Z531" s="229"/>
      <c r="AA531" s="229"/>
      <c r="AB531" s="229"/>
      <c r="AC531" s="229"/>
    </row>
    <row r="532" spans="1:29" ht="12.75" customHeight="1">
      <c r="A532" s="229"/>
      <c r="B532" s="228"/>
      <c r="C532" s="228"/>
      <c r="D532" s="228"/>
      <c r="E532" s="228"/>
      <c r="F532" s="228"/>
      <c r="G532" s="228"/>
      <c r="H532" s="228"/>
      <c r="I532" s="228"/>
      <c r="J532" s="228"/>
      <c r="K532" s="228"/>
      <c r="L532" s="229"/>
      <c r="M532" s="229"/>
      <c r="N532" s="229"/>
      <c r="O532" s="229"/>
      <c r="P532" s="229"/>
      <c r="Q532" s="229"/>
      <c r="R532" s="229"/>
      <c r="S532" s="229"/>
      <c r="T532" s="229"/>
      <c r="U532" s="229"/>
      <c r="V532" s="229"/>
      <c r="W532" s="229"/>
      <c r="X532" s="229"/>
      <c r="Y532" s="229"/>
      <c r="Z532" s="229"/>
      <c r="AA532" s="229"/>
      <c r="AB532" s="229"/>
      <c r="AC532" s="229"/>
    </row>
    <row r="533" spans="1:29" ht="12.75" customHeight="1">
      <c r="A533" s="229"/>
      <c r="B533" s="228"/>
      <c r="C533" s="228"/>
      <c r="D533" s="228"/>
      <c r="E533" s="228"/>
      <c r="F533" s="228"/>
      <c r="G533" s="228"/>
      <c r="H533" s="228"/>
      <c r="I533" s="228"/>
      <c r="J533" s="228"/>
      <c r="K533" s="228"/>
      <c r="L533" s="229"/>
      <c r="M533" s="229"/>
      <c r="N533" s="229"/>
      <c r="O533" s="229"/>
      <c r="P533" s="229"/>
      <c r="Q533" s="229"/>
      <c r="R533" s="229"/>
      <c r="S533" s="229"/>
      <c r="T533" s="229"/>
      <c r="U533" s="229"/>
      <c r="V533" s="229"/>
      <c r="W533" s="229"/>
      <c r="X533" s="229"/>
      <c r="Y533" s="229"/>
      <c r="Z533" s="229"/>
      <c r="AA533" s="229"/>
      <c r="AB533" s="229"/>
      <c r="AC533" s="229"/>
    </row>
    <row r="534" spans="1:29" ht="12.75" customHeight="1">
      <c r="A534" s="229"/>
      <c r="B534" s="228"/>
      <c r="C534" s="228"/>
      <c r="D534" s="228"/>
      <c r="E534" s="228"/>
      <c r="F534" s="228"/>
      <c r="G534" s="228"/>
      <c r="H534" s="228"/>
      <c r="I534" s="228"/>
      <c r="J534" s="228"/>
      <c r="K534" s="228"/>
      <c r="L534" s="229"/>
      <c r="M534" s="229"/>
      <c r="N534" s="229"/>
      <c r="O534" s="229"/>
      <c r="P534" s="229"/>
      <c r="Q534" s="229"/>
      <c r="R534" s="229"/>
      <c r="S534" s="229"/>
      <c r="T534" s="229"/>
      <c r="U534" s="229"/>
      <c r="V534" s="229"/>
      <c r="W534" s="229"/>
      <c r="X534" s="229"/>
      <c r="Y534" s="229"/>
      <c r="Z534" s="229"/>
      <c r="AA534" s="229"/>
      <c r="AB534" s="229"/>
      <c r="AC534" s="229"/>
    </row>
    <row r="535" spans="1:29" ht="12.75" customHeight="1">
      <c r="A535" s="229"/>
      <c r="B535" s="228"/>
      <c r="C535" s="228"/>
      <c r="D535" s="228"/>
      <c r="E535" s="228"/>
      <c r="F535" s="228"/>
      <c r="G535" s="228"/>
      <c r="H535" s="228"/>
      <c r="I535" s="228"/>
      <c r="J535" s="228"/>
      <c r="K535" s="228"/>
      <c r="L535" s="229"/>
      <c r="M535" s="229"/>
      <c r="N535" s="229"/>
      <c r="O535" s="229"/>
      <c r="P535" s="229"/>
      <c r="Q535" s="229"/>
      <c r="R535" s="229"/>
      <c r="S535" s="229"/>
      <c r="T535" s="229"/>
      <c r="U535" s="229"/>
      <c r="V535" s="229"/>
      <c r="W535" s="229"/>
      <c r="X535" s="229"/>
      <c r="Y535" s="229"/>
      <c r="Z535" s="229"/>
      <c r="AA535" s="229"/>
      <c r="AB535" s="229"/>
      <c r="AC535" s="229"/>
    </row>
    <row r="536" spans="1:29" ht="12.75" customHeight="1">
      <c r="A536" s="229"/>
      <c r="B536" s="228"/>
      <c r="C536" s="228"/>
      <c r="D536" s="228"/>
      <c r="E536" s="228"/>
      <c r="F536" s="228"/>
      <c r="G536" s="228"/>
      <c r="H536" s="228"/>
      <c r="I536" s="228"/>
      <c r="J536" s="228"/>
      <c r="K536" s="228"/>
      <c r="L536" s="229"/>
      <c r="M536" s="229"/>
      <c r="N536" s="229"/>
      <c r="O536" s="229"/>
      <c r="P536" s="229"/>
      <c r="Q536" s="229"/>
      <c r="R536" s="229"/>
      <c r="S536" s="229"/>
      <c r="T536" s="229"/>
      <c r="U536" s="229"/>
      <c r="V536" s="229"/>
      <c r="W536" s="229"/>
      <c r="X536" s="229"/>
      <c r="Y536" s="229"/>
      <c r="Z536" s="229"/>
      <c r="AA536" s="229"/>
      <c r="AB536" s="229"/>
      <c r="AC536" s="229"/>
    </row>
    <row r="537" spans="1:29" ht="12.75" customHeight="1">
      <c r="A537" s="229"/>
      <c r="B537" s="228"/>
      <c r="C537" s="228"/>
      <c r="D537" s="228"/>
      <c r="E537" s="228"/>
      <c r="F537" s="228"/>
      <c r="G537" s="228"/>
      <c r="H537" s="228"/>
      <c r="I537" s="228"/>
      <c r="J537" s="228"/>
      <c r="K537" s="228"/>
      <c r="L537" s="229"/>
      <c r="M537" s="229"/>
      <c r="N537" s="229"/>
      <c r="O537" s="229"/>
      <c r="P537" s="229"/>
      <c r="Q537" s="229"/>
      <c r="R537" s="229"/>
      <c r="S537" s="229"/>
      <c r="T537" s="229"/>
      <c r="U537" s="229"/>
      <c r="V537" s="229"/>
      <c r="W537" s="229"/>
      <c r="X537" s="229"/>
      <c r="Y537" s="229"/>
      <c r="Z537" s="229"/>
      <c r="AA537" s="229"/>
      <c r="AB537" s="229"/>
      <c r="AC537" s="229"/>
    </row>
    <row r="538" spans="1:29" ht="12.75" customHeight="1">
      <c r="A538" s="229"/>
      <c r="B538" s="228"/>
      <c r="C538" s="228"/>
      <c r="D538" s="228"/>
      <c r="E538" s="228"/>
      <c r="F538" s="228"/>
      <c r="G538" s="228"/>
      <c r="H538" s="228"/>
      <c r="I538" s="228"/>
      <c r="J538" s="228"/>
      <c r="K538" s="228"/>
      <c r="L538" s="229"/>
      <c r="M538" s="229"/>
      <c r="N538" s="229"/>
      <c r="O538" s="229"/>
      <c r="P538" s="229"/>
      <c r="Q538" s="229"/>
      <c r="R538" s="229"/>
      <c r="S538" s="229"/>
      <c r="T538" s="229"/>
      <c r="U538" s="229"/>
      <c r="V538" s="229"/>
      <c r="W538" s="229"/>
      <c r="X538" s="229"/>
      <c r="Y538" s="229"/>
      <c r="Z538" s="229"/>
      <c r="AA538" s="229"/>
      <c r="AB538" s="229"/>
      <c r="AC538" s="229"/>
    </row>
    <row r="539" spans="1:29" ht="12.75" customHeight="1">
      <c r="A539" s="229"/>
      <c r="B539" s="228"/>
      <c r="C539" s="228"/>
      <c r="D539" s="228"/>
      <c r="E539" s="228"/>
      <c r="F539" s="228"/>
      <c r="G539" s="228"/>
      <c r="H539" s="228"/>
      <c r="I539" s="228"/>
      <c r="J539" s="228"/>
      <c r="K539" s="228"/>
      <c r="L539" s="229"/>
      <c r="M539" s="229"/>
      <c r="N539" s="229"/>
      <c r="O539" s="229"/>
      <c r="P539" s="229"/>
      <c r="Q539" s="229"/>
      <c r="R539" s="229"/>
      <c r="S539" s="229"/>
      <c r="T539" s="229"/>
      <c r="U539" s="229"/>
      <c r="V539" s="229"/>
      <c r="W539" s="229"/>
      <c r="X539" s="229"/>
      <c r="Y539" s="229"/>
      <c r="Z539" s="229"/>
      <c r="AA539" s="229"/>
      <c r="AB539" s="229"/>
      <c r="AC539" s="229"/>
    </row>
    <row r="540" spans="1:29" ht="12.75" customHeight="1">
      <c r="A540" s="229"/>
      <c r="B540" s="228"/>
      <c r="C540" s="228"/>
      <c r="D540" s="228"/>
      <c r="E540" s="228"/>
      <c r="F540" s="228"/>
      <c r="G540" s="228"/>
      <c r="H540" s="228"/>
      <c r="I540" s="228"/>
      <c r="J540" s="228"/>
      <c r="K540" s="228"/>
      <c r="L540" s="229"/>
      <c r="M540" s="229"/>
      <c r="N540" s="229"/>
      <c r="O540" s="229"/>
      <c r="P540" s="229"/>
      <c r="Q540" s="229"/>
      <c r="R540" s="229"/>
      <c r="S540" s="229"/>
      <c r="T540" s="229"/>
      <c r="U540" s="229"/>
      <c r="V540" s="229"/>
      <c r="W540" s="229"/>
      <c r="X540" s="229"/>
      <c r="Y540" s="229"/>
      <c r="Z540" s="229"/>
      <c r="AA540" s="229"/>
      <c r="AB540" s="229"/>
      <c r="AC540" s="229"/>
    </row>
    <row r="541" spans="1:29" ht="12.75" customHeight="1">
      <c r="A541" s="229"/>
      <c r="B541" s="228"/>
      <c r="C541" s="228"/>
      <c r="D541" s="228"/>
      <c r="E541" s="228"/>
      <c r="F541" s="228"/>
      <c r="G541" s="228"/>
      <c r="H541" s="228"/>
      <c r="I541" s="228"/>
      <c r="J541" s="228"/>
      <c r="K541" s="228"/>
      <c r="L541" s="229"/>
      <c r="M541" s="229"/>
      <c r="N541" s="229"/>
      <c r="O541" s="229"/>
      <c r="P541" s="229"/>
      <c r="Q541" s="229"/>
      <c r="R541" s="229"/>
      <c r="S541" s="229"/>
      <c r="T541" s="229"/>
      <c r="U541" s="229"/>
      <c r="V541" s="229"/>
      <c r="W541" s="229"/>
      <c r="X541" s="229"/>
      <c r="Y541" s="229"/>
      <c r="Z541" s="229"/>
      <c r="AA541" s="229"/>
      <c r="AB541" s="229"/>
      <c r="AC541" s="229"/>
    </row>
    <row r="542" spans="1:29" ht="12.75" customHeight="1">
      <c r="A542" s="229"/>
      <c r="B542" s="228"/>
      <c r="C542" s="228"/>
      <c r="D542" s="228"/>
      <c r="E542" s="228"/>
      <c r="F542" s="228"/>
      <c r="G542" s="228"/>
      <c r="H542" s="228"/>
      <c r="I542" s="228"/>
      <c r="J542" s="228"/>
      <c r="K542" s="228"/>
      <c r="L542" s="229"/>
      <c r="M542" s="229"/>
      <c r="N542" s="229"/>
      <c r="O542" s="229"/>
      <c r="P542" s="229"/>
      <c r="Q542" s="229"/>
      <c r="R542" s="229"/>
      <c r="S542" s="229"/>
      <c r="T542" s="229"/>
      <c r="U542" s="229"/>
      <c r="V542" s="229"/>
      <c r="W542" s="229"/>
      <c r="X542" s="229"/>
      <c r="Y542" s="229"/>
      <c r="Z542" s="229"/>
      <c r="AA542" s="229"/>
      <c r="AB542" s="229"/>
      <c r="AC542" s="229"/>
    </row>
    <row r="543" spans="1:29" ht="12.75" customHeight="1">
      <c r="A543" s="229"/>
      <c r="B543" s="228"/>
      <c r="C543" s="228"/>
      <c r="D543" s="228"/>
      <c r="E543" s="228"/>
      <c r="F543" s="228"/>
      <c r="G543" s="228"/>
      <c r="H543" s="228"/>
      <c r="I543" s="228"/>
      <c r="J543" s="228"/>
      <c r="K543" s="228"/>
      <c r="L543" s="229"/>
      <c r="M543" s="229"/>
      <c r="N543" s="229"/>
      <c r="O543" s="229"/>
      <c r="P543" s="229"/>
      <c r="Q543" s="229"/>
      <c r="R543" s="229"/>
      <c r="S543" s="229"/>
      <c r="T543" s="229"/>
      <c r="U543" s="229"/>
      <c r="V543" s="229"/>
      <c r="W543" s="229"/>
      <c r="X543" s="229"/>
      <c r="Y543" s="229"/>
      <c r="Z543" s="229"/>
      <c r="AA543" s="229"/>
      <c r="AB543" s="229"/>
      <c r="AC543" s="229"/>
    </row>
    <row r="544" spans="1:29" ht="12.75" customHeight="1">
      <c r="A544" s="229"/>
      <c r="B544" s="228"/>
      <c r="C544" s="228"/>
      <c r="D544" s="228"/>
      <c r="E544" s="228"/>
      <c r="F544" s="228"/>
      <c r="G544" s="228"/>
      <c r="H544" s="228"/>
      <c r="I544" s="228"/>
      <c r="J544" s="228"/>
      <c r="K544" s="228"/>
      <c r="L544" s="229"/>
      <c r="M544" s="229"/>
      <c r="N544" s="229"/>
      <c r="O544" s="229"/>
      <c r="P544" s="229"/>
      <c r="Q544" s="229"/>
      <c r="R544" s="229"/>
      <c r="S544" s="229"/>
      <c r="T544" s="229"/>
      <c r="U544" s="229"/>
      <c r="V544" s="229"/>
      <c r="W544" s="229"/>
      <c r="X544" s="229"/>
      <c r="Y544" s="229"/>
      <c r="Z544" s="229"/>
      <c r="AA544" s="229"/>
      <c r="AB544" s="229"/>
      <c r="AC544" s="229"/>
    </row>
    <row r="545" spans="1:29" ht="12.75" customHeight="1">
      <c r="A545" s="229"/>
      <c r="B545" s="228"/>
      <c r="C545" s="228"/>
      <c r="D545" s="228"/>
      <c r="E545" s="228"/>
      <c r="F545" s="228"/>
      <c r="G545" s="228"/>
      <c r="H545" s="228"/>
      <c r="I545" s="228"/>
      <c r="J545" s="228"/>
      <c r="K545" s="228"/>
      <c r="L545" s="229"/>
      <c r="M545" s="229"/>
      <c r="N545" s="229"/>
      <c r="O545" s="229"/>
      <c r="P545" s="229"/>
      <c r="Q545" s="229"/>
      <c r="R545" s="229"/>
      <c r="S545" s="229"/>
      <c r="T545" s="229"/>
      <c r="U545" s="229"/>
      <c r="V545" s="229"/>
      <c r="W545" s="229"/>
      <c r="X545" s="229"/>
      <c r="Y545" s="229"/>
      <c r="Z545" s="229"/>
      <c r="AA545" s="229"/>
      <c r="AB545" s="229"/>
      <c r="AC545" s="229"/>
    </row>
    <row r="546" spans="1:29" ht="12.75" customHeight="1">
      <c r="A546" s="229"/>
      <c r="B546" s="228"/>
      <c r="C546" s="228"/>
      <c r="D546" s="228"/>
      <c r="E546" s="228"/>
      <c r="F546" s="228"/>
      <c r="G546" s="228"/>
      <c r="H546" s="228"/>
      <c r="I546" s="228"/>
      <c r="J546" s="228"/>
      <c r="K546" s="228"/>
      <c r="L546" s="229"/>
      <c r="M546" s="229"/>
      <c r="N546" s="229"/>
      <c r="O546" s="229"/>
      <c r="P546" s="229"/>
      <c r="Q546" s="229"/>
      <c r="R546" s="229"/>
      <c r="S546" s="229"/>
      <c r="T546" s="229"/>
      <c r="U546" s="229"/>
      <c r="V546" s="229"/>
      <c r="W546" s="229"/>
      <c r="X546" s="229"/>
      <c r="Y546" s="229"/>
      <c r="Z546" s="229"/>
      <c r="AA546" s="229"/>
      <c r="AB546" s="229"/>
      <c r="AC546" s="229"/>
    </row>
    <row r="547" spans="1:29" ht="12.75" customHeight="1">
      <c r="A547" s="229"/>
      <c r="B547" s="228"/>
      <c r="C547" s="228"/>
      <c r="D547" s="228"/>
      <c r="E547" s="228"/>
      <c r="F547" s="228"/>
      <c r="G547" s="228"/>
      <c r="H547" s="228"/>
      <c r="I547" s="228"/>
      <c r="J547" s="228"/>
      <c r="K547" s="228"/>
      <c r="L547" s="229"/>
      <c r="M547" s="229"/>
      <c r="N547" s="229"/>
      <c r="O547" s="229"/>
      <c r="P547" s="229"/>
      <c r="Q547" s="229"/>
      <c r="R547" s="229"/>
      <c r="S547" s="229"/>
      <c r="T547" s="229"/>
      <c r="U547" s="229"/>
      <c r="V547" s="229"/>
      <c r="W547" s="229"/>
      <c r="X547" s="229"/>
      <c r="Y547" s="229"/>
      <c r="Z547" s="229"/>
      <c r="AA547" s="229"/>
      <c r="AB547" s="229"/>
      <c r="AC547" s="229"/>
    </row>
    <row r="548" spans="1:29" ht="12.75" customHeight="1">
      <c r="A548" s="229"/>
      <c r="B548" s="228"/>
      <c r="C548" s="228"/>
      <c r="D548" s="228"/>
      <c r="E548" s="228"/>
      <c r="F548" s="228"/>
      <c r="G548" s="228"/>
      <c r="H548" s="228"/>
      <c r="I548" s="228"/>
      <c r="J548" s="228"/>
      <c r="K548" s="228"/>
      <c r="L548" s="229"/>
      <c r="M548" s="229"/>
      <c r="N548" s="229"/>
      <c r="O548" s="229"/>
      <c r="P548" s="229"/>
      <c r="Q548" s="229"/>
      <c r="R548" s="229"/>
      <c r="S548" s="229"/>
      <c r="T548" s="229"/>
      <c r="U548" s="229"/>
      <c r="V548" s="229"/>
      <c r="W548" s="229"/>
      <c r="X548" s="229"/>
      <c r="Y548" s="229"/>
      <c r="Z548" s="229"/>
      <c r="AA548" s="229"/>
      <c r="AB548" s="229"/>
      <c r="AC548" s="229"/>
    </row>
    <row r="549" spans="1:29" ht="12.75" customHeight="1">
      <c r="A549" s="229"/>
      <c r="B549" s="228"/>
      <c r="C549" s="228"/>
      <c r="D549" s="228"/>
      <c r="E549" s="228"/>
      <c r="F549" s="228"/>
      <c r="G549" s="228"/>
      <c r="H549" s="228"/>
      <c r="I549" s="228"/>
      <c r="J549" s="228"/>
      <c r="K549" s="228"/>
      <c r="L549" s="229"/>
      <c r="M549" s="229"/>
      <c r="N549" s="229"/>
      <c r="O549" s="229"/>
      <c r="P549" s="229"/>
      <c r="Q549" s="229"/>
      <c r="R549" s="229"/>
      <c r="S549" s="229"/>
      <c r="T549" s="229"/>
      <c r="U549" s="229"/>
      <c r="V549" s="229"/>
      <c r="W549" s="229"/>
      <c r="X549" s="229"/>
      <c r="Y549" s="229"/>
      <c r="Z549" s="229"/>
      <c r="AA549" s="229"/>
      <c r="AB549" s="229"/>
      <c r="AC549" s="229"/>
    </row>
    <row r="550" spans="1:29" ht="12.75" customHeight="1">
      <c r="A550" s="229"/>
      <c r="B550" s="228"/>
      <c r="C550" s="228"/>
      <c r="D550" s="228"/>
      <c r="E550" s="228"/>
      <c r="F550" s="228"/>
      <c r="G550" s="228"/>
      <c r="H550" s="228"/>
      <c r="I550" s="228"/>
      <c r="J550" s="228"/>
      <c r="K550" s="228"/>
      <c r="L550" s="229"/>
      <c r="M550" s="229"/>
      <c r="N550" s="229"/>
      <c r="O550" s="229"/>
      <c r="P550" s="229"/>
      <c r="Q550" s="229"/>
      <c r="R550" s="229"/>
      <c r="S550" s="229"/>
      <c r="T550" s="229"/>
      <c r="U550" s="229"/>
      <c r="V550" s="229"/>
      <c r="W550" s="229"/>
      <c r="X550" s="229"/>
      <c r="Y550" s="229"/>
      <c r="Z550" s="229"/>
      <c r="AA550" s="229"/>
      <c r="AB550" s="229"/>
      <c r="AC550" s="229"/>
    </row>
    <row r="551" spans="1:29" ht="12.75" customHeight="1">
      <c r="A551" s="229"/>
      <c r="B551" s="228"/>
      <c r="C551" s="228"/>
      <c r="D551" s="228"/>
      <c r="E551" s="228"/>
      <c r="F551" s="228"/>
      <c r="G551" s="228"/>
      <c r="H551" s="228"/>
      <c r="I551" s="228"/>
      <c r="J551" s="228"/>
      <c r="K551" s="228"/>
      <c r="L551" s="229"/>
      <c r="M551" s="229"/>
      <c r="N551" s="229"/>
      <c r="O551" s="229"/>
      <c r="P551" s="229"/>
      <c r="Q551" s="229"/>
      <c r="R551" s="229"/>
      <c r="S551" s="229"/>
      <c r="T551" s="229"/>
      <c r="U551" s="229"/>
      <c r="V551" s="229"/>
      <c r="W551" s="229"/>
      <c r="X551" s="229"/>
      <c r="Y551" s="229"/>
      <c r="Z551" s="229"/>
      <c r="AA551" s="229"/>
      <c r="AB551" s="229"/>
      <c r="AC551" s="229"/>
    </row>
    <row r="552" spans="1:29" ht="12.75" customHeight="1">
      <c r="A552" s="229"/>
      <c r="B552" s="228"/>
      <c r="C552" s="228"/>
      <c r="D552" s="228"/>
      <c r="E552" s="228"/>
      <c r="F552" s="228"/>
      <c r="G552" s="228"/>
      <c r="H552" s="228"/>
      <c r="I552" s="228"/>
      <c r="J552" s="228"/>
      <c r="K552" s="228"/>
      <c r="L552" s="229"/>
      <c r="M552" s="229"/>
      <c r="N552" s="229"/>
      <c r="O552" s="229"/>
      <c r="P552" s="229"/>
      <c r="Q552" s="229"/>
      <c r="R552" s="229"/>
      <c r="S552" s="229"/>
      <c r="T552" s="229"/>
      <c r="U552" s="229"/>
      <c r="V552" s="229"/>
      <c r="W552" s="229"/>
      <c r="X552" s="229"/>
      <c r="Y552" s="229"/>
      <c r="Z552" s="229"/>
      <c r="AA552" s="229"/>
      <c r="AB552" s="229"/>
      <c r="AC552" s="229"/>
    </row>
    <row r="553" spans="1:29" ht="12.75" customHeight="1">
      <c r="A553" s="229"/>
      <c r="B553" s="228"/>
      <c r="C553" s="228"/>
      <c r="D553" s="228"/>
      <c r="E553" s="228"/>
      <c r="F553" s="228"/>
      <c r="G553" s="228"/>
      <c r="H553" s="228"/>
      <c r="I553" s="228"/>
      <c r="J553" s="228"/>
      <c r="K553" s="228"/>
      <c r="L553" s="229"/>
      <c r="M553" s="229"/>
      <c r="N553" s="229"/>
      <c r="O553" s="229"/>
      <c r="P553" s="229"/>
      <c r="Q553" s="229"/>
      <c r="R553" s="229"/>
      <c r="S553" s="229"/>
      <c r="T553" s="229"/>
      <c r="U553" s="229"/>
      <c r="V553" s="229"/>
      <c r="W553" s="229"/>
      <c r="X553" s="229"/>
      <c r="Y553" s="229"/>
      <c r="Z553" s="229"/>
      <c r="AA553" s="229"/>
      <c r="AB553" s="229"/>
      <c r="AC553" s="229"/>
    </row>
    <row r="554" spans="1:29" ht="12.75" customHeight="1">
      <c r="A554" s="229"/>
      <c r="B554" s="228"/>
      <c r="C554" s="228"/>
      <c r="D554" s="228"/>
      <c r="E554" s="228"/>
      <c r="F554" s="228"/>
      <c r="G554" s="228"/>
      <c r="H554" s="228"/>
      <c r="I554" s="228"/>
      <c r="J554" s="228"/>
      <c r="K554" s="228"/>
      <c r="L554" s="229"/>
      <c r="M554" s="229"/>
      <c r="N554" s="229"/>
      <c r="O554" s="229"/>
      <c r="P554" s="229"/>
      <c r="Q554" s="229"/>
      <c r="R554" s="229"/>
      <c r="S554" s="229"/>
      <c r="T554" s="229"/>
      <c r="U554" s="229"/>
      <c r="V554" s="229"/>
      <c r="W554" s="229"/>
      <c r="X554" s="229"/>
      <c r="Y554" s="229"/>
      <c r="Z554" s="229"/>
      <c r="AA554" s="229"/>
      <c r="AB554" s="229"/>
      <c r="AC554" s="229"/>
    </row>
    <row r="555" spans="1:29" ht="12.75" customHeight="1">
      <c r="A555" s="229"/>
      <c r="B555" s="228"/>
      <c r="C555" s="228"/>
      <c r="D555" s="228"/>
      <c r="E555" s="228"/>
      <c r="F555" s="228"/>
      <c r="G555" s="228"/>
      <c r="H555" s="228"/>
      <c r="I555" s="228"/>
      <c r="J555" s="228"/>
      <c r="K555" s="228"/>
      <c r="L555" s="229"/>
      <c r="M555" s="229"/>
      <c r="N555" s="229"/>
      <c r="O555" s="229"/>
      <c r="P555" s="229"/>
      <c r="Q555" s="229"/>
      <c r="R555" s="229"/>
      <c r="S555" s="229"/>
      <c r="T555" s="229"/>
      <c r="U555" s="229"/>
      <c r="V555" s="229"/>
      <c r="W555" s="229"/>
      <c r="X555" s="229"/>
      <c r="Y555" s="229"/>
      <c r="Z555" s="229"/>
      <c r="AA555" s="229"/>
      <c r="AB555" s="229"/>
      <c r="AC555" s="229"/>
    </row>
    <row r="556" spans="1:29" ht="12.75" customHeight="1">
      <c r="A556" s="229"/>
      <c r="B556" s="228"/>
      <c r="C556" s="228"/>
      <c r="D556" s="228"/>
      <c r="E556" s="228"/>
      <c r="F556" s="228"/>
      <c r="G556" s="228"/>
      <c r="H556" s="228"/>
      <c r="I556" s="228"/>
      <c r="J556" s="228"/>
      <c r="K556" s="228"/>
      <c r="L556" s="229"/>
      <c r="M556" s="229"/>
      <c r="N556" s="229"/>
      <c r="O556" s="229"/>
      <c r="P556" s="229"/>
      <c r="Q556" s="229"/>
      <c r="R556" s="229"/>
      <c r="S556" s="229"/>
      <c r="T556" s="229"/>
      <c r="U556" s="229"/>
      <c r="V556" s="229"/>
      <c r="W556" s="229"/>
      <c r="X556" s="229"/>
      <c r="Y556" s="229"/>
      <c r="Z556" s="229"/>
      <c r="AA556" s="229"/>
      <c r="AB556" s="229"/>
      <c r="AC556" s="229"/>
    </row>
    <row r="557" spans="1:29" ht="12.75" customHeight="1">
      <c r="A557" s="229"/>
      <c r="B557" s="228"/>
      <c r="C557" s="228"/>
      <c r="D557" s="228"/>
      <c r="E557" s="228"/>
      <c r="F557" s="228"/>
      <c r="G557" s="228"/>
      <c r="H557" s="228"/>
      <c r="I557" s="228"/>
      <c r="J557" s="228"/>
      <c r="K557" s="228"/>
      <c r="L557" s="229"/>
      <c r="M557" s="229"/>
      <c r="N557" s="229"/>
      <c r="O557" s="229"/>
      <c r="P557" s="229"/>
      <c r="Q557" s="229"/>
      <c r="R557" s="229"/>
      <c r="S557" s="229"/>
      <c r="T557" s="229"/>
      <c r="U557" s="229"/>
      <c r="V557" s="229"/>
      <c r="W557" s="229"/>
      <c r="X557" s="229"/>
      <c r="Y557" s="229"/>
      <c r="Z557" s="229"/>
      <c r="AA557" s="229"/>
      <c r="AB557" s="229"/>
      <c r="AC557" s="229"/>
    </row>
    <row r="558" spans="1:29" ht="12.75" customHeight="1">
      <c r="A558" s="229"/>
      <c r="B558" s="228"/>
      <c r="C558" s="228"/>
      <c r="D558" s="228"/>
      <c r="E558" s="228"/>
      <c r="F558" s="228"/>
      <c r="G558" s="228"/>
      <c r="H558" s="228"/>
      <c r="I558" s="228"/>
      <c r="J558" s="228"/>
      <c r="K558" s="228"/>
      <c r="L558" s="229"/>
      <c r="M558" s="229"/>
      <c r="N558" s="229"/>
      <c r="O558" s="229"/>
      <c r="P558" s="229"/>
      <c r="Q558" s="229"/>
      <c r="R558" s="229"/>
      <c r="S558" s="229"/>
      <c r="T558" s="229"/>
      <c r="U558" s="229"/>
      <c r="V558" s="229"/>
      <c r="W558" s="229"/>
      <c r="X558" s="229"/>
      <c r="Y558" s="229"/>
      <c r="Z558" s="229"/>
      <c r="AA558" s="229"/>
      <c r="AB558" s="229"/>
      <c r="AC558" s="229"/>
    </row>
    <row r="559" spans="1:29" ht="12.75" customHeight="1">
      <c r="A559" s="229"/>
      <c r="B559" s="228"/>
      <c r="C559" s="228"/>
      <c r="D559" s="228"/>
      <c r="E559" s="228"/>
      <c r="F559" s="228"/>
      <c r="G559" s="228"/>
      <c r="H559" s="228"/>
      <c r="I559" s="228"/>
      <c r="J559" s="228"/>
      <c r="K559" s="228"/>
      <c r="L559" s="229"/>
      <c r="M559" s="229"/>
      <c r="N559" s="229"/>
      <c r="O559" s="229"/>
      <c r="P559" s="229"/>
      <c r="Q559" s="229"/>
      <c r="R559" s="229"/>
      <c r="S559" s="229"/>
      <c r="T559" s="229"/>
      <c r="U559" s="229"/>
      <c r="V559" s="229"/>
      <c r="W559" s="229"/>
      <c r="X559" s="229"/>
      <c r="Y559" s="229"/>
      <c r="Z559" s="229"/>
      <c r="AA559" s="229"/>
      <c r="AB559" s="229"/>
      <c r="AC559" s="229"/>
    </row>
    <row r="560" spans="1:29" ht="12.75" customHeight="1">
      <c r="A560" s="229"/>
      <c r="B560" s="228"/>
      <c r="C560" s="228"/>
      <c r="D560" s="228"/>
      <c r="E560" s="228"/>
      <c r="F560" s="228"/>
      <c r="G560" s="228"/>
      <c r="H560" s="228"/>
      <c r="I560" s="228"/>
      <c r="J560" s="228"/>
      <c r="K560" s="228"/>
      <c r="L560" s="229"/>
      <c r="M560" s="229"/>
      <c r="N560" s="229"/>
      <c r="O560" s="229"/>
      <c r="P560" s="229"/>
      <c r="Q560" s="229"/>
      <c r="R560" s="229"/>
      <c r="S560" s="229"/>
      <c r="T560" s="229"/>
      <c r="U560" s="229"/>
      <c r="V560" s="229"/>
      <c r="W560" s="229"/>
      <c r="X560" s="229"/>
      <c r="Y560" s="229"/>
      <c r="Z560" s="229"/>
      <c r="AA560" s="229"/>
      <c r="AB560" s="229"/>
      <c r="AC560" s="229"/>
    </row>
    <row r="561" spans="1:29" ht="12.75" customHeight="1">
      <c r="A561" s="229"/>
      <c r="B561" s="228"/>
      <c r="C561" s="228"/>
      <c r="D561" s="228"/>
      <c r="E561" s="228"/>
      <c r="F561" s="228"/>
      <c r="G561" s="228"/>
      <c r="H561" s="228"/>
      <c r="I561" s="228"/>
      <c r="J561" s="228"/>
      <c r="K561" s="228"/>
      <c r="L561" s="229"/>
      <c r="M561" s="229"/>
      <c r="N561" s="229"/>
      <c r="O561" s="229"/>
      <c r="P561" s="229"/>
      <c r="Q561" s="229"/>
      <c r="R561" s="229"/>
      <c r="S561" s="229"/>
      <c r="T561" s="229"/>
      <c r="U561" s="229"/>
      <c r="V561" s="229"/>
      <c r="W561" s="229"/>
      <c r="X561" s="229"/>
      <c r="Y561" s="229"/>
      <c r="Z561" s="229"/>
      <c r="AA561" s="229"/>
      <c r="AB561" s="229"/>
      <c r="AC561" s="229"/>
    </row>
    <row r="562" spans="1:29" ht="12.75" customHeight="1">
      <c r="A562" s="229"/>
      <c r="B562" s="228"/>
      <c r="C562" s="228"/>
      <c r="D562" s="228"/>
      <c r="E562" s="228"/>
      <c r="F562" s="228"/>
      <c r="G562" s="228"/>
      <c r="H562" s="228"/>
      <c r="I562" s="228"/>
      <c r="J562" s="228"/>
      <c r="K562" s="228"/>
      <c r="L562" s="229"/>
      <c r="M562" s="229"/>
      <c r="N562" s="229"/>
      <c r="O562" s="229"/>
      <c r="P562" s="229"/>
      <c r="Q562" s="229"/>
      <c r="R562" s="229"/>
      <c r="S562" s="229"/>
      <c r="T562" s="229"/>
      <c r="U562" s="229"/>
      <c r="V562" s="229"/>
      <c r="W562" s="229"/>
      <c r="X562" s="229"/>
      <c r="Y562" s="229"/>
      <c r="Z562" s="229"/>
      <c r="AA562" s="229"/>
      <c r="AB562" s="229"/>
      <c r="AC562" s="229"/>
    </row>
    <row r="563" spans="1:29" ht="12.75" customHeight="1">
      <c r="A563" s="229"/>
      <c r="B563" s="228"/>
      <c r="C563" s="228"/>
      <c r="D563" s="228"/>
      <c r="E563" s="228"/>
      <c r="F563" s="228"/>
      <c r="G563" s="228"/>
      <c r="H563" s="228"/>
      <c r="I563" s="228"/>
      <c r="J563" s="228"/>
      <c r="K563" s="228"/>
      <c r="L563" s="229"/>
      <c r="M563" s="229"/>
      <c r="N563" s="229"/>
      <c r="O563" s="229"/>
      <c r="P563" s="229"/>
      <c r="Q563" s="229"/>
      <c r="R563" s="229"/>
      <c r="S563" s="229"/>
      <c r="T563" s="229"/>
      <c r="U563" s="229"/>
      <c r="V563" s="229"/>
      <c r="W563" s="229"/>
      <c r="X563" s="229"/>
      <c r="Y563" s="229"/>
      <c r="Z563" s="229"/>
      <c r="AA563" s="229"/>
      <c r="AB563" s="229"/>
      <c r="AC563" s="229"/>
    </row>
    <row r="564" spans="1:29" ht="12.75" customHeight="1">
      <c r="A564" s="229"/>
      <c r="B564" s="228"/>
      <c r="C564" s="228"/>
      <c r="D564" s="228"/>
      <c r="E564" s="228"/>
      <c r="F564" s="228"/>
      <c r="G564" s="228"/>
      <c r="H564" s="228"/>
      <c r="I564" s="228"/>
      <c r="J564" s="228"/>
      <c r="K564" s="228"/>
      <c r="L564" s="229"/>
      <c r="M564" s="229"/>
      <c r="N564" s="229"/>
      <c r="O564" s="229"/>
      <c r="P564" s="229"/>
      <c r="Q564" s="229"/>
      <c r="R564" s="229"/>
      <c r="S564" s="229"/>
      <c r="T564" s="229"/>
      <c r="U564" s="229"/>
      <c r="V564" s="229"/>
      <c r="W564" s="229"/>
      <c r="X564" s="229"/>
      <c r="Y564" s="229"/>
      <c r="Z564" s="229"/>
      <c r="AA564" s="229"/>
      <c r="AB564" s="229"/>
      <c r="AC564" s="229"/>
    </row>
    <row r="565" spans="1:29" ht="12.75" customHeight="1">
      <c r="A565" s="229"/>
      <c r="B565" s="228"/>
      <c r="C565" s="228"/>
      <c r="D565" s="228"/>
      <c r="E565" s="228"/>
      <c r="F565" s="228"/>
      <c r="G565" s="228"/>
      <c r="H565" s="228"/>
      <c r="I565" s="228"/>
      <c r="J565" s="228"/>
      <c r="K565" s="228"/>
      <c r="L565" s="229"/>
      <c r="M565" s="229"/>
      <c r="N565" s="229"/>
      <c r="O565" s="229"/>
      <c r="P565" s="229"/>
      <c r="Q565" s="229"/>
      <c r="R565" s="229"/>
      <c r="S565" s="229"/>
      <c r="T565" s="229"/>
      <c r="U565" s="229"/>
      <c r="V565" s="229"/>
      <c r="W565" s="229"/>
      <c r="X565" s="229"/>
      <c r="Y565" s="229"/>
      <c r="Z565" s="229"/>
      <c r="AA565" s="229"/>
      <c r="AB565" s="229"/>
      <c r="AC565" s="229"/>
    </row>
    <row r="566" spans="1:29" ht="12.75" customHeight="1">
      <c r="A566" s="229"/>
      <c r="B566" s="228"/>
      <c r="C566" s="228"/>
      <c r="D566" s="228"/>
      <c r="E566" s="228"/>
      <c r="F566" s="228"/>
      <c r="G566" s="228"/>
      <c r="H566" s="228"/>
      <c r="I566" s="228"/>
      <c r="J566" s="228"/>
      <c r="K566" s="228"/>
      <c r="L566" s="229"/>
      <c r="M566" s="229"/>
      <c r="N566" s="229"/>
      <c r="O566" s="229"/>
      <c r="P566" s="229"/>
      <c r="Q566" s="229"/>
      <c r="R566" s="229"/>
      <c r="S566" s="229"/>
      <c r="T566" s="229"/>
      <c r="U566" s="229"/>
      <c r="V566" s="229"/>
      <c r="W566" s="229"/>
      <c r="X566" s="229"/>
      <c r="Y566" s="229"/>
      <c r="Z566" s="229"/>
      <c r="AA566" s="229"/>
      <c r="AB566" s="229"/>
      <c r="AC566" s="229"/>
    </row>
    <row r="567" spans="1:29" ht="12.75" customHeight="1">
      <c r="A567" s="229"/>
      <c r="B567" s="228"/>
      <c r="C567" s="228"/>
      <c r="D567" s="228"/>
      <c r="E567" s="228"/>
      <c r="F567" s="228"/>
      <c r="G567" s="228"/>
      <c r="H567" s="228"/>
      <c r="I567" s="228"/>
      <c r="J567" s="228"/>
      <c r="K567" s="228"/>
      <c r="L567" s="229"/>
      <c r="M567" s="229"/>
      <c r="N567" s="229"/>
      <c r="O567" s="229"/>
      <c r="P567" s="229"/>
      <c r="Q567" s="229"/>
      <c r="R567" s="229"/>
      <c r="S567" s="229"/>
      <c r="T567" s="229"/>
      <c r="U567" s="229"/>
      <c r="V567" s="229"/>
      <c r="W567" s="229"/>
      <c r="X567" s="229"/>
      <c r="Y567" s="229"/>
      <c r="Z567" s="229"/>
      <c r="AA567" s="229"/>
      <c r="AB567" s="229"/>
      <c r="AC567" s="229"/>
    </row>
    <row r="568" spans="1:29" ht="12.75" customHeight="1">
      <c r="A568" s="229"/>
      <c r="B568" s="228"/>
      <c r="C568" s="228"/>
      <c r="D568" s="228"/>
      <c r="E568" s="228"/>
      <c r="F568" s="228"/>
      <c r="G568" s="228"/>
      <c r="H568" s="228"/>
      <c r="I568" s="228"/>
      <c r="J568" s="228"/>
      <c r="K568" s="228"/>
      <c r="L568" s="229"/>
      <c r="M568" s="229"/>
      <c r="N568" s="229"/>
      <c r="O568" s="229"/>
      <c r="P568" s="229"/>
      <c r="Q568" s="229"/>
      <c r="R568" s="229"/>
      <c r="S568" s="229"/>
      <c r="T568" s="229"/>
      <c r="U568" s="229"/>
      <c r="V568" s="229"/>
      <c r="W568" s="229"/>
      <c r="X568" s="229"/>
      <c r="Y568" s="229"/>
      <c r="Z568" s="229"/>
      <c r="AA568" s="229"/>
      <c r="AB568" s="229"/>
      <c r="AC568" s="229"/>
    </row>
    <row r="569" spans="1:29" ht="12.75" customHeight="1">
      <c r="A569" s="229"/>
      <c r="B569" s="228"/>
      <c r="C569" s="228"/>
      <c r="D569" s="228"/>
      <c r="E569" s="228"/>
      <c r="F569" s="228"/>
      <c r="G569" s="228"/>
      <c r="H569" s="228"/>
      <c r="I569" s="228"/>
      <c r="J569" s="228"/>
      <c r="K569" s="228"/>
      <c r="L569" s="229"/>
      <c r="M569" s="229"/>
      <c r="N569" s="229"/>
      <c r="O569" s="229"/>
      <c r="P569" s="229"/>
      <c r="Q569" s="229"/>
      <c r="R569" s="229"/>
      <c r="S569" s="229"/>
      <c r="T569" s="229"/>
      <c r="U569" s="229"/>
      <c r="V569" s="229"/>
      <c r="W569" s="229"/>
      <c r="X569" s="229"/>
      <c r="Y569" s="229"/>
      <c r="Z569" s="229"/>
      <c r="AA569" s="229"/>
      <c r="AB569" s="229"/>
      <c r="AC569" s="229"/>
    </row>
    <row r="570" spans="1:29" ht="12.75" customHeight="1">
      <c r="A570" s="229"/>
      <c r="B570" s="228"/>
      <c r="C570" s="228"/>
      <c r="D570" s="228"/>
      <c r="E570" s="228"/>
      <c r="F570" s="228"/>
      <c r="G570" s="228"/>
      <c r="H570" s="228"/>
      <c r="I570" s="228"/>
      <c r="J570" s="228"/>
      <c r="K570" s="228"/>
      <c r="L570" s="229"/>
      <c r="M570" s="229"/>
      <c r="N570" s="229"/>
      <c r="O570" s="229"/>
      <c r="P570" s="229"/>
      <c r="Q570" s="229"/>
      <c r="R570" s="229"/>
      <c r="S570" s="229"/>
      <c r="T570" s="229"/>
      <c r="U570" s="229"/>
      <c r="V570" s="229"/>
      <c r="W570" s="229"/>
      <c r="X570" s="229"/>
      <c r="Y570" s="229"/>
      <c r="Z570" s="229"/>
      <c r="AA570" s="229"/>
      <c r="AB570" s="229"/>
      <c r="AC570" s="229"/>
    </row>
    <row r="571" spans="1:29" ht="12.75" customHeight="1">
      <c r="A571" s="229"/>
      <c r="B571" s="228"/>
      <c r="C571" s="228"/>
      <c r="D571" s="228"/>
      <c r="E571" s="228"/>
      <c r="F571" s="228"/>
      <c r="G571" s="228"/>
      <c r="H571" s="228"/>
      <c r="I571" s="228"/>
      <c r="J571" s="228"/>
      <c r="K571" s="228"/>
      <c r="L571" s="229"/>
      <c r="M571" s="229"/>
      <c r="N571" s="229"/>
      <c r="O571" s="229"/>
      <c r="P571" s="229"/>
      <c r="Q571" s="229"/>
      <c r="R571" s="229"/>
      <c r="S571" s="229"/>
      <c r="T571" s="229"/>
      <c r="U571" s="229"/>
      <c r="V571" s="229"/>
      <c r="W571" s="229"/>
      <c r="X571" s="229"/>
      <c r="Y571" s="229"/>
      <c r="Z571" s="229"/>
      <c r="AA571" s="229"/>
      <c r="AB571" s="229"/>
      <c r="AC571" s="229"/>
    </row>
    <row r="572" spans="1:29" ht="12.75" customHeight="1">
      <c r="A572" s="229"/>
      <c r="B572" s="228"/>
      <c r="C572" s="228"/>
      <c r="D572" s="228"/>
      <c r="E572" s="228"/>
      <c r="F572" s="228"/>
      <c r="G572" s="228"/>
      <c r="H572" s="228"/>
      <c r="I572" s="228"/>
      <c r="J572" s="228"/>
      <c r="K572" s="228"/>
      <c r="L572" s="229"/>
      <c r="M572" s="229"/>
      <c r="N572" s="229"/>
      <c r="O572" s="229"/>
      <c r="P572" s="229"/>
      <c r="Q572" s="229"/>
      <c r="R572" s="229"/>
      <c r="S572" s="229"/>
      <c r="T572" s="229"/>
      <c r="U572" s="229"/>
      <c r="V572" s="229"/>
      <c r="W572" s="229"/>
      <c r="X572" s="229"/>
      <c r="Y572" s="229"/>
      <c r="Z572" s="229"/>
      <c r="AA572" s="229"/>
      <c r="AB572" s="229"/>
      <c r="AC572" s="229"/>
    </row>
    <row r="573" spans="1:29" ht="12.75" customHeight="1">
      <c r="A573" s="229"/>
      <c r="B573" s="228"/>
      <c r="C573" s="228"/>
      <c r="D573" s="228"/>
      <c r="E573" s="228"/>
      <c r="F573" s="228"/>
      <c r="G573" s="228"/>
      <c r="H573" s="228"/>
      <c r="I573" s="228"/>
      <c r="J573" s="228"/>
      <c r="K573" s="228"/>
      <c r="L573" s="229"/>
      <c r="M573" s="229"/>
      <c r="N573" s="229"/>
      <c r="O573" s="229"/>
      <c r="P573" s="229"/>
      <c r="Q573" s="229"/>
      <c r="R573" s="229"/>
      <c r="S573" s="229"/>
      <c r="T573" s="229"/>
      <c r="U573" s="229"/>
      <c r="V573" s="229"/>
      <c r="W573" s="229"/>
      <c r="X573" s="229"/>
      <c r="Y573" s="229"/>
      <c r="Z573" s="229"/>
      <c r="AA573" s="229"/>
      <c r="AB573" s="229"/>
      <c r="AC573" s="229"/>
    </row>
    <row r="574" spans="1:29" ht="12.75" customHeight="1">
      <c r="A574" s="229"/>
      <c r="B574" s="228"/>
      <c r="C574" s="228"/>
      <c r="D574" s="228"/>
      <c r="E574" s="228"/>
      <c r="F574" s="228"/>
      <c r="G574" s="228"/>
      <c r="H574" s="228"/>
      <c r="I574" s="228"/>
      <c r="J574" s="228"/>
      <c r="K574" s="228"/>
      <c r="L574" s="229"/>
      <c r="M574" s="229"/>
      <c r="N574" s="229"/>
      <c r="O574" s="229"/>
      <c r="P574" s="229"/>
      <c r="Q574" s="229"/>
      <c r="R574" s="229"/>
      <c r="S574" s="229"/>
      <c r="T574" s="229"/>
      <c r="U574" s="229"/>
      <c r="V574" s="229"/>
      <c r="W574" s="229"/>
      <c r="X574" s="229"/>
      <c r="Y574" s="229"/>
      <c r="Z574" s="229"/>
      <c r="AA574" s="229"/>
      <c r="AB574" s="229"/>
      <c r="AC574" s="229"/>
    </row>
    <row r="575" spans="1:29" ht="12.75" customHeight="1">
      <c r="A575" s="229"/>
      <c r="B575" s="228"/>
      <c r="C575" s="228"/>
      <c r="D575" s="228"/>
      <c r="E575" s="228"/>
      <c r="F575" s="228"/>
      <c r="G575" s="228"/>
      <c r="H575" s="228"/>
      <c r="I575" s="228"/>
      <c r="J575" s="228"/>
      <c r="K575" s="228"/>
      <c r="L575" s="229"/>
      <c r="M575" s="229"/>
      <c r="N575" s="229"/>
      <c r="O575" s="229"/>
      <c r="P575" s="229"/>
      <c r="Q575" s="229"/>
      <c r="R575" s="229"/>
      <c r="S575" s="229"/>
      <c r="T575" s="229"/>
      <c r="U575" s="229"/>
      <c r="V575" s="229"/>
      <c r="W575" s="229"/>
      <c r="X575" s="229"/>
      <c r="Y575" s="229"/>
      <c r="Z575" s="229"/>
      <c r="AA575" s="229"/>
      <c r="AB575" s="229"/>
      <c r="AC575" s="229"/>
    </row>
    <row r="576" spans="1:29" ht="12.75" customHeight="1">
      <c r="A576" s="229"/>
      <c r="B576" s="228"/>
      <c r="C576" s="228"/>
      <c r="D576" s="228"/>
      <c r="E576" s="228"/>
      <c r="F576" s="228"/>
      <c r="G576" s="228"/>
      <c r="H576" s="228"/>
      <c r="I576" s="228"/>
      <c r="J576" s="228"/>
      <c r="K576" s="228"/>
      <c r="L576" s="229"/>
      <c r="M576" s="229"/>
      <c r="N576" s="229"/>
      <c r="O576" s="229"/>
      <c r="P576" s="229"/>
      <c r="Q576" s="229"/>
      <c r="R576" s="229"/>
      <c r="S576" s="229"/>
      <c r="T576" s="229"/>
      <c r="U576" s="229"/>
      <c r="V576" s="229"/>
      <c r="W576" s="229"/>
      <c r="X576" s="229"/>
      <c r="Y576" s="229"/>
      <c r="Z576" s="229"/>
      <c r="AA576" s="229"/>
      <c r="AB576" s="229"/>
      <c r="AC576" s="229"/>
    </row>
    <row r="577" spans="1:29" ht="12.75" customHeight="1">
      <c r="A577" s="229"/>
      <c r="B577" s="228"/>
      <c r="C577" s="228"/>
      <c r="D577" s="228"/>
      <c r="E577" s="228"/>
      <c r="F577" s="228"/>
      <c r="G577" s="228"/>
      <c r="H577" s="228"/>
      <c r="I577" s="228"/>
      <c r="J577" s="228"/>
      <c r="K577" s="228"/>
      <c r="L577" s="229"/>
      <c r="M577" s="229"/>
      <c r="N577" s="229"/>
      <c r="O577" s="229"/>
      <c r="P577" s="229"/>
      <c r="Q577" s="229"/>
      <c r="R577" s="229"/>
      <c r="S577" s="229"/>
      <c r="T577" s="229"/>
      <c r="U577" s="229"/>
      <c r="V577" s="229"/>
      <c r="W577" s="229"/>
      <c r="X577" s="229"/>
      <c r="Y577" s="229"/>
      <c r="Z577" s="229"/>
      <c r="AA577" s="229"/>
      <c r="AB577" s="229"/>
      <c r="AC577" s="229"/>
    </row>
    <row r="578" spans="1:29" ht="12.75" customHeight="1">
      <c r="A578" s="229"/>
      <c r="B578" s="228"/>
      <c r="C578" s="228"/>
      <c r="D578" s="228"/>
      <c r="E578" s="228"/>
      <c r="F578" s="228"/>
      <c r="G578" s="228"/>
      <c r="H578" s="228"/>
      <c r="I578" s="228"/>
      <c r="J578" s="228"/>
      <c r="K578" s="228"/>
      <c r="L578" s="229"/>
      <c r="M578" s="229"/>
      <c r="N578" s="229"/>
      <c r="O578" s="229"/>
      <c r="P578" s="229"/>
      <c r="Q578" s="229"/>
      <c r="R578" s="229"/>
      <c r="S578" s="229"/>
      <c r="T578" s="229"/>
      <c r="U578" s="229"/>
      <c r="V578" s="229"/>
      <c r="W578" s="229"/>
      <c r="X578" s="229"/>
      <c r="Y578" s="229"/>
      <c r="Z578" s="229"/>
      <c r="AA578" s="229"/>
      <c r="AB578" s="229"/>
      <c r="AC578" s="229"/>
    </row>
    <row r="579" spans="1:29" ht="12.75" customHeight="1">
      <c r="A579" s="229"/>
      <c r="B579" s="228"/>
      <c r="C579" s="228"/>
      <c r="D579" s="228"/>
      <c r="E579" s="228"/>
      <c r="F579" s="228"/>
      <c r="G579" s="228"/>
      <c r="H579" s="228"/>
      <c r="I579" s="228"/>
      <c r="J579" s="228"/>
      <c r="K579" s="228"/>
      <c r="L579" s="229"/>
      <c r="M579" s="229"/>
      <c r="N579" s="229"/>
      <c r="O579" s="229"/>
      <c r="P579" s="229"/>
      <c r="Q579" s="229"/>
      <c r="R579" s="229"/>
      <c r="S579" s="229"/>
      <c r="T579" s="229"/>
      <c r="U579" s="229"/>
      <c r="V579" s="229"/>
      <c r="W579" s="229"/>
      <c r="X579" s="229"/>
      <c r="Y579" s="229"/>
      <c r="Z579" s="229"/>
      <c r="AA579" s="229"/>
      <c r="AB579" s="229"/>
      <c r="AC579" s="229"/>
    </row>
    <row r="580" spans="1:29" ht="12.75" customHeight="1">
      <c r="A580" s="229"/>
      <c r="B580" s="228"/>
      <c r="C580" s="228"/>
      <c r="D580" s="228"/>
      <c r="E580" s="228"/>
      <c r="F580" s="228"/>
      <c r="G580" s="228"/>
      <c r="H580" s="228"/>
      <c r="I580" s="228"/>
      <c r="J580" s="228"/>
      <c r="K580" s="228"/>
      <c r="L580" s="229"/>
      <c r="M580" s="229"/>
      <c r="N580" s="229"/>
      <c r="O580" s="229"/>
      <c r="P580" s="229"/>
      <c r="Q580" s="229"/>
      <c r="R580" s="229"/>
      <c r="S580" s="229"/>
      <c r="T580" s="229"/>
      <c r="U580" s="229"/>
      <c r="V580" s="229"/>
      <c r="W580" s="229"/>
      <c r="X580" s="229"/>
      <c r="Y580" s="229"/>
      <c r="Z580" s="229"/>
      <c r="AA580" s="229"/>
      <c r="AB580" s="229"/>
      <c r="AC580" s="229"/>
    </row>
    <row r="581" spans="1:29" ht="12.75" customHeight="1">
      <c r="A581" s="229"/>
      <c r="B581" s="228"/>
      <c r="C581" s="228"/>
      <c r="D581" s="228"/>
      <c r="E581" s="228"/>
      <c r="F581" s="228"/>
      <c r="G581" s="228"/>
      <c r="H581" s="228"/>
      <c r="I581" s="228"/>
      <c r="J581" s="228"/>
      <c r="K581" s="228"/>
      <c r="L581" s="229"/>
      <c r="M581" s="229"/>
      <c r="N581" s="229"/>
      <c r="O581" s="229"/>
      <c r="P581" s="229"/>
      <c r="Q581" s="229"/>
      <c r="R581" s="229"/>
      <c r="S581" s="229"/>
      <c r="T581" s="229"/>
      <c r="U581" s="229"/>
      <c r="V581" s="229"/>
      <c r="W581" s="229"/>
      <c r="X581" s="229"/>
      <c r="Y581" s="229"/>
      <c r="Z581" s="229"/>
      <c r="AA581" s="229"/>
      <c r="AB581" s="229"/>
      <c r="AC581" s="229"/>
    </row>
    <row r="582" spans="1:29" ht="12.75" customHeight="1">
      <c r="A582" s="229"/>
      <c r="B582" s="228"/>
      <c r="C582" s="228"/>
      <c r="D582" s="228"/>
      <c r="E582" s="228"/>
      <c r="F582" s="228"/>
      <c r="G582" s="228"/>
      <c r="H582" s="228"/>
      <c r="I582" s="228"/>
      <c r="J582" s="228"/>
      <c r="K582" s="228"/>
      <c r="L582" s="229"/>
      <c r="M582" s="229"/>
      <c r="N582" s="229"/>
      <c r="O582" s="229"/>
      <c r="P582" s="229"/>
      <c r="Q582" s="229"/>
      <c r="R582" s="229"/>
      <c r="S582" s="229"/>
      <c r="T582" s="229"/>
      <c r="U582" s="229"/>
      <c r="V582" s="229"/>
      <c r="W582" s="229"/>
      <c r="X582" s="229"/>
      <c r="Y582" s="229"/>
      <c r="Z582" s="229"/>
      <c r="AA582" s="229"/>
      <c r="AB582" s="229"/>
      <c r="AC582" s="229"/>
    </row>
    <row r="583" spans="1:29" ht="12.75" customHeight="1">
      <c r="A583" s="229"/>
      <c r="B583" s="228"/>
      <c r="C583" s="228"/>
      <c r="D583" s="228"/>
      <c r="E583" s="228"/>
      <c r="F583" s="228"/>
      <c r="G583" s="228"/>
      <c r="H583" s="228"/>
      <c r="I583" s="228"/>
      <c r="J583" s="228"/>
      <c r="K583" s="228"/>
      <c r="L583" s="229"/>
      <c r="M583" s="229"/>
      <c r="N583" s="229"/>
      <c r="O583" s="229"/>
      <c r="P583" s="229"/>
      <c r="Q583" s="229"/>
      <c r="R583" s="229"/>
      <c r="S583" s="229"/>
      <c r="T583" s="229"/>
      <c r="U583" s="229"/>
      <c r="V583" s="229"/>
      <c r="W583" s="229"/>
      <c r="X583" s="229"/>
      <c r="Y583" s="229"/>
      <c r="Z583" s="229"/>
      <c r="AA583" s="229"/>
      <c r="AB583" s="229"/>
      <c r="AC583" s="229"/>
    </row>
    <row r="584" spans="1:29" ht="12.75" customHeight="1">
      <c r="A584" s="229"/>
      <c r="B584" s="228"/>
      <c r="C584" s="228"/>
      <c r="D584" s="228"/>
      <c r="E584" s="228"/>
      <c r="F584" s="228"/>
      <c r="G584" s="228"/>
      <c r="H584" s="228"/>
      <c r="I584" s="228"/>
      <c r="J584" s="228"/>
      <c r="K584" s="228"/>
      <c r="L584" s="229"/>
      <c r="M584" s="229"/>
      <c r="N584" s="229"/>
      <c r="O584" s="229"/>
      <c r="P584" s="229"/>
      <c r="Q584" s="229"/>
      <c r="R584" s="229"/>
      <c r="S584" s="229"/>
      <c r="T584" s="229"/>
      <c r="U584" s="229"/>
      <c r="V584" s="229"/>
      <c r="W584" s="229"/>
      <c r="X584" s="229"/>
      <c r="Y584" s="229"/>
      <c r="Z584" s="229"/>
      <c r="AA584" s="229"/>
      <c r="AB584" s="229"/>
      <c r="AC584" s="229"/>
    </row>
    <row r="585" spans="1:29" ht="12.75" customHeight="1">
      <c r="A585" s="229"/>
      <c r="B585" s="228"/>
      <c r="C585" s="228"/>
      <c r="D585" s="228"/>
      <c r="E585" s="228"/>
      <c r="F585" s="228"/>
      <c r="G585" s="228"/>
      <c r="H585" s="228"/>
      <c r="I585" s="228"/>
      <c r="J585" s="228"/>
      <c r="K585" s="228"/>
      <c r="L585" s="229"/>
      <c r="M585" s="229"/>
      <c r="N585" s="229"/>
      <c r="O585" s="229"/>
      <c r="P585" s="229"/>
      <c r="Q585" s="229"/>
      <c r="R585" s="229"/>
      <c r="S585" s="229"/>
      <c r="T585" s="229"/>
      <c r="U585" s="229"/>
      <c r="V585" s="229"/>
      <c r="W585" s="229"/>
      <c r="X585" s="229"/>
      <c r="Y585" s="229"/>
      <c r="Z585" s="229"/>
      <c r="AA585" s="229"/>
      <c r="AB585" s="229"/>
      <c r="AC585" s="229"/>
    </row>
    <row r="586" spans="1:29" ht="12.75" customHeight="1">
      <c r="A586" s="229"/>
      <c r="B586" s="228"/>
      <c r="C586" s="228"/>
      <c r="D586" s="228"/>
      <c r="E586" s="228"/>
      <c r="F586" s="228"/>
      <c r="G586" s="228"/>
      <c r="H586" s="228"/>
      <c r="I586" s="228"/>
      <c r="J586" s="228"/>
      <c r="K586" s="228"/>
      <c r="L586" s="229"/>
      <c r="M586" s="229"/>
      <c r="N586" s="229"/>
      <c r="O586" s="229"/>
      <c r="P586" s="229"/>
      <c r="Q586" s="229"/>
      <c r="R586" s="229"/>
      <c r="S586" s="229"/>
      <c r="T586" s="229"/>
      <c r="U586" s="229"/>
      <c r="V586" s="229"/>
      <c r="W586" s="229"/>
      <c r="X586" s="229"/>
      <c r="Y586" s="229"/>
      <c r="Z586" s="229"/>
      <c r="AA586" s="229"/>
      <c r="AB586" s="229"/>
      <c r="AC586" s="229"/>
    </row>
    <row r="587" spans="1:29" ht="12.75" customHeight="1">
      <c r="A587" s="229"/>
      <c r="B587" s="228"/>
      <c r="C587" s="228"/>
      <c r="D587" s="228"/>
      <c r="E587" s="228"/>
      <c r="F587" s="228"/>
      <c r="G587" s="228"/>
      <c r="H587" s="228"/>
      <c r="I587" s="228"/>
      <c r="J587" s="228"/>
      <c r="K587" s="228"/>
      <c r="L587" s="229"/>
      <c r="M587" s="229"/>
      <c r="N587" s="229"/>
      <c r="O587" s="229"/>
      <c r="P587" s="229"/>
      <c r="Q587" s="229"/>
      <c r="R587" s="229"/>
      <c r="S587" s="229"/>
      <c r="T587" s="229"/>
      <c r="U587" s="229"/>
      <c r="V587" s="229"/>
      <c r="W587" s="229"/>
      <c r="X587" s="229"/>
      <c r="Y587" s="229"/>
      <c r="Z587" s="229"/>
      <c r="AA587" s="229"/>
      <c r="AB587" s="229"/>
      <c r="AC587" s="229"/>
    </row>
    <row r="588" spans="1:29" ht="12.75" customHeight="1">
      <c r="A588" s="229"/>
      <c r="B588" s="228"/>
      <c r="C588" s="228"/>
      <c r="D588" s="228"/>
      <c r="E588" s="228"/>
      <c r="F588" s="228"/>
      <c r="G588" s="228"/>
      <c r="H588" s="228"/>
      <c r="I588" s="228"/>
      <c r="J588" s="228"/>
      <c r="K588" s="228"/>
      <c r="L588" s="229"/>
      <c r="M588" s="229"/>
      <c r="N588" s="229"/>
      <c r="O588" s="229"/>
      <c r="P588" s="229"/>
      <c r="Q588" s="229"/>
      <c r="R588" s="229"/>
      <c r="S588" s="229"/>
      <c r="T588" s="229"/>
      <c r="U588" s="229"/>
      <c r="V588" s="229"/>
      <c r="W588" s="229"/>
      <c r="X588" s="229"/>
      <c r="Y588" s="229"/>
      <c r="Z588" s="229"/>
      <c r="AA588" s="229"/>
      <c r="AB588" s="229"/>
      <c r="AC588" s="229"/>
    </row>
    <row r="589" spans="1:29" ht="12.75" customHeight="1">
      <c r="A589" s="229"/>
      <c r="B589" s="228"/>
      <c r="C589" s="228"/>
      <c r="D589" s="228"/>
      <c r="E589" s="228"/>
      <c r="F589" s="228"/>
      <c r="G589" s="228"/>
      <c r="H589" s="228"/>
      <c r="I589" s="228"/>
      <c r="J589" s="228"/>
      <c r="K589" s="228"/>
      <c r="L589" s="229"/>
      <c r="M589" s="229"/>
      <c r="N589" s="229"/>
      <c r="O589" s="229"/>
      <c r="P589" s="229"/>
      <c r="Q589" s="229"/>
      <c r="R589" s="229"/>
      <c r="S589" s="229"/>
      <c r="T589" s="229"/>
      <c r="U589" s="229"/>
      <c r="V589" s="229"/>
      <c r="W589" s="229"/>
      <c r="X589" s="229"/>
      <c r="Y589" s="229"/>
      <c r="Z589" s="229"/>
      <c r="AA589" s="229"/>
      <c r="AB589" s="229"/>
      <c r="AC589" s="229"/>
    </row>
    <row r="590" spans="1:29" ht="12.75" customHeight="1">
      <c r="A590" s="229"/>
      <c r="B590" s="228"/>
      <c r="C590" s="228"/>
      <c r="D590" s="228"/>
      <c r="E590" s="228"/>
      <c r="F590" s="228"/>
      <c r="G590" s="228"/>
      <c r="H590" s="228"/>
      <c r="I590" s="228"/>
      <c r="J590" s="228"/>
      <c r="K590" s="228"/>
      <c r="L590" s="229"/>
      <c r="M590" s="229"/>
      <c r="N590" s="229"/>
      <c r="O590" s="229"/>
      <c r="P590" s="229"/>
      <c r="Q590" s="229"/>
      <c r="R590" s="229"/>
      <c r="S590" s="229"/>
      <c r="T590" s="229"/>
      <c r="U590" s="229"/>
      <c r="V590" s="229"/>
      <c r="W590" s="229"/>
      <c r="X590" s="229"/>
      <c r="Y590" s="229"/>
      <c r="Z590" s="229"/>
      <c r="AA590" s="229"/>
      <c r="AB590" s="229"/>
      <c r="AC590" s="229"/>
    </row>
    <row r="591" spans="1:29" ht="12.75" customHeight="1">
      <c r="A591" s="229"/>
      <c r="B591" s="228"/>
      <c r="C591" s="228"/>
      <c r="D591" s="228"/>
      <c r="E591" s="228"/>
      <c r="F591" s="228"/>
      <c r="G591" s="228"/>
      <c r="H591" s="228"/>
      <c r="I591" s="228"/>
      <c r="J591" s="228"/>
      <c r="K591" s="228"/>
      <c r="L591" s="229"/>
      <c r="M591" s="229"/>
      <c r="N591" s="229"/>
      <c r="O591" s="229"/>
      <c r="P591" s="229"/>
      <c r="Q591" s="229"/>
      <c r="R591" s="229"/>
      <c r="S591" s="229"/>
      <c r="T591" s="229"/>
      <c r="U591" s="229"/>
      <c r="V591" s="229"/>
      <c r="W591" s="229"/>
      <c r="X591" s="229"/>
      <c r="Y591" s="229"/>
      <c r="Z591" s="229"/>
      <c r="AA591" s="229"/>
      <c r="AB591" s="229"/>
      <c r="AC591" s="229"/>
    </row>
    <row r="592" spans="1:29" ht="12.75" customHeight="1">
      <c r="A592" s="229"/>
      <c r="B592" s="228"/>
      <c r="C592" s="228"/>
      <c r="D592" s="228"/>
      <c r="E592" s="228"/>
      <c r="F592" s="228"/>
      <c r="G592" s="228"/>
      <c r="H592" s="228"/>
      <c r="I592" s="228"/>
      <c r="J592" s="228"/>
      <c r="K592" s="228"/>
      <c r="L592" s="229"/>
      <c r="M592" s="229"/>
      <c r="N592" s="229"/>
      <c r="O592" s="229"/>
      <c r="P592" s="229"/>
      <c r="Q592" s="229"/>
      <c r="R592" s="229"/>
      <c r="S592" s="229"/>
      <c r="T592" s="229"/>
      <c r="U592" s="229"/>
      <c r="V592" s="229"/>
      <c r="W592" s="229"/>
      <c r="X592" s="229"/>
      <c r="Y592" s="229"/>
      <c r="Z592" s="229"/>
      <c r="AA592" s="229"/>
      <c r="AB592" s="229"/>
      <c r="AC592" s="229"/>
    </row>
    <row r="593" spans="1:29" ht="12.75" customHeight="1">
      <c r="A593" s="229"/>
      <c r="B593" s="228"/>
      <c r="C593" s="228"/>
      <c r="D593" s="228"/>
      <c r="E593" s="228"/>
      <c r="F593" s="228"/>
      <c r="G593" s="228"/>
      <c r="H593" s="228"/>
      <c r="I593" s="228"/>
      <c r="J593" s="228"/>
      <c r="K593" s="228"/>
      <c r="L593" s="229"/>
      <c r="M593" s="229"/>
      <c r="N593" s="229"/>
      <c r="O593" s="229"/>
      <c r="P593" s="229"/>
      <c r="Q593" s="229"/>
      <c r="R593" s="229"/>
      <c r="S593" s="229"/>
      <c r="T593" s="229"/>
      <c r="U593" s="229"/>
      <c r="V593" s="229"/>
      <c r="W593" s="229"/>
      <c r="X593" s="229"/>
      <c r="Y593" s="229"/>
      <c r="Z593" s="229"/>
      <c r="AA593" s="229"/>
      <c r="AB593" s="229"/>
      <c r="AC593" s="229"/>
    </row>
    <row r="594" spans="1:29" ht="12.75" customHeight="1">
      <c r="A594" s="229"/>
      <c r="B594" s="228"/>
      <c r="C594" s="228"/>
      <c r="D594" s="228"/>
      <c r="E594" s="228"/>
      <c r="F594" s="228"/>
      <c r="G594" s="228"/>
      <c r="H594" s="228"/>
      <c r="I594" s="228"/>
      <c r="J594" s="228"/>
      <c r="K594" s="228"/>
      <c r="L594" s="229"/>
      <c r="M594" s="229"/>
      <c r="N594" s="229"/>
      <c r="O594" s="229"/>
      <c r="P594" s="229"/>
      <c r="Q594" s="229"/>
      <c r="R594" s="229"/>
      <c r="S594" s="229"/>
      <c r="T594" s="229"/>
      <c r="U594" s="229"/>
      <c r="V594" s="229"/>
      <c r="W594" s="229"/>
      <c r="X594" s="229"/>
      <c r="Y594" s="229"/>
      <c r="Z594" s="229"/>
      <c r="AA594" s="229"/>
      <c r="AB594" s="229"/>
      <c r="AC594" s="229"/>
    </row>
    <row r="595" spans="1:29" ht="12.75" customHeight="1">
      <c r="A595" s="229"/>
      <c r="B595" s="228"/>
      <c r="C595" s="228"/>
      <c r="D595" s="228"/>
      <c r="E595" s="228"/>
      <c r="F595" s="228"/>
      <c r="G595" s="228"/>
      <c r="H595" s="228"/>
      <c r="I595" s="228"/>
      <c r="J595" s="228"/>
      <c r="K595" s="228"/>
      <c r="L595" s="229"/>
      <c r="M595" s="229"/>
      <c r="N595" s="229"/>
      <c r="O595" s="229"/>
      <c r="P595" s="229"/>
      <c r="Q595" s="229"/>
      <c r="R595" s="229"/>
      <c r="S595" s="229"/>
      <c r="T595" s="229"/>
      <c r="U595" s="229"/>
      <c r="V595" s="229"/>
      <c r="W595" s="229"/>
      <c r="X595" s="229"/>
      <c r="Y595" s="229"/>
      <c r="Z595" s="229"/>
      <c r="AA595" s="229"/>
      <c r="AB595" s="229"/>
      <c r="AC595" s="229"/>
    </row>
    <row r="596" spans="1:29" ht="12.75" customHeight="1">
      <c r="A596" s="229"/>
      <c r="B596" s="228"/>
      <c r="C596" s="228"/>
      <c r="D596" s="228"/>
      <c r="E596" s="228"/>
      <c r="F596" s="228"/>
      <c r="G596" s="228"/>
      <c r="H596" s="228"/>
      <c r="I596" s="228"/>
      <c r="J596" s="228"/>
      <c r="K596" s="228"/>
      <c r="L596" s="229"/>
      <c r="M596" s="229"/>
      <c r="N596" s="229"/>
      <c r="O596" s="229"/>
      <c r="P596" s="229"/>
      <c r="Q596" s="229"/>
      <c r="R596" s="229"/>
      <c r="S596" s="229"/>
      <c r="T596" s="229"/>
      <c r="U596" s="229"/>
      <c r="V596" s="229"/>
      <c r="W596" s="229"/>
      <c r="X596" s="229"/>
      <c r="Y596" s="229"/>
      <c r="Z596" s="229"/>
      <c r="AA596" s="229"/>
      <c r="AB596" s="229"/>
      <c r="AC596" s="229"/>
    </row>
    <row r="597" spans="1:29" ht="12.75" customHeight="1">
      <c r="A597" s="229"/>
      <c r="B597" s="228"/>
      <c r="C597" s="228"/>
      <c r="D597" s="228"/>
      <c r="E597" s="228"/>
      <c r="F597" s="228"/>
      <c r="G597" s="228"/>
      <c r="H597" s="228"/>
      <c r="I597" s="228"/>
      <c r="J597" s="228"/>
      <c r="K597" s="228"/>
      <c r="L597" s="229"/>
      <c r="M597" s="229"/>
      <c r="N597" s="229"/>
      <c r="O597" s="229"/>
      <c r="P597" s="229"/>
      <c r="Q597" s="229"/>
      <c r="R597" s="229"/>
      <c r="S597" s="229"/>
      <c r="T597" s="229"/>
      <c r="U597" s="229"/>
      <c r="V597" s="229"/>
      <c r="W597" s="229"/>
      <c r="X597" s="229"/>
      <c r="Y597" s="229"/>
      <c r="Z597" s="229"/>
      <c r="AA597" s="229"/>
      <c r="AB597" s="229"/>
      <c r="AC597" s="229"/>
    </row>
    <row r="598" spans="1:29" ht="12.75" customHeight="1">
      <c r="A598" s="229"/>
      <c r="B598" s="228"/>
      <c r="C598" s="228"/>
      <c r="D598" s="228"/>
      <c r="E598" s="228"/>
      <c r="F598" s="228"/>
      <c r="G598" s="228"/>
      <c r="H598" s="228"/>
      <c r="I598" s="228"/>
      <c r="J598" s="228"/>
      <c r="K598" s="228"/>
      <c r="L598" s="229"/>
      <c r="M598" s="229"/>
      <c r="N598" s="229"/>
      <c r="O598" s="229"/>
      <c r="P598" s="229"/>
      <c r="Q598" s="229"/>
      <c r="R598" s="229"/>
      <c r="S598" s="229"/>
      <c r="T598" s="229"/>
      <c r="U598" s="229"/>
      <c r="V598" s="229"/>
      <c r="W598" s="229"/>
      <c r="X598" s="229"/>
      <c r="Y598" s="229"/>
      <c r="Z598" s="229"/>
      <c r="AA598" s="229"/>
      <c r="AB598" s="229"/>
      <c r="AC598" s="229"/>
    </row>
    <row r="599" spans="1:29" ht="12.75" customHeight="1">
      <c r="A599" s="229"/>
      <c r="B599" s="228"/>
      <c r="C599" s="228"/>
      <c r="D599" s="228"/>
      <c r="E599" s="228"/>
      <c r="F599" s="228"/>
      <c r="G599" s="228"/>
      <c r="H599" s="228"/>
      <c r="I599" s="228"/>
      <c r="J599" s="228"/>
      <c r="K599" s="228"/>
      <c r="L599" s="229"/>
      <c r="M599" s="229"/>
      <c r="N599" s="229"/>
      <c r="O599" s="229"/>
      <c r="P599" s="229"/>
      <c r="Q599" s="229"/>
      <c r="R599" s="229"/>
      <c r="S599" s="229"/>
      <c r="T599" s="229"/>
      <c r="U599" s="229"/>
      <c r="V599" s="229"/>
      <c r="W599" s="229"/>
      <c r="X599" s="229"/>
      <c r="Y599" s="229"/>
      <c r="Z599" s="229"/>
      <c r="AA599" s="229"/>
      <c r="AB599" s="229"/>
      <c r="AC599" s="229"/>
    </row>
    <row r="600" spans="1:29" ht="12.75" customHeight="1">
      <c r="A600" s="229"/>
      <c r="B600" s="228"/>
      <c r="C600" s="228"/>
      <c r="D600" s="228"/>
      <c r="E600" s="228"/>
      <c r="F600" s="228"/>
      <c r="G600" s="228"/>
      <c r="H600" s="228"/>
      <c r="I600" s="228"/>
      <c r="J600" s="228"/>
      <c r="K600" s="228"/>
      <c r="L600" s="229"/>
      <c r="M600" s="229"/>
      <c r="N600" s="229"/>
      <c r="O600" s="229"/>
      <c r="P600" s="229"/>
      <c r="Q600" s="229"/>
      <c r="R600" s="229"/>
      <c r="S600" s="229"/>
      <c r="T600" s="229"/>
      <c r="U600" s="229"/>
      <c r="V600" s="229"/>
      <c r="W600" s="229"/>
      <c r="X600" s="229"/>
      <c r="Y600" s="229"/>
      <c r="Z600" s="229"/>
      <c r="AA600" s="229"/>
      <c r="AB600" s="229"/>
      <c r="AC600" s="229"/>
    </row>
    <row r="601" spans="1:29" ht="12.75" customHeight="1">
      <c r="A601" s="229"/>
      <c r="B601" s="228"/>
      <c r="C601" s="228"/>
      <c r="D601" s="228"/>
      <c r="E601" s="228"/>
      <c r="F601" s="228"/>
      <c r="G601" s="228"/>
      <c r="H601" s="228"/>
      <c r="I601" s="228"/>
      <c r="J601" s="228"/>
      <c r="K601" s="228"/>
      <c r="L601" s="229"/>
      <c r="M601" s="229"/>
      <c r="N601" s="229"/>
      <c r="O601" s="229"/>
      <c r="P601" s="229"/>
      <c r="Q601" s="229"/>
      <c r="R601" s="229"/>
      <c r="S601" s="229"/>
      <c r="T601" s="229"/>
      <c r="U601" s="229"/>
      <c r="V601" s="229"/>
      <c r="W601" s="229"/>
      <c r="X601" s="229"/>
      <c r="Y601" s="229"/>
      <c r="Z601" s="229"/>
      <c r="AA601" s="229"/>
      <c r="AB601" s="229"/>
      <c r="AC601" s="229"/>
    </row>
    <row r="602" spans="1:29" ht="12.75" customHeight="1">
      <c r="A602" s="229"/>
      <c r="B602" s="228"/>
      <c r="C602" s="228"/>
      <c r="D602" s="228"/>
      <c r="E602" s="228"/>
      <c r="F602" s="228"/>
      <c r="G602" s="228"/>
      <c r="H602" s="228"/>
      <c r="I602" s="228"/>
      <c r="J602" s="228"/>
      <c r="K602" s="228"/>
      <c r="L602" s="229"/>
      <c r="M602" s="229"/>
      <c r="N602" s="229"/>
      <c r="O602" s="229"/>
      <c r="P602" s="229"/>
      <c r="Q602" s="229"/>
      <c r="R602" s="229"/>
      <c r="S602" s="229"/>
      <c r="T602" s="229"/>
      <c r="U602" s="229"/>
      <c r="V602" s="229"/>
      <c r="W602" s="229"/>
      <c r="X602" s="229"/>
      <c r="Y602" s="229"/>
      <c r="Z602" s="229"/>
      <c r="AA602" s="229"/>
      <c r="AB602" s="229"/>
      <c r="AC602" s="229"/>
    </row>
    <row r="603" spans="1:29" ht="12.75" customHeight="1">
      <c r="A603" s="229"/>
      <c r="B603" s="228"/>
      <c r="C603" s="228"/>
      <c r="D603" s="228"/>
      <c r="E603" s="228"/>
      <c r="F603" s="228"/>
      <c r="G603" s="228"/>
      <c r="H603" s="228"/>
      <c r="I603" s="228"/>
      <c r="J603" s="228"/>
      <c r="K603" s="228"/>
      <c r="L603" s="229"/>
      <c r="M603" s="229"/>
      <c r="N603" s="229"/>
      <c r="O603" s="229"/>
      <c r="P603" s="229"/>
      <c r="Q603" s="229"/>
      <c r="R603" s="229"/>
      <c r="S603" s="229"/>
      <c r="T603" s="229"/>
      <c r="U603" s="229"/>
      <c r="V603" s="229"/>
      <c r="W603" s="229"/>
      <c r="X603" s="229"/>
      <c r="Y603" s="229"/>
      <c r="Z603" s="229"/>
      <c r="AA603" s="229"/>
      <c r="AB603" s="229"/>
      <c r="AC603" s="229"/>
    </row>
    <row r="604" spans="1:29" ht="12.75" customHeight="1">
      <c r="A604" s="229"/>
      <c r="B604" s="228"/>
      <c r="C604" s="228"/>
      <c r="D604" s="228"/>
      <c r="E604" s="228"/>
      <c r="F604" s="228"/>
      <c r="G604" s="228"/>
      <c r="H604" s="228"/>
      <c r="I604" s="228"/>
      <c r="J604" s="228"/>
      <c r="K604" s="228"/>
      <c r="L604" s="229"/>
      <c r="M604" s="229"/>
      <c r="N604" s="229"/>
      <c r="O604" s="229"/>
      <c r="P604" s="229"/>
      <c r="Q604" s="229"/>
      <c r="R604" s="229"/>
      <c r="S604" s="229"/>
      <c r="T604" s="229"/>
      <c r="U604" s="229"/>
      <c r="V604" s="229"/>
      <c r="W604" s="229"/>
      <c r="X604" s="229"/>
      <c r="Y604" s="229"/>
      <c r="Z604" s="229"/>
      <c r="AA604" s="229"/>
      <c r="AB604" s="229"/>
      <c r="AC604" s="229"/>
    </row>
    <row r="605" spans="1:29" ht="12.75" customHeight="1">
      <c r="A605" s="229"/>
      <c r="B605" s="228"/>
      <c r="C605" s="228"/>
      <c r="D605" s="228"/>
      <c r="E605" s="228"/>
      <c r="F605" s="228"/>
      <c r="G605" s="228"/>
      <c r="H605" s="228"/>
      <c r="I605" s="228"/>
      <c r="J605" s="228"/>
      <c r="K605" s="228"/>
      <c r="L605" s="229"/>
      <c r="M605" s="229"/>
      <c r="N605" s="229"/>
      <c r="O605" s="229"/>
      <c r="P605" s="229"/>
      <c r="Q605" s="229"/>
      <c r="R605" s="229"/>
      <c r="S605" s="229"/>
      <c r="T605" s="229"/>
      <c r="U605" s="229"/>
      <c r="V605" s="229"/>
      <c r="W605" s="229"/>
      <c r="X605" s="229"/>
      <c r="Y605" s="229"/>
      <c r="Z605" s="229"/>
      <c r="AA605" s="229"/>
      <c r="AB605" s="229"/>
      <c r="AC605" s="229"/>
    </row>
    <row r="606" spans="1:29" ht="12.75" customHeight="1">
      <c r="A606" s="229"/>
      <c r="B606" s="228"/>
      <c r="C606" s="228"/>
      <c r="D606" s="228"/>
      <c r="E606" s="228"/>
      <c r="F606" s="228"/>
      <c r="G606" s="228"/>
      <c r="H606" s="228"/>
      <c r="I606" s="228"/>
      <c r="J606" s="228"/>
      <c r="K606" s="228"/>
      <c r="L606" s="229"/>
      <c r="M606" s="229"/>
      <c r="N606" s="229"/>
      <c r="O606" s="229"/>
      <c r="P606" s="229"/>
      <c r="Q606" s="229"/>
      <c r="R606" s="229"/>
      <c r="S606" s="229"/>
      <c r="T606" s="229"/>
      <c r="U606" s="229"/>
      <c r="V606" s="229"/>
      <c r="W606" s="229"/>
      <c r="X606" s="229"/>
      <c r="Y606" s="229"/>
      <c r="Z606" s="229"/>
      <c r="AA606" s="229"/>
      <c r="AB606" s="229"/>
      <c r="AC606" s="229"/>
    </row>
    <row r="607" spans="1:29" ht="12.75" customHeight="1">
      <c r="A607" s="229"/>
      <c r="B607" s="228"/>
      <c r="C607" s="228"/>
      <c r="D607" s="228"/>
      <c r="E607" s="228"/>
      <c r="F607" s="228"/>
      <c r="G607" s="228"/>
      <c r="H607" s="228"/>
      <c r="I607" s="228"/>
      <c r="J607" s="228"/>
      <c r="K607" s="228"/>
      <c r="L607" s="229"/>
      <c r="M607" s="229"/>
      <c r="N607" s="229"/>
      <c r="O607" s="229"/>
      <c r="P607" s="229"/>
      <c r="Q607" s="229"/>
      <c r="R607" s="229"/>
      <c r="S607" s="229"/>
      <c r="T607" s="229"/>
      <c r="U607" s="229"/>
      <c r="V607" s="229"/>
      <c r="W607" s="229"/>
      <c r="X607" s="229"/>
      <c r="Y607" s="229"/>
      <c r="Z607" s="229"/>
      <c r="AA607" s="229"/>
      <c r="AB607" s="229"/>
      <c r="AC607" s="229"/>
    </row>
    <row r="608" spans="1:29" ht="12.75" customHeight="1">
      <c r="A608" s="229"/>
      <c r="B608" s="228"/>
      <c r="C608" s="228"/>
      <c r="D608" s="228"/>
      <c r="E608" s="228"/>
      <c r="F608" s="228"/>
      <c r="G608" s="228"/>
      <c r="H608" s="228"/>
      <c r="I608" s="228"/>
      <c r="J608" s="228"/>
      <c r="K608" s="228"/>
      <c r="L608" s="229"/>
      <c r="M608" s="229"/>
      <c r="N608" s="229"/>
      <c r="O608" s="229"/>
      <c r="P608" s="229"/>
      <c r="Q608" s="229"/>
      <c r="R608" s="229"/>
      <c r="S608" s="229"/>
      <c r="T608" s="229"/>
      <c r="U608" s="229"/>
      <c r="V608" s="229"/>
      <c r="W608" s="229"/>
      <c r="X608" s="229"/>
      <c r="Y608" s="229"/>
      <c r="Z608" s="229"/>
      <c r="AA608" s="229"/>
      <c r="AB608" s="229"/>
      <c r="AC608" s="229"/>
    </row>
    <row r="609" spans="1:29" ht="12.75" customHeight="1">
      <c r="A609" s="229"/>
      <c r="B609" s="228"/>
      <c r="C609" s="228"/>
      <c r="D609" s="228"/>
      <c r="E609" s="228"/>
      <c r="F609" s="228"/>
      <c r="G609" s="228"/>
      <c r="H609" s="228"/>
      <c r="I609" s="228"/>
      <c r="J609" s="228"/>
      <c r="K609" s="228"/>
      <c r="L609" s="229"/>
      <c r="M609" s="229"/>
      <c r="N609" s="229"/>
      <c r="O609" s="229"/>
      <c r="P609" s="229"/>
      <c r="Q609" s="229"/>
      <c r="R609" s="229"/>
      <c r="S609" s="229"/>
      <c r="T609" s="229"/>
      <c r="U609" s="229"/>
      <c r="V609" s="229"/>
      <c r="W609" s="229"/>
      <c r="X609" s="229"/>
      <c r="Y609" s="229"/>
      <c r="Z609" s="229"/>
      <c r="AA609" s="229"/>
      <c r="AB609" s="229"/>
      <c r="AC609" s="229"/>
    </row>
    <row r="610" spans="1:29" ht="12.75" customHeight="1">
      <c r="A610" s="229"/>
      <c r="B610" s="228"/>
      <c r="C610" s="228"/>
      <c r="D610" s="228"/>
      <c r="E610" s="228"/>
      <c r="F610" s="228"/>
      <c r="G610" s="228"/>
      <c r="H610" s="228"/>
      <c r="I610" s="228"/>
      <c r="J610" s="228"/>
      <c r="K610" s="228"/>
      <c r="L610" s="229"/>
      <c r="M610" s="229"/>
      <c r="N610" s="229"/>
      <c r="O610" s="229"/>
      <c r="P610" s="229"/>
      <c r="Q610" s="229"/>
      <c r="R610" s="229"/>
      <c r="S610" s="229"/>
      <c r="T610" s="229"/>
      <c r="U610" s="229"/>
      <c r="V610" s="229"/>
      <c r="W610" s="229"/>
      <c r="X610" s="229"/>
      <c r="Y610" s="229"/>
      <c r="Z610" s="229"/>
      <c r="AA610" s="229"/>
      <c r="AB610" s="229"/>
      <c r="AC610" s="229"/>
    </row>
    <row r="611" spans="1:29" ht="12.75" customHeight="1">
      <c r="A611" s="229"/>
      <c r="B611" s="228"/>
      <c r="C611" s="228"/>
      <c r="D611" s="228"/>
      <c r="E611" s="228"/>
      <c r="F611" s="228"/>
      <c r="G611" s="228"/>
      <c r="H611" s="228"/>
      <c r="I611" s="228"/>
      <c r="J611" s="228"/>
      <c r="K611" s="228"/>
      <c r="L611" s="229"/>
      <c r="M611" s="229"/>
      <c r="N611" s="229"/>
      <c r="O611" s="229"/>
      <c r="P611" s="229"/>
      <c r="Q611" s="229"/>
      <c r="R611" s="229"/>
      <c r="S611" s="229"/>
      <c r="T611" s="229"/>
      <c r="U611" s="229"/>
      <c r="V611" s="229"/>
      <c r="W611" s="229"/>
      <c r="X611" s="229"/>
      <c r="Y611" s="229"/>
      <c r="Z611" s="229"/>
      <c r="AA611" s="229"/>
      <c r="AB611" s="229"/>
      <c r="AC611" s="229"/>
    </row>
    <row r="612" spans="1:29" ht="12.75" customHeight="1">
      <c r="A612" s="229"/>
      <c r="B612" s="228"/>
      <c r="C612" s="228"/>
      <c r="D612" s="228"/>
      <c r="E612" s="228"/>
      <c r="F612" s="228"/>
      <c r="G612" s="228"/>
      <c r="H612" s="228"/>
      <c r="I612" s="228"/>
      <c r="J612" s="228"/>
      <c r="K612" s="228"/>
      <c r="L612" s="229"/>
      <c r="M612" s="229"/>
      <c r="N612" s="229"/>
      <c r="O612" s="229"/>
      <c r="P612" s="229"/>
      <c r="Q612" s="229"/>
      <c r="R612" s="229"/>
      <c r="S612" s="229"/>
      <c r="T612" s="229"/>
      <c r="U612" s="229"/>
      <c r="V612" s="229"/>
      <c r="W612" s="229"/>
      <c r="X612" s="229"/>
      <c r="Y612" s="229"/>
      <c r="Z612" s="229"/>
      <c r="AA612" s="229"/>
      <c r="AB612" s="229"/>
      <c r="AC612" s="229"/>
    </row>
    <row r="613" spans="1:29" ht="12.75" customHeight="1">
      <c r="A613" s="229"/>
      <c r="B613" s="228"/>
      <c r="C613" s="228"/>
      <c r="D613" s="228"/>
      <c r="E613" s="228"/>
      <c r="F613" s="228"/>
      <c r="G613" s="228"/>
      <c r="H613" s="228"/>
      <c r="I613" s="228"/>
      <c r="J613" s="228"/>
      <c r="K613" s="228"/>
      <c r="L613" s="229"/>
      <c r="M613" s="229"/>
      <c r="N613" s="229"/>
      <c r="O613" s="229"/>
      <c r="P613" s="229"/>
      <c r="Q613" s="229"/>
      <c r="R613" s="229"/>
      <c r="S613" s="229"/>
      <c r="T613" s="229"/>
      <c r="U613" s="229"/>
      <c r="V613" s="229"/>
      <c r="W613" s="229"/>
      <c r="X613" s="229"/>
      <c r="Y613" s="229"/>
      <c r="Z613" s="229"/>
      <c r="AA613" s="229"/>
      <c r="AB613" s="229"/>
      <c r="AC613" s="229"/>
    </row>
    <row r="614" spans="1:29" ht="12.75" customHeight="1">
      <c r="A614" s="229"/>
      <c r="B614" s="228"/>
      <c r="C614" s="228"/>
      <c r="D614" s="228"/>
      <c r="E614" s="228"/>
      <c r="F614" s="228"/>
      <c r="G614" s="228"/>
      <c r="H614" s="228"/>
      <c r="I614" s="228"/>
      <c r="J614" s="228"/>
      <c r="K614" s="228"/>
      <c r="L614" s="229"/>
      <c r="M614" s="229"/>
      <c r="N614" s="229"/>
      <c r="O614" s="229"/>
      <c r="P614" s="229"/>
      <c r="Q614" s="229"/>
      <c r="R614" s="229"/>
      <c r="S614" s="229"/>
      <c r="T614" s="229"/>
      <c r="U614" s="229"/>
      <c r="V614" s="229"/>
      <c r="W614" s="229"/>
      <c r="X614" s="229"/>
      <c r="Y614" s="229"/>
      <c r="Z614" s="229"/>
      <c r="AA614" s="229"/>
      <c r="AB614" s="229"/>
      <c r="AC614" s="229"/>
    </row>
    <row r="615" spans="1:29" ht="12.75" customHeight="1">
      <c r="A615" s="229"/>
      <c r="B615" s="228"/>
      <c r="C615" s="228"/>
      <c r="D615" s="228"/>
      <c r="E615" s="228"/>
      <c r="F615" s="228"/>
      <c r="G615" s="228"/>
      <c r="H615" s="228"/>
      <c r="I615" s="228"/>
      <c r="J615" s="228"/>
      <c r="K615" s="228"/>
      <c r="L615" s="229"/>
      <c r="M615" s="229"/>
      <c r="N615" s="229"/>
      <c r="O615" s="229"/>
      <c r="P615" s="229"/>
      <c r="Q615" s="229"/>
      <c r="R615" s="229"/>
      <c r="S615" s="229"/>
      <c r="T615" s="229"/>
      <c r="U615" s="229"/>
      <c r="V615" s="229"/>
      <c r="W615" s="229"/>
      <c r="X615" s="229"/>
      <c r="Y615" s="229"/>
      <c r="Z615" s="229"/>
      <c r="AA615" s="229"/>
      <c r="AB615" s="229"/>
      <c r="AC615" s="229"/>
    </row>
    <row r="616" spans="1:29" ht="12.75" customHeight="1">
      <c r="A616" s="229"/>
      <c r="B616" s="228"/>
      <c r="C616" s="228"/>
      <c r="D616" s="228"/>
      <c r="E616" s="228"/>
      <c r="F616" s="228"/>
      <c r="G616" s="228"/>
      <c r="H616" s="228"/>
      <c r="I616" s="228"/>
      <c r="J616" s="228"/>
      <c r="K616" s="228"/>
      <c r="L616" s="229"/>
      <c r="M616" s="229"/>
      <c r="N616" s="229"/>
      <c r="O616" s="229"/>
      <c r="P616" s="229"/>
      <c r="Q616" s="229"/>
      <c r="R616" s="229"/>
      <c r="S616" s="229"/>
      <c r="T616" s="229"/>
      <c r="U616" s="229"/>
      <c r="V616" s="229"/>
      <c r="W616" s="229"/>
      <c r="X616" s="229"/>
      <c r="Y616" s="229"/>
      <c r="Z616" s="229"/>
      <c r="AA616" s="229"/>
      <c r="AB616" s="229"/>
      <c r="AC616" s="229"/>
    </row>
    <row r="617" spans="1:29" ht="12.75" customHeight="1">
      <c r="A617" s="229"/>
      <c r="B617" s="228"/>
      <c r="C617" s="228"/>
      <c r="D617" s="228"/>
      <c r="E617" s="228"/>
      <c r="F617" s="228"/>
      <c r="G617" s="228"/>
      <c r="H617" s="228"/>
      <c r="I617" s="228"/>
      <c r="J617" s="228"/>
      <c r="K617" s="228"/>
      <c r="L617" s="229"/>
      <c r="M617" s="229"/>
      <c r="N617" s="229"/>
      <c r="O617" s="229"/>
      <c r="P617" s="229"/>
      <c r="Q617" s="229"/>
      <c r="R617" s="229"/>
      <c r="S617" s="229"/>
      <c r="T617" s="229"/>
      <c r="U617" s="229"/>
      <c r="V617" s="229"/>
      <c r="W617" s="229"/>
      <c r="X617" s="229"/>
      <c r="Y617" s="229"/>
      <c r="Z617" s="229"/>
      <c r="AA617" s="229"/>
      <c r="AB617" s="229"/>
      <c r="AC617" s="229"/>
    </row>
    <row r="618" spans="1:29" ht="12.75" customHeight="1">
      <c r="A618" s="229"/>
      <c r="B618" s="228"/>
      <c r="C618" s="228"/>
      <c r="D618" s="228"/>
      <c r="E618" s="228"/>
      <c r="F618" s="228"/>
      <c r="G618" s="228"/>
      <c r="H618" s="228"/>
      <c r="I618" s="228"/>
      <c r="J618" s="228"/>
      <c r="K618" s="228"/>
      <c r="L618" s="229"/>
      <c r="M618" s="229"/>
      <c r="N618" s="229"/>
      <c r="O618" s="229"/>
      <c r="P618" s="229"/>
      <c r="Q618" s="229"/>
      <c r="R618" s="229"/>
      <c r="S618" s="229"/>
      <c r="T618" s="229"/>
      <c r="U618" s="229"/>
      <c r="V618" s="229"/>
      <c r="W618" s="229"/>
      <c r="X618" s="229"/>
      <c r="Y618" s="229"/>
      <c r="Z618" s="229"/>
      <c r="AA618" s="229"/>
      <c r="AB618" s="229"/>
      <c r="AC618" s="229"/>
    </row>
    <row r="619" spans="1:29" ht="12.75" customHeight="1">
      <c r="A619" s="229"/>
      <c r="B619" s="228"/>
      <c r="C619" s="228"/>
      <c r="D619" s="228"/>
      <c r="E619" s="228"/>
      <c r="F619" s="228"/>
      <c r="G619" s="228"/>
      <c r="H619" s="228"/>
      <c r="I619" s="228"/>
      <c r="J619" s="228"/>
      <c r="K619" s="228"/>
      <c r="L619" s="229"/>
      <c r="M619" s="229"/>
      <c r="N619" s="229"/>
      <c r="O619" s="229"/>
      <c r="P619" s="229"/>
      <c r="Q619" s="229"/>
      <c r="R619" s="229"/>
      <c r="S619" s="229"/>
      <c r="T619" s="229"/>
      <c r="U619" s="229"/>
      <c r="V619" s="229"/>
      <c r="W619" s="229"/>
      <c r="X619" s="229"/>
      <c r="Y619" s="229"/>
      <c r="Z619" s="229"/>
      <c r="AA619" s="229"/>
      <c r="AB619" s="229"/>
      <c r="AC619" s="229"/>
    </row>
    <row r="620" spans="1:29" ht="12.75" customHeight="1">
      <c r="A620" s="229"/>
      <c r="B620" s="228"/>
      <c r="C620" s="228"/>
      <c r="D620" s="228"/>
      <c r="E620" s="228"/>
      <c r="F620" s="228"/>
      <c r="G620" s="228"/>
      <c r="H620" s="228"/>
      <c r="I620" s="228"/>
      <c r="J620" s="228"/>
      <c r="K620" s="228"/>
      <c r="L620" s="229"/>
      <c r="M620" s="229"/>
      <c r="N620" s="229"/>
      <c r="O620" s="229"/>
      <c r="P620" s="229"/>
      <c r="Q620" s="229"/>
      <c r="R620" s="229"/>
      <c r="S620" s="229"/>
      <c r="T620" s="229"/>
      <c r="U620" s="229"/>
      <c r="V620" s="229"/>
      <c r="W620" s="229"/>
      <c r="X620" s="229"/>
      <c r="Y620" s="229"/>
      <c r="Z620" s="229"/>
      <c r="AA620" s="229"/>
      <c r="AB620" s="229"/>
      <c r="AC620" s="229"/>
    </row>
    <row r="621" spans="1:29" ht="12.75" customHeight="1">
      <c r="A621" s="229"/>
      <c r="B621" s="228"/>
      <c r="C621" s="228"/>
      <c r="D621" s="228"/>
      <c r="E621" s="228"/>
      <c r="F621" s="228"/>
      <c r="G621" s="228"/>
      <c r="H621" s="228"/>
      <c r="I621" s="228"/>
      <c r="J621" s="228"/>
      <c r="K621" s="228"/>
      <c r="L621" s="229"/>
      <c r="M621" s="229"/>
      <c r="N621" s="229"/>
      <c r="O621" s="229"/>
      <c r="P621" s="229"/>
      <c r="Q621" s="229"/>
      <c r="R621" s="229"/>
      <c r="S621" s="229"/>
      <c r="T621" s="229"/>
      <c r="U621" s="229"/>
      <c r="V621" s="229"/>
      <c r="W621" s="229"/>
      <c r="X621" s="229"/>
      <c r="Y621" s="229"/>
      <c r="Z621" s="229"/>
      <c r="AA621" s="229"/>
      <c r="AB621" s="229"/>
      <c r="AC621" s="229"/>
    </row>
    <row r="622" spans="1:29" ht="12.75" customHeight="1">
      <c r="A622" s="229"/>
      <c r="B622" s="228"/>
      <c r="C622" s="228"/>
      <c r="D622" s="228"/>
      <c r="E622" s="228"/>
      <c r="F622" s="228"/>
      <c r="G622" s="228"/>
      <c r="H622" s="228"/>
      <c r="I622" s="228"/>
      <c r="J622" s="228"/>
      <c r="K622" s="228"/>
      <c r="L622" s="229"/>
      <c r="M622" s="229"/>
      <c r="N622" s="229"/>
      <c r="O622" s="229"/>
      <c r="P622" s="229"/>
      <c r="Q622" s="229"/>
      <c r="R622" s="229"/>
      <c r="S622" s="229"/>
      <c r="T622" s="229"/>
      <c r="U622" s="229"/>
      <c r="V622" s="229"/>
      <c r="W622" s="229"/>
      <c r="X622" s="229"/>
      <c r="Y622" s="229"/>
      <c r="Z622" s="229"/>
      <c r="AA622" s="229"/>
      <c r="AB622" s="229"/>
      <c r="AC622" s="229"/>
    </row>
    <row r="623" spans="1:29" ht="12.75" customHeight="1">
      <c r="A623" s="229"/>
      <c r="B623" s="228"/>
      <c r="C623" s="228"/>
      <c r="D623" s="228"/>
      <c r="E623" s="228"/>
      <c r="F623" s="228"/>
      <c r="G623" s="228"/>
      <c r="H623" s="228"/>
      <c r="I623" s="228"/>
      <c r="J623" s="228"/>
      <c r="K623" s="228"/>
      <c r="L623" s="229"/>
      <c r="M623" s="229"/>
      <c r="N623" s="229"/>
      <c r="O623" s="229"/>
      <c r="P623" s="229"/>
      <c r="Q623" s="229"/>
      <c r="R623" s="229"/>
      <c r="S623" s="229"/>
      <c r="T623" s="229"/>
      <c r="U623" s="229"/>
      <c r="V623" s="229"/>
      <c r="W623" s="229"/>
      <c r="X623" s="229"/>
      <c r="Y623" s="229"/>
      <c r="Z623" s="229"/>
      <c r="AA623" s="229"/>
      <c r="AB623" s="229"/>
      <c r="AC623" s="229"/>
    </row>
    <row r="624" spans="1:29" ht="12.75" customHeight="1">
      <c r="A624" s="229"/>
      <c r="B624" s="228"/>
      <c r="C624" s="228"/>
      <c r="D624" s="228"/>
      <c r="E624" s="228"/>
      <c r="F624" s="228"/>
      <c r="G624" s="228"/>
      <c r="H624" s="228"/>
      <c r="I624" s="228"/>
      <c r="J624" s="228"/>
      <c r="K624" s="228"/>
      <c r="L624" s="229"/>
      <c r="M624" s="229"/>
      <c r="N624" s="229"/>
      <c r="O624" s="229"/>
      <c r="P624" s="229"/>
      <c r="Q624" s="229"/>
      <c r="R624" s="229"/>
      <c r="S624" s="229"/>
      <c r="T624" s="229"/>
      <c r="U624" s="229"/>
      <c r="V624" s="229"/>
      <c r="W624" s="229"/>
      <c r="X624" s="229"/>
      <c r="Y624" s="229"/>
      <c r="Z624" s="229"/>
      <c r="AA624" s="229"/>
      <c r="AB624" s="229"/>
      <c r="AC624" s="229"/>
    </row>
    <row r="625" spans="1:29" ht="12.75" customHeight="1">
      <c r="A625" s="229"/>
      <c r="B625" s="228"/>
      <c r="C625" s="228"/>
      <c r="D625" s="228"/>
      <c r="E625" s="228"/>
      <c r="F625" s="228"/>
      <c r="G625" s="228"/>
      <c r="H625" s="228"/>
      <c r="I625" s="228"/>
      <c r="J625" s="228"/>
      <c r="K625" s="228"/>
      <c r="L625" s="229"/>
      <c r="M625" s="229"/>
      <c r="N625" s="229"/>
      <c r="O625" s="229"/>
      <c r="P625" s="229"/>
      <c r="Q625" s="229"/>
      <c r="R625" s="229"/>
      <c r="S625" s="229"/>
      <c r="T625" s="229"/>
      <c r="U625" s="229"/>
      <c r="V625" s="229"/>
      <c r="W625" s="229"/>
      <c r="X625" s="229"/>
      <c r="Y625" s="229"/>
      <c r="Z625" s="229"/>
      <c r="AA625" s="229"/>
      <c r="AB625" s="229"/>
      <c r="AC625" s="229"/>
    </row>
    <row r="626" spans="1:29" ht="12.75" customHeight="1">
      <c r="A626" s="229"/>
      <c r="B626" s="228"/>
      <c r="C626" s="228"/>
      <c r="D626" s="228"/>
      <c r="E626" s="228"/>
      <c r="F626" s="228"/>
      <c r="G626" s="228"/>
      <c r="H626" s="228"/>
      <c r="I626" s="228"/>
      <c r="J626" s="228"/>
      <c r="K626" s="228"/>
      <c r="L626" s="229"/>
      <c r="M626" s="229"/>
      <c r="N626" s="229"/>
      <c r="O626" s="229"/>
      <c r="P626" s="229"/>
      <c r="Q626" s="229"/>
      <c r="R626" s="229"/>
      <c r="S626" s="229"/>
      <c r="T626" s="229"/>
      <c r="U626" s="229"/>
      <c r="V626" s="229"/>
      <c r="W626" s="229"/>
      <c r="X626" s="229"/>
      <c r="Y626" s="229"/>
      <c r="Z626" s="229"/>
      <c r="AA626" s="229"/>
      <c r="AB626" s="229"/>
      <c r="AC626" s="229"/>
    </row>
    <row r="627" spans="1:29" ht="12.75" customHeight="1">
      <c r="A627" s="229"/>
      <c r="B627" s="228"/>
      <c r="C627" s="228"/>
      <c r="D627" s="228"/>
      <c r="E627" s="228"/>
      <c r="F627" s="228"/>
      <c r="G627" s="228"/>
      <c r="H627" s="228"/>
      <c r="I627" s="228"/>
      <c r="J627" s="228"/>
      <c r="K627" s="228"/>
      <c r="L627" s="229"/>
      <c r="M627" s="229"/>
      <c r="N627" s="229"/>
      <c r="O627" s="229"/>
      <c r="P627" s="229"/>
      <c r="Q627" s="229"/>
      <c r="R627" s="229"/>
      <c r="S627" s="229"/>
      <c r="T627" s="229"/>
      <c r="U627" s="229"/>
      <c r="V627" s="229"/>
      <c r="W627" s="229"/>
      <c r="X627" s="229"/>
      <c r="Y627" s="229"/>
      <c r="Z627" s="229"/>
      <c r="AA627" s="229"/>
      <c r="AB627" s="229"/>
      <c r="AC627" s="229"/>
    </row>
    <row r="628" spans="1:29" ht="12.75" customHeight="1">
      <c r="A628" s="229"/>
      <c r="B628" s="228"/>
      <c r="C628" s="228"/>
      <c r="D628" s="228"/>
      <c r="E628" s="228"/>
      <c r="F628" s="228"/>
      <c r="G628" s="228"/>
      <c r="H628" s="228"/>
      <c r="I628" s="228"/>
      <c r="J628" s="228"/>
      <c r="K628" s="228"/>
      <c r="L628" s="229"/>
      <c r="M628" s="229"/>
      <c r="N628" s="229"/>
      <c r="O628" s="229"/>
      <c r="P628" s="229"/>
      <c r="Q628" s="229"/>
      <c r="R628" s="229"/>
      <c r="S628" s="229"/>
      <c r="T628" s="229"/>
      <c r="U628" s="229"/>
      <c r="V628" s="229"/>
      <c r="W628" s="229"/>
      <c r="X628" s="229"/>
      <c r="Y628" s="229"/>
      <c r="Z628" s="229"/>
      <c r="AA628" s="229"/>
      <c r="AB628" s="229"/>
      <c r="AC628" s="229"/>
    </row>
    <row r="629" spans="1:29" ht="12.75" customHeight="1">
      <c r="A629" s="229"/>
      <c r="B629" s="228"/>
      <c r="C629" s="228"/>
      <c r="D629" s="228"/>
      <c r="E629" s="228"/>
      <c r="F629" s="228"/>
      <c r="G629" s="228"/>
      <c r="H629" s="228"/>
      <c r="I629" s="228"/>
      <c r="J629" s="228"/>
      <c r="K629" s="228"/>
      <c r="L629" s="229"/>
      <c r="M629" s="229"/>
      <c r="N629" s="229"/>
      <c r="O629" s="229"/>
      <c r="P629" s="229"/>
      <c r="Q629" s="229"/>
      <c r="R629" s="229"/>
      <c r="S629" s="229"/>
      <c r="T629" s="229"/>
      <c r="U629" s="229"/>
      <c r="V629" s="229"/>
      <c r="W629" s="229"/>
      <c r="X629" s="229"/>
      <c r="Y629" s="229"/>
      <c r="Z629" s="229"/>
      <c r="AA629" s="229"/>
      <c r="AB629" s="229"/>
      <c r="AC629" s="229"/>
    </row>
    <row r="630" spans="1:29" ht="12.75" customHeight="1">
      <c r="A630" s="229"/>
      <c r="B630" s="228"/>
      <c r="C630" s="228"/>
      <c r="D630" s="228"/>
      <c r="E630" s="228"/>
      <c r="F630" s="228"/>
      <c r="G630" s="228"/>
      <c r="H630" s="228"/>
      <c r="I630" s="228"/>
      <c r="J630" s="228"/>
      <c r="K630" s="228"/>
      <c r="L630" s="229"/>
      <c r="M630" s="229"/>
      <c r="N630" s="229"/>
      <c r="O630" s="229"/>
      <c r="P630" s="229"/>
      <c r="Q630" s="229"/>
      <c r="R630" s="229"/>
      <c r="S630" s="229"/>
      <c r="T630" s="229"/>
      <c r="U630" s="229"/>
      <c r="V630" s="229"/>
      <c r="W630" s="229"/>
      <c r="X630" s="229"/>
      <c r="Y630" s="229"/>
      <c r="Z630" s="229"/>
      <c r="AA630" s="229"/>
      <c r="AB630" s="229"/>
      <c r="AC630" s="229"/>
    </row>
    <row r="631" spans="1:29" ht="12.75" customHeight="1">
      <c r="A631" s="229"/>
      <c r="B631" s="228"/>
      <c r="C631" s="228"/>
      <c r="D631" s="228"/>
      <c r="E631" s="228"/>
      <c r="F631" s="228"/>
      <c r="G631" s="228"/>
      <c r="H631" s="228"/>
      <c r="I631" s="228"/>
      <c r="J631" s="228"/>
      <c r="K631" s="228"/>
      <c r="L631" s="229"/>
      <c r="M631" s="229"/>
      <c r="N631" s="229"/>
      <c r="O631" s="229"/>
      <c r="P631" s="229"/>
      <c r="Q631" s="229"/>
      <c r="R631" s="229"/>
      <c r="S631" s="229"/>
      <c r="T631" s="229"/>
      <c r="U631" s="229"/>
      <c r="V631" s="229"/>
      <c r="W631" s="229"/>
      <c r="X631" s="229"/>
      <c r="Y631" s="229"/>
      <c r="Z631" s="229"/>
      <c r="AA631" s="229"/>
      <c r="AB631" s="229"/>
      <c r="AC631" s="229"/>
    </row>
    <row r="632" spans="1:29" ht="12.75" customHeight="1">
      <c r="A632" s="229"/>
      <c r="B632" s="228"/>
      <c r="C632" s="228"/>
      <c r="D632" s="228"/>
      <c r="E632" s="228"/>
      <c r="F632" s="228"/>
      <c r="G632" s="228"/>
      <c r="H632" s="228"/>
      <c r="I632" s="228"/>
      <c r="J632" s="228"/>
      <c r="K632" s="228"/>
      <c r="L632" s="229"/>
      <c r="M632" s="229"/>
      <c r="N632" s="229"/>
      <c r="O632" s="229"/>
      <c r="P632" s="229"/>
      <c r="Q632" s="229"/>
      <c r="R632" s="229"/>
      <c r="S632" s="229"/>
      <c r="T632" s="229"/>
      <c r="U632" s="229"/>
      <c r="V632" s="229"/>
      <c r="W632" s="229"/>
      <c r="X632" s="229"/>
      <c r="Y632" s="229"/>
      <c r="Z632" s="229"/>
      <c r="AA632" s="229"/>
      <c r="AB632" s="229"/>
      <c r="AC632" s="229"/>
    </row>
    <row r="633" spans="1:29" ht="12.75" customHeight="1">
      <c r="A633" s="229"/>
      <c r="B633" s="228"/>
      <c r="C633" s="228"/>
      <c r="D633" s="228"/>
      <c r="E633" s="228"/>
      <c r="F633" s="228"/>
      <c r="G633" s="228"/>
      <c r="H633" s="228"/>
      <c r="I633" s="228"/>
      <c r="J633" s="228"/>
      <c r="K633" s="228"/>
      <c r="L633" s="229"/>
      <c r="M633" s="229"/>
      <c r="N633" s="229"/>
      <c r="O633" s="229"/>
      <c r="P633" s="229"/>
      <c r="Q633" s="229"/>
      <c r="R633" s="229"/>
      <c r="S633" s="229"/>
      <c r="T633" s="229"/>
      <c r="U633" s="229"/>
      <c r="V633" s="229"/>
      <c r="W633" s="229"/>
      <c r="X633" s="229"/>
      <c r="Y633" s="229"/>
      <c r="Z633" s="229"/>
      <c r="AA633" s="229"/>
      <c r="AB633" s="229"/>
      <c r="AC633" s="229"/>
    </row>
    <row r="634" spans="1:29" ht="12.75" customHeight="1">
      <c r="A634" s="229"/>
      <c r="B634" s="228"/>
      <c r="C634" s="228"/>
      <c r="D634" s="228"/>
      <c r="E634" s="228"/>
      <c r="F634" s="228"/>
      <c r="G634" s="228"/>
      <c r="H634" s="228"/>
      <c r="I634" s="228"/>
      <c r="J634" s="228"/>
      <c r="K634" s="228"/>
      <c r="L634" s="229"/>
      <c r="M634" s="229"/>
      <c r="N634" s="229"/>
      <c r="O634" s="229"/>
      <c r="P634" s="229"/>
      <c r="Q634" s="229"/>
      <c r="R634" s="229"/>
      <c r="S634" s="229"/>
      <c r="T634" s="229"/>
      <c r="U634" s="229"/>
      <c r="V634" s="229"/>
      <c r="W634" s="229"/>
      <c r="X634" s="229"/>
      <c r="Y634" s="229"/>
      <c r="Z634" s="229"/>
      <c r="AA634" s="229"/>
      <c r="AB634" s="229"/>
      <c r="AC634" s="229"/>
    </row>
    <row r="635" spans="1:29" ht="12.75" customHeight="1">
      <c r="A635" s="229"/>
      <c r="B635" s="228"/>
      <c r="C635" s="228"/>
      <c r="D635" s="228"/>
      <c r="E635" s="228"/>
      <c r="F635" s="228"/>
      <c r="G635" s="228"/>
      <c r="H635" s="228"/>
      <c r="I635" s="228"/>
      <c r="J635" s="228"/>
      <c r="K635" s="228"/>
      <c r="L635" s="229"/>
      <c r="M635" s="229"/>
      <c r="N635" s="229"/>
      <c r="O635" s="229"/>
      <c r="P635" s="229"/>
      <c r="Q635" s="229"/>
      <c r="R635" s="229"/>
      <c r="S635" s="229"/>
      <c r="T635" s="229"/>
      <c r="U635" s="229"/>
      <c r="V635" s="229"/>
      <c r="W635" s="229"/>
      <c r="X635" s="229"/>
      <c r="Y635" s="229"/>
      <c r="Z635" s="229"/>
      <c r="AA635" s="229"/>
      <c r="AB635" s="229"/>
      <c r="AC635" s="229"/>
    </row>
    <row r="636" spans="1:29" ht="12.75" customHeight="1">
      <c r="A636" s="229"/>
      <c r="B636" s="228"/>
      <c r="C636" s="228"/>
      <c r="D636" s="228"/>
      <c r="E636" s="228"/>
      <c r="F636" s="228"/>
      <c r="G636" s="228"/>
      <c r="H636" s="228"/>
      <c r="I636" s="228"/>
      <c r="J636" s="228"/>
      <c r="K636" s="228"/>
      <c r="L636" s="229"/>
      <c r="M636" s="229"/>
      <c r="N636" s="229"/>
      <c r="O636" s="229"/>
      <c r="P636" s="229"/>
      <c r="Q636" s="229"/>
      <c r="R636" s="229"/>
      <c r="S636" s="229"/>
      <c r="T636" s="229"/>
      <c r="U636" s="229"/>
      <c r="V636" s="229"/>
      <c r="W636" s="229"/>
      <c r="X636" s="229"/>
      <c r="Y636" s="229"/>
      <c r="Z636" s="229"/>
      <c r="AA636" s="229"/>
      <c r="AB636" s="229"/>
      <c r="AC636" s="229"/>
    </row>
    <row r="637" spans="1:29" ht="12.75" customHeight="1">
      <c r="A637" s="229"/>
      <c r="B637" s="228"/>
      <c r="C637" s="228"/>
      <c r="D637" s="228"/>
      <c r="E637" s="228"/>
      <c r="F637" s="228"/>
      <c r="G637" s="228"/>
      <c r="H637" s="228"/>
      <c r="I637" s="228"/>
      <c r="J637" s="228"/>
      <c r="K637" s="228"/>
      <c r="L637" s="229"/>
      <c r="M637" s="229"/>
      <c r="N637" s="229"/>
      <c r="O637" s="229"/>
      <c r="P637" s="229"/>
      <c r="Q637" s="229"/>
      <c r="R637" s="229"/>
      <c r="S637" s="229"/>
      <c r="T637" s="229"/>
      <c r="U637" s="229"/>
      <c r="V637" s="229"/>
      <c r="W637" s="229"/>
      <c r="X637" s="229"/>
      <c r="Y637" s="229"/>
      <c r="Z637" s="229"/>
      <c r="AA637" s="229"/>
      <c r="AB637" s="229"/>
      <c r="AC637" s="229"/>
    </row>
    <row r="638" spans="1:29" ht="12.75" customHeight="1">
      <c r="A638" s="229"/>
      <c r="B638" s="228"/>
      <c r="C638" s="228"/>
      <c r="D638" s="228"/>
      <c r="E638" s="228"/>
      <c r="F638" s="228"/>
      <c r="G638" s="228"/>
      <c r="H638" s="228"/>
      <c r="I638" s="228"/>
      <c r="J638" s="228"/>
      <c r="K638" s="228"/>
      <c r="L638" s="229"/>
      <c r="M638" s="229"/>
      <c r="N638" s="229"/>
      <c r="O638" s="229"/>
      <c r="P638" s="229"/>
      <c r="Q638" s="229"/>
      <c r="R638" s="229"/>
      <c r="S638" s="229"/>
      <c r="T638" s="229"/>
      <c r="U638" s="229"/>
      <c r="V638" s="229"/>
      <c r="W638" s="229"/>
      <c r="X638" s="229"/>
      <c r="Y638" s="229"/>
      <c r="Z638" s="229"/>
      <c r="AA638" s="229"/>
      <c r="AB638" s="229"/>
      <c r="AC638" s="229"/>
    </row>
    <row r="639" spans="1:29" ht="12.75" customHeight="1">
      <c r="A639" s="229"/>
      <c r="B639" s="228"/>
      <c r="C639" s="228"/>
      <c r="D639" s="228"/>
      <c r="E639" s="228"/>
      <c r="F639" s="228"/>
      <c r="G639" s="228"/>
      <c r="H639" s="228"/>
      <c r="I639" s="228"/>
      <c r="J639" s="228"/>
      <c r="K639" s="228"/>
      <c r="L639" s="229"/>
      <c r="M639" s="229"/>
      <c r="N639" s="229"/>
      <c r="O639" s="229"/>
      <c r="P639" s="229"/>
      <c r="Q639" s="229"/>
      <c r="R639" s="229"/>
      <c r="S639" s="229"/>
      <c r="T639" s="229"/>
      <c r="U639" s="229"/>
      <c r="V639" s="229"/>
      <c r="W639" s="229"/>
      <c r="X639" s="229"/>
      <c r="Y639" s="229"/>
      <c r="Z639" s="229"/>
      <c r="AA639" s="229"/>
      <c r="AB639" s="229"/>
      <c r="AC639" s="229"/>
    </row>
    <row r="640" spans="1:29" ht="12.75" customHeight="1">
      <c r="A640" s="229"/>
      <c r="B640" s="228"/>
      <c r="C640" s="228"/>
      <c r="D640" s="228"/>
      <c r="E640" s="228"/>
      <c r="F640" s="228"/>
      <c r="G640" s="228"/>
      <c r="H640" s="228"/>
      <c r="I640" s="228"/>
      <c r="J640" s="228"/>
      <c r="K640" s="228"/>
      <c r="L640" s="229"/>
      <c r="M640" s="229"/>
      <c r="N640" s="229"/>
      <c r="O640" s="229"/>
      <c r="P640" s="229"/>
      <c r="Q640" s="229"/>
      <c r="R640" s="229"/>
      <c r="S640" s="229"/>
      <c r="T640" s="229"/>
      <c r="U640" s="229"/>
      <c r="V640" s="229"/>
      <c r="W640" s="229"/>
      <c r="X640" s="229"/>
      <c r="Y640" s="229"/>
      <c r="Z640" s="229"/>
      <c r="AA640" s="229"/>
      <c r="AB640" s="229"/>
      <c r="AC640" s="229"/>
    </row>
    <row r="641" spans="1:29" ht="12.75" customHeight="1">
      <c r="A641" s="229"/>
      <c r="B641" s="228"/>
      <c r="C641" s="228"/>
      <c r="D641" s="228"/>
      <c r="E641" s="228"/>
      <c r="F641" s="228"/>
      <c r="G641" s="228"/>
      <c r="H641" s="228"/>
      <c r="I641" s="228"/>
      <c r="J641" s="228"/>
      <c r="K641" s="228"/>
      <c r="L641" s="229"/>
      <c r="M641" s="229"/>
      <c r="N641" s="229"/>
      <c r="O641" s="229"/>
      <c r="P641" s="229"/>
      <c r="Q641" s="229"/>
      <c r="R641" s="229"/>
      <c r="S641" s="229"/>
      <c r="T641" s="229"/>
      <c r="U641" s="229"/>
      <c r="V641" s="229"/>
      <c r="W641" s="229"/>
      <c r="X641" s="229"/>
      <c r="Y641" s="229"/>
      <c r="Z641" s="229"/>
      <c r="AA641" s="229"/>
      <c r="AB641" s="229"/>
      <c r="AC641" s="229"/>
    </row>
    <row r="642" spans="1:29" ht="12.75" customHeight="1">
      <c r="A642" s="229"/>
      <c r="B642" s="228"/>
      <c r="C642" s="228"/>
      <c r="D642" s="228"/>
      <c r="E642" s="228"/>
      <c r="F642" s="228"/>
      <c r="G642" s="228"/>
      <c r="H642" s="228"/>
      <c r="I642" s="228"/>
      <c r="J642" s="228"/>
      <c r="K642" s="228"/>
      <c r="L642" s="229"/>
      <c r="M642" s="229"/>
      <c r="N642" s="229"/>
      <c r="O642" s="229"/>
      <c r="P642" s="229"/>
      <c r="Q642" s="229"/>
      <c r="R642" s="229"/>
      <c r="S642" s="229"/>
      <c r="T642" s="229"/>
      <c r="U642" s="229"/>
      <c r="V642" s="229"/>
      <c r="W642" s="229"/>
      <c r="X642" s="229"/>
      <c r="Y642" s="229"/>
      <c r="Z642" s="229"/>
      <c r="AA642" s="229"/>
      <c r="AB642" s="229"/>
      <c r="AC642" s="229"/>
    </row>
    <row r="643" spans="1:29" ht="12.75" customHeight="1">
      <c r="A643" s="229"/>
      <c r="B643" s="228"/>
      <c r="C643" s="228"/>
      <c r="D643" s="228"/>
      <c r="E643" s="228"/>
      <c r="F643" s="228"/>
      <c r="G643" s="228"/>
      <c r="H643" s="228"/>
      <c r="I643" s="228"/>
      <c r="J643" s="228"/>
      <c r="K643" s="228"/>
      <c r="L643" s="229"/>
      <c r="M643" s="229"/>
      <c r="N643" s="229"/>
      <c r="O643" s="229"/>
      <c r="P643" s="229"/>
      <c r="Q643" s="229"/>
      <c r="R643" s="229"/>
      <c r="S643" s="229"/>
      <c r="T643" s="229"/>
      <c r="U643" s="229"/>
      <c r="V643" s="229"/>
      <c r="W643" s="229"/>
      <c r="X643" s="229"/>
      <c r="Y643" s="229"/>
      <c r="Z643" s="229"/>
      <c r="AA643" s="229"/>
      <c r="AB643" s="229"/>
      <c r="AC643" s="229"/>
    </row>
    <row r="644" spans="1:29" ht="12.75" customHeight="1">
      <c r="A644" s="229"/>
      <c r="B644" s="228"/>
      <c r="C644" s="228"/>
      <c r="D644" s="228"/>
      <c r="E644" s="228"/>
      <c r="F644" s="228"/>
      <c r="G644" s="228"/>
      <c r="H644" s="228"/>
      <c r="I644" s="228"/>
      <c r="J644" s="228"/>
      <c r="K644" s="228"/>
      <c r="L644" s="229"/>
      <c r="M644" s="229"/>
      <c r="N644" s="229"/>
      <c r="O644" s="229"/>
      <c r="P644" s="229"/>
      <c r="Q644" s="229"/>
      <c r="R644" s="229"/>
      <c r="S644" s="229"/>
      <c r="T644" s="229"/>
      <c r="U644" s="229"/>
      <c r="V644" s="229"/>
      <c r="W644" s="229"/>
      <c r="X644" s="229"/>
      <c r="Y644" s="229"/>
      <c r="Z644" s="229"/>
      <c r="AA644" s="229"/>
      <c r="AB644" s="229"/>
      <c r="AC644" s="229"/>
    </row>
    <row r="645" spans="1:29" ht="12.75" customHeight="1">
      <c r="A645" s="229"/>
      <c r="B645" s="228"/>
      <c r="C645" s="228"/>
      <c r="D645" s="228"/>
      <c r="E645" s="228"/>
      <c r="F645" s="228"/>
      <c r="G645" s="228"/>
      <c r="H645" s="228"/>
      <c r="I645" s="228"/>
      <c r="J645" s="228"/>
      <c r="K645" s="228"/>
      <c r="L645" s="229"/>
      <c r="M645" s="229"/>
      <c r="N645" s="229"/>
      <c r="O645" s="229"/>
      <c r="P645" s="229"/>
      <c r="Q645" s="229"/>
      <c r="R645" s="229"/>
      <c r="S645" s="229"/>
      <c r="T645" s="229"/>
      <c r="U645" s="229"/>
      <c r="V645" s="229"/>
      <c r="W645" s="229"/>
      <c r="X645" s="229"/>
      <c r="Y645" s="229"/>
      <c r="Z645" s="229"/>
      <c r="AA645" s="229"/>
      <c r="AB645" s="229"/>
      <c r="AC645" s="229"/>
    </row>
    <row r="646" spans="1:29" ht="12.75" customHeight="1">
      <c r="A646" s="229"/>
      <c r="B646" s="228"/>
      <c r="C646" s="228"/>
      <c r="D646" s="228"/>
      <c r="E646" s="228"/>
      <c r="F646" s="228"/>
      <c r="G646" s="228"/>
      <c r="H646" s="228"/>
      <c r="I646" s="228"/>
      <c r="J646" s="228"/>
      <c r="K646" s="228"/>
      <c r="L646" s="229"/>
      <c r="M646" s="229"/>
      <c r="N646" s="229"/>
      <c r="O646" s="229"/>
      <c r="P646" s="229"/>
      <c r="Q646" s="229"/>
      <c r="R646" s="229"/>
      <c r="S646" s="229"/>
      <c r="T646" s="229"/>
      <c r="U646" s="229"/>
      <c r="V646" s="229"/>
      <c r="W646" s="229"/>
      <c r="X646" s="229"/>
      <c r="Y646" s="229"/>
      <c r="Z646" s="229"/>
      <c r="AA646" s="229"/>
      <c r="AB646" s="229"/>
      <c r="AC646" s="229"/>
    </row>
    <row r="647" spans="1:29" ht="12.75" customHeight="1">
      <c r="A647" s="229"/>
      <c r="B647" s="228"/>
      <c r="C647" s="228"/>
      <c r="D647" s="228"/>
      <c r="E647" s="228"/>
      <c r="F647" s="228"/>
      <c r="G647" s="228"/>
      <c r="H647" s="228"/>
      <c r="I647" s="228"/>
      <c r="J647" s="228"/>
      <c r="K647" s="228"/>
      <c r="L647" s="229"/>
      <c r="M647" s="229"/>
      <c r="N647" s="229"/>
      <c r="O647" s="229"/>
      <c r="P647" s="229"/>
      <c r="Q647" s="229"/>
      <c r="R647" s="229"/>
      <c r="S647" s="229"/>
      <c r="T647" s="229"/>
      <c r="U647" s="229"/>
      <c r="V647" s="229"/>
      <c r="W647" s="229"/>
      <c r="X647" s="229"/>
      <c r="Y647" s="229"/>
      <c r="Z647" s="229"/>
      <c r="AA647" s="229"/>
      <c r="AB647" s="229"/>
      <c r="AC647" s="229"/>
    </row>
    <row r="648" spans="1:29" ht="12.75" customHeight="1">
      <c r="A648" s="229"/>
      <c r="B648" s="228"/>
      <c r="C648" s="228"/>
      <c r="D648" s="228"/>
      <c r="E648" s="228"/>
      <c r="F648" s="228"/>
      <c r="G648" s="228"/>
      <c r="H648" s="228"/>
      <c r="I648" s="228"/>
      <c r="J648" s="228"/>
      <c r="K648" s="228"/>
      <c r="L648" s="229"/>
      <c r="M648" s="229"/>
      <c r="N648" s="229"/>
      <c r="O648" s="229"/>
      <c r="P648" s="229"/>
      <c r="Q648" s="229"/>
      <c r="R648" s="229"/>
      <c r="S648" s="229"/>
      <c r="T648" s="229"/>
      <c r="U648" s="229"/>
      <c r="V648" s="229"/>
      <c r="W648" s="229"/>
      <c r="X648" s="229"/>
      <c r="Y648" s="229"/>
      <c r="Z648" s="229"/>
      <c r="AA648" s="229"/>
      <c r="AB648" s="229"/>
      <c r="AC648" s="229"/>
    </row>
    <row r="649" spans="1:29" ht="12.75" customHeight="1">
      <c r="A649" s="229"/>
      <c r="B649" s="228"/>
      <c r="C649" s="228"/>
      <c r="D649" s="228"/>
      <c r="E649" s="228"/>
      <c r="F649" s="228"/>
      <c r="G649" s="228"/>
      <c r="H649" s="228"/>
      <c r="I649" s="228"/>
      <c r="J649" s="228"/>
      <c r="K649" s="228"/>
      <c r="L649" s="229"/>
      <c r="M649" s="229"/>
      <c r="N649" s="229"/>
      <c r="O649" s="229"/>
      <c r="P649" s="229"/>
      <c r="Q649" s="229"/>
      <c r="R649" s="229"/>
      <c r="S649" s="229"/>
      <c r="T649" s="229"/>
      <c r="U649" s="229"/>
      <c r="V649" s="229"/>
      <c r="W649" s="229"/>
      <c r="X649" s="229"/>
      <c r="Y649" s="229"/>
      <c r="Z649" s="229"/>
      <c r="AA649" s="229"/>
      <c r="AB649" s="229"/>
      <c r="AC649" s="229"/>
    </row>
    <row r="650" spans="1:29" ht="12.75" customHeight="1">
      <c r="A650" s="229"/>
      <c r="B650" s="228"/>
      <c r="C650" s="228"/>
      <c r="D650" s="228"/>
      <c r="E650" s="228"/>
      <c r="F650" s="228"/>
      <c r="G650" s="228"/>
      <c r="H650" s="228"/>
      <c r="I650" s="228"/>
      <c r="J650" s="228"/>
      <c r="K650" s="228"/>
      <c r="L650" s="229"/>
      <c r="M650" s="229"/>
      <c r="N650" s="229"/>
      <c r="O650" s="229"/>
      <c r="P650" s="229"/>
      <c r="Q650" s="229"/>
      <c r="R650" s="229"/>
      <c r="S650" s="229"/>
      <c r="T650" s="229"/>
      <c r="U650" s="229"/>
      <c r="V650" s="229"/>
      <c r="W650" s="229"/>
      <c r="X650" s="229"/>
      <c r="Y650" s="229"/>
      <c r="Z650" s="229"/>
      <c r="AA650" s="229"/>
      <c r="AB650" s="229"/>
      <c r="AC650" s="229"/>
    </row>
    <row r="651" spans="1:29" ht="12.75" customHeight="1">
      <c r="A651" s="229"/>
      <c r="B651" s="228"/>
      <c r="C651" s="228"/>
      <c r="D651" s="228"/>
      <c r="E651" s="228"/>
      <c r="F651" s="228"/>
      <c r="G651" s="228"/>
      <c r="H651" s="228"/>
      <c r="I651" s="228"/>
      <c r="J651" s="228"/>
      <c r="K651" s="228"/>
      <c r="L651" s="229"/>
      <c r="M651" s="229"/>
      <c r="N651" s="229"/>
      <c r="O651" s="229"/>
      <c r="P651" s="229"/>
      <c r="Q651" s="229"/>
      <c r="R651" s="229"/>
      <c r="S651" s="229"/>
      <c r="T651" s="229"/>
      <c r="U651" s="229"/>
      <c r="V651" s="229"/>
      <c r="W651" s="229"/>
      <c r="X651" s="229"/>
      <c r="Y651" s="229"/>
      <c r="Z651" s="229"/>
      <c r="AA651" s="229"/>
      <c r="AB651" s="229"/>
      <c r="AC651" s="229"/>
    </row>
    <row r="652" spans="1:29" ht="12.75" customHeight="1">
      <c r="A652" s="229"/>
      <c r="B652" s="228"/>
      <c r="C652" s="228"/>
      <c r="D652" s="228"/>
      <c r="E652" s="228"/>
      <c r="F652" s="228"/>
      <c r="G652" s="228"/>
      <c r="H652" s="228"/>
      <c r="I652" s="228"/>
      <c r="J652" s="228"/>
      <c r="K652" s="228"/>
      <c r="L652" s="229"/>
      <c r="M652" s="229"/>
      <c r="N652" s="229"/>
      <c r="O652" s="229"/>
      <c r="P652" s="229"/>
      <c r="Q652" s="229"/>
      <c r="R652" s="229"/>
      <c r="S652" s="229"/>
      <c r="T652" s="229"/>
      <c r="U652" s="229"/>
      <c r="V652" s="229"/>
      <c r="W652" s="229"/>
      <c r="X652" s="229"/>
      <c r="Y652" s="229"/>
      <c r="Z652" s="229"/>
      <c r="AA652" s="229"/>
      <c r="AB652" s="229"/>
      <c r="AC652" s="229"/>
    </row>
    <row r="653" spans="1:29" ht="12.75" customHeight="1">
      <c r="A653" s="229"/>
      <c r="B653" s="228"/>
      <c r="C653" s="228"/>
      <c r="D653" s="228"/>
      <c r="E653" s="228"/>
      <c r="F653" s="228"/>
      <c r="G653" s="228"/>
      <c r="H653" s="228"/>
      <c r="I653" s="228"/>
      <c r="J653" s="228"/>
      <c r="K653" s="228"/>
      <c r="L653" s="229"/>
      <c r="M653" s="229"/>
      <c r="N653" s="229"/>
      <c r="O653" s="229"/>
      <c r="P653" s="229"/>
      <c r="Q653" s="229"/>
      <c r="R653" s="229"/>
      <c r="S653" s="229"/>
      <c r="T653" s="229"/>
      <c r="U653" s="229"/>
      <c r="V653" s="229"/>
      <c r="W653" s="229"/>
      <c r="X653" s="229"/>
      <c r="Y653" s="229"/>
      <c r="Z653" s="229"/>
      <c r="AA653" s="229"/>
      <c r="AB653" s="229"/>
      <c r="AC653" s="229"/>
    </row>
    <row r="654" spans="1:29" ht="12.75" customHeight="1">
      <c r="A654" s="229"/>
      <c r="B654" s="228"/>
      <c r="C654" s="228"/>
      <c r="D654" s="228"/>
      <c r="E654" s="228"/>
      <c r="F654" s="228"/>
      <c r="G654" s="228"/>
      <c r="H654" s="228"/>
      <c r="I654" s="228"/>
      <c r="J654" s="228"/>
      <c r="K654" s="228"/>
      <c r="L654" s="229"/>
      <c r="M654" s="229"/>
      <c r="N654" s="229"/>
      <c r="O654" s="229"/>
      <c r="P654" s="229"/>
      <c r="Q654" s="229"/>
      <c r="R654" s="229"/>
      <c r="S654" s="229"/>
      <c r="T654" s="229"/>
      <c r="U654" s="229"/>
      <c r="V654" s="229"/>
      <c r="W654" s="229"/>
      <c r="X654" s="229"/>
      <c r="Y654" s="229"/>
      <c r="Z654" s="229"/>
      <c r="AA654" s="229"/>
      <c r="AB654" s="229"/>
      <c r="AC654" s="229"/>
    </row>
    <row r="655" spans="1:29" ht="12.75" customHeight="1">
      <c r="A655" s="229"/>
      <c r="B655" s="228"/>
      <c r="C655" s="228"/>
      <c r="D655" s="228"/>
      <c r="E655" s="228"/>
      <c r="F655" s="228"/>
      <c r="G655" s="228"/>
      <c r="H655" s="228"/>
      <c r="I655" s="228"/>
      <c r="J655" s="228"/>
      <c r="K655" s="228"/>
      <c r="L655" s="229"/>
      <c r="M655" s="229"/>
      <c r="N655" s="229"/>
      <c r="O655" s="229"/>
      <c r="P655" s="229"/>
      <c r="Q655" s="229"/>
      <c r="R655" s="229"/>
      <c r="S655" s="229"/>
      <c r="T655" s="229"/>
      <c r="U655" s="229"/>
      <c r="V655" s="229"/>
      <c r="W655" s="229"/>
      <c r="X655" s="229"/>
      <c r="Y655" s="229"/>
      <c r="Z655" s="229"/>
      <c r="AA655" s="229"/>
      <c r="AB655" s="229"/>
      <c r="AC655" s="229"/>
    </row>
    <row r="656" spans="1:29" ht="12.75" customHeight="1">
      <c r="A656" s="229"/>
      <c r="B656" s="228"/>
      <c r="C656" s="228"/>
      <c r="D656" s="228"/>
      <c r="E656" s="228"/>
      <c r="F656" s="228"/>
      <c r="G656" s="228"/>
      <c r="H656" s="228"/>
      <c r="I656" s="228"/>
      <c r="J656" s="228"/>
      <c r="K656" s="228"/>
      <c r="L656" s="229"/>
      <c r="M656" s="229"/>
      <c r="N656" s="229"/>
      <c r="O656" s="229"/>
      <c r="P656" s="229"/>
      <c r="Q656" s="229"/>
      <c r="R656" s="229"/>
      <c r="S656" s="229"/>
      <c r="T656" s="229"/>
      <c r="U656" s="229"/>
      <c r="V656" s="229"/>
      <c r="W656" s="229"/>
      <c r="X656" s="229"/>
      <c r="Y656" s="229"/>
      <c r="Z656" s="229"/>
      <c r="AA656" s="229"/>
      <c r="AB656" s="229"/>
      <c r="AC656" s="229"/>
    </row>
    <row r="657" spans="1:29" ht="12.75" customHeight="1">
      <c r="A657" s="229"/>
      <c r="B657" s="228"/>
      <c r="C657" s="228"/>
      <c r="D657" s="228"/>
      <c r="E657" s="228"/>
      <c r="F657" s="228"/>
      <c r="G657" s="228"/>
      <c r="H657" s="228"/>
      <c r="I657" s="228"/>
      <c r="J657" s="228"/>
      <c r="K657" s="228"/>
      <c r="L657" s="229"/>
      <c r="M657" s="229"/>
      <c r="N657" s="229"/>
      <c r="O657" s="229"/>
      <c r="P657" s="229"/>
      <c r="Q657" s="229"/>
      <c r="R657" s="229"/>
      <c r="S657" s="229"/>
      <c r="T657" s="229"/>
      <c r="U657" s="229"/>
      <c r="V657" s="229"/>
      <c r="W657" s="229"/>
      <c r="X657" s="229"/>
      <c r="Y657" s="229"/>
      <c r="Z657" s="229"/>
      <c r="AA657" s="229"/>
      <c r="AB657" s="229"/>
      <c r="AC657" s="229"/>
    </row>
    <row r="658" spans="1:29" ht="12.75" customHeight="1">
      <c r="A658" s="229"/>
      <c r="B658" s="228"/>
      <c r="C658" s="228"/>
      <c r="D658" s="228"/>
      <c r="E658" s="228"/>
      <c r="F658" s="228"/>
      <c r="G658" s="228"/>
      <c r="H658" s="228"/>
      <c r="I658" s="228"/>
      <c r="J658" s="228"/>
      <c r="K658" s="228"/>
      <c r="L658" s="229"/>
      <c r="M658" s="229"/>
      <c r="N658" s="229"/>
      <c r="O658" s="229"/>
      <c r="P658" s="229"/>
      <c r="Q658" s="229"/>
      <c r="R658" s="229"/>
      <c r="S658" s="229"/>
      <c r="T658" s="229"/>
      <c r="U658" s="229"/>
      <c r="V658" s="229"/>
      <c r="W658" s="229"/>
      <c r="X658" s="229"/>
      <c r="Y658" s="229"/>
      <c r="Z658" s="229"/>
      <c r="AA658" s="229"/>
      <c r="AB658" s="229"/>
      <c r="AC658" s="229"/>
    </row>
    <row r="659" spans="1:29" ht="12.75" customHeight="1">
      <c r="A659" s="229"/>
      <c r="B659" s="228"/>
      <c r="C659" s="228"/>
      <c r="D659" s="228"/>
      <c r="E659" s="228"/>
      <c r="F659" s="228"/>
      <c r="G659" s="228"/>
      <c r="H659" s="228"/>
      <c r="I659" s="228"/>
      <c r="J659" s="228"/>
      <c r="K659" s="228"/>
      <c r="L659" s="229"/>
      <c r="M659" s="229"/>
      <c r="N659" s="229"/>
      <c r="O659" s="229"/>
      <c r="P659" s="229"/>
      <c r="Q659" s="229"/>
      <c r="R659" s="229"/>
      <c r="S659" s="229"/>
      <c r="T659" s="229"/>
      <c r="U659" s="229"/>
      <c r="V659" s="229"/>
      <c r="W659" s="229"/>
      <c r="X659" s="229"/>
      <c r="Y659" s="229"/>
      <c r="Z659" s="229"/>
      <c r="AA659" s="229"/>
      <c r="AB659" s="229"/>
      <c r="AC659" s="229"/>
    </row>
    <row r="660" spans="1:29" ht="12.75" customHeight="1">
      <c r="A660" s="229"/>
      <c r="B660" s="228"/>
      <c r="C660" s="228"/>
      <c r="D660" s="228"/>
      <c r="E660" s="228"/>
      <c r="F660" s="228"/>
      <c r="G660" s="228"/>
      <c r="H660" s="228"/>
      <c r="I660" s="228"/>
      <c r="J660" s="228"/>
      <c r="K660" s="228"/>
      <c r="L660" s="229"/>
      <c r="M660" s="229"/>
      <c r="N660" s="229"/>
      <c r="O660" s="229"/>
      <c r="P660" s="229"/>
      <c r="Q660" s="229"/>
      <c r="R660" s="229"/>
      <c r="S660" s="229"/>
      <c r="T660" s="229"/>
      <c r="U660" s="229"/>
      <c r="V660" s="229"/>
      <c r="W660" s="229"/>
      <c r="X660" s="229"/>
      <c r="Y660" s="229"/>
      <c r="Z660" s="229"/>
      <c r="AA660" s="229"/>
      <c r="AB660" s="229"/>
      <c r="AC660" s="229"/>
    </row>
    <row r="661" spans="1:29" ht="12.75" customHeight="1">
      <c r="A661" s="229"/>
      <c r="B661" s="228"/>
      <c r="C661" s="228"/>
      <c r="D661" s="228"/>
      <c r="E661" s="228"/>
      <c r="F661" s="228"/>
      <c r="G661" s="228"/>
      <c r="H661" s="228"/>
      <c r="I661" s="228"/>
      <c r="J661" s="228"/>
      <c r="K661" s="228"/>
      <c r="L661" s="229"/>
      <c r="M661" s="229"/>
      <c r="N661" s="229"/>
      <c r="O661" s="229"/>
      <c r="P661" s="229"/>
      <c r="Q661" s="229"/>
      <c r="R661" s="229"/>
      <c r="S661" s="229"/>
      <c r="T661" s="229"/>
      <c r="U661" s="229"/>
      <c r="V661" s="229"/>
      <c r="W661" s="229"/>
      <c r="X661" s="229"/>
      <c r="Y661" s="229"/>
      <c r="Z661" s="229"/>
      <c r="AA661" s="229"/>
      <c r="AB661" s="229"/>
      <c r="AC661" s="229"/>
    </row>
    <row r="662" spans="1:29" ht="12.75" customHeight="1">
      <c r="A662" s="229"/>
      <c r="B662" s="228"/>
      <c r="C662" s="228"/>
      <c r="D662" s="228"/>
      <c r="E662" s="228"/>
      <c r="F662" s="228"/>
      <c r="G662" s="228"/>
      <c r="H662" s="228"/>
      <c r="I662" s="228"/>
      <c r="J662" s="228"/>
      <c r="K662" s="228"/>
      <c r="L662" s="229"/>
      <c r="M662" s="229"/>
      <c r="N662" s="229"/>
      <c r="O662" s="229"/>
      <c r="P662" s="229"/>
      <c r="Q662" s="229"/>
      <c r="R662" s="229"/>
      <c r="S662" s="229"/>
      <c r="T662" s="229"/>
      <c r="U662" s="229"/>
      <c r="V662" s="229"/>
      <c r="W662" s="229"/>
      <c r="X662" s="229"/>
      <c r="Y662" s="229"/>
      <c r="Z662" s="229"/>
      <c r="AA662" s="229"/>
      <c r="AB662" s="229"/>
      <c r="AC662" s="229"/>
    </row>
    <row r="663" spans="1:29" ht="12.75" customHeight="1">
      <c r="A663" s="229"/>
      <c r="B663" s="228"/>
      <c r="C663" s="228"/>
      <c r="D663" s="228"/>
      <c r="E663" s="228"/>
      <c r="F663" s="228"/>
      <c r="G663" s="228"/>
      <c r="H663" s="228"/>
      <c r="I663" s="228"/>
      <c r="J663" s="228"/>
      <c r="K663" s="228"/>
      <c r="L663" s="229"/>
      <c r="M663" s="229"/>
      <c r="N663" s="229"/>
      <c r="O663" s="229"/>
      <c r="P663" s="229"/>
      <c r="Q663" s="229"/>
      <c r="R663" s="229"/>
      <c r="S663" s="229"/>
      <c r="T663" s="229"/>
      <c r="U663" s="229"/>
      <c r="V663" s="229"/>
      <c r="W663" s="229"/>
      <c r="X663" s="229"/>
      <c r="Y663" s="229"/>
      <c r="Z663" s="229"/>
      <c r="AA663" s="229"/>
      <c r="AB663" s="229"/>
      <c r="AC663" s="229"/>
    </row>
    <row r="664" spans="1:29" ht="12.75" customHeight="1">
      <c r="A664" s="229"/>
      <c r="B664" s="228"/>
      <c r="C664" s="228"/>
      <c r="D664" s="228"/>
      <c r="E664" s="228"/>
      <c r="F664" s="228"/>
      <c r="G664" s="228"/>
      <c r="H664" s="228"/>
      <c r="I664" s="228"/>
      <c r="J664" s="228"/>
      <c r="K664" s="228"/>
      <c r="L664" s="229"/>
      <c r="M664" s="229"/>
      <c r="N664" s="229"/>
      <c r="O664" s="229"/>
      <c r="P664" s="229"/>
      <c r="Q664" s="229"/>
      <c r="R664" s="229"/>
      <c r="S664" s="229"/>
      <c r="T664" s="229"/>
      <c r="U664" s="229"/>
      <c r="V664" s="229"/>
      <c r="W664" s="229"/>
      <c r="X664" s="229"/>
      <c r="Y664" s="229"/>
      <c r="Z664" s="229"/>
      <c r="AA664" s="229"/>
      <c r="AB664" s="229"/>
      <c r="AC664" s="229"/>
    </row>
    <row r="665" spans="1:29" ht="12.75" customHeight="1">
      <c r="A665" s="229"/>
      <c r="B665" s="228"/>
      <c r="C665" s="228"/>
      <c r="D665" s="228"/>
      <c r="E665" s="228"/>
      <c r="F665" s="228"/>
      <c r="G665" s="228"/>
      <c r="H665" s="228"/>
      <c r="I665" s="228"/>
      <c r="J665" s="228"/>
      <c r="K665" s="228"/>
      <c r="L665" s="229"/>
      <c r="M665" s="229"/>
      <c r="N665" s="229"/>
      <c r="O665" s="229"/>
      <c r="P665" s="229"/>
      <c r="Q665" s="229"/>
      <c r="R665" s="229"/>
      <c r="S665" s="229"/>
      <c r="T665" s="229"/>
      <c r="U665" s="229"/>
      <c r="V665" s="229"/>
      <c r="W665" s="229"/>
      <c r="X665" s="229"/>
      <c r="Y665" s="229"/>
      <c r="Z665" s="229"/>
      <c r="AA665" s="229"/>
      <c r="AB665" s="229"/>
      <c r="AC665" s="229"/>
    </row>
    <row r="666" spans="1:29" ht="12.75" customHeight="1">
      <c r="A666" s="229"/>
      <c r="B666" s="228"/>
      <c r="C666" s="228"/>
      <c r="D666" s="228"/>
      <c r="E666" s="228"/>
      <c r="F666" s="228"/>
      <c r="G666" s="228"/>
      <c r="H666" s="228"/>
      <c r="I666" s="228"/>
      <c r="J666" s="228"/>
      <c r="K666" s="228"/>
      <c r="L666" s="229"/>
      <c r="M666" s="229"/>
      <c r="N666" s="229"/>
      <c r="O666" s="229"/>
      <c r="P666" s="229"/>
      <c r="Q666" s="229"/>
      <c r="R666" s="229"/>
      <c r="S666" s="229"/>
      <c r="T666" s="229"/>
      <c r="U666" s="229"/>
      <c r="V666" s="229"/>
      <c r="W666" s="229"/>
      <c r="X666" s="229"/>
      <c r="Y666" s="229"/>
      <c r="Z666" s="229"/>
      <c r="AA666" s="229"/>
      <c r="AB666" s="229"/>
      <c r="AC666" s="229"/>
    </row>
    <row r="667" spans="1:29" ht="12.75" customHeight="1">
      <c r="A667" s="229"/>
      <c r="B667" s="228"/>
      <c r="C667" s="228"/>
      <c r="D667" s="228"/>
      <c r="E667" s="228"/>
      <c r="F667" s="228"/>
      <c r="G667" s="228"/>
      <c r="H667" s="228"/>
      <c r="I667" s="228"/>
      <c r="J667" s="228"/>
      <c r="K667" s="228"/>
      <c r="L667" s="229"/>
      <c r="M667" s="229"/>
      <c r="N667" s="229"/>
      <c r="O667" s="229"/>
      <c r="P667" s="229"/>
      <c r="Q667" s="229"/>
      <c r="R667" s="229"/>
      <c r="S667" s="229"/>
      <c r="T667" s="229"/>
      <c r="U667" s="229"/>
      <c r="V667" s="229"/>
      <c r="W667" s="229"/>
      <c r="X667" s="229"/>
      <c r="Y667" s="229"/>
      <c r="Z667" s="229"/>
      <c r="AA667" s="229"/>
      <c r="AB667" s="229"/>
      <c r="AC667" s="229"/>
    </row>
    <row r="668" spans="1:29" ht="12.75" customHeight="1">
      <c r="A668" s="229"/>
      <c r="B668" s="228"/>
      <c r="C668" s="228"/>
      <c r="D668" s="228"/>
      <c r="E668" s="228"/>
      <c r="F668" s="228"/>
      <c r="G668" s="228"/>
      <c r="H668" s="228"/>
      <c r="I668" s="228"/>
      <c r="J668" s="228"/>
      <c r="K668" s="228"/>
      <c r="L668" s="229"/>
      <c r="M668" s="229"/>
      <c r="N668" s="229"/>
      <c r="O668" s="229"/>
      <c r="P668" s="229"/>
      <c r="Q668" s="229"/>
      <c r="R668" s="229"/>
      <c r="S668" s="229"/>
      <c r="T668" s="229"/>
      <c r="U668" s="229"/>
      <c r="V668" s="229"/>
      <c r="W668" s="229"/>
      <c r="X668" s="229"/>
      <c r="Y668" s="229"/>
      <c r="Z668" s="229"/>
      <c r="AA668" s="229"/>
      <c r="AB668" s="229"/>
      <c r="AC668" s="229"/>
    </row>
    <row r="669" spans="1:29" ht="12.75" customHeight="1">
      <c r="A669" s="229"/>
      <c r="B669" s="228"/>
      <c r="C669" s="228"/>
      <c r="D669" s="228"/>
      <c r="E669" s="228"/>
      <c r="F669" s="228"/>
      <c r="G669" s="228"/>
      <c r="H669" s="228"/>
      <c r="I669" s="228"/>
      <c r="J669" s="228"/>
      <c r="K669" s="228"/>
      <c r="L669" s="229"/>
      <c r="M669" s="229"/>
      <c r="N669" s="229"/>
      <c r="O669" s="229"/>
      <c r="P669" s="229"/>
      <c r="Q669" s="229"/>
      <c r="R669" s="229"/>
      <c r="S669" s="229"/>
      <c r="T669" s="229"/>
      <c r="U669" s="229"/>
      <c r="V669" s="229"/>
      <c r="W669" s="229"/>
      <c r="X669" s="229"/>
      <c r="Y669" s="229"/>
      <c r="Z669" s="229"/>
      <c r="AA669" s="229"/>
      <c r="AB669" s="229"/>
      <c r="AC669" s="229"/>
    </row>
    <row r="670" spans="1:29" ht="12.75" customHeight="1">
      <c r="A670" s="229"/>
      <c r="B670" s="228"/>
      <c r="C670" s="228"/>
      <c r="D670" s="228"/>
      <c r="E670" s="228"/>
      <c r="F670" s="228"/>
      <c r="G670" s="228"/>
      <c r="H670" s="228"/>
      <c r="I670" s="228"/>
      <c r="J670" s="228"/>
      <c r="K670" s="228"/>
      <c r="L670" s="229"/>
      <c r="M670" s="229"/>
      <c r="N670" s="229"/>
      <c r="O670" s="229"/>
      <c r="P670" s="229"/>
      <c r="Q670" s="229"/>
      <c r="R670" s="229"/>
      <c r="S670" s="229"/>
      <c r="T670" s="229"/>
      <c r="U670" s="229"/>
      <c r="V670" s="229"/>
      <c r="W670" s="229"/>
      <c r="X670" s="229"/>
      <c r="Y670" s="229"/>
      <c r="Z670" s="229"/>
      <c r="AA670" s="229"/>
      <c r="AB670" s="229"/>
      <c r="AC670" s="229"/>
    </row>
    <row r="671" spans="1:29" ht="12.75" customHeight="1">
      <c r="A671" s="229"/>
      <c r="B671" s="228"/>
      <c r="C671" s="228"/>
      <c r="D671" s="228"/>
      <c r="E671" s="228"/>
      <c r="F671" s="228"/>
      <c r="G671" s="228"/>
      <c r="H671" s="228"/>
      <c r="I671" s="228"/>
      <c r="J671" s="228"/>
      <c r="K671" s="228"/>
      <c r="L671" s="229"/>
      <c r="M671" s="229"/>
      <c r="N671" s="229"/>
      <c r="O671" s="229"/>
      <c r="P671" s="229"/>
      <c r="Q671" s="229"/>
      <c r="R671" s="229"/>
      <c r="S671" s="229"/>
      <c r="T671" s="229"/>
      <c r="U671" s="229"/>
      <c r="V671" s="229"/>
      <c r="W671" s="229"/>
      <c r="X671" s="229"/>
      <c r="Y671" s="229"/>
      <c r="Z671" s="229"/>
      <c r="AA671" s="229"/>
      <c r="AB671" s="229"/>
      <c r="AC671" s="229"/>
    </row>
    <row r="672" spans="1:29" ht="12.75" customHeight="1">
      <c r="A672" s="229"/>
      <c r="B672" s="228"/>
      <c r="C672" s="228"/>
      <c r="D672" s="228"/>
      <c r="E672" s="228"/>
      <c r="F672" s="228"/>
      <c r="G672" s="228"/>
      <c r="H672" s="228"/>
      <c r="I672" s="228"/>
      <c r="J672" s="228"/>
      <c r="K672" s="228"/>
      <c r="L672" s="229"/>
      <c r="M672" s="229"/>
      <c r="N672" s="229"/>
      <c r="O672" s="229"/>
      <c r="P672" s="229"/>
      <c r="Q672" s="229"/>
      <c r="R672" s="229"/>
      <c r="S672" s="229"/>
      <c r="T672" s="229"/>
      <c r="U672" s="229"/>
      <c r="V672" s="229"/>
      <c r="W672" s="229"/>
      <c r="X672" s="229"/>
      <c r="Y672" s="229"/>
      <c r="Z672" s="229"/>
      <c r="AA672" s="229"/>
      <c r="AB672" s="229"/>
      <c r="AC672" s="229"/>
    </row>
    <row r="673" spans="1:29" ht="12.75" customHeight="1">
      <c r="A673" s="229"/>
      <c r="B673" s="228"/>
      <c r="C673" s="228"/>
      <c r="D673" s="228"/>
      <c r="E673" s="228"/>
      <c r="F673" s="228"/>
      <c r="G673" s="228"/>
      <c r="H673" s="228"/>
      <c r="I673" s="228"/>
      <c r="J673" s="228"/>
      <c r="K673" s="228"/>
      <c r="L673" s="229"/>
      <c r="M673" s="229"/>
      <c r="N673" s="229"/>
      <c r="O673" s="229"/>
      <c r="P673" s="229"/>
      <c r="Q673" s="229"/>
      <c r="R673" s="229"/>
      <c r="S673" s="229"/>
      <c r="T673" s="229"/>
      <c r="U673" s="229"/>
      <c r="V673" s="229"/>
      <c r="W673" s="229"/>
      <c r="X673" s="229"/>
      <c r="Y673" s="229"/>
      <c r="Z673" s="229"/>
      <c r="AA673" s="229"/>
      <c r="AB673" s="229"/>
      <c r="AC673" s="229"/>
    </row>
    <row r="674" spans="1:29" ht="12.75" customHeight="1">
      <c r="A674" s="229"/>
      <c r="B674" s="228"/>
      <c r="C674" s="228"/>
      <c r="D674" s="228"/>
      <c r="E674" s="228"/>
      <c r="F674" s="228"/>
      <c r="G674" s="228"/>
      <c r="H674" s="228"/>
      <c r="I674" s="228"/>
      <c r="J674" s="228"/>
      <c r="K674" s="228"/>
      <c r="L674" s="229"/>
      <c r="M674" s="229"/>
      <c r="N674" s="229"/>
      <c r="O674" s="229"/>
      <c r="P674" s="229"/>
      <c r="Q674" s="229"/>
      <c r="R674" s="229"/>
      <c r="S674" s="229"/>
      <c r="T674" s="229"/>
      <c r="U674" s="229"/>
      <c r="V674" s="229"/>
      <c r="W674" s="229"/>
      <c r="X674" s="229"/>
      <c r="Y674" s="229"/>
      <c r="Z674" s="229"/>
      <c r="AA674" s="229"/>
      <c r="AB674" s="229"/>
      <c r="AC674" s="229"/>
    </row>
    <row r="675" spans="1:29" ht="12.75" customHeight="1">
      <c r="A675" s="229"/>
      <c r="B675" s="228"/>
      <c r="C675" s="228"/>
      <c r="D675" s="228"/>
      <c r="E675" s="228"/>
      <c r="F675" s="228"/>
      <c r="G675" s="228"/>
      <c r="H675" s="228"/>
      <c r="I675" s="228"/>
      <c r="J675" s="228"/>
      <c r="K675" s="228"/>
      <c r="L675" s="229"/>
      <c r="M675" s="229"/>
      <c r="N675" s="229"/>
      <c r="O675" s="229"/>
      <c r="P675" s="229"/>
      <c r="Q675" s="229"/>
      <c r="R675" s="229"/>
      <c r="S675" s="229"/>
      <c r="T675" s="229"/>
      <c r="U675" s="229"/>
      <c r="V675" s="229"/>
      <c r="W675" s="229"/>
      <c r="X675" s="229"/>
      <c r="Y675" s="229"/>
      <c r="Z675" s="229"/>
      <c r="AA675" s="229"/>
      <c r="AB675" s="229"/>
      <c r="AC675" s="229"/>
    </row>
    <row r="676" spans="1:29" ht="12.75" customHeight="1">
      <c r="A676" s="229"/>
      <c r="B676" s="228"/>
      <c r="C676" s="228"/>
      <c r="D676" s="228"/>
      <c r="E676" s="228"/>
      <c r="F676" s="228"/>
      <c r="G676" s="228"/>
      <c r="H676" s="228"/>
      <c r="I676" s="228"/>
      <c r="J676" s="228"/>
      <c r="K676" s="228"/>
      <c r="L676" s="229"/>
      <c r="M676" s="229"/>
      <c r="N676" s="229"/>
      <c r="O676" s="229"/>
      <c r="P676" s="229"/>
      <c r="Q676" s="229"/>
      <c r="R676" s="229"/>
      <c r="S676" s="229"/>
      <c r="T676" s="229"/>
      <c r="U676" s="229"/>
      <c r="V676" s="229"/>
      <c r="W676" s="229"/>
      <c r="X676" s="229"/>
      <c r="Y676" s="229"/>
      <c r="Z676" s="229"/>
      <c r="AA676" s="229"/>
      <c r="AB676" s="229"/>
      <c r="AC676" s="229"/>
    </row>
    <row r="677" spans="1:29" ht="12.75" customHeight="1">
      <c r="A677" s="229"/>
      <c r="B677" s="228"/>
      <c r="C677" s="228"/>
      <c r="D677" s="228"/>
      <c r="E677" s="228"/>
      <c r="F677" s="228"/>
      <c r="G677" s="228"/>
      <c r="H677" s="228"/>
      <c r="I677" s="228"/>
      <c r="J677" s="228"/>
      <c r="K677" s="228"/>
      <c r="L677" s="229"/>
      <c r="M677" s="229"/>
      <c r="N677" s="229"/>
      <c r="O677" s="229"/>
      <c r="P677" s="229"/>
      <c r="Q677" s="229"/>
      <c r="R677" s="229"/>
      <c r="S677" s="229"/>
      <c r="T677" s="229"/>
      <c r="U677" s="229"/>
      <c r="V677" s="229"/>
      <c r="W677" s="229"/>
      <c r="X677" s="229"/>
      <c r="Y677" s="229"/>
      <c r="Z677" s="229"/>
      <c r="AA677" s="229"/>
      <c r="AB677" s="229"/>
      <c r="AC677" s="229"/>
    </row>
    <row r="678" spans="1:29" ht="12.75" customHeight="1">
      <c r="A678" s="229"/>
      <c r="B678" s="228"/>
      <c r="C678" s="228"/>
      <c r="D678" s="228"/>
      <c r="E678" s="228"/>
      <c r="F678" s="228"/>
      <c r="G678" s="228"/>
      <c r="H678" s="228"/>
      <c r="I678" s="228"/>
      <c r="J678" s="228"/>
      <c r="K678" s="228"/>
      <c r="L678" s="229"/>
      <c r="M678" s="229"/>
      <c r="N678" s="229"/>
      <c r="O678" s="229"/>
      <c r="P678" s="229"/>
      <c r="Q678" s="229"/>
      <c r="R678" s="229"/>
      <c r="S678" s="229"/>
      <c r="T678" s="229"/>
      <c r="U678" s="229"/>
      <c r="V678" s="229"/>
      <c r="W678" s="229"/>
      <c r="X678" s="229"/>
      <c r="Y678" s="229"/>
      <c r="Z678" s="229"/>
      <c r="AA678" s="229"/>
      <c r="AB678" s="229"/>
      <c r="AC678" s="229"/>
    </row>
    <row r="679" spans="1:29" ht="12.75" customHeight="1">
      <c r="A679" s="229"/>
      <c r="B679" s="228"/>
      <c r="C679" s="228"/>
      <c r="D679" s="228"/>
      <c r="E679" s="228"/>
      <c r="F679" s="228"/>
      <c r="G679" s="228"/>
      <c r="H679" s="228"/>
      <c r="I679" s="228"/>
      <c r="J679" s="228"/>
      <c r="K679" s="228"/>
      <c r="L679" s="229"/>
      <c r="M679" s="229"/>
      <c r="N679" s="229"/>
      <c r="O679" s="229"/>
      <c r="P679" s="229"/>
      <c r="Q679" s="229"/>
      <c r="R679" s="229"/>
      <c r="S679" s="229"/>
      <c r="T679" s="229"/>
      <c r="U679" s="229"/>
      <c r="V679" s="229"/>
      <c r="W679" s="229"/>
      <c r="X679" s="229"/>
      <c r="Y679" s="229"/>
      <c r="Z679" s="229"/>
      <c r="AA679" s="229"/>
      <c r="AB679" s="229"/>
      <c r="AC679" s="229"/>
    </row>
    <row r="680" spans="1:29" ht="12.75" customHeight="1">
      <c r="A680" s="229"/>
      <c r="B680" s="228"/>
      <c r="C680" s="228"/>
      <c r="D680" s="228"/>
      <c r="E680" s="228"/>
      <c r="F680" s="228"/>
      <c r="G680" s="228"/>
      <c r="H680" s="228"/>
      <c r="I680" s="228"/>
      <c r="J680" s="228"/>
      <c r="K680" s="228"/>
      <c r="L680" s="229"/>
      <c r="M680" s="229"/>
      <c r="N680" s="229"/>
      <c r="O680" s="229"/>
      <c r="P680" s="229"/>
      <c r="Q680" s="229"/>
      <c r="R680" s="229"/>
      <c r="S680" s="229"/>
      <c r="T680" s="229"/>
      <c r="U680" s="229"/>
      <c r="V680" s="229"/>
      <c r="W680" s="229"/>
      <c r="X680" s="229"/>
      <c r="Y680" s="229"/>
      <c r="Z680" s="229"/>
      <c r="AA680" s="229"/>
      <c r="AB680" s="229"/>
      <c r="AC680" s="229"/>
    </row>
    <row r="681" spans="1:29" ht="12.75" customHeight="1">
      <c r="A681" s="229"/>
      <c r="B681" s="228"/>
      <c r="C681" s="228"/>
      <c r="D681" s="228"/>
      <c r="E681" s="228"/>
      <c r="F681" s="228"/>
      <c r="G681" s="228"/>
      <c r="H681" s="228"/>
      <c r="I681" s="228"/>
      <c r="J681" s="228"/>
      <c r="K681" s="228"/>
      <c r="L681" s="229"/>
      <c r="M681" s="229"/>
      <c r="N681" s="229"/>
      <c r="O681" s="229"/>
      <c r="P681" s="229"/>
      <c r="Q681" s="229"/>
      <c r="R681" s="229"/>
      <c r="S681" s="229"/>
      <c r="T681" s="229"/>
      <c r="U681" s="229"/>
      <c r="V681" s="229"/>
      <c r="W681" s="229"/>
      <c r="X681" s="229"/>
      <c r="Y681" s="229"/>
      <c r="Z681" s="229"/>
      <c r="AA681" s="229"/>
      <c r="AB681" s="229"/>
      <c r="AC681" s="229"/>
    </row>
    <row r="682" spans="1:29" ht="12.75" customHeight="1">
      <c r="A682" s="229"/>
      <c r="B682" s="228"/>
      <c r="C682" s="228"/>
      <c r="D682" s="228"/>
      <c r="E682" s="228"/>
      <c r="F682" s="228"/>
      <c r="G682" s="228"/>
      <c r="H682" s="228"/>
      <c r="I682" s="228"/>
      <c r="J682" s="228"/>
      <c r="K682" s="228"/>
      <c r="L682" s="229"/>
      <c r="M682" s="229"/>
      <c r="N682" s="229"/>
      <c r="O682" s="229"/>
      <c r="P682" s="229"/>
      <c r="Q682" s="229"/>
      <c r="R682" s="229"/>
      <c r="S682" s="229"/>
      <c r="T682" s="229"/>
      <c r="U682" s="229"/>
      <c r="V682" s="229"/>
      <c r="W682" s="229"/>
      <c r="X682" s="229"/>
      <c r="Y682" s="229"/>
      <c r="Z682" s="229"/>
      <c r="AA682" s="229"/>
      <c r="AB682" s="229"/>
      <c r="AC682" s="229"/>
    </row>
    <row r="683" spans="1:29" ht="12.75" customHeight="1">
      <c r="A683" s="229"/>
      <c r="B683" s="228"/>
      <c r="C683" s="228"/>
      <c r="D683" s="228"/>
      <c r="E683" s="228"/>
      <c r="F683" s="228"/>
      <c r="G683" s="228"/>
      <c r="H683" s="228"/>
      <c r="I683" s="228"/>
      <c r="J683" s="228"/>
      <c r="K683" s="228"/>
      <c r="L683" s="229"/>
      <c r="M683" s="229"/>
      <c r="N683" s="229"/>
      <c r="O683" s="229"/>
      <c r="P683" s="229"/>
      <c r="Q683" s="229"/>
      <c r="R683" s="229"/>
      <c r="S683" s="229"/>
      <c r="T683" s="229"/>
      <c r="U683" s="229"/>
      <c r="V683" s="229"/>
      <c r="W683" s="229"/>
      <c r="X683" s="229"/>
      <c r="Y683" s="229"/>
      <c r="Z683" s="229"/>
      <c r="AA683" s="229"/>
      <c r="AB683" s="229"/>
      <c r="AC683" s="229"/>
    </row>
    <row r="684" spans="1:29" ht="12.75" customHeight="1">
      <c r="A684" s="229"/>
      <c r="B684" s="228"/>
      <c r="C684" s="228"/>
      <c r="D684" s="228"/>
      <c r="E684" s="228"/>
      <c r="F684" s="228"/>
      <c r="G684" s="228"/>
      <c r="H684" s="228"/>
      <c r="I684" s="228"/>
      <c r="J684" s="228"/>
      <c r="K684" s="228"/>
      <c r="L684" s="229"/>
      <c r="M684" s="229"/>
      <c r="N684" s="229"/>
      <c r="O684" s="229"/>
      <c r="P684" s="229"/>
      <c r="Q684" s="229"/>
      <c r="R684" s="229"/>
      <c r="S684" s="229"/>
      <c r="T684" s="229"/>
      <c r="U684" s="229"/>
      <c r="V684" s="229"/>
      <c r="W684" s="229"/>
      <c r="X684" s="229"/>
      <c r="Y684" s="229"/>
      <c r="Z684" s="229"/>
      <c r="AA684" s="229"/>
      <c r="AB684" s="229"/>
      <c r="AC684" s="229"/>
    </row>
    <row r="685" spans="1:29" ht="12.75" customHeight="1">
      <c r="A685" s="229"/>
      <c r="B685" s="228"/>
      <c r="C685" s="228"/>
      <c r="D685" s="228"/>
      <c r="E685" s="228"/>
      <c r="F685" s="228"/>
      <c r="G685" s="228"/>
      <c r="H685" s="228"/>
      <c r="I685" s="228"/>
      <c r="J685" s="228"/>
      <c r="K685" s="228"/>
      <c r="L685" s="229"/>
      <c r="M685" s="229"/>
      <c r="N685" s="229"/>
      <c r="O685" s="229"/>
      <c r="P685" s="229"/>
      <c r="Q685" s="229"/>
      <c r="R685" s="229"/>
      <c r="S685" s="229"/>
      <c r="T685" s="229"/>
      <c r="U685" s="229"/>
      <c r="V685" s="229"/>
      <c r="W685" s="229"/>
      <c r="X685" s="229"/>
      <c r="Y685" s="229"/>
      <c r="Z685" s="229"/>
      <c r="AA685" s="229"/>
      <c r="AB685" s="229"/>
      <c r="AC685" s="229"/>
    </row>
    <row r="686" spans="1:29" ht="12.75" customHeight="1">
      <c r="A686" s="229"/>
      <c r="B686" s="228"/>
      <c r="C686" s="228"/>
      <c r="D686" s="228"/>
      <c r="E686" s="228"/>
      <c r="F686" s="228"/>
      <c r="G686" s="228"/>
      <c r="H686" s="228"/>
      <c r="I686" s="228"/>
      <c r="J686" s="228"/>
      <c r="K686" s="228"/>
      <c r="L686" s="229"/>
      <c r="M686" s="229"/>
      <c r="N686" s="229"/>
      <c r="O686" s="229"/>
      <c r="P686" s="229"/>
      <c r="Q686" s="229"/>
      <c r="R686" s="229"/>
      <c r="S686" s="229"/>
      <c r="T686" s="229"/>
      <c r="U686" s="229"/>
      <c r="V686" s="229"/>
      <c r="W686" s="229"/>
      <c r="X686" s="229"/>
      <c r="Y686" s="229"/>
      <c r="Z686" s="229"/>
      <c r="AA686" s="229"/>
      <c r="AB686" s="229"/>
      <c r="AC686" s="229"/>
    </row>
    <row r="687" spans="1:29" ht="12.75" customHeight="1">
      <c r="A687" s="229"/>
      <c r="B687" s="228"/>
      <c r="C687" s="228"/>
      <c r="D687" s="228"/>
      <c r="E687" s="228"/>
      <c r="F687" s="228"/>
      <c r="G687" s="228"/>
      <c r="H687" s="228"/>
      <c r="I687" s="228"/>
      <c r="J687" s="228"/>
      <c r="K687" s="228"/>
      <c r="L687" s="229"/>
      <c r="M687" s="229"/>
      <c r="N687" s="229"/>
      <c r="O687" s="229"/>
      <c r="P687" s="229"/>
      <c r="Q687" s="229"/>
      <c r="R687" s="229"/>
      <c r="S687" s="229"/>
      <c r="T687" s="229"/>
      <c r="U687" s="229"/>
      <c r="V687" s="229"/>
      <c r="W687" s="229"/>
      <c r="X687" s="229"/>
      <c r="Y687" s="229"/>
      <c r="Z687" s="229"/>
      <c r="AA687" s="229"/>
      <c r="AB687" s="229"/>
      <c r="AC687" s="229"/>
    </row>
    <row r="688" spans="1:29" ht="12.75" customHeight="1">
      <c r="A688" s="229"/>
      <c r="B688" s="228"/>
      <c r="C688" s="228"/>
      <c r="D688" s="228"/>
      <c r="E688" s="228"/>
      <c r="F688" s="228"/>
      <c r="G688" s="228"/>
      <c r="H688" s="228"/>
      <c r="I688" s="228"/>
      <c r="J688" s="228"/>
      <c r="K688" s="228"/>
      <c r="L688" s="229"/>
      <c r="M688" s="229"/>
      <c r="N688" s="229"/>
      <c r="O688" s="229"/>
      <c r="P688" s="229"/>
      <c r="Q688" s="229"/>
      <c r="R688" s="229"/>
      <c r="S688" s="229"/>
      <c r="T688" s="229"/>
      <c r="U688" s="229"/>
      <c r="V688" s="229"/>
      <c r="W688" s="229"/>
      <c r="X688" s="229"/>
      <c r="Y688" s="229"/>
      <c r="Z688" s="229"/>
      <c r="AA688" s="229"/>
      <c r="AB688" s="229"/>
      <c r="AC688" s="229"/>
    </row>
    <row r="689" spans="1:29" ht="12.75" customHeight="1">
      <c r="A689" s="229"/>
      <c r="B689" s="228"/>
      <c r="C689" s="228"/>
      <c r="D689" s="228"/>
      <c r="E689" s="228"/>
      <c r="F689" s="228"/>
      <c r="G689" s="228"/>
      <c r="H689" s="228"/>
      <c r="I689" s="228"/>
      <c r="J689" s="228"/>
      <c r="K689" s="228"/>
      <c r="L689" s="229"/>
      <c r="M689" s="229"/>
      <c r="N689" s="229"/>
      <c r="O689" s="229"/>
      <c r="P689" s="229"/>
      <c r="Q689" s="229"/>
      <c r="R689" s="229"/>
      <c r="S689" s="229"/>
      <c r="T689" s="229"/>
      <c r="U689" s="229"/>
      <c r="V689" s="229"/>
      <c r="W689" s="229"/>
      <c r="X689" s="229"/>
      <c r="Y689" s="229"/>
      <c r="Z689" s="229"/>
      <c r="AA689" s="229"/>
      <c r="AB689" s="229"/>
      <c r="AC689" s="229"/>
    </row>
    <row r="690" spans="1:29" ht="12.75" customHeight="1">
      <c r="A690" s="229"/>
      <c r="B690" s="228"/>
      <c r="C690" s="228"/>
      <c r="D690" s="228"/>
      <c r="E690" s="228"/>
      <c r="F690" s="228"/>
      <c r="G690" s="228"/>
      <c r="H690" s="228"/>
      <c r="I690" s="228"/>
      <c r="J690" s="228"/>
      <c r="K690" s="228"/>
      <c r="L690" s="229"/>
      <c r="M690" s="229"/>
      <c r="N690" s="229"/>
      <c r="O690" s="229"/>
      <c r="P690" s="229"/>
      <c r="Q690" s="229"/>
      <c r="R690" s="229"/>
      <c r="S690" s="229"/>
      <c r="T690" s="229"/>
      <c r="U690" s="229"/>
      <c r="V690" s="229"/>
      <c r="W690" s="229"/>
      <c r="X690" s="229"/>
      <c r="Y690" s="229"/>
      <c r="Z690" s="229"/>
      <c r="AA690" s="229"/>
      <c r="AB690" s="229"/>
      <c r="AC690" s="229"/>
    </row>
    <row r="691" spans="1:29" ht="12.75" customHeight="1">
      <c r="A691" s="229"/>
      <c r="B691" s="228"/>
      <c r="C691" s="228"/>
      <c r="D691" s="228"/>
      <c r="E691" s="228"/>
      <c r="F691" s="228"/>
      <c r="G691" s="228"/>
      <c r="H691" s="228"/>
      <c r="I691" s="228"/>
      <c r="J691" s="228"/>
      <c r="K691" s="228"/>
      <c r="L691" s="229"/>
      <c r="M691" s="229"/>
      <c r="N691" s="229"/>
      <c r="O691" s="229"/>
      <c r="P691" s="229"/>
      <c r="Q691" s="229"/>
      <c r="R691" s="229"/>
      <c r="S691" s="229"/>
      <c r="T691" s="229"/>
      <c r="U691" s="229"/>
      <c r="V691" s="229"/>
      <c r="W691" s="229"/>
      <c r="X691" s="229"/>
      <c r="Y691" s="229"/>
      <c r="Z691" s="229"/>
      <c r="AA691" s="229"/>
      <c r="AB691" s="229"/>
      <c r="AC691" s="229"/>
    </row>
    <row r="692" spans="1:29" ht="12.75" customHeight="1">
      <c r="A692" s="229"/>
      <c r="B692" s="228"/>
      <c r="C692" s="228"/>
      <c r="D692" s="228"/>
      <c r="E692" s="228"/>
      <c r="F692" s="228"/>
      <c r="G692" s="228"/>
      <c r="H692" s="228"/>
      <c r="I692" s="228"/>
      <c r="J692" s="228"/>
      <c r="K692" s="228"/>
      <c r="L692" s="229"/>
      <c r="M692" s="229"/>
      <c r="N692" s="229"/>
      <c r="O692" s="229"/>
      <c r="P692" s="229"/>
      <c r="Q692" s="229"/>
      <c r="R692" s="229"/>
      <c r="S692" s="229"/>
      <c r="T692" s="229"/>
      <c r="U692" s="229"/>
      <c r="V692" s="229"/>
      <c r="W692" s="229"/>
      <c r="X692" s="229"/>
      <c r="Y692" s="229"/>
      <c r="Z692" s="229"/>
      <c r="AA692" s="229"/>
      <c r="AB692" s="229"/>
      <c r="AC692" s="229"/>
    </row>
    <row r="693" spans="1:29" ht="12.75" customHeight="1">
      <c r="A693" s="229"/>
      <c r="B693" s="228"/>
      <c r="C693" s="228"/>
      <c r="D693" s="228"/>
      <c r="E693" s="228"/>
      <c r="F693" s="228"/>
      <c r="G693" s="228"/>
      <c r="H693" s="228"/>
      <c r="I693" s="228"/>
      <c r="J693" s="228"/>
      <c r="K693" s="228"/>
      <c r="L693" s="229"/>
      <c r="M693" s="229"/>
      <c r="N693" s="229"/>
      <c r="O693" s="229"/>
      <c r="P693" s="229"/>
      <c r="Q693" s="229"/>
      <c r="R693" s="229"/>
      <c r="S693" s="229"/>
      <c r="T693" s="229"/>
      <c r="U693" s="229"/>
      <c r="V693" s="229"/>
      <c r="W693" s="229"/>
      <c r="X693" s="229"/>
      <c r="Y693" s="229"/>
      <c r="Z693" s="229"/>
      <c r="AA693" s="229"/>
      <c r="AB693" s="229"/>
      <c r="AC693" s="229"/>
    </row>
    <row r="694" spans="1:29" ht="12.75" customHeight="1">
      <c r="A694" s="229"/>
      <c r="B694" s="228"/>
      <c r="C694" s="228"/>
      <c r="D694" s="228"/>
      <c r="E694" s="228"/>
      <c r="F694" s="228"/>
      <c r="G694" s="228"/>
      <c r="H694" s="228"/>
      <c r="I694" s="228"/>
      <c r="J694" s="228"/>
      <c r="K694" s="228"/>
      <c r="L694" s="229"/>
      <c r="M694" s="229"/>
      <c r="N694" s="229"/>
      <c r="O694" s="229"/>
      <c r="P694" s="229"/>
      <c r="Q694" s="229"/>
      <c r="R694" s="229"/>
      <c r="S694" s="229"/>
      <c r="T694" s="229"/>
      <c r="U694" s="229"/>
      <c r="V694" s="229"/>
      <c r="W694" s="229"/>
      <c r="X694" s="229"/>
      <c r="Y694" s="229"/>
      <c r="Z694" s="229"/>
      <c r="AA694" s="229"/>
      <c r="AB694" s="229"/>
      <c r="AC694" s="229"/>
    </row>
    <row r="695" spans="1:29" ht="12.75" customHeight="1">
      <c r="A695" s="229"/>
      <c r="B695" s="228"/>
      <c r="C695" s="228"/>
      <c r="D695" s="228"/>
      <c r="E695" s="228"/>
      <c r="F695" s="228"/>
      <c r="G695" s="228"/>
      <c r="H695" s="228"/>
      <c r="I695" s="228"/>
      <c r="J695" s="228"/>
      <c r="K695" s="228"/>
      <c r="L695" s="229"/>
      <c r="M695" s="229"/>
      <c r="N695" s="229"/>
      <c r="O695" s="229"/>
      <c r="P695" s="229"/>
      <c r="Q695" s="229"/>
      <c r="R695" s="229"/>
      <c r="S695" s="229"/>
      <c r="T695" s="229"/>
      <c r="U695" s="229"/>
      <c r="V695" s="229"/>
      <c r="W695" s="229"/>
      <c r="X695" s="229"/>
      <c r="Y695" s="229"/>
      <c r="Z695" s="229"/>
      <c r="AA695" s="229"/>
      <c r="AB695" s="229"/>
      <c r="AC695" s="229"/>
    </row>
    <row r="696" spans="1:29" ht="12.75" customHeight="1">
      <c r="A696" s="229"/>
      <c r="B696" s="228"/>
      <c r="C696" s="228"/>
      <c r="D696" s="228"/>
      <c r="E696" s="228"/>
      <c r="F696" s="228"/>
      <c r="G696" s="228"/>
      <c r="H696" s="228"/>
      <c r="I696" s="228"/>
      <c r="J696" s="228"/>
      <c r="K696" s="228"/>
      <c r="L696" s="229"/>
      <c r="M696" s="229"/>
      <c r="N696" s="229"/>
      <c r="O696" s="229"/>
      <c r="P696" s="229"/>
      <c r="Q696" s="229"/>
      <c r="R696" s="229"/>
      <c r="S696" s="229"/>
      <c r="T696" s="229"/>
      <c r="U696" s="229"/>
      <c r="V696" s="229"/>
      <c r="W696" s="229"/>
      <c r="X696" s="229"/>
      <c r="Y696" s="229"/>
      <c r="Z696" s="229"/>
      <c r="AA696" s="229"/>
      <c r="AB696" s="229"/>
      <c r="AC696" s="229"/>
    </row>
    <row r="697" spans="1:29" ht="12.75" customHeight="1">
      <c r="A697" s="229"/>
      <c r="B697" s="228"/>
      <c r="C697" s="228"/>
      <c r="D697" s="228"/>
      <c r="E697" s="228"/>
      <c r="F697" s="228"/>
      <c r="G697" s="228"/>
      <c r="H697" s="228"/>
      <c r="I697" s="228"/>
      <c r="J697" s="228"/>
      <c r="K697" s="228"/>
      <c r="L697" s="229"/>
      <c r="M697" s="229"/>
      <c r="N697" s="229"/>
      <c r="O697" s="229"/>
      <c r="P697" s="229"/>
      <c r="Q697" s="229"/>
      <c r="R697" s="229"/>
      <c r="S697" s="229"/>
      <c r="T697" s="229"/>
      <c r="U697" s="229"/>
      <c r="V697" s="229"/>
      <c r="W697" s="229"/>
      <c r="X697" s="229"/>
      <c r="Y697" s="229"/>
      <c r="Z697" s="229"/>
      <c r="AA697" s="229"/>
      <c r="AB697" s="229"/>
      <c r="AC697" s="229"/>
    </row>
    <row r="698" spans="1:29" ht="12.75" customHeight="1">
      <c r="A698" s="229"/>
      <c r="B698" s="228"/>
      <c r="C698" s="228"/>
      <c r="D698" s="228"/>
      <c r="E698" s="228"/>
      <c r="F698" s="228"/>
      <c r="G698" s="228"/>
      <c r="H698" s="228"/>
      <c r="I698" s="228"/>
      <c r="J698" s="228"/>
      <c r="K698" s="228"/>
      <c r="L698" s="229"/>
      <c r="M698" s="229"/>
      <c r="N698" s="229"/>
      <c r="O698" s="229"/>
      <c r="P698" s="229"/>
      <c r="Q698" s="229"/>
      <c r="R698" s="229"/>
      <c r="S698" s="229"/>
      <c r="T698" s="229"/>
      <c r="U698" s="229"/>
      <c r="V698" s="229"/>
      <c r="W698" s="229"/>
      <c r="X698" s="229"/>
      <c r="Y698" s="229"/>
      <c r="Z698" s="229"/>
      <c r="AA698" s="229"/>
      <c r="AB698" s="229"/>
      <c r="AC698" s="229"/>
    </row>
    <row r="699" spans="1:29" ht="12.75" customHeight="1">
      <c r="A699" s="229"/>
      <c r="B699" s="228"/>
      <c r="C699" s="228"/>
      <c r="D699" s="228"/>
      <c r="E699" s="228"/>
      <c r="F699" s="228"/>
      <c r="G699" s="228"/>
      <c r="H699" s="228"/>
      <c r="I699" s="228"/>
      <c r="J699" s="228"/>
      <c r="K699" s="228"/>
      <c r="L699" s="229"/>
      <c r="M699" s="229"/>
      <c r="N699" s="229"/>
      <c r="O699" s="229"/>
      <c r="P699" s="229"/>
      <c r="Q699" s="229"/>
      <c r="R699" s="229"/>
      <c r="S699" s="229"/>
      <c r="T699" s="229"/>
      <c r="U699" s="229"/>
      <c r="V699" s="229"/>
      <c r="W699" s="229"/>
      <c r="X699" s="229"/>
      <c r="Y699" s="229"/>
      <c r="Z699" s="229"/>
      <c r="AA699" s="229"/>
      <c r="AB699" s="229"/>
      <c r="AC699" s="229"/>
    </row>
    <row r="700" spans="1:29" ht="12.75" customHeight="1">
      <c r="A700" s="229"/>
      <c r="B700" s="228"/>
      <c r="C700" s="228"/>
      <c r="D700" s="228"/>
      <c r="E700" s="228"/>
      <c r="F700" s="228"/>
      <c r="G700" s="228"/>
      <c r="H700" s="228"/>
      <c r="I700" s="228"/>
      <c r="J700" s="228"/>
      <c r="K700" s="228"/>
      <c r="L700" s="229"/>
      <c r="M700" s="229"/>
      <c r="N700" s="229"/>
      <c r="O700" s="229"/>
      <c r="P700" s="229"/>
      <c r="Q700" s="229"/>
      <c r="R700" s="229"/>
      <c r="S700" s="229"/>
      <c r="T700" s="229"/>
      <c r="U700" s="229"/>
      <c r="V700" s="229"/>
      <c r="W700" s="229"/>
      <c r="X700" s="229"/>
      <c r="Y700" s="229"/>
      <c r="Z700" s="229"/>
      <c r="AA700" s="229"/>
      <c r="AB700" s="229"/>
      <c r="AC700" s="229"/>
    </row>
    <row r="701" spans="1:29" ht="12.75" customHeight="1">
      <c r="A701" s="229"/>
      <c r="B701" s="228"/>
      <c r="C701" s="228"/>
      <c r="D701" s="228"/>
      <c r="E701" s="228"/>
      <c r="F701" s="228"/>
      <c r="G701" s="228"/>
      <c r="H701" s="228"/>
      <c r="I701" s="228"/>
      <c r="J701" s="228"/>
      <c r="K701" s="228"/>
      <c r="L701" s="229"/>
      <c r="M701" s="229"/>
      <c r="N701" s="229"/>
      <c r="O701" s="229"/>
      <c r="P701" s="229"/>
      <c r="Q701" s="229"/>
      <c r="R701" s="229"/>
      <c r="S701" s="229"/>
      <c r="T701" s="229"/>
      <c r="U701" s="229"/>
      <c r="V701" s="229"/>
      <c r="W701" s="229"/>
      <c r="X701" s="229"/>
      <c r="Y701" s="229"/>
      <c r="Z701" s="229"/>
      <c r="AA701" s="229"/>
      <c r="AB701" s="229"/>
      <c r="AC701" s="229"/>
    </row>
    <row r="702" spans="1:29" ht="12.75" customHeight="1">
      <c r="A702" s="229"/>
      <c r="B702" s="228"/>
      <c r="C702" s="228"/>
      <c r="D702" s="228"/>
      <c r="E702" s="228"/>
      <c r="F702" s="228"/>
      <c r="G702" s="228"/>
      <c r="H702" s="228"/>
      <c r="I702" s="228"/>
      <c r="J702" s="228"/>
      <c r="K702" s="228"/>
      <c r="L702" s="229"/>
      <c r="M702" s="229"/>
      <c r="N702" s="229"/>
      <c r="O702" s="229"/>
      <c r="P702" s="229"/>
      <c r="Q702" s="229"/>
      <c r="R702" s="229"/>
      <c r="S702" s="229"/>
      <c r="T702" s="229"/>
      <c r="U702" s="229"/>
      <c r="V702" s="229"/>
      <c r="W702" s="229"/>
      <c r="X702" s="229"/>
      <c r="Y702" s="229"/>
      <c r="Z702" s="229"/>
      <c r="AA702" s="229"/>
      <c r="AB702" s="229"/>
      <c r="AC702" s="229"/>
    </row>
    <row r="703" spans="1:29" ht="12.75" customHeight="1">
      <c r="A703" s="229"/>
      <c r="B703" s="228"/>
      <c r="C703" s="228"/>
      <c r="D703" s="228"/>
      <c r="E703" s="228"/>
      <c r="F703" s="228"/>
      <c r="G703" s="228"/>
      <c r="H703" s="228"/>
      <c r="I703" s="228"/>
      <c r="J703" s="228"/>
      <c r="K703" s="228"/>
      <c r="L703" s="229"/>
      <c r="M703" s="229"/>
      <c r="N703" s="229"/>
      <c r="O703" s="229"/>
      <c r="P703" s="229"/>
      <c r="Q703" s="229"/>
      <c r="R703" s="229"/>
      <c r="S703" s="229"/>
      <c r="T703" s="229"/>
      <c r="U703" s="229"/>
      <c r="V703" s="229"/>
      <c r="W703" s="229"/>
      <c r="X703" s="229"/>
      <c r="Y703" s="229"/>
      <c r="Z703" s="229"/>
      <c r="AA703" s="229"/>
      <c r="AB703" s="229"/>
      <c r="AC703" s="229"/>
    </row>
    <row r="704" spans="1:29" ht="12.75" customHeight="1">
      <c r="A704" s="229"/>
      <c r="B704" s="228"/>
      <c r="C704" s="228"/>
      <c r="D704" s="228"/>
      <c r="E704" s="228"/>
      <c r="F704" s="228"/>
      <c r="G704" s="228"/>
      <c r="H704" s="228"/>
      <c r="I704" s="228"/>
      <c r="J704" s="228"/>
      <c r="K704" s="228"/>
      <c r="L704" s="229"/>
      <c r="M704" s="229"/>
      <c r="N704" s="229"/>
      <c r="O704" s="229"/>
      <c r="P704" s="229"/>
      <c r="Q704" s="229"/>
      <c r="R704" s="229"/>
      <c r="S704" s="229"/>
      <c r="T704" s="229"/>
      <c r="U704" s="229"/>
      <c r="V704" s="229"/>
      <c r="W704" s="229"/>
      <c r="X704" s="229"/>
      <c r="Y704" s="229"/>
      <c r="Z704" s="229"/>
      <c r="AA704" s="229"/>
      <c r="AB704" s="229"/>
      <c r="AC704" s="229"/>
    </row>
    <row r="705" spans="1:29" ht="12.75" customHeight="1">
      <c r="A705" s="229"/>
      <c r="B705" s="228"/>
      <c r="C705" s="228"/>
      <c r="D705" s="228"/>
      <c r="E705" s="228"/>
      <c r="F705" s="228"/>
      <c r="G705" s="228"/>
      <c r="H705" s="228"/>
      <c r="I705" s="228"/>
      <c r="J705" s="228"/>
      <c r="K705" s="228"/>
      <c r="L705" s="229"/>
      <c r="M705" s="229"/>
      <c r="N705" s="229"/>
      <c r="O705" s="229"/>
      <c r="P705" s="229"/>
      <c r="Q705" s="229"/>
      <c r="R705" s="229"/>
      <c r="S705" s="229"/>
      <c r="T705" s="229"/>
      <c r="U705" s="229"/>
      <c r="V705" s="229"/>
      <c r="W705" s="229"/>
      <c r="X705" s="229"/>
      <c r="Y705" s="229"/>
      <c r="Z705" s="229"/>
      <c r="AA705" s="229"/>
      <c r="AB705" s="229"/>
      <c r="AC705" s="229"/>
    </row>
    <row r="706" spans="1:29" ht="12.75" customHeight="1">
      <c r="A706" s="229"/>
      <c r="B706" s="228"/>
      <c r="C706" s="228"/>
      <c r="D706" s="228"/>
      <c r="E706" s="228"/>
      <c r="F706" s="228"/>
      <c r="G706" s="228"/>
      <c r="H706" s="228"/>
      <c r="I706" s="228"/>
      <c r="J706" s="228"/>
      <c r="K706" s="228"/>
      <c r="L706" s="229"/>
      <c r="M706" s="229"/>
      <c r="N706" s="229"/>
      <c r="O706" s="229"/>
      <c r="P706" s="229"/>
      <c r="Q706" s="229"/>
      <c r="R706" s="229"/>
      <c r="S706" s="229"/>
      <c r="T706" s="229"/>
      <c r="U706" s="229"/>
      <c r="V706" s="229"/>
      <c r="W706" s="229"/>
      <c r="X706" s="229"/>
      <c r="Y706" s="229"/>
      <c r="Z706" s="229"/>
      <c r="AA706" s="229"/>
      <c r="AB706" s="229"/>
      <c r="AC706" s="229"/>
    </row>
    <row r="707" spans="1:29" ht="12.75" customHeight="1">
      <c r="A707" s="229"/>
      <c r="B707" s="228"/>
      <c r="C707" s="228"/>
      <c r="D707" s="228"/>
      <c r="E707" s="228"/>
      <c r="F707" s="228"/>
      <c r="G707" s="228"/>
      <c r="H707" s="228"/>
      <c r="I707" s="228"/>
      <c r="J707" s="228"/>
      <c r="K707" s="228"/>
      <c r="L707" s="229"/>
      <c r="M707" s="229"/>
      <c r="N707" s="229"/>
      <c r="O707" s="229"/>
      <c r="P707" s="229"/>
      <c r="Q707" s="229"/>
      <c r="R707" s="229"/>
      <c r="S707" s="229"/>
      <c r="T707" s="229"/>
      <c r="U707" s="229"/>
      <c r="V707" s="229"/>
      <c r="W707" s="229"/>
      <c r="X707" s="229"/>
      <c r="Y707" s="229"/>
      <c r="Z707" s="229"/>
      <c r="AA707" s="229"/>
      <c r="AB707" s="229"/>
      <c r="AC707" s="229"/>
    </row>
    <row r="708" spans="1:29" ht="12.75" customHeight="1">
      <c r="A708" s="229"/>
      <c r="B708" s="228"/>
      <c r="C708" s="228"/>
      <c r="D708" s="228"/>
      <c r="E708" s="228"/>
      <c r="F708" s="228"/>
      <c r="G708" s="228"/>
      <c r="H708" s="228"/>
      <c r="I708" s="228"/>
      <c r="J708" s="228"/>
      <c r="K708" s="228"/>
      <c r="L708" s="229"/>
      <c r="M708" s="229"/>
      <c r="N708" s="229"/>
      <c r="O708" s="229"/>
      <c r="P708" s="229"/>
      <c r="Q708" s="229"/>
      <c r="R708" s="229"/>
      <c r="S708" s="229"/>
      <c r="T708" s="229"/>
      <c r="U708" s="229"/>
      <c r="V708" s="229"/>
      <c r="W708" s="229"/>
      <c r="X708" s="229"/>
      <c r="Y708" s="229"/>
      <c r="Z708" s="229"/>
      <c r="AA708" s="229"/>
      <c r="AB708" s="229"/>
      <c r="AC708" s="229"/>
    </row>
    <row r="709" spans="1:29" ht="12.75" customHeight="1">
      <c r="A709" s="229"/>
      <c r="B709" s="228"/>
      <c r="C709" s="228"/>
      <c r="D709" s="228"/>
      <c r="E709" s="228"/>
      <c r="F709" s="228"/>
      <c r="G709" s="228"/>
      <c r="H709" s="228"/>
      <c r="I709" s="228"/>
      <c r="J709" s="228"/>
      <c r="K709" s="228"/>
      <c r="L709" s="229"/>
      <c r="M709" s="229"/>
      <c r="N709" s="229"/>
      <c r="O709" s="229"/>
      <c r="P709" s="229"/>
      <c r="Q709" s="229"/>
      <c r="R709" s="229"/>
      <c r="S709" s="229"/>
      <c r="T709" s="229"/>
      <c r="U709" s="229"/>
      <c r="V709" s="229"/>
      <c r="W709" s="229"/>
      <c r="X709" s="229"/>
      <c r="Y709" s="229"/>
      <c r="Z709" s="229"/>
      <c r="AA709" s="229"/>
      <c r="AB709" s="229"/>
      <c r="AC709" s="229"/>
    </row>
    <row r="710" spans="1:29" ht="12.75" customHeight="1">
      <c r="A710" s="229"/>
      <c r="B710" s="228"/>
      <c r="C710" s="228"/>
      <c r="D710" s="228"/>
      <c r="E710" s="228"/>
      <c r="F710" s="228"/>
      <c r="G710" s="228"/>
      <c r="H710" s="228"/>
      <c r="I710" s="228"/>
      <c r="J710" s="228"/>
      <c r="K710" s="228"/>
      <c r="L710" s="229"/>
      <c r="M710" s="229"/>
      <c r="N710" s="229"/>
      <c r="O710" s="229"/>
      <c r="P710" s="229"/>
      <c r="Q710" s="229"/>
      <c r="R710" s="229"/>
      <c r="S710" s="229"/>
      <c r="T710" s="229"/>
      <c r="U710" s="229"/>
      <c r="V710" s="229"/>
      <c r="W710" s="229"/>
      <c r="X710" s="229"/>
      <c r="Y710" s="229"/>
      <c r="Z710" s="229"/>
      <c r="AA710" s="229"/>
      <c r="AB710" s="229"/>
      <c r="AC710" s="229"/>
    </row>
    <row r="711" spans="1:29" ht="12.75" customHeight="1">
      <c r="A711" s="229"/>
      <c r="B711" s="228"/>
      <c r="C711" s="228"/>
      <c r="D711" s="228"/>
      <c r="E711" s="228"/>
      <c r="F711" s="228"/>
      <c r="G711" s="228"/>
      <c r="H711" s="228"/>
      <c r="I711" s="228"/>
      <c r="J711" s="228"/>
      <c r="K711" s="228"/>
      <c r="L711" s="229"/>
      <c r="M711" s="229"/>
      <c r="N711" s="229"/>
      <c r="O711" s="229"/>
      <c r="P711" s="229"/>
      <c r="Q711" s="229"/>
      <c r="R711" s="229"/>
      <c r="S711" s="229"/>
      <c r="T711" s="229"/>
      <c r="U711" s="229"/>
      <c r="V711" s="229"/>
      <c r="W711" s="229"/>
      <c r="X711" s="229"/>
      <c r="Y711" s="229"/>
      <c r="Z711" s="229"/>
      <c r="AA711" s="229"/>
      <c r="AB711" s="229"/>
      <c r="AC711" s="229"/>
    </row>
    <row r="712" spans="1:29" ht="12.75" customHeight="1">
      <c r="A712" s="229"/>
      <c r="B712" s="228"/>
      <c r="C712" s="228"/>
      <c r="D712" s="228"/>
      <c r="E712" s="228"/>
      <c r="F712" s="228"/>
      <c r="G712" s="228"/>
      <c r="H712" s="228"/>
      <c r="I712" s="228"/>
      <c r="J712" s="228"/>
      <c r="K712" s="228"/>
      <c r="L712" s="229"/>
      <c r="M712" s="229"/>
      <c r="N712" s="229"/>
      <c r="O712" s="229"/>
      <c r="P712" s="229"/>
      <c r="Q712" s="229"/>
      <c r="R712" s="229"/>
      <c r="S712" s="229"/>
      <c r="T712" s="229"/>
      <c r="U712" s="229"/>
      <c r="V712" s="229"/>
      <c r="W712" s="229"/>
      <c r="X712" s="229"/>
      <c r="Y712" s="229"/>
      <c r="Z712" s="229"/>
      <c r="AA712" s="229"/>
      <c r="AB712" s="229"/>
      <c r="AC712" s="229"/>
    </row>
    <row r="713" spans="1:29" ht="12.75" customHeight="1">
      <c r="A713" s="229"/>
      <c r="B713" s="228"/>
      <c r="C713" s="228"/>
      <c r="D713" s="228"/>
      <c r="E713" s="228"/>
      <c r="F713" s="228"/>
      <c r="G713" s="228"/>
      <c r="H713" s="228"/>
      <c r="I713" s="228"/>
      <c r="J713" s="228"/>
      <c r="K713" s="228"/>
      <c r="L713" s="229"/>
      <c r="M713" s="229"/>
      <c r="N713" s="229"/>
      <c r="O713" s="229"/>
      <c r="P713" s="229"/>
      <c r="Q713" s="229"/>
      <c r="R713" s="229"/>
      <c r="S713" s="229"/>
      <c r="T713" s="229"/>
      <c r="U713" s="229"/>
      <c r="V713" s="229"/>
      <c r="W713" s="229"/>
      <c r="X713" s="229"/>
      <c r="Y713" s="229"/>
      <c r="Z713" s="229"/>
      <c r="AA713" s="229"/>
      <c r="AB713" s="229"/>
      <c r="AC713" s="229"/>
    </row>
    <row r="714" spans="1:29" ht="12.75" customHeight="1">
      <c r="A714" s="229"/>
      <c r="B714" s="228"/>
      <c r="C714" s="228"/>
      <c r="D714" s="228"/>
      <c r="E714" s="228"/>
      <c r="F714" s="228"/>
      <c r="G714" s="228"/>
      <c r="H714" s="228"/>
      <c r="I714" s="228"/>
      <c r="J714" s="228"/>
      <c r="K714" s="228"/>
      <c r="L714" s="229"/>
      <c r="M714" s="229"/>
      <c r="N714" s="229"/>
      <c r="O714" s="229"/>
      <c r="P714" s="229"/>
      <c r="Q714" s="229"/>
      <c r="R714" s="229"/>
      <c r="S714" s="229"/>
      <c r="T714" s="229"/>
      <c r="U714" s="229"/>
      <c r="V714" s="229"/>
      <c r="W714" s="229"/>
      <c r="X714" s="229"/>
      <c r="Y714" s="229"/>
      <c r="Z714" s="229"/>
      <c r="AA714" s="229"/>
      <c r="AB714" s="229"/>
      <c r="AC714" s="229"/>
    </row>
    <row r="715" spans="1:29" ht="12.75" customHeight="1">
      <c r="A715" s="229"/>
      <c r="B715" s="228"/>
      <c r="C715" s="228"/>
      <c r="D715" s="228"/>
      <c r="E715" s="228"/>
      <c r="F715" s="228"/>
      <c r="G715" s="228"/>
      <c r="H715" s="228"/>
      <c r="I715" s="228"/>
      <c r="J715" s="228"/>
      <c r="K715" s="228"/>
      <c r="L715" s="229"/>
      <c r="M715" s="229"/>
      <c r="N715" s="229"/>
      <c r="O715" s="229"/>
      <c r="P715" s="229"/>
      <c r="Q715" s="229"/>
      <c r="R715" s="229"/>
      <c r="S715" s="229"/>
      <c r="T715" s="229"/>
      <c r="U715" s="229"/>
      <c r="V715" s="229"/>
      <c r="W715" s="229"/>
      <c r="X715" s="229"/>
      <c r="Y715" s="229"/>
      <c r="Z715" s="229"/>
      <c r="AA715" s="229"/>
      <c r="AB715" s="229"/>
      <c r="AC715" s="229"/>
    </row>
    <row r="716" spans="1:29" ht="12.75" customHeight="1">
      <c r="A716" s="229"/>
      <c r="B716" s="228"/>
      <c r="C716" s="228"/>
      <c r="D716" s="228"/>
      <c r="E716" s="228"/>
      <c r="F716" s="228"/>
      <c r="G716" s="228"/>
      <c r="H716" s="228"/>
      <c r="I716" s="228"/>
      <c r="J716" s="228"/>
      <c r="K716" s="228"/>
      <c r="L716" s="229"/>
      <c r="M716" s="229"/>
      <c r="N716" s="229"/>
      <c r="O716" s="229"/>
      <c r="P716" s="229"/>
      <c r="Q716" s="229"/>
      <c r="R716" s="229"/>
      <c r="S716" s="229"/>
      <c r="T716" s="229"/>
      <c r="U716" s="229"/>
      <c r="V716" s="229"/>
      <c r="W716" s="229"/>
      <c r="X716" s="229"/>
      <c r="Y716" s="229"/>
      <c r="Z716" s="229"/>
      <c r="AA716" s="229"/>
      <c r="AB716" s="229"/>
      <c r="AC716" s="229"/>
    </row>
    <row r="717" spans="1:29" ht="12.75" customHeight="1">
      <c r="A717" s="229"/>
      <c r="B717" s="228"/>
      <c r="C717" s="228"/>
      <c r="D717" s="228"/>
      <c r="E717" s="228"/>
      <c r="F717" s="228"/>
      <c r="G717" s="228"/>
      <c r="H717" s="228"/>
      <c r="I717" s="228"/>
      <c r="J717" s="228"/>
      <c r="K717" s="228"/>
      <c r="L717" s="229"/>
      <c r="M717" s="229"/>
      <c r="N717" s="229"/>
      <c r="O717" s="229"/>
      <c r="P717" s="229"/>
      <c r="Q717" s="229"/>
      <c r="R717" s="229"/>
      <c r="S717" s="229"/>
      <c r="T717" s="229"/>
      <c r="U717" s="229"/>
      <c r="V717" s="229"/>
      <c r="W717" s="229"/>
      <c r="X717" s="229"/>
      <c r="Y717" s="229"/>
      <c r="Z717" s="229"/>
      <c r="AA717" s="229"/>
      <c r="AB717" s="229"/>
      <c r="AC717" s="229"/>
    </row>
    <row r="718" spans="1:29" ht="12.75" customHeight="1">
      <c r="A718" s="229"/>
      <c r="B718" s="228"/>
      <c r="C718" s="228"/>
      <c r="D718" s="228"/>
      <c r="E718" s="228"/>
      <c r="F718" s="228"/>
      <c r="G718" s="228"/>
      <c r="H718" s="228"/>
      <c r="I718" s="228"/>
      <c r="J718" s="228"/>
      <c r="K718" s="228"/>
      <c r="L718" s="229"/>
      <c r="M718" s="229"/>
      <c r="N718" s="229"/>
      <c r="O718" s="229"/>
      <c r="P718" s="229"/>
      <c r="Q718" s="229"/>
      <c r="R718" s="229"/>
      <c r="S718" s="229"/>
      <c r="T718" s="229"/>
      <c r="U718" s="229"/>
      <c r="V718" s="229"/>
      <c r="W718" s="229"/>
      <c r="X718" s="229"/>
      <c r="Y718" s="229"/>
      <c r="Z718" s="229"/>
      <c r="AA718" s="229"/>
      <c r="AB718" s="229"/>
      <c r="AC718" s="229"/>
    </row>
    <row r="719" spans="1:29" ht="12.75" customHeight="1">
      <c r="A719" s="229"/>
      <c r="B719" s="228"/>
      <c r="C719" s="228"/>
      <c r="D719" s="228"/>
      <c r="E719" s="228"/>
      <c r="F719" s="228"/>
      <c r="G719" s="228"/>
      <c r="H719" s="228"/>
      <c r="I719" s="228"/>
      <c r="J719" s="228"/>
      <c r="K719" s="228"/>
      <c r="L719" s="229"/>
      <c r="M719" s="229"/>
      <c r="N719" s="229"/>
      <c r="O719" s="229"/>
      <c r="P719" s="229"/>
      <c r="Q719" s="229"/>
      <c r="R719" s="229"/>
      <c r="S719" s="229"/>
      <c r="T719" s="229"/>
      <c r="U719" s="229"/>
      <c r="V719" s="229"/>
      <c r="W719" s="229"/>
      <c r="X719" s="229"/>
      <c r="Y719" s="229"/>
      <c r="Z719" s="229"/>
      <c r="AA719" s="229"/>
      <c r="AB719" s="229"/>
      <c r="AC719" s="229"/>
    </row>
    <row r="720" spans="1:29" ht="12.75" customHeight="1">
      <c r="A720" s="229"/>
      <c r="B720" s="228"/>
      <c r="C720" s="228"/>
      <c r="D720" s="228"/>
      <c r="E720" s="228"/>
      <c r="F720" s="228"/>
      <c r="G720" s="228"/>
      <c r="H720" s="228"/>
      <c r="I720" s="228"/>
      <c r="J720" s="228"/>
      <c r="K720" s="228"/>
      <c r="L720" s="229"/>
      <c r="M720" s="229"/>
      <c r="N720" s="229"/>
      <c r="O720" s="229"/>
      <c r="P720" s="229"/>
      <c r="Q720" s="229"/>
      <c r="R720" s="229"/>
      <c r="S720" s="229"/>
      <c r="T720" s="229"/>
      <c r="U720" s="229"/>
      <c r="V720" s="229"/>
      <c r="W720" s="229"/>
      <c r="X720" s="229"/>
      <c r="Y720" s="229"/>
      <c r="Z720" s="229"/>
      <c r="AA720" s="229"/>
      <c r="AB720" s="229"/>
      <c r="AC720" s="229"/>
    </row>
    <row r="721" spans="1:29" ht="12.75" customHeight="1">
      <c r="A721" s="229"/>
      <c r="B721" s="228"/>
      <c r="C721" s="228"/>
      <c r="D721" s="228"/>
      <c r="E721" s="228"/>
      <c r="F721" s="228"/>
      <c r="G721" s="228"/>
      <c r="H721" s="228"/>
      <c r="I721" s="228"/>
      <c r="J721" s="228"/>
      <c r="K721" s="228"/>
      <c r="L721" s="229"/>
      <c r="M721" s="229"/>
      <c r="N721" s="229"/>
      <c r="O721" s="229"/>
      <c r="P721" s="229"/>
      <c r="Q721" s="229"/>
      <c r="R721" s="229"/>
      <c r="S721" s="229"/>
      <c r="T721" s="229"/>
      <c r="U721" s="229"/>
      <c r="V721" s="229"/>
      <c r="W721" s="229"/>
      <c r="X721" s="229"/>
      <c r="Y721" s="229"/>
      <c r="Z721" s="229"/>
      <c r="AA721" s="229"/>
      <c r="AB721" s="229"/>
      <c r="AC721" s="229"/>
    </row>
    <row r="722" spans="1:29" ht="12.75" customHeight="1">
      <c r="A722" s="229"/>
      <c r="B722" s="228"/>
      <c r="C722" s="228"/>
      <c r="D722" s="228"/>
      <c r="E722" s="228"/>
      <c r="F722" s="228"/>
      <c r="G722" s="228"/>
      <c r="H722" s="228"/>
      <c r="I722" s="228"/>
      <c r="J722" s="228"/>
      <c r="K722" s="228"/>
      <c r="L722" s="229"/>
      <c r="M722" s="229"/>
      <c r="N722" s="229"/>
      <c r="O722" s="229"/>
      <c r="P722" s="229"/>
      <c r="Q722" s="229"/>
      <c r="R722" s="229"/>
      <c r="S722" s="229"/>
      <c r="T722" s="229"/>
      <c r="U722" s="229"/>
      <c r="V722" s="229"/>
      <c r="W722" s="229"/>
      <c r="X722" s="229"/>
      <c r="Y722" s="229"/>
      <c r="Z722" s="229"/>
      <c r="AA722" s="229"/>
      <c r="AB722" s="229"/>
      <c r="AC722" s="229"/>
    </row>
    <row r="723" spans="1:29" ht="12.75" customHeight="1">
      <c r="A723" s="229"/>
      <c r="B723" s="228"/>
      <c r="C723" s="228"/>
      <c r="D723" s="228"/>
      <c r="E723" s="228"/>
      <c r="F723" s="228"/>
      <c r="G723" s="228"/>
      <c r="H723" s="228"/>
      <c r="I723" s="228"/>
      <c r="J723" s="228"/>
      <c r="K723" s="228"/>
      <c r="L723" s="229"/>
      <c r="M723" s="229"/>
      <c r="N723" s="229"/>
      <c r="O723" s="229"/>
      <c r="P723" s="229"/>
      <c r="Q723" s="229"/>
      <c r="R723" s="229"/>
      <c r="S723" s="229"/>
      <c r="T723" s="229"/>
      <c r="U723" s="229"/>
      <c r="V723" s="229"/>
      <c r="W723" s="229"/>
      <c r="X723" s="229"/>
      <c r="Y723" s="229"/>
      <c r="Z723" s="229"/>
      <c r="AA723" s="229"/>
      <c r="AB723" s="229"/>
      <c r="AC723" s="229"/>
    </row>
    <row r="724" spans="1:29" ht="12.75" customHeight="1">
      <c r="A724" s="229"/>
      <c r="B724" s="228"/>
      <c r="C724" s="228"/>
      <c r="D724" s="228"/>
      <c r="E724" s="228"/>
      <c r="F724" s="228"/>
      <c r="G724" s="228"/>
      <c r="H724" s="228"/>
      <c r="I724" s="228"/>
      <c r="J724" s="228"/>
      <c r="K724" s="228"/>
      <c r="L724" s="229"/>
      <c r="M724" s="229"/>
      <c r="N724" s="229"/>
      <c r="O724" s="229"/>
      <c r="P724" s="229"/>
      <c r="Q724" s="229"/>
      <c r="R724" s="229"/>
      <c r="S724" s="229"/>
      <c r="T724" s="229"/>
      <c r="U724" s="229"/>
      <c r="V724" s="229"/>
      <c r="W724" s="229"/>
      <c r="X724" s="229"/>
      <c r="Y724" s="229"/>
      <c r="Z724" s="229"/>
      <c r="AA724" s="229"/>
      <c r="AB724" s="229"/>
      <c r="AC724" s="229"/>
    </row>
    <row r="725" spans="1:29" ht="12.75" customHeight="1">
      <c r="A725" s="229"/>
      <c r="B725" s="228"/>
      <c r="C725" s="228"/>
      <c r="D725" s="228"/>
      <c r="E725" s="228"/>
      <c r="F725" s="228"/>
      <c r="G725" s="228"/>
      <c r="H725" s="228"/>
      <c r="I725" s="228"/>
      <c r="J725" s="228"/>
      <c r="K725" s="228"/>
      <c r="L725" s="229"/>
      <c r="M725" s="229"/>
      <c r="N725" s="229"/>
      <c r="O725" s="229"/>
      <c r="P725" s="229"/>
      <c r="Q725" s="229"/>
      <c r="R725" s="229"/>
      <c r="S725" s="229"/>
      <c r="T725" s="229"/>
      <c r="U725" s="229"/>
      <c r="V725" s="229"/>
      <c r="W725" s="229"/>
      <c r="X725" s="229"/>
      <c r="Y725" s="229"/>
      <c r="Z725" s="229"/>
      <c r="AA725" s="229"/>
      <c r="AB725" s="229"/>
      <c r="AC725" s="229"/>
    </row>
    <row r="726" spans="1:29" ht="12.75" customHeight="1">
      <c r="A726" s="229"/>
      <c r="B726" s="228"/>
      <c r="C726" s="228"/>
      <c r="D726" s="228"/>
      <c r="E726" s="228"/>
      <c r="F726" s="228"/>
      <c r="G726" s="228"/>
      <c r="H726" s="228"/>
      <c r="I726" s="228"/>
      <c r="J726" s="228"/>
      <c r="K726" s="228"/>
      <c r="L726" s="229"/>
      <c r="M726" s="229"/>
      <c r="N726" s="229"/>
      <c r="O726" s="229"/>
      <c r="P726" s="229"/>
      <c r="Q726" s="229"/>
      <c r="R726" s="229"/>
      <c r="S726" s="229"/>
      <c r="T726" s="229"/>
      <c r="U726" s="229"/>
      <c r="V726" s="229"/>
      <c r="W726" s="229"/>
      <c r="X726" s="229"/>
      <c r="Y726" s="229"/>
      <c r="Z726" s="229"/>
      <c r="AA726" s="229"/>
      <c r="AB726" s="229"/>
      <c r="AC726" s="229"/>
    </row>
    <row r="727" spans="1:29" ht="12.75" customHeight="1">
      <c r="A727" s="229"/>
      <c r="B727" s="228"/>
      <c r="C727" s="228"/>
      <c r="D727" s="228"/>
      <c r="E727" s="228"/>
      <c r="F727" s="228"/>
      <c r="G727" s="228"/>
      <c r="H727" s="228"/>
      <c r="I727" s="228"/>
      <c r="J727" s="228"/>
      <c r="K727" s="228"/>
      <c r="L727" s="229"/>
      <c r="M727" s="229"/>
      <c r="N727" s="229"/>
      <c r="O727" s="229"/>
      <c r="P727" s="229"/>
      <c r="Q727" s="229"/>
      <c r="R727" s="229"/>
      <c r="S727" s="229"/>
      <c r="T727" s="229"/>
      <c r="U727" s="229"/>
      <c r="V727" s="229"/>
      <c r="W727" s="229"/>
      <c r="X727" s="229"/>
      <c r="Y727" s="229"/>
      <c r="Z727" s="229"/>
      <c r="AA727" s="229"/>
      <c r="AB727" s="229"/>
      <c r="AC727" s="229"/>
    </row>
    <row r="728" spans="1:29" ht="12.75" customHeight="1">
      <c r="A728" s="229"/>
      <c r="B728" s="228"/>
      <c r="C728" s="228"/>
      <c r="D728" s="228"/>
      <c r="E728" s="228"/>
      <c r="F728" s="228"/>
      <c r="G728" s="228"/>
      <c r="H728" s="228"/>
      <c r="I728" s="228"/>
      <c r="J728" s="228"/>
      <c r="K728" s="228"/>
      <c r="L728" s="229"/>
      <c r="M728" s="229"/>
      <c r="N728" s="229"/>
      <c r="O728" s="229"/>
      <c r="P728" s="229"/>
      <c r="Q728" s="229"/>
      <c r="R728" s="229"/>
      <c r="S728" s="229"/>
      <c r="T728" s="229"/>
      <c r="U728" s="229"/>
      <c r="V728" s="229"/>
      <c r="W728" s="229"/>
      <c r="X728" s="229"/>
      <c r="Y728" s="229"/>
      <c r="Z728" s="229"/>
      <c r="AA728" s="229"/>
      <c r="AB728" s="229"/>
      <c r="AC728" s="229"/>
    </row>
    <row r="729" spans="1:29" ht="12.75" customHeight="1">
      <c r="A729" s="229"/>
      <c r="B729" s="228"/>
      <c r="C729" s="228"/>
      <c r="D729" s="228"/>
      <c r="E729" s="228"/>
      <c r="F729" s="228"/>
      <c r="G729" s="228"/>
      <c r="H729" s="228"/>
      <c r="I729" s="228"/>
      <c r="J729" s="228"/>
      <c r="K729" s="228"/>
      <c r="L729" s="229"/>
      <c r="M729" s="229"/>
      <c r="N729" s="229"/>
      <c r="O729" s="229"/>
      <c r="P729" s="229"/>
      <c r="Q729" s="229"/>
      <c r="R729" s="229"/>
      <c r="S729" s="229"/>
      <c r="T729" s="229"/>
      <c r="U729" s="229"/>
      <c r="V729" s="229"/>
      <c r="W729" s="229"/>
      <c r="X729" s="229"/>
      <c r="Y729" s="229"/>
      <c r="Z729" s="229"/>
      <c r="AA729" s="229"/>
      <c r="AB729" s="229"/>
      <c r="AC729" s="229"/>
    </row>
    <row r="730" spans="1:29" ht="12.75" customHeight="1">
      <c r="A730" s="229"/>
      <c r="B730" s="228"/>
      <c r="C730" s="228"/>
      <c r="D730" s="228"/>
      <c r="E730" s="228"/>
      <c r="F730" s="228"/>
      <c r="G730" s="228"/>
      <c r="H730" s="228"/>
      <c r="I730" s="228"/>
      <c r="J730" s="228"/>
      <c r="K730" s="228"/>
      <c r="L730" s="229"/>
      <c r="M730" s="229"/>
      <c r="N730" s="229"/>
      <c r="O730" s="229"/>
      <c r="P730" s="229"/>
      <c r="Q730" s="229"/>
      <c r="R730" s="229"/>
      <c r="S730" s="229"/>
      <c r="T730" s="229"/>
      <c r="U730" s="229"/>
      <c r="V730" s="229"/>
      <c r="W730" s="229"/>
      <c r="X730" s="229"/>
      <c r="Y730" s="229"/>
      <c r="Z730" s="229"/>
      <c r="AA730" s="229"/>
      <c r="AB730" s="229"/>
      <c r="AC730" s="229"/>
    </row>
    <row r="731" spans="1:29" ht="12.75" customHeight="1">
      <c r="A731" s="229"/>
      <c r="B731" s="228"/>
      <c r="C731" s="228"/>
      <c r="D731" s="228"/>
      <c r="E731" s="228"/>
      <c r="F731" s="228"/>
      <c r="G731" s="228"/>
      <c r="H731" s="228"/>
      <c r="I731" s="228"/>
      <c r="J731" s="228"/>
      <c r="K731" s="228"/>
      <c r="L731" s="229"/>
      <c r="M731" s="229"/>
      <c r="N731" s="229"/>
      <c r="O731" s="229"/>
      <c r="P731" s="229"/>
      <c r="Q731" s="229"/>
      <c r="R731" s="229"/>
      <c r="S731" s="229"/>
      <c r="T731" s="229"/>
      <c r="U731" s="229"/>
      <c r="V731" s="229"/>
      <c r="W731" s="229"/>
      <c r="X731" s="229"/>
      <c r="Y731" s="229"/>
      <c r="Z731" s="229"/>
      <c r="AA731" s="229"/>
      <c r="AB731" s="229"/>
      <c r="AC731" s="229"/>
    </row>
    <row r="732" spans="1:29" ht="12.75" customHeight="1">
      <c r="A732" s="229"/>
      <c r="B732" s="228"/>
      <c r="C732" s="228"/>
      <c r="D732" s="228"/>
      <c r="E732" s="228"/>
      <c r="F732" s="228"/>
      <c r="G732" s="228"/>
      <c r="H732" s="228"/>
      <c r="I732" s="228"/>
      <c r="J732" s="228"/>
      <c r="K732" s="228"/>
      <c r="L732" s="229"/>
      <c r="M732" s="229"/>
      <c r="N732" s="229"/>
      <c r="O732" s="229"/>
      <c r="P732" s="229"/>
      <c r="Q732" s="229"/>
      <c r="R732" s="229"/>
      <c r="S732" s="229"/>
      <c r="T732" s="229"/>
      <c r="U732" s="229"/>
      <c r="V732" s="229"/>
      <c r="W732" s="229"/>
      <c r="X732" s="229"/>
      <c r="Y732" s="229"/>
      <c r="Z732" s="229"/>
      <c r="AA732" s="229"/>
      <c r="AB732" s="229"/>
      <c r="AC732" s="229"/>
    </row>
    <row r="733" spans="1:29" ht="12.75" customHeight="1">
      <c r="A733" s="229"/>
      <c r="B733" s="228"/>
      <c r="C733" s="228"/>
      <c r="D733" s="228"/>
      <c r="E733" s="228"/>
      <c r="F733" s="228"/>
      <c r="G733" s="228"/>
      <c r="H733" s="228"/>
      <c r="I733" s="228"/>
      <c r="J733" s="228"/>
      <c r="K733" s="228"/>
      <c r="L733" s="229"/>
      <c r="M733" s="229"/>
      <c r="N733" s="229"/>
      <c r="O733" s="229"/>
      <c r="P733" s="229"/>
      <c r="Q733" s="229"/>
      <c r="R733" s="229"/>
      <c r="S733" s="229"/>
      <c r="T733" s="229"/>
      <c r="U733" s="229"/>
      <c r="V733" s="229"/>
      <c r="W733" s="229"/>
      <c r="X733" s="229"/>
      <c r="Y733" s="229"/>
      <c r="Z733" s="229"/>
      <c r="AA733" s="229"/>
      <c r="AB733" s="229"/>
      <c r="AC733" s="229"/>
    </row>
    <row r="734" spans="1:29" ht="12.75" customHeight="1">
      <c r="A734" s="229"/>
      <c r="B734" s="228"/>
      <c r="C734" s="228"/>
      <c r="D734" s="228"/>
      <c r="E734" s="228"/>
      <c r="F734" s="228"/>
      <c r="G734" s="228"/>
      <c r="H734" s="228"/>
      <c r="I734" s="228"/>
      <c r="J734" s="228"/>
      <c r="K734" s="228"/>
      <c r="L734" s="229"/>
      <c r="M734" s="229"/>
      <c r="N734" s="229"/>
      <c r="O734" s="229"/>
      <c r="P734" s="229"/>
      <c r="Q734" s="229"/>
      <c r="R734" s="229"/>
      <c r="S734" s="229"/>
      <c r="T734" s="229"/>
      <c r="U734" s="229"/>
      <c r="V734" s="229"/>
      <c r="W734" s="229"/>
      <c r="X734" s="229"/>
      <c r="Y734" s="229"/>
      <c r="Z734" s="229"/>
      <c r="AA734" s="229"/>
      <c r="AB734" s="229"/>
      <c r="AC734" s="229"/>
    </row>
    <row r="735" spans="1:29" ht="12.75" customHeight="1">
      <c r="A735" s="229"/>
      <c r="B735" s="228"/>
      <c r="C735" s="228"/>
      <c r="D735" s="228"/>
      <c r="E735" s="228"/>
      <c r="F735" s="228"/>
      <c r="G735" s="228"/>
      <c r="H735" s="228"/>
      <c r="I735" s="228"/>
      <c r="J735" s="228"/>
      <c r="K735" s="228"/>
      <c r="L735" s="229"/>
      <c r="M735" s="229"/>
      <c r="N735" s="229"/>
      <c r="O735" s="229"/>
      <c r="P735" s="229"/>
      <c r="Q735" s="229"/>
      <c r="R735" s="229"/>
      <c r="S735" s="229"/>
      <c r="T735" s="229"/>
      <c r="U735" s="229"/>
      <c r="V735" s="229"/>
      <c r="W735" s="229"/>
      <c r="X735" s="229"/>
      <c r="Y735" s="229"/>
      <c r="Z735" s="229"/>
      <c r="AA735" s="229"/>
      <c r="AB735" s="229"/>
      <c r="AC735" s="229"/>
    </row>
    <row r="736" spans="1:29" ht="12.75" customHeight="1">
      <c r="A736" s="229"/>
      <c r="B736" s="228"/>
      <c r="C736" s="228"/>
      <c r="D736" s="228"/>
      <c r="E736" s="228"/>
      <c r="F736" s="228"/>
      <c r="G736" s="228"/>
      <c r="H736" s="228"/>
      <c r="I736" s="228"/>
      <c r="J736" s="228"/>
      <c r="K736" s="228"/>
      <c r="L736" s="229"/>
      <c r="M736" s="229"/>
      <c r="N736" s="229"/>
      <c r="O736" s="229"/>
      <c r="P736" s="229"/>
      <c r="Q736" s="229"/>
      <c r="R736" s="229"/>
      <c r="S736" s="229"/>
      <c r="T736" s="229"/>
      <c r="U736" s="229"/>
      <c r="V736" s="229"/>
      <c r="W736" s="229"/>
      <c r="X736" s="229"/>
      <c r="Y736" s="229"/>
      <c r="Z736" s="229"/>
      <c r="AA736" s="229"/>
      <c r="AB736" s="229"/>
      <c r="AC736" s="229"/>
    </row>
    <row r="737" spans="1:29" ht="12.75" customHeight="1">
      <c r="A737" s="229"/>
      <c r="B737" s="228"/>
      <c r="C737" s="228"/>
      <c r="D737" s="228"/>
      <c r="E737" s="228"/>
      <c r="F737" s="228"/>
      <c r="G737" s="228"/>
      <c r="H737" s="228"/>
      <c r="I737" s="228"/>
      <c r="J737" s="228"/>
      <c r="K737" s="228"/>
      <c r="L737" s="229"/>
      <c r="M737" s="229"/>
      <c r="N737" s="229"/>
      <c r="O737" s="229"/>
      <c r="P737" s="229"/>
      <c r="Q737" s="229"/>
      <c r="R737" s="229"/>
      <c r="S737" s="229"/>
      <c r="T737" s="229"/>
      <c r="U737" s="229"/>
      <c r="V737" s="229"/>
      <c r="W737" s="229"/>
      <c r="X737" s="229"/>
      <c r="Y737" s="229"/>
      <c r="Z737" s="229"/>
      <c r="AA737" s="229"/>
      <c r="AB737" s="229"/>
      <c r="AC737" s="229"/>
    </row>
    <row r="738" spans="1:29" ht="12.75" customHeight="1">
      <c r="A738" s="229"/>
      <c r="B738" s="228"/>
      <c r="C738" s="228"/>
      <c r="D738" s="228"/>
      <c r="E738" s="228"/>
      <c r="F738" s="228"/>
      <c r="G738" s="228"/>
      <c r="H738" s="228"/>
      <c r="I738" s="228"/>
      <c r="J738" s="228"/>
      <c r="K738" s="228"/>
      <c r="L738" s="229"/>
      <c r="M738" s="229"/>
      <c r="N738" s="229"/>
      <c r="O738" s="229"/>
      <c r="P738" s="229"/>
      <c r="Q738" s="229"/>
      <c r="R738" s="229"/>
      <c r="S738" s="229"/>
      <c r="T738" s="229"/>
      <c r="U738" s="229"/>
      <c r="V738" s="229"/>
      <c r="W738" s="229"/>
      <c r="X738" s="229"/>
      <c r="Y738" s="229"/>
      <c r="Z738" s="229"/>
      <c r="AA738" s="229"/>
      <c r="AB738" s="229"/>
      <c r="AC738" s="229"/>
    </row>
    <row r="739" spans="1:29" ht="12.75" customHeight="1">
      <c r="A739" s="229"/>
      <c r="B739" s="228"/>
      <c r="C739" s="228"/>
      <c r="D739" s="228"/>
      <c r="E739" s="228"/>
      <c r="F739" s="228"/>
      <c r="G739" s="228"/>
      <c r="H739" s="228"/>
      <c r="I739" s="228"/>
      <c r="J739" s="228"/>
      <c r="K739" s="228"/>
      <c r="L739" s="229"/>
      <c r="M739" s="229"/>
      <c r="N739" s="229"/>
      <c r="O739" s="229"/>
      <c r="P739" s="229"/>
      <c r="Q739" s="229"/>
      <c r="R739" s="229"/>
      <c r="S739" s="229"/>
      <c r="T739" s="229"/>
      <c r="U739" s="229"/>
      <c r="V739" s="229"/>
      <c r="W739" s="229"/>
      <c r="X739" s="229"/>
      <c r="Y739" s="229"/>
      <c r="Z739" s="229"/>
      <c r="AA739" s="229"/>
      <c r="AB739" s="229"/>
      <c r="AC739" s="229"/>
    </row>
    <row r="740" spans="1:29" ht="12.75" customHeight="1">
      <c r="A740" s="229"/>
      <c r="B740" s="228"/>
      <c r="C740" s="228"/>
      <c r="D740" s="228"/>
      <c r="E740" s="228"/>
      <c r="F740" s="228"/>
      <c r="G740" s="228"/>
      <c r="H740" s="228"/>
      <c r="I740" s="228"/>
      <c r="J740" s="228"/>
      <c r="K740" s="228"/>
      <c r="L740" s="229"/>
      <c r="M740" s="229"/>
      <c r="N740" s="229"/>
      <c r="O740" s="229"/>
      <c r="P740" s="229"/>
      <c r="Q740" s="229"/>
      <c r="R740" s="229"/>
      <c r="S740" s="229"/>
      <c r="T740" s="229"/>
      <c r="U740" s="229"/>
      <c r="V740" s="229"/>
      <c r="W740" s="229"/>
      <c r="X740" s="229"/>
      <c r="Y740" s="229"/>
      <c r="Z740" s="229"/>
      <c r="AA740" s="229"/>
      <c r="AB740" s="229"/>
      <c r="AC740" s="229"/>
    </row>
    <row r="741" spans="1:29" ht="12.75" customHeight="1">
      <c r="A741" s="229"/>
      <c r="B741" s="228"/>
      <c r="C741" s="228"/>
      <c r="D741" s="228"/>
      <c r="E741" s="228"/>
      <c r="F741" s="228"/>
      <c r="G741" s="228"/>
      <c r="H741" s="228"/>
      <c r="I741" s="228"/>
      <c r="J741" s="228"/>
      <c r="K741" s="228"/>
      <c r="L741" s="229"/>
      <c r="M741" s="229"/>
      <c r="N741" s="229"/>
      <c r="O741" s="229"/>
      <c r="P741" s="229"/>
      <c r="Q741" s="229"/>
      <c r="R741" s="229"/>
      <c r="S741" s="229"/>
      <c r="T741" s="229"/>
      <c r="U741" s="229"/>
      <c r="V741" s="229"/>
      <c r="W741" s="229"/>
      <c r="X741" s="229"/>
      <c r="Y741" s="229"/>
      <c r="Z741" s="229"/>
      <c r="AA741" s="229"/>
      <c r="AB741" s="229"/>
      <c r="AC741" s="229"/>
    </row>
    <row r="742" spans="1:29" ht="12.75" customHeight="1">
      <c r="A742" s="229"/>
      <c r="B742" s="228"/>
      <c r="C742" s="228"/>
      <c r="D742" s="228"/>
      <c r="E742" s="228"/>
      <c r="F742" s="228"/>
      <c r="G742" s="228"/>
      <c r="H742" s="228"/>
      <c r="I742" s="228"/>
      <c r="J742" s="228"/>
      <c r="K742" s="228"/>
      <c r="L742" s="229"/>
      <c r="M742" s="229"/>
      <c r="N742" s="229"/>
      <c r="O742" s="229"/>
      <c r="P742" s="229"/>
      <c r="Q742" s="229"/>
      <c r="R742" s="229"/>
      <c r="S742" s="229"/>
      <c r="T742" s="229"/>
      <c r="U742" s="229"/>
      <c r="V742" s="229"/>
      <c r="W742" s="229"/>
      <c r="X742" s="229"/>
      <c r="Y742" s="229"/>
      <c r="Z742" s="229"/>
      <c r="AA742" s="229"/>
      <c r="AB742" s="229"/>
      <c r="AC742" s="229"/>
    </row>
    <row r="743" spans="1:29" ht="12.75" customHeight="1">
      <c r="A743" s="229"/>
      <c r="B743" s="228"/>
      <c r="C743" s="228"/>
      <c r="D743" s="228"/>
      <c r="E743" s="228"/>
      <c r="F743" s="228"/>
      <c r="G743" s="228"/>
      <c r="H743" s="228"/>
      <c r="I743" s="228"/>
      <c r="J743" s="228"/>
      <c r="K743" s="228"/>
      <c r="L743" s="229"/>
      <c r="M743" s="229"/>
      <c r="N743" s="229"/>
      <c r="O743" s="229"/>
      <c r="P743" s="229"/>
      <c r="Q743" s="229"/>
      <c r="R743" s="229"/>
      <c r="S743" s="229"/>
      <c r="T743" s="229"/>
      <c r="U743" s="229"/>
      <c r="V743" s="229"/>
      <c r="W743" s="229"/>
      <c r="X743" s="229"/>
      <c r="Y743" s="229"/>
      <c r="Z743" s="229"/>
      <c r="AA743" s="229"/>
      <c r="AB743" s="229"/>
      <c r="AC743" s="229"/>
    </row>
    <row r="744" spans="1:29" ht="12.75" customHeight="1">
      <c r="A744" s="229"/>
      <c r="B744" s="228"/>
      <c r="C744" s="228"/>
      <c r="D744" s="228"/>
      <c r="E744" s="228"/>
      <c r="F744" s="228"/>
      <c r="G744" s="228"/>
      <c r="H744" s="228"/>
      <c r="I744" s="228"/>
      <c r="J744" s="228"/>
      <c r="K744" s="228"/>
      <c r="L744" s="229"/>
      <c r="M744" s="229"/>
      <c r="N744" s="229"/>
      <c r="O744" s="229"/>
      <c r="P744" s="229"/>
      <c r="Q744" s="229"/>
      <c r="R744" s="229"/>
      <c r="S744" s="229"/>
      <c r="T744" s="229"/>
      <c r="U744" s="229"/>
      <c r="V744" s="229"/>
      <c r="W744" s="229"/>
      <c r="X744" s="229"/>
      <c r="Y744" s="229"/>
      <c r="Z744" s="229"/>
      <c r="AA744" s="229"/>
      <c r="AB744" s="229"/>
      <c r="AC744" s="229"/>
    </row>
    <row r="745" spans="1:29" ht="12.75" customHeight="1">
      <c r="A745" s="229"/>
      <c r="B745" s="228"/>
      <c r="C745" s="228"/>
      <c r="D745" s="228"/>
      <c r="E745" s="228"/>
      <c r="F745" s="228"/>
      <c r="G745" s="228"/>
      <c r="H745" s="228"/>
      <c r="I745" s="228"/>
      <c r="J745" s="228"/>
      <c r="K745" s="228"/>
      <c r="L745" s="229"/>
      <c r="M745" s="229"/>
      <c r="N745" s="229"/>
      <c r="O745" s="229"/>
      <c r="P745" s="229"/>
      <c r="Q745" s="229"/>
      <c r="R745" s="229"/>
      <c r="S745" s="229"/>
      <c r="T745" s="229"/>
      <c r="U745" s="229"/>
      <c r="V745" s="229"/>
      <c r="W745" s="229"/>
      <c r="X745" s="229"/>
      <c r="Y745" s="229"/>
      <c r="Z745" s="229"/>
      <c r="AA745" s="229"/>
      <c r="AB745" s="229"/>
      <c r="AC745" s="229"/>
    </row>
    <row r="746" spans="1:29" ht="12.75" customHeight="1">
      <c r="A746" s="229"/>
      <c r="B746" s="228"/>
      <c r="C746" s="228"/>
      <c r="D746" s="228"/>
      <c r="E746" s="228"/>
      <c r="F746" s="228"/>
      <c r="G746" s="228"/>
      <c r="H746" s="228"/>
      <c r="I746" s="228"/>
      <c r="J746" s="228"/>
      <c r="K746" s="228"/>
      <c r="L746" s="229"/>
      <c r="M746" s="229"/>
      <c r="N746" s="229"/>
      <c r="O746" s="229"/>
      <c r="P746" s="229"/>
      <c r="Q746" s="229"/>
      <c r="R746" s="229"/>
      <c r="S746" s="229"/>
      <c r="T746" s="229"/>
      <c r="U746" s="229"/>
      <c r="V746" s="229"/>
      <c r="W746" s="229"/>
      <c r="X746" s="229"/>
      <c r="Y746" s="229"/>
      <c r="Z746" s="229"/>
      <c r="AA746" s="229"/>
      <c r="AB746" s="229"/>
      <c r="AC746" s="229"/>
    </row>
    <row r="747" spans="1:29" ht="12.75" customHeight="1">
      <c r="A747" s="229"/>
      <c r="B747" s="228"/>
      <c r="C747" s="228"/>
      <c r="D747" s="228"/>
      <c r="E747" s="228"/>
      <c r="F747" s="228"/>
      <c r="G747" s="228"/>
      <c r="H747" s="228"/>
      <c r="I747" s="228"/>
      <c r="J747" s="228"/>
      <c r="K747" s="228"/>
      <c r="L747" s="229"/>
      <c r="M747" s="229"/>
      <c r="N747" s="229"/>
      <c r="O747" s="229"/>
      <c r="P747" s="229"/>
      <c r="Q747" s="229"/>
      <c r="R747" s="229"/>
      <c r="S747" s="229"/>
      <c r="T747" s="229"/>
      <c r="U747" s="229"/>
      <c r="V747" s="229"/>
      <c r="W747" s="229"/>
      <c r="X747" s="229"/>
      <c r="Y747" s="229"/>
      <c r="Z747" s="229"/>
      <c r="AA747" s="229"/>
      <c r="AB747" s="229"/>
      <c r="AC747" s="229"/>
    </row>
    <row r="748" spans="1:29" ht="12.75" customHeight="1">
      <c r="A748" s="229"/>
      <c r="B748" s="228"/>
      <c r="C748" s="228"/>
      <c r="D748" s="228"/>
      <c r="E748" s="228"/>
      <c r="F748" s="228"/>
      <c r="G748" s="228"/>
      <c r="H748" s="228"/>
      <c r="I748" s="228"/>
      <c r="J748" s="228"/>
      <c r="K748" s="228"/>
      <c r="L748" s="229"/>
      <c r="M748" s="229"/>
      <c r="N748" s="229"/>
      <c r="O748" s="229"/>
      <c r="P748" s="229"/>
      <c r="Q748" s="229"/>
      <c r="R748" s="229"/>
      <c r="S748" s="229"/>
      <c r="T748" s="229"/>
      <c r="U748" s="229"/>
      <c r="V748" s="229"/>
      <c r="W748" s="229"/>
      <c r="X748" s="229"/>
      <c r="Y748" s="229"/>
      <c r="Z748" s="229"/>
      <c r="AA748" s="229"/>
      <c r="AB748" s="229"/>
      <c r="AC748" s="229"/>
    </row>
    <row r="749" spans="1:29" ht="12.75" customHeight="1">
      <c r="A749" s="229"/>
      <c r="B749" s="228"/>
      <c r="C749" s="228"/>
      <c r="D749" s="228"/>
      <c r="E749" s="228"/>
      <c r="F749" s="228"/>
      <c r="G749" s="228"/>
      <c r="H749" s="228"/>
      <c r="I749" s="228"/>
      <c r="J749" s="228"/>
      <c r="K749" s="228"/>
      <c r="L749" s="229"/>
      <c r="M749" s="229"/>
      <c r="N749" s="229"/>
      <c r="O749" s="229"/>
      <c r="P749" s="229"/>
      <c r="Q749" s="229"/>
      <c r="R749" s="229"/>
      <c r="S749" s="229"/>
      <c r="T749" s="229"/>
      <c r="U749" s="229"/>
      <c r="V749" s="229"/>
      <c r="W749" s="229"/>
      <c r="X749" s="229"/>
      <c r="Y749" s="229"/>
      <c r="Z749" s="229"/>
      <c r="AA749" s="229"/>
      <c r="AB749" s="229"/>
      <c r="AC749" s="229"/>
    </row>
    <row r="750" spans="1:29" ht="12.75" customHeight="1">
      <c r="A750" s="229"/>
      <c r="B750" s="228"/>
      <c r="C750" s="228"/>
      <c r="D750" s="228"/>
      <c r="E750" s="228"/>
      <c r="F750" s="228"/>
      <c r="G750" s="228"/>
      <c r="H750" s="228"/>
      <c r="I750" s="228"/>
      <c r="J750" s="228"/>
      <c r="K750" s="228"/>
      <c r="L750" s="229"/>
      <c r="M750" s="229"/>
      <c r="N750" s="229"/>
      <c r="O750" s="229"/>
      <c r="P750" s="229"/>
      <c r="Q750" s="229"/>
      <c r="R750" s="229"/>
      <c r="S750" s="229"/>
      <c r="T750" s="229"/>
      <c r="U750" s="229"/>
      <c r="V750" s="229"/>
      <c r="W750" s="229"/>
      <c r="X750" s="229"/>
      <c r="Y750" s="229"/>
      <c r="Z750" s="229"/>
      <c r="AA750" s="229"/>
      <c r="AB750" s="229"/>
      <c r="AC750" s="229"/>
    </row>
    <row r="751" spans="1:29" ht="12.75" customHeight="1">
      <c r="A751" s="229"/>
      <c r="B751" s="228"/>
      <c r="C751" s="228"/>
      <c r="D751" s="228"/>
      <c r="E751" s="228"/>
      <c r="F751" s="228"/>
      <c r="G751" s="228"/>
      <c r="H751" s="228"/>
      <c r="I751" s="228"/>
      <c r="J751" s="228"/>
      <c r="K751" s="228"/>
      <c r="L751" s="229"/>
      <c r="M751" s="229"/>
      <c r="N751" s="229"/>
      <c r="O751" s="229"/>
      <c r="P751" s="229"/>
      <c r="Q751" s="229"/>
      <c r="R751" s="229"/>
      <c r="S751" s="229"/>
      <c r="T751" s="229"/>
      <c r="U751" s="229"/>
      <c r="V751" s="229"/>
      <c r="W751" s="229"/>
      <c r="X751" s="229"/>
      <c r="Y751" s="229"/>
      <c r="Z751" s="229"/>
      <c r="AA751" s="229"/>
      <c r="AB751" s="229"/>
      <c r="AC751" s="229"/>
    </row>
    <row r="752" spans="1:29" ht="12.75" customHeight="1">
      <c r="A752" s="229"/>
      <c r="B752" s="228"/>
      <c r="C752" s="228"/>
      <c r="D752" s="228"/>
      <c r="E752" s="228"/>
      <c r="F752" s="228"/>
      <c r="G752" s="228"/>
      <c r="H752" s="228"/>
      <c r="I752" s="228"/>
      <c r="J752" s="228"/>
      <c r="K752" s="228"/>
      <c r="L752" s="229"/>
      <c r="M752" s="229"/>
      <c r="N752" s="229"/>
      <c r="O752" s="229"/>
      <c r="P752" s="229"/>
      <c r="Q752" s="229"/>
      <c r="R752" s="229"/>
      <c r="S752" s="229"/>
      <c r="T752" s="229"/>
      <c r="U752" s="229"/>
      <c r="V752" s="229"/>
      <c r="W752" s="229"/>
      <c r="X752" s="229"/>
      <c r="Y752" s="229"/>
      <c r="Z752" s="229"/>
      <c r="AA752" s="229"/>
      <c r="AB752" s="229"/>
      <c r="AC752" s="229"/>
    </row>
    <row r="753" spans="1:29" ht="12.75" customHeight="1">
      <c r="A753" s="229"/>
      <c r="B753" s="228"/>
      <c r="C753" s="228"/>
      <c r="D753" s="228"/>
      <c r="E753" s="228"/>
      <c r="F753" s="228"/>
      <c r="G753" s="228"/>
      <c r="H753" s="228"/>
      <c r="I753" s="228"/>
      <c r="J753" s="228"/>
      <c r="K753" s="228"/>
      <c r="L753" s="229"/>
      <c r="M753" s="229"/>
      <c r="N753" s="229"/>
      <c r="O753" s="229"/>
      <c r="P753" s="229"/>
      <c r="Q753" s="229"/>
      <c r="R753" s="229"/>
      <c r="S753" s="229"/>
      <c r="T753" s="229"/>
      <c r="U753" s="229"/>
      <c r="V753" s="229"/>
      <c r="W753" s="229"/>
      <c r="X753" s="229"/>
      <c r="Y753" s="229"/>
      <c r="Z753" s="229"/>
      <c r="AA753" s="229"/>
      <c r="AB753" s="229"/>
      <c r="AC753" s="229"/>
    </row>
    <row r="754" spans="1:29" ht="12.75" customHeight="1">
      <c r="A754" s="229"/>
      <c r="B754" s="228"/>
      <c r="C754" s="228"/>
      <c r="D754" s="228"/>
      <c r="E754" s="228"/>
      <c r="F754" s="228"/>
      <c r="G754" s="228"/>
      <c r="H754" s="228"/>
      <c r="I754" s="228"/>
      <c r="J754" s="228"/>
      <c r="K754" s="228"/>
      <c r="L754" s="229"/>
      <c r="M754" s="229"/>
      <c r="N754" s="229"/>
      <c r="O754" s="229"/>
      <c r="P754" s="229"/>
      <c r="Q754" s="229"/>
      <c r="R754" s="229"/>
      <c r="S754" s="229"/>
      <c r="T754" s="229"/>
      <c r="U754" s="229"/>
      <c r="V754" s="229"/>
      <c r="W754" s="229"/>
      <c r="X754" s="229"/>
      <c r="Y754" s="229"/>
      <c r="Z754" s="229"/>
      <c r="AA754" s="229"/>
      <c r="AB754" s="229"/>
      <c r="AC754" s="229"/>
    </row>
    <row r="755" spans="1:29" ht="12.75" customHeight="1">
      <c r="A755" s="229"/>
      <c r="B755" s="228"/>
      <c r="C755" s="228"/>
      <c r="D755" s="228"/>
      <c r="E755" s="228"/>
      <c r="F755" s="228"/>
      <c r="G755" s="228"/>
      <c r="H755" s="228"/>
      <c r="I755" s="228"/>
      <c r="J755" s="228"/>
      <c r="K755" s="228"/>
      <c r="L755" s="229"/>
      <c r="M755" s="229"/>
      <c r="N755" s="229"/>
      <c r="O755" s="229"/>
      <c r="P755" s="229"/>
      <c r="Q755" s="229"/>
      <c r="R755" s="229"/>
      <c r="S755" s="229"/>
      <c r="T755" s="229"/>
      <c r="U755" s="229"/>
      <c r="V755" s="229"/>
      <c r="W755" s="229"/>
      <c r="X755" s="229"/>
      <c r="Y755" s="229"/>
      <c r="Z755" s="229"/>
      <c r="AA755" s="229"/>
      <c r="AB755" s="229"/>
      <c r="AC755" s="229"/>
    </row>
    <row r="756" spans="1:29" ht="12.75" customHeight="1">
      <c r="A756" s="229"/>
      <c r="B756" s="228"/>
      <c r="C756" s="228"/>
      <c r="D756" s="228"/>
      <c r="E756" s="228"/>
      <c r="F756" s="228"/>
      <c r="G756" s="228"/>
      <c r="H756" s="228"/>
      <c r="I756" s="228"/>
      <c r="J756" s="228"/>
      <c r="K756" s="228"/>
      <c r="L756" s="229"/>
      <c r="M756" s="229"/>
      <c r="N756" s="229"/>
      <c r="O756" s="229"/>
      <c r="P756" s="229"/>
      <c r="Q756" s="229"/>
      <c r="R756" s="229"/>
      <c r="S756" s="229"/>
      <c r="T756" s="229"/>
      <c r="U756" s="229"/>
      <c r="V756" s="229"/>
      <c r="W756" s="229"/>
      <c r="X756" s="229"/>
      <c r="Y756" s="229"/>
      <c r="Z756" s="229"/>
      <c r="AA756" s="229"/>
      <c r="AB756" s="229"/>
      <c r="AC756" s="229"/>
    </row>
    <row r="757" spans="1:29" ht="12.75" customHeight="1">
      <c r="A757" s="229"/>
      <c r="B757" s="228"/>
      <c r="C757" s="228"/>
      <c r="D757" s="228"/>
      <c r="E757" s="228"/>
      <c r="F757" s="228"/>
      <c r="G757" s="228"/>
      <c r="H757" s="228"/>
      <c r="I757" s="228"/>
      <c r="J757" s="228"/>
      <c r="K757" s="228"/>
      <c r="L757" s="229"/>
      <c r="M757" s="229"/>
      <c r="N757" s="229"/>
      <c r="O757" s="229"/>
      <c r="P757" s="229"/>
      <c r="Q757" s="229"/>
      <c r="R757" s="229"/>
      <c r="S757" s="229"/>
      <c r="T757" s="229"/>
      <c r="U757" s="229"/>
      <c r="V757" s="229"/>
      <c r="W757" s="229"/>
      <c r="X757" s="229"/>
      <c r="Y757" s="229"/>
      <c r="Z757" s="229"/>
      <c r="AA757" s="229"/>
      <c r="AB757" s="229"/>
      <c r="AC757" s="229"/>
    </row>
    <row r="758" spans="1:29" ht="12.75" customHeight="1">
      <c r="A758" s="229"/>
      <c r="B758" s="228"/>
      <c r="C758" s="228"/>
      <c r="D758" s="228"/>
      <c r="E758" s="228"/>
      <c r="F758" s="228"/>
      <c r="G758" s="228"/>
      <c r="H758" s="228"/>
      <c r="I758" s="228"/>
      <c r="J758" s="228"/>
      <c r="K758" s="228"/>
      <c r="L758" s="229"/>
      <c r="M758" s="229"/>
      <c r="N758" s="229"/>
      <c r="O758" s="229"/>
      <c r="P758" s="229"/>
      <c r="Q758" s="229"/>
      <c r="R758" s="229"/>
      <c r="S758" s="229"/>
      <c r="T758" s="229"/>
      <c r="U758" s="229"/>
      <c r="V758" s="229"/>
      <c r="W758" s="229"/>
      <c r="X758" s="229"/>
      <c r="Y758" s="229"/>
      <c r="Z758" s="229"/>
      <c r="AA758" s="229"/>
      <c r="AB758" s="229"/>
      <c r="AC758" s="229"/>
    </row>
    <row r="759" spans="1:29" ht="12.75" customHeight="1">
      <c r="A759" s="229"/>
      <c r="B759" s="228"/>
      <c r="C759" s="228"/>
      <c r="D759" s="228"/>
      <c r="E759" s="228"/>
      <c r="F759" s="228"/>
      <c r="G759" s="228"/>
      <c r="H759" s="228"/>
      <c r="I759" s="228"/>
      <c r="J759" s="228"/>
      <c r="K759" s="228"/>
      <c r="L759" s="229"/>
      <c r="M759" s="229"/>
      <c r="N759" s="229"/>
      <c r="O759" s="229"/>
      <c r="P759" s="229"/>
      <c r="Q759" s="229"/>
      <c r="R759" s="229"/>
      <c r="S759" s="229"/>
      <c r="T759" s="229"/>
      <c r="U759" s="229"/>
      <c r="V759" s="229"/>
      <c r="W759" s="229"/>
      <c r="X759" s="229"/>
      <c r="Y759" s="229"/>
      <c r="Z759" s="229"/>
      <c r="AA759" s="229"/>
      <c r="AB759" s="229"/>
      <c r="AC759" s="229"/>
    </row>
    <row r="760" spans="1:29" ht="12.75" customHeight="1">
      <c r="A760" s="229"/>
      <c r="B760" s="228"/>
      <c r="C760" s="228"/>
      <c r="D760" s="228"/>
      <c r="E760" s="228"/>
      <c r="F760" s="228"/>
      <c r="G760" s="228"/>
      <c r="H760" s="228"/>
      <c r="I760" s="228"/>
      <c r="J760" s="228"/>
      <c r="K760" s="228"/>
      <c r="L760" s="229"/>
      <c r="M760" s="229"/>
      <c r="N760" s="229"/>
      <c r="O760" s="229"/>
      <c r="P760" s="229"/>
      <c r="Q760" s="229"/>
      <c r="R760" s="229"/>
      <c r="S760" s="229"/>
      <c r="T760" s="229"/>
      <c r="U760" s="229"/>
      <c r="V760" s="229"/>
      <c r="W760" s="229"/>
      <c r="X760" s="229"/>
      <c r="Y760" s="229"/>
      <c r="Z760" s="229"/>
      <c r="AA760" s="229"/>
      <c r="AB760" s="229"/>
      <c r="AC760" s="229"/>
    </row>
    <row r="761" spans="1:29" ht="12.75" customHeight="1">
      <c r="A761" s="229"/>
      <c r="B761" s="228"/>
      <c r="C761" s="228"/>
      <c r="D761" s="228"/>
      <c r="E761" s="228"/>
      <c r="F761" s="228"/>
      <c r="G761" s="228"/>
      <c r="H761" s="228"/>
      <c r="I761" s="228"/>
      <c r="J761" s="228"/>
      <c r="K761" s="228"/>
      <c r="L761" s="229"/>
      <c r="M761" s="229"/>
      <c r="N761" s="229"/>
      <c r="O761" s="229"/>
      <c r="P761" s="229"/>
      <c r="Q761" s="229"/>
      <c r="R761" s="229"/>
      <c r="S761" s="229"/>
      <c r="T761" s="229"/>
      <c r="U761" s="229"/>
      <c r="V761" s="229"/>
      <c r="W761" s="229"/>
      <c r="X761" s="229"/>
      <c r="Y761" s="229"/>
      <c r="Z761" s="229"/>
      <c r="AA761" s="229"/>
      <c r="AB761" s="229"/>
      <c r="AC761" s="229"/>
    </row>
    <row r="762" spans="1:29" ht="12.75" customHeight="1">
      <c r="A762" s="229"/>
      <c r="B762" s="228"/>
      <c r="C762" s="228"/>
      <c r="D762" s="228"/>
      <c r="E762" s="228"/>
      <c r="F762" s="228"/>
      <c r="G762" s="228"/>
      <c r="H762" s="228"/>
      <c r="I762" s="228"/>
      <c r="J762" s="228"/>
      <c r="K762" s="228"/>
      <c r="L762" s="229"/>
      <c r="M762" s="229"/>
      <c r="N762" s="229"/>
      <c r="O762" s="229"/>
      <c r="P762" s="229"/>
      <c r="Q762" s="229"/>
      <c r="R762" s="229"/>
      <c r="S762" s="229"/>
      <c r="T762" s="229"/>
      <c r="U762" s="229"/>
      <c r="V762" s="229"/>
      <c r="W762" s="229"/>
      <c r="X762" s="229"/>
      <c r="Y762" s="229"/>
      <c r="Z762" s="229"/>
      <c r="AA762" s="229"/>
      <c r="AB762" s="229"/>
      <c r="AC762" s="229"/>
    </row>
    <row r="763" spans="1:29" ht="12.75" customHeight="1">
      <c r="A763" s="229"/>
      <c r="B763" s="228"/>
      <c r="C763" s="228"/>
      <c r="D763" s="228"/>
      <c r="E763" s="228"/>
      <c r="F763" s="228"/>
      <c r="G763" s="228"/>
      <c r="H763" s="228"/>
      <c r="I763" s="228"/>
      <c r="J763" s="228"/>
      <c r="K763" s="228"/>
      <c r="L763" s="229"/>
      <c r="M763" s="229"/>
      <c r="N763" s="229"/>
      <c r="O763" s="229"/>
      <c r="P763" s="229"/>
      <c r="Q763" s="229"/>
      <c r="R763" s="229"/>
      <c r="S763" s="229"/>
      <c r="T763" s="229"/>
      <c r="U763" s="229"/>
      <c r="V763" s="229"/>
      <c r="W763" s="229"/>
      <c r="X763" s="229"/>
      <c r="Y763" s="229"/>
      <c r="Z763" s="229"/>
      <c r="AA763" s="229"/>
      <c r="AB763" s="229"/>
      <c r="AC763" s="229"/>
    </row>
    <row r="764" spans="1:29" ht="12.75" customHeight="1">
      <c r="A764" s="229"/>
      <c r="B764" s="228"/>
      <c r="C764" s="228"/>
      <c r="D764" s="228"/>
      <c r="E764" s="228"/>
      <c r="F764" s="228"/>
      <c r="G764" s="228"/>
      <c r="H764" s="228"/>
      <c r="I764" s="228"/>
      <c r="J764" s="228"/>
      <c r="K764" s="228"/>
      <c r="L764" s="229"/>
      <c r="M764" s="229"/>
      <c r="N764" s="229"/>
      <c r="O764" s="229"/>
      <c r="P764" s="229"/>
      <c r="Q764" s="229"/>
      <c r="R764" s="229"/>
      <c r="S764" s="229"/>
      <c r="T764" s="229"/>
      <c r="U764" s="229"/>
      <c r="V764" s="229"/>
      <c r="W764" s="229"/>
      <c r="X764" s="229"/>
      <c r="Y764" s="229"/>
      <c r="Z764" s="229"/>
      <c r="AA764" s="229"/>
      <c r="AB764" s="229"/>
      <c r="AC764" s="229"/>
    </row>
    <row r="765" spans="1:29" ht="12.75" customHeight="1">
      <c r="A765" s="229"/>
      <c r="B765" s="228"/>
      <c r="C765" s="228"/>
      <c r="D765" s="228"/>
      <c r="E765" s="228"/>
      <c r="F765" s="228"/>
      <c r="G765" s="228"/>
      <c r="H765" s="228"/>
      <c r="I765" s="228"/>
      <c r="J765" s="228"/>
      <c r="K765" s="228"/>
      <c r="L765" s="229"/>
      <c r="M765" s="229"/>
      <c r="N765" s="229"/>
      <c r="O765" s="229"/>
      <c r="P765" s="229"/>
      <c r="Q765" s="229"/>
      <c r="R765" s="229"/>
      <c r="S765" s="229"/>
      <c r="T765" s="229"/>
      <c r="U765" s="229"/>
      <c r="V765" s="229"/>
      <c r="W765" s="229"/>
      <c r="X765" s="229"/>
      <c r="Y765" s="229"/>
      <c r="Z765" s="229"/>
      <c r="AA765" s="229"/>
      <c r="AB765" s="229"/>
      <c r="AC765" s="229"/>
    </row>
    <row r="766" spans="1:29" ht="12.75" customHeight="1">
      <c r="A766" s="229"/>
      <c r="B766" s="228"/>
      <c r="C766" s="228"/>
      <c r="D766" s="228"/>
      <c r="E766" s="228"/>
      <c r="F766" s="228"/>
      <c r="G766" s="228"/>
      <c r="H766" s="228"/>
      <c r="I766" s="228"/>
      <c r="J766" s="228"/>
      <c r="K766" s="228"/>
      <c r="L766" s="229"/>
      <c r="M766" s="229"/>
      <c r="N766" s="229"/>
      <c r="O766" s="229"/>
      <c r="P766" s="229"/>
      <c r="Q766" s="229"/>
      <c r="R766" s="229"/>
      <c r="S766" s="229"/>
      <c r="T766" s="229"/>
      <c r="U766" s="229"/>
      <c r="V766" s="229"/>
      <c r="W766" s="229"/>
      <c r="X766" s="229"/>
      <c r="Y766" s="229"/>
      <c r="Z766" s="229"/>
      <c r="AA766" s="229"/>
      <c r="AB766" s="229"/>
      <c r="AC766" s="229"/>
    </row>
    <row r="767" spans="1:29" ht="12.75" customHeight="1">
      <c r="A767" s="229"/>
      <c r="B767" s="228"/>
      <c r="C767" s="228"/>
      <c r="D767" s="228"/>
      <c r="E767" s="228"/>
      <c r="F767" s="228"/>
      <c r="G767" s="228"/>
      <c r="H767" s="228"/>
      <c r="I767" s="228"/>
      <c r="J767" s="228"/>
      <c r="K767" s="228"/>
      <c r="L767" s="229"/>
      <c r="M767" s="229"/>
      <c r="N767" s="229"/>
      <c r="O767" s="229"/>
      <c r="P767" s="229"/>
      <c r="Q767" s="229"/>
      <c r="R767" s="229"/>
      <c r="S767" s="229"/>
      <c r="T767" s="229"/>
      <c r="U767" s="229"/>
      <c r="V767" s="229"/>
      <c r="W767" s="229"/>
      <c r="X767" s="229"/>
      <c r="Y767" s="229"/>
      <c r="Z767" s="229"/>
      <c r="AA767" s="229"/>
      <c r="AB767" s="229"/>
      <c r="AC767" s="229"/>
    </row>
    <row r="768" spans="1:29" ht="12.75" customHeight="1">
      <c r="A768" s="229"/>
      <c r="B768" s="228"/>
      <c r="C768" s="228"/>
      <c r="D768" s="228"/>
      <c r="E768" s="228"/>
      <c r="F768" s="228"/>
      <c r="G768" s="228"/>
      <c r="H768" s="228"/>
      <c r="I768" s="228"/>
      <c r="J768" s="228"/>
      <c r="K768" s="228"/>
      <c r="L768" s="229"/>
      <c r="M768" s="229"/>
      <c r="N768" s="229"/>
      <c r="O768" s="229"/>
      <c r="P768" s="229"/>
      <c r="Q768" s="229"/>
      <c r="R768" s="229"/>
      <c r="S768" s="229"/>
      <c r="T768" s="229"/>
      <c r="U768" s="229"/>
      <c r="V768" s="229"/>
      <c r="W768" s="229"/>
      <c r="X768" s="229"/>
      <c r="Y768" s="229"/>
      <c r="Z768" s="229"/>
      <c r="AA768" s="229"/>
      <c r="AB768" s="229"/>
      <c r="AC768" s="229"/>
    </row>
    <row r="769" spans="1:29" ht="12.75" customHeight="1">
      <c r="A769" s="229"/>
      <c r="B769" s="228"/>
      <c r="C769" s="228"/>
      <c r="D769" s="228"/>
      <c r="E769" s="228"/>
      <c r="F769" s="228"/>
      <c r="G769" s="228"/>
      <c r="H769" s="228"/>
      <c r="I769" s="228"/>
      <c r="J769" s="228"/>
      <c r="K769" s="228"/>
      <c r="L769" s="229"/>
      <c r="M769" s="229"/>
      <c r="N769" s="229"/>
      <c r="O769" s="229"/>
      <c r="P769" s="229"/>
      <c r="Q769" s="229"/>
      <c r="R769" s="229"/>
      <c r="S769" s="229"/>
      <c r="T769" s="229"/>
      <c r="U769" s="229"/>
      <c r="V769" s="229"/>
      <c r="W769" s="229"/>
      <c r="X769" s="229"/>
      <c r="Y769" s="229"/>
      <c r="Z769" s="229"/>
      <c r="AA769" s="229"/>
      <c r="AB769" s="229"/>
      <c r="AC769" s="229"/>
    </row>
    <row r="770" spans="1:29" ht="12.75" customHeight="1">
      <c r="A770" s="229"/>
      <c r="B770" s="228"/>
      <c r="C770" s="228"/>
      <c r="D770" s="228"/>
      <c r="E770" s="228"/>
      <c r="F770" s="228"/>
      <c r="G770" s="228"/>
      <c r="H770" s="228"/>
      <c r="I770" s="228"/>
      <c r="J770" s="228"/>
      <c r="K770" s="228"/>
      <c r="L770" s="229"/>
      <c r="M770" s="229"/>
      <c r="N770" s="229"/>
      <c r="O770" s="229"/>
      <c r="P770" s="229"/>
      <c r="Q770" s="229"/>
      <c r="R770" s="229"/>
      <c r="S770" s="229"/>
      <c r="T770" s="229"/>
      <c r="U770" s="229"/>
      <c r="V770" s="229"/>
      <c r="W770" s="229"/>
      <c r="X770" s="229"/>
      <c r="Y770" s="229"/>
      <c r="Z770" s="229"/>
      <c r="AA770" s="229"/>
      <c r="AB770" s="229"/>
      <c r="AC770" s="229"/>
    </row>
    <row r="771" spans="1:29" ht="12.75" customHeight="1">
      <c r="A771" s="229"/>
      <c r="B771" s="228"/>
      <c r="C771" s="228"/>
      <c r="D771" s="228"/>
      <c r="E771" s="228"/>
      <c r="F771" s="228"/>
      <c r="G771" s="228"/>
      <c r="H771" s="228"/>
      <c r="I771" s="228"/>
      <c r="J771" s="228"/>
      <c r="K771" s="228"/>
      <c r="L771" s="229"/>
      <c r="M771" s="229"/>
      <c r="N771" s="229"/>
      <c r="O771" s="229"/>
      <c r="P771" s="229"/>
      <c r="Q771" s="229"/>
      <c r="R771" s="229"/>
      <c r="S771" s="229"/>
      <c r="T771" s="229"/>
      <c r="U771" s="229"/>
      <c r="V771" s="229"/>
      <c r="W771" s="229"/>
      <c r="X771" s="229"/>
      <c r="Y771" s="229"/>
      <c r="Z771" s="229"/>
      <c r="AA771" s="229"/>
      <c r="AB771" s="229"/>
      <c r="AC771" s="229"/>
    </row>
    <row r="772" spans="1:29" ht="12.75" customHeight="1">
      <c r="A772" s="229"/>
      <c r="B772" s="228"/>
      <c r="C772" s="228"/>
      <c r="D772" s="228"/>
      <c r="E772" s="228"/>
      <c r="F772" s="228"/>
      <c r="G772" s="228"/>
      <c r="H772" s="228"/>
      <c r="I772" s="228"/>
      <c r="J772" s="228"/>
      <c r="K772" s="228"/>
      <c r="L772" s="229"/>
      <c r="M772" s="229"/>
      <c r="N772" s="229"/>
      <c r="O772" s="229"/>
      <c r="P772" s="229"/>
      <c r="Q772" s="229"/>
      <c r="R772" s="229"/>
      <c r="S772" s="229"/>
      <c r="T772" s="229"/>
      <c r="U772" s="229"/>
      <c r="V772" s="229"/>
      <c r="W772" s="229"/>
      <c r="X772" s="229"/>
      <c r="Y772" s="229"/>
      <c r="Z772" s="229"/>
      <c r="AA772" s="229"/>
      <c r="AB772" s="229"/>
      <c r="AC772" s="229"/>
    </row>
    <row r="773" spans="1:29" ht="12.75" customHeight="1">
      <c r="A773" s="229"/>
      <c r="B773" s="228"/>
      <c r="C773" s="228"/>
      <c r="D773" s="228"/>
      <c r="E773" s="228"/>
      <c r="F773" s="228"/>
      <c r="G773" s="228"/>
      <c r="H773" s="228"/>
      <c r="I773" s="228"/>
      <c r="J773" s="228"/>
      <c r="K773" s="228"/>
      <c r="L773" s="229"/>
      <c r="M773" s="229"/>
      <c r="N773" s="229"/>
      <c r="O773" s="229"/>
      <c r="P773" s="229"/>
      <c r="Q773" s="229"/>
      <c r="R773" s="229"/>
      <c r="S773" s="229"/>
      <c r="T773" s="229"/>
      <c r="U773" s="229"/>
      <c r="V773" s="229"/>
      <c r="W773" s="229"/>
      <c r="X773" s="229"/>
      <c r="Y773" s="229"/>
      <c r="Z773" s="229"/>
      <c r="AA773" s="229"/>
      <c r="AB773" s="229"/>
      <c r="AC773" s="229"/>
    </row>
    <row r="774" spans="1:29" ht="12.75" customHeight="1">
      <c r="A774" s="229"/>
      <c r="B774" s="228"/>
      <c r="C774" s="228"/>
      <c r="D774" s="228"/>
      <c r="E774" s="228"/>
      <c r="F774" s="228"/>
      <c r="G774" s="228"/>
      <c r="H774" s="228"/>
      <c r="I774" s="228"/>
      <c r="J774" s="228"/>
      <c r="K774" s="228"/>
      <c r="L774" s="229"/>
      <c r="M774" s="229"/>
      <c r="N774" s="229"/>
      <c r="O774" s="229"/>
      <c r="P774" s="229"/>
      <c r="Q774" s="229"/>
      <c r="R774" s="229"/>
      <c r="S774" s="229"/>
      <c r="T774" s="229"/>
      <c r="U774" s="229"/>
      <c r="V774" s="229"/>
      <c r="W774" s="229"/>
      <c r="X774" s="229"/>
      <c r="Y774" s="229"/>
      <c r="Z774" s="229"/>
      <c r="AA774" s="229"/>
      <c r="AB774" s="229"/>
      <c r="AC774" s="229"/>
    </row>
    <row r="775" spans="1:29" ht="12.75" customHeight="1">
      <c r="A775" s="229"/>
      <c r="B775" s="228"/>
      <c r="C775" s="228"/>
      <c r="D775" s="228"/>
      <c r="E775" s="228"/>
      <c r="F775" s="228"/>
      <c r="G775" s="228"/>
      <c r="H775" s="228"/>
      <c r="I775" s="228"/>
      <c r="J775" s="228"/>
      <c r="K775" s="228"/>
      <c r="L775" s="229"/>
      <c r="M775" s="229"/>
      <c r="N775" s="229"/>
      <c r="O775" s="229"/>
      <c r="P775" s="229"/>
      <c r="Q775" s="229"/>
      <c r="R775" s="229"/>
      <c r="S775" s="229"/>
      <c r="T775" s="229"/>
      <c r="U775" s="229"/>
      <c r="V775" s="229"/>
      <c r="W775" s="229"/>
      <c r="X775" s="229"/>
      <c r="Y775" s="229"/>
      <c r="Z775" s="229"/>
      <c r="AA775" s="229"/>
      <c r="AB775" s="229"/>
      <c r="AC775" s="229"/>
    </row>
    <row r="776" spans="1:29" ht="12.75" customHeight="1">
      <c r="A776" s="229"/>
      <c r="B776" s="228"/>
      <c r="C776" s="228"/>
      <c r="D776" s="228"/>
      <c r="E776" s="228"/>
      <c r="F776" s="228"/>
      <c r="G776" s="228"/>
      <c r="H776" s="228"/>
      <c r="I776" s="228"/>
      <c r="J776" s="228"/>
      <c r="K776" s="228"/>
      <c r="L776" s="229"/>
      <c r="M776" s="229"/>
      <c r="N776" s="229"/>
      <c r="O776" s="229"/>
      <c r="P776" s="229"/>
      <c r="Q776" s="229"/>
      <c r="R776" s="229"/>
      <c r="S776" s="229"/>
      <c r="T776" s="229"/>
      <c r="U776" s="229"/>
      <c r="V776" s="229"/>
      <c r="W776" s="229"/>
      <c r="X776" s="229"/>
      <c r="Y776" s="229"/>
      <c r="Z776" s="229"/>
      <c r="AA776" s="229"/>
      <c r="AB776" s="229"/>
      <c r="AC776" s="229"/>
    </row>
    <row r="777" spans="1:29" ht="12.75" customHeight="1">
      <c r="A777" s="229"/>
      <c r="B777" s="228"/>
      <c r="C777" s="228"/>
      <c r="D777" s="228"/>
      <c r="E777" s="228"/>
      <c r="F777" s="228"/>
      <c r="G777" s="228"/>
      <c r="H777" s="228"/>
      <c r="I777" s="228"/>
      <c r="J777" s="228"/>
      <c r="K777" s="228"/>
      <c r="L777" s="229"/>
      <c r="M777" s="229"/>
      <c r="N777" s="229"/>
      <c r="O777" s="229"/>
      <c r="P777" s="229"/>
      <c r="Q777" s="229"/>
      <c r="R777" s="229"/>
      <c r="S777" s="229"/>
      <c r="T777" s="229"/>
      <c r="U777" s="229"/>
      <c r="V777" s="229"/>
      <c r="W777" s="229"/>
      <c r="X777" s="229"/>
      <c r="Y777" s="229"/>
      <c r="Z777" s="229"/>
      <c r="AA777" s="229"/>
      <c r="AB777" s="229"/>
      <c r="AC777" s="229"/>
    </row>
    <row r="778" spans="1:29" ht="12.75" customHeight="1">
      <c r="A778" s="229"/>
      <c r="B778" s="228"/>
      <c r="C778" s="228"/>
      <c r="D778" s="228"/>
      <c r="E778" s="228"/>
      <c r="F778" s="228"/>
      <c r="G778" s="228"/>
      <c r="H778" s="228"/>
      <c r="I778" s="228"/>
      <c r="J778" s="228"/>
      <c r="K778" s="228"/>
      <c r="L778" s="229"/>
      <c r="M778" s="229"/>
      <c r="N778" s="229"/>
      <c r="O778" s="229"/>
      <c r="P778" s="229"/>
      <c r="Q778" s="229"/>
      <c r="R778" s="229"/>
      <c r="S778" s="229"/>
      <c r="T778" s="229"/>
      <c r="U778" s="229"/>
      <c r="V778" s="229"/>
      <c r="W778" s="229"/>
      <c r="X778" s="229"/>
      <c r="Y778" s="229"/>
      <c r="Z778" s="229"/>
      <c r="AA778" s="229"/>
      <c r="AB778" s="229"/>
      <c r="AC778" s="229"/>
    </row>
    <row r="779" spans="1:29" ht="12.75" customHeight="1">
      <c r="A779" s="229"/>
      <c r="B779" s="228"/>
      <c r="C779" s="228"/>
      <c r="D779" s="228"/>
      <c r="E779" s="228"/>
      <c r="F779" s="228"/>
      <c r="G779" s="228"/>
      <c r="H779" s="228"/>
      <c r="I779" s="228"/>
      <c r="J779" s="228"/>
      <c r="K779" s="228"/>
      <c r="L779" s="229"/>
      <c r="M779" s="229"/>
      <c r="N779" s="229"/>
      <c r="O779" s="229"/>
      <c r="P779" s="229"/>
      <c r="Q779" s="229"/>
      <c r="R779" s="229"/>
      <c r="S779" s="229"/>
      <c r="T779" s="229"/>
      <c r="U779" s="229"/>
      <c r="V779" s="229"/>
      <c r="W779" s="229"/>
      <c r="X779" s="229"/>
      <c r="Y779" s="229"/>
      <c r="Z779" s="229"/>
      <c r="AA779" s="229"/>
      <c r="AB779" s="229"/>
      <c r="AC779" s="229"/>
    </row>
    <row r="780" spans="1:29" ht="12.75" customHeight="1">
      <c r="A780" s="229"/>
      <c r="B780" s="228"/>
      <c r="C780" s="228"/>
      <c r="D780" s="228"/>
      <c r="E780" s="228"/>
      <c r="F780" s="228"/>
      <c r="G780" s="228"/>
      <c r="H780" s="228"/>
      <c r="I780" s="228"/>
      <c r="J780" s="228"/>
      <c r="K780" s="228"/>
      <c r="L780" s="229"/>
      <c r="M780" s="229"/>
      <c r="N780" s="229"/>
      <c r="O780" s="229"/>
      <c r="P780" s="229"/>
      <c r="Q780" s="229"/>
      <c r="R780" s="229"/>
      <c r="S780" s="229"/>
      <c r="T780" s="229"/>
      <c r="U780" s="229"/>
      <c r="V780" s="229"/>
      <c r="W780" s="229"/>
      <c r="X780" s="229"/>
      <c r="Y780" s="229"/>
      <c r="Z780" s="229"/>
      <c r="AA780" s="229"/>
      <c r="AB780" s="229"/>
      <c r="AC780" s="229"/>
    </row>
    <row r="781" spans="1:29" ht="12.75" customHeight="1">
      <c r="A781" s="229"/>
      <c r="B781" s="228"/>
      <c r="C781" s="228"/>
      <c r="D781" s="228"/>
      <c r="E781" s="228"/>
      <c r="F781" s="228"/>
      <c r="G781" s="228"/>
      <c r="H781" s="228"/>
      <c r="I781" s="228"/>
      <c r="J781" s="228"/>
      <c r="K781" s="228"/>
      <c r="L781" s="229"/>
      <c r="M781" s="229"/>
      <c r="N781" s="229"/>
      <c r="O781" s="229"/>
      <c r="P781" s="229"/>
      <c r="Q781" s="229"/>
      <c r="R781" s="229"/>
      <c r="S781" s="229"/>
      <c r="T781" s="229"/>
      <c r="U781" s="229"/>
      <c r="V781" s="229"/>
      <c r="W781" s="229"/>
      <c r="X781" s="229"/>
      <c r="Y781" s="229"/>
      <c r="Z781" s="229"/>
      <c r="AA781" s="229"/>
      <c r="AB781" s="229"/>
      <c r="AC781" s="229"/>
    </row>
    <row r="782" spans="1:29" ht="12.75" customHeight="1">
      <c r="A782" s="229"/>
      <c r="B782" s="228"/>
      <c r="C782" s="228"/>
      <c r="D782" s="228"/>
      <c r="E782" s="228"/>
      <c r="F782" s="228"/>
      <c r="G782" s="228"/>
      <c r="H782" s="228"/>
      <c r="I782" s="228"/>
      <c r="J782" s="228"/>
      <c r="K782" s="228"/>
      <c r="L782" s="229"/>
      <c r="M782" s="229"/>
      <c r="N782" s="229"/>
      <c r="O782" s="229"/>
      <c r="P782" s="229"/>
      <c r="Q782" s="229"/>
      <c r="R782" s="229"/>
      <c r="S782" s="229"/>
      <c r="T782" s="229"/>
      <c r="U782" s="229"/>
      <c r="V782" s="229"/>
      <c r="W782" s="229"/>
      <c r="X782" s="229"/>
      <c r="Y782" s="229"/>
      <c r="Z782" s="229"/>
      <c r="AA782" s="229"/>
      <c r="AB782" s="229"/>
      <c r="AC782" s="229"/>
    </row>
    <row r="783" spans="1:29" ht="12.75" customHeight="1">
      <c r="A783" s="229"/>
      <c r="B783" s="228"/>
      <c r="C783" s="228"/>
      <c r="D783" s="228"/>
      <c r="E783" s="228"/>
      <c r="F783" s="228"/>
      <c r="G783" s="228"/>
      <c r="H783" s="228"/>
      <c r="I783" s="228"/>
      <c r="J783" s="228"/>
      <c r="K783" s="228"/>
      <c r="L783" s="229"/>
      <c r="M783" s="229"/>
      <c r="N783" s="229"/>
      <c r="O783" s="229"/>
      <c r="P783" s="229"/>
      <c r="Q783" s="229"/>
      <c r="R783" s="229"/>
      <c r="S783" s="229"/>
      <c r="T783" s="229"/>
      <c r="U783" s="229"/>
      <c r="V783" s="229"/>
      <c r="W783" s="229"/>
      <c r="X783" s="229"/>
      <c r="Y783" s="229"/>
      <c r="Z783" s="229"/>
      <c r="AA783" s="229"/>
      <c r="AB783" s="229"/>
      <c r="AC783" s="229"/>
    </row>
    <row r="784" spans="1:29" ht="12.75" customHeight="1">
      <c r="A784" s="229"/>
      <c r="B784" s="228"/>
      <c r="C784" s="228"/>
      <c r="D784" s="228"/>
      <c r="E784" s="228"/>
      <c r="F784" s="228"/>
      <c r="G784" s="228"/>
      <c r="H784" s="228"/>
      <c r="I784" s="228"/>
      <c r="J784" s="228"/>
      <c r="K784" s="228"/>
      <c r="L784" s="229"/>
      <c r="M784" s="229"/>
      <c r="N784" s="229"/>
      <c r="O784" s="229"/>
      <c r="P784" s="229"/>
      <c r="Q784" s="229"/>
      <c r="R784" s="229"/>
      <c r="S784" s="229"/>
      <c r="T784" s="229"/>
      <c r="U784" s="229"/>
      <c r="V784" s="229"/>
      <c r="W784" s="229"/>
      <c r="X784" s="229"/>
      <c r="Y784" s="229"/>
      <c r="Z784" s="229"/>
      <c r="AA784" s="229"/>
      <c r="AB784" s="229"/>
      <c r="AC784" s="229"/>
    </row>
    <row r="785" spans="1:29" ht="12.75" customHeight="1">
      <c r="A785" s="229"/>
      <c r="B785" s="228"/>
      <c r="C785" s="228"/>
      <c r="D785" s="228"/>
      <c r="E785" s="228"/>
      <c r="F785" s="228"/>
      <c r="G785" s="228"/>
      <c r="H785" s="228"/>
      <c r="I785" s="228"/>
      <c r="J785" s="228"/>
      <c r="K785" s="228"/>
      <c r="L785" s="229"/>
      <c r="M785" s="229"/>
      <c r="N785" s="229"/>
      <c r="O785" s="229"/>
      <c r="P785" s="229"/>
      <c r="Q785" s="229"/>
      <c r="R785" s="229"/>
      <c r="S785" s="229"/>
      <c r="T785" s="229"/>
      <c r="U785" s="229"/>
      <c r="V785" s="229"/>
      <c r="W785" s="229"/>
      <c r="X785" s="229"/>
      <c r="Y785" s="229"/>
      <c r="Z785" s="229"/>
      <c r="AA785" s="229"/>
      <c r="AB785" s="229"/>
      <c r="AC785" s="229"/>
    </row>
    <row r="786" spans="1:29" ht="12.75" customHeight="1">
      <c r="A786" s="229"/>
      <c r="B786" s="228"/>
      <c r="C786" s="228"/>
      <c r="D786" s="228"/>
      <c r="E786" s="228"/>
      <c r="F786" s="228"/>
      <c r="G786" s="228"/>
      <c r="H786" s="228"/>
      <c r="I786" s="228"/>
      <c r="J786" s="228"/>
      <c r="K786" s="228"/>
      <c r="L786" s="229"/>
      <c r="M786" s="229"/>
      <c r="N786" s="229"/>
      <c r="O786" s="229"/>
      <c r="P786" s="229"/>
      <c r="Q786" s="229"/>
      <c r="R786" s="229"/>
      <c r="S786" s="229"/>
      <c r="T786" s="229"/>
      <c r="U786" s="229"/>
      <c r="V786" s="229"/>
      <c r="W786" s="229"/>
      <c r="X786" s="229"/>
      <c r="Y786" s="229"/>
      <c r="Z786" s="229"/>
      <c r="AA786" s="229"/>
      <c r="AB786" s="229"/>
      <c r="AC786" s="229"/>
    </row>
    <row r="787" spans="1:29" ht="12.75" customHeight="1">
      <c r="A787" s="229"/>
      <c r="B787" s="228"/>
      <c r="C787" s="228"/>
      <c r="D787" s="228"/>
      <c r="E787" s="228"/>
      <c r="F787" s="228"/>
      <c r="G787" s="228"/>
      <c r="H787" s="228"/>
      <c r="I787" s="228"/>
      <c r="J787" s="228"/>
      <c r="K787" s="228"/>
      <c r="L787" s="229"/>
      <c r="M787" s="229"/>
      <c r="N787" s="229"/>
      <c r="O787" s="229"/>
      <c r="P787" s="229"/>
      <c r="Q787" s="229"/>
      <c r="R787" s="229"/>
      <c r="S787" s="229"/>
      <c r="T787" s="229"/>
      <c r="U787" s="229"/>
      <c r="V787" s="229"/>
      <c r="W787" s="229"/>
      <c r="X787" s="229"/>
      <c r="Y787" s="229"/>
      <c r="Z787" s="229"/>
      <c r="AA787" s="229"/>
      <c r="AB787" s="229"/>
      <c r="AC787" s="229"/>
    </row>
    <row r="788" spans="1:29" ht="12.75" customHeight="1">
      <c r="A788" s="229"/>
      <c r="B788" s="228"/>
      <c r="C788" s="228"/>
      <c r="D788" s="228"/>
      <c r="E788" s="228"/>
      <c r="F788" s="228"/>
      <c r="G788" s="228"/>
      <c r="H788" s="228"/>
      <c r="I788" s="228"/>
      <c r="J788" s="228"/>
      <c r="K788" s="228"/>
      <c r="L788" s="229"/>
      <c r="M788" s="229"/>
      <c r="N788" s="229"/>
      <c r="O788" s="229"/>
      <c r="P788" s="229"/>
      <c r="Q788" s="229"/>
      <c r="R788" s="229"/>
      <c r="S788" s="229"/>
      <c r="T788" s="229"/>
      <c r="U788" s="229"/>
      <c r="V788" s="229"/>
      <c r="W788" s="229"/>
      <c r="X788" s="229"/>
      <c r="Y788" s="229"/>
      <c r="Z788" s="229"/>
      <c r="AA788" s="229"/>
      <c r="AB788" s="229"/>
      <c r="AC788" s="229"/>
    </row>
    <row r="789" spans="1:29" ht="12.75" customHeight="1">
      <c r="A789" s="229"/>
      <c r="B789" s="228"/>
      <c r="C789" s="228"/>
      <c r="D789" s="228"/>
      <c r="E789" s="228"/>
      <c r="F789" s="228"/>
      <c r="G789" s="228"/>
      <c r="H789" s="228"/>
      <c r="I789" s="228"/>
      <c r="J789" s="228"/>
      <c r="K789" s="228"/>
      <c r="L789" s="229"/>
      <c r="M789" s="229"/>
      <c r="N789" s="229"/>
      <c r="O789" s="229"/>
      <c r="P789" s="229"/>
      <c r="Q789" s="229"/>
      <c r="R789" s="229"/>
      <c r="S789" s="229"/>
      <c r="T789" s="229"/>
      <c r="U789" s="229"/>
      <c r="V789" s="229"/>
      <c r="W789" s="229"/>
      <c r="X789" s="229"/>
      <c r="Y789" s="229"/>
      <c r="Z789" s="229"/>
      <c r="AA789" s="229"/>
      <c r="AB789" s="229"/>
      <c r="AC789" s="229"/>
    </row>
    <row r="790" spans="1:29" ht="12.75" customHeight="1">
      <c r="A790" s="229"/>
      <c r="B790" s="228"/>
      <c r="C790" s="228"/>
      <c r="D790" s="228"/>
      <c r="E790" s="228"/>
      <c r="F790" s="228"/>
      <c r="G790" s="228"/>
      <c r="H790" s="228"/>
      <c r="I790" s="228"/>
      <c r="J790" s="228"/>
      <c r="K790" s="228"/>
      <c r="L790" s="229"/>
      <c r="M790" s="229"/>
      <c r="N790" s="229"/>
      <c r="O790" s="229"/>
      <c r="P790" s="229"/>
      <c r="Q790" s="229"/>
      <c r="R790" s="229"/>
      <c r="S790" s="229"/>
      <c r="T790" s="229"/>
      <c r="U790" s="229"/>
      <c r="V790" s="229"/>
      <c r="W790" s="229"/>
      <c r="X790" s="229"/>
      <c r="Y790" s="229"/>
      <c r="Z790" s="229"/>
      <c r="AA790" s="229"/>
      <c r="AB790" s="229"/>
      <c r="AC790" s="229"/>
    </row>
    <row r="791" spans="1:29" ht="12.75" customHeight="1">
      <c r="A791" s="229"/>
      <c r="B791" s="228"/>
      <c r="C791" s="228"/>
      <c r="D791" s="228"/>
      <c r="E791" s="228"/>
      <c r="F791" s="228"/>
      <c r="G791" s="228"/>
      <c r="H791" s="228"/>
      <c r="I791" s="228"/>
      <c r="J791" s="228"/>
      <c r="K791" s="228"/>
      <c r="L791" s="229"/>
      <c r="M791" s="229"/>
      <c r="N791" s="229"/>
      <c r="O791" s="229"/>
      <c r="P791" s="229"/>
      <c r="Q791" s="229"/>
      <c r="R791" s="229"/>
      <c r="S791" s="229"/>
      <c r="T791" s="229"/>
      <c r="U791" s="229"/>
      <c r="V791" s="229"/>
      <c r="W791" s="229"/>
      <c r="X791" s="229"/>
      <c r="Y791" s="229"/>
      <c r="Z791" s="229"/>
      <c r="AA791" s="229"/>
      <c r="AB791" s="229"/>
      <c r="AC791" s="229"/>
    </row>
    <row r="792" spans="1:29" ht="12.75" customHeight="1">
      <c r="A792" s="229"/>
      <c r="B792" s="228"/>
      <c r="C792" s="228"/>
      <c r="D792" s="228"/>
      <c r="E792" s="228"/>
      <c r="F792" s="228"/>
      <c r="G792" s="228"/>
      <c r="H792" s="228"/>
      <c r="I792" s="228"/>
      <c r="J792" s="228"/>
      <c r="K792" s="228"/>
      <c r="L792" s="229"/>
      <c r="M792" s="229"/>
      <c r="N792" s="229"/>
      <c r="O792" s="229"/>
      <c r="P792" s="229"/>
      <c r="Q792" s="229"/>
      <c r="R792" s="229"/>
      <c r="S792" s="229"/>
      <c r="T792" s="229"/>
      <c r="U792" s="229"/>
      <c r="V792" s="229"/>
      <c r="W792" s="229"/>
      <c r="X792" s="229"/>
      <c r="Y792" s="229"/>
      <c r="Z792" s="229"/>
      <c r="AA792" s="229"/>
      <c r="AB792" s="229"/>
      <c r="AC792" s="229"/>
    </row>
    <row r="793" spans="1:29" ht="12.75" customHeight="1">
      <c r="A793" s="229"/>
      <c r="B793" s="228"/>
      <c r="C793" s="228"/>
      <c r="D793" s="228"/>
      <c r="E793" s="228"/>
      <c r="F793" s="228"/>
      <c r="G793" s="228"/>
      <c r="H793" s="228"/>
      <c r="I793" s="228"/>
      <c r="J793" s="228"/>
      <c r="K793" s="228"/>
      <c r="L793" s="229"/>
      <c r="M793" s="229"/>
      <c r="N793" s="229"/>
      <c r="O793" s="229"/>
      <c r="P793" s="229"/>
      <c r="Q793" s="229"/>
      <c r="R793" s="229"/>
      <c r="S793" s="229"/>
      <c r="T793" s="229"/>
      <c r="U793" s="229"/>
      <c r="V793" s="229"/>
      <c r="W793" s="229"/>
      <c r="X793" s="229"/>
      <c r="Y793" s="229"/>
      <c r="Z793" s="229"/>
      <c r="AA793" s="229"/>
      <c r="AB793" s="229"/>
      <c r="AC793" s="229"/>
    </row>
    <row r="794" spans="1:29" ht="12.75" customHeight="1">
      <c r="A794" s="229"/>
      <c r="B794" s="228"/>
      <c r="C794" s="228"/>
      <c r="D794" s="228"/>
      <c r="E794" s="228"/>
      <c r="F794" s="228"/>
      <c r="G794" s="228"/>
      <c r="H794" s="228"/>
      <c r="I794" s="228"/>
      <c r="J794" s="228"/>
      <c r="K794" s="228"/>
      <c r="L794" s="229"/>
      <c r="M794" s="229"/>
      <c r="N794" s="229"/>
      <c r="O794" s="229"/>
      <c r="P794" s="229"/>
      <c r="Q794" s="229"/>
      <c r="R794" s="229"/>
      <c r="S794" s="229"/>
      <c r="T794" s="229"/>
      <c r="U794" s="229"/>
      <c r="V794" s="229"/>
      <c r="W794" s="229"/>
      <c r="X794" s="229"/>
      <c r="Y794" s="229"/>
      <c r="Z794" s="229"/>
      <c r="AA794" s="229"/>
      <c r="AB794" s="229"/>
      <c r="AC794" s="229"/>
    </row>
    <row r="795" spans="1:29" ht="12.75" customHeight="1">
      <c r="A795" s="229"/>
      <c r="B795" s="228"/>
      <c r="C795" s="228"/>
      <c r="D795" s="228"/>
      <c r="E795" s="228"/>
      <c r="F795" s="228"/>
      <c r="G795" s="228"/>
      <c r="H795" s="228"/>
      <c r="I795" s="228"/>
      <c r="J795" s="228"/>
      <c r="K795" s="228"/>
      <c r="L795" s="229"/>
      <c r="M795" s="229"/>
      <c r="N795" s="229"/>
      <c r="O795" s="229"/>
      <c r="P795" s="229"/>
      <c r="Q795" s="229"/>
      <c r="R795" s="229"/>
      <c r="S795" s="229"/>
      <c r="T795" s="229"/>
      <c r="U795" s="229"/>
      <c r="V795" s="229"/>
      <c r="W795" s="229"/>
      <c r="X795" s="229"/>
      <c r="Y795" s="229"/>
      <c r="Z795" s="229"/>
      <c r="AA795" s="229"/>
      <c r="AB795" s="229"/>
      <c r="AC795" s="229"/>
    </row>
    <row r="796" spans="1:29" ht="12.75" customHeight="1">
      <c r="A796" s="229"/>
      <c r="B796" s="228"/>
      <c r="C796" s="228"/>
      <c r="D796" s="228"/>
      <c r="E796" s="228"/>
      <c r="F796" s="228"/>
      <c r="G796" s="228"/>
      <c r="H796" s="228"/>
      <c r="I796" s="228"/>
      <c r="J796" s="228"/>
      <c r="K796" s="228"/>
      <c r="L796" s="229"/>
      <c r="M796" s="229"/>
      <c r="N796" s="229"/>
      <c r="O796" s="229"/>
      <c r="P796" s="229"/>
      <c r="Q796" s="229"/>
      <c r="R796" s="229"/>
      <c r="S796" s="229"/>
      <c r="T796" s="229"/>
      <c r="U796" s="229"/>
      <c r="V796" s="229"/>
      <c r="W796" s="229"/>
      <c r="X796" s="229"/>
      <c r="Y796" s="229"/>
      <c r="Z796" s="229"/>
      <c r="AA796" s="229"/>
      <c r="AB796" s="229"/>
      <c r="AC796" s="229"/>
    </row>
    <row r="797" spans="1:29" ht="12.75" customHeight="1">
      <c r="A797" s="229"/>
      <c r="B797" s="228"/>
      <c r="C797" s="228"/>
      <c r="D797" s="228"/>
      <c r="E797" s="228"/>
      <c r="F797" s="228"/>
      <c r="G797" s="228"/>
      <c r="H797" s="228"/>
      <c r="I797" s="228"/>
      <c r="J797" s="228"/>
      <c r="K797" s="228"/>
      <c r="L797" s="229"/>
      <c r="M797" s="229"/>
      <c r="N797" s="229"/>
      <c r="O797" s="229"/>
      <c r="P797" s="229"/>
      <c r="Q797" s="229"/>
      <c r="R797" s="229"/>
      <c r="S797" s="229"/>
      <c r="T797" s="229"/>
      <c r="U797" s="229"/>
      <c r="V797" s="229"/>
      <c r="W797" s="229"/>
      <c r="X797" s="229"/>
      <c r="Y797" s="229"/>
      <c r="Z797" s="229"/>
      <c r="AA797" s="229"/>
      <c r="AB797" s="229"/>
      <c r="AC797" s="229"/>
    </row>
    <row r="798" spans="1:29" ht="12.75" customHeight="1">
      <c r="A798" s="229"/>
      <c r="B798" s="228"/>
      <c r="C798" s="228"/>
      <c r="D798" s="228"/>
      <c r="E798" s="228"/>
      <c r="F798" s="228"/>
      <c r="G798" s="228"/>
      <c r="H798" s="228"/>
      <c r="I798" s="228"/>
      <c r="J798" s="228"/>
      <c r="K798" s="228"/>
      <c r="L798" s="229"/>
      <c r="M798" s="229"/>
      <c r="N798" s="229"/>
      <c r="O798" s="229"/>
      <c r="P798" s="229"/>
      <c r="Q798" s="229"/>
      <c r="R798" s="229"/>
      <c r="S798" s="229"/>
      <c r="T798" s="229"/>
      <c r="U798" s="229"/>
      <c r="V798" s="229"/>
      <c r="W798" s="229"/>
      <c r="X798" s="229"/>
      <c r="Y798" s="229"/>
      <c r="Z798" s="229"/>
      <c r="AA798" s="229"/>
      <c r="AB798" s="229"/>
      <c r="AC798" s="229"/>
    </row>
    <row r="799" spans="1:29" ht="12.75" customHeight="1">
      <c r="A799" s="229"/>
      <c r="B799" s="228"/>
      <c r="C799" s="228"/>
      <c r="D799" s="228"/>
      <c r="E799" s="228"/>
      <c r="F799" s="228"/>
      <c r="G799" s="228"/>
      <c r="H799" s="228"/>
      <c r="I799" s="228"/>
      <c r="J799" s="228"/>
      <c r="K799" s="228"/>
      <c r="L799" s="229"/>
      <c r="M799" s="229"/>
      <c r="N799" s="229"/>
      <c r="O799" s="229"/>
      <c r="P799" s="229"/>
      <c r="Q799" s="229"/>
      <c r="R799" s="229"/>
      <c r="S799" s="229"/>
      <c r="T799" s="229"/>
      <c r="U799" s="229"/>
      <c r="V799" s="229"/>
      <c r="W799" s="229"/>
      <c r="X799" s="229"/>
      <c r="Y799" s="229"/>
      <c r="Z799" s="229"/>
      <c r="AA799" s="229"/>
      <c r="AB799" s="229"/>
      <c r="AC799" s="229"/>
    </row>
    <row r="800" spans="1:29" ht="12.75" customHeight="1">
      <c r="A800" s="229"/>
      <c r="B800" s="228"/>
      <c r="C800" s="228"/>
      <c r="D800" s="228"/>
      <c r="E800" s="228"/>
      <c r="F800" s="228"/>
      <c r="G800" s="228"/>
      <c r="H800" s="228"/>
      <c r="I800" s="228"/>
      <c r="J800" s="228"/>
      <c r="K800" s="228"/>
      <c r="L800" s="229"/>
      <c r="M800" s="229"/>
      <c r="N800" s="229"/>
      <c r="O800" s="229"/>
      <c r="P800" s="229"/>
      <c r="Q800" s="229"/>
      <c r="R800" s="229"/>
      <c r="S800" s="229"/>
      <c r="T800" s="229"/>
      <c r="U800" s="229"/>
      <c r="V800" s="229"/>
      <c r="W800" s="229"/>
      <c r="X800" s="229"/>
      <c r="Y800" s="229"/>
      <c r="Z800" s="229"/>
      <c r="AA800" s="229"/>
      <c r="AB800" s="229"/>
      <c r="AC800" s="229"/>
    </row>
    <row r="801" spans="1:29" ht="12.75" customHeight="1">
      <c r="A801" s="229"/>
      <c r="B801" s="228"/>
      <c r="C801" s="228"/>
      <c r="D801" s="228"/>
      <c r="E801" s="228"/>
      <c r="F801" s="228"/>
      <c r="G801" s="228"/>
      <c r="H801" s="228"/>
      <c r="I801" s="228"/>
      <c r="J801" s="228"/>
      <c r="K801" s="228"/>
      <c r="L801" s="229"/>
      <c r="M801" s="229"/>
      <c r="N801" s="229"/>
      <c r="O801" s="229"/>
      <c r="P801" s="229"/>
      <c r="Q801" s="229"/>
      <c r="R801" s="229"/>
      <c r="S801" s="229"/>
      <c r="T801" s="229"/>
      <c r="U801" s="229"/>
      <c r="V801" s="229"/>
      <c r="W801" s="229"/>
      <c r="X801" s="229"/>
      <c r="Y801" s="229"/>
      <c r="Z801" s="229"/>
      <c r="AA801" s="229"/>
      <c r="AB801" s="229"/>
      <c r="AC801" s="229"/>
    </row>
    <row r="802" spans="1:29" ht="12.75" customHeight="1">
      <c r="A802" s="229"/>
      <c r="B802" s="228"/>
      <c r="C802" s="228"/>
      <c r="D802" s="228"/>
      <c r="E802" s="228"/>
      <c r="F802" s="228"/>
      <c r="G802" s="228"/>
      <c r="H802" s="228"/>
      <c r="I802" s="228"/>
      <c r="J802" s="228"/>
      <c r="K802" s="228"/>
      <c r="L802" s="229"/>
      <c r="M802" s="229"/>
      <c r="N802" s="229"/>
      <c r="O802" s="229"/>
      <c r="P802" s="229"/>
      <c r="Q802" s="229"/>
      <c r="R802" s="229"/>
      <c r="S802" s="229"/>
      <c r="T802" s="229"/>
      <c r="U802" s="229"/>
      <c r="V802" s="229"/>
      <c r="W802" s="229"/>
      <c r="X802" s="229"/>
      <c r="Y802" s="229"/>
      <c r="Z802" s="229"/>
      <c r="AA802" s="229"/>
      <c r="AB802" s="229"/>
      <c r="AC802" s="229"/>
    </row>
    <row r="803" spans="1:29" ht="12.75" customHeight="1">
      <c r="A803" s="229"/>
      <c r="B803" s="228"/>
      <c r="C803" s="228"/>
      <c r="D803" s="228"/>
      <c r="E803" s="228"/>
      <c r="F803" s="228"/>
      <c r="G803" s="228"/>
      <c r="H803" s="228"/>
      <c r="I803" s="228"/>
      <c r="J803" s="228"/>
      <c r="K803" s="228"/>
      <c r="L803" s="229"/>
      <c r="M803" s="229"/>
      <c r="N803" s="229"/>
      <c r="O803" s="229"/>
      <c r="P803" s="229"/>
      <c r="Q803" s="229"/>
      <c r="R803" s="229"/>
      <c r="S803" s="229"/>
      <c r="T803" s="229"/>
      <c r="U803" s="229"/>
      <c r="V803" s="229"/>
      <c r="W803" s="229"/>
      <c r="X803" s="229"/>
      <c r="Y803" s="229"/>
      <c r="Z803" s="229"/>
      <c r="AA803" s="229"/>
      <c r="AB803" s="229"/>
      <c r="AC803" s="229"/>
    </row>
    <row r="804" spans="1:29" ht="12.75" customHeight="1">
      <c r="A804" s="229"/>
      <c r="B804" s="228"/>
      <c r="C804" s="228"/>
      <c r="D804" s="228"/>
      <c r="E804" s="228"/>
      <c r="F804" s="228"/>
      <c r="G804" s="228"/>
      <c r="H804" s="228"/>
      <c r="I804" s="228"/>
      <c r="J804" s="228"/>
      <c r="K804" s="228"/>
      <c r="L804" s="229"/>
      <c r="M804" s="229"/>
      <c r="N804" s="229"/>
      <c r="O804" s="229"/>
      <c r="P804" s="229"/>
      <c r="Q804" s="229"/>
      <c r="R804" s="229"/>
      <c r="S804" s="229"/>
      <c r="T804" s="229"/>
      <c r="U804" s="229"/>
      <c r="V804" s="229"/>
      <c r="W804" s="229"/>
      <c r="X804" s="229"/>
      <c r="Y804" s="229"/>
      <c r="Z804" s="229"/>
      <c r="AA804" s="229"/>
      <c r="AB804" s="229"/>
      <c r="AC804" s="229"/>
    </row>
    <row r="805" spans="1:29" ht="12.75" customHeight="1">
      <c r="A805" s="229"/>
      <c r="B805" s="228"/>
      <c r="C805" s="228"/>
      <c r="D805" s="228"/>
      <c r="E805" s="228"/>
      <c r="F805" s="228"/>
      <c r="G805" s="228"/>
      <c r="H805" s="228"/>
      <c r="I805" s="228"/>
      <c r="J805" s="228"/>
      <c r="K805" s="228"/>
      <c r="L805" s="229"/>
      <c r="M805" s="229"/>
      <c r="N805" s="229"/>
      <c r="O805" s="229"/>
      <c r="P805" s="229"/>
      <c r="Q805" s="229"/>
      <c r="R805" s="229"/>
      <c r="S805" s="229"/>
      <c r="T805" s="229"/>
      <c r="U805" s="229"/>
      <c r="V805" s="229"/>
      <c r="W805" s="229"/>
      <c r="X805" s="229"/>
      <c r="Y805" s="229"/>
      <c r="Z805" s="229"/>
      <c r="AA805" s="229"/>
      <c r="AB805" s="229"/>
      <c r="AC805" s="229"/>
    </row>
    <row r="806" spans="1:29" ht="12.75" customHeight="1">
      <c r="A806" s="229"/>
      <c r="B806" s="228"/>
      <c r="C806" s="228"/>
      <c r="D806" s="228"/>
      <c r="E806" s="228"/>
      <c r="F806" s="228"/>
      <c r="G806" s="228"/>
      <c r="H806" s="228"/>
      <c r="I806" s="228"/>
      <c r="J806" s="228"/>
      <c r="K806" s="228"/>
      <c r="L806" s="229"/>
      <c r="M806" s="229"/>
      <c r="N806" s="229"/>
      <c r="O806" s="229"/>
      <c r="P806" s="229"/>
      <c r="Q806" s="229"/>
      <c r="R806" s="229"/>
      <c r="S806" s="229"/>
      <c r="T806" s="229"/>
      <c r="U806" s="229"/>
      <c r="V806" s="229"/>
      <c r="W806" s="229"/>
      <c r="X806" s="229"/>
      <c r="Y806" s="229"/>
      <c r="Z806" s="229"/>
      <c r="AA806" s="229"/>
      <c r="AB806" s="229"/>
      <c r="AC806" s="229"/>
    </row>
    <row r="807" spans="1:29" ht="12.75" customHeight="1">
      <c r="A807" s="229"/>
      <c r="B807" s="228"/>
      <c r="C807" s="228"/>
      <c r="D807" s="228"/>
      <c r="E807" s="228"/>
      <c r="F807" s="228"/>
      <c r="G807" s="228"/>
      <c r="H807" s="228"/>
      <c r="I807" s="228"/>
      <c r="J807" s="228"/>
      <c r="K807" s="228"/>
      <c r="L807" s="229"/>
      <c r="M807" s="229"/>
      <c r="N807" s="229"/>
      <c r="O807" s="229"/>
      <c r="P807" s="229"/>
      <c r="Q807" s="229"/>
      <c r="R807" s="229"/>
      <c r="S807" s="229"/>
      <c r="T807" s="229"/>
      <c r="U807" s="229"/>
      <c r="V807" s="229"/>
      <c r="W807" s="229"/>
      <c r="X807" s="229"/>
      <c r="Y807" s="229"/>
      <c r="Z807" s="229"/>
      <c r="AA807" s="229"/>
      <c r="AB807" s="229"/>
      <c r="AC807" s="229"/>
    </row>
    <row r="808" spans="1:29" ht="12.75" customHeight="1">
      <c r="A808" s="229"/>
      <c r="B808" s="228"/>
      <c r="C808" s="228"/>
      <c r="D808" s="228"/>
      <c r="E808" s="228"/>
      <c r="F808" s="228"/>
      <c r="G808" s="228"/>
      <c r="H808" s="228"/>
      <c r="I808" s="228"/>
      <c r="J808" s="228"/>
      <c r="K808" s="228"/>
      <c r="L808" s="229"/>
      <c r="M808" s="229"/>
      <c r="N808" s="229"/>
      <c r="O808" s="229"/>
      <c r="P808" s="229"/>
      <c r="Q808" s="229"/>
      <c r="R808" s="229"/>
      <c r="S808" s="229"/>
      <c r="T808" s="229"/>
      <c r="U808" s="229"/>
      <c r="V808" s="229"/>
      <c r="W808" s="229"/>
      <c r="X808" s="229"/>
      <c r="Y808" s="229"/>
      <c r="Z808" s="229"/>
      <c r="AA808" s="229"/>
      <c r="AB808" s="229"/>
      <c r="AC808" s="229"/>
    </row>
    <row r="809" spans="1:29" ht="12.75" customHeight="1">
      <c r="A809" s="229"/>
      <c r="B809" s="228"/>
      <c r="C809" s="228"/>
      <c r="D809" s="228"/>
      <c r="E809" s="228"/>
      <c r="F809" s="228"/>
      <c r="G809" s="228"/>
      <c r="H809" s="228"/>
      <c r="I809" s="228"/>
      <c r="J809" s="228"/>
      <c r="K809" s="228"/>
      <c r="L809" s="229"/>
      <c r="M809" s="229"/>
      <c r="N809" s="229"/>
      <c r="O809" s="229"/>
      <c r="P809" s="229"/>
      <c r="Q809" s="229"/>
      <c r="R809" s="229"/>
      <c r="S809" s="229"/>
      <c r="T809" s="229"/>
      <c r="U809" s="229"/>
      <c r="V809" s="229"/>
      <c r="W809" s="229"/>
      <c r="X809" s="229"/>
      <c r="Y809" s="229"/>
      <c r="Z809" s="229"/>
      <c r="AA809" s="229"/>
      <c r="AB809" s="229"/>
      <c r="AC809" s="229"/>
    </row>
    <row r="810" spans="1:29" ht="12.75" customHeight="1">
      <c r="A810" s="229"/>
      <c r="B810" s="228"/>
      <c r="C810" s="228"/>
      <c r="D810" s="228"/>
      <c r="E810" s="228"/>
      <c r="F810" s="228"/>
      <c r="G810" s="228"/>
      <c r="H810" s="228"/>
      <c r="I810" s="228"/>
      <c r="J810" s="228"/>
      <c r="K810" s="228"/>
      <c r="L810" s="229"/>
      <c r="M810" s="229"/>
      <c r="N810" s="229"/>
      <c r="O810" s="229"/>
      <c r="P810" s="229"/>
      <c r="Q810" s="229"/>
      <c r="R810" s="229"/>
      <c r="S810" s="229"/>
      <c r="T810" s="229"/>
      <c r="U810" s="229"/>
      <c r="V810" s="229"/>
      <c r="W810" s="229"/>
      <c r="X810" s="229"/>
      <c r="Y810" s="229"/>
      <c r="Z810" s="229"/>
      <c r="AA810" s="229"/>
      <c r="AB810" s="229"/>
      <c r="AC810" s="229"/>
    </row>
    <row r="811" spans="1:29" ht="12.75" customHeight="1">
      <c r="A811" s="229"/>
      <c r="B811" s="228"/>
      <c r="C811" s="228"/>
      <c r="D811" s="228"/>
      <c r="E811" s="228"/>
      <c r="F811" s="228"/>
      <c r="G811" s="228"/>
      <c r="H811" s="228"/>
      <c r="I811" s="228"/>
      <c r="J811" s="228"/>
      <c r="K811" s="228"/>
      <c r="L811" s="229"/>
      <c r="M811" s="229"/>
      <c r="N811" s="229"/>
      <c r="O811" s="229"/>
      <c r="P811" s="229"/>
      <c r="Q811" s="229"/>
      <c r="R811" s="229"/>
      <c r="S811" s="229"/>
      <c r="T811" s="229"/>
      <c r="U811" s="229"/>
      <c r="V811" s="229"/>
      <c r="W811" s="229"/>
      <c r="X811" s="229"/>
      <c r="Y811" s="229"/>
      <c r="Z811" s="229"/>
      <c r="AA811" s="229"/>
      <c r="AB811" s="229"/>
      <c r="AC811" s="229"/>
    </row>
    <row r="812" spans="1:29" ht="12.75" customHeight="1">
      <c r="A812" s="229"/>
      <c r="B812" s="228"/>
      <c r="C812" s="228"/>
      <c r="D812" s="228"/>
      <c r="E812" s="228"/>
      <c r="F812" s="228"/>
      <c r="G812" s="228"/>
      <c r="H812" s="228"/>
      <c r="I812" s="228"/>
      <c r="J812" s="228"/>
      <c r="K812" s="228"/>
      <c r="L812" s="229"/>
      <c r="M812" s="229"/>
      <c r="N812" s="229"/>
      <c r="O812" s="229"/>
      <c r="P812" s="229"/>
      <c r="Q812" s="229"/>
      <c r="R812" s="229"/>
      <c r="S812" s="229"/>
      <c r="T812" s="229"/>
      <c r="U812" s="229"/>
      <c r="V812" s="229"/>
      <c r="W812" s="229"/>
      <c r="X812" s="229"/>
      <c r="Y812" s="229"/>
      <c r="Z812" s="229"/>
      <c r="AA812" s="229"/>
      <c r="AB812" s="229"/>
      <c r="AC812" s="229"/>
    </row>
    <row r="813" spans="1:29" ht="12.75" customHeight="1">
      <c r="A813" s="229"/>
      <c r="B813" s="228"/>
      <c r="C813" s="228"/>
      <c r="D813" s="228"/>
      <c r="E813" s="228"/>
      <c r="F813" s="228"/>
      <c r="G813" s="228"/>
      <c r="H813" s="228"/>
      <c r="I813" s="228"/>
      <c r="J813" s="228"/>
      <c r="K813" s="228"/>
      <c r="L813" s="229"/>
      <c r="M813" s="229"/>
      <c r="N813" s="229"/>
      <c r="O813" s="229"/>
      <c r="P813" s="229"/>
      <c r="Q813" s="229"/>
      <c r="R813" s="229"/>
      <c r="S813" s="229"/>
      <c r="T813" s="229"/>
      <c r="U813" s="229"/>
      <c r="V813" s="229"/>
      <c r="W813" s="229"/>
      <c r="X813" s="229"/>
      <c r="Y813" s="229"/>
      <c r="Z813" s="229"/>
      <c r="AA813" s="229"/>
      <c r="AB813" s="229"/>
      <c r="AC813" s="229"/>
    </row>
    <row r="814" spans="1:29" ht="12.75" customHeight="1">
      <c r="A814" s="229"/>
      <c r="B814" s="228"/>
      <c r="C814" s="228"/>
      <c r="D814" s="228"/>
      <c r="E814" s="228"/>
      <c r="F814" s="228"/>
      <c r="G814" s="228"/>
      <c r="H814" s="228"/>
      <c r="I814" s="228"/>
      <c r="J814" s="228"/>
      <c r="K814" s="228"/>
      <c r="L814" s="229"/>
      <c r="M814" s="229"/>
      <c r="N814" s="229"/>
      <c r="O814" s="229"/>
      <c r="P814" s="229"/>
      <c r="Q814" s="229"/>
      <c r="R814" s="229"/>
      <c r="S814" s="229"/>
      <c r="T814" s="229"/>
      <c r="U814" s="229"/>
      <c r="V814" s="229"/>
      <c r="W814" s="229"/>
      <c r="X814" s="229"/>
      <c r="Y814" s="229"/>
      <c r="Z814" s="229"/>
      <c r="AA814" s="229"/>
      <c r="AB814" s="229"/>
      <c r="AC814" s="229"/>
    </row>
    <row r="815" spans="1:29" ht="12.75" customHeight="1">
      <c r="A815" s="229"/>
      <c r="B815" s="228"/>
      <c r="C815" s="228"/>
      <c r="D815" s="228"/>
      <c r="E815" s="228"/>
      <c r="F815" s="228"/>
      <c r="G815" s="228"/>
      <c r="H815" s="228"/>
      <c r="I815" s="228"/>
      <c r="J815" s="228"/>
      <c r="K815" s="228"/>
      <c r="L815" s="229"/>
      <c r="M815" s="229"/>
      <c r="N815" s="229"/>
      <c r="O815" s="229"/>
      <c r="P815" s="229"/>
      <c r="Q815" s="229"/>
      <c r="R815" s="229"/>
      <c r="S815" s="229"/>
      <c r="T815" s="229"/>
      <c r="U815" s="229"/>
      <c r="V815" s="229"/>
      <c r="W815" s="229"/>
      <c r="X815" s="229"/>
      <c r="Y815" s="229"/>
      <c r="Z815" s="229"/>
      <c r="AA815" s="229"/>
      <c r="AB815" s="229"/>
      <c r="AC815" s="229"/>
    </row>
    <row r="816" spans="1:29" ht="12.75" customHeight="1">
      <c r="A816" s="229"/>
      <c r="B816" s="228"/>
      <c r="C816" s="228"/>
      <c r="D816" s="228"/>
      <c r="E816" s="228"/>
      <c r="F816" s="228"/>
      <c r="G816" s="228"/>
      <c r="H816" s="228"/>
      <c r="I816" s="228"/>
      <c r="J816" s="228"/>
      <c r="K816" s="228"/>
      <c r="L816" s="229"/>
      <c r="M816" s="229"/>
      <c r="N816" s="229"/>
      <c r="O816" s="229"/>
      <c r="P816" s="229"/>
      <c r="Q816" s="229"/>
      <c r="R816" s="229"/>
      <c r="S816" s="229"/>
      <c r="T816" s="229"/>
      <c r="U816" s="229"/>
      <c r="V816" s="229"/>
      <c r="W816" s="229"/>
      <c r="X816" s="229"/>
      <c r="Y816" s="229"/>
      <c r="Z816" s="229"/>
      <c r="AA816" s="229"/>
      <c r="AB816" s="229"/>
      <c r="AC816" s="229"/>
    </row>
    <row r="817" spans="1:29" ht="12.75" customHeight="1">
      <c r="A817" s="229"/>
      <c r="B817" s="228"/>
      <c r="C817" s="228"/>
      <c r="D817" s="228"/>
      <c r="E817" s="228"/>
      <c r="F817" s="228"/>
      <c r="G817" s="228"/>
      <c r="H817" s="228"/>
      <c r="I817" s="228"/>
      <c r="J817" s="228"/>
      <c r="K817" s="228"/>
      <c r="L817" s="229"/>
      <c r="M817" s="229"/>
      <c r="N817" s="229"/>
      <c r="O817" s="229"/>
      <c r="P817" s="229"/>
      <c r="Q817" s="229"/>
      <c r="R817" s="229"/>
      <c r="S817" s="229"/>
      <c r="T817" s="229"/>
      <c r="U817" s="229"/>
      <c r="V817" s="229"/>
      <c r="W817" s="229"/>
      <c r="X817" s="229"/>
      <c r="Y817" s="229"/>
      <c r="Z817" s="229"/>
      <c r="AA817" s="229"/>
      <c r="AB817" s="229"/>
      <c r="AC817" s="229"/>
    </row>
    <row r="818" spans="1:29" ht="12.75" customHeight="1">
      <c r="A818" s="229"/>
      <c r="B818" s="228"/>
      <c r="C818" s="228"/>
      <c r="D818" s="228"/>
      <c r="E818" s="228"/>
      <c r="F818" s="228"/>
      <c r="G818" s="228"/>
      <c r="H818" s="228"/>
      <c r="I818" s="228"/>
      <c r="J818" s="228"/>
      <c r="K818" s="228"/>
      <c r="L818" s="229"/>
      <c r="M818" s="229"/>
      <c r="N818" s="229"/>
      <c r="O818" s="229"/>
      <c r="P818" s="229"/>
      <c r="Q818" s="229"/>
      <c r="R818" s="229"/>
      <c r="S818" s="229"/>
      <c r="T818" s="229"/>
      <c r="U818" s="229"/>
      <c r="V818" s="229"/>
      <c r="W818" s="229"/>
      <c r="X818" s="229"/>
      <c r="Y818" s="229"/>
      <c r="Z818" s="229"/>
      <c r="AA818" s="229"/>
      <c r="AB818" s="229"/>
      <c r="AC818" s="229"/>
    </row>
    <row r="819" spans="1:29" ht="12.75" customHeight="1">
      <c r="A819" s="229"/>
      <c r="B819" s="228"/>
      <c r="C819" s="228"/>
      <c r="D819" s="228"/>
      <c r="E819" s="228"/>
      <c r="F819" s="228"/>
      <c r="G819" s="228"/>
      <c r="H819" s="228"/>
      <c r="I819" s="228"/>
      <c r="J819" s="228"/>
      <c r="K819" s="228"/>
      <c r="L819" s="229"/>
      <c r="M819" s="229"/>
      <c r="N819" s="229"/>
      <c r="O819" s="229"/>
      <c r="P819" s="229"/>
      <c r="Q819" s="229"/>
      <c r="R819" s="229"/>
      <c r="S819" s="229"/>
      <c r="T819" s="229"/>
      <c r="U819" s="229"/>
      <c r="V819" s="229"/>
      <c r="W819" s="229"/>
      <c r="X819" s="229"/>
      <c r="Y819" s="229"/>
      <c r="Z819" s="229"/>
      <c r="AA819" s="229"/>
      <c r="AB819" s="229"/>
      <c r="AC819" s="229"/>
    </row>
    <row r="820" spans="1:29" ht="12.75" customHeight="1">
      <c r="A820" s="229"/>
      <c r="B820" s="228"/>
      <c r="C820" s="228"/>
      <c r="D820" s="228"/>
      <c r="E820" s="228"/>
      <c r="F820" s="228"/>
      <c r="G820" s="228"/>
      <c r="H820" s="228"/>
      <c r="I820" s="228"/>
      <c r="J820" s="228"/>
      <c r="K820" s="228"/>
      <c r="L820" s="229"/>
      <c r="M820" s="229"/>
      <c r="N820" s="229"/>
      <c r="O820" s="229"/>
      <c r="P820" s="229"/>
      <c r="Q820" s="229"/>
      <c r="R820" s="229"/>
      <c r="S820" s="229"/>
      <c r="T820" s="229"/>
      <c r="U820" s="229"/>
      <c r="V820" s="229"/>
      <c r="W820" s="229"/>
      <c r="X820" s="229"/>
      <c r="Y820" s="229"/>
      <c r="Z820" s="229"/>
      <c r="AA820" s="229"/>
      <c r="AB820" s="229"/>
      <c r="AC820" s="229"/>
    </row>
    <row r="821" spans="1:29" ht="12.75" customHeight="1">
      <c r="A821" s="229"/>
      <c r="B821" s="228"/>
      <c r="C821" s="228"/>
      <c r="D821" s="228"/>
      <c r="E821" s="228"/>
      <c r="F821" s="228"/>
      <c r="G821" s="228"/>
      <c r="H821" s="228"/>
      <c r="I821" s="228"/>
      <c r="J821" s="228"/>
      <c r="K821" s="228"/>
      <c r="L821" s="229"/>
      <c r="M821" s="229"/>
      <c r="N821" s="229"/>
      <c r="O821" s="229"/>
      <c r="P821" s="229"/>
      <c r="Q821" s="229"/>
      <c r="R821" s="229"/>
      <c r="S821" s="229"/>
      <c r="T821" s="229"/>
      <c r="U821" s="229"/>
      <c r="V821" s="229"/>
      <c r="W821" s="229"/>
      <c r="X821" s="229"/>
      <c r="Y821" s="229"/>
      <c r="Z821" s="229"/>
      <c r="AA821" s="229"/>
      <c r="AB821" s="229"/>
      <c r="AC821" s="229"/>
    </row>
    <row r="822" spans="1:29" ht="12.75" customHeight="1">
      <c r="A822" s="229"/>
      <c r="B822" s="228"/>
      <c r="C822" s="228"/>
      <c r="D822" s="228"/>
      <c r="E822" s="228"/>
      <c r="F822" s="228"/>
      <c r="G822" s="228"/>
      <c r="H822" s="228"/>
      <c r="I822" s="228"/>
      <c r="J822" s="228"/>
      <c r="K822" s="228"/>
      <c r="L822" s="229"/>
      <c r="M822" s="229"/>
      <c r="N822" s="229"/>
      <c r="O822" s="229"/>
      <c r="P822" s="229"/>
      <c r="Q822" s="229"/>
      <c r="R822" s="229"/>
      <c r="S822" s="229"/>
      <c r="T822" s="229"/>
      <c r="U822" s="229"/>
      <c r="V822" s="229"/>
      <c r="W822" s="229"/>
      <c r="X822" s="229"/>
      <c r="Y822" s="229"/>
      <c r="Z822" s="229"/>
      <c r="AA822" s="229"/>
      <c r="AB822" s="229"/>
      <c r="AC822" s="229"/>
    </row>
    <row r="823" spans="1:29" ht="12.75" customHeight="1">
      <c r="A823" s="229"/>
      <c r="B823" s="228"/>
      <c r="C823" s="228"/>
      <c r="D823" s="228"/>
      <c r="E823" s="228"/>
      <c r="F823" s="228"/>
      <c r="G823" s="228"/>
      <c r="H823" s="228"/>
      <c r="I823" s="228"/>
      <c r="J823" s="228"/>
      <c r="K823" s="228"/>
      <c r="L823" s="229"/>
      <c r="M823" s="229"/>
      <c r="N823" s="229"/>
      <c r="O823" s="229"/>
      <c r="P823" s="229"/>
      <c r="Q823" s="229"/>
      <c r="R823" s="229"/>
      <c r="S823" s="229"/>
      <c r="T823" s="229"/>
      <c r="U823" s="229"/>
      <c r="V823" s="229"/>
      <c r="W823" s="229"/>
      <c r="X823" s="229"/>
      <c r="Y823" s="229"/>
      <c r="Z823" s="229"/>
      <c r="AA823" s="229"/>
      <c r="AB823" s="229"/>
      <c r="AC823" s="229"/>
    </row>
    <row r="824" spans="1:29" ht="12.75" customHeight="1">
      <c r="A824" s="229"/>
      <c r="B824" s="228"/>
      <c r="C824" s="228"/>
      <c r="D824" s="228"/>
      <c r="E824" s="228"/>
      <c r="F824" s="228"/>
      <c r="G824" s="228"/>
      <c r="H824" s="228"/>
      <c r="I824" s="228"/>
      <c r="J824" s="228"/>
      <c r="K824" s="228"/>
      <c r="L824" s="229"/>
      <c r="M824" s="229"/>
      <c r="N824" s="229"/>
      <c r="O824" s="229"/>
      <c r="P824" s="229"/>
      <c r="Q824" s="229"/>
      <c r="R824" s="229"/>
      <c r="S824" s="229"/>
      <c r="T824" s="229"/>
      <c r="U824" s="229"/>
      <c r="V824" s="229"/>
      <c r="W824" s="229"/>
      <c r="X824" s="229"/>
      <c r="Y824" s="229"/>
      <c r="Z824" s="229"/>
      <c r="AA824" s="229"/>
      <c r="AB824" s="229"/>
      <c r="AC824" s="229"/>
    </row>
    <row r="825" spans="1:29" ht="12.75" customHeight="1">
      <c r="A825" s="229"/>
      <c r="B825" s="228"/>
      <c r="C825" s="228"/>
      <c r="D825" s="228"/>
      <c r="E825" s="228"/>
      <c r="F825" s="228"/>
      <c r="G825" s="228"/>
      <c r="H825" s="228"/>
      <c r="I825" s="228"/>
      <c r="J825" s="228"/>
      <c r="K825" s="228"/>
      <c r="L825" s="229"/>
      <c r="M825" s="229"/>
      <c r="N825" s="229"/>
      <c r="O825" s="229"/>
      <c r="P825" s="229"/>
      <c r="Q825" s="229"/>
      <c r="R825" s="229"/>
      <c r="S825" s="229"/>
      <c r="T825" s="229"/>
      <c r="U825" s="229"/>
      <c r="V825" s="229"/>
      <c r="W825" s="229"/>
      <c r="X825" s="229"/>
      <c r="Y825" s="229"/>
      <c r="Z825" s="229"/>
      <c r="AA825" s="229"/>
      <c r="AB825" s="229"/>
      <c r="AC825" s="229"/>
    </row>
    <row r="826" spans="1:29" ht="12.75" customHeight="1">
      <c r="A826" s="229"/>
      <c r="B826" s="228"/>
      <c r="C826" s="228"/>
      <c r="D826" s="228"/>
      <c r="E826" s="228"/>
      <c r="F826" s="228"/>
      <c r="G826" s="228"/>
      <c r="H826" s="228"/>
      <c r="I826" s="228"/>
      <c r="J826" s="228"/>
      <c r="K826" s="228"/>
      <c r="L826" s="229"/>
      <c r="M826" s="229"/>
      <c r="N826" s="229"/>
      <c r="O826" s="229"/>
      <c r="P826" s="229"/>
      <c r="Q826" s="229"/>
      <c r="R826" s="229"/>
      <c r="S826" s="229"/>
      <c r="T826" s="229"/>
      <c r="U826" s="229"/>
      <c r="V826" s="229"/>
      <c r="W826" s="229"/>
      <c r="X826" s="229"/>
      <c r="Y826" s="229"/>
      <c r="Z826" s="229"/>
      <c r="AA826" s="229"/>
      <c r="AB826" s="229"/>
      <c r="AC826" s="229"/>
    </row>
    <row r="827" spans="1:29" ht="12.75" customHeight="1">
      <c r="A827" s="229"/>
      <c r="B827" s="228"/>
      <c r="C827" s="228"/>
      <c r="D827" s="228"/>
      <c r="E827" s="228"/>
      <c r="F827" s="228"/>
      <c r="G827" s="228"/>
      <c r="H827" s="228"/>
      <c r="I827" s="228"/>
      <c r="J827" s="228"/>
      <c r="K827" s="228"/>
      <c r="L827" s="229"/>
      <c r="M827" s="229"/>
      <c r="N827" s="229"/>
      <c r="O827" s="229"/>
      <c r="P827" s="229"/>
      <c r="Q827" s="229"/>
      <c r="R827" s="229"/>
      <c r="S827" s="229"/>
      <c r="T827" s="229"/>
      <c r="U827" s="229"/>
      <c r="V827" s="229"/>
      <c r="W827" s="229"/>
      <c r="X827" s="229"/>
      <c r="Y827" s="229"/>
      <c r="Z827" s="229"/>
      <c r="AA827" s="229"/>
      <c r="AB827" s="229"/>
      <c r="AC827" s="229"/>
    </row>
    <row r="828" spans="1:29" ht="12.75" customHeight="1">
      <c r="A828" s="229"/>
      <c r="B828" s="228"/>
      <c r="C828" s="228"/>
      <c r="D828" s="228"/>
      <c r="E828" s="228"/>
      <c r="F828" s="228"/>
      <c r="G828" s="228"/>
      <c r="H828" s="228"/>
      <c r="I828" s="228"/>
      <c r="J828" s="228"/>
      <c r="K828" s="228"/>
      <c r="L828" s="229"/>
      <c r="M828" s="229"/>
      <c r="N828" s="229"/>
      <c r="O828" s="229"/>
      <c r="P828" s="229"/>
      <c r="Q828" s="229"/>
      <c r="R828" s="229"/>
      <c r="S828" s="229"/>
      <c r="T828" s="229"/>
      <c r="U828" s="229"/>
      <c r="V828" s="229"/>
      <c r="W828" s="229"/>
      <c r="X828" s="229"/>
      <c r="Y828" s="229"/>
      <c r="Z828" s="229"/>
      <c r="AA828" s="229"/>
      <c r="AB828" s="229"/>
      <c r="AC828" s="229"/>
    </row>
    <row r="829" spans="1:29" ht="12.75" customHeight="1">
      <c r="A829" s="229"/>
      <c r="B829" s="228"/>
      <c r="C829" s="228"/>
      <c r="D829" s="228"/>
      <c r="E829" s="228"/>
      <c r="F829" s="228"/>
      <c r="G829" s="228"/>
      <c r="H829" s="228"/>
      <c r="I829" s="228"/>
      <c r="J829" s="228"/>
      <c r="K829" s="228"/>
      <c r="L829" s="229"/>
      <c r="M829" s="229"/>
      <c r="N829" s="229"/>
      <c r="O829" s="229"/>
      <c r="P829" s="229"/>
      <c r="Q829" s="229"/>
      <c r="R829" s="229"/>
      <c r="S829" s="229"/>
      <c r="T829" s="229"/>
      <c r="U829" s="229"/>
      <c r="V829" s="229"/>
      <c r="W829" s="229"/>
      <c r="X829" s="229"/>
      <c r="Y829" s="229"/>
      <c r="Z829" s="229"/>
      <c r="AA829" s="229"/>
      <c r="AB829" s="229"/>
      <c r="AC829" s="229"/>
    </row>
    <row r="830" spans="1:29" ht="12.75" customHeight="1">
      <c r="A830" s="229"/>
      <c r="B830" s="228"/>
      <c r="C830" s="228"/>
      <c r="D830" s="228"/>
      <c r="E830" s="228"/>
      <c r="F830" s="228"/>
      <c r="G830" s="228"/>
      <c r="H830" s="228"/>
      <c r="I830" s="228"/>
      <c r="J830" s="228"/>
      <c r="K830" s="228"/>
      <c r="L830" s="229"/>
      <c r="M830" s="229"/>
      <c r="N830" s="229"/>
      <c r="O830" s="229"/>
      <c r="P830" s="229"/>
      <c r="Q830" s="229"/>
      <c r="R830" s="229"/>
      <c r="S830" s="229"/>
      <c r="T830" s="229"/>
      <c r="U830" s="229"/>
      <c r="V830" s="229"/>
      <c r="W830" s="229"/>
      <c r="X830" s="229"/>
      <c r="Y830" s="229"/>
      <c r="Z830" s="229"/>
      <c r="AA830" s="229"/>
      <c r="AB830" s="229"/>
      <c r="AC830" s="229"/>
    </row>
    <row r="831" spans="1:29" ht="12.75" customHeight="1">
      <c r="A831" s="229"/>
      <c r="B831" s="228"/>
      <c r="C831" s="228"/>
      <c r="D831" s="228"/>
      <c r="E831" s="228"/>
      <c r="F831" s="228"/>
      <c r="G831" s="228"/>
      <c r="H831" s="228"/>
      <c r="I831" s="228"/>
      <c r="J831" s="228"/>
      <c r="K831" s="228"/>
      <c r="L831" s="229"/>
      <c r="M831" s="229"/>
      <c r="N831" s="229"/>
      <c r="O831" s="229"/>
      <c r="P831" s="229"/>
      <c r="Q831" s="229"/>
      <c r="R831" s="229"/>
      <c r="S831" s="229"/>
      <c r="T831" s="229"/>
      <c r="U831" s="229"/>
      <c r="V831" s="229"/>
      <c r="W831" s="229"/>
      <c r="X831" s="229"/>
      <c r="Y831" s="229"/>
      <c r="Z831" s="229"/>
      <c r="AA831" s="229"/>
      <c r="AB831" s="229"/>
      <c r="AC831" s="229"/>
    </row>
    <row r="832" spans="1:29" ht="12.75" customHeight="1">
      <c r="A832" s="229"/>
      <c r="B832" s="228"/>
      <c r="C832" s="228"/>
      <c r="D832" s="228"/>
      <c r="E832" s="228"/>
      <c r="F832" s="228"/>
      <c r="G832" s="228"/>
      <c r="H832" s="228"/>
      <c r="I832" s="228"/>
      <c r="J832" s="228"/>
      <c r="K832" s="228"/>
      <c r="L832" s="229"/>
      <c r="M832" s="229"/>
      <c r="N832" s="229"/>
      <c r="O832" s="229"/>
      <c r="P832" s="229"/>
      <c r="Q832" s="229"/>
      <c r="R832" s="229"/>
      <c r="S832" s="229"/>
      <c r="T832" s="229"/>
      <c r="U832" s="229"/>
      <c r="V832" s="229"/>
      <c r="W832" s="229"/>
      <c r="X832" s="229"/>
      <c r="Y832" s="229"/>
      <c r="Z832" s="229"/>
      <c r="AA832" s="229"/>
      <c r="AB832" s="229"/>
      <c r="AC832" s="229"/>
    </row>
    <row r="833" spans="1:29" ht="12.75" customHeight="1">
      <c r="A833" s="229"/>
      <c r="B833" s="228"/>
      <c r="C833" s="228"/>
      <c r="D833" s="228"/>
      <c r="E833" s="228"/>
      <c r="F833" s="228"/>
      <c r="G833" s="228"/>
      <c r="H833" s="228"/>
      <c r="I833" s="228"/>
      <c r="J833" s="228"/>
      <c r="K833" s="228"/>
      <c r="L833" s="229"/>
      <c r="M833" s="229"/>
      <c r="N833" s="229"/>
      <c r="O833" s="229"/>
      <c r="P833" s="229"/>
      <c r="Q833" s="229"/>
      <c r="R833" s="229"/>
      <c r="S833" s="229"/>
      <c r="T833" s="229"/>
      <c r="U833" s="229"/>
      <c r="V833" s="229"/>
      <c r="W833" s="229"/>
      <c r="X833" s="229"/>
      <c r="Y833" s="229"/>
      <c r="Z833" s="229"/>
      <c r="AA833" s="229"/>
      <c r="AB833" s="229"/>
      <c r="AC833" s="229"/>
    </row>
    <row r="834" spans="1:29" ht="12.75" customHeight="1">
      <c r="A834" s="229"/>
      <c r="B834" s="228"/>
      <c r="C834" s="228"/>
      <c r="D834" s="228"/>
      <c r="E834" s="228"/>
      <c r="F834" s="228"/>
      <c r="G834" s="228"/>
      <c r="H834" s="228"/>
      <c r="I834" s="228"/>
      <c r="J834" s="228"/>
      <c r="K834" s="228"/>
      <c r="L834" s="229"/>
      <c r="M834" s="229"/>
      <c r="N834" s="229"/>
      <c r="O834" s="229"/>
      <c r="P834" s="229"/>
      <c r="Q834" s="229"/>
      <c r="R834" s="229"/>
      <c r="S834" s="229"/>
      <c r="T834" s="229"/>
      <c r="U834" s="229"/>
      <c r="V834" s="229"/>
      <c r="W834" s="229"/>
      <c r="X834" s="229"/>
      <c r="Y834" s="229"/>
      <c r="Z834" s="229"/>
      <c r="AA834" s="229"/>
      <c r="AB834" s="229"/>
      <c r="AC834" s="229"/>
    </row>
    <row r="835" spans="1:29" ht="12.75" customHeight="1">
      <c r="A835" s="229"/>
      <c r="B835" s="228"/>
      <c r="C835" s="228"/>
      <c r="D835" s="228"/>
      <c r="E835" s="228"/>
      <c r="F835" s="228"/>
      <c r="G835" s="228"/>
      <c r="H835" s="228"/>
      <c r="I835" s="228"/>
      <c r="J835" s="228"/>
      <c r="K835" s="228"/>
      <c r="L835" s="229"/>
      <c r="M835" s="229"/>
      <c r="N835" s="229"/>
      <c r="O835" s="229"/>
      <c r="P835" s="229"/>
      <c r="Q835" s="229"/>
      <c r="R835" s="229"/>
      <c r="S835" s="229"/>
      <c r="T835" s="229"/>
      <c r="U835" s="229"/>
      <c r="V835" s="229"/>
      <c r="W835" s="229"/>
      <c r="X835" s="229"/>
      <c r="Y835" s="229"/>
      <c r="Z835" s="229"/>
      <c r="AA835" s="229"/>
      <c r="AB835" s="229"/>
      <c r="AC835" s="229"/>
    </row>
    <row r="836" spans="1:29" ht="12.75" customHeight="1">
      <c r="A836" s="229"/>
      <c r="B836" s="228"/>
      <c r="C836" s="228"/>
      <c r="D836" s="228"/>
      <c r="E836" s="228"/>
      <c r="F836" s="228"/>
      <c r="G836" s="228"/>
      <c r="H836" s="228"/>
      <c r="I836" s="228"/>
      <c r="J836" s="228"/>
      <c r="K836" s="228"/>
      <c r="L836" s="229"/>
      <c r="M836" s="229"/>
      <c r="N836" s="229"/>
      <c r="O836" s="229"/>
      <c r="P836" s="229"/>
      <c r="Q836" s="229"/>
      <c r="R836" s="229"/>
      <c r="S836" s="229"/>
      <c r="T836" s="229"/>
      <c r="U836" s="229"/>
      <c r="V836" s="229"/>
      <c r="W836" s="229"/>
      <c r="X836" s="229"/>
      <c r="Y836" s="229"/>
      <c r="Z836" s="229"/>
      <c r="AA836" s="229"/>
      <c r="AB836" s="229"/>
      <c r="AC836" s="229"/>
    </row>
    <row r="837" spans="1:29" ht="12.75" customHeight="1">
      <c r="A837" s="229"/>
      <c r="B837" s="228"/>
      <c r="C837" s="228"/>
      <c r="D837" s="228"/>
      <c r="E837" s="228"/>
      <c r="F837" s="228"/>
      <c r="G837" s="228"/>
      <c r="H837" s="228"/>
      <c r="I837" s="228"/>
      <c r="J837" s="228"/>
      <c r="K837" s="228"/>
      <c r="L837" s="229"/>
      <c r="M837" s="229"/>
      <c r="N837" s="229"/>
      <c r="O837" s="229"/>
      <c r="P837" s="229"/>
      <c r="Q837" s="229"/>
      <c r="R837" s="229"/>
      <c r="S837" s="229"/>
      <c r="T837" s="229"/>
      <c r="U837" s="229"/>
      <c r="V837" s="229"/>
      <c r="W837" s="229"/>
      <c r="X837" s="229"/>
      <c r="Y837" s="229"/>
      <c r="Z837" s="229"/>
      <c r="AA837" s="229"/>
      <c r="AB837" s="229"/>
      <c r="AC837" s="229"/>
    </row>
    <row r="838" spans="1:29" ht="12.75" customHeight="1">
      <c r="A838" s="229"/>
      <c r="B838" s="228"/>
      <c r="C838" s="228"/>
      <c r="D838" s="228"/>
      <c r="E838" s="228"/>
      <c r="F838" s="228"/>
      <c r="G838" s="228"/>
      <c r="H838" s="228"/>
      <c r="I838" s="228"/>
      <c r="J838" s="228"/>
      <c r="K838" s="228"/>
      <c r="L838" s="229"/>
      <c r="M838" s="229"/>
      <c r="N838" s="229"/>
      <c r="O838" s="229"/>
      <c r="P838" s="229"/>
      <c r="Q838" s="229"/>
      <c r="R838" s="229"/>
      <c r="S838" s="229"/>
      <c r="T838" s="229"/>
      <c r="U838" s="229"/>
      <c r="V838" s="229"/>
      <c r="W838" s="229"/>
      <c r="X838" s="229"/>
      <c r="Y838" s="229"/>
      <c r="Z838" s="229"/>
      <c r="AA838" s="229"/>
      <c r="AB838" s="229"/>
      <c r="AC838" s="229"/>
    </row>
    <row r="839" spans="1:29" ht="12.75" customHeight="1">
      <c r="A839" s="229"/>
      <c r="B839" s="228"/>
      <c r="C839" s="228"/>
      <c r="D839" s="228"/>
      <c r="E839" s="228"/>
      <c r="F839" s="228"/>
      <c r="G839" s="228"/>
      <c r="H839" s="228"/>
      <c r="I839" s="228"/>
      <c r="J839" s="228"/>
      <c r="K839" s="228"/>
      <c r="L839" s="229"/>
      <c r="M839" s="229"/>
      <c r="N839" s="229"/>
      <c r="O839" s="229"/>
      <c r="P839" s="229"/>
      <c r="Q839" s="229"/>
      <c r="R839" s="229"/>
      <c r="S839" s="229"/>
      <c r="T839" s="229"/>
      <c r="U839" s="229"/>
      <c r="V839" s="229"/>
      <c r="W839" s="229"/>
      <c r="X839" s="229"/>
      <c r="Y839" s="229"/>
      <c r="Z839" s="229"/>
      <c r="AA839" s="229"/>
      <c r="AB839" s="229"/>
      <c r="AC839" s="229"/>
    </row>
    <row r="840" spans="1:29" ht="12.75" customHeight="1">
      <c r="A840" s="229"/>
      <c r="B840" s="228"/>
      <c r="C840" s="228"/>
      <c r="D840" s="228"/>
      <c r="E840" s="228"/>
      <c r="F840" s="228"/>
      <c r="G840" s="228"/>
      <c r="H840" s="228"/>
      <c r="I840" s="228"/>
      <c r="J840" s="228"/>
      <c r="K840" s="228"/>
      <c r="L840" s="229"/>
      <c r="M840" s="229"/>
      <c r="N840" s="229"/>
      <c r="O840" s="229"/>
      <c r="P840" s="229"/>
      <c r="Q840" s="229"/>
      <c r="R840" s="229"/>
      <c r="S840" s="229"/>
      <c r="T840" s="229"/>
      <c r="U840" s="229"/>
      <c r="V840" s="229"/>
      <c r="W840" s="229"/>
      <c r="X840" s="229"/>
      <c r="Y840" s="229"/>
      <c r="Z840" s="229"/>
      <c r="AA840" s="229"/>
      <c r="AB840" s="229"/>
      <c r="AC840" s="229"/>
    </row>
    <row r="841" spans="1:29" ht="12.75" customHeight="1">
      <c r="A841" s="229"/>
      <c r="B841" s="228"/>
      <c r="C841" s="228"/>
      <c r="D841" s="228"/>
      <c r="E841" s="228"/>
      <c r="F841" s="228"/>
      <c r="G841" s="228"/>
      <c r="H841" s="228"/>
      <c r="I841" s="228"/>
      <c r="J841" s="228"/>
      <c r="K841" s="228"/>
      <c r="L841" s="229"/>
      <c r="M841" s="229"/>
      <c r="N841" s="229"/>
      <c r="O841" s="229"/>
      <c r="P841" s="229"/>
      <c r="Q841" s="229"/>
      <c r="R841" s="229"/>
      <c r="S841" s="229"/>
      <c r="T841" s="229"/>
      <c r="U841" s="229"/>
      <c r="V841" s="229"/>
      <c r="W841" s="229"/>
      <c r="X841" s="229"/>
      <c r="Y841" s="229"/>
      <c r="Z841" s="229"/>
      <c r="AA841" s="229"/>
      <c r="AB841" s="229"/>
      <c r="AC841" s="229"/>
    </row>
    <row r="842" spans="1:29" ht="12.75" customHeight="1">
      <c r="A842" s="229"/>
      <c r="B842" s="228"/>
      <c r="C842" s="228"/>
      <c r="D842" s="228"/>
      <c r="E842" s="228"/>
      <c r="F842" s="228"/>
      <c r="G842" s="228"/>
      <c r="H842" s="228"/>
      <c r="I842" s="228"/>
      <c r="J842" s="228"/>
      <c r="K842" s="228"/>
      <c r="L842" s="229"/>
      <c r="M842" s="229"/>
      <c r="N842" s="229"/>
      <c r="O842" s="229"/>
      <c r="P842" s="229"/>
      <c r="Q842" s="229"/>
      <c r="R842" s="229"/>
      <c r="S842" s="229"/>
      <c r="T842" s="229"/>
      <c r="U842" s="229"/>
      <c r="V842" s="229"/>
      <c r="W842" s="229"/>
      <c r="X842" s="229"/>
      <c r="Y842" s="229"/>
      <c r="Z842" s="229"/>
      <c r="AA842" s="229"/>
      <c r="AB842" s="229"/>
      <c r="AC842" s="229"/>
    </row>
    <row r="843" spans="1:29" ht="12.75" customHeight="1">
      <c r="A843" s="229"/>
      <c r="B843" s="228"/>
      <c r="C843" s="228"/>
      <c r="D843" s="228"/>
      <c r="E843" s="228"/>
      <c r="F843" s="228"/>
      <c r="G843" s="228"/>
      <c r="H843" s="228"/>
      <c r="I843" s="228"/>
      <c r="J843" s="228"/>
      <c r="K843" s="228"/>
      <c r="L843" s="229"/>
      <c r="M843" s="229"/>
      <c r="N843" s="229"/>
      <c r="O843" s="229"/>
      <c r="P843" s="229"/>
      <c r="Q843" s="229"/>
      <c r="R843" s="229"/>
      <c r="S843" s="229"/>
      <c r="T843" s="229"/>
      <c r="U843" s="229"/>
      <c r="V843" s="229"/>
      <c r="W843" s="229"/>
      <c r="X843" s="229"/>
      <c r="Y843" s="229"/>
      <c r="Z843" s="229"/>
      <c r="AA843" s="229"/>
      <c r="AB843" s="229"/>
      <c r="AC843" s="229"/>
    </row>
    <row r="844" spans="1:29" ht="12.75" customHeight="1">
      <c r="A844" s="229"/>
      <c r="B844" s="228"/>
      <c r="C844" s="228"/>
      <c r="D844" s="228"/>
      <c r="E844" s="228"/>
      <c r="F844" s="228"/>
      <c r="G844" s="228"/>
      <c r="H844" s="228"/>
      <c r="I844" s="228"/>
      <c r="J844" s="228"/>
      <c r="K844" s="228"/>
      <c r="L844" s="229"/>
      <c r="M844" s="229"/>
      <c r="N844" s="229"/>
      <c r="O844" s="229"/>
      <c r="P844" s="229"/>
      <c r="Q844" s="229"/>
      <c r="R844" s="229"/>
      <c r="S844" s="229"/>
      <c r="T844" s="229"/>
      <c r="U844" s="229"/>
      <c r="V844" s="229"/>
      <c r="W844" s="229"/>
      <c r="X844" s="229"/>
      <c r="Y844" s="229"/>
      <c r="Z844" s="229"/>
      <c r="AA844" s="229"/>
      <c r="AB844" s="229"/>
      <c r="AC844" s="229"/>
    </row>
    <row r="845" spans="1:29" ht="12.75" customHeight="1">
      <c r="A845" s="229"/>
      <c r="B845" s="228"/>
      <c r="C845" s="228"/>
      <c r="D845" s="228"/>
      <c r="E845" s="228"/>
      <c r="F845" s="228"/>
      <c r="G845" s="228"/>
      <c r="H845" s="228"/>
      <c r="I845" s="228"/>
      <c r="J845" s="228"/>
      <c r="K845" s="228"/>
      <c r="L845" s="229"/>
      <c r="M845" s="229"/>
      <c r="N845" s="229"/>
      <c r="O845" s="229"/>
      <c r="P845" s="229"/>
      <c r="Q845" s="229"/>
      <c r="R845" s="229"/>
      <c r="S845" s="229"/>
      <c r="T845" s="229"/>
      <c r="U845" s="229"/>
      <c r="V845" s="229"/>
      <c r="W845" s="229"/>
      <c r="X845" s="229"/>
      <c r="Y845" s="229"/>
      <c r="Z845" s="229"/>
      <c r="AA845" s="229"/>
      <c r="AB845" s="229"/>
      <c r="AC845" s="229"/>
    </row>
    <row r="846" spans="1:29" ht="12.75" customHeight="1">
      <c r="A846" s="229"/>
      <c r="B846" s="228"/>
      <c r="C846" s="228"/>
      <c r="D846" s="228"/>
      <c r="E846" s="228"/>
      <c r="F846" s="228"/>
      <c r="G846" s="228"/>
      <c r="H846" s="228"/>
      <c r="I846" s="228"/>
      <c r="J846" s="228"/>
      <c r="K846" s="228"/>
      <c r="L846" s="229"/>
      <c r="M846" s="229"/>
      <c r="N846" s="229"/>
      <c r="O846" s="229"/>
      <c r="P846" s="229"/>
      <c r="Q846" s="229"/>
      <c r="R846" s="229"/>
      <c r="S846" s="229"/>
      <c r="T846" s="229"/>
      <c r="U846" s="229"/>
      <c r="V846" s="229"/>
      <c r="W846" s="229"/>
      <c r="X846" s="229"/>
      <c r="Y846" s="229"/>
      <c r="Z846" s="229"/>
      <c r="AA846" s="229"/>
      <c r="AB846" s="229"/>
      <c r="AC846" s="229"/>
    </row>
    <row r="847" spans="1:29" ht="12.75" customHeight="1">
      <c r="A847" s="229"/>
      <c r="B847" s="228"/>
      <c r="C847" s="228"/>
      <c r="D847" s="228"/>
      <c r="E847" s="228"/>
      <c r="F847" s="228"/>
      <c r="G847" s="228"/>
      <c r="H847" s="228"/>
      <c r="I847" s="228"/>
      <c r="J847" s="228"/>
      <c r="K847" s="228"/>
      <c r="L847" s="229"/>
      <c r="M847" s="229"/>
      <c r="N847" s="229"/>
      <c r="O847" s="229"/>
      <c r="P847" s="229"/>
      <c r="Q847" s="229"/>
      <c r="R847" s="229"/>
      <c r="S847" s="229"/>
      <c r="T847" s="229"/>
      <c r="U847" s="229"/>
      <c r="V847" s="229"/>
      <c r="W847" s="229"/>
      <c r="X847" s="229"/>
      <c r="Y847" s="229"/>
      <c r="Z847" s="229"/>
      <c r="AA847" s="229"/>
      <c r="AB847" s="229"/>
      <c r="AC847" s="229"/>
    </row>
    <row r="848" spans="1:29" ht="12.75" customHeight="1">
      <c r="A848" s="229"/>
      <c r="B848" s="228"/>
      <c r="C848" s="228"/>
      <c r="D848" s="228"/>
      <c r="E848" s="228"/>
      <c r="F848" s="228"/>
      <c r="G848" s="228"/>
      <c r="H848" s="228"/>
      <c r="I848" s="228"/>
      <c r="J848" s="228"/>
      <c r="K848" s="228"/>
      <c r="L848" s="229"/>
      <c r="M848" s="229"/>
      <c r="N848" s="229"/>
      <c r="O848" s="229"/>
      <c r="P848" s="229"/>
      <c r="Q848" s="229"/>
      <c r="R848" s="229"/>
      <c r="S848" s="229"/>
      <c r="T848" s="229"/>
      <c r="U848" s="229"/>
      <c r="V848" s="229"/>
      <c r="W848" s="229"/>
      <c r="X848" s="229"/>
      <c r="Y848" s="229"/>
      <c r="Z848" s="229"/>
      <c r="AA848" s="229"/>
      <c r="AB848" s="229"/>
      <c r="AC848" s="229"/>
    </row>
    <row r="849" spans="1:29" ht="12.75" customHeight="1">
      <c r="A849" s="229"/>
      <c r="B849" s="228"/>
      <c r="C849" s="228"/>
      <c r="D849" s="228"/>
      <c r="E849" s="228"/>
      <c r="F849" s="228"/>
      <c r="G849" s="228"/>
      <c r="H849" s="228"/>
      <c r="I849" s="228"/>
      <c r="J849" s="228"/>
      <c r="K849" s="228"/>
      <c r="L849" s="229"/>
      <c r="M849" s="229"/>
      <c r="N849" s="229"/>
      <c r="O849" s="229"/>
      <c r="P849" s="229"/>
      <c r="Q849" s="229"/>
      <c r="R849" s="229"/>
      <c r="S849" s="229"/>
      <c r="T849" s="229"/>
      <c r="U849" s="229"/>
      <c r="V849" s="229"/>
      <c r="W849" s="229"/>
      <c r="X849" s="229"/>
      <c r="Y849" s="229"/>
      <c r="Z849" s="229"/>
      <c r="AA849" s="229"/>
      <c r="AB849" s="229"/>
      <c r="AC849" s="229"/>
    </row>
    <row r="850" spans="1:29" ht="12.75" customHeight="1">
      <c r="A850" s="229"/>
      <c r="B850" s="228"/>
      <c r="C850" s="228"/>
      <c r="D850" s="228"/>
      <c r="E850" s="228"/>
      <c r="F850" s="228"/>
      <c r="G850" s="228"/>
      <c r="H850" s="228"/>
      <c r="I850" s="228"/>
      <c r="J850" s="228"/>
      <c r="K850" s="228"/>
      <c r="L850" s="229"/>
      <c r="M850" s="229"/>
      <c r="N850" s="229"/>
      <c r="O850" s="229"/>
      <c r="P850" s="229"/>
      <c r="Q850" s="229"/>
      <c r="R850" s="229"/>
      <c r="S850" s="229"/>
      <c r="T850" s="229"/>
      <c r="U850" s="229"/>
      <c r="V850" s="229"/>
      <c r="W850" s="229"/>
      <c r="X850" s="229"/>
      <c r="Y850" s="229"/>
      <c r="Z850" s="229"/>
      <c r="AA850" s="229"/>
      <c r="AB850" s="229"/>
      <c r="AC850" s="229"/>
    </row>
    <row r="851" spans="1:29" ht="12.75" customHeight="1">
      <c r="A851" s="229"/>
      <c r="B851" s="228"/>
      <c r="C851" s="228"/>
      <c r="D851" s="228"/>
      <c r="E851" s="228"/>
      <c r="F851" s="228"/>
      <c r="G851" s="228"/>
      <c r="H851" s="228"/>
      <c r="I851" s="228"/>
      <c r="J851" s="228"/>
      <c r="K851" s="228"/>
      <c r="L851" s="229"/>
      <c r="M851" s="229"/>
      <c r="N851" s="229"/>
      <c r="O851" s="229"/>
      <c r="P851" s="229"/>
      <c r="Q851" s="229"/>
      <c r="R851" s="229"/>
      <c r="S851" s="229"/>
      <c r="T851" s="229"/>
      <c r="U851" s="229"/>
      <c r="V851" s="229"/>
      <c r="W851" s="229"/>
      <c r="X851" s="229"/>
      <c r="Y851" s="229"/>
      <c r="Z851" s="229"/>
      <c r="AA851" s="229"/>
      <c r="AB851" s="229"/>
      <c r="AC851" s="229"/>
    </row>
    <row r="852" spans="1:29" ht="12.75" customHeight="1">
      <c r="A852" s="229"/>
      <c r="B852" s="228"/>
      <c r="C852" s="228"/>
      <c r="D852" s="228"/>
      <c r="E852" s="228"/>
      <c r="F852" s="228"/>
      <c r="G852" s="228"/>
      <c r="H852" s="228"/>
      <c r="I852" s="228"/>
      <c r="J852" s="228"/>
      <c r="K852" s="228"/>
      <c r="L852" s="229"/>
      <c r="M852" s="229"/>
      <c r="N852" s="229"/>
      <c r="O852" s="229"/>
      <c r="P852" s="229"/>
      <c r="Q852" s="229"/>
      <c r="R852" s="229"/>
      <c r="S852" s="229"/>
      <c r="T852" s="229"/>
      <c r="U852" s="229"/>
      <c r="V852" s="229"/>
      <c r="W852" s="229"/>
      <c r="X852" s="229"/>
      <c r="Y852" s="229"/>
      <c r="Z852" s="229"/>
      <c r="AA852" s="229"/>
      <c r="AB852" s="229"/>
      <c r="AC852" s="229"/>
    </row>
    <row r="853" spans="1:29" ht="12.75" customHeight="1">
      <c r="A853" s="229"/>
      <c r="B853" s="228"/>
      <c r="C853" s="228"/>
      <c r="D853" s="228"/>
      <c r="E853" s="228"/>
      <c r="F853" s="228"/>
      <c r="G853" s="228"/>
      <c r="H853" s="228"/>
      <c r="I853" s="228"/>
      <c r="J853" s="228"/>
      <c r="K853" s="228"/>
      <c r="L853" s="229"/>
      <c r="M853" s="229"/>
      <c r="N853" s="229"/>
      <c r="O853" s="229"/>
      <c r="P853" s="229"/>
      <c r="Q853" s="229"/>
      <c r="R853" s="229"/>
      <c r="S853" s="229"/>
      <c r="T853" s="229"/>
      <c r="U853" s="229"/>
      <c r="V853" s="229"/>
      <c r="W853" s="229"/>
      <c r="X853" s="229"/>
      <c r="Y853" s="229"/>
      <c r="Z853" s="229"/>
      <c r="AA853" s="229"/>
      <c r="AB853" s="229"/>
      <c r="AC853" s="229"/>
    </row>
    <row r="854" spans="1:29" ht="12.75" customHeight="1">
      <c r="A854" s="229"/>
      <c r="B854" s="228"/>
      <c r="C854" s="228"/>
      <c r="D854" s="228"/>
      <c r="E854" s="228"/>
      <c r="F854" s="228"/>
      <c r="G854" s="228"/>
      <c r="H854" s="228"/>
      <c r="I854" s="228"/>
      <c r="J854" s="228"/>
      <c r="K854" s="228"/>
      <c r="L854" s="229"/>
      <c r="M854" s="229"/>
      <c r="N854" s="229"/>
      <c r="O854" s="229"/>
      <c r="P854" s="229"/>
      <c r="Q854" s="229"/>
      <c r="R854" s="229"/>
      <c r="S854" s="229"/>
      <c r="T854" s="229"/>
      <c r="U854" s="229"/>
      <c r="V854" s="229"/>
      <c r="W854" s="229"/>
      <c r="X854" s="229"/>
      <c r="Y854" s="229"/>
      <c r="Z854" s="229"/>
      <c r="AA854" s="229"/>
      <c r="AB854" s="229"/>
      <c r="AC854" s="229"/>
    </row>
    <row r="855" spans="1:29" ht="12.75" customHeight="1">
      <c r="A855" s="229"/>
      <c r="B855" s="228"/>
      <c r="C855" s="228"/>
      <c r="D855" s="228"/>
      <c r="E855" s="228"/>
      <c r="F855" s="228"/>
      <c r="G855" s="228"/>
      <c r="H855" s="228"/>
      <c r="I855" s="228"/>
      <c r="J855" s="228"/>
      <c r="K855" s="228"/>
      <c r="L855" s="229"/>
      <c r="M855" s="229"/>
      <c r="N855" s="229"/>
      <c r="O855" s="229"/>
      <c r="P855" s="229"/>
      <c r="Q855" s="229"/>
      <c r="R855" s="229"/>
      <c r="S855" s="229"/>
      <c r="T855" s="229"/>
      <c r="U855" s="229"/>
      <c r="V855" s="229"/>
      <c r="W855" s="229"/>
      <c r="X855" s="229"/>
      <c r="Y855" s="229"/>
      <c r="Z855" s="229"/>
      <c r="AA855" s="229"/>
      <c r="AB855" s="229"/>
      <c r="AC855" s="229"/>
    </row>
    <row r="856" spans="1:29" ht="12.75" customHeight="1">
      <c r="A856" s="229"/>
      <c r="B856" s="228"/>
      <c r="C856" s="228"/>
      <c r="D856" s="228"/>
      <c r="E856" s="228"/>
      <c r="F856" s="228"/>
      <c r="G856" s="228"/>
      <c r="H856" s="228"/>
      <c r="I856" s="228"/>
      <c r="J856" s="228"/>
      <c r="K856" s="228"/>
      <c r="L856" s="229"/>
      <c r="M856" s="229"/>
      <c r="N856" s="229"/>
      <c r="O856" s="229"/>
      <c r="P856" s="229"/>
      <c r="Q856" s="229"/>
      <c r="R856" s="229"/>
      <c r="S856" s="229"/>
      <c r="T856" s="229"/>
      <c r="U856" s="229"/>
      <c r="V856" s="229"/>
      <c r="W856" s="229"/>
      <c r="X856" s="229"/>
      <c r="Y856" s="229"/>
      <c r="Z856" s="229"/>
      <c r="AA856" s="229"/>
      <c r="AB856" s="229"/>
      <c r="AC856" s="229"/>
    </row>
    <row r="857" spans="1:29" ht="12.75" customHeight="1">
      <c r="A857" s="229"/>
      <c r="B857" s="228"/>
      <c r="C857" s="228"/>
      <c r="D857" s="228"/>
      <c r="E857" s="228"/>
      <c r="F857" s="228"/>
      <c r="G857" s="228"/>
      <c r="H857" s="228"/>
      <c r="I857" s="228"/>
      <c r="J857" s="228"/>
      <c r="K857" s="228"/>
      <c r="L857" s="229"/>
      <c r="M857" s="229"/>
      <c r="N857" s="229"/>
      <c r="O857" s="229"/>
      <c r="P857" s="229"/>
      <c r="Q857" s="229"/>
      <c r="R857" s="229"/>
      <c r="S857" s="229"/>
      <c r="T857" s="229"/>
      <c r="U857" s="229"/>
      <c r="V857" s="229"/>
      <c r="W857" s="229"/>
      <c r="X857" s="229"/>
      <c r="Y857" s="229"/>
      <c r="Z857" s="229"/>
      <c r="AA857" s="229"/>
      <c r="AB857" s="229"/>
      <c r="AC857" s="229"/>
    </row>
    <row r="858" spans="1:29" ht="12.75" customHeight="1">
      <c r="A858" s="229"/>
      <c r="B858" s="228"/>
      <c r="C858" s="228"/>
      <c r="D858" s="228"/>
      <c r="E858" s="228"/>
      <c r="F858" s="228"/>
      <c r="G858" s="228"/>
      <c r="H858" s="228"/>
      <c r="I858" s="228"/>
      <c r="J858" s="228"/>
      <c r="K858" s="228"/>
      <c r="L858" s="229"/>
      <c r="M858" s="229"/>
      <c r="N858" s="229"/>
      <c r="O858" s="229"/>
      <c r="P858" s="229"/>
      <c r="Q858" s="229"/>
      <c r="R858" s="229"/>
      <c r="S858" s="229"/>
      <c r="T858" s="229"/>
      <c r="U858" s="229"/>
      <c r="V858" s="229"/>
      <c r="W858" s="229"/>
      <c r="X858" s="229"/>
      <c r="Y858" s="229"/>
      <c r="Z858" s="229"/>
      <c r="AA858" s="229"/>
      <c r="AB858" s="229"/>
      <c r="AC858" s="229"/>
    </row>
    <row r="859" spans="1:29" ht="12.75" customHeight="1">
      <c r="A859" s="229"/>
      <c r="B859" s="228"/>
      <c r="C859" s="228"/>
      <c r="D859" s="228"/>
      <c r="E859" s="228"/>
      <c r="F859" s="228"/>
      <c r="G859" s="228"/>
      <c r="H859" s="228"/>
      <c r="I859" s="228"/>
      <c r="J859" s="228"/>
      <c r="K859" s="228"/>
      <c r="L859" s="229"/>
      <c r="M859" s="229"/>
      <c r="N859" s="229"/>
      <c r="O859" s="229"/>
      <c r="P859" s="229"/>
      <c r="Q859" s="229"/>
      <c r="R859" s="229"/>
      <c r="S859" s="229"/>
      <c r="T859" s="229"/>
      <c r="U859" s="229"/>
      <c r="V859" s="229"/>
      <c r="W859" s="229"/>
      <c r="X859" s="229"/>
      <c r="Y859" s="229"/>
      <c r="Z859" s="229"/>
      <c r="AA859" s="229"/>
      <c r="AB859" s="229"/>
      <c r="AC859" s="229"/>
    </row>
    <row r="860" spans="1:29" ht="12.75" customHeight="1">
      <c r="A860" s="229"/>
      <c r="B860" s="228"/>
      <c r="C860" s="228"/>
      <c r="D860" s="228"/>
      <c r="E860" s="228"/>
      <c r="F860" s="228"/>
      <c r="G860" s="228"/>
      <c r="H860" s="228"/>
      <c r="I860" s="228"/>
      <c r="J860" s="228"/>
      <c r="K860" s="228"/>
      <c r="L860" s="229"/>
      <c r="M860" s="229"/>
      <c r="N860" s="229"/>
      <c r="O860" s="229"/>
      <c r="P860" s="229"/>
      <c r="Q860" s="229"/>
      <c r="R860" s="229"/>
      <c r="S860" s="229"/>
      <c r="T860" s="229"/>
      <c r="U860" s="229"/>
      <c r="V860" s="229"/>
      <c r="W860" s="229"/>
      <c r="X860" s="229"/>
      <c r="Y860" s="229"/>
      <c r="Z860" s="229"/>
      <c r="AA860" s="229"/>
      <c r="AB860" s="229"/>
      <c r="AC860" s="229"/>
    </row>
    <row r="861" spans="1:29" ht="12.75" customHeight="1">
      <c r="A861" s="229"/>
      <c r="B861" s="228"/>
      <c r="C861" s="228"/>
      <c r="D861" s="228"/>
      <c r="E861" s="228"/>
      <c r="F861" s="228"/>
      <c r="G861" s="228"/>
      <c r="H861" s="228"/>
      <c r="I861" s="228"/>
      <c r="J861" s="228"/>
      <c r="K861" s="228"/>
      <c r="L861" s="229"/>
      <c r="M861" s="229"/>
      <c r="N861" s="229"/>
      <c r="O861" s="229"/>
      <c r="P861" s="229"/>
      <c r="Q861" s="229"/>
      <c r="R861" s="229"/>
      <c r="S861" s="229"/>
      <c r="T861" s="229"/>
      <c r="U861" s="229"/>
      <c r="V861" s="229"/>
      <c r="W861" s="229"/>
      <c r="X861" s="229"/>
      <c r="Y861" s="229"/>
      <c r="Z861" s="229"/>
      <c r="AA861" s="229"/>
      <c r="AB861" s="229"/>
      <c r="AC861" s="229"/>
    </row>
    <row r="862" spans="1:29" ht="12.75" customHeight="1">
      <c r="A862" s="229"/>
      <c r="B862" s="228"/>
      <c r="C862" s="228"/>
      <c r="D862" s="228"/>
      <c r="E862" s="228"/>
      <c r="F862" s="228"/>
      <c r="G862" s="228"/>
      <c r="H862" s="228"/>
      <c r="I862" s="228"/>
      <c r="J862" s="228"/>
      <c r="K862" s="228"/>
      <c r="L862" s="229"/>
      <c r="M862" s="229"/>
      <c r="N862" s="229"/>
      <c r="O862" s="229"/>
      <c r="P862" s="229"/>
      <c r="Q862" s="229"/>
      <c r="R862" s="229"/>
      <c r="S862" s="229"/>
      <c r="T862" s="229"/>
      <c r="U862" s="229"/>
      <c r="V862" s="229"/>
      <c r="W862" s="229"/>
      <c r="X862" s="229"/>
      <c r="Y862" s="229"/>
      <c r="Z862" s="229"/>
      <c r="AA862" s="229"/>
      <c r="AB862" s="229"/>
      <c r="AC862" s="229"/>
    </row>
    <row r="863" spans="1:29" ht="12.75" customHeight="1">
      <c r="A863" s="229"/>
      <c r="B863" s="228"/>
      <c r="C863" s="228"/>
      <c r="D863" s="228"/>
      <c r="E863" s="228"/>
      <c r="F863" s="228"/>
      <c r="G863" s="228"/>
      <c r="H863" s="228"/>
      <c r="I863" s="228"/>
      <c r="J863" s="228"/>
      <c r="K863" s="228"/>
      <c r="L863" s="229"/>
      <c r="M863" s="229"/>
      <c r="N863" s="229"/>
      <c r="O863" s="229"/>
      <c r="P863" s="229"/>
      <c r="Q863" s="229"/>
      <c r="R863" s="229"/>
      <c r="S863" s="229"/>
      <c r="T863" s="229"/>
      <c r="U863" s="229"/>
      <c r="V863" s="229"/>
      <c r="W863" s="229"/>
      <c r="X863" s="229"/>
      <c r="Y863" s="229"/>
      <c r="Z863" s="229"/>
      <c r="AA863" s="229"/>
      <c r="AB863" s="229"/>
      <c r="AC863" s="229"/>
    </row>
    <row r="864" spans="1:29" ht="12.75" customHeight="1">
      <c r="A864" s="229"/>
      <c r="B864" s="228"/>
      <c r="C864" s="228"/>
      <c r="D864" s="228"/>
      <c r="E864" s="228"/>
      <c r="F864" s="228"/>
      <c r="G864" s="228"/>
      <c r="H864" s="228"/>
      <c r="I864" s="228"/>
      <c r="J864" s="228"/>
      <c r="K864" s="228"/>
      <c r="L864" s="229"/>
      <c r="M864" s="229"/>
      <c r="N864" s="229"/>
      <c r="O864" s="229"/>
      <c r="P864" s="229"/>
      <c r="Q864" s="229"/>
      <c r="R864" s="229"/>
      <c r="S864" s="229"/>
      <c r="T864" s="229"/>
      <c r="U864" s="229"/>
      <c r="V864" s="229"/>
      <c r="W864" s="229"/>
      <c r="X864" s="229"/>
      <c r="Y864" s="229"/>
      <c r="Z864" s="229"/>
      <c r="AA864" s="229"/>
      <c r="AB864" s="229"/>
      <c r="AC864" s="229"/>
    </row>
    <row r="865" spans="1:29" ht="12.75" customHeight="1">
      <c r="A865" s="229"/>
      <c r="B865" s="228"/>
      <c r="C865" s="228"/>
      <c r="D865" s="228"/>
      <c r="E865" s="228"/>
      <c r="F865" s="228"/>
      <c r="G865" s="228"/>
      <c r="H865" s="228"/>
      <c r="I865" s="228"/>
      <c r="J865" s="228"/>
      <c r="K865" s="228"/>
      <c r="L865" s="229"/>
      <c r="M865" s="229"/>
      <c r="N865" s="229"/>
      <c r="O865" s="229"/>
      <c r="P865" s="229"/>
      <c r="Q865" s="229"/>
      <c r="R865" s="229"/>
      <c r="S865" s="229"/>
      <c r="T865" s="229"/>
      <c r="U865" s="229"/>
      <c r="V865" s="229"/>
      <c r="W865" s="229"/>
      <c r="X865" s="229"/>
      <c r="Y865" s="229"/>
      <c r="Z865" s="229"/>
      <c r="AA865" s="229"/>
      <c r="AB865" s="229"/>
      <c r="AC865" s="229"/>
    </row>
    <row r="866" spans="1:29" ht="12.75" customHeight="1">
      <c r="A866" s="229"/>
      <c r="B866" s="228"/>
      <c r="C866" s="228"/>
      <c r="D866" s="228"/>
      <c r="E866" s="228"/>
      <c r="F866" s="228"/>
      <c r="G866" s="228"/>
      <c r="H866" s="228"/>
      <c r="I866" s="228"/>
      <c r="J866" s="228"/>
      <c r="K866" s="228"/>
      <c r="L866" s="229"/>
      <c r="M866" s="229"/>
      <c r="N866" s="229"/>
      <c r="O866" s="229"/>
      <c r="P866" s="229"/>
      <c r="Q866" s="229"/>
      <c r="R866" s="229"/>
      <c r="S866" s="229"/>
      <c r="T866" s="229"/>
      <c r="U866" s="229"/>
      <c r="V866" s="229"/>
      <c r="W866" s="229"/>
      <c r="X866" s="229"/>
      <c r="Y866" s="229"/>
      <c r="Z866" s="229"/>
      <c r="AA866" s="229"/>
      <c r="AB866" s="229"/>
      <c r="AC866" s="229"/>
    </row>
    <row r="867" spans="1:29" ht="12.75" customHeight="1">
      <c r="A867" s="229"/>
      <c r="B867" s="228"/>
      <c r="C867" s="228"/>
      <c r="D867" s="228"/>
      <c r="E867" s="228"/>
      <c r="F867" s="228"/>
      <c r="G867" s="228"/>
      <c r="H867" s="228"/>
      <c r="I867" s="228"/>
      <c r="J867" s="228"/>
      <c r="K867" s="228"/>
      <c r="L867" s="229"/>
      <c r="M867" s="229"/>
      <c r="N867" s="229"/>
      <c r="O867" s="229"/>
      <c r="P867" s="229"/>
      <c r="Q867" s="229"/>
      <c r="R867" s="229"/>
      <c r="S867" s="229"/>
      <c r="T867" s="229"/>
      <c r="U867" s="229"/>
      <c r="V867" s="229"/>
      <c r="W867" s="229"/>
      <c r="X867" s="229"/>
      <c r="Y867" s="229"/>
      <c r="Z867" s="229"/>
      <c r="AA867" s="229"/>
      <c r="AB867" s="229"/>
      <c r="AC867" s="229"/>
    </row>
    <row r="868" spans="1:29" ht="12.75" customHeight="1">
      <c r="A868" s="229"/>
      <c r="B868" s="228"/>
      <c r="C868" s="228"/>
      <c r="D868" s="228"/>
      <c r="E868" s="228"/>
      <c r="F868" s="228"/>
      <c r="G868" s="228"/>
      <c r="H868" s="228"/>
      <c r="I868" s="228"/>
      <c r="J868" s="228"/>
      <c r="K868" s="228"/>
      <c r="L868" s="229"/>
      <c r="M868" s="229"/>
      <c r="N868" s="229"/>
      <c r="O868" s="229"/>
      <c r="P868" s="229"/>
      <c r="Q868" s="229"/>
      <c r="R868" s="229"/>
      <c r="S868" s="229"/>
      <c r="T868" s="229"/>
      <c r="U868" s="229"/>
      <c r="V868" s="229"/>
      <c r="W868" s="229"/>
      <c r="X868" s="229"/>
      <c r="Y868" s="229"/>
      <c r="Z868" s="229"/>
      <c r="AA868" s="229"/>
      <c r="AB868" s="229"/>
      <c r="AC868" s="229"/>
    </row>
    <row r="869" spans="1:29" ht="12.75" customHeight="1">
      <c r="A869" s="229"/>
      <c r="B869" s="228"/>
      <c r="C869" s="228"/>
      <c r="D869" s="228"/>
      <c r="E869" s="228"/>
      <c r="F869" s="228"/>
      <c r="G869" s="228"/>
      <c r="H869" s="228"/>
      <c r="I869" s="228"/>
      <c r="J869" s="228"/>
      <c r="K869" s="228"/>
      <c r="L869" s="229"/>
      <c r="M869" s="229"/>
      <c r="N869" s="229"/>
      <c r="O869" s="229"/>
      <c r="P869" s="229"/>
      <c r="Q869" s="229"/>
      <c r="R869" s="229"/>
      <c r="S869" s="229"/>
      <c r="T869" s="229"/>
      <c r="U869" s="229"/>
      <c r="V869" s="229"/>
      <c r="W869" s="229"/>
      <c r="X869" s="229"/>
      <c r="Y869" s="229"/>
      <c r="Z869" s="229"/>
      <c r="AA869" s="229"/>
      <c r="AB869" s="229"/>
      <c r="AC869" s="229"/>
    </row>
    <row r="870" spans="1:29" ht="12.75" customHeight="1">
      <c r="A870" s="229"/>
      <c r="B870" s="228"/>
      <c r="C870" s="228"/>
      <c r="D870" s="228"/>
      <c r="E870" s="228"/>
      <c r="F870" s="228"/>
      <c r="G870" s="228"/>
      <c r="H870" s="228"/>
      <c r="I870" s="228"/>
      <c r="J870" s="228"/>
      <c r="K870" s="228"/>
      <c r="L870" s="229"/>
      <c r="M870" s="229"/>
      <c r="N870" s="229"/>
      <c r="O870" s="229"/>
      <c r="P870" s="229"/>
      <c r="Q870" s="229"/>
      <c r="R870" s="229"/>
      <c r="S870" s="229"/>
      <c r="T870" s="229"/>
      <c r="U870" s="229"/>
      <c r="V870" s="229"/>
      <c r="W870" s="229"/>
      <c r="X870" s="229"/>
      <c r="Y870" s="229"/>
      <c r="Z870" s="229"/>
      <c r="AA870" s="229"/>
      <c r="AB870" s="229"/>
      <c r="AC870" s="229"/>
    </row>
    <row r="871" spans="1:29" ht="12.75" customHeight="1">
      <c r="A871" s="229"/>
      <c r="B871" s="228"/>
      <c r="C871" s="228"/>
      <c r="D871" s="228"/>
      <c r="E871" s="228"/>
      <c r="F871" s="228"/>
      <c r="G871" s="228"/>
      <c r="H871" s="228"/>
      <c r="I871" s="228"/>
      <c r="J871" s="228"/>
      <c r="K871" s="228"/>
      <c r="L871" s="229"/>
      <c r="M871" s="229"/>
      <c r="N871" s="229"/>
      <c r="O871" s="229"/>
      <c r="P871" s="229"/>
      <c r="Q871" s="229"/>
      <c r="R871" s="229"/>
      <c r="S871" s="229"/>
      <c r="T871" s="229"/>
      <c r="U871" s="229"/>
      <c r="V871" s="229"/>
      <c r="W871" s="229"/>
      <c r="X871" s="229"/>
      <c r="Y871" s="229"/>
      <c r="Z871" s="229"/>
      <c r="AA871" s="229"/>
      <c r="AB871" s="229"/>
      <c r="AC871" s="229"/>
    </row>
    <row r="872" spans="1:29" ht="12.75" customHeight="1">
      <c r="A872" s="229"/>
      <c r="B872" s="228"/>
      <c r="C872" s="228"/>
      <c r="D872" s="228"/>
      <c r="E872" s="228"/>
      <c r="F872" s="228"/>
      <c r="G872" s="228"/>
      <c r="H872" s="228"/>
      <c r="I872" s="228"/>
      <c r="J872" s="228"/>
      <c r="K872" s="228"/>
      <c r="L872" s="229"/>
      <c r="M872" s="229"/>
      <c r="N872" s="229"/>
      <c r="O872" s="229"/>
      <c r="P872" s="229"/>
      <c r="Q872" s="229"/>
      <c r="R872" s="229"/>
      <c r="S872" s="229"/>
      <c r="T872" s="229"/>
      <c r="U872" s="229"/>
      <c r="V872" s="229"/>
      <c r="W872" s="229"/>
      <c r="X872" s="229"/>
      <c r="Y872" s="229"/>
      <c r="Z872" s="229"/>
      <c r="AA872" s="229"/>
      <c r="AB872" s="229"/>
      <c r="AC872" s="229"/>
    </row>
    <row r="873" spans="1:29" ht="12.75" customHeight="1">
      <c r="A873" s="229"/>
      <c r="B873" s="228"/>
      <c r="C873" s="228"/>
      <c r="D873" s="228"/>
      <c r="E873" s="228"/>
      <c r="F873" s="228"/>
      <c r="G873" s="228"/>
      <c r="H873" s="228"/>
      <c r="I873" s="228"/>
      <c r="J873" s="228"/>
      <c r="K873" s="228"/>
      <c r="L873" s="229"/>
      <c r="M873" s="229"/>
      <c r="N873" s="229"/>
      <c r="O873" s="229"/>
      <c r="P873" s="229"/>
      <c r="Q873" s="229"/>
      <c r="R873" s="229"/>
      <c r="S873" s="229"/>
      <c r="T873" s="229"/>
      <c r="U873" s="229"/>
      <c r="V873" s="229"/>
      <c r="W873" s="229"/>
      <c r="X873" s="229"/>
      <c r="Y873" s="229"/>
      <c r="Z873" s="229"/>
      <c r="AA873" s="229"/>
      <c r="AB873" s="229"/>
      <c r="AC873" s="229"/>
    </row>
    <row r="874" spans="1:29" ht="12.75" customHeight="1">
      <c r="A874" s="229"/>
      <c r="B874" s="228"/>
      <c r="C874" s="228"/>
      <c r="D874" s="228"/>
      <c r="E874" s="228"/>
      <c r="F874" s="228"/>
      <c r="G874" s="228"/>
      <c r="H874" s="228"/>
      <c r="I874" s="228"/>
      <c r="J874" s="228"/>
      <c r="K874" s="228"/>
      <c r="L874" s="229"/>
      <c r="M874" s="229"/>
      <c r="N874" s="229"/>
      <c r="O874" s="229"/>
      <c r="P874" s="229"/>
      <c r="Q874" s="229"/>
      <c r="R874" s="229"/>
      <c r="S874" s="229"/>
      <c r="T874" s="229"/>
      <c r="U874" s="229"/>
      <c r="V874" s="229"/>
      <c r="W874" s="229"/>
      <c r="X874" s="229"/>
      <c r="Y874" s="229"/>
      <c r="Z874" s="229"/>
      <c r="AA874" s="229"/>
      <c r="AB874" s="229"/>
      <c r="AC874" s="229"/>
    </row>
    <row r="875" spans="1:29" ht="12.75" customHeight="1">
      <c r="A875" s="229"/>
      <c r="B875" s="228"/>
      <c r="C875" s="228"/>
      <c r="D875" s="228"/>
      <c r="E875" s="228"/>
      <c r="F875" s="228"/>
      <c r="G875" s="228"/>
      <c r="H875" s="228"/>
      <c r="I875" s="228"/>
      <c r="J875" s="228"/>
      <c r="K875" s="228"/>
      <c r="L875" s="229"/>
      <c r="M875" s="229"/>
      <c r="N875" s="229"/>
      <c r="O875" s="229"/>
      <c r="P875" s="229"/>
      <c r="Q875" s="229"/>
      <c r="R875" s="229"/>
      <c r="S875" s="229"/>
      <c r="T875" s="229"/>
      <c r="U875" s="229"/>
      <c r="V875" s="229"/>
      <c r="W875" s="229"/>
      <c r="X875" s="229"/>
      <c r="Y875" s="229"/>
      <c r="Z875" s="229"/>
      <c r="AA875" s="229"/>
      <c r="AB875" s="229"/>
      <c r="AC875" s="229"/>
    </row>
    <row r="876" spans="1:29" ht="12.75" customHeight="1">
      <c r="A876" s="229"/>
      <c r="B876" s="228"/>
      <c r="C876" s="228"/>
      <c r="D876" s="228"/>
      <c r="E876" s="228"/>
      <c r="F876" s="228"/>
      <c r="G876" s="228"/>
      <c r="H876" s="228"/>
      <c r="I876" s="228"/>
      <c r="J876" s="228"/>
      <c r="K876" s="228"/>
      <c r="L876" s="229"/>
      <c r="M876" s="229"/>
      <c r="N876" s="229"/>
      <c r="O876" s="229"/>
      <c r="P876" s="229"/>
      <c r="Q876" s="229"/>
      <c r="R876" s="229"/>
      <c r="S876" s="229"/>
      <c r="T876" s="229"/>
      <c r="U876" s="229"/>
      <c r="V876" s="229"/>
      <c r="W876" s="229"/>
      <c r="X876" s="229"/>
      <c r="Y876" s="229"/>
      <c r="Z876" s="229"/>
      <c r="AA876" s="229"/>
      <c r="AB876" s="229"/>
      <c r="AC876" s="229"/>
    </row>
    <row r="877" spans="1:29" ht="12.75" customHeight="1">
      <c r="A877" s="229"/>
      <c r="B877" s="228"/>
      <c r="C877" s="228"/>
      <c r="D877" s="228"/>
      <c r="E877" s="228"/>
      <c r="F877" s="228"/>
      <c r="G877" s="228"/>
      <c r="H877" s="228"/>
      <c r="I877" s="228"/>
      <c r="J877" s="228"/>
      <c r="K877" s="228"/>
      <c r="L877" s="229"/>
      <c r="M877" s="229"/>
      <c r="N877" s="229"/>
      <c r="O877" s="229"/>
      <c r="P877" s="229"/>
      <c r="Q877" s="229"/>
      <c r="R877" s="229"/>
      <c r="S877" s="229"/>
      <c r="T877" s="229"/>
      <c r="U877" s="229"/>
      <c r="V877" s="229"/>
      <c r="W877" s="229"/>
      <c r="X877" s="229"/>
      <c r="Y877" s="229"/>
      <c r="Z877" s="229"/>
      <c r="AA877" s="229"/>
      <c r="AB877" s="229"/>
      <c r="AC877" s="229"/>
    </row>
    <row r="878" spans="1:29" ht="12.75" customHeight="1">
      <c r="A878" s="229"/>
      <c r="B878" s="228"/>
      <c r="C878" s="228"/>
      <c r="D878" s="228"/>
      <c r="E878" s="228"/>
      <c r="F878" s="228"/>
      <c r="G878" s="228"/>
      <c r="H878" s="228"/>
      <c r="I878" s="228"/>
      <c r="J878" s="228"/>
      <c r="K878" s="228"/>
      <c r="L878" s="229"/>
      <c r="M878" s="229"/>
      <c r="N878" s="229"/>
      <c r="O878" s="229"/>
      <c r="P878" s="229"/>
      <c r="Q878" s="229"/>
      <c r="R878" s="229"/>
      <c r="S878" s="229"/>
      <c r="T878" s="229"/>
      <c r="U878" s="229"/>
      <c r="V878" s="229"/>
      <c r="W878" s="229"/>
      <c r="X878" s="229"/>
      <c r="Y878" s="229"/>
      <c r="Z878" s="229"/>
      <c r="AA878" s="229"/>
      <c r="AB878" s="229"/>
      <c r="AC878" s="229"/>
    </row>
    <row r="879" spans="1:29" ht="12.75" customHeight="1">
      <c r="A879" s="229"/>
      <c r="B879" s="228"/>
      <c r="C879" s="228"/>
      <c r="D879" s="228"/>
      <c r="E879" s="228"/>
      <c r="F879" s="228"/>
      <c r="G879" s="228"/>
      <c r="H879" s="228"/>
      <c r="I879" s="228"/>
      <c r="J879" s="228"/>
      <c r="K879" s="228"/>
      <c r="L879" s="229"/>
      <c r="M879" s="229"/>
      <c r="N879" s="229"/>
      <c r="O879" s="229"/>
      <c r="P879" s="229"/>
      <c r="Q879" s="229"/>
      <c r="R879" s="229"/>
      <c r="S879" s="229"/>
      <c r="T879" s="229"/>
      <c r="U879" s="229"/>
      <c r="V879" s="229"/>
      <c r="W879" s="229"/>
      <c r="X879" s="229"/>
      <c r="Y879" s="229"/>
      <c r="Z879" s="229"/>
      <c r="AA879" s="229"/>
      <c r="AB879" s="229"/>
      <c r="AC879" s="229"/>
    </row>
    <row r="880" spans="1:29" ht="12.75" customHeight="1">
      <c r="A880" s="229"/>
      <c r="B880" s="228"/>
      <c r="C880" s="228"/>
      <c r="D880" s="228"/>
      <c r="E880" s="228"/>
      <c r="F880" s="228"/>
      <c r="G880" s="228"/>
      <c r="H880" s="228"/>
      <c r="I880" s="228"/>
      <c r="J880" s="228"/>
      <c r="K880" s="228"/>
      <c r="L880" s="229"/>
      <c r="M880" s="229"/>
      <c r="N880" s="229"/>
      <c r="O880" s="229"/>
      <c r="P880" s="229"/>
      <c r="Q880" s="229"/>
      <c r="R880" s="229"/>
      <c r="S880" s="229"/>
      <c r="T880" s="229"/>
      <c r="U880" s="229"/>
      <c r="V880" s="229"/>
      <c r="W880" s="229"/>
      <c r="X880" s="229"/>
      <c r="Y880" s="229"/>
      <c r="Z880" s="229"/>
      <c r="AA880" s="229"/>
      <c r="AB880" s="229"/>
      <c r="AC880" s="229"/>
    </row>
    <row r="881" spans="1:29" ht="12.75" customHeight="1">
      <c r="A881" s="229"/>
      <c r="B881" s="228"/>
      <c r="C881" s="228"/>
      <c r="D881" s="228"/>
      <c r="E881" s="228"/>
      <c r="F881" s="228"/>
      <c r="G881" s="228"/>
      <c r="H881" s="228"/>
      <c r="I881" s="228"/>
      <c r="J881" s="228"/>
      <c r="K881" s="228"/>
      <c r="L881" s="229"/>
      <c r="M881" s="229"/>
      <c r="N881" s="229"/>
      <c r="O881" s="229"/>
      <c r="P881" s="229"/>
      <c r="Q881" s="229"/>
      <c r="R881" s="229"/>
      <c r="S881" s="229"/>
      <c r="T881" s="229"/>
      <c r="U881" s="229"/>
      <c r="V881" s="229"/>
      <c r="W881" s="229"/>
      <c r="X881" s="229"/>
      <c r="Y881" s="229"/>
      <c r="Z881" s="229"/>
      <c r="AA881" s="229"/>
      <c r="AB881" s="229"/>
      <c r="AC881" s="229"/>
    </row>
    <row r="882" spans="1:29" ht="12.75" customHeight="1">
      <c r="A882" s="229"/>
      <c r="B882" s="228"/>
      <c r="C882" s="228"/>
      <c r="D882" s="228"/>
      <c r="E882" s="228"/>
      <c r="F882" s="228"/>
      <c r="G882" s="228"/>
      <c r="H882" s="228"/>
      <c r="I882" s="228"/>
      <c r="J882" s="228"/>
      <c r="K882" s="228"/>
      <c r="L882" s="229"/>
      <c r="M882" s="229"/>
      <c r="N882" s="229"/>
      <c r="O882" s="229"/>
      <c r="P882" s="229"/>
      <c r="Q882" s="229"/>
      <c r="R882" s="229"/>
      <c r="S882" s="229"/>
      <c r="T882" s="229"/>
      <c r="U882" s="229"/>
      <c r="V882" s="229"/>
      <c r="W882" s="229"/>
      <c r="X882" s="229"/>
      <c r="Y882" s="229"/>
      <c r="Z882" s="229"/>
      <c r="AA882" s="229"/>
      <c r="AB882" s="229"/>
      <c r="AC882" s="229"/>
    </row>
    <row r="883" spans="1:29" ht="12.75" customHeight="1">
      <c r="A883" s="229"/>
      <c r="B883" s="228"/>
      <c r="C883" s="228"/>
      <c r="D883" s="228"/>
      <c r="E883" s="228"/>
      <c r="F883" s="228"/>
      <c r="G883" s="228"/>
      <c r="H883" s="228"/>
      <c r="I883" s="228"/>
      <c r="J883" s="228"/>
      <c r="K883" s="228"/>
      <c r="L883" s="229"/>
      <c r="M883" s="229"/>
      <c r="N883" s="229"/>
      <c r="O883" s="229"/>
      <c r="P883" s="229"/>
      <c r="Q883" s="229"/>
      <c r="R883" s="229"/>
      <c r="S883" s="229"/>
      <c r="T883" s="229"/>
      <c r="U883" s="229"/>
      <c r="V883" s="229"/>
      <c r="W883" s="229"/>
      <c r="X883" s="229"/>
      <c r="Y883" s="229"/>
      <c r="Z883" s="229"/>
      <c r="AA883" s="229"/>
      <c r="AB883" s="229"/>
      <c r="AC883" s="229"/>
    </row>
    <row r="884" spans="1:29" ht="12.75" customHeight="1">
      <c r="A884" s="229"/>
      <c r="B884" s="228"/>
      <c r="C884" s="228"/>
      <c r="D884" s="228"/>
      <c r="E884" s="228"/>
      <c r="F884" s="228"/>
      <c r="G884" s="228"/>
      <c r="H884" s="228"/>
      <c r="I884" s="228"/>
      <c r="J884" s="228"/>
      <c r="K884" s="228"/>
      <c r="L884" s="229"/>
      <c r="M884" s="229"/>
      <c r="N884" s="229"/>
      <c r="O884" s="229"/>
      <c r="P884" s="229"/>
      <c r="Q884" s="229"/>
      <c r="R884" s="229"/>
      <c r="S884" s="229"/>
      <c r="T884" s="229"/>
      <c r="U884" s="229"/>
      <c r="V884" s="229"/>
      <c r="W884" s="229"/>
      <c r="X884" s="229"/>
      <c r="Y884" s="229"/>
      <c r="Z884" s="229"/>
      <c r="AA884" s="229"/>
      <c r="AB884" s="229"/>
      <c r="AC884" s="229"/>
    </row>
    <row r="885" spans="1:29" ht="12.75" customHeight="1">
      <c r="A885" s="229"/>
      <c r="B885" s="228"/>
      <c r="C885" s="228"/>
      <c r="D885" s="228"/>
      <c r="E885" s="228"/>
      <c r="F885" s="228"/>
      <c r="G885" s="228"/>
      <c r="H885" s="228"/>
      <c r="I885" s="228"/>
      <c r="J885" s="228"/>
      <c r="K885" s="228"/>
      <c r="L885" s="229"/>
      <c r="M885" s="229"/>
      <c r="N885" s="229"/>
      <c r="O885" s="229"/>
      <c r="P885" s="229"/>
      <c r="Q885" s="229"/>
      <c r="R885" s="229"/>
      <c r="S885" s="229"/>
      <c r="T885" s="229"/>
      <c r="U885" s="229"/>
      <c r="V885" s="229"/>
      <c r="W885" s="229"/>
      <c r="X885" s="229"/>
      <c r="Y885" s="229"/>
      <c r="Z885" s="229"/>
      <c r="AA885" s="229"/>
      <c r="AB885" s="229"/>
      <c r="AC885" s="229"/>
    </row>
    <row r="886" spans="1:29" ht="12.75" customHeight="1">
      <c r="A886" s="229"/>
      <c r="B886" s="228"/>
      <c r="C886" s="228"/>
      <c r="D886" s="228"/>
      <c r="E886" s="228"/>
      <c r="F886" s="228"/>
      <c r="G886" s="228"/>
      <c r="H886" s="228"/>
      <c r="I886" s="228"/>
      <c r="J886" s="228"/>
      <c r="K886" s="228"/>
      <c r="L886" s="229"/>
      <c r="M886" s="229"/>
      <c r="N886" s="229"/>
      <c r="O886" s="229"/>
      <c r="P886" s="229"/>
      <c r="Q886" s="229"/>
      <c r="R886" s="229"/>
      <c r="S886" s="229"/>
      <c r="T886" s="229"/>
      <c r="U886" s="229"/>
      <c r="V886" s="229"/>
      <c r="W886" s="229"/>
      <c r="X886" s="229"/>
      <c r="Y886" s="229"/>
      <c r="Z886" s="229"/>
      <c r="AA886" s="229"/>
      <c r="AB886" s="229"/>
      <c r="AC886" s="229"/>
    </row>
    <row r="887" spans="1:29" ht="12.75" customHeight="1">
      <c r="A887" s="229"/>
      <c r="B887" s="228"/>
      <c r="C887" s="228"/>
      <c r="D887" s="228"/>
      <c r="E887" s="228"/>
      <c r="F887" s="228"/>
      <c r="G887" s="228"/>
      <c r="H887" s="228"/>
      <c r="I887" s="228"/>
      <c r="J887" s="228"/>
      <c r="K887" s="228"/>
      <c r="L887" s="229"/>
      <c r="M887" s="229"/>
      <c r="N887" s="229"/>
      <c r="O887" s="229"/>
      <c r="P887" s="229"/>
      <c r="Q887" s="229"/>
      <c r="R887" s="229"/>
      <c r="S887" s="229"/>
      <c r="T887" s="229"/>
      <c r="U887" s="229"/>
      <c r="V887" s="229"/>
      <c r="W887" s="229"/>
      <c r="X887" s="229"/>
      <c r="Y887" s="229"/>
      <c r="Z887" s="229"/>
      <c r="AA887" s="229"/>
      <c r="AB887" s="229"/>
      <c r="AC887" s="229"/>
    </row>
    <row r="888" spans="1:29" ht="12.75" customHeight="1">
      <c r="A888" s="229"/>
      <c r="B888" s="228"/>
      <c r="C888" s="228"/>
      <c r="D888" s="228"/>
      <c r="E888" s="228"/>
      <c r="F888" s="228"/>
      <c r="G888" s="228"/>
      <c r="H888" s="228"/>
      <c r="I888" s="228"/>
      <c r="J888" s="228"/>
      <c r="K888" s="228"/>
      <c r="L888" s="229"/>
      <c r="M888" s="229"/>
      <c r="N888" s="229"/>
      <c r="O888" s="229"/>
      <c r="P888" s="229"/>
      <c r="Q888" s="229"/>
      <c r="R888" s="229"/>
      <c r="S888" s="229"/>
      <c r="T888" s="229"/>
      <c r="U888" s="229"/>
      <c r="V888" s="229"/>
      <c r="W888" s="229"/>
      <c r="X888" s="229"/>
      <c r="Y888" s="229"/>
      <c r="Z888" s="229"/>
      <c r="AA888" s="229"/>
      <c r="AB888" s="229"/>
      <c r="AC888" s="229"/>
    </row>
    <row r="889" spans="1:29" ht="12.75" customHeight="1">
      <c r="A889" s="229"/>
      <c r="B889" s="228"/>
      <c r="C889" s="228"/>
      <c r="D889" s="228"/>
      <c r="E889" s="228"/>
      <c r="F889" s="228"/>
      <c r="G889" s="228"/>
      <c r="H889" s="228"/>
      <c r="I889" s="228"/>
      <c r="J889" s="228"/>
      <c r="K889" s="228"/>
      <c r="L889" s="229"/>
      <c r="M889" s="229"/>
      <c r="N889" s="229"/>
      <c r="O889" s="229"/>
      <c r="P889" s="229"/>
      <c r="Q889" s="229"/>
      <c r="R889" s="229"/>
      <c r="S889" s="229"/>
      <c r="T889" s="229"/>
      <c r="U889" s="229"/>
      <c r="V889" s="229"/>
      <c r="W889" s="229"/>
      <c r="X889" s="229"/>
      <c r="Y889" s="229"/>
      <c r="Z889" s="229"/>
      <c r="AA889" s="229"/>
      <c r="AB889" s="229"/>
      <c r="AC889" s="229"/>
    </row>
    <row r="890" spans="1:29" ht="12.75" customHeight="1">
      <c r="A890" s="229"/>
      <c r="B890" s="228"/>
      <c r="C890" s="228"/>
      <c r="D890" s="228"/>
      <c r="E890" s="228"/>
      <c r="F890" s="228"/>
      <c r="G890" s="228"/>
      <c r="H890" s="228"/>
      <c r="I890" s="228"/>
      <c r="J890" s="228"/>
      <c r="K890" s="228"/>
      <c r="L890" s="229"/>
      <c r="M890" s="229"/>
      <c r="N890" s="229"/>
      <c r="O890" s="229"/>
      <c r="P890" s="229"/>
      <c r="Q890" s="229"/>
      <c r="R890" s="229"/>
      <c r="S890" s="229"/>
      <c r="T890" s="229"/>
      <c r="U890" s="229"/>
      <c r="V890" s="229"/>
      <c r="W890" s="229"/>
      <c r="X890" s="229"/>
      <c r="Y890" s="229"/>
      <c r="Z890" s="229"/>
      <c r="AA890" s="229"/>
      <c r="AB890" s="229"/>
      <c r="AC890" s="229"/>
    </row>
    <row r="891" spans="1:29" ht="12.75" customHeight="1">
      <c r="A891" s="229"/>
      <c r="B891" s="228"/>
      <c r="C891" s="228"/>
      <c r="D891" s="228"/>
      <c r="E891" s="228"/>
      <c r="F891" s="228"/>
      <c r="G891" s="228"/>
      <c r="H891" s="228"/>
      <c r="I891" s="228"/>
      <c r="J891" s="228"/>
      <c r="K891" s="228"/>
      <c r="L891" s="229"/>
      <c r="M891" s="229"/>
      <c r="N891" s="229"/>
      <c r="O891" s="229"/>
      <c r="P891" s="229"/>
      <c r="Q891" s="229"/>
      <c r="R891" s="229"/>
      <c r="S891" s="229"/>
      <c r="T891" s="229"/>
      <c r="U891" s="229"/>
      <c r="V891" s="229"/>
      <c r="W891" s="229"/>
      <c r="X891" s="229"/>
      <c r="Y891" s="229"/>
      <c r="Z891" s="229"/>
      <c r="AA891" s="229"/>
      <c r="AB891" s="229"/>
      <c r="AC891" s="229"/>
    </row>
    <row r="892" spans="1:29" ht="12.75" customHeight="1">
      <c r="A892" s="229"/>
      <c r="B892" s="228"/>
      <c r="C892" s="228"/>
      <c r="D892" s="228"/>
      <c r="E892" s="228"/>
      <c r="F892" s="228"/>
      <c r="G892" s="228"/>
      <c r="H892" s="228"/>
      <c r="I892" s="228"/>
      <c r="J892" s="228"/>
      <c r="K892" s="228"/>
      <c r="L892" s="229"/>
      <c r="M892" s="229"/>
      <c r="N892" s="229"/>
      <c r="O892" s="229"/>
      <c r="P892" s="229"/>
      <c r="Q892" s="229"/>
      <c r="R892" s="229"/>
      <c r="S892" s="229"/>
      <c r="T892" s="229"/>
      <c r="U892" s="229"/>
      <c r="V892" s="229"/>
      <c r="W892" s="229"/>
      <c r="X892" s="229"/>
      <c r="Y892" s="229"/>
      <c r="Z892" s="229"/>
      <c r="AA892" s="229"/>
      <c r="AB892" s="229"/>
      <c r="AC892" s="229"/>
    </row>
    <row r="893" spans="1:29" ht="12.75" customHeight="1">
      <c r="A893" s="229"/>
      <c r="B893" s="228"/>
      <c r="C893" s="228"/>
      <c r="D893" s="228"/>
      <c r="E893" s="228"/>
      <c r="F893" s="228"/>
      <c r="G893" s="228"/>
      <c r="H893" s="228"/>
      <c r="I893" s="228"/>
      <c r="J893" s="228"/>
      <c r="K893" s="228"/>
      <c r="L893" s="229"/>
      <c r="M893" s="229"/>
      <c r="N893" s="229"/>
      <c r="O893" s="229"/>
      <c r="P893" s="229"/>
      <c r="Q893" s="229"/>
      <c r="R893" s="229"/>
      <c r="S893" s="229"/>
      <c r="T893" s="229"/>
      <c r="U893" s="229"/>
      <c r="V893" s="229"/>
      <c r="W893" s="229"/>
      <c r="X893" s="229"/>
      <c r="Y893" s="229"/>
      <c r="Z893" s="229"/>
      <c r="AA893" s="229"/>
      <c r="AB893" s="229"/>
      <c r="AC893" s="229"/>
    </row>
    <row r="894" spans="1:29" ht="12.75" customHeight="1">
      <c r="A894" s="229"/>
      <c r="B894" s="228"/>
      <c r="C894" s="228"/>
      <c r="D894" s="228"/>
      <c r="E894" s="228"/>
      <c r="F894" s="228"/>
      <c r="G894" s="228"/>
      <c r="H894" s="228"/>
      <c r="I894" s="228"/>
      <c r="J894" s="228"/>
      <c r="K894" s="228"/>
      <c r="L894" s="229"/>
      <c r="M894" s="229"/>
      <c r="N894" s="229"/>
      <c r="O894" s="229"/>
      <c r="P894" s="229"/>
      <c r="Q894" s="229"/>
      <c r="R894" s="229"/>
      <c r="S894" s="229"/>
      <c r="T894" s="229"/>
      <c r="U894" s="229"/>
      <c r="V894" s="229"/>
      <c r="W894" s="229"/>
      <c r="X894" s="229"/>
      <c r="Y894" s="229"/>
      <c r="Z894" s="229"/>
      <c r="AA894" s="229"/>
      <c r="AB894" s="229"/>
      <c r="AC894" s="229"/>
    </row>
    <row r="895" spans="1:29" ht="12.75" customHeight="1">
      <c r="A895" s="229"/>
      <c r="B895" s="228"/>
      <c r="C895" s="228"/>
      <c r="D895" s="228"/>
      <c r="E895" s="228"/>
      <c r="F895" s="228"/>
      <c r="G895" s="228"/>
      <c r="H895" s="228"/>
      <c r="I895" s="228"/>
      <c r="J895" s="228"/>
      <c r="K895" s="228"/>
      <c r="L895" s="229"/>
      <c r="M895" s="229"/>
      <c r="N895" s="229"/>
      <c r="O895" s="229"/>
      <c r="P895" s="229"/>
      <c r="Q895" s="229"/>
      <c r="R895" s="229"/>
      <c r="S895" s="229"/>
      <c r="T895" s="229"/>
      <c r="U895" s="229"/>
      <c r="V895" s="229"/>
      <c r="W895" s="229"/>
      <c r="X895" s="229"/>
      <c r="Y895" s="229"/>
      <c r="Z895" s="229"/>
      <c r="AA895" s="229"/>
      <c r="AB895" s="229"/>
      <c r="AC895" s="229"/>
    </row>
    <row r="896" spans="1:29" ht="12.75" customHeight="1">
      <c r="A896" s="229"/>
      <c r="B896" s="228"/>
      <c r="C896" s="228"/>
      <c r="D896" s="228"/>
      <c r="E896" s="228"/>
      <c r="F896" s="228"/>
      <c r="G896" s="228"/>
      <c r="H896" s="228"/>
      <c r="I896" s="228"/>
      <c r="J896" s="228"/>
      <c r="K896" s="228"/>
      <c r="L896" s="229"/>
      <c r="M896" s="229"/>
      <c r="N896" s="229"/>
      <c r="O896" s="229"/>
      <c r="P896" s="229"/>
      <c r="Q896" s="229"/>
      <c r="R896" s="229"/>
      <c r="S896" s="229"/>
      <c r="T896" s="229"/>
      <c r="U896" s="229"/>
      <c r="V896" s="229"/>
      <c r="W896" s="229"/>
      <c r="X896" s="229"/>
      <c r="Y896" s="229"/>
      <c r="Z896" s="229"/>
      <c r="AA896" s="229"/>
      <c r="AB896" s="229"/>
      <c r="AC896" s="229"/>
    </row>
    <row r="897" spans="1:29" ht="12.75" customHeight="1">
      <c r="A897" s="229"/>
      <c r="B897" s="228"/>
      <c r="C897" s="228"/>
      <c r="D897" s="228"/>
      <c r="E897" s="228"/>
      <c r="F897" s="228"/>
      <c r="G897" s="228"/>
      <c r="H897" s="228"/>
      <c r="I897" s="228"/>
      <c r="J897" s="228"/>
      <c r="K897" s="228"/>
      <c r="L897" s="229"/>
      <c r="M897" s="229"/>
      <c r="N897" s="229"/>
      <c r="O897" s="229"/>
      <c r="P897" s="229"/>
      <c r="Q897" s="229"/>
      <c r="R897" s="229"/>
      <c r="S897" s="229"/>
      <c r="T897" s="229"/>
      <c r="U897" s="229"/>
      <c r="V897" s="229"/>
      <c r="W897" s="229"/>
      <c r="X897" s="229"/>
      <c r="Y897" s="229"/>
      <c r="Z897" s="229"/>
      <c r="AA897" s="229"/>
      <c r="AB897" s="229"/>
      <c r="AC897" s="229"/>
    </row>
    <row r="898" spans="1:29" ht="12.75" customHeight="1">
      <c r="A898" s="229"/>
      <c r="B898" s="228"/>
      <c r="C898" s="228"/>
      <c r="D898" s="228"/>
      <c r="E898" s="228"/>
      <c r="F898" s="228"/>
      <c r="G898" s="228"/>
      <c r="H898" s="228"/>
      <c r="I898" s="228"/>
      <c r="J898" s="228"/>
      <c r="K898" s="228"/>
      <c r="L898" s="229"/>
      <c r="M898" s="229"/>
      <c r="N898" s="229"/>
      <c r="O898" s="229"/>
      <c r="P898" s="229"/>
      <c r="Q898" s="229"/>
      <c r="R898" s="229"/>
      <c r="S898" s="229"/>
      <c r="T898" s="229"/>
      <c r="U898" s="229"/>
      <c r="V898" s="229"/>
      <c r="W898" s="229"/>
      <c r="X898" s="229"/>
      <c r="Y898" s="229"/>
      <c r="Z898" s="229"/>
      <c r="AA898" s="229"/>
      <c r="AB898" s="229"/>
      <c r="AC898" s="229"/>
    </row>
    <row r="899" spans="1:29" ht="12.75" customHeight="1">
      <c r="A899" s="229"/>
      <c r="B899" s="228"/>
      <c r="C899" s="228"/>
      <c r="D899" s="228"/>
      <c r="E899" s="228"/>
      <c r="F899" s="228"/>
      <c r="G899" s="228"/>
      <c r="H899" s="228"/>
      <c r="I899" s="228"/>
      <c r="J899" s="228"/>
      <c r="K899" s="228"/>
      <c r="L899" s="229"/>
      <c r="M899" s="229"/>
      <c r="N899" s="229"/>
      <c r="O899" s="229"/>
      <c r="P899" s="229"/>
      <c r="Q899" s="229"/>
      <c r="R899" s="229"/>
      <c r="S899" s="229"/>
      <c r="T899" s="229"/>
      <c r="U899" s="229"/>
      <c r="V899" s="229"/>
      <c r="W899" s="229"/>
      <c r="X899" s="229"/>
      <c r="Y899" s="229"/>
      <c r="Z899" s="229"/>
      <c r="AA899" s="229"/>
      <c r="AB899" s="229"/>
      <c r="AC899" s="229"/>
    </row>
    <row r="900" spans="1:29" ht="12.75" customHeight="1">
      <c r="A900" s="229"/>
      <c r="B900" s="228"/>
      <c r="C900" s="228"/>
      <c r="D900" s="228"/>
      <c r="E900" s="228"/>
      <c r="F900" s="228"/>
      <c r="G900" s="228"/>
      <c r="H900" s="228"/>
      <c r="I900" s="228"/>
      <c r="J900" s="228"/>
      <c r="K900" s="228"/>
      <c r="L900" s="229"/>
      <c r="M900" s="229"/>
      <c r="N900" s="229"/>
      <c r="O900" s="229"/>
      <c r="P900" s="229"/>
      <c r="Q900" s="229"/>
      <c r="R900" s="229"/>
      <c r="S900" s="229"/>
      <c r="T900" s="229"/>
      <c r="U900" s="229"/>
      <c r="V900" s="229"/>
      <c r="W900" s="229"/>
      <c r="X900" s="229"/>
      <c r="Y900" s="229"/>
      <c r="Z900" s="229"/>
      <c r="AA900" s="229"/>
      <c r="AB900" s="229"/>
      <c r="AC900" s="229"/>
    </row>
    <row r="901" spans="1:29" ht="12.75" customHeight="1">
      <c r="A901" s="229"/>
      <c r="B901" s="228"/>
      <c r="C901" s="228"/>
      <c r="D901" s="228"/>
      <c r="E901" s="228"/>
      <c r="F901" s="228"/>
      <c r="G901" s="228"/>
      <c r="H901" s="228"/>
      <c r="I901" s="228"/>
      <c r="J901" s="228"/>
      <c r="K901" s="228"/>
      <c r="L901" s="229"/>
      <c r="M901" s="229"/>
      <c r="N901" s="229"/>
      <c r="O901" s="229"/>
      <c r="P901" s="229"/>
      <c r="Q901" s="229"/>
      <c r="R901" s="229"/>
      <c r="S901" s="229"/>
      <c r="T901" s="229"/>
      <c r="U901" s="229"/>
      <c r="V901" s="229"/>
      <c r="W901" s="229"/>
      <c r="X901" s="229"/>
      <c r="Y901" s="229"/>
      <c r="Z901" s="229"/>
      <c r="AA901" s="229"/>
      <c r="AB901" s="229"/>
      <c r="AC901" s="229"/>
    </row>
    <row r="902" spans="1:29" ht="12.75" customHeight="1">
      <c r="A902" s="229"/>
      <c r="B902" s="228"/>
      <c r="C902" s="228"/>
      <c r="D902" s="228"/>
      <c r="E902" s="228"/>
      <c r="F902" s="228"/>
      <c r="G902" s="228"/>
      <c r="H902" s="228"/>
      <c r="I902" s="228"/>
      <c r="J902" s="228"/>
      <c r="K902" s="228"/>
      <c r="L902" s="229"/>
      <c r="M902" s="229"/>
      <c r="N902" s="229"/>
      <c r="O902" s="229"/>
      <c r="P902" s="229"/>
      <c r="Q902" s="229"/>
      <c r="R902" s="229"/>
      <c r="S902" s="229"/>
      <c r="T902" s="229"/>
      <c r="U902" s="229"/>
      <c r="V902" s="229"/>
      <c r="W902" s="229"/>
      <c r="X902" s="229"/>
      <c r="Y902" s="229"/>
      <c r="Z902" s="229"/>
      <c r="AA902" s="229"/>
      <c r="AB902" s="229"/>
      <c r="AC902" s="229"/>
    </row>
    <row r="903" spans="1:29" ht="12.75" customHeight="1">
      <c r="A903" s="229"/>
      <c r="B903" s="228"/>
      <c r="C903" s="228"/>
      <c r="D903" s="228"/>
      <c r="E903" s="228"/>
      <c r="F903" s="228"/>
      <c r="G903" s="228"/>
      <c r="H903" s="228"/>
      <c r="I903" s="228"/>
      <c r="J903" s="228"/>
      <c r="K903" s="228"/>
      <c r="L903" s="229"/>
      <c r="M903" s="229"/>
      <c r="N903" s="229"/>
      <c r="O903" s="229"/>
      <c r="P903" s="229"/>
      <c r="Q903" s="229"/>
      <c r="R903" s="229"/>
      <c r="S903" s="229"/>
      <c r="T903" s="229"/>
      <c r="U903" s="229"/>
      <c r="V903" s="229"/>
      <c r="W903" s="229"/>
      <c r="X903" s="229"/>
      <c r="Y903" s="229"/>
      <c r="Z903" s="229"/>
      <c r="AA903" s="229"/>
      <c r="AB903" s="229"/>
      <c r="AC903" s="229"/>
    </row>
    <row r="904" spans="1:29" ht="12.75" customHeight="1">
      <c r="A904" s="229"/>
      <c r="B904" s="228"/>
      <c r="C904" s="228"/>
      <c r="D904" s="228"/>
      <c r="E904" s="228"/>
      <c r="F904" s="228"/>
      <c r="G904" s="228"/>
      <c r="H904" s="228"/>
      <c r="I904" s="228"/>
      <c r="J904" s="228"/>
      <c r="K904" s="228"/>
      <c r="L904" s="229"/>
      <c r="M904" s="229"/>
      <c r="N904" s="229"/>
      <c r="O904" s="229"/>
      <c r="P904" s="229"/>
      <c r="Q904" s="229"/>
      <c r="R904" s="229"/>
      <c r="S904" s="229"/>
      <c r="T904" s="229"/>
      <c r="U904" s="229"/>
      <c r="V904" s="229"/>
      <c r="W904" s="229"/>
      <c r="X904" s="229"/>
      <c r="Y904" s="229"/>
      <c r="Z904" s="229"/>
      <c r="AA904" s="229"/>
      <c r="AB904" s="229"/>
      <c r="AC904" s="229"/>
    </row>
    <row r="905" spans="1:29" ht="12.75" customHeight="1">
      <c r="A905" s="229"/>
      <c r="B905" s="228"/>
      <c r="C905" s="228"/>
      <c r="D905" s="228"/>
      <c r="E905" s="228"/>
      <c r="F905" s="228"/>
      <c r="G905" s="228"/>
      <c r="H905" s="228"/>
      <c r="I905" s="228"/>
      <c r="J905" s="228"/>
      <c r="K905" s="228"/>
      <c r="L905" s="229"/>
      <c r="M905" s="229"/>
      <c r="N905" s="229"/>
      <c r="O905" s="229"/>
      <c r="P905" s="229"/>
      <c r="Q905" s="229"/>
      <c r="R905" s="229"/>
      <c r="S905" s="229"/>
      <c r="T905" s="229"/>
      <c r="U905" s="229"/>
      <c r="V905" s="229"/>
      <c r="W905" s="229"/>
      <c r="X905" s="229"/>
      <c r="Y905" s="229"/>
      <c r="Z905" s="229"/>
      <c r="AA905" s="229"/>
      <c r="AB905" s="229"/>
      <c r="AC905" s="229"/>
    </row>
    <row r="906" spans="1:29" ht="12.75" customHeight="1">
      <c r="A906" s="229"/>
      <c r="B906" s="228"/>
      <c r="C906" s="228"/>
      <c r="D906" s="228"/>
      <c r="E906" s="228"/>
      <c r="F906" s="228"/>
      <c r="G906" s="228"/>
      <c r="H906" s="228"/>
      <c r="I906" s="228"/>
      <c r="J906" s="228"/>
      <c r="K906" s="228"/>
      <c r="L906" s="229"/>
      <c r="M906" s="229"/>
      <c r="N906" s="229"/>
      <c r="O906" s="229"/>
      <c r="P906" s="229"/>
      <c r="Q906" s="229"/>
      <c r="R906" s="229"/>
      <c r="S906" s="229"/>
      <c r="T906" s="229"/>
      <c r="U906" s="229"/>
      <c r="V906" s="229"/>
      <c r="W906" s="229"/>
      <c r="X906" s="229"/>
      <c r="Y906" s="229"/>
      <c r="Z906" s="229"/>
      <c r="AA906" s="229"/>
      <c r="AB906" s="229"/>
      <c r="AC906" s="229"/>
    </row>
    <row r="907" spans="1:29" ht="12.75" customHeight="1">
      <c r="A907" s="229"/>
      <c r="B907" s="228"/>
      <c r="C907" s="228"/>
      <c r="D907" s="228"/>
      <c r="E907" s="228"/>
      <c r="F907" s="228"/>
      <c r="G907" s="228"/>
      <c r="H907" s="228"/>
      <c r="I907" s="228"/>
      <c r="J907" s="228"/>
      <c r="K907" s="228"/>
      <c r="L907" s="229"/>
      <c r="M907" s="229"/>
      <c r="N907" s="229"/>
      <c r="O907" s="229"/>
      <c r="P907" s="229"/>
      <c r="Q907" s="229"/>
      <c r="R907" s="229"/>
      <c r="S907" s="229"/>
      <c r="T907" s="229"/>
      <c r="U907" s="229"/>
      <c r="V907" s="229"/>
      <c r="W907" s="229"/>
      <c r="X907" s="229"/>
      <c r="Y907" s="229"/>
      <c r="Z907" s="229"/>
      <c r="AA907" s="229"/>
      <c r="AB907" s="229"/>
      <c r="AC907" s="229"/>
    </row>
    <row r="908" spans="1:29" ht="12.75" customHeight="1">
      <c r="A908" s="229"/>
      <c r="B908" s="228"/>
      <c r="C908" s="228"/>
      <c r="D908" s="228"/>
      <c r="E908" s="228"/>
      <c r="F908" s="228"/>
      <c r="G908" s="228"/>
      <c r="H908" s="228"/>
      <c r="I908" s="228"/>
      <c r="J908" s="228"/>
      <c r="K908" s="228"/>
      <c r="L908" s="229"/>
      <c r="M908" s="229"/>
      <c r="N908" s="229"/>
      <c r="O908" s="229"/>
      <c r="P908" s="229"/>
      <c r="Q908" s="229"/>
      <c r="R908" s="229"/>
      <c r="S908" s="229"/>
      <c r="T908" s="229"/>
      <c r="U908" s="229"/>
      <c r="V908" s="229"/>
      <c r="W908" s="229"/>
      <c r="X908" s="229"/>
      <c r="Y908" s="229"/>
      <c r="Z908" s="229"/>
      <c r="AA908" s="229"/>
      <c r="AB908" s="229"/>
      <c r="AC908" s="229"/>
    </row>
    <row r="909" spans="1:29" ht="12.75" customHeight="1">
      <c r="A909" s="229"/>
      <c r="B909" s="228"/>
      <c r="C909" s="228"/>
      <c r="D909" s="228"/>
      <c r="E909" s="228"/>
      <c r="F909" s="228"/>
      <c r="G909" s="228"/>
      <c r="H909" s="228"/>
      <c r="I909" s="228"/>
      <c r="J909" s="228"/>
      <c r="K909" s="228"/>
      <c r="L909" s="229"/>
      <c r="M909" s="229"/>
      <c r="N909" s="229"/>
      <c r="O909" s="229"/>
      <c r="P909" s="229"/>
      <c r="Q909" s="229"/>
      <c r="R909" s="229"/>
      <c r="S909" s="229"/>
      <c r="T909" s="229"/>
      <c r="U909" s="229"/>
      <c r="V909" s="229"/>
      <c r="W909" s="229"/>
      <c r="X909" s="229"/>
      <c r="Y909" s="229"/>
      <c r="Z909" s="229"/>
      <c r="AA909" s="229"/>
      <c r="AB909" s="229"/>
      <c r="AC909" s="229"/>
    </row>
    <row r="910" spans="1:29" ht="12.75" customHeight="1">
      <c r="A910" s="229"/>
      <c r="B910" s="228"/>
      <c r="C910" s="228"/>
      <c r="D910" s="228"/>
      <c r="E910" s="228"/>
      <c r="F910" s="228"/>
      <c r="G910" s="228"/>
      <c r="H910" s="228"/>
      <c r="I910" s="228"/>
      <c r="J910" s="228"/>
      <c r="K910" s="228"/>
      <c r="L910" s="229"/>
      <c r="M910" s="229"/>
      <c r="N910" s="229"/>
      <c r="O910" s="229"/>
      <c r="P910" s="229"/>
      <c r="Q910" s="229"/>
      <c r="R910" s="229"/>
      <c r="S910" s="229"/>
      <c r="T910" s="229"/>
      <c r="U910" s="229"/>
      <c r="V910" s="229"/>
      <c r="W910" s="229"/>
      <c r="X910" s="229"/>
      <c r="Y910" s="229"/>
      <c r="Z910" s="229"/>
      <c r="AA910" s="229"/>
      <c r="AB910" s="229"/>
      <c r="AC910" s="229"/>
    </row>
    <row r="911" spans="1:29" ht="12.75" customHeight="1">
      <c r="A911" s="229"/>
      <c r="B911" s="228"/>
      <c r="C911" s="228"/>
      <c r="D911" s="228"/>
      <c r="E911" s="228"/>
      <c r="F911" s="228"/>
      <c r="G911" s="228"/>
      <c r="H911" s="228"/>
      <c r="I911" s="228"/>
      <c r="J911" s="228"/>
      <c r="K911" s="228"/>
      <c r="L911" s="229"/>
      <c r="M911" s="229"/>
      <c r="N911" s="229"/>
      <c r="O911" s="229"/>
      <c r="P911" s="229"/>
      <c r="Q911" s="229"/>
      <c r="R911" s="229"/>
      <c r="S911" s="229"/>
      <c r="T911" s="229"/>
      <c r="U911" s="229"/>
      <c r="V911" s="229"/>
      <c r="W911" s="229"/>
      <c r="X911" s="229"/>
      <c r="Y911" s="229"/>
      <c r="Z911" s="229"/>
      <c r="AA911" s="229"/>
      <c r="AB911" s="229"/>
      <c r="AC911" s="229"/>
    </row>
    <row r="912" spans="1:29" ht="12.75" customHeight="1">
      <c r="A912" s="229"/>
      <c r="B912" s="228"/>
      <c r="C912" s="228"/>
      <c r="D912" s="228"/>
      <c r="E912" s="228"/>
      <c r="F912" s="228"/>
      <c r="G912" s="228"/>
      <c r="H912" s="228"/>
      <c r="I912" s="228"/>
      <c r="J912" s="228"/>
      <c r="K912" s="228"/>
      <c r="L912" s="229"/>
      <c r="M912" s="229"/>
      <c r="N912" s="229"/>
      <c r="O912" s="229"/>
      <c r="P912" s="229"/>
      <c r="Q912" s="229"/>
      <c r="R912" s="229"/>
      <c r="S912" s="229"/>
      <c r="T912" s="229"/>
      <c r="U912" s="229"/>
      <c r="V912" s="229"/>
      <c r="W912" s="229"/>
      <c r="X912" s="229"/>
      <c r="Y912" s="229"/>
      <c r="Z912" s="229"/>
      <c r="AA912" s="229"/>
      <c r="AB912" s="229"/>
      <c r="AC912" s="229"/>
    </row>
    <row r="913" spans="1:29" ht="12.75" customHeight="1">
      <c r="A913" s="229"/>
      <c r="B913" s="228"/>
      <c r="C913" s="228"/>
      <c r="D913" s="228"/>
      <c r="E913" s="228"/>
      <c r="F913" s="228"/>
      <c r="G913" s="228"/>
      <c r="H913" s="228"/>
      <c r="I913" s="228"/>
      <c r="J913" s="228"/>
      <c r="K913" s="228"/>
      <c r="L913" s="229"/>
      <c r="M913" s="229"/>
      <c r="N913" s="229"/>
      <c r="O913" s="229"/>
      <c r="P913" s="229"/>
      <c r="Q913" s="229"/>
      <c r="R913" s="229"/>
      <c r="S913" s="229"/>
      <c r="T913" s="229"/>
      <c r="U913" s="229"/>
      <c r="V913" s="229"/>
      <c r="W913" s="229"/>
      <c r="X913" s="229"/>
      <c r="Y913" s="229"/>
      <c r="Z913" s="229"/>
      <c r="AA913" s="229"/>
      <c r="AB913" s="229"/>
      <c r="AC913" s="229"/>
    </row>
    <row r="914" spans="1:29" ht="12.75" customHeight="1">
      <c r="A914" s="229"/>
      <c r="B914" s="228"/>
      <c r="C914" s="228"/>
      <c r="D914" s="228"/>
      <c r="E914" s="228"/>
      <c r="F914" s="228"/>
      <c r="G914" s="228"/>
      <c r="H914" s="228"/>
      <c r="I914" s="228"/>
      <c r="J914" s="228"/>
      <c r="K914" s="228"/>
      <c r="L914" s="229"/>
      <c r="M914" s="229"/>
      <c r="N914" s="229"/>
      <c r="O914" s="229"/>
      <c r="P914" s="229"/>
      <c r="Q914" s="229"/>
      <c r="R914" s="229"/>
      <c r="S914" s="229"/>
      <c r="T914" s="229"/>
      <c r="U914" s="229"/>
      <c r="V914" s="229"/>
      <c r="W914" s="229"/>
      <c r="X914" s="229"/>
      <c r="Y914" s="229"/>
      <c r="Z914" s="229"/>
      <c r="AA914" s="229"/>
      <c r="AB914" s="229"/>
      <c r="AC914" s="229"/>
    </row>
    <row r="915" spans="1:29" ht="12.75" customHeight="1">
      <c r="A915" s="229"/>
      <c r="B915" s="228"/>
      <c r="C915" s="228"/>
      <c r="D915" s="228"/>
      <c r="E915" s="228"/>
      <c r="F915" s="228"/>
      <c r="G915" s="228"/>
      <c r="H915" s="228"/>
      <c r="I915" s="228"/>
      <c r="J915" s="228"/>
      <c r="K915" s="228"/>
      <c r="L915" s="229"/>
      <c r="M915" s="229"/>
      <c r="N915" s="229"/>
      <c r="O915" s="229"/>
      <c r="P915" s="229"/>
      <c r="Q915" s="229"/>
      <c r="R915" s="229"/>
      <c r="S915" s="229"/>
      <c r="T915" s="229"/>
      <c r="U915" s="229"/>
      <c r="V915" s="229"/>
      <c r="W915" s="229"/>
      <c r="X915" s="229"/>
      <c r="Y915" s="229"/>
      <c r="Z915" s="229"/>
      <c r="AA915" s="229"/>
      <c r="AB915" s="229"/>
      <c r="AC915" s="229"/>
    </row>
    <row r="916" spans="1:29" ht="12.75" customHeight="1">
      <c r="A916" s="229"/>
      <c r="B916" s="228"/>
      <c r="C916" s="228"/>
      <c r="D916" s="228"/>
      <c r="E916" s="228"/>
      <c r="F916" s="228"/>
      <c r="G916" s="228"/>
      <c r="H916" s="228"/>
      <c r="I916" s="228"/>
      <c r="J916" s="228"/>
      <c r="K916" s="228"/>
      <c r="L916" s="229"/>
      <c r="M916" s="229"/>
      <c r="N916" s="229"/>
      <c r="O916" s="229"/>
      <c r="P916" s="229"/>
      <c r="Q916" s="229"/>
      <c r="R916" s="229"/>
      <c r="S916" s="229"/>
      <c r="T916" s="229"/>
      <c r="U916" s="229"/>
      <c r="V916" s="229"/>
      <c r="W916" s="229"/>
      <c r="X916" s="229"/>
      <c r="Y916" s="229"/>
      <c r="Z916" s="229"/>
      <c r="AA916" s="229"/>
      <c r="AB916" s="229"/>
      <c r="AC916" s="229"/>
    </row>
    <row r="917" spans="1:29" ht="12.75" customHeight="1">
      <c r="A917" s="229"/>
      <c r="B917" s="228"/>
      <c r="C917" s="228"/>
      <c r="D917" s="228"/>
      <c r="E917" s="228"/>
      <c r="F917" s="228"/>
      <c r="G917" s="228"/>
      <c r="H917" s="228"/>
      <c r="I917" s="228"/>
      <c r="J917" s="228"/>
      <c r="K917" s="228"/>
      <c r="L917" s="229"/>
      <c r="M917" s="229"/>
      <c r="N917" s="229"/>
      <c r="O917" s="229"/>
      <c r="P917" s="229"/>
      <c r="Q917" s="229"/>
      <c r="R917" s="229"/>
      <c r="S917" s="229"/>
      <c r="T917" s="229"/>
      <c r="U917" s="229"/>
      <c r="V917" s="229"/>
      <c r="W917" s="229"/>
      <c r="X917" s="229"/>
      <c r="Y917" s="229"/>
      <c r="Z917" s="229"/>
      <c r="AA917" s="229"/>
      <c r="AB917" s="229"/>
      <c r="AC917" s="229"/>
    </row>
    <row r="918" spans="1:29" ht="12.75" customHeight="1">
      <c r="A918" s="229"/>
      <c r="B918" s="228"/>
      <c r="C918" s="228"/>
      <c r="D918" s="228"/>
      <c r="E918" s="228"/>
      <c r="F918" s="228"/>
      <c r="G918" s="228"/>
      <c r="H918" s="228"/>
      <c r="I918" s="228"/>
      <c r="J918" s="228"/>
      <c r="K918" s="228"/>
      <c r="L918" s="229"/>
      <c r="M918" s="229"/>
      <c r="N918" s="229"/>
      <c r="O918" s="229"/>
      <c r="P918" s="229"/>
      <c r="Q918" s="229"/>
      <c r="R918" s="229"/>
      <c r="S918" s="229"/>
      <c r="T918" s="229"/>
      <c r="U918" s="229"/>
      <c r="V918" s="229"/>
      <c r="W918" s="229"/>
      <c r="X918" s="229"/>
      <c r="Y918" s="229"/>
      <c r="Z918" s="229"/>
      <c r="AA918" s="229"/>
      <c r="AB918" s="229"/>
      <c r="AC918" s="229"/>
    </row>
    <row r="919" spans="1:29" ht="12.75" customHeight="1">
      <c r="A919" s="229"/>
      <c r="B919" s="228"/>
      <c r="C919" s="228"/>
      <c r="D919" s="228"/>
      <c r="E919" s="228"/>
      <c r="F919" s="228"/>
      <c r="G919" s="228"/>
      <c r="H919" s="228"/>
      <c r="I919" s="228"/>
      <c r="J919" s="228"/>
      <c r="K919" s="228"/>
      <c r="L919" s="229"/>
      <c r="M919" s="229"/>
      <c r="N919" s="229"/>
      <c r="O919" s="229"/>
      <c r="P919" s="229"/>
      <c r="Q919" s="229"/>
      <c r="R919" s="229"/>
      <c r="S919" s="229"/>
      <c r="T919" s="229"/>
      <c r="U919" s="229"/>
      <c r="V919" s="229"/>
      <c r="W919" s="229"/>
      <c r="X919" s="229"/>
      <c r="Y919" s="229"/>
      <c r="Z919" s="229"/>
      <c r="AA919" s="229"/>
      <c r="AB919" s="229"/>
      <c r="AC919" s="229"/>
    </row>
    <row r="920" spans="1:29" ht="12.75" customHeight="1">
      <c r="A920" s="229"/>
      <c r="B920" s="228"/>
      <c r="C920" s="228"/>
      <c r="D920" s="228"/>
      <c r="E920" s="228"/>
      <c r="F920" s="228"/>
      <c r="G920" s="228"/>
      <c r="H920" s="228"/>
      <c r="I920" s="228"/>
      <c r="J920" s="228"/>
      <c r="K920" s="228"/>
      <c r="L920" s="229"/>
      <c r="M920" s="229"/>
      <c r="N920" s="229"/>
      <c r="O920" s="229"/>
      <c r="P920" s="229"/>
      <c r="Q920" s="229"/>
      <c r="R920" s="229"/>
      <c r="S920" s="229"/>
      <c r="T920" s="229"/>
      <c r="U920" s="229"/>
      <c r="V920" s="229"/>
      <c r="W920" s="229"/>
      <c r="X920" s="229"/>
      <c r="Y920" s="229"/>
      <c r="Z920" s="229"/>
      <c r="AA920" s="229"/>
      <c r="AB920" s="229"/>
      <c r="AC920" s="229"/>
    </row>
    <row r="921" spans="1:29" ht="12.75" customHeight="1">
      <c r="A921" s="229"/>
      <c r="B921" s="228"/>
      <c r="C921" s="228"/>
      <c r="D921" s="228"/>
      <c r="E921" s="228"/>
      <c r="F921" s="228"/>
      <c r="G921" s="228"/>
      <c r="H921" s="228"/>
      <c r="I921" s="228"/>
      <c r="J921" s="228"/>
      <c r="K921" s="228"/>
      <c r="L921" s="229"/>
      <c r="M921" s="229"/>
      <c r="N921" s="229"/>
      <c r="O921" s="229"/>
      <c r="P921" s="229"/>
      <c r="Q921" s="229"/>
      <c r="R921" s="229"/>
      <c r="S921" s="229"/>
      <c r="T921" s="229"/>
      <c r="U921" s="229"/>
      <c r="V921" s="229"/>
      <c r="W921" s="229"/>
      <c r="X921" s="229"/>
      <c r="Y921" s="229"/>
      <c r="Z921" s="229"/>
      <c r="AA921" s="229"/>
      <c r="AB921" s="229"/>
      <c r="AC921" s="229"/>
    </row>
    <row r="922" spans="1:29" ht="12.75" customHeight="1">
      <c r="A922" s="229"/>
      <c r="B922" s="228"/>
      <c r="C922" s="228"/>
      <c r="D922" s="228"/>
      <c r="E922" s="228"/>
      <c r="F922" s="228"/>
      <c r="G922" s="228"/>
      <c r="H922" s="228"/>
      <c r="I922" s="228"/>
      <c r="J922" s="228"/>
      <c r="K922" s="228"/>
      <c r="L922" s="229"/>
      <c r="M922" s="229"/>
      <c r="N922" s="229"/>
      <c r="O922" s="229"/>
      <c r="P922" s="229"/>
      <c r="Q922" s="229"/>
      <c r="R922" s="229"/>
      <c r="S922" s="229"/>
      <c r="T922" s="229"/>
      <c r="U922" s="229"/>
      <c r="V922" s="229"/>
      <c r="W922" s="229"/>
      <c r="X922" s="229"/>
      <c r="Y922" s="229"/>
      <c r="Z922" s="229"/>
      <c r="AA922" s="229"/>
      <c r="AB922" s="229"/>
      <c r="AC922" s="229"/>
    </row>
    <row r="923" spans="1:29" ht="12.75" customHeight="1">
      <c r="A923" s="229"/>
      <c r="B923" s="228"/>
      <c r="C923" s="228"/>
      <c r="D923" s="228"/>
      <c r="E923" s="228"/>
      <c r="F923" s="228"/>
      <c r="G923" s="228"/>
      <c r="H923" s="228"/>
      <c r="I923" s="228"/>
      <c r="J923" s="228"/>
      <c r="K923" s="228"/>
      <c r="L923" s="229"/>
      <c r="M923" s="229"/>
      <c r="N923" s="229"/>
      <c r="O923" s="229"/>
      <c r="P923" s="229"/>
      <c r="Q923" s="229"/>
      <c r="R923" s="229"/>
      <c r="S923" s="229"/>
      <c r="T923" s="229"/>
      <c r="U923" s="229"/>
      <c r="V923" s="229"/>
      <c r="W923" s="229"/>
      <c r="X923" s="229"/>
      <c r="Y923" s="229"/>
      <c r="Z923" s="229"/>
      <c r="AA923" s="229"/>
      <c r="AB923" s="229"/>
      <c r="AC923" s="229"/>
    </row>
    <row r="924" spans="1:29" ht="12.75" customHeight="1">
      <c r="A924" s="229"/>
      <c r="B924" s="228"/>
      <c r="C924" s="228"/>
      <c r="D924" s="228"/>
      <c r="E924" s="228"/>
      <c r="F924" s="228"/>
      <c r="G924" s="228"/>
      <c r="H924" s="228"/>
      <c r="I924" s="228"/>
      <c r="J924" s="228"/>
      <c r="K924" s="228"/>
      <c r="L924" s="229"/>
      <c r="M924" s="229"/>
      <c r="N924" s="229"/>
      <c r="O924" s="229"/>
      <c r="P924" s="229"/>
      <c r="Q924" s="229"/>
      <c r="R924" s="229"/>
      <c r="S924" s="229"/>
      <c r="T924" s="229"/>
      <c r="U924" s="229"/>
      <c r="V924" s="229"/>
      <c r="W924" s="229"/>
      <c r="X924" s="229"/>
      <c r="Y924" s="229"/>
      <c r="Z924" s="229"/>
      <c r="AA924" s="229"/>
      <c r="AB924" s="229"/>
      <c r="AC924" s="229"/>
    </row>
    <row r="925" spans="1:29" ht="12.75" customHeight="1">
      <c r="A925" s="229"/>
      <c r="B925" s="228"/>
      <c r="C925" s="228"/>
      <c r="D925" s="228"/>
      <c r="E925" s="228"/>
      <c r="F925" s="228"/>
      <c r="G925" s="228"/>
      <c r="H925" s="228"/>
      <c r="I925" s="228"/>
      <c r="J925" s="228"/>
      <c r="K925" s="228"/>
      <c r="L925" s="229"/>
      <c r="M925" s="229"/>
      <c r="N925" s="229"/>
      <c r="O925" s="229"/>
      <c r="P925" s="229"/>
      <c r="Q925" s="229"/>
      <c r="R925" s="229"/>
      <c r="S925" s="229"/>
      <c r="T925" s="229"/>
      <c r="U925" s="229"/>
      <c r="V925" s="229"/>
      <c r="W925" s="229"/>
      <c r="X925" s="229"/>
      <c r="Y925" s="229"/>
      <c r="Z925" s="229"/>
      <c r="AA925" s="229"/>
      <c r="AB925" s="229"/>
      <c r="AC925" s="229"/>
    </row>
    <row r="926" spans="1:29" ht="12.75" customHeight="1">
      <c r="A926" s="229"/>
      <c r="B926" s="228"/>
      <c r="C926" s="228"/>
      <c r="D926" s="228"/>
      <c r="E926" s="228"/>
      <c r="F926" s="228"/>
      <c r="G926" s="228"/>
      <c r="H926" s="228"/>
      <c r="I926" s="228"/>
      <c r="J926" s="228"/>
      <c r="K926" s="228"/>
      <c r="L926" s="229"/>
      <c r="M926" s="229"/>
      <c r="N926" s="229"/>
      <c r="O926" s="229"/>
      <c r="P926" s="229"/>
      <c r="Q926" s="229"/>
      <c r="R926" s="229"/>
      <c r="S926" s="229"/>
      <c r="T926" s="229"/>
      <c r="U926" s="229"/>
      <c r="V926" s="229"/>
      <c r="W926" s="229"/>
      <c r="X926" s="229"/>
      <c r="Y926" s="229"/>
      <c r="Z926" s="229"/>
      <c r="AA926" s="229"/>
      <c r="AB926" s="229"/>
      <c r="AC926" s="229"/>
    </row>
    <row r="927" spans="1:29" ht="12.75" customHeight="1">
      <c r="A927" s="229"/>
      <c r="B927" s="228"/>
      <c r="C927" s="228"/>
      <c r="D927" s="228"/>
      <c r="E927" s="228"/>
      <c r="F927" s="228"/>
      <c r="G927" s="228"/>
      <c r="H927" s="228"/>
      <c r="I927" s="228"/>
      <c r="J927" s="228"/>
      <c r="K927" s="228"/>
      <c r="L927" s="229"/>
      <c r="M927" s="229"/>
      <c r="N927" s="229"/>
      <c r="O927" s="229"/>
      <c r="P927" s="229"/>
      <c r="Q927" s="229"/>
      <c r="R927" s="229"/>
      <c r="S927" s="229"/>
      <c r="T927" s="229"/>
      <c r="U927" s="229"/>
      <c r="V927" s="229"/>
      <c r="W927" s="229"/>
      <c r="X927" s="229"/>
      <c r="Y927" s="229"/>
      <c r="Z927" s="229"/>
      <c r="AA927" s="229"/>
      <c r="AB927" s="229"/>
      <c r="AC927" s="229"/>
    </row>
    <row r="928" spans="1:29" ht="12.75" customHeight="1">
      <c r="A928" s="229"/>
      <c r="B928" s="228"/>
      <c r="C928" s="228"/>
      <c r="D928" s="228"/>
      <c r="E928" s="228"/>
      <c r="F928" s="228"/>
      <c r="G928" s="228"/>
      <c r="H928" s="228"/>
      <c r="I928" s="228"/>
      <c r="J928" s="228"/>
      <c r="K928" s="228"/>
      <c r="L928" s="229"/>
      <c r="M928" s="229"/>
      <c r="N928" s="229"/>
      <c r="O928" s="229"/>
      <c r="P928" s="229"/>
      <c r="Q928" s="229"/>
      <c r="R928" s="229"/>
      <c r="S928" s="229"/>
      <c r="T928" s="229"/>
      <c r="U928" s="229"/>
      <c r="V928" s="229"/>
      <c r="W928" s="229"/>
      <c r="X928" s="229"/>
      <c r="Y928" s="229"/>
      <c r="Z928" s="229"/>
      <c r="AA928" s="229"/>
      <c r="AB928" s="229"/>
      <c r="AC928" s="229"/>
    </row>
    <row r="929" spans="1:29" ht="12.75" customHeight="1">
      <c r="A929" s="229"/>
      <c r="B929" s="228"/>
      <c r="C929" s="228"/>
      <c r="D929" s="228"/>
      <c r="E929" s="228"/>
      <c r="F929" s="228"/>
      <c r="G929" s="228"/>
      <c r="H929" s="228"/>
      <c r="I929" s="228"/>
      <c r="J929" s="228"/>
      <c r="K929" s="228"/>
      <c r="L929" s="229"/>
      <c r="M929" s="229"/>
      <c r="N929" s="229"/>
      <c r="O929" s="229"/>
      <c r="P929" s="229"/>
      <c r="Q929" s="229"/>
      <c r="R929" s="229"/>
      <c r="S929" s="229"/>
      <c r="T929" s="229"/>
      <c r="U929" s="229"/>
      <c r="V929" s="229"/>
      <c r="W929" s="229"/>
      <c r="X929" s="229"/>
      <c r="Y929" s="229"/>
      <c r="Z929" s="229"/>
      <c r="AA929" s="229"/>
      <c r="AB929" s="229"/>
      <c r="AC929" s="229"/>
    </row>
    <row r="930" spans="1:29" ht="12.75" customHeight="1">
      <c r="A930" s="229"/>
      <c r="B930" s="228"/>
      <c r="C930" s="228"/>
      <c r="D930" s="228"/>
      <c r="E930" s="228"/>
      <c r="F930" s="228"/>
      <c r="G930" s="228"/>
      <c r="H930" s="228"/>
      <c r="I930" s="228"/>
      <c r="J930" s="228"/>
      <c r="K930" s="228"/>
      <c r="L930" s="229"/>
      <c r="M930" s="229"/>
      <c r="N930" s="229"/>
      <c r="O930" s="229"/>
      <c r="P930" s="229"/>
      <c r="Q930" s="229"/>
      <c r="R930" s="229"/>
      <c r="S930" s="229"/>
      <c r="T930" s="229"/>
      <c r="U930" s="229"/>
      <c r="V930" s="229"/>
      <c r="W930" s="229"/>
      <c r="X930" s="229"/>
      <c r="Y930" s="229"/>
      <c r="Z930" s="229"/>
      <c r="AA930" s="229"/>
      <c r="AB930" s="229"/>
      <c r="AC930" s="229"/>
    </row>
    <row r="931" spans="1:29" ht="12.75" customHeight="1">
      <c r="A931" s="229"/>
      <c r="B931" s="228"/>
      <c r="C931" s="228"/>
      <c r="D931" s="228"/>
      <c r="E931" s="228"/>
      <c r="F931" s="228"/>
      <c r="G931" s="228"/>
      <c r="H931" s="228"/>
      <c r="I931" s="228"/>
      <c r="J931" s="228"/>
      <c r="K931" s="228"/>
      <c r="L931" s="229"/>
      <c r="M931" s="229"/>
      <c r="N931" s="229"/>
      <c r="O931" s="229"/>
      <c r="P931" s="229"/>
      <c r="Q931" s="229"/>
      <c r="R931" s="229"/>
      <c r="S931" s="229"/>
      <c r="T931" s="229"/>
      <c r="U931" s="229"/>
      <c r="V931" s="229"/>
      <c r="W931" s="229"/>
      <c r="X931" s="229"/>
      <c r="Y931" s="229"/>
      <c r="Z931" s="229"/>
      <c r="AA931" s="229"/>
      <c r="AB931" s="229"/>
      <c r="AC931" s="229"/>
    </row>
    <row r="932" spans="1:29" ht="12.75" customHeight="1">
      <c r="A932" s="229"/>
      <c r="B932" s="228"/>
      <c r="C932" s="228"/>
      <c r="D932" s="228"/>
      <c r="E932" s="228"/>
      <c r="F932" s="228"/>
      <c r="G932" s="228"/>
      <c r="H932" s="228"/>
      <c r="I932" s="228"/>
      <c r="J932" s="228"/>
      <c r="K932" s="228"/>
      <c r="L932" s="229"/>
      <c r="M932" s="229"/>
      <c r="N932" s="229"/>
      <c r="O932" s="229"/>
      <c r="P932" s="229"/>
      <c r="Q932" s="229"/>
      <c r="R932" s="229"/>
      <c r="S932" s="229"/>
      <c r="T932" s="229"/>
      <c r="U932" s="229"/>
      <c r="V932" s="229"/>
      <c r="W932" s="229"/>
      <c r="X932" s="229"/>
      <c r="Y932" s="229"/>
      <c r="Z932" s="229"/>
      <c r="AA932" s="229"/>
      <c r="AB932" s="229"/>
      <c r="AC932" s="229"/>
    </row>
    <row r="933" spans="1:29" ht="12.75" customHeight="1">
      <c r="A933" s="229"/>
      <c r="B933" s="228"/>
      <c r="C933" s="228"/>
      <c r="D933" s="228"/>
      <c r="E933" s="228"/>
      <c r="F933" s="228"/>
      <c r="G933" s="228"/>
      <c r="H933" s="228"/>
      <c r="I933" s="228"/>
      <c r="J933" s="228"/>
      <c r="K933" s="228"/>
      <c r="L933" s="229"/>
      <c r="M933" s="229"/>
      <c r="N933" s="229"/>
      <c r="O933" s="229"/>
      <c r="P933" s="229"/>
      <c r="Q933" s="229"/>
      <c r="R933" s="229"/>
      <c r="S933" s="229"/>
      <c r="T933" s="229"/>
      <c r="U933" s="229"/>
      <c r="V933" s="229"/>
      <c r="W933" s="229"/>
      <c r="X933" s="229"/>
      <c r="Y933" s="229"/>
      <c r="Z933" s="229"/>
      <c r="AA933" s="229"/>
      <c r="AB933" s="229"/>
      <c r="AC933" s="229"/>
    </row>
    <row r="934" spans="1:29" ht="12.75" customHeight="1">
      <c r="A934" s="229"/>
      <c r="B934" s="228"/>
      <c r="C934" s="228"/>
      <c r="D934" s="228"/>
      <c r="E934" s="228"/>
      <c r="F934" s="228"/>
      <c r="G934" s="228"/>
      <c r="H934" s="228"/>
      <c r="I934" s="228"/>
      <c r="J934" s="228"/>
      <c r="K934" s="228"/>
      <c r="L934" s="229"/>
      <c r="M934" s="229"/>
      <c r="N934" s="229"/>
      <c r="O934" s="229"/>
      <c r="P934" s="229"/>
      <c r="Q934" s="229"/>
      <c r="R934" s="229"/>
      <c r="S934" s="229"/>
      <c r="T934" s="229"/>
      <c r="U934" s="229"/>
      <c r="V934" s="229"/>
      <c r="W934" s="229"/>
      <c r="X934" s="229"/>
      <c r="Y934" s="229"/>
      <c r="Z934" s="229"/>
      <c r="AA934" s="229"/>
      <c r="AB934" s="229"/>
      <c r="AC934" s="229"/>
    </row>
    <row r="935" spans="1:29" ht="12.75" customHeight="1">
      <c r="A935" s="229"/>
      <c r="B935" s="228"/>
      <c r="C935" s="228"/>
      <c r="D935" s="228"/>
      <c r="E935" s="228"/>
      <c r="F935" s="228"/>
      <c r="G935" s="228"/>
      <c r="H935" s="228"/>
      <c r="I935" s="228"/>
      <c r="J935" s="228"/>
      <c r="K935" s="228"/>
      <c r="L935" s="229"/>
      <c r="M935" s="229"/>
      <c r="N935" s="229"/>
      <c r="O935" s="229"/>
      <c r="P935" s="229"/>
      <c r="Q935" s="229"/>
      <c r="R935" s="229"/>
      <c r="S935" s="229"/>
      <c r="T935" s="229"/>
      <c r="U935" s="229"/>
      <c r="V935" s="229"/>
      <c r="W935" s="229"/>
      <c r="X935" s="229"/>
      <c r="Y935" s="229"/>
      <c r="Z935" s="229"/>
      <c r="AA935" s="229"/>
      <c r="AB935" s="229"/>
      <c r="AC935" s="229"/>
    </row>
    <row r="936" spans="1:29" ht="12.75" customHeight="1">
      <c r="A936" s="229"/>
      <c r="B936" s="228"/>
      <c r="C936" s="228"/>
      <c r="D936" s="228"/>
      <c r="E936" s="228"/>
      <c r="F936" s="228"/>
      <c r="G936" s="228"/>
      <c r="H936" s="228"/>
      <c r="I936" s="228"/>
      <c r="J936" s="228"/>
      <c r="K936" s="228"/>
      <c r="L936" s="229"/>
      <c r="M936" s="229"/>
      <c r="N936" s="229"/>
      <c r="O936" s="229"/>
      <c r="P936" s="229"/>
      <c r="Q936" s="229"/>
      <c r="R936" s="229"/>
      <c r="S936" s="229"/>
      <c r="T936" s="229"/>
      <c r="U936" s="229"/>
      <c r="V936" s="229"/>
      <c r="W936" s="229"/>
      <c r="X936" s="229"/>
      <c r="Y936" s="229"/>
      <c r="Z936" s="229"/>
      <c r="AA936" s="229"/>
      <c r="AB936" s="229"/>
      <c r="AC936" s="229"/>
    </row>
    <row r="937" spans="1:29" ht="12.75" customHeight="1">
      <c r="A937" s="229"/>
      <c r="B937" s="228"/>
      <c r="C937" s="228"/>
      <c r="D937" s="228"/>
      <c r="E937" s="228"/>
      <c r="F937" s="228"/>
      <c r="G937" s="228"/>
      <c r="H937" s="228"/>
      <c r="I937" s="228"/>
      <c r="J937" s="228"/>
      <c r="K937" s="228"/>
      <c r="L937" s="229"/>
      <c r="M937" s="229"/>
      <c r="N937" s="229"/>
      <c r="O937" s="229"/>
      <c r="P937" s="229"/>
      <c r="Q937" s="229"/>
      <c r="R937" s="229"/>
      <c r="S937" s="229"/>
      <c r="T937" s="229"/>
      <c r="U937" s="229"/>
      <c r="V937" s="229"/>
      <c r="W937" s="229"/>
      <c r="X937" s="229"/>
      <c r="Y937" s="229"/>
      <c r="Z937" s="229"/>
      <c r="AA937" s="229"/>
      <c r="AB937" s="229"/>
      <c r="AC937" s="229"/>
    </row>
    <row r="938" spans="1:29" ht="12.75" customHeight="1">
      <c r="A938" s="229"/>
      <c r="B938" s="228"/>
      <c r="C938" s="228"/>
      <c r="D938" s="228"/>
      <c r="E938" s="228"/>
      <c r="F938" s="228"/>
      <c r="G938" s="228"/>
      <c r="H938" s="228"/>
      <c r="I938" s="228"/>
      <c r="J938" s="228"/>
      <c r="K938" s="228"/>
      <c r="L938" s="229"/>
      <c r="M938" s="229"/>
      <c r="N938" s="229"/>
      <c r="O938" s="229"/>
      <c r="P938" s="229"/>
      <c r="Q938" s="229"/>
      <c r="R938" s="229"/>
      <c r="S938" s="229"/>
      <c r="T938" s="229"/>
      <c r="U938" s="229"/>
      <c r="V938" s="229"/>
      <c r="W938" s="229"/>
      <c r="X938" s="229"/>
      <c r="Y938" s="229"/>
      <c r="Z938" s="229"/>
      <c r="AA938" s="229"/>
      <c r="AB938" s="229"/>
      <c r="AC938" s="229"/>
    </row>
    <row r="939" spans="1:29" ht="12.75" customHeight="1">
      <c r="A939" s="229"/>
      <c r="B939" s="228"/>
      <c r="C939" s="228"/>
      <c r="D939" s="228"/>
      <c r="E939" s="228"/>
      <c r="F939" s="228"/>
      <c r="G939" s="228"/>
      <c r="H939" s="228"/>
      <c r="I939" s="228"/>
      <c r="J939" s="228"/>
      <c r="K939" s="228"/>
      <c r="L939" s="229"/>
      <c r="M939" s="229"/>
      <c r="N939" s="229"/>
      <c r="O939" s="229"/>
      <c r="P939" s="229"/>
      <c r="Q939" s="229"/>
      <c r="R939" s="229"/>
      <c r="S939" s="229"/>
      <c r="T939" s="229"/>
      <c r="U939" s="229"/>
      <c r="V939" s="229"/>
      <c r="W939" s="229"/>
      <c r="X939" s="229"/>
      <c r="Y939" s="229"/>
      <c r="Z939" s="229"/>
      <c r="AA939" s="229"/>
      <c r="AB939" s="229"/>
      <c r="AC939" s="229"/>
    </row>
    <row r="940" spans="1:29" ht="12.75" customHeight="1">
      <c r="A940" s="229"/>
      <c r="B940" s="228"/>
      <c r="C940" s="228"/>
      <c r="D940" s="228"/>
      <c r="E940" s="228"/>
      <c r="F940" s="228"/>
      <c r="G940" s="228"/>
      <c r="H940" s="228"/>
      <c r="I940" s="228"/>
      <c r="J940" s="228"/>
      <c r="K940" s="228"/>
      <c r="L940" s="229"/>
      <c r="M940" s="229"/>
      <c r="N940" s="229"/>
      <c r="O940" s="229"/>
      <c r="P940" s="229"/>
      <c r="Q940" s="229"/>
      <c r="R940" s="229"/>
      <c r="S940" s="229"/>
      <c r="T940" s="229"/>
      <c r="U940" s="229"/>
      <c r="V940" s="229"/>
      <c r="W940" s="229"/>
      <c r="X940" s="229"/>
      <c r="Y940" s="229"/>
      <c r="Z940" s="229"/>
      <c r="AA940" s="229"/>
      <c r="AB940" s="229"/>
      <c r="AC940" s="229"/>
    </row>
    <row r="941" spans="1:29" ht="12.75" customHeight="1">
      <c r="A941" s="229"/>
      <c r="B941" s="228"/>
      <c r="C941" s="228"/>
      <c r="D941" s="228"/>
      <c r="E941" s="228"/>
      <c r="F941" s="228"/>
      <c r="G941" s="228"/>
      <c r="H941" s="228"/>
      <c r="I941" s="228"/>
      <c r="J941" s="228"/>
      <c r="K941" s="228"/>
      <c r="L941" s="229"/>
      <c r="M941" s="229"/>
      <c r="N941" s="229"/>
      <c r="O941" s="229"/>
      <c r="P941" s="229"/>
      <c r="Q941" s="229"/>
      <c r="R941" s="229"/>
      <c r="S941" s="229"/>
      <c r="T941" s="229"/>
      <c r="U941" s="229"/>
      <c r="V941" s="229"/>
      <c r="W941" s="229"/>
      <c r="X941" s="229"/>
      <c r="Y941" s="229"/>
      <c r="Z941" s="229"/>
      <c r="AA941" s="229"/>
      <c r="AB941" s="229"/>
      <c r="AC941" s="229"/>
    </row>
    <row r="942" spans="1:29" ht="12.75" customHeight="1">
      <c r="A942" s="229"/>
      <c r="B942" s="228"/>
      <c r="C942" s="228"/>
      <c r="D942" s="228"/>
      <c r="E942" s="228"/>
      <c r="F942" s="228"/>
      <c r="G942" s="228"/>
      <c r="H942" s="228"/>
      <c r="I942" s="228"/>
      <c r="J942" s="228"/>
      <c r="K942" s="228"/>
      <c r="L942" s="229"/>
      <c r="M942" s="229"/>
      <c r="N942" s="229"/>
      <c r="O942" s="229"/>
      <c r="P942" s="229"/>
      <c r="Q942" s="229"/>
      <c r="R942" s="229"/>
      <c r="S942" s="229"/>
      <c r="T942" s="229"/>
      <c r="U942" s="229"/>
      <c r="V942" s="229"/>
      <c r="W942" s="229"/>
      <c r="X942" s="229"/>
      <c r="Y942" s="229"/>
      <c r="Z942" s="229"/>
      <c r="AA942" s="229"/>
      <c r="AB942" s="229"/>
      <c r="AC942" s="229"/>
    </row>
    <row r="943" spans="1:29" ht="12.75" customHeight="1">
      <c r="A943" s="229"/>
      <c r="B943" s="228"/>
      <c r="C943" s="228"/>
      <c r="D943" s="228"/>
      <c r="E943" s="228"/>
      <c r="F943" s="228"/>
      <c r="G943" s="228"/>
      <c r="H943" s="228"/>
      <c r="I943" s="228"/>
      <c r="J943" s="228"/>
      <c r="K943" s="228"/>
      <c r="L943" s="229"/>
      <c r="M943" s="229"/>
      <c r="N943" s="229"/>
      <c r="O943" s="229"/>
      <c r="P943" s="229"/>
      <c r="Q943" s="229"/>
      <c r="R943" s="229"/>
      <c r="S943" s="229"/>
      <c r="T943" s="229"/>
      <c r="U943" s="229"/>
      <c r="V943" s="229"/>
      <c r="W943" s="229"/>
      <c r="X943" s="229"/>
      <c r="Y943" s="229"/>
      <c r="Z943" s="229"/>
      <c r="AA943" s="229"/>
      <c r="AB943" s="229"/>
      <c r="AC943" s="229"/>
    </row>
    <row r="944" spans="1:29" ht="12.75" customHeight="1">
      <c r="A944" s="229"/>
      <c r="B944" s="228"/>
      <c r="C944" s="228"/>
      <c r="D944" s="228"/>
      <c r="E944" s="228"/>
      <c r="F944" s="228"/>
      <c r="G944" s="228"/>
      <c r="H944" s="228"/>
      <c r="I944" s="228"/>
      <c r="J944" s="228"/>
      <c r="K944" s="228"/>
      <c r="L944" s="229"/>
      <c r="M944" s="229"/>
      <c r="N944" s="229"/>
      <c r="O944" s="229"/>
      <c r="P944" s="229"/>
      <c r="Q944" s="229"/>
      <c r="R944" s="229"/>
      <c r="S944" s="229"/>
      <c r="T944" s="229"/>
      <c r="U944" s="229"/>
      <c r="V944" s="229"/>
      <c r="W944" s="229"/>
      <c r="X944" s="229"/>
      <c r="Y944" s="229"/>
      <c r="Z944" s="229"/>
      <c r="AA944" s="229"/>
      <c r="AB944" s="229"/>
      <c r="AC944" s="229"/>
    </row>
    <row r="945" spans="1:29" ht="12.75" customHeight="1">
      <c r="A945" s="229"/>
      <c r="B945" s="228"/>
      <c r="C945" s="228"/>
      <c r="D945" s="228"/>
      <c r="E945" s="228"/>
      <c r="F945" s="228"/>
      <c r="G945" s="228"/>
      <c r="H945" s="228"/>
      <c r="I945" s="228"/>
      <c r="J945" s="228"/>
      <c r="K945" s="228"/>
      <c r="L945" s="229"/>
      <c r="M945" s="229"/>
      <c r="N945" s="229"/>
      <c r="O945" s="229"/>
      <c r="P945" s="229"/>
      <c r="Q945" s="229"/>
      <c r="R945" s="229"/>
      <c r="S945" s="229"/>
      <c r="T945" s="229"/>
      <c r="U945" s="229"/>
      <c r="V945" s="229"/>
      <c r="W945" s="229"/>
      <c r="X945" s="229"/>
      <c r="Y945" s="229"/>
      <c r="Z945" s="229"/>
      <c r="AA945" s="229"/>
      <c r="AB945" s="229"/>
      <c r="AC945" s="229"/>
    </row>
    <row r="946" spans="1:29" ht="12.75" customHeight="1">
      <c r="A946" s="229"/>
      <c r="B946" s="228"/>
      <c r="C946" s="228"/>
      <c r="D946" s="228"/>
      <c r="E946" s="228"/>
      <c r="F946" s="228"/>
      <c r="G946" s="228"/>
      <c r="H946" s="228"/>
      <c r="I946" s="228"/>
      <c r="J946" s="228"/>
      <c r="K946" s="228"/>
      <c r="L946" s="229"/>
      <c r="M946" s="229"/>
      <c r="N946" s="229"/>
      <c r="O946" s="229"/>
      <c r="P946" s="229"/>
      <c r="Q946" s="229"/>
      <c r="R946" s="229"/>
      <c r="S946" s="229"/>
      <c r="T946" s="229"/>
      <c r="U946" s="229"/>
      <c r="V946" s="229"/>
      <c r="W946" s="229"/>
      <c r="X946" s="229"/>
      <c r="Y946" s="229"/>
      <c r="Z946" s="229"/>
      <c r="AA946" s="229"/>
      <c r="AB946" s="229"/>
      <c r="AC946" s="229"/>
    </row>
    <row r="947" spans="1:29" ht="12.75" customHeight="1">
      <c r="A947" s="229"/>
      <c r="B947" s="228"/>
      <c r="C947" s="228"/>
      <c r="D947" s="228"/>
      <c r="E947" s="228"/>
      <c r="F947" s="228"/>
      <c r="G947" s="228"/>
      <c r="H947" s="228"/>
      <c r="I947" s="228"/>
      <c r="J947" s="228"/>
      <c r="K947" s="228"/>
      <c r="L947" s="229"/>
      <c r="M947" s="229"/>
      <c r="N947" s="229"/>
      <c r="O947" s="229"/>
      <c r="P947" s="229"/>
      <c r="Q947" s="229"/>
      <c r="R947" s="229"/>
      <c r="S947" s="229"/>
      <c r="T947" s="229"/>
      <c r="U947" s="229"/>
      <c r="V947" s="229"/>
      <c r="W947" s="229"/>
      <c r="X947" s="229"/>
      <c r="Y947" s="229"/>
      <c r="Z947" s="229"/>
      <c r="AA947" s="229"/>
      <c r="AB947" s="229"/>
      <c r="AC947" s="229"/>
    </row>
    <row r="948" spans="1:29" ht="12.75" customHeight="1">
      <c r="A948" s="229"/>
      <c r="B948" s="228"/>
      <c r="C948" s="228"/>
      <c r="D948" s="228"/>
      <c r="E948" s="228"/>
      <c r="F948" s="228"/>
      <c r="G948" s="228"/>
      <c r="H948" s="228"/>
      <c r="I948" s="228"/>
      <c r="J948" s="228"/>
      <c r="K948" s="228"/>
      <c r="L948" s="229"/>
      <c r="M948" s="229"/>
      <c r="N948" s="229"/>
      <c r="O948" s="229"/>
      <c r="P948" s="229"/>
      <c r="Q948" s="229"/>
      <c r="R948" s="229"/>
      <c r="S948" s="229"/>
      <c r="T948" s="229"/>
      <c r="U948" s="229"/>
      <c r="V948" s="229"/>
      <c r="W948" s="229"/>
      <c r="X948" s="229"/>
      <c r="Y948" s="229"/>
      <c r="Z948" s="229"/>
      <c r="AA948" s="229"/>
      <c r="AB948" s="229"/>
      <c r="AC948" s="229"/>
    </row>
    <row r="949" spans="1:29" ht="12.75" customHeight="1">
      <c r="A949" s="229"/>
      <c r="B949" s="228"/>
      <c r="C949" s="228"/>
      <c r="D949" s="228"/>
      <c r="E949" s="228"/>
      <c r="F949" s="228"/>
      <c r="G949" s="228"/>
      <c r="H949" s="228"/>
      <c r="I949" s="228"/>
      <c r="J949" s="228"/>
      <c r="K949" s="228"/>
      <c r="L949" s="229"/>
      <c r="M949" s="229"/>
      <c r="N949" s="229"/>
      <c r="O949" s="229"/>
      <c r="P949" s="229"/>
      <c r="Q949" s="229"/>
      <c r="R949" s="229"/>
      <c r="S949" s="229"/>
      <c r="T949" s="229"/>
      <c r="U949" s="229"/>
      <c r="V949" s="229"/>
      <c r="W949" s="229"/>
      <c r="X949" s="229"/>
      <c r="Y949" s="229"/>
      <c r="Z949" s="229"/>
      <c r="AA949" s="229"/>
      <c r="AB949" s="229"/>
      <c r="AC949" s="229"/>
    </row>
    <row r="950" spans="1:29" ht="12.75" customHeight="1">
      <c r="A950" s="229"/>
      <c r="B950" s="228"/>
      <c r="C950" s="228"/>
      <c r="D950" s="228"/>
      <c r="E950" s="228"/>
      <c r="F950" s="228"/>
      <c r="G950" s="228"/>
      <c r="H950" s="228"/>
      <c r="I950" s="228"/>
      <c r="J950" s="228"/>
      <c r="K950" s="228"/>
      <c r="L950" s="229"/>
      <c r="M950" s="229"/>
      <c r="N950" s="229"/>
      <c r="O950" s="229"/>
      <c r="P950" s="229"/>
      <c r="Q950" s="229"/>
      <c r="R950" s="229"/>
      <c r="S950" s="229"/>
      <c r="T950" s="229"/>
      <c r="U950" s="229"/>
      <c r="V950" s="229"/>
      <c r="W950" s="229"/>
      <c r="X950" s="229"/>
      <c r="Y950" s="229"/>
      <c r="Z950" s="229"/>
      <c r="AA950" s="229"/>
      <c r="AB950" s="229"/>
      <c r="AC950" s="229"/>
    </row>
    <row r="951" spans="1:29" ht="12.75" customHeight="1">
      <c r="A951" s="229"/>
      <c r="B951" s="228"/>
      <c r="C951" s="228"/>
      <c r="D951" s="228"/>
      <c r="E951" s="228"/>
      <c r="F951" s="228"/>
      <c r="G951" s="228"/>
      <c r="H951" s="228"/>
      <c r="I951" s="228"/>
      <c r="J951" s="228"/>
      <c r="K951" s="228"/>
      <c r="L951" s="229"/>
      <c r="M951" s="229"/>
      <c r="N951" s="229"/>
      <c r="O951" s="229"/>
      <c r="P951" s="229"/>
      <c r="Q951" s="229"/>
      <c r="R951" s="229"/>
      <c r="S951" s="229"/>
      <c r="T951" s="229"/>
      <c r="U951" s="229"/>
      <c r="V951" s="229"/>
      <c r="W951" s="229"/>
      <c r="X951" s="229"/>
      <c r="Y951" s="229"/>
      <c r="Z951" s="229"/>
      <c r="AA951" s="229"/>
      <c r="AB951" s="229"/>
      <c r="AC951" s="229"/>
    </row>
    <row r="952" spans="1:29" ht="12.75" customHeight="1">
      <c r="A952" s="229"/>
      <c r="B952" s="228"/>
      <c r="C952" s="228"/>
      <c r="D952" s="228"/>
      <c r="E952" s="228"/>
      <c r="F952" s="228"/>
      <c r="G952" s="228"/>
      <c r="H952" s="228"/>
      <c r="I952" s="228"/>
      <c r="J952" s="228"/>
      <c r="K952" s="228"/>
      <c r="L952" s="229"/>
      <c r="M952" s="229"/>
      <c r="N952" s="229"/>
      <c r="O952" s="229"/>
      <c r="P952" s="229"/>
      <c r="Q952" s="229"/>
      <c r="R952" s="229"/>
      <c r="S952" s="229"/>
      <c r="T952" s="229"/>
      <c r="U952" s="229"/>
      <c r="V952" s="229"/>
      <c r="W952" s="229"/>
      <c r="X952" s="229"/>
      <c r="Y952" s="229"/>
      <c r="Z952" s="229"/>
      <c r="AA952" s="229"/>
      <c r="AB952" s="229"/>
      <c r="AC952" s="229"/>
    </row>
    <row r="953" spans="1:29" ht="12.75" customHeight="1">
      <c r="A953" s="229"/>
      <c r="B953" s="228"/>
      <c r="C953" s="228"/>
      <c r="D953" s="228"/>
      <c r="E953" s="228"/>
      <c r="F953" s="228"/>
      <c r="G953" s="228"/>
      <c r="H953" s="228"/>
      <c r="I953" s="228"/>
      <c r="J953" s="228"/>
      <c r="K953" s="228"/>
      <c r="L953" s="229"/>
      <c r="M953" s="229"/>
      <c r="N953" s="229"/>
      <c r="O953" s="229"/>
      <c r="P953" s="229"/>
      <c r="Q953" s="229"/>
      <c r="R953" s="229"/>
      <c r="S953" s="229"/>
      <c r="T953" s="229"/>
      <c r="U953" s="229"/>
      <c r="V953" s="229"/>
      <c r="W953" s="229"/>
      <c r="X953" s="229"/>
      <c r="Y953" s="229"/>
      <c r="Z953" s="229"/>
      <c r="AA953" s="229"/>
      <c r="AB953" s="229"/>
      <c r="AC953" s="229"/>
    </row>
    <row r="954" spans="1:29" ht="12.75" customHeight="1">
      <c r="A954" s="229"/>
      <c r="B954" s="228"/>
      <c r="C954" s="228"/>
      <c r="D954" s="228"/>
      <c r="E954" s="228"/>
      <c r="F954" s="228"/>
      <c r="G954" s="228"/>
      <c r="H954" s="228"/>
      <c r="I954" s="228"/>
      <c r="J954" s="228"/>
      <c r="K954" s="228"/>
      <c r="L954" s="229"/>
      <c r="M954" s="229"/>
      <c r="N954" s="229"/>
      <c r="O954" s="229"/>
      <c r="P954" s="229"/>
      <c r="Q954" s="229"/>
      <c r="R954" s="229"/>
      <c r="S954" s="229"/>
      <c r="T954" s="229"/>
      <c r="U954" s="229"/>
      <c r="V954" s="229"/>
      <c r="W954" s="229"/>
      <c r="X954" s="229"/>
      <c r="Y954" s="229"/>
      <c r="Z954" s="229"/>
      <c r="AA954" s="229"/>
      <c r="AB954" s="229"/>
      <c r="AC954" s="229"/>
    </row>
    <row r="955" spans="1:29" ht="12.75" customHeight="1">
      <c r="A955" s="229"/>
      <c r="B955" s="228"/>
      <c r="C955" s="228"/>
      <c r="D955" s="228"/>
      <c r="E955" s="228"/>
      <c r="F955" s="228"/>
      <c r="G955" s="228"/>
      <c r="H955" s="228"/>
      <c r="I955" s="228"/>
      <c r="J955" s="228"/>
      <c r="K955" s="228"/>
      <c r="L955" s="229"/>
      <c r="M955" s="229"/>
      <c r="N955" s="229"/>
      <c r="O955" s="229"/>
      <c r="P955" s="229"/>
      <c r="Q955" s="229"/>
      <c r="R955" s="229"/>
      <c r="S955" s="229"/>
      <c r="T955" s="229"/>
      <c r="U955" s="229"/>
      <c r="V955" s="229"/>
      <c r="W955" s="229"/>
      <c r="X955" s="229"/>
      <c r="Y955" s="229"/>
      <c r="Z955" s="229"/>
      <c r="AA955" s="229"/>
      <c r="AB955" s="229"/>
      <c r="AC955" s="229"/>
    </row>
    <row r="956" spans="1:29" ht="12.75" customHeight="1">
      <c r="A956" s="229"/>
      <c r="B956" s="228"/>
      <c r="C956" s="228"/>
      <c r="D956" s="228"/>
      <c r="E956" s="228"/>
      <c r="F956" s="228"/>
      <c r="G956" s="228"/>
      <c r="H956" s="228"/>
      <c r="I956" s="228"/>
      <c r="J956" s="228"/>
      <c r="K956" s="228"/>
      <c r="L956" s="229"/>
      <c r="M956" s="229"/>
      <c r="N956" s="229"/>
      <c r="O956" s="229"/>
      <c r="P956" s="229"/>
      <c r="Q956" s="229"/>
      <c r="R956" s="229"/>
      <c r="S956" s="229"/>
      <c r="T956" s="229"/>
      <c r="U956" s="229"/>
      <c r="V956" s="229"/>
      <c r="W956" s="229"/>
      <c r="X956" s="229"/>
      <c r="Y956" s="229"/>
      <c r="Z956" s="229"/>
      <c r="AA956" s="229"/>
      <c r="AB956" s="229"/>
      <c r="AC956" s="229"/>
    </row>
    <row r="957" spans="1:29" ht="12.75" customHeight="1">
      <c r="A957" s="229"/>
      <c r="B957" s="228"/>
      <c r="C957" s="228"/>
      <c r="D957" s="228"/>
      <c r="E957" s="228"/>
      <c r="F957" s="228"/>
      <c r="G957" s="228"/>
      <c r="H957" s="228"/>
      <c r="I957" s="228"/>
      <c r="J957" s="228"/>
      <c r="K957" s="228"/>
      <c r="L957" s="229"/>
      <c r="M957" s="229"/>
      <c r="N957" s="229"/>
      <c r="O957" s="229"/>
      <c r="P957" s="229"/>
      <c r="Q957" s="229"/>
      <c r="R957" s="229"/>
      <c r="S957" s="229"/>
      <c r="T957" s="229"/>
      <c r="U957" s="229"/>
      <c r="V957" s="229"/>
      <c r="W957" s="229"/>
      <c r="X957" s="229"/>
      <c r="Y957" s="229"/>
      <c r="Z957" s="229"/>
      <c r="AA957" s="229"/>
      <c r="AB957" s="229"/>
      <c r="AC957" s="229"/>
    </row>
    <row r="958" spans="1:29" ht="12.75" customHeight="1">
      <c r="A958" s="229"/>
      <c r="B958" s="228"/>
      <c r="C958" s="228"/>
      <c r="D958" s="228"/>
      <c r="E958" s="228"/>
      <c r="F958" s="228"/>
      <c r="G958" s="228"/>
      <c r="H958" s="228"/>
      <c r="I958" s="228"/>
      <c r="J958" s="228"/>
      <c r="K958" s="228"/>
      <c r="L958" s="229"/>
      <c r="M958" s="229"/>
      <c r="N958" s="229"/>
      <c r="O958" s="229"/>
      <c r="P958" s="229"/>
      <c r="Q958" s="229"/>
      <c r="R958" s="229"/>
      <c r="S958" s="229"/>
      <c r="T958" s="229"/>
      <c r="U958" s="229"/>
      <c r="V958" s="229"/>
      <c r="W958" s="229"/>
      <c r="X958" s="229"/>
      <c r="Y958" s="229"/>
      <c r="Z958" s="229"/>
      <c r="AA958" s="229"/>
      <c r="AB958" s="229"/>
      <c r="AC958" s="229"/>
    </row>
    <row r="959" spans="1:29" ht="12.75" customHeight="1">
      <c r="A959" s="229"/>
      <c r="B959" s="228"/>
      <c r="C959" s="228"/>
      <c r="D959" s="228"/>
      <c r="E959" s="228"/>
      <c r="F959" s="228"/>
      <c r="G959" s="228"/>
      <c r="H959" s="228"/>
      <c r="I959" s="228"/>
      <c r="J959" s="228"/>
      <c r="K959" s="228"/>
      <c r="L959" s="229"/>
      <c r="M959" s="229"/>
      <c r="N959" s="229"/>
      <c r="O959" s="229"/>
      <c r="P959" s="229"/>
      <c r="Q959" s="229"/>
      <c r="R959" s="229"/>
      <c r="S959" s="229"/>
      <c r="T959" s="229"/>
      <c r="U959" s="229"/>
      <c r="V959" s="229"/>
      <c r="W959" s="229"/>
      <c r="X959" s="229"/>
      <c r="Y959" s="229"/>
      <c r="Z959" s="229"/>
      <c r="AA959" s="229"/>
      <c r="AB959" s="229"/>
      <c r="AC959" s="229"/>
    </row>
    <row r="960" spans="1:29" ht="12.75" customHeight="1">
      <c r="A960" s="229"/>
      <c r="B960" s="228"/>
      <c r="C960" s="228"/>
      <c r="D960" s="228"/>
      <c r="E960" s="228"/>
      <c r="F960" s="228"/>
      <c r="G960" s="228"/>
      <c r="H960" s="228"/>
      <c r="I960" s="228"/>
      <c r="J960" s="228"/>
      <c r="K960" s="228"/>
      <c r="L960" s="229"/>
      <c r="M960" s="229"/>
      <c r="N960" s="229"/>
      <c r="O960" s="229"/>
      <c r="P960" s="229"/>
      <c r="Q960" s="229"/>
      <c r="R960" s="229"/>
      <c r="S960" s="229"/>
      <c r="T960" s="229"/>
      <c r="U960" s="229"/>
      <c r="V960" s="229"/>
      <c r="W960" s="229"/>
      <c r="X960" s="229"/>
      <c r="Y960" s="229"/>
      <c r="Z960" s="229"/>
      <c r="AA960" s="229"/>
      <c r="AB960" s="229"/>
      <c r="AC960" s="229"/>
    </row>
    <row r="961" spans="1:29" ht="12.75" customHeight="1">
      <c r="A961" s="229"/>
      <c r="B961" s="228"/>
      <c r="C961" s="228"/>
      <c r="D961" s="228"/>
      <c r="E961" s="228"/>
      <c r="F961" s="228"/>
      <c r="G961" s="228"/>
      <c r="H961" s="228"/>
      <c r="I961" s="228"/>
      <c r="J961" s="228"/>
      <c r="K961" s="228"/>
      <c r="L961" s="229"/>
      <c r="M961" s="229"/>
      <c r="N961" s="229"/>
      <c r="O961" s="229"/>
      <c r="P961" s="229"/>
      <c r="Q961" s="229"/>
      <c r="R961" s="229"/>
      <c r="S961" s="229"/>
      <c r="T961" s="229"/>
      <c r="U961" s="229"/>
      <c r="V961" s="229"/>
      <c r="W961" s="229"/>
      <c r="X961" s="229"/>
      <c r="Y961" s="229"/>
      <c r="Z961" s="229"/>
      <c r="AA961" s="229"/>
      <c r="AB961" s="229"/>
      <c r="AC961" s="229"/>
    </row>
    <row r="962" spans="1:29" ht="12.75" customHeight="1">
      <c r="A962" s="229"/>
      <c r="B962" s="228"/>
      <c r="C962" s="228"/>
      <c r="D962" s="228"/>
      <c r="E962" s="228"/>
      <c r="F962" s="228"/>
      <c r="G962" s="228"/>
      <c r="H962" s="228"/>
      <c r="I962" s="228"/>
      <c r="J962" s="228"/>
      <c r="K962" s="228"/>
      <c r="L962" s="229"/>
      <c r="M962" s="229"/>
      <c r="N962" s="229"/>
      <c r="O962" s="229"/>
      <c r="P962" s="229"/>
      <c r="Q962" s="229"/>
      <c r="R962" s="229"/>
      <c r="S962" s="229"/>
      <c r="T962" s="229"/>
      <c r="U962" s="229"/>
      <c r="V962" s="229"/>
      <c r="W962" s="229"/>
      <c r="X962" s="229"/>
      <c r="Y962" s="229"/>
      <c r="Z962" s="229"/>
      <c r="AA962" s="229"/>
      <c r="AB962" s="229"/>
      <c r="AC962" s="229"/>
    </row>
    <row r="963" spans="1:29" ht="12.75" customHeight="1">
      <c r="A963" s="229"/>
      <c r="B963" s="228"/>
      <c r="C963" s="228"/>
      <c r="D963" s="228"/>
      <c r="E963" s="228"/>
      <c r="F963" s="228"/>
      <c r="G963" s="228"/>
      <c r="H963" s="228"/>
      <c r="I963" s="228"/>
      <c r="J963" s="228"/>
      <c r="K963" s="228"/>
      <c r="L963" s="229"/>
      <c r="M963" s="229"/>
      <c r="N963" s="229"/>
      <c r="O963" s="229"/>
      <c r="P963" s="229"/>
      <c r="Q963" s="229"/>
      <c r="R963" s="229"/>
      <c r="S963" s="229"/>
      <c r="T963" s="229"/>
      <c r="U963" s="229"/>
      <c r="V963" s="229"/>
      <c r="W963" s="229"/>
      <c r="X963" s="229"/>
      <c r="Y963" s="229"/>
      <c r="Z963" s="229"/>
      <c r="AA963" s="229"/>
      <c r="AB963" s="229"/>
      <c r="AC963" s="229"/>
    </row>
    <row r="964" spans="1:29" ht="12.75" customHeight="1">
      <c r="A964" s="229"/>
      <c r="B964" s="228"/>
      <c r="C964" s="228"/>
      <c r="D964" s="228"/>
      <c r="E964" s="228"/>
      <c r="F964" s="228"/>
      <c r="G964" s="228"/>
      <c r="H964" s="228"/>
      <c r="I964" s="228"/>
      <c r="J964" s="228"/>
      <c r="K964" s="228"/>
      <c r="L964" s="229"/>
      <c r="M964" s="229"/>
      <c r="N964" s="229"/>
      <c r="O964" s="229"/>
      <c r="P964" s="229"/>
      <c r="Q964" s="229"/>
      <c r="R964" s="229"/>
      <c r="S964" s="229"/>
      <c r="T964" s="229"/>
      <c r="U964" s="229"/>
      <c r="V964" s="229"/>
      <c r="W964" s="229"/>
      <c r="X964" s="229"/>
      <c r="Y964" s="229"/>
      <c r="Z964" s="229"/>
      <c r="AA964" s="229"/>
      <c r="AB964" s="229"/>
      <c r="AC964" s="229"/>
    </row>
    <row r="965" spans="1:29" ht="12.75" customHeight="1">
      <c r="A965" s="229"/>
      <c r="B965" s="228"/>
      <c r="C965" s="228"/>
      <c r="D965" s="228"/>
      <c r="E965" s="228"/>
      <c r="F965" s="228"/>
      <c r="G965" s="228"/>
      <c r="H965" s="228"/>
      <c r="I965" s="228"/>
      <c r="J965" s="228"/>
      <c r="K965" s="228"/>
      <c r="L965" s="229"/>
      <c r="M965" s="229"/>
      <c r="N965" s="229"/>
      <c r="O965" s="229"/>
      <c r="P965" s="229"/>
      <c r="Q965" s="229"/>
      <c r="R965" s="229"/>
      <c r="S965" s="229"/>
      <c r="T965" s="229"/>
      <c r="U965" s="229"/>
      <c r="V965" s="229"/>
      <c r="W965" s="229"/>
      <c r="X965" s="229"/>
      <c r="Y965" s="229"/>
      <c r="Z965" s="229"/>
      <c r="AA965" s="229"/>
      <c r="AB965" s="229"/>
      <c r="AC965" s="229"/>
    </row>
    <row r="966" spans="1:29" ht="12.75" customHeight="1">
      <c r="A966" s="229"/>
      <c r="B966" s="228"/>
      <c r="C966" s="228"/>
      <c r="D966" s="228"/>
      <c r="E966" s="228"/>
      <c r="F966" s="228"/>
      <c r="G966" s="228"/>
      <c r="H966" s="228"/>
      <c r="I966" s="228"/>
      <c r="J966" s="228"/>
      <c r="K966" s="228"/>
      <c r="L966" s="229"/>
      <c r="M966" s="229"/>
      <c r="N966" s="229"/>
      <c r="O966" s="229"/>
      <c r="P966" s="229"/>
      <c r="Q966" s="229"/>
      <c r="R966" s="229"/>
      <c r="S966" s="229"/>
      <c r="T966" s="229"/>
      <c r="U966" s="229"/>
      <c r="V966" s="229"/>
      <c r="W966" s="229"/>
      <c r="X966" s="229"/>
      <c r="Y966" s="229"/>
      <c r="Z966" s="229"/>
      <c r="AA966" s="229"/>
      <c r="AB966" s="229"/>
      <c r="AC966" s="229"/>
    </row>
    <row r="967" spans="1:29" ht="12.75" customHeight="1">
      <c r="A967" s="229"/>
      <c r="B967" s="228"/>
      <c r="C967" s="228"/>
      <c r="D967" s="228"/>
      <c r="E967" s="228"/>
      <c r="F967" s="228"/>
      <c r="G967" s="228"/>
      <c r="H967" s="228"/>
      <c r="I967" s="228"/>
      <c r="J967" s="228"/>
      <c r="K967" s="228"/>
      <c r="L967" s="229"/>
      <c r="M967" s="229"/>
      <c r="N967" s="229"/>
      <c r="O967" s="229"/>
      <c r="P967" s="229"/>
      <c r="Q967" s="229"/>
      <c r="R967" s="229"/>
      <c r="S967" s="229"/>
      <c r="T967" s="229"/>
      <c r="U967" s="229"/>
      <c r="V967" s="229"/>
      <c r="W967" s="229"/>
      <c r="X967" s="229"/>
      <c r="Y967" s="229"/>
      <c r="Z967" s="229"/>
      <c r="AA967" s="229"/>
      <c r="AB967" s="229"/>
      <c r="AC967" s="229"/>
    </row>
    <row r="968" spans="1:29" ht="12.75" customHeight="1">
      <c r="A968" s="229"/>
      <c r="B968" s="228"/>
      <c r="C968" s="228"/>
      <c r="D968" s="228"/>
      <c r="E968" s="228"/>
      <c r="F968" s="228"/>
      <c r="G968" s="228"/>
      <c r="H968" s="228"/>
      <c r="I968" s="228"/>
      <c r="J968" s="228"/>
      <c r="K968" s="228"/>
      <c r="L968" s="229"/>
      <c r="M968" s="229"/>
      <c r="N968" s="229"/>
      <c r="O968" s="229"/>
      <c r="P968" s="229"/>
      <c r="Q968" s="229"/>
      <c r="R968" s="229"/>
      <c r="S968" s="229"/>
      <c r="T968" s="229"/>
      <c r="U968" s="229"/>
      <c r="V968" s="229"/>
      <c r="W968" s="229"/>
      <c r="X968" s="229"/>
      <c r="Y968" s="229"/>
      <c r="Z968" s="229"/>
      <c r="AA968" s="229"/>
      <c r="AB968" s="229"/>
      <c r="AC968" s="229"/>
    </row>
    <row r="969" spans="1:29" ht="12.75" customHeight="1">
      <c r="A969" s="229"/>
      <c r="B969" s="228"/>
      <c r="C969" s="228"/>
      <c r="D969" s="228"/>
      <c r="E969" s="228"/>
      <c r="F969" s="228"/>
      <c r="G969" s="228"/>
      <c r="H969" s="228"/>
      <c r="I969" s="228"/>
      <c r="J969" s="228"/>
      <c r="K969" s="228"/>
      <c r="L969" s="229"/>
      <c r="M969" s="229"/>
      <c r="N969" s="229"/>
      <c r="O969" s="229"/>
      <c r="P969" s="229"/>
      <c r="Q969" s="229"/>
      <c r="R969" s="229"/>
      <c r="S969" s="229"/>
      <c r="T969" s="229"/>
      <c r="U969" s="229"/>
      <c r="V969" s="229"/>
      <c r="W969" s="229"/>
      <c r="X969" s="229"/>
      <c r="Y969" s="229"/>
      <c r="Z969" s="229"/>
      <c r="AA969" s="229"/>
      <c r="AB969" s="229"/>
      <c r="AC969" s="229"/>
    </row>
    <row r="970" spans="1:29" ht="12.75" customHeight="1">
      <c r="A970" s="229"/>
      <c r="B970" s="228"/>
      <c r="C970" s="228"/>
      <c r="D970" s="228"/>
      <c r="E970" s="228"/>
      <c r="F970" s="228"/>
      <c r="G970" s="228"/>
      <c r="H970" s="228"/>
      <c r="I970" s="228"/>
      <c r="J970" s="228"/>
      <c r="K970" s="228"/>
      <c r="L970" s="229"/>
      <c r="M970" s="229"/>
      <c r="N970" s="229"/>
      <c r="O970" s="229"/>
      <c r="P970" s="229"/>
      <c r="Q970" s="229"/>
      <c r="R970" s="229"/>
      <c r="S970" s="229"/>
      <c r="T970" s="229"/>
      <c r="U970" s="229"/>
      <c r="V970" s="229"/>
      <c r="W970" s="229"/>
      <c r="X970" s="229"/>
      <c r="Y970" s="229"/>
      <c r="Z970" s="229"/>
      <c r="AA970" s="229"/>
      <c r="AB970" s="229"/>
      <c r="AC970" s="229"/>
    </row>
    <row r="971" spans="1:29" ht="12.75" customHeight="1">
      <c r="A971" s="229"/>
      <c r="B971" s="228"/>
      <c r="C971" s="228"/>
      <c r="D971" s="228"/>
      <c r="E971" s="228"/>
      <c r="F971" s="228"/>
      <c r="G971" s="228"/>
      <c r="H971" s="228"/>
      <c r="I971" s="228"/>
      <c r="J971" s="228"/>
      <c r="K971" s="228"/>
      <c r="L971" s="229"/>
      <c r="M971" s="229"/>
      <c r="N971" s="229"/>
      <c r="O971" s="229"/>
      <c r="P971" s="229"/>
      <c r="Q971" s="229"/>
      <c r="R971" s="229"/>
      <c r="S971" s="229"/>
      <c r="T971" s="229"/>
      <c r="U971" s="229"/>
      <c r="V971" s="229"/>
      <c r="W971" s="229"/>
      <c r="X971" s="229"/>
      <c r="Y971" s="229"/>
      <c r="Z971" s="229"/>
      <c r="AA971" s="229"/>
      <c r="AB971" s="229"/>
      <c r="AC971" s="229"/>
    </row>
    <row r="972" spans="1:29" ht="12.75" customHeight="1">
      <c r="A972" s="229"/>
      <c r="B972" s="228"/>
      <c r="C972" s="228"/>
      <c r="D972" s="228"/>
      <c r="E972" s="228"/>
      <c r="F972" s="228"/>
      <c r="G972" s="228"/>
      <c r="H972" s="228"/>
      <c r="I972" s="228"/>
      <c r="J972" s="228"/>
      <c r="K972" s="228"/>
      <c r="L972" s="229"/>
      <c r="M972" s="229"/>
      <c r="N972" s="229"/>
      <c r="O972" s="229"/>
      <c r="P972" s="229"/>
      <c r="Q972" s="229"/>
      <c r="R972" s="229"/>
      <c r="S972" s="229"/>
      <c r="T972" s="229"/>
      <c r="U972" s="229"/>
      <c r="V972" s="229"/>
      <c r="W972" s="229"/>
      <c r="X972" s="229"/>
      <c r="Y972" s="229"/>
      <c r="Z972" s="229"/>
      <c r="AA972" s="229"/>
      <c r="AB972" s="229"/>
      <c r="AC972" s="229"/>
    </row>
    <row r="973" spans="1:29" ht="12.75" customHeight="1">
      <c r="A973" s="229"/>
      <c r="B973" s="228"/>
      <c r="C973" s="228"/>
      <c r="D973" s="228"/>
      <c r="E973" s="228"/>
      <c r="F973" s="228"/>
      <c r="G973" s="228"/>
      <c r="H973" s="228"/>
      <c r="I973" s="228"/>
      <c r="J973" s="228"/>
      <c r="K973" s="228"/>
      <c r="L973" s="229"/>
      <c r="M973" s="229"/>
      <c r="N973" s="229"/>
      <c r="O973" s="229"/>
      <c r="P973" s="229"/>
      <c r="Q973" s="229"/>
      <c r="R973" s="229"/>
      <c r="S973" s="229"/>
      <c r="T973" s="229"/>
      <c r="U973" s="229"/>
      <c r="V973" s="229"/>
      <c r="W973" s="229"/>
      <c r="X973" s="229"/>
      <c r="Y973" s="229"/>
      <c r="Z973" s="229"/>
      <c r="AA973" s="229"/>
      <c r="AB973" s="229"/>
      <c r="AC973" s="229"/>
    </row>
    <row r="974" spans="1:29" ht="12.75" customHeight="1">
      <c r="A974" s="229"/>
      <c r="B974" s="228"/>
      <c r="C974" s="228"/>
      <c r="D974" s="228"/>
      <c r="E974" s="228"/>
      <c r="F974" s="228"/>
      <c r="G974" s="228"/>
      <c r="H974" s="228"/>
      <c r="I974" s="228"/>
      <c r="J974" s="228"/>
      <c r="K974" s="228"/>
      <c r="L974" s="229"/>
      <c r="M974" s="229"/>
      <c r="N974" s="229"/>
      <c r="O974" s="229"/>
      <c r="P974" s="229"/>
      <c r="Q974" s="229"/>
      <c r="R974" s="229"/>
      <c r="S974" s="229"/>
      <c r="T974" s="229"/>
      <c r="U974" s="229"/>
      <c r="V974" s="229"/>
      <c r="W974" s="229"/>
      <c r="X974" s="229"/>
      <c r="Y974" s="229"/>
      <c r="Z974" s="229"/>
      <c r="AA974" s="229"/>
      <c r="AB974" s="229"/>
      <c r="AC974" s="229"/>
    </row>
    <row r="975" spans="1:29" ht="12.75" customHeight="1">
      <c r="A975" s="229"/>
      <c r="B975" s="228"/>
      <c r="C975" s="228"/>
      <c r="D975" s="228"/>
      <c r="E975" s="228"/>
      <c r="F975" s="228"/>
      <c r="G975" s="228"/>
      <c r="H975" s="228"/>
      <c r="I975" s="228"/>
      <c r="J975" s="228"/>
      <c r="K975" s="228"/>
      <c r="L975" s="229"/>
      <c r="M975" s="229"/>
      <c r="N975" s="229"/>
      <c r="O975" s="229"/>
      <c r="P975" s="229"/>
      <c r="Q975" s="229"/>
      <c r="R975" s="229"/>
      <c r="S975" s="229"/>
      <c r="T975" s="229"/>
      <c r="U975" s="229"/>
      <c r="V975" s="229"/>
      <c r="W975" s="229"/>
      <c r="X975" s="229"/>
      <c r="Y975" s="229"/>
      <c r="Z975" s="229"/>
      <c r="AA975" s="229"/>
      <c r="AB975" s="229"/>
      <c r="AC975" s="229"/>
    </row>
    <row r="976" spans="1:29" ht="12.75" customHeight="1">
      <c r="A976" s="229"/>
      <c r="B976" s="228"/>
      <c r="C976" s="228"/>
      <c r="D976" s="228"/>
      <c r="E976" s="228"/>
      <c r="F976" s="228"/>
      <c r="G976" s="228"/>
      <c r="H976" s="228"/>
      <c r="I976" s="228"/>
      <c r="J976" s="228"/>
      <c r="K976" s="228"/>
      <c r="L976" s="229"/>
      <c r="M976" s="229"/>
      <c r="N976" s="229"/>
      <c r="O976" s="229"/>
      <c r="P976" s="229"/>
      <c r="Q976" s="229"/>
      <c r="R976" s="229"/>
      <c r="S976" s="229"/>
      <c r="T976" s="229"/>
      <c r="U976" s="229"/>
      <c r="V976" s="229"/>
      <c r="W976" s="229"/>
      <c r="X976" s="229"/>
      <c r="Y976" s="229"/>
      <c r="Z976" s="229"/>
      <c r="AA976" s="229"/>
      <c r="AB976" s="229"/>
      <c r="AC976" s="229"/>
    </row>
    <row r="977" spans="1:29" ht="12.75" customHeight="1">
      <c r="A977" s="229"/>
      <c r="B977" s="228"/>
      <c r="C977" s="228"/>
      <c r="D977" s="228"/>
      <c r="E977" s="228"/>
      <c r="F977" s="228"/>
      <c r="G977" s="228"/>
      <c r="H977" s="228"/>
      <c r="I977" s="228"/>
      <c r="J977" s="228"/>
      <c r="K977" s="228"/>
      <c r="L977" s="229"/>
      <c r="M977" s="229"/>
      <c r="N977" s="229"/>
      <c r="O977" s="229"/>
      <c r="P977" s="229"/>
      <c r="Q977" s="229"/>
      <c r="R977" s="229"/>
      <c r="S977" s="229"/>
      <c r="T977" s="229"/>
      <c r="U977" s="229"/>
      <c r="V977" s="229"/>
      <c r="W977" s="229"/>
      <c r="X977" s="229"/>
      <c r="Y977" s="229"/>
      <c r="Z977" s="229"/>
      <c r="AA977" s="229"/>
      <c r="AB977" s="229"/>
      <c r="AC977" s="229"/>
    </row>
    <row r="978" spans="1:29" ht="12.75" customHeight="1">
      <c r="A978" s="229"/>
      <c r="B978" s="228"/>
      <c r="C978" s="228"/>
      <c r="D978" s="228"/>
      <c r="E978" s="228"/>
      <c r="F978" s="228"/>
      <c r="G978" s="228"/>
      <c r="H978" s="228"/>
      <c r="I978" s="228"/>
      <c r="J978" s="228"/>
      <c r="K978" s="228"/>
      <c r="L978" s="229"/>
      <c r="M978" s="229"/>
      <c r="N978" s="229"/>
      <c r="O978" s="229"/>
      <c r="P978" s="229"/>
      <c r="Q978" s="229"/>
      <c r="R978" s="229"/>
      <c r="S978" s="229"/>
      <c r="T978" s="229"/>
      <c r="U978" s="229"/>
      <c r="V978" s="229"/>
      <c r="W978" s="229"/>
      <c r="X978" s="229"/>
      <c r="Y978" s="229"/>
      <c r="Z978" s="229"/>
      <c r="AA978" s="229"/>
      <c r="AB978" s="229"/>
      <c r="AC978" s="229"/>
    </row>
    <row r="979" spans="1:29" ht="12.75" customHeight="1">
      <c r="A979" s="229"/>
      <c r="B979" s="228"/>
      <c r="C979" s="228"/>
      <c r="D979" s="228"/>
      <c r="E979" s="228"/>
      <c r="F979" s="228"/>
      <c r="G979" s="228"/>
      <c r="H979" s="228"/>
      <c r="I979" s="228"/>
      <c r="J979" s="228"/>
      <c r="K979" s="228"/>
      <c r="L979" s="229"/>
      <c r="M979" s="229"/>
      <c r="N979" s="229"/>
      <c r="O979" s="229"/>
      <c r="P979" s="229"/>
      <c r="Q979" s="229"/>
      <c r="R979" s="229"/>
      <c r="S979" s="229"/>
      <c r="T979" s="229"/>
      <c r="U979" s="229"/>
      <c r="V979" s="229"/>
      <c r="W979" s="229"/>
      <c r="X979" s="229"/>
      <c r="Y979" s="229"/>
      <c r="Z979" s="229"/>
      <c r="AA979" s="229"/>
      <c r="AB979" s="229"/>
      <c r="AC979" s="229"/>
    </row>
    <row r="980" spans="1:29" ht="12.75" customHeight="1">
      <c r="A980" s="229"/>
      <c r="B980" s="228"/>
      <c r="C980" s="228"/>
      <c r="D980" s="228"/>
      <c r="E980" s="228"/>
      <c r="F980" s="228"/>
      <c r="G980" s="228"/>
      <c r="H980" s="228"/>
      <c r="I980" s="228"/>
      <c r="J980" s="228"/>
      <c r="K980" s="228"/>
      <c r="L980" s="229"/>
      <c r="M980" s="229"/>
      <c r="N980" s="229"/>
      <c r="O980" s="229"/>
      <c r="P980" s="229"/>
      <c r="Q980" s="229"/>
      <c r="R980" s="229"/>
      <c r="S980" s="229"/>
      <c r="T980" s="229"/>
      <c r="U980" s="229"/>
      <c r="V980" s="229"/>
      <c r="W980" s="229"/>
      <c r="X980" s="229"/>
      <c r="Y980" s="229"/>
      <c r="Z980" s="229"/>
      <c r="AA980" s="229"/>
      <c r="AB980" s="229"/>
      <c r="AC980" s="229"/>
    </row>
    <row r="981" spans="1:29" ht="12.75" customHeight="1">
      <c r="A981" s="229"/>
      <c r="B981" s="228"/>
      <c r="C981" s="228"/>
      <c r="D981" s="228"/>
      <c r="E981" s="228"/>
      <c r="F981" s="228"/>
      <c r="G981" s="228"/>
      <c r="H981" s="228"/>
      <c r="I981" s="228"/>
      <c r="J981" s="228"/>
      <c r="K981" s="228"/>
      <c r="L981" s="229"/>
      <c r="M981" s="229"/>
      <c r="N981" s="229"/>
      <c r="O981" s="229"/>
      <c r="P981" s="229"/>
      <c r="Q981" s="229"/>
      <c r="R981" s="229"/>
      <c r="S981" s="229"/>
      <c r="T981" s="229"/>
      <c r="U981" s="229"/>
      <c r="V981" s="229"/>
      <c r="W981" s="229"/>
      <c r="X981" s="229"/>
      <c r="Y981" s="229"/>
      <c r="Z981" s="229"/>
      <c r="AA981" s="229"/>
      <c r="AB981" s="229"/>
      <c r="AC981" s="229"/>
    </row>
    <row r="982" spans="1:29" ht="12.75" customHeight="1">
      <c r="A982" s="229"/>
      <c r="B982" s="228"/>
      <c r="C982" s="228"/>
      <c r="D982" s="228"/>
      <c r="E982" s="228"/>
      <c r="F982" s="228"/>
      <c r="G982" s="228"/>
      <c r="H982" s="228"/>
      <c r="I982" s="228"/>
      <c r="J982" s="228"/>
      <c r="K982" s="228"/>
      <c r="L982" s="229"/>
      <c r="M982" s="229"/>
      <c r="N982" s="229"/>
      <c r="O982" s="229"/>
      <c r="P982" s="229"/>
      <c r="Q982" s="229"/>
      <c r="R982" s="229"/>
      <c r="S982" s="229"/>
      <c r="T982" s="229"/>
      <c r="U982" s="229"/>
      <c r="V982" s="229"/>
      <c r="W982" s="229"/>
      <c r="X982" s="229"/>
      <c r="Y982" s="229"/>
      <c r="Z982" s="229"/>
      <c r="AA982" s="229"/>
      <c r="AB982" s="229"/>
      <c r="AC982" s="229"/>
    </row>
    <row r="983" spans="1:29" ht="12.75" customHeight="1">
      <c r="A983" s="229"/>
      <c r="B983" s="228"/>
      <c r="C983" s="228"/>
      <c r="D983" s="228"/>
      <c r="E983" s="228"/>
      <c r="F983" s="228"/>
      <c r="G983" s="228"/>
      <c r="H983" s="228"/>
      <c r="I983" s="228"/>
      <c r="J983" s="228"/>
      <c r="K983" s="228"/>
      <c r="L983" s="229"/>
      <c r="M983" s="229"/>
      <c r="N983" s="229"/>
      <c r="O983" s="229"/>
      <c r="P983" s="229"/>
      <c r="Q983" s="229"/>
      <c r="R983" s="229"/>
      <c r="S983" s="229"/>
      <c r="T983" s="229"/>
      <c r="U983" s="229"/>
      <c r="V983" s="229"/>
      <c r="W983" s="229"/>
      <c r="X983" s="229"/>
      <c r="Y983" s="229"/>
      <c r="Z983" s="229"/>
      <c r="AA983" s="229"/>
      <c r="AB983" s="229"/>
      <c r="AC983" s="229"/>
    </row>
    <row r="984" spans="1:29" ht="12.75" customHeight="1">
      <c r="A984" s="229"/>
      <c r="B984" s="228"/>
      <c r="C984" s="228"/>
      <c r="D984" s="228"/>
      <c r="E984" s="228"/>
      <c r="F984" s="228"/>
      <c r="G984" s="228"/>
      <c r="H984" s="228"/>
      <c r="I984" s="228"/>
      <c r="J984" s="228"/>
      <c r="K984" s="228"/>
      <c r="L984" s="229"/>
      <c r="M984" s="229"/>
      <c r="N984" s="229"/>
      <c r="O984" s="229"/>
      <c r="P984" s="229"/>
      <c r="Q984" s="229"/>
      <c r="R984" s="229"/>
      <c r="S984" s="229"/>
      <c r="T984" s="229"/>
      <c r="U984" s="229"/>
      <c r="V984" s="229"/>
      <c r="W984" s="229"/>
      <c r="X984" s="229"/>
      <c r="Y984" s="229"/>
      <c r="Z984" s="229"/>
      <c r="AA984" s="229"/>
      <c r="AB984" s="229"/>
      <c r="AC984" s="229"/>
    </row>
    <row r="985" spans="1:29" ht="12.75" customHeight="1">
      <c r="A985" s="229"/>
      <c r="B985" s="228"/>
      <c r="C985" s="228"/>
      <c r="D985" s="228"/>
      <c r="E985" s="228"/>
      <c r="F985" s="228"/>
      <c r="G985" s="228"/>
      <c r="H985" s="228"/>
      <c r="I985" s="228"/>
      <c r="J985" s="228"/>
      <c r="K985" s="228"/>
      <c r="L985" s="229"/>
      <c r="M985" s="229"/>
      <c r="N985" s="229"/>
      <c r="O985" s="229"/>
      <c r="P985" s="229"/>
      <c r="Q985" s="229"/>
      <c r="R985" s="229"/>
      <c r="S985" s="229"/>
      <c r="T985" s="229"/>
      <c r="U985" s="229"/>
      <c r="V985" s="229"/>
      <c r="W985" s="229"/>
      <c r="X985" s="229"/>
      <c r="Y985" s="229"/>
      <c r="Z985" s="229"/>
      <c r="AA985" s="229"/>
      <c r="AB985" s="229"/>
      <c r="AC985" s="229"/>
    </row>
    <row r="986" spans="1:29" ht="12.75" customHeight="1">
      <c r="A986" s="229"/>
      <c r="B986" s="228"/>
      <c r="C986" s="228"/>
      <c r="D986" s="228"/>
      <c r="E986" s="228"/>
      <c r="F986" s="228"/>
      <c r="G986" s="228"/>
      <c r="H986" s="228"/>
      <c r="I986" s="228"/>
      <c r="J986" s="228"/>
      <c r="K986" s="228"/>
      <c r="L986" s="229"/>
      <c r="M986" s="229"/>
      <c r="N986" s="229"/>
      <c r="O986" s="229"/>
      <c r="P986" s="229"/>
      <c r="Q986" s="229"/>
      <c r="R986" s="229"/>
      <c r="S986" s="229"/>
      <c r="T986" s="229"/>
      <c r="U986" s="229"/>
      <c r="V986" s="229"/>
      <c r="W986" s="229"/>
      <c r="X986" s="229"/>
      <c r="Y986" s="229"/>
      <c r="Z986" s="229"/>
      <c r="AA986" s="229"/>
      <c r="AB986" s="229"/>
      <c r="AC986" s="229"/>
    </row>
    <row r="987" spans="1:29" ht="12.75" customHeight="1">
      <c r="A987" s="229"/>
      <c r="B987" s="228"/>
      <c r="C987" s="228"/>
      <c r="D987" s="228"/>
      <c r="E987" s="228"/>
      <c r="F987" s="228"/>
      <c r="G987" s="228"/>
      <c r="H987" s="228"/>
      <c r="I987" s="228"/>
      <c r="J987" s="228"/>
      <c r="K987" s="228"/>
      <c r="L987" s="229"/>
      <c r="M987" s="229"/>
      <c r="N987" s="229"/>
      <c r="O987" s="229"/>
      <c r="P987" s="229"/>
      <c r="Q987" s="229"/>
      <c r="R987" s="229"/>
      <c r="S987" s="229"/>
      <c r="T987" s="229"/>
      <c r="U987" s="229"/>
      <c r="V987" s="229"/>
      <c r="W987" s="229"/>
      <c r="X987" s="229"/>
      <c r="Y987" s="229"/>
      <c r="Z987" s="229"/>
      <c r="AA987" s="229"/>
      <c r="AB987" s="229"/>
      <c r="AC987" s="229"/>
    </row>
    <row r="988" spans="1:29" ht="12.75" customHeight="1">
      <c r="A988" s="229"/>
      <c r="B988" s="228"/>
      <c r="C988" s="228"/>
      <c r="D988" s="228"/>
      <c r="E988" s="228"/>
      <c r="F988" s="228"/>
      <c r="G988" s="228"/>
      <c r="H988" s="228"/>
      <c r="I988" s="228"/>
      <c r="J988" s="228"/>
      <c r="K988" s="228"/>
      <c r="L988" s="229"/>
      <c r="M988" s="229"/>
      <c r="N988" s="229"/>
      <c r="O988" s="229"/>
      <c r="P988" s="229"/>
      <c r="Q988" s="229"/>
      <c r="R988" s="229"/>
      <c r="S988" s="229"/>
      <c r="T988" s="229"/>
      <c r="U988" s="229"/>
      <c r="V988" s="229"/>
      <c r="W988" s="229"/>
      <c r="X988" s="229"/>
      <c r="Y988" s="229"/>
      <c r="Z988" s="229"/>
      <c r="AA988" s="229"/>
      <c r="AB988" s="229"/>
      <c r="AC988" s="229"/>
    </row>
    <row r="989" spans="1:29" ht="12.75" customHeight="1">
      <c r="A989" s="229"/>
      <c r="B989" s="228"/>
      <c r="C989" s="228"/>
      <c r="D989" s="228"/>
      <c r="E989" s="228"/>
      <c r="F989" s="228"/>
      <c r="G989" s="228"/>
      <c r="H989" s="228"/>
      <c r="I989" s="228"/>
      <c r="J989" s="228"/>
      <c r="K989" s="228"/>
      <c r="L989" s="229"/>
      <c r="M989" s="229"/>
      <c r="N989" s="229"/>
      <c r="O989" s="229"/>
      <c r="P989" s="229"/>
      <c r="Q989" s="229"/>
      <c r="R989" s="229"/>
      <c r="S989" s="229"/>
      <c r="T989" s="229"/>
      <c r="U989" s="229"/>
      <c r="V989" s="229"/>
      <c r="W989" s="229"/>
      <c r="X989" s="229"/>
      <c r="Y989" s="229"/>
      <c r="Z989" s="229"/>
      <c r="AA989" s="229"/>
      <c r="AB989" s="229"/>
      <c r="AC989" s="229"/>
    </row>
    <row r="990" spans="1:29" ht="12.75" customHeight="1">
      <c r="A990" s="229"/>
      <c r="B990" s="228"/>
      <c r="C990" s="228"/>
      <c r="D990" s="228"/>
      <c r="E990" s="228"/>
      <c r="F990" s="228"/>
      <c r="G990" s="228"/>
      <c r="H990" s="228"/>
      <c r="I990" s="228"/>
      <c r="J990" s="228"/>
      <c r="K990" s="228"/>
      <c r="L990" s="229"/>
      <c r="M990" s="229"/>
      <c r="N990" s="229"/>
      <c r="O990" s="229"/>
      <c r="P990" s="229"/>
      <c r="Q990" s="229"/>
      <c r="R990" s="229"/>
      <c r="S990" s="229"/>
      <c r="T990" s="229"/>
      <c r="U990" s="229"/>
      <c r="V990" s="229"/>
      <c r="W990" s="229"/>
      <c r="X990" s="229"/>
      <c r="Y990" s="229"/>
      <c r="Z990" s="229"/>
      <c r="AA990" s="229"/>
      <c r="AB990" s="229"/>
      <c r="AC990" s="229"/>
    </row>
    <row r="991" spans="1:29" ht="12.75" customHeight="1">
      <c r="A991" s="229"/>
      <c r="B991" s="228"/>
      <c r="C991" s="228"/>
      <c r="D991" s="228"/>
      <c r="E991" s="228"/>
      <c r="F991" s="228"/>
      <c r="G991" s="228"/>
      <c r="H991" s="228"/>
      <c r="I991" s="228"/>
      <c r="J991" s="228"/>
      <c r="K991" s="228"/>
      <c r="L991" s="229"/>
      <c r="M991" s="229"/>
      <c r="N991" s="229"/>
      <c r="O991" s="229"/>
      <c r="P991" s="229"/>
      <c r="Q991" s="229"/>
      <c r="R991" s="229"/>
      <c r="S991" s="229"/>
      <c r="T991" s="229"/>
      <c r="U991" s="229"/>
      <c r="V991" s="229"/>
      <c r="W991" s="229"/>
      <c r="X991" s="229"/>
      <c r="Y991" s="229"/>
      <c r="Z991" s="229"/>
      <c r="AA991" s="229"/>
      <c r="AB991" s="229"/>
      <c r="AC991" s="229"/>
    </row>
    <row r="992" spans="1:29" ht="12.75" customHeight="1">
      <c r="A992" s="229"/>
      <c r="B992" s="228"/>
      <c r="C992" s="228"/>
      <c r="D992" s="228"/>
      <c r="E992" s="228"/>
      <c r="F992" s="228"/>
      <c r="G992" s="228"/>
      <c r="H992" s="228"/>
      <c r="I992" s="228"/>
      <c r="J992" s="228"/>
      <c r="K992" s="228"/>
      <c r="L992" s="229"/>
      <c r="M992" s="229"/>
      <c r="N992" s="229"/>
      <c r="O992" s="229"/>
      <c r="P992" s="229"/>
      <c r="Q992" s="229"/>
      <c r="R992" s="229"/>
      <c r="S992" s="229"/>
      <c r="T992" s="229"/>
      <c r="U992" s="229"/>
      <c r="V992" s="229"/>
      <c r="W992" s="229"/>
      <c r="X992" s="229"/>
      <c r="Y992" s="229"/>
      <c r="Z992" s="229"/>
      <c r="AA992" s="229"/>
      <c r="AB992" s="229"/>
      <c r="AC992" s="229"/>
    </row>
    <row r="993" spans="1:29" ht="12.75" customHeight="1">
      <c r="A993" s="229"/>
      <c r="B993" s="228"/>
      <c r="C993" s="228"/>
      <c r="D993" s="228"/>
      <c r="E993" s="228"/>
      <c r="F993" s="228"/>
      <c r="G993" s="228"/>
      <c r="H993" s="228"/>
      <c r="I993" s="228"/>
      <c r="J993" s="228"/>
      <c r="K993" s="228"/>
      <c r="L993" s="229"/>
      <c r="M993" s="229"/>
      <c r="N993" s="229"/>
      <c r="O993" s="229"/>
      <c r="P993" s="229"/>
      <c r="Q993" s="229"/>
      <c r="R993" s="229"/>
      <c r="S993" s="229"/>
      <c r="T993" s="229"/>
      <c r="U993" s="229"/>
      <c r="V993" s="229"/>
      <c r="W993" s="229"/>
      <c r="X993" s="229"/>
      <c r="Y993" s="229"/>
      <c r="Z993" s="229"/>
      <c r="AA993" s="229"/>
      <c r="AB993" s="229"/>
      <c r="AC993" s="229"/>
    </row>
    <row r="994" spans="1:29" ht="12.75" customHeight="1">
      <c r="A994" s="229"/>
      <c r="B994" s="228"/>
      <c r="C994" s="228"/>
      <c r="D994" s="228"/>
      <c r="E994" s="228"/>
      <c r="F994" s="228"/>
      <c r="G994" s="228"/>
      <c r="H994" s="228"/>
      <c r="I994" s="228"/>
      <c r="J994" s="228"/>
      <c r="K994" s="228"/>
      <c r="L994" s="229"/>
      <c r="M994" s="229"/>
      <c r="N994" s="229"/>
      <c r="O994" s="229"/>
      <c r="P994" s="229"/>
      <c r="Q994" s="229"/>
      <c r="R994" s="229"/>
      <c r="S994" s="229"/>
      <c r="T994" s="229"/>
      <c r="U994" s="229"/>
      <c r="V994" s="229"/>
      <c r="W994" s="229"/>
      <c r="X994" s="229"/>
      <c r="Y994" s="229"/>
      <c r="Z994" s="229"/>
      <c r="AA994" s="229"/>
      <c r="AB994" s="229"/>
      <c r="AC994" s="229"/>
    </row>
    <row r="995" spans="1:29" ht="12.75" customHeight="1">
      <c r="A995" s="229"/>
      <c r="B995" s="228"/>
      <c r="C995" s="228"/>
      <c r="D995" s="228"/>
      <c r="E995" s="228"/>
      <c r="F995" s="228"/>
      <c r="G995" s="228"/>
      <c r="H995" s="228"/>
      <c r="I995" s="228"/>
      <c r="J995" s="228"/>
      <c r="K995" s="228"/>
      <c r="L995" s="229"/>
      <c r="M995" s="229"/>
      <c r="N995" s="229"/>
      <c r="O995" s="229"/>
      <c r="P995" s="229"/>
      <c r="Q995" s="229"/>
      <c r="R995" s="229"/>
      <c r="S995" s="229"/>
      <c r="T995" s="229"/>
      <c r="U995" s="229"/>
      <c r="V995" s="229"/>
      <c r="W995" s="229"/>
      <c r="X995" s="229"/>
      <c r="Y995" s="229"/>
      <c r="Z995" s="229"/>
      <c r="AA995" s="229"/>
      <c r="AB995" s="229"/>
      <c r="AC995" s="229"/>
    </row>
    <row r="996" spans="1:29" ht="12.75" customHeight="1">
      <c r="A996" s="229"/>
      <c r="B996" s="228"/>
      <c r="C996" s="228"/>
      <c r="D996" s="228"/>
      <c r="E996" s="228"/>
      <c r="F996" s="228"/>
      <c r="G996" s="228"/>
      <c r="H996" s="228"/>
      <c r="I996" s="228"/>
      <c r="J996" s="228"/>
      <c r="K996" s="228"/>
      <c r="L996" s="229"/>
      <c r="M996" s="229"/>
      <c r="N996" s="229"/>
      <c r="O996" s="229"/>
      <c r="P996" s="229"/>
      <c r="Q996" s="229"/>
      <c r="R996" s="229"/>
      <c r="S996" s="229"/>
      <c r="T996" s="229"/>
      <c r="U996" s="229"/>
      <c r="V996" s="229"/>
      <c r="W996" s="229"/>
      <c r="X996" s="229"/>
      <c r="Y996" s="229"/>
      <c r="Z996" s="229"/>
      <c r="AA996" s="229"/>
      <c r="AB996" s="229"/>
      <c r="AC996" s="229"/>
    </row>
    <row r="997" spans="1:29" ht="12.75" customHeight="1">
      <c r="A997" s="229"/>
      <c r="B997" s="228"/>
      <c r="C997" s="228"/>
      <c r="D997" s="228"/>
      <c r="E997" s="228"/>
      <c r="F997" s="228"/>
      <c r="G997" s="228"/>
      <c r="H997" s="228"/>
      <c r="I997" s="228"/>
      <c r="J997" s="228"/>
      <c r="K997" s="228"/>
      <c r="L997" s="229"/>
      <c r="M997" s="229"/>
      <c r="N997" s="229"/>
      <c r="O997" s="229"/>
      <c r="P997" s="229"/>
      <c r="Q997" s="229"/>
      <c r="R997" s="229"/>
      <c r="S997" s="229"/>
      <c r="T997" s="229"/>
      <c r="U997" s="229"/>
      <c r="V997" s="229"/>
      <c r="W997" s="229"/>
      <c r="X997" s="229"/>
      <c r="Y997" s="229"/>
      <c r="Z997" s="229"/>
      <c r="AA997" s="229"/>
      <c r="AB997" s="229"/>
      <c r="AC997" s="229"/>
    </row>
    <row r="998" spans="1:29" ht="12.75" customHeight="1">
      <c r="A998" s="229"/>
      <c r="B998" s="228"/>
      <c r="C998" s="228"/>
      <c r="D998" s="228"/>
      <c r="E998" s="228"/>
      <c r="F998" s="228"/>
      <c r="G998" s="228"/>
      <c r="H998" s="228"/>
      <c r="I998" s="228"/>
      <c r="J998" s="228"/>
      <c r="K998" s="228"/>
      <c r="L998" s="229"/>
      <c r="M998" s="229"/>
      <c r="N998" s="229"/>
      <c r="O998" s="229"/>
      <c r="P998" s="229"/>
      <c r="Q998" s="229"/>
      <c r="R998" s="229"/>
      <c r="S998" s="229"/>
      <c r="T998" s="229"/>
      <c r="U998" s="229"/>
      <c r="V998" s="229"/>
      <c r="W998" s="229"/>
      <c r="X998" s="229"/>
      <c r="Y998" s="229"/>
      <c r="Z998" s="229"/>
      <c r="AA998" s="229"/>
      <c r="AB998" s="229"/>
      <c r="AC998" s="229"/>
    </row>
    <row r="999" spans="1:29" ht="12.75" customHeight="1">
      <c r="A999" s="229"/>
      <c r="B999" s="228"/>
      <c r="C999" s="228"/>
      <c r="D999" s="228"/>
      <c r="E999" s="228"/>
      <c r="F999" s="228"/>
      <c r="G999" s="228"/>
      <c r="H999" s="228"/>
      <c r="I999" s="228"/>
      <c r="J999" s="228"/>
      <c r="K999" s="228"/>
      <c r="L999" s="229"/>
      <c r="M999" s="229"/>
      <c r="N999" s="229"/>
      <c r="O999" s="229"/>
      <c r="P999" s="229"/>
      <c r="Q999" s="229"/>
      <c r="R999" s="229"/>
      <c r="S999" s="229"/>
      <c r="T999" s="229"/>
      <c r="U999" s="229"/>
      <c r="V999" s="229"/>
      <c r="W999" s="229"/>
      <c r="X999" s="229"/>
      <c r="Y999" s="229"/>
      <c r="Z999" s="229"/>
      <c r="AA999" s="229"/>
      <c r="AB999" s="229"/>
      <c r="AC999" s="229"/>
    </row>
    <row r="1000" spans="1:29" ht="12.75" customHeight="1">
      <c r="A1000" s="229"/>
      <c r="B1000" s="228"/>
      <c r="C1000" s="228"/>
      <c r="D1000" s="228"/>
      <c r="E1000" s="228"/>
      <c r="F1000" s="228"/>
      <c r="G1000" s="228"/>
      <c r="H1000" s="228"/>
      <c r="I1000" s="228"/>
      <c r="J1000" s="228"/>
      <c r="K1000" s="228"/>
      <c r="L1000" s="229"/>
      <c r="M1000" s="229"/>
      <c r="N1000" s="229"/>
      <c r="O1000" s="229"/>
      <c r="P1000" s="229"/>
      <c r="Q1000" s="229"/>
      <c r="R1000" s="229"/>
      <c r="S1000" s="229"/>
      <c r="T1000" s="229"/>
      <c r="U1000" s="229"/>
      <c r="V1000" s="229"/>
      <c r="W1000" s="229"/>
      <c r="X1000" s="229"/>
      <c r="Y1000" s="229"/>
      <c r="Z1000" s="229"/>
      <c r="AA1000" s="229"/>
      <c r="AB1000" s="229"/>
      <c r="AC1000" s="229"/>
    </row>
  </sheetData>
  <mergeCells count="9">
    <mergeCell ref="B21:B22"/>
    <mergeCell ref="A24:H24"/>
    <mergeCell ref="A1:H1"/>
    <mergeCell ref="A3:A4"/>
    <mergeCell ref="B3:D3"/>
    <mergeCell ref="E3:E4"/>
    <mergeCell ref="H3:H4"/>
    <mergeCell ref="D20:E20"/>
    <mergeCell ref="G20:H20"/>
  </mergeCells>
  <pageMargins left="0.7" right="0.7" top="0.51" bottom="0.75" header="0.51180555555555496" footer="0.51180555555555496"/>
  <pageSetup scale="86" firstPageNumber="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20</vt:i4>
      </vt:variant>
      <vt:variant>
        <vt:lpstr>Intervalos Nomeados</vt:lpstr>
      </vt:variant>
      <vt:variant>
        <vt:i4>33</vt:i4>
      </vt:variant>
    </vt:vector>
  </HeadingPairs>
  <TitlesOfParts>
    <vt:vector size="53" baseType="lpstr">
      <vt:lpstr>RESUMO</vt:lpstr>
      <vt:lpstr>UNID_ADMINISTRATIVA</vt:lpstr>
      <vt:lpstr>VISITA_ÍNTIMA</vt:lpstr>
      <vt:lpstr>UNID_CONTROLE</vt:lpstr>
      <vt:lpstr>COB_VISITANTES</vt:lpstr>
      <vt:lpstr>GUARITA</vt:lpstr>
      <vt:lpstr>CASA_MOTOR_BOMBA</vt:lpstr>
      <vt:lpstr>QUADRA</vt:lpstr>
      <vt:lpstr>PROTEGIDA_COMPARTILHADA</vt:lpstr>
      <vt:lpstr>PASSARELA</vt:lpstr>
      <vt:lpstr>UNID_SERVIÇOS</vt:lpstr>
      <vt:lpstr>CASA_GRUPO_GERADOR</vt:lpstr>
      <vt:lpstr>VESTIÁRIO</vt:lpstr>
      <vt:lpstr>GALPÃO</vt:lpstr>
      <vt:lpstr>COMPOS</vt:lpstr>
      <vt:lpstr>SINAPI_NOV2020_NDES</vt:lpstr>
      <vt:lpstr>IMPLANTAÇÃO</vt:lpstr>
      <vt:lpstr>CRONOGRAMA </vt:lpstr>
      <vt:lpstr>BDI</vt:lpstr>
      <vt:lpstr>DEMOSTRATIVO DE PREÇOS</vt:lpstr>
      <vt:lpstr>BDI!Area_de_impressao</vt:lpstr>
      <vt:lpstr>CASA_GRUPO_GERADOR!Area_de_impressao</vt:lpstr>
      <vt:lpstr>CASA_MOTOR_BOMBA!Area_de_impressao</vt:lpstr>
      <vt:lpstr>COB_VISITANTES!Area_de_impressao</vt:lpstr>
      <vt:lpstr>COMPOS!Area_de_impressao</vt:lpstr>
      <vt:lpstr>GALPÃO!Area_de_impressao</vt:lpstr>
      <vt:lpstr>GUARITA!Area_de_impressao</vt:lpstr>
      <vt:lpstr>IMPLANTAÇÃO!Area_de_impressao</vt:lpstr>
      <vt:lpstr>PASSARELA!Area_de_impressao</vt:lpstr>
      <vt:lpstr>PROTEGIDA_COMPARTILHADA!Area_de_impressao</vt:lpstr>
      <vt:lpstr>QUADRA!Area_de_impressao</vt:lpstr>
      <vt:lpstr>UNID_CONTROLE!Area_de_impressao</vt:lpstr>
      <vt:lpstr>UNID_SERVIÇOS!Area_de_impressao</vt:lpstr>
      <vt:lpstr>VESTIÁRIO!Area_de_impressao</vt:lpstr>
      <vt:lpstr>VISITA_ÍNTIMA!Area_de_impressao</vt:lpstr>
      <vt:lpstr>COMPOS!Excel_BuiltIn_Print_Area</vt:lpstr>
      <vt:lpstr>BDI!Excel_BuiltIn_Print_Area_1</vt:lpstr>
      <vt:lpstr>BDI!Excel_BuiltIn_Print_Area_1_1</vt:lpstr>
      <vt:lpstr>CASA_GRUPO_GERADOR!Titulos_de_impressao</vt:lpstr>
      <vt:lpstr>CASA_MOTOR_BOMBA!Titulos_de_impressao</vt:lpstr>
      <vt:lpstr>COB_VISITANTES!Titulos_de_impressao</vt:lpstr>
      <vt:lpstr>'CRONOGRAMA '!Titulos_de_impressao</vt:lpstr>
      <vt:lpstr>GALPÃO!Titulos_de_impressao</vt:lpstr>
      <vt:lpstr>GUARITA!Titulos_de_impressao</vt:lpstr>
      <vt:lpstr>IMPLANTAÇÃO!Titulos_de_impressao</vt:lpstr>
      <vt:lpstr>PASSARELA!Titulos_de_impressao</vt:lpstr>
      <vt:lpstr>PROTEGIDA_COMPARTILHADA!Titulos_de_impressao</vt:lpstr>
      <vt:lpstr>QUADRA!Titulos_de_impressao</vt:lpstr>
      <vt:lpstr>UNID_ADMINISTRATIVA!Titulos_de_impressao</vt:lpstr>
      <vt:lpstr>UNID_CONTROLE!Titulos_de_impressao</vt:lpstr>
      <vt:lpstr>UNID_SERVIÇOS!Titulos_de_impressao</vt:lpstr>
      <vt:lpstr>VESTIÁRIO!Titulos_de_impressao</vt:lpstr>
      <vt:lpstr>VISITA_ÍNTIMA!Titulos_de_impressao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PREFEITURA DE GOIAS</dc:creator>
  <cp:lastModifiedBy>Mailcon</cp:lastModifiedBy>
  <cp:lastPrinted>2021-08-19T19:01:35Z</cp:lastPrinted>
  <dcterms:created xsi:type="dcterms:W3CDTF">2012-12-13T19:11:40Z</dcterms:created>
  <dcterms:modified xsi:type="dcterms:W3CDTF">2021-08-19T19:02:09Z</dcterms:modified>
</cp:coreProperties>
</file>